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 sheetId="1" state="visible" r:id="rId1"/>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D3383"/>
  <sheetViews>
    <sheetView workbookViewId="0">
      <selection activeCell="A1" sqref="A1"/>
    </sheetView>
  </sheetViews>
  <sheetFormatPr baseColWidth="8" defaultRowHeight="15"/>
  <sheetData>
    <row r="1">
      <c r="A1" t="inlineStr">
        <is>
          <t>Keep in Collection? (Yes/No)</t>
        </is>
      </c>
      <c r="B1" t="inlineStr">
        <is>
          <t>Display Call Number</t>
        </is>
      </c>
      <c r="C1" t="inlineStr">
        <is>
          <t>Display Call Number Normalized</t>
        </is>
      </c>
      <c r="D1" t="inlineStr">
        <is>
          <t>Title</t>
        </is>
      </c>
      <c r="E1" t="inlineStr">
        <is>
          <t>Enumeration</t>
        </is>
      </c>
      <c r="F1" t="inlineStr">
        <is>
          <t>Possible Multi-Volume Set</t>
        </is>
      </c>
      <c r="G1" t="inlineStr">
        <is>
          <t>Copy Number</t>
        </is>
      </c>
      <c r="H1" t="inlineStr">
        <is>
          <t>Possible Duplicate</t>
        </is>
      </c>
      <c r="I1" t="inlineStr">
        <is>
          <t>Multi-Edition Title</t>
        </is>
      </c>
      <c r="J1" t="inlineStr">
        <is>
          <t>Number of Related Ebooks</t>
        </is>
      </c>
      <c r="K1" t="inlineStr">
        <is>
          <t>Author</t>
        </is>
      </c>
      <c r="L1" t="inlineStr">
        <is>
          <t>Publisher</t>
        </is>
      </c>
      <c r="M1" t="inlineStr">
        <is>
          <t>Publication Year</t>
        </is>
      </c>
      <c r="N1" t="inlineStr">
        <is>
          <t>Edition</t>
        </is>
      </c>
      <c r="O1" t="inlineStr">
        <is>
          <t>Primary Language</t>
        </is>
      </c>
      <c r="P1" t="inlineStr">
        <is>
          <t>Place of Publication</t>
        </is>
      </c>
      <c r="Q1" t="inlineStr">
        <is>
          <t>Series</t>
        </is>
      </c>
      <c r="R1" t="inlineStr">
        <is>
          <t>LC Subclass</t>
        </is>
      </c>
      <c r="S1" t="inlineStr">
        <is>
          <t>Recorded Uses - Item</t>
        </is>
      </c>
      <c r="T1" t="inlineStr">
        <is>
          <t>Recorded Uses - Title</t>
        </is>
      </c>
      <c r="U1" t="inlineStr">
        <is>
          <t>Last Charge Date - Item</t>
        </is>
      </c>
      <c r="V1" t="inlineStr">
        <is>
          <t>Last Charge Date - Title</t>
        </is>
      </c>
      <c r="W1" t="inlineStr">
        <is>
          <t>Last Add Date - Item</t>
        </is>
      </c>
      <c r="X1" t="inlineStr">
        <is>
          <t>Last Add Date - Title</t>
        </is>
      </c>
      <c r="Y1" t="inlineStr">
        <is>
          <t>Global Holdings - Same Edition</t>
        </is>
      </c>
      <c r="Z1" t="inlineStr">
        <is>
          <t>US Holdings - Same Edition</t>
        </is>
      </c>
      <c r="AA1" t="inlineStr">
        <is>
          <t>US Holdings</t>
        </is>
      </c>
      <c r="AB1" t="inlineStr">
        <is>
          <t>Nebraska Holdings - Same Edition</t>
        </is>
      </c>
      <c r="AC1" t="inlineStr">
        <is>
          <t>Nebraska Holdings</t>
        </is>
      </c>
      <c r="AD1" t="inlineStr">
        <is>
          <t>All Comparator Library Holdings - Same Edition</t>
        </is>
      </c>
      <c r="AE1" t="inlineStr">
        <is>
          <t>All Comparator Library Holdings</t>
        </is>
      </c>
      <c r="AF1" t="inlineStr">
        <is>
          <t>Affinity Libraries - Same Edition</t>
        </is>
      </c>
      <c r="AG1" t="inlineStr">
        <is>
          <t>Affinity Libraries - Any Edition</t>
        </is>
      </c>
      <c r="AH1" t="inlineStr">
        <is>
          <t>Big East - Same Edition</t>
        </is>
      </c>
      <c r="AI1" t="inlineStr">
        <is>
          <t>Big East - Any Edition</t>
        </is>
      </c>
      <c r="AJ1" t="inlineStr">
        <is>
          <t>AJCU - Same Edition</t>
        </is>
      </c>
      <c r="AK1" t="inlineStr">
        <is>
          <t>AJCU - Any Edition</t>
        </is>
      </c>
      <c r="AL1" t="inlineStr">
        <is>
          <t>Nebraska Colleges &amp; Universities - Same Edition</t>
        </is>
      </c>
      <c r="AM1" t="inlineStr">
        <is>
          <t>Nebraska Colleges &amp; Universities - Any Edition</t>
        </is>
      </c>
      <c r="AN1" t="inlineStr">
        <is>
          <t>MALLCO - Same Edition</t>
        </is>
      </c>
      <c r="AO1" t="inlineStr">
        <is>
          <t>MALLCO - Any Edition</t>
        </is>
      </c>
      <c r="AP1" t="inlineStr">
        <is>
          <t>HathiTrust Public Domain</t>
        </is>
      </c>
      <c r="AQ1" t="inlineStr">
        <is>
          <t>HathiTrust In Copyright</t>
        </is>
      </c>
      <c r="AR1" t="inlineStr">
        <is>
          <t>HathiTrust URL</t>
        </is>
      </c>
      <c r="AS1" t="inlineStr">
        <is>
          <t>OPAC URL</t>
        </is>
      </c>
      <c r="AT1" t="inlineStr">
        <is>
          <t>WorldCat URL</t>
        </is>
      </c>
      <c r="AU1" t="inlineStr">
        <is>
          <t>OCLC Work ID</t>
        </is>
      </c>
      <c r="AV1" t="inlineStr">
        <is>
          <t>WorldCat OCLC Number</t>
        </is>
      </c>
      <c r="AW1" t="inlineStr">
        <is>
          <t>Bib Record Number</t>
        </is>
      </c>
      <c r="AX1" t="inlineStr">
        <is>
          <t>Bib Control Number</t>
        </is>
      </c>
      <c r="AY1" t="inlineStr">
        <is>
          <t>Item Control Number</t>
        </is>
      </c>
      <c r="AZ1" t="inlineStr">
        <is>
          <t>Item Type Code</t>
        </is>
      </c>
      <c r="BA1" t="inlineStr">
        <is>
          <t>Item Status Code</t>
        </is>
      </c>
      <c r="BB1" t="inlineStr">
        <is>
          <t>ISBN</t>
        </is>
      </c>
      <c r="BC1" t="inlineStr">
        <is>
          <t>Barcode</t>
        </is>
      </c>
      <c r="BD1" t="inlineStr">
        <is>
          <t>SCS Item ID</t>
        </is>
      </c>
    </row>
    <row r="2">
      <c r="A2" t="inlineStr">
        <is>
          <t>No</t>
        </is>
      </c>
      <c r="B2" t="inlineStr">
        <is>
          <t>BX106 .F67 1913</t>
        </is>
      </c>
      <c r="C2" t="inlineStr">
        <is>
          <t>0                      BX 0106000F  67          1913</t>
        </is>
      </c>
      <c r="D2" t="inlineStr">
        <is>
          <t>The lesser Eastern churches / by Adrian Fortescue.</t>
        </is>
      </c>
      <c r="F2" t="inlineStr">
        <is>
          <t>No</t>
        </is>
      </c>
      <c r="G2" t="inlineStr">
        <is>
          <t>1</t>
        </is>
      </c>
      <c r="H2" t="inlineStr">
        <is>
          <t>No</t>
        </is>
      </c>
      <c r="I2" t="inlineStr">
        <is>
          <t>No</t>
        </is>
      </c>
      <c r="J2" t="inlineStr">
        <is>
          <t>0</t>
        </is>
      </c>
      <c r="K2" t="inlineStr">
        <is>
          <t>Fortescue, Adrian, 1874-1923.</t>
        </is>
      </c>
      <c r="L2" t="inlineStr">
        <is>
          <t>London : Catholic truth society, 1913.</t>
        </is>
      </c>
      <c r="M2" t="inlineStr">
        <is>
          <t>1913</t>
        </is>
      </c>
      <c r="O2" t="inlineStr">
        <is>
          <t>eng</t>
        </is>
      </c>
      <c r="P2" t="inlineStr">
        <is>
          <t xml:space="preserve">xx </t>
        </is>
      </c>
      <c r="R2" t="inlineStr">
        <is>
          <t xml:space="preserve">BX </t>
        </is>
      </c>
      <c r="S2" t="n">
        <v>4</v>
      </c>
      <c r="T2" t="n">
        <v>4</v>
      </c>
      <c r="U2" t="inlineStr">
        <is>
          <t>2009-07-07</t>
        </is>
      </c>
      <c r="V2" t="inlineStr">
        <is>
          <t>2009-07-07</t>
        </is>
      </c>
      <c r="W2" t="inlineStr">
        <is>
          <t>1990-03-06</t>
        </is>
      </c>
      <c r="X2" t="inlineStr">
        <is>
          <t>1990-03-06</t>
        </is>
      </c>
      <c r="Y2" t="n">
        <v>180</v>
      </c>
      <c r="Z2" t="n">
        <v>123</v>
      </c>
      <c r="AA2" t="n">
        <v>277</v>
      </c>
      <c r="AB2" t="n">
        <v>1</v>
      </c>
      <c r="AC2" t="n">
        <v>2</v>
      </c>
      <c r="AD2" t="n">
        <v>12</v>
      </c>
      <c r="AE2" t="n">
        <v>21</v>
      </c>
      <c r="AF2" t="n">
        <v>3</v>
      </c>
      <c r="AG2" t="n">
        <v>7</v>
      </c>
      <c r="AH2" t="n">
        <v>2</v>
      </c>
      <c r="AI2" t="n">
        <v>6</v>
      </c>
      <c r="AJ2" t="n">
        <v>11</v>
      </c>
      <c r="AK2" t="n">
        <v>13</v>
      </c>
      <c r="AL2" t="n">
        <v>0</v>
      </c>
      <c r="AM2" t="n">
        <v>1</v>
      </c>
      <c r="AN2" t="n">
        <v>0</v>
      </c>
      <c r="AO2" t="n">
        <v>0</v>
      </c>
      <c r="AP2" t="inlineStr">
        <is>
          <t>Yes</t>
        </is>
      </c>
      <c r="AQ2" t="inlineStr">
        <is>
          <t>No</t>
        </is>
      </c>
      <c r="AR2">
        <f>HYPERLINK("http://catalog.hathitrust.org/Record/001933135","HathiTrust Record")</f>
        <v/>
      </c>
      <c r="AS2">
        <f>HYPERLINK("https://creighton-primo.hosted.exlibrisgroup.com/primo-explore/search?tab=default_tab&amp;search_scope=EVERYTHING&amp;vid=01CRU&amp;lang=en_US&amp;offset=0&amp;query=any,contains,991003453099702656","Catalog Record")</f>
        <v/>
      </c>
      <c r="AT2">
        <f>HYPERLINK("http://www.worldcat.org/oclc/992420","WorldCat Record")</f>
        <v/>
      </c>
      <c r="AU2" t="inlineStr">
        <is>
          <t>3856227020:eng</t>
        </is>
      </c>
      <c r="AV2" t="inlineStr">
        <is>
          <t>992420</t>
        </is>
      </c>
      <c r="AW2" t="inlineStr">
        <is>
          <t>991003453099702656</t>
        </is>
      </c>
      <c r="AX2" t="inlineStr">
        <is>
          <t>991003453099702656</t>
        </is>
      </c>
      <c r="AY2" t="inlineStr">
        <is>
          <t>2255152040002656</t>
        </is>
      </c>
      <c r="AZ2" t="inlineStr">
        <is>
          <t>BOOK</t>
        </is>
      </c>
      <c r="BC2" t="inlineStr">
        <is>
          <t>32285000077171</t>
        </is>
      </c>
      <c r="BD2" t="inlineStr">
        <is>
          <t>893511952</t>
        </is>
      </c>
    </row>
    <row r="3">
      <c r="A3" t="inlineStr">
        <is>
          <t>No</t>
        </is>
      </c>
      <c r="B3" t="inlineStr">
        <is>
          <t>BX106.2 .B44 1991</t>
        </is>
      </c>
      <c r="C3" t="inlineStr">
        <is>
          <t>0                      BX 0106200B  44          1991</t>
        </is>
      </c>
      <c r="D3" t="inlineStr">
        <is>
          <t>Introduction to Eastern Christian spirituality : the Syriac tradition / Seely Beggiani.</t>
        </is>
      </c>
      <c r="F3" t="inlineStr">
        <is>
          <t>No</t>
        </is>
      </c>
      <c r="G3" t="inlineStr">
        <is>
          <t>1</t>
        </is>
      </c>
      <c r="H3" t="inlineStr">
        <is>
          <t>No</t>
        </is>
      </c>
      <c r="I3" t="inlineStr">
        <is>
          <t>No</t>
        </is>
      </c>
      <c r="J3" t="inlineStr">
        <is>
          <t>0</t>
        </is>
      </c>
      <c r="K3" t="inlineStr">
        <is>
          <t>Beggiani, Seely J., 1935-</t>
        </is>
      </c>
      <c r="L3" t="inlineStr">
        <is>
          <t>[Scranton, Pa.] : University of Scranton Press ; London : Associated University Presses, c1991.</t>
        </is>
      </c>
      <c r="M3" t="inlineStr">
        <is>
          <t>1991</t>
        </is>
      </c>
      <c r="O3" t="inlineStr">
        <is>
          <t>eng</t>
        </is>
      </c>
      <c r="P3" t="inlineStr">
        <is>
          <t>pau</t>
        </is>
      </c>
      <c r="R3" t="inlineStr">
        <is>
          <t xml:space="preserve">BX </t>
        </is>
      </c>
      <c r="S3" t="n">
        <v>4</v>
      </c>
      <c r="T3" t="n">
        <v>4</v>
      </c>
      <c r="U3" t="inlineStr">
        <is>
          <t>2001-04-19</t>
        </is>
      </c>
      <c r="V3" t="inlineStr">
        <is>
          <t>2001-04-19</t>
        </is>
      </c>
      <c r="W3" t="inlineStr">
        <is>
          <t>1991-08-06</t>
        </is>
      </c>
      <c r="X3" t="inlineStr">
        <is>
          <t>1991-08-06</t>
        </is>
      </c>
      <c r="Y3" t="n">
        <v>235</v>
      </c>
      <c r="Z3" t="n">
        <v>198</v>
      </c>
      <c r="AA3" t="n">
        <v>204</v>
      </c>
      <c r="AB3" t="n">
        <v>1</v>
      </c>
      <c r="AC3" t="n">
        <v>1</v>
      </c>
      <c r="AD3" t="n">
        <v>14</v>
      </c>
      <c r="AE3" t="n">
        <v>15</v>
      </c>
      <c r="AF3" t="n">
        <v>4</v>
      </c>
      <c r="AG3" t="n">
        <v>4</v>
      </c>
      <c r="AH3" t="n">
        <v>3</v>
      </c>
      <c r="AI3" t="n">
        <v>3</v>
      </c>
      <c r="AJ3" t="n">
        <v>11</v>
      </c>
      <c r="AK3" t="n">
        <v>12</v>
      </c>
      <c r="AL3" t="n">
        <v>0</v>
      </c>
      <c r="AM3" t="n">
        <v>0</v>
      </c>
      <c r="AN3" t="n">
        <v>0</v>
      </c>
      <c r="AO3" t="n">
        <v>0</v>
      </c>
      <c r="AP3" t="inlineStr">
        <is>
          <t>No</t>
        </is>
      </c>
      <c r="AQ3" t="inlineStr">
        <is>
          <t>Yes</t>
        </is>
      </c>
      <c r="AR3">
        <f>HYPERLINK("http://catalog.hathitrust.org/Record/002450209","HathiTrust Record")</f>
        <v/>
      </c>
      <c r="AS3">
        <f>HYPERLINK("https://creighton-primo.hosted.exlibrisgroup.com/primo-explore/search?tab=default_tab&amp;search_scope=EVERYTHING&amp;vid=01CRU&amp;lang=en_US&amp;offset=0&amp;query=any,contains,991001768249702656","Catalog Record")</f>
        <v/>
      </c>
      <c r="AT3">
        <f>HYPERLINK("http://www.worldcat.org/oclc/22344978","WorldCat Record")</f>
        <v/>
      </c>
      <c r="AU3" t="inlineStr">
        <is>
          <t>876913186:eng</t>
        </is>
      </c>
      <c r="AV3" t="inlineStr">
        <is>
          <t>22344978</t>
        </is>
      </c>
      <c r="AW3" t="inlineStr">
        <is>
          <t>991001768249702656</t>
        </is>
      </c>
      <c r="AX3" t="inlineStr">
        <is>
          <t>991001768249702656</t>
        </is>
      </c>
      <c r="AY3" t="inlineStr">
        <is>
          <t>2256388210002656</t>
        </is>
      </c>
      <c r="AZ3" t="inlineStr">
        <is>
          <t>BOOK</t>
        </is>
      </c>
      <c r="BB3" t="inlineStr">
        <is>
          <t>9780940866126</t>
        </is>
      </c>
      <c r="BC3" t="inlineStr">
        <is>
          <t>32285000664754</t>
        </is>
      </c>
      <c r="BD3" t="inlineStr">
        <is>
          <t>893866465</t>
        </is>
      </c>
    </row>
    <row r="4">
      <c r="A4" t="inlineStr">
        <is>
          <t>No</t>
        </is>
      </c>
      <c r="B4" t="inlineStr">
        <is>
          <t>BX106.2 .C46 1987</t>
        </is>
      </c>
      <c r="C4" t="inlineStr">
        <is>
          <t>0                      BX 0106200C  46          1987</t>
        </is>
      </c>
      <c r="D4" t="inlineStr">
        <is>
          <t>Christ in East and West / edited by Paul Fries and Tiran Nersoyan ; introduction by Jeffrey Gros.</t>
        </is>
      </c>
      <c r="F4" t="inlineStr">
        <is>
          <t>No</t>
        </is>
      </c>
      <c r="G4" t="inlineStr">
        <is>
          <t>1</t>
        </is>
      </c>
      <c r="H4" t="inlineStr">
        <is>
          <t>No</t>
        </is>
      </c>
      <c r="I4" t="inlineStr">
        <is>
          <t>No</t>
        </is>
      </c>
      <c r="J4" t="inlineStr">
        <is>
          <t>0</t>
        </is>
      </c>
      <c r="L4" t="inlineStr">
        <is>
          <t>Macon, GA : Mercer University Press, c1987.</t>
        </is>
      </c>
      <c r="M4" t="inlineStr">
        <is>
          <t>1987</t>
        </is>
      </c>
      <c r="O4" t="inlineStr">
        <is>
          <t>eng</t>
        </is>
      </c>
      <c r="P4" t="inlineStr">
        <is>
          <t>gau</t>
        </is>
      </c>
      <c r="R4" t="inlineStr">
        <is>
          <t xml:space="preserve">BX </t>
        </is>
      </c>
      <c r="S4" t="n">
        <v>5</v>
      </c>
      <c r="T4" t="n">
        <v>5</v>
      </c>
      <c r="U4" t="inlineStr">
        <is>
          <t>2004-09-27</t>
        </is>
      </c>
      <c r="V4" t="inlineStr">
        <is>
          <t>2004-09-27</t>
        </is>
      </c>
      <c r="W4" t="inlineStr">
        <is>
          <t>1990-09-20</t>
        </is>
      </c>
      <c r="X4" t="inlineStr">
        <is>
          <t>1990-09-20</t>
        </is>
      </c>
      <c r="Y4" t="n">
        <v>267</v>
      </c>
      <c r="Z4" t="n">
        <v>232</v>
      </c>
      <c r="AA4" t="n">
        <v>237</v>
      </c>
      <c r="AB4" t="n">
        <v>2</v>
      </c>
      <c r="AC4" t="n">
        <v>2</v>
      </c>
      <c r="AD4" t="n">
        <v>19</v>
      </c>
      <c r="AE4" t="n">
        <v>19</v>
      </c>
      <c r="AF4" t="n">
        <v>6</v>
      </c>
      <c r="AG4" t="n">
        <v>6</v>
      </c>
      <c r="AH4" t="n">
        <v>4</v>
      </c>
      <c r="AI4" t="n">
        <v>4</v>
      </c>
      <c r="AJ4" t="n">
        <v>13</v>
      </c>
      <c r="AK4" t="n">
        <v>13</v>
      </c>
      <c r="AL4" t="n">
        <v>1</v>
      </c>
      <c r="AM4" t="n">
        <v>1</v>
      </c>
      <c r="AN4" t="n">
        <v>0</v>
      </c>
      <c r="AO4" t="n">
        <v>0</v>
      </c>
      <c r="AP4" t="inlineStr">
        <is>
          <t>No</t>
        </is>
      </c>
      <c r="AQ4" t="inlineStr">
        <is>
          <t>No</t>
        </is>
      </c>
      <c r="AS4">
        <f>HYPERLINK("https://creighton-primo.hosted.exlibrisgroup.com/primo-explore/search?tab=default_tab&amp;search_scope=EVERYTHING&amp;vid=01CRU&amp;lang=en_US&amp;offset=0&amp;query=any,contains,991001024719702656","Catalog Record")</f>
        <v/>
      </c>
      <c r="AT4">
        <f>HYPERLINK("http://www.worldcat.org/oclc/15428889","WorldCat Record")</f>
        <v/>
      </c>
      <c r="AU4" t="inlineStr">
        <is>
          <t>355549245:eng</t>
        </is>
      </c>
      <c r="AV4" t="inlineStr">
        <is>
          <t>15428889</t>
        </is>
      </c>
      <c r="AW4" t="inlineStr">
        <is>
          <t>991001024719702656</t>
        </is>
      </c>
      <c r="AX4" t="inlineStr">
        <is>
          <t>991001024719702656</t>
        </is>
      </c>
      <c r="AY4" t="inlineStr">
        <is>
          <t>2264098670002656</t>
        </is>
      </c>
      <c r="AZ4" t="inlineStr">
        <is>
          <t>BOOK</t>
        </is>
      </c>
      <c r="BB4" t="inlineStr">
        <is>
          <t>9780865542778</t>
        </is>
      </c>
      <c r="BC4" t="inlineStr">
        <is>
          <t>32285000277508</t>
        </is>
      </c>
      <c r="BD4" t="inlineStr">
        <is>
          <t>893683951</t>
        </is>
      </c>
    </row>
    <row r="5">
      <c r="A5" t="inlineStr">
        <is>
          <t>No</t>
        </is>
      </c>
      <c r="B5" t="inlineStr">
        <is>
          <t>BX106.2 .O73 1986</t>
        </is>
      </c>
      <c r="C5" t="inlineStr">
        <is>
          <t>0                      BX 0106200O  73          1986</t>
        </is>
      </c>
      <c r="D5" t="inlineStr">
        <is>
          <t>The Oriental Orthodox Churches in the United States / Robert F. Taft, editor.</t>
        </is>
      </c>
      <c r="F5" t="inlineStr">
        <is>
          <t>No</t>
        </is>
      </c>
      <c r="G5" t="inlineStr">
        <is>
          <t>1</t>
        </is>
      </c>
      <c r="H5" t="inlineStr">
        <is>
          <t>No</t>
        </is>
      </c>
      <c r="I5" t="inlineStr">
        <is>
          <t>No</t>
        </is>
      </c>
      <c r="J5" t="inlineStr">
        <is>
          <t>0</t>
        </is>
      </c>
      <c r="L5" t="inlineStr">
        <is>
          <t>Washington, D.C. : United States Catholic Conference, c1986.</t>
        </is>
      </c>
      <c r="M5" t="inlineStr">
        <is>
          <t>1986</t>
        </is>
      </c>
      <c r="O5" t="inlineStr">
        <is>
          <t>eng</t>
        </is>
      </c>
      <c r="P5" t="inlineStr">
        <is>
          <t>dcu</t>
        </is>
      </c>
      <c r="R5" t="inlineStr">
        <is>
          <t xml:space="preserve">BX </t>
        </is>
      </c>
      <c r="S5" t="n">
        <v>3</v>
      </c>
      <c r="T5" t="n">
        <v>3</v>
      </c>
      <c r="U5" t="inlineStr">
        <is>
          <t>1995-11-28</t>
        </is>
      </c>
      <c r="V5" t="inlineStr">
        <is>
          <t>1995-11-28</t>
        </is>
      </c>
      <c r="W5" t="inlineStr">
        <is>
          <t>1991-12-30</t>
        </is>
      </c>
      <c r="X5" t="inlineStr">
        <is>
          <t>1991-12-30</t>
        </is>
      </c>
      <c r="Y5" t="n">
        <v>77</v>
      </c>
      <c r="Z5" t="n">
        <v>67</v>
      </c>
      <c r="AA5" t="n">
        <v>68</v>
      </c>
      <c r="AB5" t="n">
        <v>1</v>
      </c>
      <c r="AC5" t="n">
        <v>1</v>
      </c>
      <c r="AD5" t="n">
        <v>8</v>
      </c>
      <c r="AE5" t="n">
        <v>8</v>
      </c>
      <c r="AF5" t="n">
        <v>1</v>
      </c>
      <c r="AG5" t="n">
        <v>1</v>
      </c>
      <c r="AH5" t="n">
        <v>3</v>
      </c>
      <c r="AI5" t="n">
        <v>3</v>
      </c>
      <c r="AJ5" t="n">
        <v>5</v>
      </c>
      <c r="AK5" t="n">
        <v>5</v>
      </c>
      <c r="AL5" t="n">
        <v>0</v>
      </c>
      <c r="AM5" t="n">
        <v>0</v>
      </c>
      <c r="AN5" t="n">
        <v>0</v>
      </c>
      <c r="AO5" t="n">
        <v>0</v>
      </c>
      <c r="AP5" t="inlineStr">
        <is>
          <t>No</t>
        </is>
      </c>
      <c r="AQ5" t="inlineStr">
        <is>
          <t>Yes</t>
        </is>
      </c>
      <c r="AR5">
        <f>HYPERLINK("http://catalog.hathitrust.org/Record/102046880","HathiTrust Record")</f>
        <v/>
      </c>
      <c r="AS5">
        <f>HYPERLINK("https://creighton-primo.hosted.exlibrisgroup.com/primo-explore/search?tab=default_tab&amp;search_scope=EVERYTHING&amp;vid=01CRU&amp;lang=en_US&amp;offset=0&amp;query=any,contains,991000989079702656","Catalog Record")</f>
        <v/>
      </c>
      <c r="AT5">
        <f>HYPERLINK("http://www.worldcat.org/oclc/15085951","WorldCat Record")</f>
        <v/>
      </c>
      <c r="AU5" t="inlineStr">
        <is>
          <t>9128320:eng</t>
        </is>
      </c>
      <c r="AV5" t="inlineStr">
        <is>
          <t>15085951</t>
        </is>
      </c>
      <c r="AW5" t="inlineStr">
        <is>
          <t>991000989079702656</t>
        </is>
      </c>
      <c r="AX5" t="inlineStr">
        <is>
          <t>991000989079702656</t>
        </is>
      </c>
      <c r="AY5" t="inlineStr">
        <is>
          <t>2256607060002656</t>
        </is>
      </c>
      <c r="AZ5" t="inlineStr">
        <is>
          <t>BOOK</t>
        </is>
      </c>
      <c r="BB5" t="inlineStr">
        <is>
          <t>9781555869878</t>
        </is>
      </c>
      <c r="BC5" t="inlineStr">
        <is>
          <t>32285000862507</t>
        </is>
      </c>
      <c r="BD5" t="inlineStr">
        <is>
          <t>893803252</t>
        </is>
      </c>
    </row>
    <row r="6">
      <c r="A6" t="inlineStr">
        <is>
          <t>No</t>
        </is>
      </c>
      <c r="B6" t="inlineStr">
        <is>
          <t>BX106.2 .R62 1993</t>
        </is>
      </c>
      <c r="C6" t="inlineStr">
        <is>
          <t>0                      BX 0106200R  62          1993</t>
        </is>
      </c>
      <c r="D6" t="inlineStr">
        <is>
          <t>The eastern Christian churches : a brief survey / Ronald G. Roberson.</t>
        </is>
      </c>
      <c r="F6" t="inlineStr">
        <is>
          <t>No</t>
        </is>
      </c>
      <c r="G6" t="inlineStr">
        <is>
          <t>1</t>
        </is>
      </c>
      <c r="H6" t="inlineStr">
        <is>
          <t>No</t>
        </is>
      </c>
      <c r="I6" t="inlineStr">
        <is>
          <t>Yes</t>
        </is>
      </c>
      <c r="J6" t="inlineStr">
        <is>
          <t>0</t>
        </is>
      </c>
      <c r="K6" t="inlineStr">
        <is>
          <t>Roberson, Ronald.</t>
        </is>
      </c>
      <c r="L6" t="inlineStr">
        <is>
          <t>Roma : Pontificio Istituto Orientale, 1993.</t>
        </is>
      </c>
      <c r="M6" t="inlineStr">
        <is>
          <t>1993</t>
        </is>
      </c>
      <c r="N6" t="inlineStr">
        <is>
          <t>1993 ed.</t>
        </is>
      </c>
      <c r="O6" t="inlineStr">
        <is>
          <t>eng</t>
        </is>
      </c>
      <c r="P6" t="inlineStr">
        <is>
          <t xml:space="preserve">it </t>
        </is>
      </c>
      <c r="R6" t="inlineStr">
        <is>
          <t xml:space="preserve">BX </t>
        </is>
      </c>
      <c r="S6" t="n">
        <v>3</v>
      </c>
      <c r="T6" t="n">
        <v>3</v>
      </c>
      <c r="U6" t="inlineStr">
        <is>
          <t>2005-04-13</t>
        </is>
      </c>
      <c r="V6" t="inlineStr">
        <is>
          <t>2005-04-13</t>
        </is>
      </c>
      <c r="W6" t="inlineStr">
        <is>
          <t>1994-10-31</t>
        </is>
      </c>
      <c r="X6" t="inlineStr">
        <is>
          <t>1994-10-31</t>
        </is>
      </c>
      <c r="Y6" t="n">
        <v>28</v>
      </c>
      <c r="Z6" t="n">
        <v>26</v>
      </c>
      <c r="AA6" t="n">
        <v>312</v>
      </c>
      <c r="AB6" t="n">
        <v>1</v>
      </c>
      <c r="AC6" t="n">
        <v>4</v>
      </c>
      <c r="AD6" t="n">
        <v>3</v>
      </c>
      <c r="AE6" t="n">
        <v>31</v>
      </c>
      <c r="AF6" t="n">
        <v>0</v>
      </c>
      <c r="AG6" t="n">
        <v>12</v>
      </c>
      <c r="AH6" t="n">
        <v>1</v>
      </c>
      <c r="AI6" t="n">
        <v>7</v>
      </c>
      <c r="AJ6" t="n">
        <v>3</v>
      </c>
      <c r="AK6" t="n">
        <v>22</v>
      </c>
      <c r="AL6" t="n">
        <v>0</v>
      </c>
      <c r="AM6" t="n">
        <v>1</v>
      </c>
      <c r="AN6" t="n">
        <v>0</v>
      </c>
      <c r="AO6" t="n">
        <v>0</v>
      </c>
      <c r="AP6" t="inlineStr">
        <is>
          <t>No</t>
        </is>
      </c>
      <c r="AQ6" t="inlineStr">
        <is>
          <t>Yes</t>
        </is>
      </c>
      <c r="AR6">
        <f>HYPERLINK("http://catalog.hathitrust.org/Record/002955728","HathiTrust Record")</f>
        <v/>
      </c>
      <c r="AS6">
        <f>HYPERLINK("https://creighton-primo.hosted.exlibrisgroup.com/primo-explore/search?tab=default_tab&amp;search_scope=EVERYTHING&amp;vid=01CRU&amp;lang=en_US&amp;offset=0&amp;query=any,contains,991002250179702656","Catalog Record")</f>
        <v/>
      </c>
      <c r="AT6">
        <f>HYPERLINK("http://www.worldcat.org/oclc/29042088","WorldCat Record")</f>
        <v/>
      </c>
      <c r="AU6" t="inlineStr">
        <is>
          <t>25869296:eng</t>
        </is>
      </c>
      <c r="AV6" t="inlineStr">
        <is>
          <t>29042088</t>
        </is>
      </c>
      <c r="AW6" t="inlineStr">
        <is>
          <t>991002250179702656</t>
        </is>
      </c>
      <c r="AX6" t="inlineStr">
        <is>
          <t>991002250179702656</t>
        </is>
      </c>
      <c r="AY6" t="inlineStr">
        <is>
          <t>2270951210002656</t>
        </is>
      </c>
      <c r="AZ6" t="inlineStr">
        <is>
          <t>BOOK</t>
        </is>
      </c>
      <c r="BB6" t="inlineStr">
        <is>
          <t>9788872102930</t>
        </is>
      </c>
      <c r="BC6" t="inlineStr">
        <is>
          <t>32285001955581</t>
        </is>
      </c>
      <c r="BD6" t="inlineStr">
        <is>
          <t>893792223</t>
        </is>
      </c>
    </row>
    <row r="7">
      <c r="A7" t="inlineStr">
        <is>
          <t>No</t>
        </is>
      </c>
      <c r="B7" t="inlineStr">
        <is>
          <t>BX1069.5 .P3713 2000</t>
        </is>
      </c>
      <c r="C7" t="inlineStr">
        <is>
          <t>0                      BX 1069500P  3713        2000</t>
        </is>
      </c>
      <c r="D7" t="inlineStr">
        <is>
          <t>The Pope's body / Agostino Paravicini Bagliani ; translated by David S. Peterson.</t>
        </is>
      </c>
      <c r="F7" t="inlineStr">
        <is>
          <t>No</t>
        </is>
      </c>
      <c r="G7" t="inlineStr">
        <is>
          <t>1</t>
        </is>
      </c>
      <c r="H7" t="inlineStr">
        <is>
          <t>No</t>
        </is>
      </c>
      <c r="I7" t="inlineStr">
        <is>
          <t>No</t>
        </is>
      </c>
      <c r="J7" t="inlineStr">
        <is>
          <t>0</t>
        </is>
      </c>
      <c r="K7" t="inlineStr">
        <is>
          <t>Paravicini Bagliani, Agostino.</t>
        </is>
      </c>
      <c r="L7" t="inlineStr">
        <is>
          <t>Chicago : University of Chicago Press, c2000.</t>
        </is>
      </c>
      <c r="M7" t="inlineStr">
        <is>
          <t>2000</t>
        </is>
      </c>
      <c r="O7" t="inlineStr">
        <is>
          <t>eng</t>
        </is>
      </c>
      <c r="P7" t="inlineStr">
        <is>
          <t>ilu</t>
        </is>
      </c>
      <c r="R7" t="inlineStr">
        <is>
          <t xml:space="preserve">BX </t>
        </is>
      </c>
      <c r="S7" t="n">
        <v>1</v>
      </c>
      <c r="T7" t="n">
        <v>1</v>
      </c>
      <c r="U7" t="inlineStr">
        <is>
          <t>2001-02-13</t>
        </is>
      </c>
      <c r="V7" t="inlineStr">
        <is>
          <t>2001-02-13</t>
        </is>
      </c>
      <c r="W7" t="inlineStr">
        <is>
          <t>2001-02-13</t>
        </is>
      </c>
      <c r="X7" t="inlineStr">
        <is>
          <t>2001-02-13</t>
        </is>
      </c>
      <c r="Y7" t="n">
        <v>300</v>
      </c>
      <c r="Z7" t="n">
        <v>236</v>
      </c>
      <c r="AA7" t="n">
        <v>241</v>
      </c>
      <c r="AB7" t="n">
        <v>4</v>
      </c>
      <c r="AC7" t="n">
        <v>4</v>
      </c>
      <c r="AD7" t="n">
        <v>25</v>
      </c>
      <c r="AE7" t="n">
        <v>25</v>
      </c>
      <c r="AF7" t="n">
        <v>6</v>
      </c>
      <c r="AG7" t="n">
        <v>6</v>
      </c>
      <c r="AH7" t="n">
        <v>9</v>
      </c>
      <c r="AI7" t="n">
        <v>9</v>
      </c>
      <c r="AJ7" t="n">
        <v>14</v>
      </c>
      <c r="AK7" t="n">
        <v>14</v>
      </c>
      <c r="AL7" t="n">
        <v>3</v>
      </c>
      <c r="AM7" t="n">
        <v>3</v>
      </c>
      <c r="AN7" t="n">
        <v>0</v>
      </c>
      <c r="AO7" t="n">
        <v>0</v>
      </c>
      <c r="AP7" t="inlineStr">
        <is>
          <t>No</t>
        </is>
      </c>
      <c r="AQ7" t="inlineStr">
        <is>
          <t>No</t>
        </is>
      </c>
      <c r="AS7">
        <f>HYPERLINK("https://creighton-primo.hosted.exlibrisgroup.com/primo-explore/search?tab=default_tab&amp;search_scope=EVERYTHING&amp;vid=01CRU&amp;lang=en_US&amp;offset=0&amp;query=any,contains,991003487739702656","Catalog Record")</f>
        <v/>
      </c>
      <c r="AT7">
        <f>HYPERLINK("http://www.worldcat.org/oclc/41592982","WorldCat Record")</f>
        <v/>
      </c>
      <c r="AU7" t="inlineStr">
        <is>
          <t>20755686:eng</t>
        </is>
      </c>
      <c r="AV7" t="inlineStr">
        <is>
          <t>41592982</t>
        </is>
      </c>
      <c r="AW7" t="inlineStr">
        <is>
          <t>991003487739702656</t>
        </is>
      </c>
      <c r="AX7" t="inlineStr">
        <is>
          <t>991003487739702656</t>
        </is>
      </c>
      <c r="AY7" t="inlineStr">
        <is>
          <t>2265660880002656</t>
        </is>
      </c>
      <c r="AZ7" t="inlineStr">
        <is>
          <t>BOOK</t>
        </is>
      </c>
      <c r="BB7" t="inlineStr">
        <is>
          <t>9780226034379</t>
        </is>
      </c>
      <c r="BC7" t="inlineStr">
        <is>
          <t>32285004294723</t>
        </is>
      </c>
      <c r="BD7" t="inlineStr">
        <is>
          <t>893781061</t>
        </is>
      </c>
    </row>
    <row r="8">
      <c r="A8" t="inlineStr">
        <is>
          <t>No</t>
        </is>
      </c>
      <c r="B8" t="inlineStr">
        <is>
          <t>BX1070 .L532513 1992</t>
        </is>
      </c>
      <c r="C8" t="inlineStr">
        <is>
          <t>0                      BX 1070000L  532513      1992</t>
        </is>
      </c>
      <c r="D8" t="inlineStr">
        <is>
          <t>The lives of the eighth-century popes (Liber pontificalis) : the ancient biographies of nine popes from AD 715 to AD 817 / translated with an introduction and commentary by Raymond Davis.</t>
        </is>
      </c>
      <c r="F8" t="inlineStr">
        <is>
          <t>No</t>
        </is>
      </c>
      <c r="G8" t="inlineStr">
        <is>
          <t>1</t>
        </is>
      </c>
      <c r="H8" t="inlineStr">
        <is>
          <t>No</t>
        </is>
      </c>
      <c r="I8" t="inlineStr">
        <is>
          <t>No</t>
        </is>
      </c>
      <c r="J8" t="inlineStr">
        <is>
          <t>0</t>
        </is>
      </c>
      <c r="K8" t="inlineStr">
        <is>
          <t>Liber Pontificalis. Selections. English.</t>
        </is>
      </c>
      <c r="L8" t="inlineStr">
        <is>
          <t>Liverpool : Liverpool University Press, 1992.</t>
        </is>
      </c>
      <c r="M8" t="inlineStr">
        <is>
          <t>1992</t>
        </is>
      </c>
      <c r="O8" t="inlineStr">
        <is>
          <t>eng</t>
        </is>
      </c>
      <c r="P8" t="inlineStr">
        <is>
          <t>enk</t>
        </is>
      </c>
      <c r="Q8" t="inlineStr">
        <is>
          <t>Translated texts for historians ; v. 13</t>
        </is>
      </c>
      <c r="R8" t="inlineStr">
        <is>
          <t xml:space="preserve">BX </t>
        </is>
      </c>
      <c r="S8" t="n">
        <v>1</v>
      </c>
      <c r="T8" t="n">
        <v>1</v>
      </c>
      <c r="U8" t="inlineStr">
        <is>
          <t>2005-05-10</t>
        </is>
      </c>
      <c r="V8" t="inlineStr">
        <is>
          <t>2005-05-10</t>
        </is>
      </c>
      <c r="W8" t="inlineStr">
        <is>
          <t>2005-05-10</t>
        </is>
      </c>
      <c r="X8" t="inlineStr">
        <is>
          <t>2005-05-10</t>
        </is>
      </c>
      <c r="Y8" t="n">
        <v>368</v>
      </c>
      <c r="Z8" t="n">
        <v>279</v>
      </c>
      <c r="AA8" t="n">
        <v>286</v>
      </c>
      <c r="AB8" t="n">
        <v>3</v>
      </c>
      <c r="AC8" t="n">
        <v>3</v>
      </c>
      <c r="AD8" t="n">
        <v>25</v>
      </c>
      <c r="AE8" t="n">
        <v>25</v>
      </c>
      <c r="AF8" t="n">
        <v>8</v>
      </c>
      <c r="AG8" t="n">
        <v>8</v>
      </c>
      <c r="AH8" t="n">
        <v>5</v>
      </c>
      <c r="AI8" t="n">
        <v>5</v>
      </c>
      <c r="AJ8" t="n">
        <v>16</v>
      </c>
      <c r="AK8" t="n">
        <v>16</v>
      </c>
      <c r="AL8" t="n">
        <v>2</v>
      </c>
      <c r="AM8" t="n">
        <v>2</v>
      </c>
      <c r="AN8" t="n">
        <v>0</v>
      </c>
      <c r="AO8" t="n">
        <v>0</v>
      </c>
      <c r="AP8" t="inlineStr">
        <is>
          <t>No</t>
        </is>
      </c>
      <c r="AQ8" t="inlineStr">
        <is>
          <t>Yes</t>
        </is>
      </c>
      <c r="AR8">
        <f>HYPERLINK("http://catalog.hathitrust.org/Record/002613856","HathiTrust Record")</f>
        <v/>
      </c>
      <c r="AS8">
        <f>HYPERLINK("https://creighton-primo.hosted.exlibrisgroup.com/primo-explore/search?tab=default_tab&amp;search_scope=EVERYTHING&amp;vid=01CRU&amp;lang=en_US&amp;offset=0&amp;query=any,contains,991004204689702656","Catalog Record")</f>
        <v/>
      </c>
      <c r="AT8">
        <f>HYPERLINK("http://www.worldcat.org/oclc/26155364","WorldCat Record")</f>
        <v/>
      </c>
      <c r="AU8" t="inlineStr">
        <is>
          <t>2840725200:eng</t>
        </is>
      </c>
      <c r="AV8" t="inlineStr">
        <is>
          <t>26155364</t>
        </is>
      </c>
      <c r="AW8" t="inlineStr">
        <is>
          <t>991004204689702656</t>
        </is>
      </c>
      <c r="AX8" t="inlineStr">
        <is>
          <t>991004204689702656</t>
        </is>
      </c>
      <c r="AY8" t="inlineStr">
        <is>
          <t>2255705510002656</t>
        </is>
      </c>
      <c r="AZ8" t="inlineStr">
        <is>
          <t>BOOK</t>
        </is>
      </c>
      <c r="BB8" t="inlineStr">
        <is>
          <t>9780853230182</t>
        </is>
      </c>
      <c r="BC8" t="inlineStr">
        <is>
          <t>32285005036834</t>
        </is>
      </c>
      <c r="BD8" t="inlineStr">
        <is>
          <t>893894702</t>
        </is>
      </c>
    </row>
    <row r="9">
      <c r="A9" t="inlineStr">
        <is>
          <t>No</t>
        </is>
      </c>
      <c r="B9" t="inlineStr">
        <is>
          <t>BX1120 .R69 1901</t>
        </is>
      </c>
      <c r="C9" t="inlineStr">
        <is>
          <t>0                      BX 1120000R  69          1901</t>
        </is>
      </c>
      <c r="D9" t="inlineStr">
        <is>
          <t>Saint Nicholas I / Translated by Margaret Maitland.</t>
        </is>
      </c>
      <c r="F9" t="inlineStr">
        <is>
          <t>No</t>
        </is>
      </c>
      <c r="G9" t="inlineStr">
        <is>
          <t>1</t>
        </is>
      </c>
      <c r="H9" t="inlineStr">
        <is>
          <t>No</t>
        </is>
      </c>
      <c r="I9" t="inlineStr">
        <is>
          <t>No</t>
        </is>
      </c>
      <c r="J9" t="inlineStr">
        <is>
          <t>0</t>
        </is>
      </c>
      <c r="K9" t="inlineStr">
        <is>
          <t>Roy, Jules.</t>
        </is>
      </c>
      <c r="L9" t="inlineStr">
        <is>
          <t>London : Duckworth ; New York : Benziger, 1901.</t>
        </is>
      </c>
      <c r="M9" t="inlineStr">
        <is>
          <t>1901</t>
        </is>
      </c>
      <c r="O9" t="inlineStr">
        <is>
          <t>eng</t>
        </is>
      </c>
      <c r="P9" t="inlineStr">
        <is>
          <t>enk</t>
        </is>
      </c>
      <c r="Q9" t="inlineStr">
        <is>
          <t>The Saints</t>
        </is>
      </c>
      <c r="R9" t="inlineStr">
        <is>
          <t xml:space="preserve">BX </t>
        </is>
      </c>
      <c r="S9" t="n">
        <v>5</v>
      </c>
      <c r="T9" t="n">
        <v>5</v>
      </c>
      <c r="U9" t="inlineStr">
        <is>
          <t>1996-02-06</t>
        </is>
      </c>
      <c r="V9" t="inlineStr">
        <is>
          <t>1996-02-06</t>
        </is>
      </c>
      <c r="W9" t="inlineStr">
        <is>
          <t>1992-06-05</t>
        </is>
      </c>
      <c r="X9" t="inlineStr">
        <is>
          <t>1992-06-05</t>
        </is>
      </c>
      <c r="Y9" t="n">
        <v>65</v>
      </c>
      <c r="Z9" t="n">
        <v>53</v>
      </c>
      <c r="AA9" t="n">
        <v>122</v>
      </c>
      <c r="AB9" t="n">
        <v>1</v>
      </c>
      <c r="AC9" t="n">
        <v>2</v>
      </c>
      <c r="AD9" t="n">
        <v>10</v>
      </c>
      <c r="AE9" t="n">
        <v>15</v>
      </c>
      <c r="AF9" t="n">
        <v>2</v>
      </c>
      <c r="AG9" t="n">
        <v>4</v>
      </c>
      <c r="AH9" t="n">
        <v>3</v>
      </c>
      <c r="AI9" t="n">
        <v>4</v>
      </c>
      <c r="AJ9" t="n">
        <v>8</v>
      </c>
      <c r="AK9" t="n">
        <v>9</v>
      </c>
      <c r="AL9" t="n">
        <v>0</v>
      </c>
      <c r="AM9" t="n">
        <v>1</v>
      </c>
      <c r="AN9" t="n">
        <v>0</v>
      </c>
      <c r="AO9" t="n">
        <v>0</v>
      </c>
      <c r="AP9" t="inlineStr">
        <is>
          <t>Yes</t>
        </is>
      </c>
      <c r="AQ9" t="inlineStr">
        <is>
          <t>No</t>
        </is>
      </c>
      <c r="AR9">
        <f>HYPERLINK("http://catalog.hathitrust.org/Record/008626604","HathiTrust Record")</f>
        <v/>
      </c>
      <c r="AS9">
        <f>HYPERLINK("https://creighton-primo.hosted.exlibrisgroup.com/primo-explore/search?tab=default_tab&amp;search_scope=EVERYTHING&amp;vid=01CRU&amp;lang=en_US&amp;offset=0&amp;query=any,contains,991004615339702656","Catalog Record")</f>
        <v/>
      </c>
      <c r="AT9">
        <f>HYPERLINK("http://www.worldcat.org/oclc/4248540","WorldCat Record")</f>
        <v/>
      </c>
      <c r="AU9" t="inlineStr">
        <is>
          <t>14556197:eng</t>
        </is>
      </c>
      <c r="AV9" t="inlineStr">
        <is>
          <t>4248540</t>
        </is>
      </c>
      <c r="AW9" t="inlineStr">
        <is>
          <t>991004615339702656</t>
        </is>
      </c>
      <c r="AX9" t="inlineStr">
        <is>
          <t>991004615339702656</t>
        </is>
      </c>
      <c r="AY9" t="inlineStr">
        <is>
          <t>2263303120002656</t>
        </is>
      </c>
      <c r="AZ9" t="inlineStr">
        <is>
          <t>BOOK</t>
        </is>
      </c>
      <c r="BC9" t="inlineStr">
        <is>
          <t>32285001227296</t>
        </is>
      </c>
      <c r="BD9" t="inlineStr">
        <is>
          <t>893423996</t>
        </is>
      </c>
    </row>
    <row r="10">
      <c r="A10" t="inlineStr">
        <is>
          <t>No</t>
        </is>
      </c>
      <c r="B10" t="inlineStr">
        <is>
          <t>BX1158 .A413 1961</t>
        </is>
      </c>
      <c r="C10" t="inlineStr">
        <is>
          <t>0                      BX 1158000A  413         1961</t>
        </is>
      </c>
      <c r="D10" t="inlineStr">
        <is>
          <t>The letters of Gerbert, with his papal privileges as Sylvester II / Translated with an introd. by Harriet Pratt Lattin.</t>
        </is>
      </c>
      <c r="F10" t="inlineStr">
        <is>
          <t>No</t>
        </is>
      </c>
      <c r="G10" t="inlineStr">
        <is>
          <t>1</t>
        </is>
      </c>
      <c r="H10" t="inlineStr">
        <is>
          <t>No</t>
        </is>
      </c>
      <c r="I10" t="inlineStr">
        <is>
          <t>No</t>
        </is>
      </c>
      <c r="J10" t="inlineStr">
        <is>
          <t>0</t>
        </is>
      </c>
      <c r="K10" t="inlineStr">
        <is>
          <t>Sylvester II, Pope, approximately 945-1003.</t>
        </is>
      </c>
      <c r="L10" t="inlineStr">
        <is>
          <t>New York : Columbia University Press, 1961.</t>
        </is>
      </c>
      <c r="M10" t="inlineStr">
        <is>
          <t>1961</t>
        </is>
      </c>
      <c r="O10" t="inlineStr">
        <is>
          <t>eng</t>
        </is>
      </c>
      <c r="P10" t="inlineStr">
        <is>
          <t>nyu</t>
        </is>
      </c>
      <c r="Q10" t="inlineStr">
        <is>
          <t>Records of civilization, sources and studies ; no. 60</t>
        </is>
      </c>
      <c r="R10" t="inlineStr">
        <is>
          <t xml:space="preserve">BX </t>
        </is>
      </c>
      <c r="S10" t="n">
        <v>1</v>
      </c>
      <c r="T10" t="n">
        <v>1</v>
      </c>
      <c r="U10" t="inlineStr">
        <is>
          <t>2008-01-25</t>
        </is>
      </c>
      <c r="V10" t="inlineStr">
        <is>
          <t>2008-01-25</t>
        </is>
      </c>
      <c r="W10" t="inlineStr">
        <is>
          <t>1992-06-05</t>
        </is>
      </c>
      <c r="X10" t="inlineStr">
        <is>
          <t>1992-06-05</t>
        </is>
      </c>
      <c r="Y10" t="n">
        <v>538</v>
      </c>
      <c r="Z10" t="n">
        <v>459</v>
      </c>
      <c r="AA10" t="n">
        <v>671</v>
      </c>
      <c r="AB10" t="n">
        <v>5</v>
      </c>
      <c r="AC10" t="n">
        <v>5</v>
      </c>
      <c r="AD10" t="n">
        <v>38</v>
      </c>
      <c r="AE10" t="n">
        <v>48</v>
      </c>
      <c r="AF10" t="n">
        <v>12</v>
      </c>
      <c r="AG10" t="n">
        <v>18</v>
      </c>
      <c r="AH10" t="n">
        <v>10</v>
      </c>
      <c r="AI10" t="n">
        <v>11</v>
      </c>
      <c r="AJ10" t="n">
        <v>24</v>
      </c>
      <c r="AK10" t="n">
        <v>26</v>
      </c>
      <c r="AL10" t="n">
        <v>4</v>
      </c>
      <c r="AM10" t="n">
        <v>4</v>
      </c>
      <c r="AN10" t="n">
        <v>0</v>
      </c>
      <c r="AO10" t="n">
        <v>2</v>
      </c>
      <c r="AP10" t="inlineStr">
        <is>
          <t>Yes</t>
        </is>
      </c>
      <c r="AQ10" t="inlineStr">
        <is>
          <t>No</t>
        </is>
      </c>
      <c r="AR10">
        <f>HYPERLINK("http://catalog.hathitrust.org/Record/008003673","HathiTrust Record")</f>
        <v/>
      </c>
      <c r="AS10">
        <f>HYPERLINK("https://creighton-primo.hosted.exlibrisgroup.com/primo-explore/search?tab=default_tab&amp;search_scope=EVERYTHING&amp;vid=01CRU&amp;lang=en_US&amp;offset=0&amp;query=any,contains,991004400819702656","Catalog Record")</f>
        <v/>
      </c>
      <c r="AT10">
        <f>HYPERLINK("http://www.worldcat.org/oclc/3299490","WorldCat Record")</f>
        <v/>
      </c>
      <c r="AU10" t="inlineStr">
        <is>
          <t>3997455:eng</t>
        </is>
      </c>
      <c r="AV10" t="inlineStr">
        <is>
          <t>3299490</t>
        </is>
      </c>
      <c r="AW10" t="inlineStr">
        <is>
          <t>991004400819702656</t>
        </is>
      </c>
      <c r="AX10" t="inlineStr">
        <is>
          <t>991004400819702656</t>
        </is>
      </c>
      <c r="AY10" t="inlineStr">
        <is>
          <t>2255785100002656</t>
        </is>
      </c>
      <c r="AZ10" t="inlineStr">
        <is>
          <t>BOOK</t>
        </is>
      </c>
      <c r="BC10" t="inlineStr">
        <is>
          <t>32285001227304</t>
        </is>
      </c>
      <c r="BD10" t="inlineStr">
        <is>
          <t>893882431</t>
        </is>
      </c>
    </row>
    <row r="11">
      <c r="A11" t="inlineStr">
        <is>
          <t>No</t>
        </is>
      </c>
      <c r="B11" t="inlineStr">
        <is>
          <t>BX1187 .B684 1840</t>
        </is>
      </c>
      <c r="C11" t="inlineStr">
        <is>
          <t>0                      BX 1187000B  684         1840</t>
        </is>
      </c>
      <c r="D11" t="inlineStr">
        <is>
          <t>The life and pontificate of Gregory the Seventh / by John William Bowden.</t>
        </is>
      </c>
      <c r="E11" t="inlineStr">
        <is>
          <t>V.1</t>
        </is>
      </c>
      <c r="F11" t="inlineStr">
        <is>
          <t>Yes</t>
        </is>
      </c>
      <c r="G11" t="inlineStr">
        <is>
          <t>1</t>
        </is>
      </c>
      <c r="H11" t="inlineStr">
        <is>
          <t>No</t>
        </is>
      </c>
      <c r="I11" t="inlineStr">
        <is>
          <t>No</t>
        </is>
      </c>
      <c r="J11" t="inlineStr">
        <is>
          <t>0</t>
        </is>
      </c>
      <c r="K11" t="inlineStr">
        <is>
          <t>Bowden, John William, 1798-1844.</t>
        </is>
      </c>
      <c r="L11" t="inlineStr">
        <is>
          <t>London : J.G.F. &amp; J. Rivington, 1840.</t>
        </is>
      </c>
      <c r="M11" t="inlineStr">
        <is>
          <t>1840</t>
        </is>
      </c>
      <c r="O11" t="inlineStr">
        <is>
          <t>eng</t>
        </is>
      </c>
      <c r="P11" t="inlineStr">
        <is>
          <t>enk</t>
        </is>
      </c>
      <c r="R11" t="inlineStr">
        <is>
          <t xml:space="preserve">BX </t>
        </is>
      </c>
      <c r="S11" t="n">
        <v>2</v>
      </c>
      <c r="T11" t="n">
        <v>5</v>
      </c>
      <c r="U11" t="inlineStr">
        <is>
          <t>2002-02-19</t>
        </is>
      </c>
      <c r="V11" t="inlineStr">
        <is>
          <t>2002-11-26</t>
        </is>
      </c>
      <c r="W11" t="inlineStr">
        <is>
          <t>1992-06-05</t>
        </is>
      </c>
      <c r="X11" t="inlineStr">
        <is>
          <t>1992-06-05</t>
        </is>
      </c>
      <c r="Y11" t="n">
        <v>95</v>
      </c>
      <c r="Z11" t="n">
        <v>66</v>
      </c>
      <c r="AA11" t="n">
        <v>98</v>
      </c>
      <c r="AB11" t="n">
        <v>1</v>
      </c>
      <c r="AC11" t="n">
        <v>2</v>
      </c>
      <c r="AD11" t="n">
        <v>12</v>
      </c>
      <c r="AE11" t="n">
        <v>13</v>
      </c>
      <c r="AF11" t="n">
        <v>1</v>
      </c>
      <c r="AG11" t="n">
        <v>1</v>
      </c>
      <c r="AH11" t="n">
        <v>3</v>
      </c>
      <c r="AI11" t="n">
        <v>3</v>
      </c>
      <c r="AJ11" t="n">
        <v>9</v>
      </c>
      <c r="AK11" t="n">
        <v>9</v>
      </c>
      <c r="AL11" t="n">
        <v>0</v>
      </c>
      <c r="AM11" t="n">
        <v>1</v>
      </c>
      <c r="AN11" t="n">
        <v>0</v>
      </c>
      <c r="AO11" t="n">
        <v>0</v>
      </c>
      <c r="AP11" t="inlineStr">
        <is>
          <t>Yes</t>
        </is>
      </c>
      <c r="AQ11" t="inlineStr">
        <is>
          <t>No</t>
        </is>
      </c>
      <c r="AR11">
        <f>HYPERLINK("http://catalog.hathitrust.org/Record/008734711","HathiTrust Record")</f>
        <v/>
      </c>
      <c r="AS11">
        <f>HYPERLINK("https://creighton-primo.hosted.exlibrisgroup.com/primo-explore/search?tab=default_tab&amp;search_scope=EVERYTHING&amp;vid=01CRU&amp;lang=en_US&amp;offset=0&amp;query=any,contains,991004432379702656","Catalog Record")</f>
        <v/>
      </c>
      <c r="AT11">
        <f>HYPERLINK("http://www.worldcat.org/oclc/3428546","WorldCat Record")</f>
        <v/>
      </c>
      <c r="AU11" t="inlineStr">
        <is>
          <t>4277319:eng</t>
        </is>
      </c>
      <c r="AV11" t="inlineStr">
        <is>
          <t>3428546</t>
        </is>
      </c>
      <c r="AW11" t="inlineStr">
        <is>
          <t>991004432379702656</t>
        </is>
      </c>
      <c r="AX11" t="inlineStr">
        <is>
          <t>991004432379702656</t>
        </is>
      </c>
      <c r="AY11" t="inlineStr">
        <is>
          <t>2258409200002656</t>
        </is>
      </c>
      <c r="AZ11" t="inlineStr">
        <is>
          <t>BOOK</t>
        </is>
      </c>
      <c r="BC11" t="inlineStr">
        <is>
          <t>32285001227346</t>
        </is>
      </c>
      <c r="BD11" t="inlineStr">
        <is>
          <t>893606026</t>
        </is>
      </c>
    </row>
    <row r="12">
      <c r="A12" t="inlineStr">
        <is>
          <t>No</t>
        </is>
      </c>
      <c r="B12" t="inlineStr">
        <is>
          <t>BX1187 .B684 1840</t>
        </is>
      </c>
      <c r="C12" t="inlineStr">
        <is>
          <t>0                      BX 1187000B  684         1840</t>
        </is>
      </c>
      <c r="D12" t="inlineStr">
        <is>
          <t>The life and pontificate of Gregory the Seventh / by John William Bowden.</t>
        </is>
      </c>
      <c r="E12" t="inlineStr">
        <is>
          <t>V.2</t>
        </is>
      </c>
      <c r="F12" t="inlineStr">
        <is>
          <t>Yes</t>
        </is>
      </c>
      <c r="G12" t="inlineStr">
        <is>
          <t>1</t>
        </is>
      </c>
      <c r="H12" t="inlineStr">
        <is>
          <t>No</t>
        </is>
      </c>
      <c r="I12" t="inlineStr">
        <is>
          <t>No</t>
        </is>
      </c>
      <c r="J12" t="inlineStr">
        <is>
          <t>0</t>
        </is>
      </c>
      <c r="K12" t="inlineStr">
        <is>
          <t>Bowden, John William, 1798-1844.</t>
        </is>
      </c>
      <c r="L12" t="inlineStr">
        <is>
          <t>London : J.G.F. &amp; J. Rivington, 1840.</t>
        </is>
      </c>
      <c r="M12" t="inlineStr">
        <is>
          <t>1840</t>
        </is>
      </c>
      <c r="O12" t="inlineStr">
        <is>
          <t>eng</t>
        </is>
      </c>
      <c r="P12" t="inlineStr">
        <is>
          <t>enk</t>
        </is>
      </c>
      <c r="R12" t="inlineStr">
        <is>
          <t xml:space="preserve">BX </t>
        </is>
      </c>
      <c r="S12" t="n">
        <v>3</v>
      </c>
      <c r="T12" t="n">
        <v>5</v>
      </c>
      <c r="U12" t="inlineStr">
        <is>
          <t>2002-11-26</t>
        </is>
      </c>
      <c r="V12" t="inlineStr">
        <is>
          <t>2002-11-26</t>
        </is>
      </c>
      <c r="W12" t="inlineStr">
        <is>
          <t>1992-06-05</t>
        </is>
      </c>
      <c r="X12" t="inlineStr">
        <is>
          <t>1992-06-05</t>
        </is>
      </c>
      <c r="Y12" t="n">
        <v>95</v>
      </c>
      <c r="Z12" t="n">
        <v>66</v>
      </c>
      <c r="AA12" t="n">
        <v>98</v>
      </c>
      <c r="AB12" t="n">
        <v>1</v>
      </c>
      <c r="AC12" t="n">
        <v>2</v>
      </c>
      <c r="AD12" t="n">
        <v>12</v>
      </c>
      <c r="AE12" t="n">
        <v>13</v>
      </c>
      <c r="AF12" t="n">
        <v>1</v>
      </c>
      <c r="AG12" t="n">
        <v>1</v>
      </c>
      <c r="AH12" t="n">
        <v>3</v>
      </c>
      <c r="AI12" t="n">
        <v>3</v>
      </c>
      <c r="AJ12" t="n">
        <v>9</v>
      </c>
      <c r="AK12" t="n">
        <v>9</v>
      </c>
      <c r="AL12" t="n">
        <v>0</v>
      </c>
      <c r="AM12" t="n">
        <v>1</v>
      </c>
      <c r="AN12" t="n">
        <v>0</v>
      </c>
      <c r="AO12" t="n">
        <v>0</v>
      </c>
      <c r="AP12" t="inlineStr">
        <is>
          <t>Yes</t>
        </is>
      </c>
      <c r="AQ12" t="inlineStr">
        <is>
          <t>No</t>
        </is>
      </c>
      <c r="AR12">
        <f>HYPERLINK("http://catalog.hathitrust.org/Record/008734711","HathiTrust Record")</f>
        <v/>
      </c>
      <c r="AS12">
        <f>HYPERLINK("https://creighton-primo.hosted.exlibrisgroup.com/primo-explore/search?tab=default_tab&amp;search_scope=EVERYTHING&amp;vid=01CRU&amp;lang=en_US&amp;offset=0&amp;query=any,contains,991004432379702656","Catalog Record")</f>
        <v/>
      </c>
      <c r="AT12">
        <f>HYPERLINK("http://www.worldcat.org/oclc/3428546","WorldCat Record")</f>
        <v/>
      </c>
      <c r="AU12" t="inlineStr">
        <is>
          <t>4277319:eng</t>
        </is>
      </c>
      <c r="AV12" t="inlineStr">
        <is>
          <t>3428546</t>
        </is>
      </c>
      <c r="AW12" t="inlineStr">
        <is>
          <t>991004432379702656</t>
        </is>
      </c>
      <c r="AX12" t="inlineStr">
        <is>
          <t>991004432379702656</t>
        </is>
      </c>
      <c r="AY12" t="inlineStr">
        <is>
          <t>2258409200002656</t>
        </is>
      </c>
      <c r="AZ12" t="inlineStr">
        <is>
          <t>BOOK</t>
        </is>
      </c>
      <c r="BC12" t="inlineStr">
        <is>
          <t>32285001227353</t>
        </is>
      </c>
      <c r="BD12" t="inlineStr">
        <is>
          <t>893618665</t>
        </is>
      </c>
    </row>
    <row r="13">
      <c r="A13" t="inlineStr">
        <is>
          <t>No</t>
        </is>
      </c>
      <c r="B13" t="inlineStr">
        <is>
          <t>BX1210 .P46 1984</t>
        </is>
      </c>
      <c r="C13" t="inlineStr">
        <is>
          <t>0                      BX 1210000P  46          1984</t>
        </is>
      </c>
      <c r="D13" t="inlineStr">
        <is>
          <t>Pope and bishops : the papal monarchy in the twelfth and thirteenth centuries / Kenneth Pennington.</t>
        </is>
      </c>
      <c r="F13" t="inlineStr">
        <is>
          <t>No</t>
        </is>
      </c>
      <c r="G13" t="inlineStr">
        <is>
          <t>1</t>
        </is>
      </c>
      <c r="H13" t="inlineStr">
        <is>
          <t>No</t>
        </is>
      </c>
      <c r="I13" t="inlineStr">
        <is>
          <t>No</t>
        </is>
      </c>
      <c r="J13" t="inlineStr">
        <is>
          <t>0</t>
        </is>
      </c>
      <c r="K13" t="inlineStr">
        <is>
          <t>Pennington, Kenneth.</t>
        </is>
      </c>
      <c r="L13" t="inlineStr">
        <is>
          <t>[Philadelphia] : University of Pennsylvania Press, c1984.</t>
        </is>
      </c>
      <c r="M13" t="inlineStr">
        <is>
          <t>1984</t>
        </is>
      </c>
      <c r="O13" t="inlineStr">
        <is>
          <t>eng</t>
        </is>
      </c>
      <c r="P13" t="inlineStr">
        <is>
          <t>pau</t>
        </is>
      </c>
      <c r="Q13" t="inlineStr">
        <is>
          <t>The Middle Ages</t>
        </is>
      </c>
      <c r="R13" t="inlineStr">
        <is>
          <t xml:space="preserve">BX </t>
        </is>
      </c>
      <c r="S13" t="n">
        <v>4</v>
      </c>
      <c r="T13" t="n">
        <v>4</v>
      </c>
      <c r="U13" t="inlineStr">
        <is>
          <t>2003-03-06</t>
        </is>
      </c>
      <c r="V13" t="inlineStr">
        <is>
          <t>2003-03-06</t>
        </is>
      </c>
      <c r="W13" t="inlineStr">
        <is>
          <t>1992-06-08</t>
        </is>
      </c>
      <c r="X13" t="inlineStr">
        <is>
          <t>1992-06-08</t>
        </is>
      </c>
      <c r="Y13" t="n">
        <v>516</v>
      </c>
      <c r="Z13" t="n">
        <v>416</v>
      </c>
      <c r="AA13" t="n">
        <v>582</v>
      </c>
      <c r="AB13" t="n">
        <v>4</v>
      </c>
      <c r="AC13" t="n">
        <v>4</v>
      </c>
      <c r="AD13" t="n">
        <v>26</v>
      </c>
      <c r="AE13" t="n">
        <v>31</v>
      </c>
      <c r="AF13" t="n">
        <v>5</v>
      </c>
      <c r="AG13" t="n">
        <v>10</v>
      </c>
      <c r="AH13" t="n">
        <v>9</v>
      </c>
      <c r="AI13" t="n">
        <v>10</v>
      </c>
      <c r="AJ13" t="n">
        <v>17</v>
      </c>
      <c r="AK13" t="n">
        <v>17</v>
      </c>
      <c r="AL13" t="n">
        <v>2</v>
      </c>
      <c r="AM13" t="n">
        <v>2</v>
      </c>
      <c r="AN13" t="n">
        <v>0</v>
      </c>
      <c r="AO13" t="n">
        <v>0</v>
      </c>
      <c r="AP13" t="inlineStr">
        <is>
          <t>No</t>
        </is>
      </c>
      <c r="AQ13" t="inlineStr">
        <is>
          <t>Yes</t>
        </is>
      </c>
      <c r="AR13">
        <f>HYPERLINK("http://catalog.hathitrust.org/Record/000169093","HathiTrust Record")</f>
        <v/>
      </c>
      <c r="AS13">
        <f>HYPERLINK("https://creighton-primo.hosted.exlibrisgroup.com/primo-explore/search?tab=default_tab&amp;search_scope=EVERYTHING&amp;vid=01CRU&amp;lang=en_US&amp;offset=0&amp;query=any,contains,991000307399702656","Catalog Record")</f>
        <v/>
      </c>
      <c r="AT13">
        <f>HYPERLINK("http://www.worldcat.org/oclc/10072343","WorldCat Record")</f>
        <v/>
      </c>
      <c r="AU13" t="inlineStr">
        <is>
          <t>890031991:eng</t>
        </is>
      </c>
      <c r="AV13" t="inlineStr">
        <is>
          <t>10072343</t>
        </is>
      </c>
      <c r="AW13" t="inlineStr">
        <is>
          <t>991000307399702656</t>
        </is>
      </c>
      <c r="AX13" t="inlineStr">
        <is>
          <t>991000307399702656</t>
        </is>
      </c>
      <c r="AY13" t="inlineStr">
        <is>
          <t>2264776820002656</t>
        </is>
      </c>
      <c r="AZ13" t="inlineStr">
        <is>
          <t>BOOK</t>
        </is>
      </c>
      <c r="BB13" t="inlineStr">
        <is>
          <t>9780812279184</t>
        </is>
      </c>
      <c r="BC13" t="inlineStr">
        <is>
          <t>32285001227429</t>
        </is>
      </c>
      <c r="BD13" t="inlineStr">
        <is>
          <t>893884287</t>
        </is>
      </c>
    </row>
    <row r="14">
      <c r="A14" t="inlineStr">
        <is>
          <t>No</t>
        </is>
      </c>
      <c r="B14" t="inlineStr">
        <is>
          <t>BX1226 .B6713 1973</t>
        </is>
      </c>
      <c r="C14" t="inlineStr">
        <is>
          <t>0                      BX 1226000B  6713        1973</t>
        </is>
      </c>
      <c r="D14" t="inlineStr">
        <is>
          <t>Boso's life of Alexander III / Introd. by Peter Munz. Translated by G. M. Ellis.</t>
        </is>
      </c>
      <c r="F14" t="inlineStr">
        <is>
          <t>No</t>
        </is>
      </c>
      <c r="G14" t="inlineStr">
        <is>
          <t>1</t>
        </is>
      </c>
      <c r="H14" t="inlineStr">
        <is>
          <t>No</t>
        </is>
      </c>
      <c r="I14" t="inlineStr">
        <is>
          <t>No</t>
        </is>
      </c>
      <c r="J14" t="inlineStr">
        <is>
          <t>0</t>
        </is>
      </c>
      <c r="K14" t="inlineStr">
        <is>
          <t>Boso, Cardinal, -1178?</t>
        </is>
      </c>
      <c r="L14" t="inlineStr">
        <is>
          <t>Totowa, N.J., Rowman and Littlefield [1973]</t>
        </is>
      </c>
      <c r="M14" t="inlineStr">
        <is>
          <t>1973</t>
        </is>
      </c>
      <c r="O14" t="inlineStr">
        <is>
          <t>eng</t>
        </is>
      </c>
      <c r="P14" t="inlineStr">
        <is>
          <t>nju</t>
        </is>
      </c>
      <c r="R14" t="inlineStr">
        <is>
          <t xml:space="preserve">BX </t>
        </is>
      </c>
      <c r="S14" t="n">
        <v>3</v>
      </c>
      <c r="T14" t="n">
        <v>3</v>
      </c>
      <c r="U14" t="inlineStr">
        <is>
          <t>2008-11-09</t>
        </is>
      </c>
      <c r="V14" t="inlineStr">
        <is>
          <t>2008-11-09</t>
        </is>
      </c>
      <c r="W14" t="inlineStr">
        <is>
          <t>1992-06-08</t>
        </is>
      </c>
      <c r="X14" t="inlineStr">
        <is>
          <t>1992-06-08</t>
        </is>
      </c>
      <c r="Y14" t="n">
        <v>373</v>
      </c>
      <c r="Z14" t="n">
        <v>349</v>
      </c>
      <c r="AA14" t="n">
        <v>406</v>
      </c>
      <c r="AB14" t="n">
        <v>3</v>
      </c>
      <c r="AC14" t="n">
        <v>4</v>
      </c>
      <c r="AD14" t="n">
        <v>20</v>
      </c>
      <c r="AE14" t="n">
        <v>26</v>
      </c>
      <c r="AF14" t="n">
        <v>6</v>
      </c>
      <c r="AG14" t="n">
        <v>7</v>
      </c>
      <c r="AH14" t="n">
        <v>8</v>
      </c>
      <c r="AI14" t="n">
        <v>9</v>
      </c>
      <c r="AJ14" t="n">
        <v>11</v>
      </c>
      <c r="AK14" t="n">
        <v>16</v>
      </c>
      <c r="AL14" t="n">
        <v>2</v>
      </c>
      <c r="AM14" t="n">
        <v>3</v>
      </c>
      <c r="AN14" t="n">
        <v>0</v>
      </c>
      <c r="AO14" t="n">
        <v>0</v>
      </c>
      <c r="AP14" t="inlineStr">
        <is>
          <t>No</t>
        </is>
      </c>
      <c r="AQ14" t="inlineStr">
        <is>
          <t>Yes</t>
        </is>
      </c>
      <c r="AR14">
        <f>HYPERLINK("http://catalog.hathitrust.org/Record/001415820","HathiTrust Record")</f>
        <v/>
      </c>
      <c r="AS14">
        <f>HYPERLINK("https://creighton-primo.hosted.exlibrisgroup.com/primo-explore/search?tab=default_tab&amp;search_scope=EVERYTHING&amp;vid=01CRU&amp;lang=en_US&amp;offset=0&amp;query=any,contains,991003044789702656","Catalog Record")</f>
        <v/>
      </c>
      <c r="AT14">
        <f>HYPERLINK("http://www.worldcat.org/oclc/605754","WorldCat Record")</f>
        <v/>
      </c>
      <c r="AU14" t="inlineStr">
        <is>
          <t>1621199:eng</t>
        </is>
      </c>
      <c r="AV14" t="inlineStr">
        <is>
          <t>605754</t>
        </is>
      </c>
      <c r="AW14" t="inlineStr">
        <is>
          <t>991003044789702656</t>
        </is>
      </c>
      <c r="AX14" t="inlineStr">
        <is>
          <t>991003044789702656</t>
        </is>
      </c>
      <c r="AY14" t="inlineStr">
        <is>
          <t>2263595500002656</t>
        </is>
      </c>
      <c r="AZ14" t="inlineStr">
        <is>
          <t>BOOK</t>
        </is>
      </c>
      <c r="BB14" t="inlineStr">
        <is>
          <t>9780874711837</t>
        </is>
      </c>
      <c r="BC14" t="inlineStr">
        <is>
          <t>32285001227452</t>
        </is>
      </c>
      <c r="BD14" t="inlineStr">
        <is>
          <t>893245965</t>
        </is>
      </c>
    </row>
    <row r="15">
      <c r="A15" t="inlineStr">
        <is>
          <t>No</t>
        </is>
      </c>
      <c r="B15" t="inlineStr">
        <is>
          <t>BX1236 .B55 1968</t>
        </is>
      </c>
      <c r="C15" t="inlineStr">
        <is>
          <t>0                      BX 1236000B  55          1968</t>
        </is>
      </c>
      <c r="D15" t="inlineStr">
        <is>
          <t>Innocent III / by L. Elliott Binns.</t>
        </is>
      </c>
      <c r="F15" t="inlineStr">
        <is>
          <t>No</t>
        </is>
      </c>
      <c r="G15" t="inlineStr">
        <is>
          <t>1</t>
        </is>
      </c>
      <c r="H15" t="inlineStr">
        <is>
          <t>No</t>
        </is>
      </c>
      <c r="I15" t="inlineStr">
        <is>
          <t>No</t>
        </is>
      </c>
      <c r="J15" t="inlineStr">
        <is>
          <t>0</t>
        </is>
      </c>
      <c r="K15" t="inlineStr">
        <is>
          <t>Elliott-Binns, Leonard Elliott, 1885-1963.</t>
        </is>
      </c>
      <c r="L15" t="inlineStr">
        <is>
          <t>[Hamden, Conn.] Archon Books, 1968.</t>
        </is>
      </c>
      <c r="M15" t="inlineStr">
        <is>
          <t>1968</t>
        </is>
      </c>
      <c r="O15" t="inlineStr">
        <is>
          <t>eng</t>
        </is>
      </c>
      <c r="P15" t="inlineStr">
        <is>
          <t>ctu</t>
        </is>
      </c>
      <c r="R15" t="inlineStr">
        <is>
          <t xml:space="preserve">BX </t>
        </is>
      </c>
      <c r="S15" t="n">
        <v>6</v>
      </c>
      <c r="T15" t="n">
        <v>6</v>
      </c>
      <c r="U15" t="inlineStr">
        <is>
          <t>1999-04-11</t>
        </is>
      </c>
      <c r="V15" t="inlineStr">
        <is>
          <t>1999-04-11</t>
        </is>
      </c>
      <c r="W15" t="inlineStr">
        <is>
          <t>1992-01-06</t>
        </is>
      </c>
      <c r="X15" t="inlineStr">
        <is>
          <t>1992-01-06</t>
        </is>
      </c>
      <c r="Y15" t="n">
        <v>418</v>
      </c>
      <c r="Z15" t="n">
        <v>366</v>
      </c>
      <c r="AA15" t="n">
        <v>482</v>
      </c>
      <c r="AB15" t="n">
        <v>4</v>
      </c>
      <c r="AC15" t="n">
        <v>4</v>
      </c>
      <c r="AD15" t="n">
        <v>22</v>
      </c>
      <c r="AE15" t="n">
        <v>28</v>
      </c>
      <c r="AF15" t="n">
        <v>7</v>
      </c>
      <c r="AG15" t="n">
        <v>9</v>
      </c>
      <c r="AH15" t="n">
        <v>5</v>
      </c>
      <c r="AI15" t="n">
        <v>7</v>
      </c>
      <c r="AJ15" t="n">
        <v>10</v>
      </c>
      <c r="AK15" t="n">
        <v>14</v>
      </c>
      <c r="AL15" t="n">
        <v>2</v>
      </c>
      <c r="AM15" t="n">
        <v>2</v>
      </c>
      <c r="AN15" t="n">
        <v>0</v>
      </c>
      <c r="AO15" t="n">
        <v>0</v>
      </c>
      <c r="AP15" t="inlineStr">
        <is>
          <t>No</t>
        </is>
      </c>
      <c r="AQ15" t="inlineStr">
        <is>
          <t>Yes</t>
        </is>
      </c>
      <c r="AR15">
        <f>HYPERLINK("http://catalog.hathitrust.org/Record/008003628","HathiTrust Record")</f>
        <v/>
      </c>
      <c r="AS15">
        <f>HYPERLINK("https://creighton-primo.hosted.exlibrisgroup.com/primo-explore/search?tab=default_tab&amp;search_scope=EVERYTHING&amp;vid=01CRU&amp;lang=en_US&amp;offset=0&amp;query=any,contains,991002776269702656","Catalog Record")</f>
        <v/>
      </c>
      <c r="AT15">
        <f>HYPERLINK("http://www.worldcat.org/oclc/438886","WorldCat Record")</f>
        <v/>
      </c>
      <c r="AU15" t="inlineStr">
        <is>
          <t>1562395:eng</t>
        </is>
      </c>
      <c r="AV15" t="inlineStr">
        <is>
          <t>438886</t>
        </is>
      </c>
      <c r="AW15" t="inlineStr">
        <is>
          <t>991002776269702656</t>
        </is>
      </c>
      <c r="AX15" t="inlineStr">
        <is>
          <t>991002776269702656</t>
        </is>
      </c>
      <c r="AY15" t="inlineStr">
        <is>
          <t>2265260730002656</t>
        </is>
      </c>
      <c r="AZ15" t="inlineStr">
        <is>
          <t>BOOK</t>
        </is>
      </c>
      <c r="BC15" t="inlineStr">
        <is>
          <t>32285000883230</t>
        </is>
      </c>
      <c r="BD15" t="inlineStr">
        <is>
          <t>893698253</t>
        </is>
      </c>
    </row>
    <row r="16">
      <c r="A16" t="inlineStr">
        <is>
          <t>No</t>
        </is>
      </c>
      <c r="B16" t="inlineStr">
        <is>
          <t>BX1236 .C5 1941</t>
        </is>
      </c>
      <c r="C16" t="inlineStr">
        <is>
          <t>0                      BX 1236000C  5           1941</t>
        </is>
      </c>
      <c r="D16" t="inlineStr">
        <is>
          <t>Pope Innocent III and his times.</t>
        </is>
      </c>
      <c r="F16" t="inlineStr">
        <is>
          <t>No</t>
        </is>
      </c>
      <c r="G16" t="inlineStr">
        <is>
          <t>1</t>
        </is>
      </c>
      <c r="H16" t="inlineStr">
        <is>
          <t>No</t>
        </is>
      </c>
      <c r="I16" t="inlineStr">
        <is>
          <t>No</t>
        </is>
      </c>
      <c r="J16" t="inlineStr">
        <is>
          <t>0</t>
        </is>
      </c>
      <c r="K16" t="inlineStr">
        <is>
          <t>Clayton, Joseph, 1868-</t>
        </is>
      </c>
      <c r="L16" t="inlineStr">
        <is>
          <t>Milwaukee : The Bruce publishing company, [c1941]</t>
        </is>
      </c>
      <c r="M16" t="inlineStr">
        <is>
          <t>1941</t>
        </is>
      </c>
      <c r="O16" t="inlineStr">
        <is>
          <t>eng</t>
        </is>
      </c>
      <c r="P16" t="inlineStr">
        <is>
          <t xml:space="preserve">xx </t>
        </is>
      </c>
      <c r="Q16" t="inlineStr">
        <is>
          <t>Science and culture series</t>
        </is>
      </c>
      <c r="R16" t="inlineStr">
        <is>
          <t xml:space="preserve">BX </t>
        </is>
      </c>
      <c r="S16" t="n">
        <v>3</v>
      </c>
      <c r="T16" t="n">
        <v>3</v>
      </c>
      <c r="U16" t="inlineStr">
        <is>
          <t>1998-10-11</t>
        </is>
      </c>
      <c r="V16" t="inlineStr">
        <is>
          <t>1998-10-11</t>
        </is>
      </c>
      <c r="W16" t="inlineStr">
        <is>
          <t>1992-02-11</t>
        </is>
      </c>
      <c r="X16" t="inlineStr">
        <is>
          <t>1992-02-11</t>
        </is>
      </c>
      <c r="Y16" t="n">
        <v>417</v>
      </c>
      <c r="Z16" t="n">
        <v>393</v>
      </c>
      <c r="AA16" t="n">
        <v>399</v>
      </c>
      <c r="AB16" t="n">
        <v>6</v>
      </c>
      <c r="AC16" t="n">
        <v>6</v>
      </c>
      <c r="AD16" t="n">
        <v>37</v>
      </c>
      <c r="AE16" t="n">
        <v>37</v>
      </c>
      <c r="AF16" t="n">
        <v>12</v>
      </c>
      <c r="AG16" t="n">
        <v>12</v>
      </c>
      <c r="AH16" t="n">
        <v>9</v>
      </c>
      <c r="AI16" t="n">
        <v>9</v>
      </c>
      <c r="AJ16" t="n">
        <v>24</v>
      </c>
      <c r="AK16" t="n">
        <v>24</v>
      </c>
      <c r="AL16" t="n">
        <v>3</v>
      </c>
      <c r="AM16" t="n">
        <v>3</v>
      </c>
      <c r="AN16" t="n">
        <v>0</v>
      </c>
      <c r="AO16" t="n">
        <v>0</v>
      </c>
      <c r="AP16" t="inlineStr">
        <is>
          <t>Yes</t>
        </is>
      </c>
      <c r="AQ16" t="inlineStr">
        <is>
          <t>No</t>
        </is>
      </c>
      <c r="AR16">
        <f>HYPERLINK("http://catalog.hathitrust.org/Record/001401228","HathiTrust Record")</f>
        <v/>
      </c>
      <c r="AS16">
        <f>HYPERLINK("https://creighton-primo.hosted.exlibrisgroup.com/primo-explore/search?tab=default_tab&amp;search_scope=EVERYTHING&amp;vid=01CRU&amp;lang=en_US&amp;offset=0&amp;query=any,contains,991002649959702656","Catalog Record")</f>
        <v/>
      </c>
      <c r="AT16">
        <f>HYPERLINK("http://www.worldcat.org/oclc/386774","WorldCat Record")</f>
        <v/>
      </c>
      <c r="AU16" t="inlineStr">
        <is>
          <t>1512475:eng</t>
        </is>
      </c>
      <c r="AV16" t="inlineStr">
        <is>
          <t>386774</t>
        </is>
      </c>
      <c r="AW16" t="inlineStr">
        <is>
          <t>991002649959702656</t>
        </is>
      </c>
      <c r="AX16" t="inlineStr">
        <is>
          <t>991002649959702656</t>
        </is>
      </c>
      <c r="AY16" t="inlineStr">
        <is>
          <t>2259584640002656</t>
        </is>
      </c>
      <c r="AZ16" t="inlineStr">
        <is>
          <t>BOOK</t>
        </is>
      </c>
      <c r="BC16" t="inlineStr">
        <is>
          <t>32285000946342</t>
        </is>
      </c>
      <c r="BD16" t="inlineStr">
        <is>
          <t>893434113</t>
        </is>
      </c>
    </row>
    <row r="17">
      <c r="A17" t="inlineStr">
        <is>
          <t>No</t>
        </is>
      </c>
      <c r="B17" t="inlineStr">
        <is>
          <t>BX1236 .S6 1971</t>
        </is>
      </c>
      <c r="C17" t="inlineStr">
        <is>
          <t>0                      BX 1236000S  6           1971</t>
        </is>
      </c>
      <c r="D17" t="inlineStr">
        <is>
          <t>Innocent III, church defender / Charles Edward Smith.</t>
        </is>
      </c>
      <c r="F17" t="inlineStr">
        <is>
          <t>No</t>
        </is>
      </c>
      <c r="G17" t="inlineStr">
        <is>
          <t>1</t>
        </is>
      </c>
      <c r="H17" t="inlineStr">
        <is>
          <t>No</t>
        </is>
      </c>
      <c r="I17" t="inlineStr">
        <is>
          <t>No</t>
        </is>
      </c>
      <c r="J17" t="inlineStr">
        <is>
          <t>0</t>
        </is>
      </c>
      <c r="K17" t="inlineStr">
        <is>
          <t>Smith, Charles Edward, 1905-1959.</t>
        </is>
      </c>
      <c r="L17" t="inlineStr">
        <is>
          <t>Westport, Conn., Greenwood Press [1971, c1951]</t>
        </is>
      </c>
      <c r="M17" t="inlineStr">
        <is>
          <t>1971</t>
        </is>
      </c>
      <c r="O17" t="inlineStr">
        <is>
          <t>eng</t>
        </is>
      </c>
      <c r="P17" t="inlineStr">
        <is>
          <t>ctu</t>
        </is>
      </c>
      <c r="R17" t="inlineStr">
        <is>
          <t xml:space="preserve">BX </t>
        </is>
      </c>
      <c r="S17" t="n">
        <v>4</v>
      </c>
      <c r="T17" t="n">
        <v>4</v>
      </c>
      <c r="U17" t="inlineStr">
        <is>
          <t>2004-04-18</t>
        </is>
      </c>
      <c r="V17" t="inlineStr">
        <is>
          <t>2004-04-18</t>
        </is>
      </c>
      <c r="W17" t="inlineStr">
        <is>
          <t>1992-02-11</t>
        </is>
      </c>
      <c r="X17" t="inlineStr">
        <is>
          <t>1992-02-11</t>
        </is>
      </c>
      <c r="Y17" t="n">
        <v>153</v>
      </c>
      <c r="Z17" t="n">
        <v>132</v>
      </c>
      <c r="AA17" t="n">
        <v>437</v>
      </c>
      <c r="AB17" t="n">
        <v>1</v>
      </c>
      <c r="AC17" t="n">
        <v>2</v>
      </c>
      <c r="AD17" t="n">
        <v>4</v>
      </c>
      <c r="AE17" t="n">
        <v>35</v>
      </c>
      <c r="AF17" t="n">
        <v>0</v>
      </c>
      <c r="AG17" t="n">
        <v>14</v>
      </c>
      <c r="AH17" t="n">
        <v>3</v>
      </c>
      <c r="AI17" t="n">
        <v>10</v>
      </c>
      <c r="AJ17" t="n">
        <v>1</v>
      </c>
      <c r="AK17" t="n">
        <v>23</v>
      </c>
      <c r="AL17" t="n">
        <v>0</v>
      </c>
      <c r="AM17" t="n">
        <v>0</v>
      </c>
      <c r="AN17" t="n">
        <v>0</v>
      </c>
      <c r="AO17" t="n">
        <v>0</v>
      </c>
      <c r="AP17" t="inlineStr">
        <is>
          <t>No</t>
        </is>
      </c>
      <c r="AQ17" t="inlineStr">
        <is>
          <t>No</t>
        </is>
      </c>
      <c r="AS17">
        <f>HYPERLINK("https://creighton-primo.hosted.exlibrisgroup.com/primo-explore/search?tab=default_tab&amp;search_scope=EVERYTHING&amp;vid=01CRU&amp;lang=en_US&amp;offset=0&amp;query=any,contains,991001230809702656","Catalog Record")</f>
        <v/>
      </c>
      <c r="AT17">
        <f>HYPERLINK("http://www.worldcat.org/oclc/203333","WorldCat Record")</f>
        <v/>
      </c>
      <c r="AU17" t="inlineStr">
        <is>
          <t>1259415:eng</t>
        </is>
      </c>
      <c r="AV17" t="inlineStr">
        <is>
          <t>203333</t>
        </is>
      </c>
      <c r="AW17" t="inlineStr">
        <is>
          <t>991001230809702656</t>
        </is>
      </c>
      <c r="AX17" t="inlineStr">
        <is>
          <t>991001230809702656</t>
        </is>
      </c>
      <c r="AY17" t="inlineStr">
        <is>
          <t>2256130150002656</t>
        </is>
      </c>
      <c r="AZ17" t="inlineStr">
        <is>
          <t>BOOK</t>
        </is>
      </c>
      <c r="BB17" t="inlineStr">
        <is>
          <t>9780837131450</t>
        </is>
      </c>
      <c r="BC17" t="inlineStr">
        <is>
          <t>32285000956390</t>
        </is>
      </c>
      <c r="BD17" t="inlineStr">
        <is>
          <t>893885152</t>
        </is>
      </c>
    </row>
    <row r="18">
      <c r="A18" t="inlineStr">
        <is>
          <t>No</t>
        </is>
      </c>
      <c r="B18" t="inlineStr">
        <is>
          <t>BX126.2 .S25</t>
        </is>
      </c>
      <c r="C18" t="inlineStr">
        <is>
          <t>0                      BX 0126200S  25</t>
        </is>
      </c>
      <c r="D18" t="inlineStr">
        <is>
          <t>The Council of Chalcedon and the Armenian Church / Karekin Sarkissian.</t>
        </is>
      </c>
      <c r="F18" t="inlineStr">
        <is>
          <t>No</t>
        </is>
      </c>
      <c r="G18" t="inlineStr">
        <is>
          <t>1</t>
        </is>
      </c>
      <c r="H18" t="inlineStr">
        <is>
          <t>No</t>
        </is>
      </c>
      <c r="I18" t="inlineStr">
        <is>
          <t>No</t>
        </is>
      </c>
      <c r="J18" t="inlineStr">
        <is>
          <t>0</t>
        </is>
      </c>
      <c r="K18" t="inlineStr">
        <is>
          <t>Karekin I, Catholicos of Armenia, 1932-1999.</t>
        </is>
      </c>
      <c r="L18" t="inlineStr">
        <is>
          <t>London, S.P.C.K., 1965.</t>
        </is>
      </c>
      <c r="M18" t="inlineStr">
        <is>
          <t>1965</t>
        </is>
      </c>
      <c r="O18" t="inlineStr">
        <is>
          <t>eng</t>
        </is>
      </c>
      <c r="P18" t="inlineStr">
        <is>
          <t>___</t>
        </is>
      </c>
      <c r="R18" t="inlineStr">
        <is>
          <t xml:space="preserve">BX </t>
        </is>
      </c>
      <c r="S18" t="n">
        <v>6</v>
      </c>
      <c r="T18" t="n">
        <v>6</v>
      </c>
      <c r="U18" t="inlineStr">
        <is>
          <t>2001-11-06</t>
        </is>
      </c>
      <c r="V18" t="inlineStr">
        <is>
          <t>2001-11-06</t>
        </is>
      </c>
      <c r="W18" t="inlineStr">
        <is>
          <t>1992-03-26</t>
        </is>
      </c>
      <c r="X18" t="inlineStr">
        <is>
          <t>1992-03-26</t>
        </is>
      </c>
      <c r="Y18" t="n">
        <v>219</v>
      </c>
      <c r="Z18" t="n">
        <v>178</v>
      </c>
      <c r="AA18" t="n">
        <v>222</v>
      </c>
      <c r="AB18" t="n">
        <v>2</v>
      </c>
      <c r="AC18" t="n">
        <v>2</v>
      </c>
      <c r="AD18" t="n">
        <v>12</v>
      </c>
      <c r="AE18" t="n">
        <v>17</v>
      </c>
      <c r="AF18" t="n">
        <v>3</v>
      </c>
      <c r="AG18" t="n">
        <v>5</v>
      </c>
      <c r="AH18" t="n">
        <v>3</v>
      </c>
      <c r="AI18" t="n">
        <v>5</v>
      </c>
      <c r="AJ18" t="n">
        <v>8</v>
      </c>
      <c r="AK18" t="n">
        <v>10</v>
      </c>
      <c r="AL18" t="n">
        <v>1</v>
      </c>
      <c r="AM18" t="n">
        <v>1</v>
      </c>
      <c r="AN18" t="n">
        <v>0</v>
      </c>
      <c r="AO18" t="n">
        <v>0</v>
      </c>
      <c r="AP18" t="inlineStr">
        <is>
          <t>No</t>
        </is>
      </c>
      <c r="AQ18" t="inlineStr">
        <is>
          <t>Yes</t>
        </is>
      </c>
      <c r="AR18">
        <f>HYPERLINK("http://catalog.hathitrust.org/Record/001415220","HathiTrust Record")</f>
        <v/>
      </c>
      <c r="AS18">
        <f>HYPERLINK("https://creighton-primo.hosted.exlibrisgroup.com/primo-explore/search?tab=default_tab&amp;search_scope=EVERYTHING&amp;vid=01CRU&amp;lang=en_US&amp;offset=0&amp;query=any,contains,991003354179702656","Catalog Record")</f>
        <v/>
      </c>
      <c r="AT18">
        <f>HYPERLINK("http://www.worldcat.org/oclc/887307","WorldCat Record")</f>
        <v/>
      </c>
      <c r="AU18" t="inlineStr">
        <is>
          <t>8907045787:eng</t>
        </is>
      </c>
      <c r="AV18" t="inlineStr">
        <is>
          <t>887307</t>
        </is>
      </c>
      <c r="AW18" t="inlineStr">
        <is>
          <t>991003354179702656</t>
        </is>
      </c>
      <c r="AX18" t="inlineStr">
        <is>
          <t>991003354179702656</t>
        </is>
      </c>
      <c r="AY18" t="inlineStr">
        <is>
          <t>2258004270002656</t>
        </is>
      </c>
      <c r="AZ18" t="inlineStr">
        <is>
          <t>BOOK</t>
        </is>
      </c>
      <c r="BC18" t="inlineStr">
        <is>
          <t>32285001029296</t>
        </is>
      </c>
      <c r="BD18" t="inlineStr">
        <is>
          <t>893348598</t>
        </is>
      </c>
    </row>
    <row r="19">
      <c r="A19" t="inlineStr">
        <is>
          <t>No</t>
        </is>
      </c>
      <c r="B19" t="inlineStr">
        <is>
          <t>BX1294 .S84</t>
        </is>
      </c>
      <c r="C19" t="inlineStr">
        <is>
          <t>0                      BX 1294000S  84</t>
        </is>
      </c>
      <c r="D19" t="inlineStr">
        <is>
          <t>Pope Eugenius IV, the Council of Basel and the secular and ecclesiastical authorities in the Empire : the conflict over supreme authority and power in the church / by Joachim W. Stieber.</t>
        </is>
      </c>
      <c r="F19" t="inlineStr">
        <is>
          <t>No</t>
        </is>
      </c>
      <c r="G19" t="inlineStr">
        <is>
          <t>1</t>
        </is>
      </c>
      <c r="H19" t="inlineStr">
        <is>
          <t>No</t>
        </is>
      </c>
      <c r="I19" t="inlineStr">
        <is>
          <t>No</t>
        </is>
      </c>
      <c r="J19" t="inlineStr">
        <is>
          <t>0</t>
        </is>
      </c>
      <c r="K19" t="inlineStr">
        <is>
          <t>Stieber, Joachim W.</t>
        </is>
      </c>
      <c r="L19" t="inlineStr">
        <is>
          <t>Leiden : Brill, 1978.</t>
        </is>
      </c>
      <c r="M19" t="inlineStr">
        <is>
          <t>1978</t>
        </is>
      </c>
      <c r="O19" t="inlineStr">
        <is>
          <t>eng</t>
        </is>
      </c>
      <c r="P19" t="inlineStr">
        <is>
          <t xml:space="preserve">ne </t>
        </is>
      </c>
      <c r="Q19" t="inlineStr">
        <is>
          <t>Studies in the history of Christian thought ; v. 13</t>
        </is>
      </c>
      <c r="R19" t="inlineStr">
        <is>
          <t xml:space="preserve">BX </t>
        </is>
      </c>
      <c r="S19" t="n">
        <v>3</v>
      </c>
      <c r="T19" t="n">
        <v>3</v>
      </c>
      <c r="U19" t="inlineStr">
        <is>
          <t>2010-04-18</t>
        </is>
      </c>
      <c r="V19" t="inlineStr">
        <is>
          <t>2010-04-18</t>
        </is>
      </c>
      <c r="W19" t="inlineStr">
        <is>
          <t>1992-06-08</t>
        </is>
      </c>
      <c r="X19" t="inlineStr">
        <is>
          <t>1992-06-08</t>
        </is>
      </c>
      <c r="Y19" t="n">
        <v>368</v>
      </c>
      <c r="Z19" t="n">
        <v>256</v>
      </c>
      <c r="AA19" t="n">
        <v>257</v>
      </c>
      <c r="AB19" t="n">
        <v>5</v>
      </c>
      <c r="AC19" t="n">
        <v>5</v>
      </c>
      <c r="AD19" t="n">
        <v>20</v>
      </c>
      <c r="AE19" t="n">
        <v>20</v>
      </c>
      <c r="AF19" t="n">
        <v>4</v>
      </c>
      <c r="AG19" t="n">
        <v>4</v>
      </c>
      <c r="AH19" t="n">
        <v>5</v>
      </c>
      <c r="AI19" t="n">
        <v>5</v>
      </c>
      <c r="AJ19" t="n">
        <v>14</v>
      </c>
      <c r="AK19" t="n">
        <v>14</v>
      </c>
      <c r="AL19" t="n">
        <v>3</v>
      </c>
      <c r="AM19" t="n">
        <v>3</v>
      </c>
      <c r="AN19" t="n">
        <v>0</v>
      </c>
      <c r="AO19" t="n">
        <v>0</v>
      </c>
      <c r="AP19" t="inlineStr">
        <is>
          <t>No</t>
        </is>
      </c>
      <c r="AQ19" t="inlineStr">
        <is>
          <t>No</t>
        </is>
      </c>
      <c r="AS19">
        <f>HYPERLINK("https://creighton-primo.hosted.exlibrisgroup.com/primo-explore/search?tab=default_tab&amp;search_scope=EVERYTHING&amp;vid=01CRU&amp;lang=en_US&amp;offset=0&amp;query=any,contains,991004693399702656","Catalog Record")</f>
        <v/>
      </c>
      <c r="AT19">
        <f>HYPERLINK("http://www.worldcat.org/oclc/4635849","WorldCat Record")</f>
        <v/>
      </c>
      <c r="AU19" t="inlineStr">
        <is>
          <t>795181612:eng</t>
        </is>
      </c>
      <c r="AV19" t="inlineStr">
        <is>
          <t>4635849</t>
        </is>
      </c>
      <c r="AW19" t="inlineStr">
        <is>
          <t>991004693399702656</t>
        </is>
      </c>
      <c r="AX19" t="inlineStr">
        <is>
          <t>991004693399702656</t>
        </is>
      </c>
      <c r="AY19" t="inlineStr">
        <is>
          <t>2257213520002656</t>
        </is>
      </c>
      <c r="AZ19" t="inlineStr">
        <is>
          <t>BOOK</t>
        </is>
      </c>
      <c r="BB19" t="inlineStr">
        <is>
          <t>9789004052406</t>
        </is>
      </c>
      <c r="BC19" t="inlineStr">
        <is>
          <t>32285001227551</t>
        </is>
      </c>
      <c r="BD19" t="inlineStr">
        <is>
          <t>893795162</t>
        </is>
      </c>
    </row>
    <row r="20">
      <c r="A20" t="inlineStr">
        <is>
          <t>No</t>
        </is>
      </c>
      <c r="B20" t="inlineStr">
        <is>
          <t>BX1304 .C54 1995</t>
        </is>
      </c>
      <c r="C20" t="inlineStr">
        <is>
          <t>0                      BX 1304000C  54          1995</t>
        </is>
      </c>
      <c r="D20" t="inlineStr">
        <is>
          <t>Las puertas des infierno : la historia de la iglesia jamás contada / Ricardo de la Cierva.</t>
        </is>
      </c>
      <c r="F20" t="inlineStr">
        <is>
          <t>No</t>
        </is>
      </c>
      <c r="G20" t="inlineStr">
        <is>
          <t>1</t>
        </is>
      </c>
      <c r="H20" t="inlineStr">
        <is>
          <t>No</t>
        </is>
      </c>
      <c r="I20" t="inlineStr">
        <is>
          <t>No</t>
        </is>
      </c>
      <c r="J20" t="inlineStr">
        <is>
          <t>0</t>
        </is>
      </c>
      <c r="K20" t="inlineStr">
        <is>
          <t>Cierva, Ricardo de la, 1926-2015.</t>
        </is>
      </c>
      <c r="L20" t="inlineStr">
        <is>
          <t>Madridejos : Editorial Fénix, 1995.</t>
        </is>
      </c>
      <c r="M20" t="inlineStr">
        <is>
          <t>1995</t>
        </is>
      </c>
      <c r="O20" t="inlineStr">
        <is>
          <t>spa</t>
        </is>
      </c>
      <c r="P20" t="inlineStr">
        <is>
          <t xml:space="preserve">sp </t>
        </is>
      </c>
      <c r="R20" t="inlineStr">
        <is>
          <t xml:space="preserve">BX </t>
        </is>
      </c>
      <c r="S20" t="n">
        <v>0</v>
      </c>
      <c r="T20" t="n">
        <v>0</v>
      </c>
      <c r="U20" t="inlineStr">
        <is>
          <t>2001-08-27</t>
        </is>
      </c>
      <c r="V20" t="inlineStr">
        <is>
          <t>2001-08-27</t>
        </is>
      </c>
      <c r="W20" t="inlineStr">
        <is>
          <t>1996-11-14</t>
        </is>
      </c>
      <c r="X20" t="inlineStr">
        <is>
          <t>1996-11-14</t>
        </is>
      </c>
      <c r="Y20" t="n">
        <v>60</v>
      </c>
      <c r="Z20" t="n">
        <v>47</v>
      </c>
      <c r="AA20" t="n">
        <v>49</v>
      </c>
      <c r="AB20" t="n">
        <v>1</v>
      </c>
      <c r="AC20" t="n">
        <v>1</v>
      </c>
      <c r="AD20" t="n">
        <v>12</v>
      </c>
      <c r="AE20" t="n">
        <v>12</v>
      </c>
      <c r="AF20" t="n">
        <v>1</v>
      </c>
      <c r="AG20" t="n">
        <v>1</v>
      </c>
      <c r="AH20" t="n">
        <v>3</v>
      </c>
      <c r="AI20" t="n">
        <v>3</v>
      </c>
      <c r="AJ20" t="n">
        <v>10</v>
      </c>
      <c r="AK20" t="n">
        <v>10</v>
      </c>
      <c r="AL20" t="n">
        <v>0</v>
      </c>
      <c r="AM20" t="n">
        <v>0</v>
      </c>
      <c r="AN20" t="n">
        <v>0</v>
      </c>
      <c r="AO20" t="n">
        <v>0</v>
      </c>
      <c r="AP20" t="inlineStr">
        <is>
          <t>No</t>
        </is>
      </c>
      <c r="AQ20" t="inlineStr">
        <is>
          <t>Yes</t>
        </is>
      </c>
      <c r="AR20">
        <f>HYPERLINK("http://catalog.hathitrust.org/Record/102794220","HathiTrust Record")</f>
        <v/>
      </c>
      <c r="AS20">
        <f>HYPERLINK("https://creighton-primo.hosted.exlibrisgroup.com/primo-explore/search?tab=default_tab&amp;search_scope=EVERYTHING&amp;vid=01CRU&amp;lang=en_US&amp;offset=0&amp;query=any,contains,991002652129702656","Catalog Record")</f>
        <v/>
      </c>
      <c r="AT20">
        <f>HYPERLINK("http://www.worldcat.org/oclc/34688835","WorldCat Record")</f>
        <v/>
      </c>
      <c r="AU20" t="inlineStr">
        <is>
          <t>8960565283:spa</t>
        </is>
      </c>
      <c r="AV20" t="inlineStr">
        <is>
          <t>34688835</t>
        </is>
      </c>
      <c r="AW20" t="inlineStr">
        <is>
          <t>991002652129702656</t>
        </is>
      </c>
      <c r="AX20" t="inlineStr">
        <is>
          <t>991002652129702656</t>
        </is>
      </c>
      <c r="AY20" t="inlineStr">
        <is>
          <t>2265115570002656</t>
        </is>
      </c>
      <c r="AZ20" t="inlineStr">
        <is>
          <t>BOOK</t>
        </is>
      </c>
      <c r="BB20" t="inlineStr">
        <is>
          <t>9788488787101</t>
        </is>
      </c>
      <c r="BC20" t="inlineStr">
        <is>
          <t>32285002372836</t>
        </is>
      </c>
      <c r="BD20" t="inlineStr">
        <is>
          <t>893804853</t>
        </is>
      </c>
    </row>
    <row r="21">
      <c r="A21" t="inlineStr">
        <is>
          <t>No</t>
        </is>
      </c>
      <c r="B21" t="inlineStr">
        <is>
          <t>BX1305 .L45 1929</t>
        </is>
      </c>
      <c r="C21" t="inlineStr">
        <is>
          <t>0                      BX 1305000L  45          1929</t>
        </is>
      </c>
      <c r="D21" t="inlineStr">
        <is>
          <t>The church in modern times, 1447-1789 / by A. Leman ; translated by E. Cowell.</t>
        </is>
      </c>
      <c r="F21" t="inlineStr">
        <is>
          <t>No</t>
        </is>
      </c>
      <c r="G21" t="inlineStr">
        <is>
          <t>1</t>
        </is>
      </c>
      <c r="H21" t="inlineStr">
        <is>
          <t>No</t>
        </is>
      </c>
      <c r="I21" t="inlineStr">
        <is>
          <t>No</t>
        </is>
      </c>
      <c r="J21" t="inlineStr">
        <is>
          <t>0</t>
        </is>
      </c>
      <c r="K21" t="inlineStr">
        <is>
          <t>Leman, A. (Auguste), 1879-</t>
        </is>
      </c>
      <c r="L21" t="inlineStr">
        <is>
          <t>London and Edinburgh : Sands &amp; company ; St. Louis, Mo. : B. Herder book company, [1929]</t>
        </is>
      </c>
      <c r="M21" t="inlineStr">
        <is>
          <t>1929</t>
        </is>
      </c>
      <c r="O21" t="inlineStr">
        <is>
          <t>eng</t>
        </is>
      </c>
      <c r="P21" t="inlineStr">
        <is>
          <t>enk</t>
        </is>
      </c>
      <c r="Q21" t="inlineStr">
        <is>
          <t>Catholic library of religious knowledge. III</t>
        </is>
      </c>
      <c r="R21" t="inlineStr">
        <is>
          <t xml:space="preserve">BX </t>
        </is>
      </c>
      <c r="S21" t="n">
        <v>3</v>
      </c>
      <c r="T21" t="n">
        <v>3</v>
      </c>
      <c r="U21" t="inlineStr">
        <is>
          <t>1996-08-25</t>
        </is>
      </c>
      <c r="V21" t="inlineStr">
        <is>
          <t>1996-08-25</t>
        </is>
      </c>
      <c r="W21" t="inlineStr">
        <is>
          <t>1992-06-08</t>
        </is>
      </c>
      <c r="X21" t="inlineStr">
        <is>
          <t>1992-06-08</t>
        </is>
      </c>
      <c r="Y21" t="n">
        <v>69</v>
      </c>
      <c r="Z21" t="n">
        <v>52</v>
      </c>
      <c r="AA21" t="n">
        <v>52</v>
      </c>
      <c r="AB21" t="n">
        <v>1</v>
      </c>
      <c r="AC21" t="n">
        <v>1</v>
      </c>
      <c r="AD21" t="n">
        <v>12</v>
      </c>
      <c r="AE21" t="n">
        <v>12</v>
      </c>
      <c r="AF21" t="n">
        <v>1</v>
      </c>
      <c r="AG21" t="n">
        <v>1</v>
      </c>
      <c r="AH21" t="n">
        <v>5</v>
      </c>
      <c r="AI21" t="n">
        <v>5</v>
      </c>
      <c r="AJ21" t="n">
        <v>8</v>
      </c>
      <c r="AK21" t="n">
        <v>8</v>
      </c>
      <c r="AL21" t="n">
        <v>0</v>
      </c>
      <c r="AM21" t="n">
        <v>0</v>
      </c>
      <c r="AN21" t="n">
        <v>0</v>
      </c>
      <c r="AO21" t="n">
        <v>0</v>
      </c>
      <c r="AP21" t="inlineStr">
        <is>
          <t>No</t>
        </is>
      </c>
      <c r="AQ21" t="inlineStr">
        <is>
          <t>No</t>
        </is>
      </c>
      <c r="AS21">
        <f>HYPERLINK("https://creighton-primo.hosted.exlibrisgroup.com/primo-explore/search?tab=default_tab&amp;search_scope=EVERYTHING&amp;vid=01CRU&amp;lang=en_US&amp;offset=0&amp;query=any,contains,991004578039702656","Catalog Record")</f>
        <v/>
      </c>
      <c r="AT21">
        <f>HYPERLINK("http://www.worldcat.org/oclc/4053436","WorldCat Record")</f>
        <v/>
      </c>
      <c r="AU21" t="inlineStr">
        <is>
          <t>13632126:eng</t>
        </is>
      </c>
      <c r="AV21" t="inlineStr">
        <is>
          <t>4053436</t>
        </is>
      </c>
      <c r="AW21" t="inlineStr">
        <is>
          <t>991004578039702656</t>
        </is>
      </c>
      <c r="AX21" t="inlineStr">
        <is>
          <t>991004578039702656</t>
        </is>
      </c>
      <c r="AY21" t="inlineStr">
        <is>
          <t>2271556500002656</t>
        </is>
      </c>
      <c r="AZ21" t="inlineStr">
        <is>
          <t>BOOK</t>
        </is>
      </c>
      <c r="BC21" t="inlineStr">
        <is>
          <t>32285001227627</t>
        </is>
      </c>
      <c r="BD21" t="inlineStr">
        <is>
          <t>893795008</t>
        </is>
      </c>
    </row>
    <row r="22">
      <c r="A22" t="inlineStr">
        <is>
          <t>No</t>
        </is>
      </c>
      <c r="B22" t="inlineStr">
        <is>
          <t>BX1308 .A38 1959</t>
        </is>
      </c>
      <c r="C22" t="inlineStr">
        <is>
          <t>0                      BX 1308000A  38          1959</t>
        </is>
      </c>
      <c r="D22" t="inlineStr">
        <is>
          <t>Memoirs of a Renaissance Pope : the commentaries of Pius II, an abridgement / Translated by Florence A. Gragg. Edited with introd. by Leona C. Gabel. Illus. selected by Ruth Olitzky Rubinstein.</t>
        </is>
      </c>
      <c r="F22" t="inlineStr">
        <is>
          <t>No</t>
        </is>
      </c>
      <c r="G22" t="inlineStr">
        <is>
          <t>1</t>
        </is>
      </c>
      <c r="H22" t="inlineStr">
        <is>
          <t>No</t>
        </is>
      </c>
      <c r="I22" t="inlineStr">
        <is>
          <t>No</t>
        </is>
      </c>
      <c r="J22" t="inlineStr">
        <is>
          <t>0</t>
        </is>
      </c>
      <c r="K22" t="inlineStr">
        <is>
          <t>Pius II, Pope, 1405-1464.</t>
        </is>
      </c>
      <c r="L22" t="inlineStr">
        <is>
          <t>New York : Putnam, [1959]</t>
        </is>
      </c>
      <c r="M22" t="inlineStr">
        <is>
          <t>1959</t>
        </is>
      </c>
      <c r="O22" t="inlineStr">
        <is>
          <t>eng</t>
        </is>
      </c>
      <c r="P22" t="inlineStr">
        <is>
          <t>nyu</t>
        </is>
      </c>
      <c r="R22" t="inlineStr">
        <is>
          <t xml:space="preserve">BX </t>
        </is>
      </c>
      <c r="S22" t="n">
        <v>4</v>
      </c>
      <c r="T22" t="n">
        <v>4</v>
      </c>
      <c r="U22" t="inlineStr">
        <is>
          <t>2010-04-18</t>
        </is>
      </c>
      <c r="V22" t="inlineStr">
        <is>
          <t>2010-04-18</t>
        </is>
      </c>
      <c r="W22" t="inlineStr">
        <is>
          <t>1992-06-08</t>
        </is>
      </c>
      <c r="X22" t="inlineStr">
        <is>
          <t>1992-06-08</t>
        </is>
      </c>
      <c r="Y22" t="n">
        <v>564</v>
      </c>
      <c r="Z22" t="n">
        <v>519</v>
      </c>
      <c r="AA22" t="n">
        <v>526</v>
      </c>
      <c r="AB22" t="n">
        <v>4</v>
      </c>
      <c r="AC22" t="n">
        <v>4</v>
      </c>
      <c r="AD22" t="n">
        <v>32</v>
      </c>
      <c r="AE22" t="n">
        <v>32</v>
      </c>
      <c r="AF22" t="n">
        <v>12</v>
      </c>
      <c r="AG22" t="n">
        <v>12</v>
      </c>
      <c r="AH22" t="n">
        <v>8</v>
      </c>
      <c r="AI22" t="n">
        <v>8</v>
      </c>
      <c r="AJ22" t="n">
        <v>20</v>
      </c>
      <c r="AK22" t="n">
        <v>20</v>
      </c>
      <c r="AL22" t="n">
        <v>2</v>
      </c>
      <c r="AM22" t="n">
        <v>2</v>
      </c>
      <c r="AN22" t="n">
        <v>0</v>
      </c>
      <c r="AO22" t="n">
        <v>0</v>
      </c>
      <c r="AP22" t="inlineStr">
        <is>
          <t>No</t>
        </is>
      </c>
      <c r="AQ22" t="inlineStr">
        <is>
          <t>No</t>
        </is>
      </c>
      <c r="AS22">
        <f>HYPERLINK("https://creighton-primo.hosted.exlibrisgroup.com/primo-explore/search?tab=default_tab&amp;search_scope=EVERYTHING&amp;vid=01CRU&amp;lang=en_US&amp;offset=0&amp;query=any,contains,991003506359702656","Catalog Record")</f>
        <v/>
      </c>
      <c r="AT22">
        <f>HYPERLINK("http://www.worldcat.org/oclc/176358","WorldCat Record")</f>
        <v/>
      </c>
      <c r="AU22" t="inlineStr">
        <is>
          <t>8861270290:eng</t>
        </is>
      </c>
      <c r="AV22" t="inlineStr">
        <is>
          <t>176358</t>
        </is>
      </c>
      <c r="AW22" t="inlineStr">
        <is>
          <t>991003506359702656</t>
        </is>
      </c>
      <c r="AX22" t="inlineStr">
        <is>
          <t>991003506359702656</t>
        </is>
      </c>
      <c r="AY22" t="inlineStr">
        <is>
          <t>2271426230002656</t>
        </is>
      </c>
      <c r="AZ22" t="inlineStr">
        <is>
          <t>BOOK</t>
        </is>
      </c>
      <c r="BC22" t="inlineStr">
        <is>
          <t>32285001227635</t>
        </is>
      </c>
      <c r="BD22" t="inlineStr">
        <is>
          <t>893428858</t>
        </is>
      </c>
    </row>
    <row r="23">
      <c r="A23" t="inlineStr">
        <is>
          <t>No</t>
        </is>
      </c>
      <c r="B23" t="inlineStr">
        <is>
          <t>BX1308 .M5 1962</t>
        </is>
      </c>
      <c r="C23" t="inlineStr">
        <is>
          <t>0                      BX 1308000M  5           1962</t>
        </is>
      </c>
      <c r="D23" t="inlineStr">
        <is>
          <t>The laurels and the tiara : Pope Pius II, 1458-1464 / by R. J. Mitchell.</t>
        </is>
      </c>
      <c r="F23" t="inlineStr">
        <is>
          <t>No</t>
        </is>
      </c>
      <c r="G23" t="inlineStr">
        <is>
          <t>1</t>
        </is>
      </c>
      <c r="H23" t="inlineStr">
        <is>
          <t>No</t>
        </is>
      </c>
      <c r="I23" t="inlineStr">
        <is>
          <t>No</t>
        </is>
      </c>
      <c r="J23" t="inlineStr">
        <is>
          <t>0</t>
        </is>
      </c>
      <c r="K23" t="inlineStr">
        <is>
          <t>Mitchell, R. J. (Rosamund Joscelyne), 1902-1963.</t>
        </is>
      </c>
      <c r="L23" t="inlineStr">
        <is>
          <t>London, Harvill Press [c1962]</t>
        </is>
      </c>
      <c r="M23" t="inlineStr">
        <is>
          <t>1962</t>
        </is>
      </c>
      <c r="O23" t="inlineStr">
        <is>
          <t>eng</t>
        </is>
      </c>
      <c r="P23" t="inlineStr">
        <is>
          <t>___</t>
        </is>
      </c>
      <c r="R23" t="inlineStr">
        <is>
          <t xml:space="preserve">BX </t>
        </is>
      </c>
      <c r="S23" t="n">
        <v>5</v>
      </c>
      <c r="T23" t="n">
        <v>5</v>
      </c>
      <c r="U23" t="inlineStr">
        <is>
          <t>2010-04-18</t>
        </is>
      </c>
      <c r="V23" t="inlineStr">
        <is>
          <t>2010-04-18</t>
        </is>
      </c>
      <c r="W23" t="inlineStr">
        <is>
          <t>1992-06-08</t>
        </is>
      </c>
      <c r="X23" t="inlineStr">
        <is>
          <t>1992-06-08</t>
        </is>
      </c>
      <c r="Y23" t="n">
        <v>281</v>
      </c>
      <c r="Z23" t="n">
        <v>170</v>
      </c>
      <c r="AA23" t="n">
        <v>356</v>
      </c>
      <c r="AB23" t="n">
        <v>1</v>
      </c>
      <c r="AC23" t="n">
        <v>2</v>
      </c>
      <c r="AD23" t="n">
        <v>10</v>
      </c>
      <c r="AE23" t="n">
        <v>24</v>
      </c>
      <c r="AF23" t="n">
        <v>2</v>
      </c>
      <c r="AG23" t="n">
        <v>8</v>
      </c>
      <c r="AH23" t="n">
        <v>3</v>
      </c>
      <c r="AI23" t="n">
        <v>5</v>
      </c>
      <c r="AJ23" t="n">
        <v>8</v>
      </c>
      <c r="AK23" t="n">
        <v>20</v>
      </c>
      <c r="AL23" t="n">
        <v>0</v>
      </c>
      <c r="AM23" t="n">
        <v>0</v>
      </c>
      <c r="AN23" t="n">
        <v>0</v>
      </c>
      <c r="AO23" t="n">
        <v>0</v>
      </c>
      <c r="AP23" t="inlineStr">
        <is>
          <t>No</t>
        </is>
      </c>
      <c r="AQ23" t="inlineStr">
        <is>
          <t>No</t>
        </is>
      </c>
      <c r="AS23">
        <f>HYPERLINK("https://creighton-primo.hosted.exlibrisgroup.com/primo-explore/search?tab=default_tab&amp;search_scope=EVERYTHING&amp;vid=01CRU&amp;lang=en_US&amp;offset=0&amp;query=any,contains,991003697699702656","Catalog Record")</f>
        <v/>
      </c>
      <c r="AT23">
        <f>HYPERLINK("http://www.worldcat.org/oclc/1331121","WorldCat Record")</f>
        <v/>
      </c>
      <c r="AU23" t="inlineStr">
        <is>
          <t>434454461:eng</t>
        </is>
      </c>
      <c r="AV23" t="inlineStr">
        <is>
          <t>1331121</t>
        </is>
      </c>
      <c r="AW23" t="inlineStr">
        <is>
          <t>991003697699702656</t>
        </is>
      </c>
      <c r="AX23" t="inlineStr">
        <is>
          <t>991003697699702656</t>
        </is>
      </c>
      <c r="AY23" t="inlineStr">
        <is>
          <t>2261526200002656</t>
        </is>
      </c>
      <c r="AZ23" t="inlineStr">
        <is>
          <t>BOOK</t>
        </is>
      </c>
      <c r="BC23" t="inlineStr">
        <is>
          <t>32285001227643</t>
        </is>
      </c>
      <c r="BD23" t="inlineStr">
        <is>
          <t>893605106</t>
        </is>
      </c>
    </row>
    <row r="24">
      <c r="A24" t="inlineStr">
        <is>
          <t>No</t>
        </is>
      </c>
      <c r="B24" t="inlineStr">
        <is>
          <t>BX133.2 .M45 1999</t>
        </is>
      </c>
      <c r="C24" t="inlineStr">
        <is>
          <t>0                      BX 0133200M  45          1999</t>
        </is>
      </c>
      <c r="D24" t="inlineStr">
        <is>
          <t>Two thousand years of Coptic Christianity / Otto F.A. Meinardus.</t>
        </is>
      </c>
      <c r="F24" t="inlineStr">
        <is>
          <t>No</t>
        </is>
      </c>
      <c r="G24" t="inlineStr">
        <is>
          <t>1</t>
        </is>
      </c>
      <c r="H24" t="inlineStr">
        <is>
          <t>No</t>
        </is>
      </c>
      <c r="I24" t="inlineStr">
        <is>
          <t>No</t>
        </is>
      </c>
      <c r="J24" t="inlineStr">
        <is>
          <t>0</t>
        </is>
      </c>
      <c r="K24" t="inlineStr">
        <is>
          <t>Meinardus, Otto F. A., 1925-2005.</t>
        </is>
      </c>
      <c r="L24" t="inlineStr">
        <is>
          <t>Cairo : American University in Cairo Press, c1999.</t>
        </is>
      </c>
      <c r="M24" t="inlineStr">
        <is>
          <t>1999</t>
        </is>
      </c>
      <c r="O24" t="inlineStr">
        <is>
          <t>eng</t>
        </is>
      </c>
      <c r="P24" t="inlineStr">
        <is>
          <t xml:space="preserve">ua </t>
        </is>
      </c>
      <c r="R24" t="inlineStr">
        <is>
          <t xml:space="preserve">BX </t>
        </is>
      </c>
      <c r="S24" t="n">
        <v>4</v>
      </c>
      <c r="T24" t="n">
        <v>4</v>
      </c>
      <c r="U24" t="inlineStr">
        <is>
          <t>2009-09-18</t>
        </is>
      </c>
      <c r="V24" t="inlineStr">
        <is>
          <t>2009-09-18</t>
        </is>
      </c>
      <c r="W24" t="inlineStr">
        <is>
          <t>2001-09-18</t>
        </is>
      </c>
      <c r="X24" t="inlineStr">
        <is>
          <t>2001-09-18</t>
        </is>
      </c>
      <c r="Y24" t="n">
        <v>313</v>
      </c>
      <c r="Z24" t="n">
        <v>249</v>
      </c>
      <c r="AA24" t="n">
        <v>956</v>
      </c>
      <c r="AB24" t="n">
        <v>3</v>
      </c>
      <c r="AC24" t="n">
        <v>30</v>
      </c>
      <c r="AD24" t="n">
        <v>19</v>
      </c>
      <c r="AE24" t="n">
        <v>42</v>
      </c>
      <c r="AF24" t="n">
        <v>6</v>
      </c>
      <c r="AG24" t="n">
        <v>15</v>
      </c>
      <c r="AH24" t="n">
        <v>5</v>
      </c>
      <c r="AI24" t="n">
        <v>9</v>
      </c>
      <c r="AJ24" t="n">
        <v>10</v>
      </c>
      <c r="AK24" t="n">
        <v>16</v>
      </c>
      <c r="AL24" t="n">
        <v>2</v>
      </c>
      <c r="AM24" t="n">
        <v>11</v>
      </c>
      <c r="AN24" t="n">
        <v>0</v>
      </c>
      <c r="AO24" t="n">
        <v>0</v>
      </c>
      <c r="AP24" t="inlineStr">
        <is>
          <t>No</t>
        </is>
      </c>
      <c r="AQ24" t="inlineStr">
        <is>
          <t>Yes</t>
        </is>
      </c>
      <c r="AR24">
        <f>HYPERLINK("http://catalog.hathitrust.org/Record/004043391","HathiTrust Record")</f>
        <v/>
      </c>
      <c r="AS24">
        <f>HYPERLINK("https://creighton-primo.hosted.exlibrisgroup.com/primo-explore/search?tab=default_tab&amp;search_scope=EVERYTHING&amp;vid=01CRU&amp;lang=en_US&amp;offset=0&amp;query=any,contains,991003573149702656","Catalog Record")</f>
        <v/>
      </c>
      <c r="AT24">
        <f>HYPERLINK("http://www.worldcat.org/oclc/41605633","WorldCat Record")</f>
        <v/>
      </c>
      <c r="AU24" t="inlineStr">
        <is>
          <t>7348455:eng</t>
        </is>
      </c>
      <c r="AV24" t="inlineStr">
        <is>
          <t>41605633</t>
        </is>
      </c>
      <c r="AW24" t="inlineStr">
        <is>
          <t>991003573149702656</t>
        </is>
      </c>
      <c r="AX24" t="inlineStr">
        <is>
          <t>991003573149702656</t>
        </is>
      </c>
      <c r="AY24" t="inlineStr">
        <is>
          <t>2256436650002656</t>
        </is>
      </c>
      <c r="AZ24" t="inlineStr">
        <is>
          <t>BOOK</t>
        </is>
      </c>
      <c r="BB24" t="inlineStr">
        <is>
          <t>9789774245114</t>
        </is>
      </c>
      <c r="BC24" t="inlineStr">
        <is>
          <t>32285004391966</t>
        </is>
      </c>
      <c r="BD24" t="inlineStr">
        <is>
          <t>893887610</t>
        </is>
      </c>
    </row>
    <row r="25">
      <c r="A25" t="inlineStr">
        <is>
          <t>No</t>
        </is>
      </c>
      <c r="B25" t="inlineStr">
        <is>
          <t>BX1330 .M3 1915</t>
        </is>
      </c>
      <c r="C25" t="inlineStr">
        <is>
          <t>0                      BX 1330000M  3           1915</t>
        </is>
      </c>
      <c r="D25" t="inlineStr">
        <is>
          <t>History of the Catholic church from the renaissance to the French revolution / by Rev. James MacCaffrey.</t>
        </is>
      </c>
      <c r="E25" t="inlineStr">
        <is>
          <t>V.2</t>
        </is>
      </c>
      <c r="F25" t="inlineStr">
        <is>
          <t>Yes</t>
        </is>
      </c>
      <c r="G25" t="inlineStr">
        <is>
          <t>1</t>
        </is>
      </c>
      <c r="H25" t="inlineStr">
        <is>
          <t>No</t>
        </is>
      </c>
      <c r="I25" t="inlineStr">
        <is>
          <t>No</t>
        </is>
      </c>
      <c r="J25" t="inlineStr">
        <is>
          <t>0</t>
        </is>
      </c>
      <c r="K25" t="inlineStr">
        <is>
          <t>MacCaffrey, James, 1875-1935.</t>
        </is>
      </c>
      <c r="L25" t="inlineStr">
        <is>
          <t>St. Louis, Mo. ; London : B. Herder, 1915.</t>
        </is>
      </c>
      <c r="M25" t="inlineStr">
        <is>
          <t>1915</t>
        </is>
      </c>
      <c r="O25" t="inlineStr">
        <is>
          <t>eng</t>
        </is>
      </c>
      <c r="P25" t="inlineStr">
        <is>
          <t xml:space="preserve">xx </t>
        </is>
      </c>
      <c r="R25" t="inlineStr">
        <is>
          <t xml:space="preserve">BX </t>
        </is>
      </c>
      <c r="S25" t="n">
        <v>1</v>
      </c>
      <c r="T25" t="n">
        <v>8</v>
      </c>
      <c r="V25" t="inlineStr">
        <is>
          <t>1998-04-19</t>
        </is>
      </c>
      <c r="W25" t="inlineStr">
        <is>
          <t>1992-06-08</t>
        </is>
      </c>
      <c r="X25" t="inlineStr">
        <is>
          <t>1992-06-08</t>
        </is>
      </c>
      <c r="Y25" t="n">
        <v>65</v>
      </c>
      <c r="Z25" t="n">
        <v>64</v>
      </c>
      <c r="AA25" t="n">
        <v>230</v>
      </c>
      <c r="AB25" t="n">
        <v>1</v>
      </c>
      <c r="AC25" t="n">
        <v>2</v>
      </c>
      <c r="AD25" t="n">
        <v>16</v>
      </c>
      <c r="AE25" t="n">
        <v>25</v>
      </c>
      <c r="AF25" t="n">
        <v>3</v>
      </c>
      <c r="AG25" t="n">
        <v>7</v>
      </c>
      <c r="AH25" t="n">
        <v>5</v>
      </c>
      <c r="AI25" t="n">
        <v>9</v>
      </c>
      <c r="AJ25" t="n">
        <v>13</v>
      </c>
      <c r="AK25" t="n">
        <v>17</v>
      </c>
      <c r="AL25" t="n">
        <v>0</v>
      </c>
      <c r="AM25" t="n">
        <v>1</v>
      </c>
      <c r="AN25" t="n">
        <v>0</v>
      </c>
      <c r="AO25" t="n">
        <v>0</v>
      </c>
      <c r="AP25" t="inlineStr">
        <is>
          <t>No</t>
        </is>
      </c>
      <c r="AQ25" t="inlineStr">
        <is>
          <t>No</t>
        </is>
      </c>
      <c r="AS25">
        <f>HYPERLINK("https://creighton-primo.hosted.exlibrisgroup.com/primo-explore/search?tab=default_tab&amp;search_scope=EVERYTHING&amp;vid=01CRU&amp;lang=en_US&amp;offset=0&amp;query=any,contains,991002258809702656","Catalog Record")</f>
        <v/>
      </c>
      <c r="AT25">
        <f>HYPERLINK("http://www.worldcat.org/oclc/303136","WorldCat Record")</f>
        <v/>
      </c>
      <c r="AU25" t="inlineStr">
        <is>
          <t>498870:eng</t>
        </is>
      </c>
      <c r="AV25" t="inlineStr">
        <is>
          <t>303136</t>
        </is>
      </c>
      <c r="AW25" t="inlineStr">
        <is>
          <t>991002258809702656</t>
        </is>
      </c>
      <c r="AX25" t="inlineStr">
        <is>
          <t>991002258809702656</t>
        </is>
      </c>
      <c r="AY25" t="inlineStr">
        <is>
          <t>2272615780002656</t>
        </is>
      </c>
      <c r="AZ25" t="inlineStr">
        <is>
          <t>BOOK</t>
        </is>
      </c>
      <c r="BC25" t="inlineStr">
        <is>
          <t>32285001227718</t>
        </is>
      </c>
      <c r="BD25" t="inlineStr">
        <is>
          <t>893244952</t>
        </is>
      </c>
    </row>
    <row r="26">
      <c r="A26" t="inlineStr">
        <is>
          <t>No</t>
        </is>
      </c>
      <c r="B26" t="inlineStr">
        <is>
          <t>BX1330 .M3 1915</t>
        </is>
      </c>
      <c r="C26" t="inlineStr">
        <is>
          <t>0                      BX 1330000M  3           1915</t>
        </is>
      </c>
      <c r="D26" t="inlineStr">
        <is>
          <t>History of the Catholic church from the renaissance to the French revolution / by Rev. James MacCaffrey.</t>
        </is>
      </c>
      <c r="E26" t="inlineStr">
        <is>
          <t>V.1</t>
        </is>
      </c>
      <c r="F26" t="inlineStr">
        <is>
          <t>Yes</t>
        </is>
      </c>
      <c r="G26" t="inlineStr">
        <is>
          <t>1</t>
        </is>
      </c>
      <c r="H26" t="inlineStr">
        <is>
          <t>No</t>
        </is>
      </c>
      <c r="I26" t="inlineStr">
        <is>
          <t>No</t>
        </is>
      </c>
      <c r="J26" t="inlineStr">
        <is>
          <t>0</t>
        </is>
      </c>
      <c r="K26" t="inlineStr">
        <is>
          <t>MacCaffrey, James, 1875-1935.</t>
        </is>
      </c>
      <c r="L26" t="inlineStr">
        <is>
          <t>St. Louis, Mo. ; London : B. Herder, 1915.</t>
        </is>
      </c>
      <c r="M26" t="inlineStr">
        <is>
          <t>1915</t>
        </is>
      </c>
      <c r="O26" t="inlineStr">
        <is>
          <t>eng</t>
        </is>
      </c>
      <c r="P26" t="inlineStr">
        <is>
          <t xml:space="preserve">xx </t>
        </is>
      </c>
      <c r="R26" t="inlineStr">
        <is>
          <t xml:space="preserve">BX </t>
        </is>
      </c>
      <c r="S26" t="n">
        <v>7</v>
      </c>
      <c r="T26" t="n">
        <v>8</v>
      </c>
      <c r="U26" t="inlineStr">
        <is>
          <t>1998-04-19</t>
        </is>
      </c>
      <c r="V26" t="inlineStr">
        <is>
          <t>1998-04-19</t>
        </is>
      </c>
      <c r="W26" t="inlineStr">
        <is>
          <t>1992-06-08</t>
        </is>
      </c>
      <c r="X26" t="inlineStr">
        <is>
          <t>1992-06-08</t>
        </is>
      </c>
      <c r="Y26" t="n">
        <v>65</v>
      </c>
      <c r="Z26" t="n">
        <v>64</v>
      </c>
      <c r="AA26" t="n">
        <v>230</v>
      </c>
      <c r="AB26" t="n">
        <v>1</v>
      </c>
      <c r="AC26" t="n">
        <v>2</v>
      </c>
      <c r="AD26" t="n">
        <v>16</v>
      </c>
      <c r="AE26" t="n">
        <v>25</v>
      </c>
      <c r="AF26" t="n">
        <v>3</v>
      </c>
      <c r="AG26" t="n">
        <v>7</v>
      </c>
      <c r="AH26" t="n">
        <v>5</v>
      </c>
      <c r="AI26" t="n">
        <v>9</v>
      </c>
      <c r="AJ26" t="n">
        <v>13</v>
      </c>
      <c r="AK26" t="n">
        <v>17</v>
      </c>
      <c r="AL26" t="n">
        <v>0</v>
      </c>
      <c r="AM26" t="n">
        <v>1</v>
      </c>
      <c r="AN26" t="n">
        <v>0</v>
      </c>
      <c r="AO26" t="n">
        <v>0</v>
      </c>
      <c r="AP26" t="inlineStr">
        <is>
          <t>No</t>
        </is>
      </c>
      <c r="AQ26" t="inlineStr">
        <is>
          <t>No</t>
        </is>
      </c>
      <c r="AS26">
        <f>HYPERLINK("https://creighton-primo.hosted.exlibrisgroup.com/primo-explore/search?tab=default_tab&amp;search_scope=EVERYTHING&amp;vid=01CRU&amp;lang=en_US&amp;offset=0&amp;query=any,contains,991002258809702656","Catalog Record")</f>
        <v/>
      </c>
      <c r="AT26">
        <f>HYPERLINK("http://www.worldcat.org/oclc/303136","WorldCat Record")</f>
        <v/>
      </c>
      <c r="AU26" t="inlineStr">
        <is>
          <t>498870:eng</t>
        </is>
      </c>
      <c r="AV26" t="inlineStr">
        <is>
          <t>303136</t>
        </is>
      </c>
      <c r="AW26" t="inlineStr">
        <is>
          <t>991002258809702656</t>
        </is>
      </c>
      <c r="AX26" t="inlineStr">
        <is>
          <t>991002258809702656</t>
        </is>
      </c>
      <c r="AY26" t="inlineStr">
        <is>
          <t>2272615780002656</t>
        </is>
      </c>
      <c r="AZ26" t="inlineStr">
        <is>
          <t>BOOK</t>
        </is>
      </c>
      <c r="BC26" t="inlineStr">
        <is>
          <t>32285001227700</t>
        </is>
      </c>
      <c r="BD26" t="inlineStr">
        <is>
          <t>893238841</t>
        </is>
      </c>
    </row>
    <row r="27">
      <c r="A27" t="inlineStr">
        <is>
          <t>No</t>
        </is>
      </c>
      <c r="B27" t="inlineStr">
        <is>
          <t>BX1335 .H8 1872</t>
        </is>
      </c>
      <c r="C27" t="inlineStr">
        <is>
          <t>0                      BX 1335000H  8           1872</t>
        </is>
      </c>
      <c r="D27" t="inlineStr">
        <is>
          <t>The life and times of Sixtus the Fifth / by Baron Hübner, from unpublished diplomatic correspondence in the state archives of the Vatican, Simancas, Venice, Paris, Vienna, and Florence. Translated from the original French by James F. Meline.</t>
        </is>
      </c>
      <c r="E27" t="inlineStr">
        <is>
          <t>V.1</t>
        </is>
      </c>
      <c r="F27" t="inlineStr">
        <is>
          <t>Yes</t>
        </is>
      </c>
      <c r="G27" t="inlineStr">
        <is>
          <t>1</t>
        </is>
      </c>
      <c r="H27" t="inlineStr">
        <is>
          <t>No</t>
        </is>
      </c>
      <c r="I27" t="inlineStr">
        <is>
          <t>No</t>
        </is>
      </c>
      <c r="J27" t="inlineStr">
        <is>
          <t>0</t>
        </is>
      </c>
      <c r="K27" t="inlineStr">
        <is>
          <t>Hübner, Alexander, Graf von, 1811-1892.</t>
        </is>
      </c>
      <c r="L27" t="inlineStr">
        <is>
          <t>London : Longmans, Green and Co., 1872.</t>
        </is>
      </c>
      <c r="M27" t="inlineStr">
        <is>
          <t>1872</t>
        </is>
      </c>
      <c r="O27" t="inlineStr">
        <is>
          <t>eng</t>
        </is>
      </c>
      <c r="P27" t="inlineStr">
        <is>
          <t xml:space="preserve">xx </t>
        </is>
      </c>
      <c r="R27" t="inlineStr">
        <is>
          <t xml:space="preserve">BX </t>
        </is>
      </c>
      <c r="S27" t="n">
        <v>1</v>
      </c>
      <c r="T27" t="n">
        <v>2</v>
      </c>
      <c r="U27" t="inlineStr">
        <is>
          <t>2000-05-01</t>
        </is>
      </c>
      <c r="V27" t="inlineStr">
        <is>
          <t>2000-05-01</t>
        </is>
      </c>
      <c r="W27" t="inlineStr">
        <is>
          <t>1992-06-08</t>
        </is>
      </c>
      <c r="X27" t="inlineStr">
        <is>
          <t>1992-06-08</t>
        </is>
      </c>
      <c r="Y27" t="n">
        <v>56</v>
      </c>
      <c r="Z27" t="n">
        <v>43</v>
      </c>
      <c r="AA27" t="n">
        <v>121</v>
      </c>
      <c r="AB27" t="n">
        <v>2</v>
      </c>
      <c r="AC27" t="n">
        <v>3</v>
      </c>
      <c r="AD27" t="n">
        <v>11</v>
      </c>
      <c r="AE27" t="n">
        <v>13</v>
      </c>
      <c r="AF27" t="n">
        <v>0</v>
      </c>
      <c r="AG27" t="n">
        <v>1</v>
      </c>
      <c r="AH27" t="n">
        <v>3</v>
      </c>
      <c r="AI27" t="n">
        <v>3</v>
      </c>
      <c r="AJ27" t="n">
        <v>8</v>
      </c>
      <c r="AK27" t="n">
        <v>8</v>
      </c>
      <c r="AL27" t="n">
        <v>1</v>
      </c>
      <c r="AM27" t="n">
        <v>2</v>
      </c>
      <c r="AN27" t="n">
        <v>0</v>
      </c>
      <c r="AO27" t="n">
        <v>0</v>
      </c>
      <c r="AP27" t="inlineStr">
        <is>
          <t>Yes</t>
        </is>
      </c>
      <c r="AQ27" t="inlineStr">
        <is>
          <t>No</t>
        </is>
      </c>
      <c r="AR27">
        <f>HYPERLINK("http://catalog.hathitrust.org/Record/008438057","HathiTrust Record")</f>
        <v/>
      </c>
      <c r="AS27">
        <f>HYPERLINK("https://creighton-primo.hosted.exlibrisgroup.com/primo-explore/search?tab=default_tab&amp;search_scope=EVERYTHING&amp;vid=01CRU&amp;lang=en_US&amp;offset=0&amp;query=any,contains,991004387559702656","Catalog Record")</f>
        <v/>
      </c>
      <c r="AT27">
        <f>HYPERLINK("http://www.worldcat.org/oclc/3246330","WorldCat Record")</f>
        <v/>
      </c>
      <c r="AU27" t="inlineStr">
        <is>
          <t>10793012740:eng</t>
        </is>
      </c>
      <c r="AV27" t="inlineStr">
        <is>
          <t>3246330</t>
        </is>
      </c>
      <c r="AW27" t="inlineStr">
        <is>
          <t>991004387559702656</t>
        </is>
      </c>
      <c r="AX27" t="inlineStr">
        <is>
          <t>991004387559702656</t>
        </is>
      </c>
      <c r="AY27" t="inlineStr">
        <is>
          <t>2270095420002656</t>
        </is>
      </c>
      <c r="AZ27" t="inlineStr">
        <is>
          <t>BOOK</t>
        </is>
      </c>
      <c r="BC27" t="inlineStr">
        <is>
          <t>32285001227726</t>
        </is>
      </c>
      <c r="BD27" t="inlineStr">
        <is>
          <t>893436228</t>
        </is>
      </c>
    </row>
    <row r="28">
      <c r="A28" t="inlineStr">
        <is>
          <t>No</t>
        </is>
      </c>
      <c r="B28" t="inlineStr">
        <is>
          <t>BX1335 .H8 1872</t>
        </is>
      </c>
      <c r="C28" t="inlineStr">
        <is>
          <t>0                      BX 1335000H  8           1872</t>
        </is>
      </c>
      <c r="D28" t="inlineStr">
        <is>
          <t>The life and times of Sixtus the Fifth / by Baron Hübner, from unpublished diplomatic correspondence in the state archives of the Vatican, Simancas, Venice, Paris, Vienna, and Florence. Translated from the original French by James F. Meline.</t>
        </is>
      </c>
      <c r="E28" t="inlineStr">
        <is>
          <t>V.2</t>
        </is>
      </c>
      <c r="F28" t="inlineStr">
        <is>
          <t>Yes</t>
        </is>
      </c>
      <c r="G28" t="inlineStr">
        <is>
          <t>1</t>
        </is>
      </c>
      <c r="H28" t="inlineStr">
        <is>
          <t>No</t>
        </is>
      </c>
      <c r="I28" t="inlineStr">
        <is>
          <t>No</t>
        </is>
      </c>
      <c r="J28" t="inlineStr">
        <is>
          <t>0</t>
        </is>
      </c>
      <c r="K28" t="inlineStr">
        <is>
          <t>Hübner, Alexander, Graf von, 1811-1892.</t>
        </is>
      </c>
      <c r="L28" t="inlineStr">
        <is>
          <t>London : Longmans, Green and Co., 1872.</t>
        </is>
      </c>
      <c r="M28" t="inlineStr">
        <is>
          <t>1872</t>
        </is>
      </c>
      <c r="O28" t="inlineStr">
        <is>
          <t>eng</t>
        </is>
      </c>
      <c r="P28" t="inlineStr">
        <is>
          <t xml:space="preserve">xx </t>
        </is>
      </c>
      <c r="R28" t="inlineStr">
        <is>
          <t xml:space="preserve">BX </t>
        </is>
      </c>
      <c r="S28" t="n">
        <v>1</v>
      </c>
      <c r="T28" t="n">
        <v>2</v>
      </c>
      <c r="U28" t="inlineStr">
        <is>
          <t>2000-05-01</t>
        </is>
      </c>
      <c r="V28" t="inlineStr">
        <is>
          <t>2000-05-01</t>
        </is>
      </c>
      <c r="W28" t="inlineStr">
        <is>
          <t>1992-06-08</t>
        </is>
      </c>
      <c r="X28" t="inlineStr">
        <is>
          <t>1992-06-08</t>
        </is>
      </c>
      <c r="Y28" t="n">
        <v>56</v>
      </c>
      <c r="Z28" t="n">
        <v>43</v>
      </c>
      <c r="AA28" t="n">
        <v>121</v>
      </c>
      <c r="AB28" t="n">
        <v>2</v>
      </c>
      <c r="AC28" t="n">
        <v>3</v>
      </c>
      <c r="AD28" t="n">
        <v>11</v>
      </c>
      <c r="AE28" t="n">
        <v>13</v>
      </c>
      <c r="AF28" t="n">
        <v>0</v>
      </c>
      <c r="AG28" t="n">
        <v>1</v>
      </c>
      <c r="AH28" t="n">
        <v>3</v>
      </c>
      <c r="AI28" t="n">
        <v>3</v>
      </c>
      <c r="AJ28" t="n">
        <v>8</v>
      </c>
      <c r="AK28" t="n">
        <v>8</v>
      </c>
      <c r="AL28" t="n">
        <v>1</v>
      </c>
      <c r="AM28" t="n">
        <v>2</v>
      </c>
      <c r="AN28" t="n">
        <v>0</v>
      </c>
      <c r="AO28" t="n">
        <v>0</v>
      </c>
      <c r="AP28" t="inlineStr">
        <is>
          <t>Yes</t>
        </is>
      </c>
      <c r="AQ28" t="inlineStr">
        <is>
          <t>No</t>
        </is>
      </c>
      <c r="AR28">
        <f>HYPERLINK("http://catalog.hathitrust.org/Record/008438057","HathiTrust Record")</f>
        <v/>
      </c>
      <c r="AS28">
        <f>HYPERLINK("https://creighton-primo.hosted.exlibrisgroup.com/primo-explore/search?tab=default_tab&amp;search_scope=EVERYTHING&amp;vid=01CRU&amp;lang=en_US&amp;offset=0&amp;query=any,contains,991004387559702656","Catalog Record")</f>
        <v/>
      </c>
      <c r="AT28">
        <f>HYPERLINK("http://www.worldcat.org/oclc/3246330","WorldCat Record")</f>
        <v/>
      </c>
      <c r="AU28" t="inlineStr">
        <is>
          <t>10793012740:eng</t>
        </is>
      </c>
      <c r="AV28" t="inlineStr">
        <is>
          <t>3246330</t>
        </is>
      </c>
      <c r="AW28" t="inlineStr">
        <is>
          <t>991004387559702656</t>
        </is>
      </c>
      <c r="AX28" t="inlineStr">
        <is>
          <t>991004387559702656</t>
        </is>
      </c>
      <c r="AY28" t="inlineStr">
        <is>
          <t>2270095420002656</t>
        </is>
      </c>
      <c r="AZ28" t="inlineStr">
        <is>
          <t>BOOK</t>
        </is>
      </c>
      <c r="BC28" t="inlineStr">
        <is>
          <t>32285001227734</t>
        </is>
      </c>
      <c r="BD28" t="inlineStr">
        <is>
          <t>893436227</t>
        </is>
      </c>
    </row>
    <row r="29">
      <c r="A29" t="inlineStr">
        <is>
          <t>No</t>
        </is>
      </c>
      <c r="B29" t="inlineStr">
        <is>
          <t>BX134.5.F39 C47 2005</t>
        </is>
      </c>
      <c r="C29" t="inlineStr">
        <is>
          <t>0                      BX 0134500F  39                 C  47          2005</t>
        </is>
      </c>
      <c r="D29" t="inlineStr">
        <is>
          <t>Christianity and monasticism in the Fayoum oasis : essays from the 2004 international symposium of the Saint Mark Foundation and the Saint Shenouda the Archimandrite Coptic Society in honor of Martin Krause / edited by Gawdat Gabra.</t>
        </is>
      </c>
      <c r="F29" t="inlineStr">
        <is>
          <t>No</t>
        </is>
      </c>
      <c r="G29" t="inlineStr">
        <is>
          <t>1</t>
        </is>
      </c>
      <c r="H29" t="inlineStr">
        <is>
          <t>No</t>
        </is>
      </c>
      <c r="I29" t="inlineStr">
        <is>
          <t>No</t>
        </is>
      </c>
      <c r="J29" t="inlineStr">
        <is>
          <t>0</t>
        </is>
      </c>
      <c r="L29" t="inlineStr">
        <is>
          <t>Cairo : American University in Cairo Press, 2005.</t>
        </is>
      </c>
      <c r="M29" t="inlineStr">
        <is>
          <t>2005</t>
        </is>
      </c>
      <c r="O29" t="inlineStr">
        <is>
          <t>eng</t>
        </is>
      </c>
      <c r="P29" t="inlineStr">
        <is>
          <t xml:space="preserve">ua </t>
        </is>
      </c>
      <c r="R29" t="inlineStr">
        <is>
          <t xml:space="preserve">BX </t>
        </is>
      </c>
      <c r="S29" t="n">
        <v>1</v>
      </c>
      <c r="T29" t="n">
        <v>1</v>
      </c>
      <c r="U29" t="inlineStr">
        <is>
          <t>2007-01-08</t>
        </is>
      </c>
      <c r="V29" t="inlineStr">
        <is>
          <t>2007-01-08</t>
        </is>
      </c>
      <c r="W29" t="inlineStr">
        <is>
          <t>2007-01-08</t>
        </is>
      </c>
      <c r="X29" t="inlineStr">
        <is>
          <t>2007-01-08</t>
        </is>
      </c>
      <c r="Y29" t="n">
        <v>96</v>
      </c>
      <c r="Z29" t="n">
        <v>61</v>
      </c>
      <c r="AA29" t="n">
        <v>443</v>
      </c>
      <c r="AB29" t="n">
        <v>2</v>
      </c>
      <c r="AC29" t="n">
        <v>6</v>
      </c>
      <c r="AD29" t="n">
        <v>5</v>
      </c>
      <c r="AE29" t="n">
        <v>23</v>
      </c>
      <c r="AF29" t="n">
        <v>0</v>
      </c>
      <c r="AG29" t="n">
        <v>6</v>
      </c>
      <c r="AH29" t="n">
        <v>3</v>
      </c>
      <c r="AI29" t="n">
        <v>7</v>
      </c>
      <c r="AJ29" t="n">
        <v>2</v>
      </c>
      <c r="AK29" t="n">
        <v>7</v>
      </c>
      <c r="AL29" t="n">
        <v>1</v>
      </c>
      <c r="AM29" t="n">
        <v>5</v>
      </c>
      <c r="AN29" t="n">
        <v>0</v>
      </c>
      <c r="AO29" t="n">
        <v>1</v>
      </c>
      <c r="AP29" t="inlineStr">
        <is>
          <t>No</t>
        </is>
      </c>
      <c r="AQ29" t="inlineStr">
        <is>
          <t>No</t>
        </is>
      </c>
      <c r="AS29">
        <f>HYPERLINK("https://creighton-primo.hosted.exlibrisgroup.com/primo-explore/search?tab=default_tab&amp;search_scope=EVERYTHING&amp;vid=01CRU&amp;lang=en_US&amp;offset=0&amp;query=any,contains,991004992669702656","Catalog Record")</f>
        <v/>
      </c>
      <c r="AT29">
        <f>HYPERLINK("http://www.worldcat.org/oclc/58556003","WorldCat Record")</f>
        <v/>
      </c>
      <c r="AU29" t="inlineStr">
        <is>
          <t>865749045:eng</t>
        </is>
      </c>
      <c r="AV29" t="inlineStr">
        <is>
          <t>58556003</t>
        </is>
      </c>
      <c r="AW29" t="inlineStr">
        <is>
          <t>991004992669702656</t>
        </is>
      </c>
      <c r="AX29" t="inlineStr">
        <is>
          <t>991004992669702656</t>
        </is>
      </c>
      <c r="AY29" t="inlineStr">
        <is>
          <t>2255373380002656</t>
        </is>
      </c>
      <c r="AZ29" t="inlineStr">
        <is>
          <t>BOOK</t>
        </is>
      </c>
      <c r="BB29" t="inlineStr">
        <is>
          <t>9789774248924</t>
        </is>
      </c>
      <c r="BC29" t="inlineStr">
        <is>
          <t>32285005269179</t>
        </is>
      </c>
      <c r="BD29" t="inlineStr">
        <is>
          <t>893688448</t>
        </is>
      </c>
    </row>
    <row r="30">
      <c r="A30" t="inlineStr">
        <is>
          <t>No</t>
        </is>
      </c>
      <c r="B30" t="inlineStr">
        <is>
          <t>BX134.E3 D385 2004</t>
        </is>
      </c>
      <c r="C30" t="inlineStr">
        <is>
          <t>0                      BX 0134000E  3                  D  385         2004</t>
        </is>
      </c>
      <c r="D30" t="inlineStr">
        <is>
          <t>The early Coptic papacy : the Egyptian church and its leadership in late antiquity / Stephen J. Davis.</t>
        </is>
      </c>
      <c r="F30" t="inlineStr">
        <is>
          <t>No</t>
        </is>
      </c>
      <c r="G30" t="inlineStr">
        <is>
          <t>1</t>
        </is>
      </c>
      <c r="H30" t="inlineStr">
        <is>
          <t>No</t>
        </is>
      </c>
      <c r="I30" t="inlineStr">
        <is>
          <t>No</t>
        </is>
      </c>
      <c r="J30" t="inlineStr">
        <is>
          <t>0</t>
        </is>
      </c>
      <c r="K30" t="inlineStr">
        <is>
          <t>Davis, Stephen J.</t>
        </is>
      </c>
      <c r="L30" t="inlineStr">
        <is>
          <t>Cairo ; New York : American University in Cairo Press, c2004.</t>
        </is>
      </c>
      <c r="M30" t="inlineStr">
        <is>
          <t>2004</t>
        </is>
      </c>
      <c r="O30" t="inlineStr">
        <is>
          <t>eng</t>
        </is>
      </c>
      <c r="P30" t="inlineStr">
        <is>
          <t xml:space="preserve">ua </t>
        </is>
      </c>
      <c r="Q30" t="inlineStr">
        <is>
          <t>Popes of Egypt ; vol. 1</t>
        </is>
      </c>
      <c r="R30" t="inlineStr">
        <is>
          <t xml:space="preserve">BX </t>
        </is>
      </c>
      <c r="S30" t="n">
        <v>3</v>
      </c>
      <c r="T30" t="n">
        <v>3</v>
      </c>
      <c r="U30" t="inlineStr">
        <is>
          <t>2010-03-31</t>
        </is>
      </c>
      <c r="V30" t="inlineStr">
        <is>
          <t>2010-03-31</t>
        </is>
      </c>
      <c r="W30" t="inlineStr">
        <is>
          <t>2006-04-10</t>
        </is>
      </c>
      <c r="X30" t="inlineStr">
        <is>
          <t>2006-04-10</t>
        </is>
      </c>
      <c r="Y30" t="n">
        <v>169</v>
      </c>
      <c r="Z30" t="n">
        <v>134</v>
      </c>
      <c r="AA30" t="n">
        <v>550</v>
      </c>
      <c r="AB30" t="n">
        <v>1</v>
      </c>
      <c r="AC30" t="n">
        <v>5</v>
      </c>
      <c r="AD30" t="n">
        <v>11</v>
      </c>
      <c r="AE30" t="n">
        <v>33</v>
      </c>
      <c r="AF30" t="n">
        <v>4</v>
      </c>
      <c r="AG30" t="n">
        <v>12</v>
      </c>
      <c r="AH30" t="n">
        <v>3</v>
      </c>
      <c r="AI30" t="n">
        <v>8</v>
      </c>
      <c r="AJ30" t="n">
        <v>6</v>
      </c>
      <c r="AK30" t="n">
        <v>14</v>
      </c>
      <c r="AL30" t="n">
        <v>0</v>
      </c>
      <c r="AM30" t="n">
        <v>4</v>
      </c>
      <c r="AN30" t="n">
        <v>0</v>
      </c>
      <c r="AO30" t="n">
        <v>1</v>
      </c>
      <c r="AP30" t="inlineStr">
        <is>
          <t>No</t>
        </is>
      </c>
      <c r="AQ30" t="inlineStr">
        <is>
          <t>Yes</t>
        </is>
      </c>
      <c r="AR30">
        <f>HYPERLINK("http://catalog.hathitrust.org/Record/004964692","HathiTrust Record")</f>
        <v/>
      </c>
      <c r="AS30">
        <f>HYPERLINK("https://creighton-primo.hosted.exlibrisgroup.com/primo-explore/search?tab=default_tab&amp;search_scope=EVERYTHING&amp;vid=01CRU&amp;lang=en_US&amp;offset=0&amp;query=any,contains,991004770829702656","Catalog Record")</f>
        <v/>
      </c>
      <c r="AT30">
        <f>HYPERLINK("http://www.worldcat.org/oclc/57536284","WorldCat Record")</f>
        <v/>
      </c>
      <c r="AU30" t="inlineStr">
        <is>
          <t>796994960:eng</t>
        </is>
      </c>
      <c r="AV30" t="inlineStr">
        <is>
          <t>57536284</t>
        </is>
      </c>
      <c r="AW30" t="inlineStr">
        <is>
          <t>991004770829702656</t>
        </is>
      </c>
      <c r="AX30" t="inlineStr">
        <is>
          <t>991004770829702656</t>
        </is>
      </c>
      <c r="AY30" t="inlineStr">
        <is>
          <t>2270233310002656</t>
        </is>
      </c>
      <c r="AZ30" t="inlineStr">
        <is>
          <t>BOOK</t>
        </is>
      </c>
      <c r="BB30" t="inlineStr">
        <is>
          <t>9789774248306</t>
        </is>
      </c>
      <c r="BC30" t="inlineStr">
        <is>
          <t>32285005180889</t>
        </is>
      </c>
      <c r="BD30" t="inlineStr">
        <is>
          <t>893688128</t>
        </is>
      </c>
    </row>
    <row r="31">
      <c r="A31" t="inlineStr">
        <is>
          <t>No</t>
        </is>
      </c>
      <c r="B31" t="inlineStr">
        <is>
          <t>BX134.E3 T3 1998</t>
        </is>
      </c>
      <c r="C31" t="inlineStr">
        <is>
          <t>0                      BX 0134000E  3                  T  3           1998</t>
        </is>
      </c>
      <c r="D31" t="inlineStr">
        <is>
          <t>Christians in Muslim Egypt : an historical study of the relations between Copts and Muslims from 640 to 1922 / Jacques Tagher ; [translated and annotated by Ragai N. Makar].</t>
        </is>
      </c>
      <c r="F31" t="inlineStr">
        <is>
          <t>No</t>
        </is>
      </c>
      <c r="G31" t="inlineStr">
        <is>
          <t>1</t>
        </is>
      </c>
      <c r="H31" t="inlineStr">
        <is>
          <t>No</t>
        </is>
      </c>
      <c r="I31" t="inlineStr">
        <is>
          <t>No</t>
        </is>
      </c>
      <c r="J31" t="inlineStr">
        <is>
          <t>0</t>
        </is>
      </c>
      <c r="K31" t="inlineStr">
        <is>
          <t>Tājir, Jāk.</t>
        </is>
      </c>
      <c r="L31" t="inlineStr">
        <is>
          <t>Altenberge : Oros Verlag, 1998.</t>
        </is>
      </c>
      <c r="M31" t="inlineStr">
        <is>
          <t>1998</t>
        </is>
      </c>
      <c r="O31" t="inlineStr">
        <is>
          <t>eng</t>
        </is>
      </c>
      <c r="P31" t="inlineStr">
        <is>
          <t xml:space="preserve">gw </t>
        </is>
      </c>
      <c r="Q31" t="inlineStr">
        <is>
          <t>Arbeiten zum spätantiken und koptischen Ägypten ; 10</t>
        </is>
      </c>
      <c r="R31" t="inlineStr">
        <is>
          <t xml:space="preserve">BX </t>
        </is>
      </c>
      <c r="S31" t="n">
        <v>1</v>
      </c>
      <c r="T31" t="n">
        <v>1</v>
      </c>
      <c r="U31" t="inlineStr">
        <is>
          <t>2009-05-19</t>
        </is>
      </c>
      <c r="V31" t="inlineStr">
        <is>
          <t>2009-05-19</t>
        </is>
      </c>
      <c r="W31" t="inlineStr">
        <is>
          <t>2009-05-19</t>
        </is>
      </c>
      <c r="X31" t="inlineStr">
        <is>
          <t>2009-05-19</t>
        </is>
      </c>
      <c r="Y31" t="n">
        <v>196</v>
      </c>
      <c r="Z31" t="n">
        <v>143</v>
      </c>
      <c r="AA31" t="n">
        <v>155</v>
      </c>
      <c r="AB31" t="n">
        <v>2</v>
      </c>
      <c r="AC31" t="n">
        <v>2</v>
      </c>
      <c r="AD31" t="n">
        <v>7</v>
      </c>
      <c r="AE31" t="n">
        <v>8</v>
      </c>
      <c r="AF31" t="n">
        <v>2</v>
      </c>
      <c r="AG31" t="n">
        <v>3</v>
      </c>
      <c r="AH31" t="n">
        <v>3</v>
      </c>
      <c r="AI31" t="n">
        <v>3</v>
      </c>
      <c r="AJ31" t="n">
        <v>3</v>
      </c>
      <c r="AK31" t="n">
        <v>4</v>
      </c>
      <c r="AL31" t="n">
        <v>1</v>
      </c>
      <c r="AM31" t="n">
        <v>1</v>
      </c>
      <c r="AN31" t="n">
        <v>0</v>
      </c>
      <c r="AO31" t="n">
        <v>0</v>
      </c>
      <c r="AP31" t="inlineStr">
        <is>
          <t>No</t>
        </is>
      </c>
      <c r="AQ31" t="inlineStr">
        <is>
          <t>No</t>
        </is>
      </c>
      <c r="AS31">
        <f>HYPERLINK("https://creighton-primo.hosted.exlibrisgroup.com/primo-explore/search?tab=default_tab&amp;search_scope=EVERYTHING&amp;vid=01CRU&amp;lang=en_US&amp;offset=0&amp;query=any,contains,991005316649702656","Catalog Record")</f>
        <v/>
      </c>
      <c r="AT31">
        <f>HYPERLINK("http://www.worldcat.org/oclc/234171648","WorldCat Record")</f>
        <v/>
      </c>
      <c r="AU31" t="inlineStr">
        <is>
          <t>502308209:eng</t>
        </is>
      </c>
      <c r="AV31" t="inlineStr">
        <is>
          <t>234171648</t>
        </is>
      </c>
      <c r="AW31" t="inlineStr">
        <is>
          <t>991005316649702656</t>
        </is>
      </c>
      <c r="AX31" t="inlineStr">
        <is>
          <t>991005316649702656</t>
        </is>
      </c>
      <c r="AY31" t="inlineStr">
        <is>
          <t>2257358630002656</t>
        </is>
      </c>
      <c r="AZ31" t="inlineStr">
        <is>
          <t>BOOK</t>
        </is>
      </c>
      <c r="BB31" t="inlineStr">
        <is>
          <t>9783893751570</t>
        </is>
      </c>
      <c r="BC31" t="inlineStr">
        <is>
          <t>32285005532535</t>
        </is>
      </c>
      <c r="BD31" t="inlineStr">
        <is>
          <t>893600980</t>
        </is>
      </c>
    </row>
    <row r="32">
      <c r="A32" t="inlineStr">
        <is>
          <t>No</t>
        </is>
      </c>
      <c r="B32" t="inlineStr">
        <is>
          <t>BX1355 .H39</t>
        </is>
      </c>
      <c r="C32" t="inlineStr">
        <is>
          <t>0                      BX 1355000H  39</t>
        </is>
      </c>
      <c r="D32" t="inlineStr">
        <is>
          <t>Philosopher king : the humanist Pope Benedict XIV / Renée Haynes.</t>
        </is>
      </c>
      <c r="F32" t="inlineStr">
        <is>
          <t>No</t>
        </is>
      </c>
      <c r="G32" t="inlineStr">
        <is>
          <t>1</t>
        </is>
      </c>
      <c r="H32" t="inlineStr">
        <is>
          <t>No</t>
        </is>
      </c>
      <c r="I32" t="inlineStr">
        <is>
          <t>No</t>
        </is>
      </c>
      <c r="J32" t="inlineStr">
        <is>
          <t>0</t>
        </is>
      </c>
      <c r="K32" t="inlineStr">
        <is>
          <t>Haynes, Renée, 1906-</t>
        </is>
      </c>
      <c r="L32" t="inlineStr">
        <is>
          <t>London, Weidenfeld &amp; Nicolson, 1970.</t>
        </is>
      </c>
      <c r="M32" t="inlineStr">
        <is>
          <t>1970</t>
        </is>
      </c>
      <c r="O32" t="inlineStr">
        <is>
          <t>eng</t>
        </is>
      </c>
      <c r="P32" t="inlineStr">
        <is>
          <t>enk</t>
        </is>
      </c>
      <c r="R32" t="inlineStr">
        <is>
          <t xml:space="preserve">BX </t>
        </is>
      </c>
      <c r="S32" t="n">
        <v>3</v>
      </c>
      <c r="T32" t="n">
        <v>3</v>
      </c>
      <c r="U32" t="inlineStr">
        <is>
          <t>2009-04-18</t>
        </is>
      </c>
      <c r="V32" t="inlineStr">
        <is>
          <t>2009-04-18</t>
        </is>
      </c>
      <c r="W32" t="inlineStr">
        <is>
          <t>1992-06-08</t>
        </is>
      </c>
      <c r="X32" t="inlineStr">
        <is>
          <t>1992-06-08</t>
        </is>
      </c>
      <c r="Y32" t="n">
        <v>253</v>
      </c>
      <c r="Z32" t="n">
        <v>158</v>
      </c>
      <c r="AA32" t="n">
        <v>158</v>
      </c>
      <c r="AB32" t="n">
        <v>2</v>
      </c>
      <c r="AC32" t="n">
        <v>2</v>
      </c>
      <c r="AD32" t="n">
        <v>15</v>
      </c>
      <c r="AE32" t="n">
        <v>15</v>
      </c>
      <c r="AF32" t="n">
        <v>3</v>
      </c>
      <c r="AG32" t="n">
        <v>3</v>
      </c>
      <c r="AH32" t="n">
        <v>3</v>
      </c>
      <c r="AI32" t="n">
        <v>3</v>
      </c>
      <c r="AJ32" t="n">
        <v>11</v>
      </c>
      <c r="AK32" t="n">
        <v>11</v>
      </c>
      <c r="AL32" t="n">
        <v>1</v>
      </c>
      <c r="AM32" t="n">
        <v>1</v>
      </c>
      <c r="AN32" t="n">
        <v>0</v>
      </c>
      <c r="AO32" t="n">
        <v>0</v>
      </c>
      <c r="AP32" t="inlineStr">
        <is>
          <t>No</t>
        </is>
      </c>
      <c r="AQ32" t="inlineStr">
        <is>
          <t>No</t>
        </is>
      </c>
      <c r="AS32">
        <f>HYPERLINK("https://creighton-primo.hosted.exlibrisgroup.com/primo-explore/search?tab=default_tab&amp;search_scope=EVERYTHING&amp;vid=01CRU&amp;lang=en_US&amp;offset=0&amp;query=any,contains,991000625859702656","Catalog Record")</f>
        <v/>
      </c>
      <c r="AT32">
        <f>HYPERLINK("http://www.worldcat.org/oclc/104272","WorldCat Record")</f>
        <v/>
      </c>
      <c r="AU32" t="inlineStr">
        <is>
          <t>347014752:eng</t>
        </is>
      </c>
      <c r="AV32" t="inlineStr">
        <is>
          <t>104272</t>
        </is>
      </c>
      <c r="AW32" t="inlineStr">
        <is>
          <t>991000625859702656</t>
        </is>
      </c>
      <c r="AX32" t="inlineStr">
        <is>
          <t>991000625859702656</t>
        </is>
      </c>
      <c r="AY32" t="inlineStr">
        <is>
          <t>2260621670002656</t>
        </is>
      </c>
      <c r="AZ32" t="inlineStr">
        <is>
          <t>BOOK</t>
        </is>
      </c>
      <c r="BB32" t="inlineStr">
        <is>
          <t>9780297001515</t>
        </is>
      </c>
      <c r="BC32" t="inlineStr">
        <is>
          <t>32285001227742</t>
        </is>
      </c>
      <c r="BD32" t="inlineStr">
        <is>
          <t>893333632</t>
        </is>
      </c>
    </row>
    <row r="33">
      <c r="A33" t="inlineStr">
        <is>
          <t>No</t>
        </is>
      </c>
      <c r="B33" t="inlineStr">
        <is>
          <t>BX136.3 .M45 2002</t>
        </is>
      </c>
      <c r="C33" t="inlineStr">
        <is>
          <t>0                      BX 0136300M  45          2002</t>
        </is>
      </c>
      <c r="D33" t="inlineStr">
        <is>
          <t>Coptic saints and pilgrimages / Otto F.A. Meinardus.</t>
        </is>
      </c>
      <c r="F33" t="inlineStr">
        <is>
          <t>No</t>
        </is>
      </c>
      <c r="G33" t="inlineStr">
        <is>
          <t>1</t>
        </is>
      </c>
      <c r="H33" t="inlineStr">
        <is>
          <t>No</t>
        </is>
      </c>
      <c r="I33" t="inlineStr">
        <is>
          <t>No</t>
        </is>
      </c>
      <c r="J33" t="inlineStr">
        <is>
          <t>0</t>
        </is>
      </c>
      <c r="K33" t="inlineStr">
        <is>
          <t>Meinardus, Otto F. A., 1925-2005.</t>
        </is>
      </c>
      <c r="L33" t="inlineStr">
        <is>
          <t>Cairo ; New York : American University in Cairo Press, c2002.</t>
        </is>
      </c>
      <c r="M33" t="inlineStr">
        <is>
          <t>2002</t>
        </is>
      </c>
      <c r="O33" t="inlineStr">
        <is>
          <t>eng</t>
        </is>
      </c>
      <c r="P33" t="inlineStr">
        <is>
          <t xml:space="preserve">ua </t>
        </is>
      </c>
      <c r="R33" t="inlineStr">
        <is>
          <t xml:space="preserve">BX </t>
        </is>
      </c>
      <c r="S33" t="n">
        <v>5</v>
      </c>
      <c r="T33" t="n">
        <v>5</v>
      </c>
      <c r="U33" t="inlineStr">
        <is>
          <t>2003-02-20</t>
        </is>
      </c>
      <c r="V33" t="inlineStr">
        <is>
          <t>2003-02-20</t>
        </is>
      </c>
      <c r="W33" t="inlineStr">
        <is>
          <t>2003-02-20</t>
        </is>
      </c>
      <c r="X33" t="inlineStr">
        <is>
          <t>2003-02-20</t>
        </is>
      </c>
      <c r="Y33" t="n">
        <v>198</v>
      </c>
      <c r="Z33" t="n">
        <v>158</v>
      </c>
      <c r="AA33" t="n">
        <v>526</v>
      </c>
      <c r="AB33" t="n">
        <v>2</v>
      </c>
      <c r="AC33" t="n">
        <v>5</v>
      </c>
      <c r="AD33" t="n">
        <v>14</v>
      </c>
      <c r="AE33" t="n">
        <v>28</v>
      </c>
      <c r="AF33" t="n">
        <v>4</v>
      </c>
      <c r="AG33" t="n">
        <v>10</v>
      </c>
      <c r="AH33" t="n">
        <v>6</v>
      </c>
      <c r="AI33" t="n">
        <v>8</v>
      </c>
      <c r="AJ33" t="n">
        <v>7</v>
      </c>
      <c r="AK33" t="n">
        <v>11</v>
      </c>
      <c r="AL33" t="n">
        <v>1</v>
      </c>
      <c r="AM33" t="n">
        <v>4</v>
      </c>
      <c r="AN33" t="n">
        <v>0</v>
      </c>
      <c r="AO33" t="n">
        <v>1</v>
      </c>
      <c r="AP33" t="inlineStr">
        <is>
          <t>No</t>
        </is>
      </c>
      <c r="AQ33" t="inlineStr">
        <is>
          <t>Yes</t>
        </is>
      </c>
      <c r="AR33">
        <f>HYPERLINK("http://catalog.hathitrust.org/Record/004260979","HathiTrust Record")</f>
        <v/>
      </c>
      <c r="AS33">
        <f>HYPERLINK("https://creighton-primo.hosted.exlibrisgroup.com/primo-explore/search?tab=default_tab&amp;search_scope=EVERYTHING&amp;vid=01CRU&amp;lang=en_US&amp;offset=0&amp;query=any,contains,991003982269702656","Catalog Record")</f>
        <v/>
      </c>
      <c r="AT33">
        <f>HYPERLINK("http://www.worldcat.org/oclc/49240333","WorldCat Record")</f>
        <v/>
      </c>
      <c r="AU33" t="inlineStr">
        <is>
          <t>1080593:eng</t>
        </is>
      </c>
      <c r="AV33" t="inlineStr">
        <is>
          <t>49240333</t>
        </is>
      </c>
      <c r="AW33" t="inlineStr">
        <is>
          <t>991003982269702656</t>
        </is>
      </c>
      <c r="AX33" t="inlineStr">
        <is>
          <t>991003982269702656</t>
        </is>
      </c>
      <c r="AY33" t="inlineStr">
        <is>
          <t>2255273940002656</t>
        </is>
      </c>
      <c r="AZ33" t="inlineStr">
        <is>
          <t>BOOK</t>
        </is>
      </c>
      <c r="BB33" t="inlineStr">
        <is>
          <t>9789774246920</t>
        </is>
      </c>
      <c r="BC33" t="inlineStr">
        <is>
          <t>32285004680285</t>
        </is>
      </c>
      <c r="BD33" t="inlineStr">
        <is>
          <t>893712020</t>
        </is>
      </c>
    </row>
    <row r="34">
      <c r="A34" t="inlineStr">
        <is>
          <t>No</t>
        </is>
      </c>
      <c r="B34" t="inlineStr">
        <is>
          <t>BX1365 .M32 1980</t>
        </is>
      </c>
      <c r="C34" t="inlineStr">
        <is>
          <t>0                      BX 1365000M  32          1980</t>
        </is>
      </c>
      <c r="D34" t="inlineStr">
        <is>
          <t>Roman Catholicism : the search for relevance / William McSweeney.</t>
        </is>
      </c>
      <c r="F34" t="inlineStr">
        <is>
          <t>No</t>
        </is>
      </c>
      <c r="G34" t="inlineStr">
        <is>
          <t>1</t>
        </is>
      </c>
      <c r="H34" t="inlineStr">
        <is>
          <t>No</t>
        </is>
      </c>
      <c r="I34" t="inlineStr">
        <is>
          <t>No</t>
        </is>
      </c>
      <c r="J34" t="inlineStr">
        <is>
          <t>0</t>
        </is>
      </c>
      <c r="K34" t="inlineStr">
        <is>
          <t>McSweeney, Bill.</t>
        </is>
      </c>
      <c r="L34" t="inlineStr">
        <is>
          <t>New York : St. Martin's, c1980.</t>
        </is>
      </c>
      <c r="M34" t="inlineStr">
        <is>
          <t>1980</t>
        </is>
      </c>
      <c r="O34" t="inlineStr">
        <is>
          <t>eng</t>
        </is>
      </c>
      <c r="P34" t="inlineStr">
        <is>
          <t>nyu</t>
        </is>
      </c>
      <c r="R34" t="inlineStr">
        <is>
          <t xml:space="preserve">BX </t>
        </is>
      </c>
      <c r="S34" t="n">
        <v>3</v>
      </c>
      <c r="T34" t="n">
        <v>3</v>
      </c>
      <c r="U34" t="inlineStr">
        <is>
          <t>2004-01-23</t>
        </is>
      </c>
      <c r="V34" t="inlineStr">
        <is>
          <t>2004-01-23</t>
        </is>
      </c>
      <c r="W34" t="inlineStr">
        <is>
          <t>1992-06-08</t>
        </is>
      </c>
      <c r="X34" t="inlineStr">
        <is>
          <t>1992-06-08</t>
        </is>
      </c>
      <c r="Y34" t="n">
        <v>513</v>
      </c>
      <c r="Z34" t="n">
        <v>468</v>
      </c>
      <c r="AA34" t="n">
        <v>497</v>
      </c>
      <c r="AB34" t="n">
        <v>3</v>
      </c>
      <c r="AC34" t="n">
        <v>3</v>
      </c>
      <c r="AD34" t="n">
        <v>31</v>
      </c>
      <c r="AE34" t="n">
        <v>33</v>
      </c>
      <c r="AF34" t="n">
        <v>11</v>
      </c>
      <c r="AG34" t="n">
        <v>11</v>
      </c>
      <c r="AH34" t="n">
        <v>8</v>
      </c>
      <c r="AI34" t="n">
        <v>8</v>
      </c>
      <c r="AJ34" t="n">
        <v>19</v>
      </c>
      <c r="AK34" t="n">
        <v>21</v>
      </c>
      <c r="AL34" t="n">
        <v>2</v>
      </c>
      <c r="AM34" t="n">
        <v>2</v>
      </c>
      <c r="AN34" t="n">
        <v>0</v>
      </c>
      <c r="AO34" t="n">
        <v>0</v>
      </c>
      <c r="AP34" t="inlineStr">
        <is>
          <t>No</t>
        </is>
      </c>
      <c r="AQ34" t="inlineStr">
        <is>
          <t>No</t>
        </is>
      </c>
      <c r="AS34">
        <f>HYPERLINK("https://creighton-primo.hosted.exlibrisgroup.com/primo-explore/search?tab=default_tab&amp;search_scope=EVERYTHING&amp;vid=01CRU&amp;lang=en_US&amp;offset=0&amp;query=any,contains,991004990949702656","Catalog Record")</f>
        <v/>
      </c>
      <c r="AT34">
        <f>HYPERLINK("http://www.worldcat.org/oclc/6487312","WorldCat Record")</f>
        <v/>
      </c>
      <c r="AU34" t="inlineStr">
        <is>
          <t>866844808:eng</t>
        </is>
      </c>
      <c r="AV34" t="inlineStr">
        <is>
          <t>6487312</t>
        </is>
      </c>
      <c r="AW34" t="inlineStr">
        <is>
          <t>991004990949702656</t>
        </is>
      </c>
      <c r="AX34" t="inlineStr">
        <is>
          <t>991004990949702656</t>
        </is>
      </c>
      <c r="AY34" t="inlineStr">
        <is>
          <t>2271834550002656</t>
        </is>
      </c>
      <c r="AZ34" t="inlineStr">
        <is>
          <t>BOOK</t>
        </is>
      </c>
      <c r="BB34" t="inlineStr">
        <is>
          <t>9780312689698</t>
        </is>
      </c>
      <c r="BC34" t="inlineStr">
        <is>
          <t>32285001227833</t>
        </is>
      </c>
      <c r="BD34" t="inlineStr">
        <is>
          <t>893782880</t>
        </is>
      </c>
    </row>
    <row r="35">
      <c r="A35" t="inlineStr">
        <is>
          <t>No</t>
        </is>
      </c>
      <c r="B35" t="inlineStr">
        <is>
          <t>BX1365 .M6 1953</t>
        </is>
      </c>
      <c r="C35" t="inlineStr">
        <is>
          <t>0                      BX 1365000M  6           1953</t>
        </is>
      </c>
      <c r="D35" t="inlineStr">
        <is>
          <t>Church and society : Catholic social and political thought and movements, 1789-1950 / Edited by Joseph N. Moody in collaboration with: Edgar Alexander [and others]</t>
        </is>
      </c>
      <c r="F35" t="inlineStr">
        <is>
          <t>No</t>
        </is>
      </c>
      <c r="G35" t="inlineStr">
        <is>
          <t>1</t>
        </is>
      </c>
      <c r="H35" t="inlineStr">
        <is>
          <t>No</t>
        </is>
      </c>
      <c r="I35" t="inlineStr">
        <is>
          <t>No</t>
        </is>
      </c>
      <c r="J35" t="inlineStr">
        <is>
          <t>0</t>
        </is>
      </c>
      <c r="K35" t="inlineStr">
        <is>
          <t>Moody, Joseph N. (Joseph Nestor), 1904-, editor.</t>
        </is>
      </c>
      <c r="L35" t="inlineStr">
        <is>
          <t>New York : Arts, inc., [c1953]</t>
        </is>
      </c>
      <c r="M35" t="inlineStr">
        <is>
          <t>1953</t>
        </is>
      </c>
      <c r="O35" t="inlineStr">
        <is>
          <t>eng</t>
        </is>
      </c>
      <c r="P35" t="inlineStr">
        <is>
          <t>nyu</t>
        </is>
      </c>
      <c r="R35" t="inlineStr">
        <is>
          <t xml:space="preserve">BX </t>
        </is>
      </c>
      <c r="S35" t="n">
        <v>2</v>
      </c>
      <c r="T35" t="n">
        <v>2</v>
      </c>
      <c r="U35" t="inlineStr">
        <is>
          <t>2004-05-13</t>
        </is>
      </c>
      <c r="V35" t="inlineStr">
        <is>
          <t>2004-05-13</t>
        </is>
      </c>
      <c r="W35" t="inlineStr">
        <is>
          <t>1993-05-14</t>
        </is>
      </c>
      <c r="X35" t="inlineStr">
        <is>
          <t>1993-05-14</t>
        </is>
      </c>
      <c r="Y35" t="n">
        <v>572</v>
      </c>
      <c r="Z35" t="n">
        <v>504</v>
      </c>
      <c r="AA35" t="n">
        <v>591</v>
      </c>
      <c r="AB35" t="n">
        <v>4</v>
      </c>
      <c r="AC35" t="n">
        <v>4</v>
      </c>
      <c r="AD35" t="n">
        <v>36</v>
      </c>
      <c r="AE35" t="n">
        <v>41</v>
      </c>
      <c r="AF35" t="n">
        <v>10</v>
      </c>
      <c r="AG35" t="n">
        <v>13</v>
      </c>
      <c r="AH35" t="n">
        <v>9</v>
      </c>
      <c r="AI35" t="n">
        <v>10</v>
      </c>
      <c r="AJ35" t="n">
        <v>25</v>
      </c>
      <c r="AK35" t="n">
        <v>25</v>
      </c>
      <c r="AL35" t="n">
        <v>2</v>
      </c>
      <c r="AM35" t="n">
        <v>2</v>
      </c>
      <c r="AN35" t="n">
        <v>0</v>
      </c>
      <c r="AO35" t="n">
        <v>2</v>
      </c>
      <c r="AP35" t="inlineStr">
        <is>
          <t>No</t>
        </is>
      </c>
      <c r="AQ35" t="inlineStr">
        <is>
          <t>No</t>
        </is>
      </c>
      <c r="AR35">
        <f>HYPERLINK("http://catalog.hathitrust.org/Record/001415875","HathiTrust Record")</f>
        <v/>
      </c>
      <c r="AS35">
        <f>HYPERLINK("https://creighton-primo.hosted.exlibrisgroup.com/primo-explore/search?tab=default_tab&amp;search_scope=EVERYTHING&amp;vid=01CRU&amp;lang=en_US&amp;offset=0&amp;query=any,contains,991002646959702656","Catalog Record")</f>
        <v/>
      </c>
      <c r="AT35">
        <f>HYPERLINK("http://www.worldcat.org/oclc/386052","WorldCat Record")</f>
        <v/>
      </c>
      <c r="AU35" t="inlineStr">
        <is>
          <t>315582467:eng</t>
        </is>
      </c>
      <c r="AV35" t="inlineStr">
        <is>
          <t>386052</t>
        </is>
      </c>
      <c r="AW35" t="inlineStr">
        <is>
          <t>991002646959702656</t>
        </is>
      </c>
      <c r="AX35" t="inlineStr">
        <is>
          <t>991002646959702656</t>
        </is>
      </c>
      <c r="AY35" t="inlineStr">
        <is>
          <t>2257511380002656</t>
        </is>
      </c>
      <c r="AZ35" t="inlineStr">
        <is>
          <t>BOOK</t>
        </is>
      </c>
      <c r="BC35" t="inlineStr">
        <is>
          <t>32285001656510</t>
        </is>
      </c>
      <c r="BD35" t="inlineStr">
        <is>
          <t>893603829</t>
        </is>
      </c>
    </row>
    <row r="36">
      <c r="A36" t="inlineStr">
        <is>
          <t>No</t>
        </is>
      </c>
      <c r="B36" t="inlineStr">
        <is>
          <t>BX1365 .O4 1941</t>
        </is>
      </c>
      <c r="C36" t="inlineStr">
        <is>
          <t>0                      BX 1365000O  4           1941</t>
        </is>
      </c>
      <c r="D36" t="inlineStr">
        <is>
          <t>Their name is Pius : portraits of five great modern popes / [by] Lillian Browne-Olf.</t>
        </is>
      </c>
      <c r="F36" t="inlineStr">
        <is>
          <t>No</t>
        </is>
      </c>
      <c r="G36" t="inlineStr">
        <is>
          <t>1</t>
        </is>
      </c>
      <c r="H36" t="inlineStr">
        <is>
          <t>No</t>
        </is>
      </c>
      <c r="I36" t="inlineStr">
        <is>
          <t>No</t>
        </is>
      </c>
      <c r="J36" t="inlineStr">
        <is>
          <t>0</t>
        </is>
      </c>
      <c r="K36" t="inlineStr">
        <is>
          <t>Olf, Lillian Browne, 1880-</t>
        </is>
      </c>
      <c r="L36" t="inlineStr">
        <is>
          <t>Milwaukee : The Bruce Publishing Company, [c1941]</t>
        </is>
      </c>
      <c r="M36" t="inlineStr">
        <is>
          <t>1941</t>
        </is>
      </c>
      <c r="O36" t="inlineStr">
        <is>
          <t>eng</t>
        </is>
      </c>
      <c r="P36" t="inlineStr">
        <is>
          <t>wiu</t>
        </is>
      </c>
      <c r="Q36" t="inlineStr">
        <is>
          <t>Science and culture series; Joseph Husslein ... general editor</t>
        </is>
      </c>
      <c r="R36" t="inlineStr">
        <is>
          <t xml:space="preserve">BX </t>
        </is>
      </c>
      <c r="S36" t="n">
        <v>1</v>
      </c>
      <c r="T36" t="n">
        <v>1</v>
      </c>
      <c r="U36" t="inlineStr">
        <is>
          <t>1998-10-26</t>
        </is>
      </c>
      <c r="V36" t="inlineStr">
        <is>
          <t>1998-10-26</t>
        </is>
      </c>
      <c r="W36" t="inlineStr">
        <is>
          <t>1992-06-08</t>
        </is>
      </c>
      <c r="X36" t="inlineStr">
        <is>
          <t>1992-06-08</t>
        </is>
      </c>
      <c r="Y36" t="n">
        <v>212</v>
      </c>
      <c r="Z36" t="n">
        <v>199</v>
      </c>
      <c r="AA36" t="n">
        <v>364</v>
      </c>
      <c r="AB36" t="n">
        <v>5</v>
      </c>
      <c r="AC36" t="n">
        <v>6</v>
      </c>
      <c r="AD36" t="n">
        <v>27</v>
      </c>
      <c r="AE36" t="n">
        <v>30</v>
      </c>
      <c r="AF36" t="n">
        <v>7</v>
      </c>
      <c r="AG36" t="n">
        <v>9</v>
      </c>
      <c r="AH36" t="n">
        <v>8</v>
      </c>
      <c r="AI36" t="n">
        <v>8</v>
      </c>
      <c r="AJ36" t="n">
        <v>19</v>
      </c>
      <c r="AK36" t="n">
        <v>19</v>
      </c>
      <c r="AL36" t="n">
        <v>2</v>
      </c>
      <c r="AM36" t="n">
        <v>3</v>
      </c>
      <c r="AN36" t="n">
        <v>0</v>
      </c>
      <c r="AO36" t="n">
        <v>0</v>
      </c>
      <c r="AP36" t="inlineStr">
        <is>
          <t>Yes</t>
        </is>
      </c>
      <c r="AQ36" t="inlineStr">
        <is>
          <t>No</t>
        </is>
      </c>
      <c r="AR36">
        <f>HYPERLINK("http://catalog.hathitrust.org/Record/005789751","HathiTrust Record")</f>
        <v/>
      </c>
      <c r="AS36">
        <f>HYPERLINK("https://creighton-primo.hosted.exlibrisgroup.com/primo-explore/search?tab=default_tab&amp;search_scope=EVERYTHING&amp;vid=01CRU&amp;lang=en_US&amp;offset=0&amp;query=any,contains,991002746169702656","Catalog Record")</f>
        <v/>
      </c>
      <c r="AT36">
        <f>HYPERLINK("http://www.worldcat.org/oclc/422813","WorldCat Record")</f>
        <v/>
      </c>
      <c r="AU36" t="inlineStr">
        <is>
          <t>1326997:eng</t>
        </is>
      </c>
      <c r="AV36" t="inlineStr">
        <is>
          <t>422813</t>
        </is>
      </c>
      <c r="AW36" t="inlineStr">
        <is>
          <t>991002746169702656</t>
        </is>
      </c>
      <c r="AX36" t="inlineStr">
        <is>
          <t>991002746169702656</t>
        </is>
      </c>
      <c r="AY36" t="inlineStr">
        <is>
          <t>2267023590002656</t>
        </is>
      </c>
      <c r="AZ36" t="inlineStr">
        <is>
          <t>BOOK</t>
        </is>
      </c>
      <c r="BB36" t="inlineStr">
        <is>
          <t>9780836917680</t>
        </is>
      </c>
      <c r="BC36" t="inlineStr">
        <is>
          <t>32285001227841</t>
        </is>
      </c>
      <c r="BD36" t="inlineStr">
        <is>
          <t>893530406</t>
        </is>
      </c>
    </row>
    <row r="37">
      <c r="A37" t="inlineStr">
        <is>
          <t>No</t>
        </is>
      </c>
      <c r="B37" t="inlineStr">
        <is>
          <t>BX1369 .A45 1897</t>
        </is>
      </c>
      <c r="C37" t="inlineStr">
        <is>
          <t>0                      BX 1369000A  45          1897</t>
        </is>
      </c>
      <c r="D37" t="inlineStr">
        <is>
          <t>Pius the Seventh, 1800-1823 / by Mary H. Allies.</t>
        </is>
      </c>
      <c r="F37" t="inlineStr">
        <is>
          <t>No</t>
        </is>
      </c>
      <c r="G37" t="inlineStr">
        <is>
          <t>1</t>
        </is>
      </c>
      <c r="H37" t="inlineStr">
        <is>
          <t>No</t>
        </is>
      </c>
      <c r="I37" t="inlineStr">
        <is>
          <t>No</t>
        </is>
      </c>
      <c r="J37" t="inlineStr">
        <is>
          <t>0</t>
        </is>
      </c>
      <c r="K37" t="inlineStr">
        <is>
          <t>Allies, Mary H. (Mary Helen), 1852-1927.</t>
        </is>
      </c>
      <c r="L37" t="inlineStr">
        <is>
          <t>London : Burns &amp; Oates ; New York : Benziger, 1897.</t>
        </is>
      </c>
      <c r="M37" t="inlineStr">
        <is>
          <t>1897</t>
        </is>
      </c>
      <c r="O37" t="inlineStr">
        <is>
          <t>eng</t>
        </is>
      </c>
      <c r="P37" t="inlineStr">
        <is>
          <t xml:space="preserve">xx </t>
        </is>
      </c>
      <c r="R37" t="inlineStr">
        <is>
          <t xml:space="preserve">BX </t>
        </is>
      </c>
      <c r="S37" t="n">
        <v>0</v>
      </c>
      <c r="T37" t="n">
        <v>0</v>
      </c>
      <c r="U37" t="inlineStr">
        <is>
          <t>2005-02-03</t>
        </is>
      </c>
      <c r="V37" t="inlineStr">
        <is>
          <t>2005-02-03</t>
        </is>
      </c>
      <c r="W37" t="inlineStr">
        <is>
          <t>1992-06-08</t>
        </is>
      </c>
      <c r="X37" t="inlineStr">
        <is>
          <t>1992-06-08</t>
        </is>
      </c>
      <c r="Y37" t="n">
        <v>75</v>
      </c>
      <c r="Z37" t="n">
        <v>53</v>
      </c>
      <c r="AA37" t="n">
        <v>112</v>
      </c>
      <c r="AB37" t="n">
        <v>1</v>
      </c>
      <c r="AC37" t="n">
        <v>2</v>
      </c>
      <c r="AD37" t="n">
        <v>13</v>
      </c>
      <c r="AE37" t="n">
        <v>18</v>
      </c>
      <c r="AF37" t="n">
        <v>4</v>
      </c>
      <c r="AG37" t="n">
        <v>5</v>
      </c>
      <c r="AH37" t="n">
        <v>3</v>
      </c>
      <c r="AI37" t="n">
        <v>4</v>
      </c>
      <c r="AJ37" t="n">
        <v>11</v>
      </c>
      <c r="AK37" t="n">
        <v>13</v>
      </c>
      <c r="AL37" t="n">
        <v>0</v>
      </c>
      <c r="AM37" t="n">
        <v>1</v>
      </c>
      <c r="AN37" t="n">
        <v>0</v>
      </c>
      <c r="AO37" t="n">
        <v>0</v>
      </c>
      <c r="AP37" t="inlineStr">
        <is>
          <t>Yes</t>
        </is>
      </c>
      <c r="AQ37" t="inlineStr">
        <is>
          <t>No</t>
        </is>
      </c>
      <c r="AR37">
        <f>HYPERLINK("http://catalog.hathitrust.org/Record/010046113","HathiTrust Record")</f>
        <v/>
      </c>
      <c r="AS37">
        <f>HYPERLINK("https://creighton-primo.hosted.exlibrisgroup.com/primo-explore/search?tab=default_tab&amp;search_scope=EVERYTHING&amp;vid=01CRU&amp;lang=en_US&amp;offset=0&amp;query=any,contains,991004426249702656","Catalog Record")</f>
        <v/>
      </c>
      <c r="AT37">
        <f>HYPERLINK("http://www.worldcat.org/oclc/3398459","WorldCat Record")</f>
        <v/>
      </c>
      <c r="AU37" t="inlineStr">
        <is>
          <t>10320000:eng</t>
        </is>
      </c>
      <c r="AV37" t="inlineStr">
        <is>
          <t>3398459</t>
        </is>
      </c>
      <c r="AW37" t="inlineStr">
        <is>
          <t>991004426249702656</t>
        </is>
      </c>
      <c r="AX37" t="inlineStr">
        <is>
          <t>991004426249702656</t>
        </is>
      </c>
      <c r="AY37" t="inlineStr">
        <is>
          <t>2270184710002656</t>
        </is>
      </c>
      <c r="AZ37" t="inlineStr">
        <is>
          <t>BOOK</t>
        </is>
      </c>
      <c r="BC37" t="inlineStr">
        <is>
          <t>32285001227858</t>
        </is>
      </c>
      <c r="BD37" t="inlineStr">
        <is>
          <t>893693940</t>
        </is>
      </c>
    </row>
    <row r="38">
      <c r="A38" t="inlineStr">
        <is>
          <t>No</t>
        </is>
      </c>
      <c r="B38" t="inlineStr">
        <is>
          <t>BX1373 .H28 1954a</t>
        </is>
      </c>
      <c r="C38" t="inlineStr">
        <is>
          <t>0                      BX 1373000H  28          1954a</t>
        </is>
      </c>
      <c r="D38" t="inlineStr">
        <is>
          <t>Pio Nono : a study in European politics and religion in the nineteenth century / by E. E. Y. Hales.</t>
        </is>
      </c>
      <c r="F38" t="inlineStr">
        <is>
          <t>No</t>
        </is>
      </c>
      <c r="G38" t="inlineStr">
        <is>
          <t>1</t>
        </is>
      </c>
      <c r="H38" t="inlineStr">
        <is>
          <t>No</t>
        </is>
      </c>
      <c r="I38" t="inlineStr">
        <is>
          <t>No</t>
        </is>
      </c>
      <c r="J38" t="inlineStr">
        <is>
          <t>0</t>
        </is>
      </c>
      <c r="K38" t="inlineStr">
        <is>
          <t>Hales, E. E. Y. (Edward Elton Young), 1908-1986.</t>
        </is>
      </c>
      <c r="L38" t="inlineStr">
        <is>
          <t>New York : P. J. Kenedy, [1954]</t>
        </is>
      </c>
      <c r="M38" t="inlineStr">
        <is>
          <t>1954</t>
        </is>
      </c>
      <c r="O38" t="inlineStr">
        <is>
          <t>eng</t>
        </is>
      </c>
      <c r="P38" t="inlineStr">
        <is>
          <t xml:space="preserve">xx </t>
        </is>
      </c>
      <c r="R38" t="inlineStr">
        <is>
          <t xml:space="preserve">BX </t>
        </is>
      </c>
      <c r="S38" t="n">
        <v>3</v>
      </c>
      <c r="T38" t="n">
        <v>3</v>
      </c>
      <c r="U38" t="inlineStr">
        <is>
          <t>2000-09-22</t>
        </is>
      </c>
      <c r="V38" t="inlineStr">
        <is>
          <t>2000-09-22</t>
        </is>
      </c>
      <c r="W38" t="inlineStr">
        <is>
          <t>1992-04-03</t>
        </is>
      </c>
      <c r="X38" t="inlineStr">
        <is>
          <t>1992-04-03</t>
        </is>
      </c>
      <c r="Y38" t="n">
        <v>356</v>
      </c>
      <c r="Z38" t="n">
        <v>326</v>
      </c>
      <c r="AA38" t="n">
        <v>545</v>
      </c>
      <c r="AB38" t="n">
        <v>2</v>
      </c>
      <c r="AC38" t="n">
        <v>5</v>
      </c>
      <c r="AD38" t="n">
        <v>28</v>
      </c>
      <c r="AE38" t="n">
        <v>40</v>
      </c>
      <c r="AF38" t="n">
        <v>11</v>
      </c>
      <c r="AG38" t="n">
        <v>15</v>
      </c>
      <c r="AH38" t="n">
        <v>6</v>
      </c>
      <c r="AI38" t="n">
        <v>10</v>
      </c>
      <c r="AJ38" t="n">
        <v>17</v>
      </c>
      <c r="AK38" t="n">
        <v>26</v>
      </c>
      <c r="AL38" t="n">
        <v>1</v>
      </c>
      <c r="AM38" t="n">
        <v>2</v>
      </c>
      <c r="AN38" t="n">
        <v>0</v>
      </c>
      <c r="AO38" t="n">
        <v>0</v>
      </c>
      <c r="AP38" t="inlineStr">
        <is>
          <t>No</t>
        </is>
      </c>
      <c r="AQ38" t="inlineStr">
        <is>
          <t>No</t>
        </is>
      </c>
      <c r="AS38">
        <f>HYPERLINK("https://creighton-primo.hosted.exlibrisgroup.com/primo-explore/search?tab=default_tab&amp;search_scope=EVERYTHING&amp;vid=01CRU&amp;lang=en_US&amp;offset=0&amp;query=any,contains,991003248549702656","Catalog Record")</f>
        <v/>
      </c>
      <c r="AT38">
        <f>HYPERLINK("http://www.worldcat.org/oclc/773377","WorldCat Record")</f>
        <v/>
      </c>
      <c r="AU38" t="inlineStr">
        <is>
          <t>1680460:eng</t>
        </is>
      </c>
      <c r="AV38" t="inlineStr">
        <is>
          <t>773377</t>
        </is>
      </c>
      <c r="AW38" t="inlineStr">
        <is>
          <t>991003248549702656</t>
        </is>
      </c>
      <c r="AX38" t="inlineStr">
        <is>
          <t>991003248549702656</t>
        </is>
      </c>
      <c r="AY38" t="inlineStr">
        <is>
          <t>2265673850002656</t>
        </is>
      </c>
      <c r="AZ38" t="inlineStr">
        <is>
          <t>BOOK</t>
        </is>
      </c>
      <c r="BC38" t="inlineStr">
        <is>
          <t>32285001048205</t>
        </is>
      </c>
      <c r="BD38" t="inlineStr">
        <is>
          <t>893422346</t>
        </is>
      </c>
    </row>
    <row r="39">
      <c r="A39" t="inlineStr">
        <is>
          <t>No</t>
        </is>
      </c>
      <c r="B39" t="inlineStr">
        <is>
          <t>BX1373 .M3 1870</t>
        </is>
      </c>
      <c r="C39" t="inlineStr">
        <is>
          <t>0                      BX 1373000M  3           1870</t>
        </is>
      </c>
      <c r="D39" t="inlineStr">
        <is>
          <t>Pontificate of Pius the Ninth : being the third edition of 'Rome and its ruler', continued to the latest moment and greatly enlarged / by John Francis Maguire.</t>
        </is>
      </c>
      <c r="F39" t="inlineStr">
        <is>
          <t>No</t>
        </is>
      </c>
      <c r="G39" t="inlineStr">
        <is>
          <t>1</t>
        </is>
      </c>
      <c r="H39" t="inlineStr">
        <is>
          <t>No</t>
        </is>
      </c>
      <c r="I39" t="inlineStr">
        <is>
          <t>No</t>
        </is>
      </c>
      <c r="J39" t="inlineStr">
        <is>
          <t>0</t>
        </is>
      </c>
      <c r="K39" t="inlineStr">
        <is>
          <t>Maguire, John Francis, 1815-1872.</t>
        </is>
      </c>
      <c r="L39" t="inlineStr">
        <is>
          <t>London : Longmans, Green, and Co., 1870.</t>
        </is>
      </c>
      <c r="M39" t="inlineStr">
        <is>
          <t>1870</t>
        </is>
      </c>
      <c r="O39" t="inlineStr">
        <is>
          <t>eng</t>
        </is>
      </c>
      <c r="P39" t="inlineStr">
        <is>
          <t>enk</t>
        </is>
      </c>
      <c r="R39" t="inlineStr">
        <is>
          <t xml:space="preserve">BX </t>
        </is>
      </c>
      <c r="S39" t="n">
        <v>1</v>
      </c>
      <c r="T39" t="n">
        <v>1</v>
      </c>
      <c r="U39" t="inlineStr">
        <is>
          <t>1999-01-05</t>
        </is>
      </c>
      <c r="V39" t="inlineStr">
        <is>
          <t>1999-01-05</t>
        </is>
      </c>
      <c r="W39" t="inlineStr">
        <is>
          <t>1992-06-08</t>
        </is>
      </c>
      <c r="X39" t="inlineStr">
        <is>
          <t>1992-06-08</t>
        </is>
      </c>
      <c r="Y39" t="n">
        <v>33</v>
      </c>
      <c r="Z39" t="n">
        <v>29</v>
      </c>
      <c r="AA39" t="n">
        <v>145</v>
      </c>
      <c r="AB39" t="n">
        <v>1</v>
      </c>
      <c r="AC39" t="n">
        <v>2</v>
      </c>
      <c r="AD39" t="n">
        <v>3</v>
      </c>
      <c r="AE39" t="n">
        <v>10</v>
      </c>
      <c r="AF39" t="n">
        <v>1</v>
      </c>
      <c r="AG39" t="n">
        <v>4</v>
      </c>
      <c r="AH39" t="n">
        <v>0</v>
      </c>
      <c r="AI39" t="n">
        <v>2</v>
      </c>
      <c r="AJ39" t="n">
        <v>3</v>
      </c>
      <c r="AK39" t="n">
        <v>3</v>
      </c>
      <c r="AL39" t="n">
        <v>0</v>
      </c>
      <c r="AM39" t="n">
        <v>1</v>
      </c>
      <c r="AN39" t="n">
        <v>0</v>
      </c>
      <c r="AO39" t="n">
        <v>2</v>
      </c>
      <c r="AP39" t="inlineStr">
        <is>
          <t>Yes</t>
        </is>
      </c>
      <c r="AQ39" t="inlineStr">
        <is>
          <t>No</t>
        </is>
      </c>
      <c r="AR39">
        <f>HYPERLINK("http://catalog.hathitrust.org/Record/008406473","HathiTrust Record")</f>
        <v/>
      </c>
      <c r="AS39">
        <f>HYPERLINK("https://creighton-primo.hosted.exlibrisgroup.com/primo-explore/search?tab=default_tab&amp;search_scope=EVERYTHING&amp;vid=01CRU&amp;lang=en_US&amp;offset=0&amp;query=any,contains,991004466309702656","Catalog Record")</f>
        <v/>
      </c>
      <c r="AT39">
        <f>HYPERLINK("http://www.worldcat.org/oclc/3573018","WorldCat Record")</f>
        <v/>
      </c>
      <c r="AU39" t="inlineStr">
        <is>
          <t>2287838180:eng</t>
        </is>
      </c>
      <c r="AV39" t="inlineStr">
        <is>
          <t>3573018</t>
        </is>
      </c>
      <c r="AW39" t="inlineStr">
        <is>
          <t>991004466309702656</t>
        </is>
      </c>
      <c r="AX39" t="inlineStr">
        <is>
          <t>991004466309702656</t>
        </is>
      </c>
      <c r="AY39" t="inlineStr">
        <is>
          <t>2266672620002656</t>
        </is>
      </c>
      <c r="AZ39" t="inlineStr">
        <is>
          <t>BOOK</t>
        </is>
      </c>
      <c r="BC39" t="inlineStr">
        <is>
          <t>32285001227882</t>
        </is>
      </c>
      <c r="BD39" t="inlineStr">
        <is>
          <t>893876144</t>
        </is>
      </c>
    </row>
    <row r="40">
      <c r="A40" t="inlineStr">
        <is>
          <t>No</t>
        </is>
      </c>
      <c r="B40" t="inlineStr">
        <is>
          <t>BX1374 .F76 1937</t>
        </is>
      </c>
      <c r="C40" t="inlineStr">
        <is>
          <t>0                      BX 1374000F  76          1937</t>
        </is>
      </c>
      <c r="D40" t="inlineStr">
        <is>
          <t>Leo XIII and our times : might of the church-power in the world / translated by Conrad M. R. Bonacina.</t>
        </is>
      </c>
      <c r="F40" t="inlineStr">
        <is>
          <t>No</t>
        </is>
      </c>
      <c r="G40" t="inlineStr">
        <is>
          <t>1</t>
        </is>
      </c>
      <c r="H40" t="inlineStr">
        <is>
          <t>No</t>
        </is>
      </c>
      <c r="I40" t="inlineStr">
        <is>
          <t>No</t>
        </is>
      </c>
      <c r="J40" t="inlineStr">
        <is>
          <t>0</t>
        </is>
      </c>
      <c r="K40" t="inlineStr">
        <is>
          <t>Fülöp-Miller, René, 1891-1963.</t>
        </is>
      </c>
      <c r="L40" t="inlineStr">
        <is>
          <t>London, New York [etc.] : Longmans, Green and co., 1937.</t>
        </is>
      </c>
      <c r="M40" t="inlineStr">
        <is>
          <t>1937</t>
        </is>
      </c>
      <c r="O40" t="inlineStr">
        <is>
          <t>eng</t>
        </is>
      </c>
      <c r="P40" t="inlineStr">
        <is>
          <t xml:space="preserve">xx </t>
        </is>
      </c>
      <c r="R40" t="inlineStr">
        <is>
          <t xml:space="preserve">BX </t>
        </is>
      </c>
      <c r="S40" t="n">
        <v>2</v>
      </c>
      <c r="T40" t="n">
        <v>2</v>
      </c>
      <c r="U40" t="inlineStr">
        <is>
          <t>1993-11-16</t>
        </is>
      </c>
      <c r="V40" t="inlineStr">
        <is>
          <t>1993-11-16</t>
        </is>
      </c>
      <c r="W40" t="inlineStr">
        <is>
          <t>1990-06-08</t>
        </is>
      </c>
      <c r="X40" t="inlineStr">
        <is>
          <t>1990-06-08</t>
        </is>
      </c>
      <c r="Y40" t="n">
        <v>307</v>
      </c>
      <c r="Z40" t="n">
        <v>286</v>
      </c>
      <c r="AA40" t="n">
        <v>297</v>
      </c>
      <c r="AB40" t="n">
        <v>2</v>
      </c>
      <c r="AC40" t="n">
        <v>2</v>
      </c>
      <c r="AD40" t="n">
        <v>30</v>
      </c>
      <c r="AE40" t="n">
        <v>31</v>
      </c>
      <c r="AF40" t="n">
        <v>7</v>
      </c>
      <c r="AG40" t="n">
        <v>8</v>
      </c>
      <c r="AH40" t="n">
        <v>8</v>
      </c>
      <c r="AI40" t="n">
        <v>8</v>
      </c>
      <c r="AJ40" t="n">
        <v>23</v>
      </c>
      <c r="AK40" t="n">
        <v>24</v>
      </c>
      <c r="AL40" t="n">
        <v>1</v>
      </c>
      <c r="AM40" t="n">
        <v>1</v>
      </c>
      <c r="AN40" t="n">
        <v>0</v>
      </c>
      <c r="AO40" t="n">
        <v>0</v>
      </c>
      <c r="AP40" t="inlineStr">
        <is>
          <t>No</t>
        </is>
      </c>
      <c r="AQ40" t="inlineStr">
        <is>
          <t>Yes</t>
        </is>
      </c>
      <c r="AR40">
        <f>HYPERLINK("http://catalog.hathitrust.org/Record/101872469","HathiTrust Record")</f>
        <v/>
      </c>
      <c r="AS40">
        <f>HYPERLINK("https://creighton-primo.hosted.exlibrisgroup.com/primo-explore/search?tab=default_tab&amp;search_scope=EVERYTHING&amp;vid=01CRU&amp;lang=en_US&amp;offset=0&amp;query=any,contains,991002710869702656","Catalog Record")</f>
        <v/>
      </c>
      <c r="AT40">
        <f>HYPERLINK("http://www.worldcat.org/oclc/409183","WorldCat Record")</f>
        <v/>
      </c>
      <c r="AU40" t="inlineStr">
        <is>
          <t>1151001196:eng</t>
        </is>
      </c>
      <c r="AV40" t="inlineStr">
        <is>
          <t>409183</t>
        </is>
      </c>
      <c r="AW40" t="inlineStr">
        <is>
          <t>991002710869702656</t>
        </is>
      </c>
      <c r="AX40" t="inlineStr">
        <is>
          <t>991002710869702656</t>
        </is>
      </c>
      <c r="AY40" t="inlineStr">
        <is>
          <t>2262134690002656</t>
        </is>
      </c>
      <c r="AZ40" t="inlineStr">
        <is>
          <t>BOOK</t>
        </is>
      </c>
      <c r="BC40" t="inlineStr">
        <is>
          <t>32285000184530</t>
        </is>
      </c>
      <c r="BD40" t="inlineStr">
        <is>
          <t>893773946</t>
        </is>
      </c>
    </row>
    <row r="41">
      <c r="A41" t="inlineStr">
        <is>
          <t>No</t>
        </is>
      </c>
      <c r="B41" t="inlineStr">
        <is>
          <t>BX1374 .G3 1961</t>
        </is>
      </c>
      <c r="C41" t="inlineStr">
        <is>
          <t>0                      BX 1374000G  3           1961</t>
        </is>
      </c>
      <c r="D41" t="inlineStr">
        <is>
          <t>Leo XIII and the modern world.</t>
        </is>
      </c>
      <c r="F41" t="inlineStr">
        <is>
          <t>No</t>
        </is>
      </c>
      <c r="G41" t="inlineStr">
        <is>
          <t>1</t>
        </is>
      </c>
      <c r="H41" t="inlineStr">
        <is>
          <t>No</t>
        </is>
      </c>
      <c r="I41" t="inlineStr">
        <is>
          <t>No</t>
        </is>
      </c>
      <c r="J41" t="inlineStr">
        <is>
          <t>0</t>
        </is>
      </c>
      <c r="K41" t="inlineStr">
        <is>
          <t>Gargan, Edward T., 1922-, editor.</t>
        </is>
      </c>
      <c r="L41" t="inlineStr">
        <is>
          <t>New York : Sheed and Ward, [1961]</t>
        </is>
      </c>
      <c r="M41" t="inlineStr">
        <is>
          <t>1961</t>
        </is>
      </c>
      <c r="O41" t="inlineStr">
        <is>
          <t>eng</t>
        </is>
      </c>
      <c r="P41" t="inlineStr">
        <is>
          <t xml:space="preserve">xx </t>
        </is>
      </c>
      <c r="R41" t="inlineStr">
        <is>
          <t xml:space="preserve">BX </t>
        </is>
      </c>
      <c r="S41" t="n">
        <v>3</v>
      </c>
      <c r="T41" t="n">
        <v>3</v>
      </c>
      <c r="U41" t="inlineStr">
        <is>
          <t>2004-05-13</t>
        </is>
      </c>
      <c r="V41" t="inlineStr">
        <is>
          <t>2004-05-13</t>
        </is>
      </c>
      <c r="W41" t="inlineStr">
        <is>
          <t>1990-06-08</t>
        </is>
      </c>
      <c r="X41" t="inlineStr">
        <is>
          <t>1990-06-08</t>
        </is>
      </c>
      <c r="Y41" t="n">
        <v>442</v>
      </c>
      <c r="Z41" t="n">
        <v>397</v>
      </c>
      <c r="AA41" t="n">
        <v>399</v>
      </c>
      <c r="AB41" t="n">
        <v>1</v>
      </c>
      <c r="AC41" t="n">
        <v>1</v>
      </c>
      <c r="AD41" t="n">
        <v>28</v>
      </c>
      <c r="AE41" t="n">
        <v>28</v>
      </c>
      <c r="AF41" t="n">
        <v>9</v>
      </c>
      <c r="AG41" t="n">
        <v>9</v>
      </c>
      <c r="AH41" t="n">
        <v>9</v>
      </c>
      <c r="AI41" t="n">
        <v>9</v>
      </c>
      <c r="AJ41" t="n">
        <v>21</v>
      </c>
      <c r="AK41" t="n">
        <v>21</v>
      </c>
      <c r="AL41" t="n">
        <v>0</v>
      </c>
      <c r="AM41" t="n">
        <v>0</v>
      </c>
      <c r="AN41" t="n">
        <v>0</v>
      </c>
      <c r="AO41" t="n">
        <v>0</v>
      </c>
      <c r="AP41" t="inlineStr">
        <is>
          <t>No</t>
        </is>
      </c>
      <c r="AQ41" t="inlineStr">
        <is>
          <t>No</t>
        </is>
      </c>
      <c r="AR41">
        <f>HYPERLINK("http://catalog.hathitrust.org/Record/001415881","HathiTrust Record")</f>
        <v/>
      </c>
      <c r="AS41">
        <f>HYPERLINK("https://creighton-primo.hosted.exlibrisgroup.com/primo-explore/search?tab=default_tab&amp;search_scope=EVERYTHING&amp;vid=01CRU&amp;lang=en_US&amp;offset=0&amp;query=any,contains,991002646899702656","Catalog Record")</f>
        <v/>
      </c>
      <c r="AT41">
        <f>HYPERLINK("http://www.worldcat.org/oclc/386048","WorldCat Record")</f>
        <v/>
      </c>
      <c r="AU41" t="inlineStr">
        <is>
          <t>1509900:eng</t>
        </is>
      </c>
      <c r="AV41" t="inlineStr">
        <is>
          <t>386048</t>
        </is>
      </c>
      <c r="AW41" t="inlineStr">
        <is>
          <t>991002646899702656</t>
        </is>
      </c>
      <c r="AX41" t="inlineStr">
        <is>
          <t>991002646899702656</t>
        </is>
      </c>
      <c r="AY41" t="inlineStr">
        <is>
          <t>2257511000002656</t>
        </is>
      </c>
      <c r="AZ41" t="inlineStr">
        <is>
          <t>BOOK</t>
        </is>
      </c>
      <c r="BC41" t="inlineStr">
        <is>
          <t>32285000184548</t>
        </is>
      </c>
      <c r="BD41" t="inlineStr">
        <is>
          <t>893251461</t>
        </is>
      </c>
    </row>
    <row r="42">
      <c r="A42" t="inlineStr">
        <is>
          <t>No</t>
        </is>
      </c>
      <c r="B42" t="inlineStr">
        <is>
          <t>BX1374 .M27 1903</t>
        </is>
      </c>
      <c r="C42" t="inlineStr">
        <is>
          <t>0                      BX 1374000M  27          1903</t>
        </is>
      </c>
      <c r="D42" t="inlineStr">
        <is>
          <t>The life and life-work of Pope Leo XIII : [official ed.] / by Rev. James J. McGovern.</t>
        </is>
      </c>
      <c r="F42" t="inlineStr">
        <is>
          <t>No</t>
        </is>
      </c>
      <c r="G42" t="inlineStr">
        <is>
          <t>1</t>
        </is>
      </c>
      <c r="H42" t="inlineStr">
        <is>
          <t>No</t>
        </is>
      </c>
      <c r="I42" t="inlineStr">
        <is>
          <t>Yes</t>
        </is>
      </c>
      <c r="J42" t="inlineStr">
        <is>
          <t>0</t>
        </is>
      </c>
      <c r="K42" t="inlineStr">
        <is>
          <t>McGovern, James J. (James Joseph), 1839-1914.</t>
        </is>
      </c>
      <c r="L42" t="inlineStr">
        <is>
          <t>Chicago ; Philadelphia : Monarch book company, [1903]</t>
        </is>
      </c>
      <c r="M42" t="inlineStr">
        <is>
          <t>1903</t>
        </is>
      </c>
      <c r="O42" t="inlineStr">
        <is>
          <t>eng</t>
        </is>
      </c>
      <c r="P42" t="inlineStr">
        <is>
          <t>ilu</t>
        </is>
      </c>
      <c r="R42" t="inlineStr">
        <is>
          <t xml:space="preserve">BX </t>
        </is>
      </c>
      <c r="S42" t="n">
        <v>2</v>
      </c>
      <c r="T42" t="n">
        <v>2</v>
      </c>
      <c r="U42" t="inlineStr">
        <is>
          <t>2004-04-28</t>
        </is>
      </c>
      <c r="V42" t="inlineStr">
        <is>
          <t>2004-04-28</t>
        </is>
      </c>
      <c r="W42" t="inlineStr">
        <is>
          <t>1992-03-20</t>
        </is>
      </c>
      <c r="X42" t="inlineStr">
        <is>
          <t>1992-03-20</t>
        </is>
      </c>
      <c r="Y42" t="n">
        <v>38</v>
      </c>
      <c r="Z42" t="n">
        <v>36</v>
      </c>
      <c r="AA42" t="n">
        <v>124</v>
      </c>
      <c r="AB42" t="n">
        <v>2</v>
      </c>
      <c r="AC42" t="n">
        <v>4</v>
      </c>
      <c r="AD42" t="n">
        <v>8</v>
      </c>
      <c r="AE42" t="n">
        <v>18</v>
      </c>
      <c r="AF42" t="n">
        <v>3</v>
      </c>
      <c r="AG42" t="n">
        <v>7</v>
      </c>
      <c r="AH42" t="n">
        <v>2</v>
      </c>
      <c r="AI42" t="n">
        <v>3</v>
      </c>
      <c r="AJ42" t="n">
        <v>5</v>
      </c>
      <c r="AK42" t="n">
        <v>10</v>
      </c>
      <c r="AL42" t="n">
        <v>0</v>
      </c>
      <c r="AM42" t="n">
        <v>2</v>
      </c>
      <c r="AN42" t="n">
        <v>0</v>
      </c>
      <c r="AO42" t="n">
        <v>0</v>
      </c>
      <c r="AP42" t="inlineStr">
        <is>
          <t>Yes</t>
        </is>
      </c>
      <c r="AQ42" t="inlineStr">
        <is>
          <t>No</t>
        </is>
      </c>
      <c r="AR42">
        <f>HYPERLINK("http://catalog.hathitrust.org/Record/009777854","HathiTrust Record")</f>
        <v/>
      </c>
      <c r="AS42">
        <f>HYPERLINK("https://creighton-primo.hosted.exlibrisgroup.com/primo-explore/search?tab=default_tab&amp;search_scope=EVERYTHING&amp;vid=01CRU&amp;lang=en_US&amp;offset=0&amp;query=any,contains,991004608699702656","Catalog Record")</f>
        <v/>
      </c>
      <c r="AT42">
        <f>HYPERLINK("http://www.worldcat.org/oclc/4204065","WorldCat Record")</f>
        <v/>
      </c>
      <c r="AU42" t="inlineStr">
        <is>
          <t>3943336346:eng</t>
        </is>
      </c>
      <c r="AV42" t="inlineStr">
        <is>
          <t>4204065</t>
        </is>
      </c>
      <c r="AW42" t="inlineStr">
        <is>
          <t>991004608699702656</t>
        </is>
      </c>
      <c r="AX42" t="inlineStr">
        <is>
          <t>991004608699702656</t>
        </is>
      </c>
      <c r="AY42" t="inlineStr">
        <is>
          <t>2261654400002656</t>
        </is>
      </c>
      <c r="AZ42" t="inlineStr">
        <is>
          <t>BOOK</t>
        </is>
      </c>
      <c r="BC42" t="inlineStr">
        <is>
          <t>32285001025112</t>
        </is>
      </c>
      <c r="BD42" t="inlineStr">
        <is>
          <t>893417816</t>
        </is>
      </c>
    </row>
    <row r="43">
      <c r="A43" t="inlineStr">
        <is>
          <t>No</t>
        </is>
      </c>
      <c r="B43" t="inlineStr">
        <is>
          <t>BX1374 .T8 1903</t>
        </is>
      </c>
      <c r="C43" t="inlineStr">
        <is>
          <t>0                      BX 1374000T  8           1903</t>
        </is>
      </c>
      <c r="D43" t="inlineStr">
        <is>
          <t>The life and labors of Pope Leo XIII : with a summary of his important letters, addresses, and encyclicals / by Monseigneur Charles de T'Serclaes...ed. and extended by Maurice Francis Egan...</t>
        </is>
      </c>
      <c r="F43" t="inlineStr">
        <is>
          <t>No</t>
        </is>
      </c>
      <c r="G43" t="inlineStr">
        <is>
          <t>1</t>
        </is>
      </c>
      <c r="H43" t="inlineStr">
        <is>
          <t>No</t>
        </is>
      </c>
      <c r="I43" t="inlineStr">
        <is>
          <t>No</t>
        </is>
      </c>
      <c r="J43" t="inlineStr">
        <is>
          <t>0</t>
        </is>
      </c>
      <c r="K43" t="inlineStr">
        <is>
          <t>T'Serclaes de Wommersom, Charles, comte de, 1854-1930.</t>
        </is>
      </c>
      <c r="L43" t="inlineStr">
        <is>
          <t>Chicago ; London, [etc.] : Rand, McNally &amp; company, [1903]</t>
        </is>
      </c>
      <c r="M43" t="inlineStr">
        <is>
          <t>1903</t>
        </is>
      </c>
      <c r="O43" t="inlineStr">
        <is>
          <t>eng</t>
        </is>
      </c>
      <c r="P43" t="inlineStr">
        <is>
          <t xml:space="preserve">xx </t>
        </is>
      </c>
      <c r="R43" t="inlineStr">
        <is>
          <t xml:space="preserve">BX </t>
        </is>
      </c>
      <c r="S43" t="n">
        <v>2</v>
      </c>
      <c r="T43" t="n">
        <v>2</v>
      </c>
      <c r="U43" t="inlineStr">
        <is>
          <t>1995-09-08</t>
        </is>
      </c>
      <c r="V43" t="inlineStr">
        <is>
          <t>1995-09-08</t>
        </is>
      </c>
      <c r="W43" t="inlineStr">
        <is>
          <t>1992-06-08</t>
        </is>
      </c>
      <c r="X43" t="inlineStr">
        <is>
          <t>1992-06-08</t>
        </is>
      </c>
      <c r="Y43" t="n">
        <v>46</v>
      </c>
      <c r="Z43" t="n">
        <v>46</v>
      </c>
      <c r="AA43" t="n">
        <v>57</v>
      </c>
      <c r="AB43" t="n">
        <v>1</v>
      </c>
      <c r="AC43" t="n">
        <v>1</v>
      </c>
      <c r="AD43" t="n">
        <v>12</v>
      </c>
      <c r="AE43" t="n">
        <v>12</v>
      </c>
      <c r="AF43" t="n">
        <v>5</v>
      </c>
      <c r="AG43" t="n">
        <v>5</v>
      </c>
      <c r="AH43" t="n">
        <v>2</v>
      </c>
      <c r="AI43" t="n">
        <v>2</v>
      </c>
      <c r="AJ43" t="n">
        <v>9</v>
      </c>
      <c r="AK43" t="n">
        <v>9</v>
      </c>
      <c r="AL43" t="n">
        <v>0</v>
      </c>
      <c r="AM43" t="n">
        <v>0</v>
      </c>
      <c r="AN43" t="n">
        <v>0</v>
      </c>
      <c r="AO43" t="n">
        <v>0</v>
      </c>
      <c r="AP43" t="inlineStr">
        <is>
          <t>Yes</t>
        </is>
      </c>
      <c r="AQ43" t="inlineStr">
        <is>
          <t>No</t>
        </is>
      </c>
      <c r="AR43">
        <f>HYPERLINK("http://catalog.hathitrust.org/Record/100870362","HathiTrust Record")</f>
        <v/>
      </c>
      <c r="AS43">
        <f>HYPERLINK("https://creighton-primo.hosted.exlibrisgroup.com/primo-explore/search?tab=default_tab&amp;search_scope=EVERYTHING&amp;vid=01CRU&amp;lang=en_US&amp;offset=0&amp;query=any,contains,991004923019702656","Catalog Record")</f>
        <v/>
      </c>
      <c r="AT43">
        <f>HYPERLINK("http://www.worldcat.org/oclc/6061734","WorldCat Record")</f>
        <v/>
      </c>
      <c r="AU43" t="inlineStr">
        <is>
          <t>57515689:eng</t>
        </is>
      </c>
      <c r="AV43" t="inlineStr">
        <is>
          <t>6061734</t>
        </is>
      </c>
      <c r="AW43" t="inlineStr">
        <is>
          <t>991004923019702656</t>
        </is>
      </c>
      <c r="AX43" t="inlineStr">
        <is>
          <t>991004923019702656</t>
        </is>
      </c>
      <c r="AY43" t="inlineStr">
        <is>
          <t>2269567170002656</t>
        </is>
      </c>
      <c r="AZ43" t="inlineStr">
        <is>
          <t>BOOK</t>
        </is>
      </c>
      <c r="BC43" t="inlineStr">
        <is>
          <t>32285001227973</t>
        </is>
      </c>
      <c r="BD43" t="inlineStr">
        <is>
          <t>893789238</t>
        </is>
      </c>
    </row>
    <row r="44">
      <c r="A44" t="inlineStr">
        <is>
          <t>No</t>
        </is>
      </c>
      <c r="B44" t="inlineStr">
        <is>
          <t>BX1374 .W3</t>
        </is>
      </c>
      <c r="C44" t="inlineStr">
        <is>
          <t>0                      BX 1374000W  3</t>
        </is>
      </c>
      <c r="D44" t="inlineStr">
        <is>
          <t>Leo XIII and the rise of socialism / Lillian Parker Wallace.</t>
        </is>
      </c>
      <c r="F44" t="inlineStr">
        <is>
          <t>No</t>
        </is>
      </c>
      <c r="G44" t="inlineStr">
        <is>
          <t>1</t>
        </is>
      </c>
      <c r="H44" t="inlineStr">
        <is>
          <t>No</t>
        </is>
      </c>
      <c r="I44" t="inlineStr">
        <is>
          <t>No</t>
        </is>
      </c>
      <c r="J44" t="inlineStr">
        <is>
          <t>0</t>
        </is>
      </c>
      <c r="K44" t="inlineStr">
        <is>
          <t>Wallace, Lillian Parker, 1890-1971.</t>
        </is>
      </c>
      <c r="L44" t="inlineStr">
        <is>
          <t>[Durham, N.C.] Duke University Press, 1966.</t>
        </is>
      </c>
      <c r="M44" t="inlineStr">
        <is>
          <t>1966</t>
        </is>
      </c>
      <c r="O44" t="inlineStr">
        <is>
          <t>eng</t>
        </is>
      </c>
      <c r="P44" t="inlineStr">
        <is>
          <t>ncu</t>
        </is>
      </c>
      <c r="R44" t="inlineStr">
        <is>
          <t xml:space="preserve">BX </t>
        </is>
      </c>
      <c r="S44" t="n">
        <v>3</v>
      </c>
      <c r="T44" t="n">
        <v>3</v>
      </c>
      <c r="U44" t="inlineStr">
        <is>
          <t>2004-05-13</t>
        </is>
      </c>
      <c r="V44" t="inlineStr">
        <is>
          <t>2004-05-13</t>
        </is>
      </c>
      <c r="W44" t="inlineStr">
        <is>
          <t>1990-03-08</t>
        </is>
      </c>
      <c r="X44" t="inlineStr">
        <is>
          <t>1990-03-08</t>
        </is>
      </c>
      <c r="Y44" t="n">
        <v>612</v>
      </c>
      <c r="Z44" t="n">
        <v>523</v>
      </c>
      <c r="AA44" t="n">
        <v>530</v>
      </c>
      <c r="AB44" t="n">
        <v>4</v>
      </c>
      <c r="AC44" t="n">
        <v>4</v>
      </c>
      <c r="AD44" t="n">
        <v>39</v>
      </c>
      <c r="AE44" t="n">
        <v>39</v>
      </c>
      <c r="AF44" t="n">
        <v>13</v>
      </c>
      <c r="AG44" t="n">
        <v>13</v>
      </c>
      <c r="AH44" t="n">
        <v>10</v>
      </c>
      <c r="AI44" t="n">
        <v>10</v>
      </c>
      <c r="AJ44" t="n">
        <v>26</v>
      </c>
      <c r="AK44" t="n">
        <v>26</v>
      </c>
      <c r="AL44" t="n">
        <v>3</v>
      </c>
      <c r="AM44" t="n">
        <v>3</v>
      </c>
      <c r="AN44" t="n">
        <v>0</v>
      </c>
      <c r="AO44" t="n">
        <v>0</v>
      </c>
      <c r="AP44" t="inlineStr">
        <is>
          <t>No</t>
        </is>
      </c>
      <c r="AQ44" t="inlineStr">
        <is>
          <t>Yes</t>
        </is>
      </c>
      <c r="AR44">
        <f>HYPERLINK("http://catalog.hathitrust.org/Record/001415885","HathiTrust Record")</f>
        <v/>
      </c>
      <c r="AS44">
        <f>HYPERLINK("https://creighton-primo.hosted.exlibrisgroup.com/primo-explore/search?tab=default_tab&amp;search_scope=EVERYTHING&amp;vid=01CRU&amp;lang=en_US&amp;offset=0&amp;query=any,contains,991002646869702656","Catalog Record")</f>
        <v/>
      </c>
      <c r="AT44">
        <f>HYPERLINK("http://www.worldcat.org/oclc/386047","WorldCat Record")</f>
        <v/>
      </c>
      <c r="AU44" t="inlineStr">
        <is>
          <t>1509895:eng</t>
        </is>
      </c>
      <c r="AV44" t="inlineStr">
        <is>
          <t>386047</t>
        </is>
      </c>
      <c r="AW44" t="inlineStr">
        <is>
          <t>991002646869702656</t>
        </is>
      </c>
      <c r="AX44" t="inlineStr">
        <is>
          <t>991002646869702656</t>
        </is>
      </c>
      <c r="AY44" t="inlineStr">
        <is>
          <t>2257510920002656</t>
        </is>
      </c>
      <c r="AZ44" t="inlineStr">
        <is>
          <t>BOOK</t>
        </is>
      </c>
      <c r="BC44" t="inlineStr">
        <is>
          <t>32285000078617</t>
        </is>
      </c>
      <c r="BD44" t="inlineStr">
        <is>
          <t>893685605</t>
        </is>
      </c>
    </row>
    <row r="45">
      <c r="A45" t="inlineStr">
        <is>
          <t>No</t>
        </is>
      </c>
      <c r="B45" t="inlineStr">
        <is>
          <t>BX1375 .B8 1950</t>
        </is>
      </c>
      <c r="C45" t="inlineStr">
        <is>
          <t>0                      BX 1375000B  8           1950</t>
        </is>
      </c>
      <c r="D45" t="inlineStr">
        <is>
          <t>The great mantle : the life of Giuseppe Melchiore Sarto, Pope Pius x.</t>
        </is>
      </c>
      <c r="F45" t="inlineStr">
        <is>
          <t>No</t>
        </is>
      </c>
      <c r="G45" t="inlineStr">
        <is>
          <t>1</t>
        </is>
      </c>
      <c r="H45" t="inlineStr">
        <is>
          <t>No</t>
        </is>
      </c>
      <c r="I45" t="inlineStr">
        <is>
          <t>No</t>
        </is>
      </c>
      <c r="J45" t="inlineStr">
        <is>
          <t>0</t>
        </is>
      </c>
      <c r="K45" t="inlineStr">
        <is>
          <t>Burton, Katherine, 1890-1969.</t>
        </is>
      </c>
      <c r="L45" t="inlineStr">
        <is>
          <t>New York : Longmans, Green, 1950.</t>
        </is>
      </c>
      <c r="M45" t="inlineStr">
        <is>
          <t>1950</t>
        </is>
      </c>
      <c r="N45" t="inlineStr">
        <is>
          <t>[1st ed.]</t>
        </is>
      </c>
      <c r="O45" t="inlineStr">
        <is>
          <t>eng</t>
        </is>
      </c>
      <c r="P45" t="inlineStr">
        <is>
          <t>nyu</t>
        </is>
      </c>
      <c r="R45" t="inlineStr">
        <is>
          <t xml:space="preserve">BX </t>
        </is>
      </c>
      <c r="S45" t="n">
        <v>5</v>
      </c>
      <c r="T45" t="n">
        <v>5</v>
      </c>
      <c r="U45" t="inlineStr">
        <is>
          <t>2004-06-24</t>
        </is>
      </c>
      <c r="V45" t="inlineStr">
        <is>
          <t>2004-06-24</t>
        </is>
      </c>
      <c r="W45" t="inlineStr">
        <is>
          <t>1990-03-08</t>
        </is>
      </c>
      <c r="X45" t="inlineStr">
        <is>
          <t>1990-03-08</t>
        </is>
      </c>
      <c r="Y45" t="n">
        <v>316</v>
      </c>
      <c r="Z45" t="n">
        <v>290</v>
      </c>
      <c r="AA45" t="n">
        <v>311</v>
      </c>
      <c r="AB45" t="n">
        <v>3</v>
      </c>
      <c r="AC45" t="n">
        <v>3</v>
      </c>
      <c r="AD45" t="n">
        <v>32</v>
      </c>
      <c r="AE45" t="n">
        <v>32</v>
      </c>
      <c r="AF45" t="n">
        <v>10</v>
      </c>
      <c r="AG45" t="n">
        <v>10</v>
      </c>
      <c r="AH45" t="n">
        <v>8</v>
      </c>
      <c r="AI45" t="n">
        <v>8</v>
      </c>
      <c r="AJ45" t="n">
        <v>24</v>
      </c>
      <c r="AK45" t="n">
        <v>24</v>
      </c>
      <c r="AL45" t="n">
        <v>1</v>
      </c>
      <c r="AM45" t="n">
        <v>1</v>
      </c>
      <c r="AN45" t="n">
        <v>0</v>
      </c>
      <c r="AO45" t="n">
        <v>0</v>
      </c>
      <c r="AP45" t="inlineStr">
        <is>
          <t>No</t>
        </is>
      </c>
      <c r="AQ45" t="inlineStr">
        <is>
          <t>Yes</t>
        </is>
      </c>
      <c r="AR45">
        <f>HYPERLINK("http://catalog.hathitrust.org/Record/009802233","HathiTrust Record")</f>
        <v/>
      </c>
      <c r="AS45">
        <f>HYPERLINK("https://creighton-primo.hosted.exlibrisgroup.com/primo-explore/search?tab=default_tab&amp;search_scope=EVERYTHING&amp;vid=01CRU&amp;lang=en_US&amp;offset=0&amp;query=any,contains,991003733479702656","Catalog Record")</f>
        <v/>
      </c>
      <c r="AT45">
        <f>HYPERLINK("http://www.worldcat.org/oclc/1386502","WorldCat Record")</f>
        <v/>
      </c>
      <c r="AU45" t="inlineStr">
        <is>
          <t>2064082:eng</t>
        </is>
      </c>
      <c r="AV45" t="inlineStr">
        <is>
          <t>1386502</t>
        </is>
      </c>
      <c r="AW45" t="inlineStr">
        <is>
          <t>991003733479702656</t>
        </is>
      </c>
      <c r="AX45" t="inlineStr">
        <is>
          <t>991003733479702656</t>
        </is>
      </c>
      <c r="AY45" t="inlineStr">
        <is>
          <t>2263579450002656</t>
        </is>
      </c>
      <c r="AZ45" t="inlineStr">
        <is>
          <t>BOOK</t>
        </is>
      </c>
      <c r="BC45" t="inlineStr">
        <is>
          <t>32285000078963</t>
        </is>
      </c>
      <c r="BD45" t="inlineStr">
        <is>
          <t>893324405</t>
        </is>
      </c>
    </row>
    <row r="46">
      <c r="A46" t="inlineStr">
        <is>
          <t>No</t>
        </is>
      </c>
      <c r="B46" t="inlineStr">
        <is>
          <t>BX1375 .G52 1954a</t>
        </is>
      </c>
      <c r="C46" t="inlineStr">
        <is>
          <t>0                      BX 1375000G  52          1954a</t>
        </is>
      </c>
      <c r="D46" t="inlineStr">
        <is>
          <t>Pius X : a country priest / by Igino Giordani ; translated by Thomas J. Tobin.</t>
        </is>
      </c>
      <c r="F46" t="inlineStr">
        <is>
          <t>No</t>
        </is>
      </c>
      <c r="G46" t="inlineStr">
        <is>
          <t>1</t>
        </is>
      </c>
      <c r="H46" t="inlineStr">
        <is>
          <t>No</t>
        </is>
      </c>
      <c r="I46" t="inlineStr">
        <is>
          <t>No</t>
        </is>
      </c>
      <c r="J46" t="inlineStr">
        <is>
          <t>0</t>
        </is>
      </c>
      <c r="K46" t="inlineStr">
        <is>
          <t>Giordani, Igino, 1894-1980.</t>
        </is>
      </c>
      <c r="L46" t="inlineStr">
        <is>
          <t>Milwaukee : Bruce Publishing Co., [1954]</t>
        </is>
      </c>
      <c r="M46" t="inlineStr">
        <is>
          <t>1954</t>
        </is>
      </c>
      <c r="O46" t="inlineStr">
        <is>
          <t>eng</t>
        </is>
      </c>
      <c r="P46" t="inlineStr">
        <is>
          <t>wiu</t>
        </is>
      </c>
      <c r="R46" t="inlineStr">
        <is>
          <t xml:space="preserve">BX </t>
        </is>
      </c>
      <c r="S46" t="n">
        <v>5</v>
      </c>
      <c r="T46" t="n">
        <v>5</v>
      </c>
      <c r="U46" t="inlineStr">
        <is>
          <t>2004-06-24</t>
        </is>
      </c>
      <c r="V46" t="inlineStr">
        <is>
          <t>2004-06-24</t>
        </is>
      </c>
      <c r="W46" t="inlineStr">
        <is>
          <t>1996-11-20</t>
        </is>
      </c>
      <c r="X46" t="inlineStr">
        <is>
          <t>1996-11-20</t>
        </is>
      </c>
      <c r="Y46" t="n">
        <v>101</v>
      </c>
      <c r="Z46" t="n">
        <v>100</v>
      </c>
      <c r="AA46" t="n">
        <v>250</v>
      </c>
      <c r="AB46" t="n">
        <v>3</v>
      </c>
      <c r="AC46" t="n">
        <v>4</v>
      </c>
      <c r="AD46" t="n">
        <v>11</v>
      </c>
      <c r="AE46" t="n">
        <v>37</v>
      </c>
      <c r="AF46" t="n">
        <v>2</v>
      </c>
      <c r="AG46" t="n">
        <v>11</v>
      </c>
      <c r="AH46" t="n">
        <v>3</v>
      </c>
      <c r="AI46" t="n">
        <v>10</v>
      </c>
      <c r="AJ46" t="n">
        <v>8</v>
      </c>
      <c r="AK46" t="n">
        <v>26</v>
      </c>
      <c r="AL46" t="n">
        <v>1</v>
      </c>
      <c r="AM46" t="n">
        <v>2</v>
      </c>
      <c r="AN46" t="n">
        <v>0</v>
      </c>
      <c r="AO46" t="n">
        <v>0</v>
      </c>
      <c r="AP46" t="inlineStr">
        <is>
          <t>No</t>
        </is>
      </c>
      <c r="AQ46" t="inlineStr">
        <is>
          <t>No</t>
        </is>
      </c>
      <c r="AS46">
        <f>HYPERLINK("https://creighton-primo.hosted.exlibrisgroup.com/primo-explore/search?tab=default_tab&amp;search_scope=EVERYTHING&amp;vid=01CRU&amp;lang=en_US&amp;offset=0&amp;query=any,contains,991000203799702656","Catalog Record")</f>
        <v/>
      </c>
      <c r="AT46">
        <f>HYPERLINK("http://www.worldcat.org/oclc/9479175","WorldCat Record")</f>
        <v/>
      </c>
      <c r="AU46" t="inlineStr">
        <is>
          <t>2182307:eng</t>
        </is>
      </c>
      <c r="AV46" t="inlineStr">
        <is>
          <t>9479175</t>
        </is>
      </c>
      <c r="AW46" t="inlineStr">
        <is>
          <t>991000203799702656</t>
        </is>
      </c>
      <c r="AX46" t="inlineStr">
        <is>
          <t>991000203799702656</t>
        </is>
      </c>
      <c r="AY46" t="inlineStr">
        <is>
          <t>2260365210002656</t>
        </is>
      </c>
      <c r="AZ46" t="inlineStr">
        <is>
          <t>BOOK</t>
        </is>
      </c>
      <c r="BC46" t="inlineStr">
        <is>
          <t>32285001227981</t>
        </is>
      </c>
      <c r="BD46" t="inlineStr">
        <is>
          <t>893255262</t>
        </is>
      </c>
    </row>
    <row r="47">
      <c r="A47" t="inlineStr">
        <is>
          <t>No</t>
        </is>
      </c>
      <c r="B47" t="inlineStr">
        <is>
          <t>BX1377 .G83 1932</t>
        </is>
      </c>
      <c r="C47" t="inlineStr">
        <is>
          <t>0                      BX 1377000G  83          1932</t>
        </is>
      </c>
      <c r="D47" t="inlineStr">
        <is>
          <t>Pius XI / by Denis Gwynn.</t>
        </is>
      </c>
      <c r="F47" t="inlineStr">
        <is>
          <t>No</t>
        </is>
      </c>
      <c r="G47" t="inlineStr">
        <is>
          <t>1</t>
        </is>
      </c>
      <c r="H47" t="inlineStr">
        <is>
          <t>No</t>
        </is>
      </c>
      <c r="I47" t="inlineStr">
        <is>
          <t>No</t>
        </is>
      </c>
      <c r="J47" t="inlineStr">
        <is>
          <t>0</t>
        </is>
      </c>
      <c r="K47" t="inlineStr">
        <is>
          <t>Gwynn, Denis, 1893-1973.</t>
        </is>
      </c>
      <c r="L47" t="inlineStr">
        <is>
          <t>London : Holme Press (The Studio ltd.), 1932.</t>
        </is>
      </c>
      <c r="M47" t="inlineStr">
        <is>
          <t>1932</t>
        </is>
      </c>
      <c r="O47" t="inlineStr">
        <is>
          <t>eng</t>
        </is>
      </c>
      <c r="P47" t="inlineStr">
        <is>
          <t>enk</t>
        </is>
      </c>
      <c r="Q47" t="inlineStr">
        <is>
          <t>Makers of the modern age</t>
        </is>
      </c>
      <c r="R47" t="inlineStr">
        <is>
          <t xml:space="preserve">BX </t>
        </is>
      </c>
      <c r="S47" t="n">
        <v>4</v>
      </c>
      <c r="T47" t="n">
        <v>4</v>
      </c>
      <c r="U47" t="inlineStr">
        <is>
          <t>2010-04-12</t>
        </is>
      </c>
      <c r="V47" t="inlineStr">
        <is>
          <t>2010-04-12</t>
        </is>
      </c>
      <c r="W47" t="inlineStr">
        <is>
          <t>1992-06-08</t>
        </is>
      </c>
      <c r="X47" t="inlineStr">
        <is>
          <t>1992-06-08</t>
        </is>
      </c>
      <c r="Y47" t="n">
        <v>63</v>
      </c>
      <c r="Z47" t="n">
        <v>40</v>
      </c>
      <c r="AA47" t="n">
        <v>42</v>
      </c>
      <c r="AB47" t="n">
        <v>1</v>
      </c>
      <c r="AC47" t="n">
        <v>1</v>
      </c>
      <c r="AD47" t="n">
        <v>5</v>
      </c>
      <c r="AE47" t="n">
        <v>5</v>
      </c>
      <c r="AF47" t="n">
        <v>0</v>
      </c>
      <c r="AG47" t="n">
        <v>0</v>
      </c>
      <c r="AH47" t="n">
        <v>0</v>
      </c>
      <c r="AI47" t="n">
        <v>0</v>
      </c>
      <c r="AJ47" t="n">
        <v>5</v>
      </c>
      <c r="AK47" t="n">
        <v>5</v>
      </c>
      <c r="AL47" t="n">
        <v>0</v>
      </c>
      <c r="AM47" t="n">
        <v>0</v>
      </c>
      <c r="AN47" t="n">
        <v>0</v>
      </c>
      <c r="AO47" t="n">
        <v>0</v>
      </c>
      <c r="AP47" t="inlineStr">
        <is>
          <t>No</t>
        </is>
      </c>
      <c r="AQ47" t="inlineStr">
        <is>
          <t>Yes</t>
        </is>
      </c>
      <c r="AR47">
        <f>HYPERLINK("http://catalog.hathitrust.org/Record/001415890","HathiTrust Record")</f>
        <v/>
      </c>
      <c r="AS47">
        <f>HYPERLINK("https://creighton-primo.hosted.exlibrisgroup.com/primo-explore/search?tab=default_tab&amp;search_scope=EVERYTHING&amp;vid=01CRU&amp;lang=en_US&amp;offset=0&amp;query=any,contains,991005085299702656","Catalog Record")</f>
        <v/>
      </c>
      <c r="AT47">
        <f>HYPERLINK("http://www.worldcat.org/oclc/7190716","WorldCat Record")</f>
        <v/>
      </c>
      <c r="AU47" t="inlineStr">
        <is>
          <t>146491453:eng</t>
        </is>
      </c>
      <c r="AV47" t="inlineStr">
        <is>
          <t>7190716</t>
        </is>
      </c>
      <c r="AW47" t="inlineStr">
        <is>
          <t>991005085299702656</t>
        </is>
      </c>
      <c r="AX47" t="inlineStr">
        <is>
          <t>991005085299702656</t>
        </is>
      </c>
      <c r="AY47" t="inlineStr">
        <is>
          <t>2260817510002656</t>
        </is>
      </c>
      <c r="AZ47" t="inlineStr">
        <is>
          <t>BOOK</t>
        </is>
      </c>
      <c r="BC47" t="inlineStr">
        <is>
          <t>32285001228013</t>
        </is>
      </c>
      <c r="BD47" t="inlineStr">
        <is>
          <t>893594447</t>
        </is>
      </c>
    </row>
    <row r="48">
      <c r="A48" t="inlineStr">
        <is>
          <t>No</t>
        </is>
      </c>
      <c r="B48" t="inlineStr">
        <is>
          <t>BX1378 .C5 1944</t>
        </is>
      </c>
      <c r="C48" t="inlineStr">
        <is>
          <t>0                      BX 1378000C  5           1944</t>
        </is>
      </c>
      <c r="D48" t="inlineStr">
        <is>
          <t>The Vatican and the war / by Camille M. Cianfarra.</t>
        </is>
      </c>
      <c r="F48" t="inlineStr">
        <is>
          <t>No</t>
        </is>
      </c>
      <c r="G48" t="inlineStr">
        <is>
          <t>1</t>
        </is>
      </c>
      <c r="H48" t="inlineStr">
        <is>
          <t>No</t>
        </is>
      </c>
      <c r="I48" t="inlineStr">
        <is>
          <t>No</t>
        </is>
      </c>
      <c r="J48" t="inlineStr">
        <is>
          <t>0</t>
        </is>
      </c>
      <c r="K48" t="inlineStr">
        <is>
          <t>Cianfarra, Camille M. (Camille Maximilian), 1907-1956.</t>
        </is>
      </c>
      <c r="L48" t="inlineStr">
        <is>
          <t>New York : Literary Classics, inc., distributed by E. P. Dutton &amp; Company, inc., 1944.</t>
        </is>
      </c>
      <c r="M48" t="inlineStr">
        <is>
          <t>1944</t>
        </is>
      </c>
      <c r="O48" t="inlineStr">
        <is>
          <t>eng</t>
        </is>
      </c>
      <c r="P48" t="inlineStr">
        <is>
          <t>nyu</t>
        </is>
      </c>
      <c r="R48" t="inlineStr">
        <is>
          <t xml:space="preserve">BX </t>
        </is>
      </c>
      <c r="S48" t="n">
        <v>7</v>
      </c>
      <c r="T48" t="n">
        <v>7</v>
      </c>
      <c r="U48" t="inlineStr">
        <is>
          <t>2010-01-25</t>
        </is>
      </c>
      <c r="V48" t="inlineStr">
        <is>
          <t>2010-01-25</t>
        </is>
      </c>
      <c r="W48" t="inlineStr">
        <is>
          <t>1992-06-08</t>
        </is>
      </c>
      <c r="X48" t="inlineStr">
        <is>
          <t>1992-06-08</t>
        </is>
      </c>
      <c r="Y48" t="n">
        <v>531</v>
      </c>
      <c r="Z48" t="n">
        <v>490</v>
      </c>
      <c r="AA48" t="n">
        <v>610</v>
      </c>
      <c r="AB48" t="n">
        <v>5</v>
      </c>
      <c r="AC48" t="n">
        <v>6</v>
      </c>
      <c r="AD48" t="n">
        <v>38</v>
      </c>
      <c r="AE48" t="n">
        <v>44</v>
      </c>
      <c r="AF48" t="n">
        <v>14</v>
      </c>
      <c r="AG48" t="n">
        <v>17</v>
      </c>
      <c r="AH48" t="n">
        <v>9</v>
      </c>
      <c r="AI48" t="n">
        <v>10</v>
      </c>
      <c r="AJ48" t="n">
        <v>25</v>
      </c>
      <c r="AK48" t="n">
        <v>25</v>
      </c>
      <c r="AL48" t="n">
        <v>3</v>
      </c>
      <c r="AM48" t="n">
        <v>3</v>
      </c>
      <c r="AN48" t="n">
        <v>0</v>
      </c>
      <c r="AO48" t="n">
        <v>3</v>
      </c>
      <c r="AP48" t="inlineStr">
        <is>
          <t>Yes</t>
        </is>
      </c>
      <c r="AQ48" t="inlineStr">
        <is>
          <t>No</t>
        </is>
      </c>
      <c r="AR48">
        <f>HYPERLINK("http://catalog.hathitrust.org/Record/000804991","HathiTrust Record")</f>
        <v/>
      </c>
      <c r="AS48">
        <f>HYPERLINK("https://creighton-primo.hosted.exlibrisgroup.com/primo-explore/search?tab=default_tab&amp;search_scope=EVERYTHING&amp;vid=01CRU&amp;lang=en_US&amp;offset=0&amp;query=any,contains,991003925369702656","Catalog Record")</f>
        <v/>
      </c>
      <c r="AT48">
        <f>HYPERLINK("http://www.worldcat.org/oclc/1881743","WorldCat Record")</f>
        <v/>
      </c>
      <c r="AU48" t="inlineStr">
        <is>
          <t>2953027:eng</t>
        </is>
      </c>
      <c r="AV48" t="inlineStr">
        <is>
          <t>1881743</t>
        </is>
      </c>
      <c r="AW48" t="inlineStr">
        <is>
          <t>991003925369702656</t>
        </is>
      </c>
      <c r="AX48" t="inlineStr">
        <is>
          <t>991003925369702656</t>
        </is>
      </c>
      <c r="AY48" t="inlineStr">
        <is>
          <t>2258077080002656</t>
        </is>
      </c>
      <c r="AZ48" t="inlineStr">
        <is>
          <t>BOOK</t>
        </is>
      </c>
      <c r="BC48" t="inlineStr">
        <is>
          <t>32285001228039</t>
        </is>
      </c>
      <c r="BD48" t="inlineStr">
        <is>
          <t>893331001</t>
        </is>
      </c>
    </row>
    <row r="49">
      <c r="A49" t="inlineStr">
        <is>
          <t>No</t>
        </is>
      </c>
      <c r="B49" t="inlineStr">
        <is>
          <t>BX1378 .C65 1999</t>
        </is>
      </c>
      <c r="C49" t="inlineStr">
        <is>
          <t>0                      BX 1378000C  65          1999</t>
        </is>
      </c>
      <c r="D49" t="inlineStr">
        <is>
          <t>Hitler's pope : the secret history of Pius XII / John Cornwell.</t>
        </is>
      </c>
      <c r="F49" t="inlineStr">
        <is>
          <t>No</t>
        </is>
      </c>
      <c r="G49" t="inlineStr">
        <is>
          <t>1</t>
        </is>
      </c>
      <c r="H49" t="inlineStr">
        <is>
          <t>No</t>
        </is>
      </c>
      <c r="I49" t="inlineStr">
        <is>
          <t>Yes</t>
        </is>
      </c>
      <c r="J49" t="inlineStr">
        <is>
          <t>0</t>
        </is>
      </c>
      <c r="K49" t="inlineStr">
        <is>
          <t>Cornwell, John, 1940-</t>
        </is>
      </c>
      <c r="L49" t="inlineStr">
        <is>
          <t>New York : Viking, 1999.</t>
        </is>
      </c>
      <c r="M49" t="inlineStr">
        <is>
          <t>1999</t>
        </is>
      </c>
      <c r="O49" t="inlineStr">
        <is>
          <t>eng</t>
        </is>
      </c>
      <c r="P49" t="inlineStr">
        <is>
          <t>nyu</t>
        </is>
      </c>
      <c r="R49" t="inlineStr">
        <is>
          <t xml:space="preserve">BX </t>
        </is>
      </c>
      <c r="S49" t="n">
        <v>9</v>
      </c>
      <c r="T49" t="n">
        <v>9</v>
      </c>
      <c r="U49" t="inlineStr">
        <is>
          <t>2009-12-15</t>
        </is>
      </c>
      <c r="V49" t="inlineStr">
        <is>
          <t>2009-12-15</t>
        </is>
      </c>
      <c r="W49" t="inlineStr">
        <is>
          <t>1999-10-13</t>
        </is>
      </c>
      <c r="X49" t="inlineStr">
        <is>
          <t>1999-10-13</t>
        </is>
      </c>
      <c r="Y49" t="n">
        <v>2035</v>
      </c>
      <c r="Z49" t="n">
        <v>1912</v>
      </c>
      <c r="AA49" t="n">
        <v>2378</v>
      </c>
      <c r="AB49" t="n">
        <v>21</v>
      </c>
      <c r="AC49" t="n">
        <v>42</v>
      </c>
      <c r="AD49" t="n">
        <v>53</v>
      </c>
      <c r="AE49" t="n">
        <v>64</v>
      </c>
      <c r="AF49" t="n">
        <v>22</v>
      </c>
      <c r="AG49" t="n">
        <v>25</v>
      </c>
      <c r="AH49" t="n">
        <v>9</v>
      </c>
      <c r="AI49" t="n">
        <v>9</v>
      </c>
      <c r="AJ49" t="n">
        <v>25</v>
      </c>
      <c r="AK49" t="n">
        <v>26</v>
      </c>
      <c r="AL49" t="n">
        <v>8</v>
      </c>
      <c r="AM49" t="n">
        <v>16</v>
      </c>
      <c r="AN49" t="n">
        <v>1</v>
      </c>
      <c r="AO49" t="n">
        <v>1</v>
      </c>
      <c r="AP49" t="inlineStr">
        <is>
          <t>No</t>
        </is>
      </c>
      <c r="AQ49" t="inlineStr">
        <is>
          <t>No</t>
        </is>
      </c>
      <c r="AS49">
        <f>HYPERLINK("https://creighton-primo.hosted.exlibrisgroup.com/primo-explore/search?tab=default_tab&amp;search_scope=EVERYTHING&amp;vid=01CRU&amp;lang=en_US&amp;offset=0&amp;query=any,contains,991003020859702656","Catalog Record")</f>
        <v/>
      </c>
      <c r="AT49">
        <f>HYPERLINK("http://www.worldcat.org/oclc/41156529","WorldCat Record")</f>
        <v/>
      </c>
      <c r="AU49" t="inlineStr">
        <is>
          <t>796321591:eng</t>
        </is>
      </c>
      <c r="AV49" t="inlineStr">
        <is>
          <t>41156529</t>
        </is>
      </c>
      <c r="AW49" t="inlineStr">
        <is>
          <t>991003020859702656</t>
        </is>
      </c>
      <c r="AX49" t="inlineStr">
        <is>
          <t>991003020859702656</t>
        </is>
      </c>
      <c r="AY49" t="inlineStr">
        <is>
          <t>2261578410002656</t>
        </is>
      </c>
      <c r="AZ49" t="inlineStr">
        <is>
          <t>BOOK</t>
        </is>
      </c>
      <c r="BB49" t="inlineStr">
        <is>
          <t>9780670886937</t>
        </is>
      </c>
      <c r="BC49" t="inlineStr">
        <is>
          <t>32285003610366</t>
        </is>
      </c>
      <c r="BD49" t="inlineStr">
        <is>
          <t>893717233</t>
        </is>
      </c>
    </row>
    <row r="50">
      <c r="A50" t="inlineStr">
        <is>
          <t>No</t>
        </is>
      </c>
      <c r="B50" t="inlineStr">
        <is>
          <t>BX1378 .D6 1942</t>
        </is>
      </c>
      <c r="C50" t="inlineStr">
        <is>
          <t>0                      BX 1378000D  6           1942</t>
        </is>
      </c>
      <c r="D50" t="inlineStr">
        <is>
          <t>We have a pope : the life of Pope Pius XII / by Rev. Charles Hugo Doyle.</t>
        </is>
      </c>
      <c r="F50" t="inlineStr">
        <is>
          <t>No</t>
        </is>
      </c>
      <c r="G50" t="inlineStr">
        <is>
          <t>1</t>
        </is>
      </c>
      <c r="H50" t="inlineStr">
        <is>
          <t>No</t>
        </is>
      </c>
      <c r="I50" t="inlineStr">
        <is>
          <t>No</t>
        </is>
      </c>
      <c r="J50" t="inlineStr">
        <is>
          <t>0</t>
        </is>
      </c>
      <c r="K50" t="inlineStr">
        <is>
          <t>Doyle, Chas. Hugo (Charles Hugo)</t>
        </is>
      </c>
      <c r="L50" t="inlineStr">
        <is>
          <t>Paterson, N. J. : St. Anthony guild press, 1942.</t>
        </is>
      </c>
      <c r="M50" t="inlineStr">
        <is>
          <t>1942</t>
        </is>
      </c>
      <c r="O50" t="inlineStr">
        <is>
          <t>eng</t>
        </is>
      </c>
      <c r="P50" t="inlineStr">
        <is>
          <t xml:space="preserve">xx </t>
        </is>
      </c>
      <c r="R50" t="inlineStr">
        <is>
          <t xml:space="preserve">BX </t>
        </is>
      </c>
      <c r="S50" t="n">
        <v>1</v>
      </c>
      <c r="T50" t="n">
        <v>1</v>
      </c>
      <c r="U50" t="inlineStr">
        <is>
          <t>1999-11-08</t>
        </is>
      </c>
      <c r="V50" t="inlineStr">
        <is>
          <t>1999-11-08</t>
        </is>
      </c>
      <c r="W50" t="inlineStr">
        <is>
          <t>1992-06-08</t>
        </is>
      </c>
      <c r="X50" t="inlineStr">
        <is>
          <t>1992-06-08</t>
        </is>
      </c>
      <c r="Y50" t="n">
        <v>67</v>
      </c>
      <c r="Z50" t="n">
        <v>60</v>
      </c>
      <c r="AA50" t="n">
        <v>60</v>
      </c>
      <c r="AB50" t="n">
        <v>2</v>
      </c>
      <c r="AC50" t="n">
        <v>2</v>
      </c>
      <c r="AD50" t="n">
        <v>8</v>
      </c>
      <c r="AE50" t="n">
        <v>8</v>
      </c>
      <c r="AF50" t="n">
        <v>1</v>
      </c>
      <c r="AG50" t="n">
        <v>1</v>
      </c>
      <c r="AH50" t="n">
        <v>3</v>
      </c>
      <c r="AI50" t="n">
        <v>3</v>
      </c>
      <c r="AJ50" t="n">
        <v>6</v>
      </c>
      <c r="AK50" t="n">
        <v>6</v>
      </c>
      <c r="AL50" t="n">
        <v>0</v>
      </c>
      <c r="AM50" t="n">
        <v>0</v>
      </c>
      <c r="AN50" t="n">
        <v>0</v>
      </c>
      <c r="AO50" t="n">
        <v>0</v>
      </c>
      <c r="AP50" t="inlineStr">
        <is>
          <t>No</t>
        </is>
      </c>
      <c r="AQ50" t="inlineStr">
        <is>
          <t>No</t>
        </is>
      </c>
      <c r="AS50">
        <f>HYPERLINK("https://creighton-primo.hosted.exlibrisgroup.com/primo-explore/search?tab=default_tab&amp;search_scope=EVERYTHING&amp;vid=01CRU&amp;lang=en_US&amp;offset=0&amp;query=any,contains,991004372579702656","Catalog Record")</f>
        <v/>
      </c>
      <c r="AT50">
        <f>HYPERLINK("http://www.worldcat.org/oclc/3200516","WorldCat Record")</f>
        <v/>
      </c>
      <c r="AU50" t="inlineStr">
        <is>
          <t>423954225:eng</t>
        </is>
      </c>
      <c r="AV50" t="inlineStr">
        <is>
          <t>3200516</t>
        </is>
      </c>
      <c r="AW50" t="inlineStr">
        <is>
          <t>991004372579702656</t>
        </is>
      </c>
      <c r="AX50" t="inlineStr">
        <is>
          <t>991004372579702656</t>
        </is>
      </c>
      <c r="AY50" t="inlineStr">
        <is>
          <t>2256418610002656</t>
        </is>
      </c>
      <c r="AZ50" t="inlineStr">
        <is>
          <t>BOOK</t>
        </is>
      </c>
      <c r="BC50" t="inlineStr">
        <is>
          <t>32285001228047</t>
        </is>
      </c>
      <c r="BD50" t="inlineStr">
        <is>
          <t>893319136</t>
        </is>
      </c>
    </row>
    <row r="51">
      <c r="A51" t="inlineStr">
        <is>
          <t>No</t>
        </is>
      </c>
      <c r="B51" t="inlineStr">
        <is>
          <t>BX1378 .G312 1957</t>
        </is>
      </c>
      <c r="C51" t="inlineStr">
        <is>
          <t>0                      BX 1378000G  312         1957</t>
        </is>
      </c>
      <c r="D51" t="inlineStr">
        <is>
          <t>The red book of the persecuted church.</t>
        </is>
      </c>
      <c r="F51" t="inlineStr">
        <is>
          <t>No</t>
        </is>
      </c>
      <c r="G51" t="inlineStr">
        <is>
          <t>1</t>
        </is>
      </c>
      <c r="H51" t="inlineStr">
        <is>
          <t>No</t>
        </is>
      </c>
      <c r="I51" t="inlineStr">
        <is>
          <t>No</t>
        </is>
      </c>
      <c r="J51" t="inlineStr">
        <is>
          <t>0</t>
        </is>
      </c>
      <c r="K51" t="inlineStr">
        <is>
          <t>Galter, Alberto.</t>
        </is>
      </c>
      <c r="L51" t="inlineStr">
        <is>
          <t>Westminster, Md. : Newman Press, 1957.</t>
        </is>
      </c>
      <c r="M51" t="inlineStr">
        <is>
          <t>1957</t>
        </is>
      </c>
      <c r="O51" t="inlineStr">
        <is>
          <t>eng</t>
        </is>
      </c>
      <c r="P51" t="inlineStr">
        <is>
          <t>mdu</t>
        </is>
      </c>
      <c r="R51" t="inlineStr">
        <is>
          <t xml:space="preserve">BX </t>
        </is>
      </c>
      <c r="S51" t="n">
        <v>3</v>
      </c>
      <c r="T51" t="n">
        <v>3</v>
      </c>
      <c r="U51" t="inlineStr">
        <is>
          <t>1995-02-15</t>
        </is>
      </c>
      <c r="V51" t="inlineStr">
        <is>
          <t>1995-02-15</t>
        </is>
      </c>
      <c r="W51" t="inlineStr">
        <is>
          <t>1992-06-08</t>
        </is>
      </c>
      <c r="X51" t="inlineStr">
        <is>
          <t>1992-06-08</t>
        </is>
      </c>
      <c r="Y51" t="n">
        <v>170</v>
      </c>
      <c r="Z51" t="n">
        <v>156</v>
      </c>
      <c r="AA51" t="n">
        <v>227</v>
      </c>
      <c r="AB51" t="n">
        <v>2</v>
      </c>
      <c r="AC51" t="n">
        <v>3</v>
      </c>
      <c r="AD51" t="n">
        <v>20</v>
      </c>
      <c r="AE51" t="n">
        <v>28</v>
      </c>
      <c r="AF51" t="n">
        <v>6</v>
      </c>
      <c r="AG51" t="n">
        <v>8</v>
      </c>
      <c r="AH51" t="n">
        <v>7</v>
      </c>
      <c r="AI51" t="n">
        <v>9</v>
      </c>
      <c r="AJ51" t="n">
        <v>16</v>
      </c>
      <c r="AK51" t="n">
        <v>22</v>
      </c>
      <c r="AL51" t="n">
        <v>0</v>
      </c>
      <c r="AM51" t="n">
        <v>0</v>
      </c>
      <c r="AN51" t="n">
        <v>0</v>
      </c>
      <c r="AO51" t="n">
        <v>0</v>
      </c>
      <c r="AP51" t="inlineStr">
        <is>
          <t>No</t>
        </is>
      </c>
      <c r="AQ51" t="inlineStr">
        <is>
          <t>No</t>
        </is>
      </c>
      <c r="AS51">
        <f>HYPERLINK("https://creighton-primo.hosted.exlibrisgroup.com/primo-explore/search?tab=default_tab&amp;search_scope=EVERYTHING&amp;vid=01CRU&amp;lang=en_US&amp;offset=0&amp;query=any,contains,991000330099702656","Catalog Record")</f>
        <v/>
      </c>
      <c r="AT51">
        <f>HYPERLINK("http://www.worldcat.org/oclc/10193706","WorldCat Record")</f>
        <v/>
      </c>
      <c r="AU51" t="inlineStr">
        <is>
          <t>20199350:eng</t>
        </is>
      </c>
      <c r="AV51" t="inlineStr">
        <is>
          <t>10193706</t>
        </is>
      </c>
      <c r="AW51" t="inlineStr">
        <is>
          <t>991000330099702656</t>
        </is>
      </c>
      <c r="AX51" t="inlineStr">
        <is>
          <t>991000330099702656</t>
        </is>
      </c>
      <c r="AY51" t="inlineStr">
        <is>
          <t>2262794280002656</t>
        </is>
      </c>
      <c r="AZ51" t="inlineStr">
        <is>
          <t>BOOK</t>
        </is>
      </c>
      <c r="BC51" t="inlineStr">
        <is>
          <t>32285001228070</t>
        </is>
      </c>
      <c r="BD51" t="inlineStr">
        <is>
          <t>893345555</t>
        </is>
      </c>
    </row>
    <row r="52">
      <c r="A52" t="inlineStr">
        <is>
          <t>No</t>
        </is>
      </c>
      <c r="B52" t="inlineStr">
        <is>
          <t>BX1378 .G7</t>
        </is>
      </c>
      <c r="C52" t="inlineStr">
        <is>
          <t>0                      BX 1378000G  7</t>
        </is>
      </c>
      <c r="D52" t="inlineStr">
        <is>
          <t>Pius XII's defense of Jews and others: 1944-45.</t>
        </is>
      </c>
      <c r="F52" t="inlineStr">
        <is>
          <t>No</t>
        </is>
      </c>
      <c r="G52" t="inlineStr">
        <is>
          <t>1</t>
        </is>
      </c>
      <c r="H52" t="inlineStr">
        <is>
          <t>No</t>
        </is>
      </c>
      <c r="I52" t="inlineStr">
        <is>
          <t>No</t>
        </is>
      </c>
      <c r="J52" t="inlineStr">
        <is>
          <t>0</t>
        </is>
      </c>
      <c r="K52" t="inlineStr">
        <is>
          <t>Graham, Robert A., 1912-1997</t>
        </is>
      </c>
      <c r="L52" t="inlineStr">
        <is>
          <t>Milwaukee : Catholic League for Religious &amp; Civil Rights, 1982?</t>
        </is>
      </c>
      <c r="M52" t="inlineStr">
        <is>
          <t>1982</t>
        </is>
      </c>
      <c r="O52" t="inlineStr">
        <is>
          <t>eng</t>
        </is>
      </c>
      <c r="P52" t="inlineStr">
        <is>
          <t>wiu</t>
        </is>
      </c>
      <c r="R52" t="inlineStr">
        <is>
          <t xml:space="preserve">BX </t>
        </is>
      </c>
      <c r="S52" t="n">
        <v>7</v>
      </c>
      <c r="T52" t="n">
        <v>7</v>
      </c>
      <c r="U52" t="inlineStr">
        <is>
          <t>2007-04-22</t>
        </is>
      </c>
      <c r="V52" t="inlineStr">
        <is>
          <t>2007-04-22</t>
        </is>
      </c>
      <c r="W52" t="inlineStr">
        <is>
          <t>1992-06-08</t>
        </is>
      </c>
      <c r="X52" t="inlineStr">
        <is>
          <t>1992-06-08</t>
        </is>
      </c>
      <c r="Y52" t="n">
        <v>339</v>
      </c>
      <c r="Z52" t="n">
        <v>338</v>
      </c>
      <c r="AA52" t="n">
        <v>388</v>
      </c>
      <c r="AB52" t="n">
        <v>6</v>
      </c>
      <c r="AC52" t="n">
        <v>7</v>
      </c>
      <c r="AD52" t="n">
        <v>23</v>
      </c>
      <c r="AE52" t="n">
        <v>28</v>
      </c>
      <c r="AF52" t="n">
        <v>6</v>
      </c>
      <c r="AG52" t="n">
        <v>8</v>
      </c>
      <c r="AH52" t="n">
        <v>4</v>
      </c>
      <c r="AI52" t="n">
        <v>4</v>
      </c>
      <c r="AJ52" t="n">
        <v>12</v>
      </c>
      <c r="AK52" t="n">
        <v>15</v>
      </c>
      <c r="AL52" t="n">
        <v>5</v>
      </c>
      <c r="AM52" t="n">
        <v>5</v>
      </c>
      <c r="AN52" t="n">
        <v>0</v>
      </c>
      <c r="AO52" t="n">
        <v>1</v>
      </c>
      <c r="AP52" t="inlineStr">
        <is>
          <t>No</t>
        </is>
      </c>
      <c r="AQ52" t="inlineStr">
        <is>
          <t>No</t>
        </is>
      </c>
      <c r="AS52">
        <f>HYPERLINK("https://creighton-primo.hosted.exlibrisgroup.com/primo-explore/search?tab=default_tab&amp;search_scope=EVERYTHING&amp;vid=01CRU&amp;lang=en_US&amp;offset=0&amp;query=any,contains,991005243729702656","Catalog Record")</f>
        <v/>
      </c>
      <c r="AT52">
        <f>HYPERLINK("http://www.worldcat.org/oclc/8439452","WorldCat Record")</f>
        <v/>
      </c>
      <c r="AU52" t="inlineStr">
        <is>
          <t>24338505:eng</t>
        </is>
      </c>
      <c r="AV52" t="inlineStr">
        <is>
          <t>8439452</t>
        </is>
      </c>
      <c r="AW52" t="inlineStr">
        <is>
          <t>991005243729702656</t>
        </is>
      </c>
      <c r="AX52" t="inlineStr">
        <is>
          <t>991005243729702656</t>
        </is>
      </c>
      <c r="AY52" t="inlineStr">
        <is>
          <t>2256686350002656</t>
        </is>
      </c>
      <c r="AZ52" t="inlineStr">
        <is>
          <t>BOOK</t>
        </is>
      </c>
      <c r="BC52" t="inlineStr">
        <is>
          <t>32285001228088</t>
        </is>
      </c>
      <c r="BD52" t="inlineStr">
        <is>
          <t>893353784</t>
        </is>
      </c>
    </row>
    <row r="53">
      <c r="A53" t="inlineStr">
        <is>
          <t>No</t>
        </is>
      </c>
      <c r="B53" t="inlineStr">
        <is>
          <t>BX1378 .H35 1958</t>
        </is>
      </c>
      <c r="C53" t="inlineStr">
        <is>
          <t>0                      BX 1378000H  35          1958</t>
        </is>
      </c>
      <c r="D53" t="inlineStr">
        <is>
          <t>Crown of glory : the life of Pope Pius XII / by Alden Hatch and Seamus Walshe. Illustrated with drawings by Louis Priscilla.</t>
        </is>
      </c>
      <c r="F53" t="inlineStr">
        <is>
          <t>No</t>
        </is>
      </c>
      <c r="G53" t="inlineStr">
        <is>
          <t>1</t>
        </is>
      </c>
      <c r="H53" t="inlineStr">
        <is>
          <t>No</t>
        </is>
      </c>
      <c r="I53" t="inlineStr">
        <is>
          <t>No</t>
        </is>
      </c>
      <c r="J53" t="inlineStr">
        <is>
          <t>0</t>
        </is>
      </c>
      <c r="K53" t="inlineStr">
        <is>
          <t>Hatch, Alden, 1898-1975.</t>
        </is>
      </c>
      <c r="L53" t="inlineStr">
        <is>
          <t>New York : Hawthorn Books, [1958]</t>
        </is>
      </c>
      <c r="M53" t="inlineStr">
        <is>
          <t>1958</t>
        </is>
      </c>
      <c r="N53" t="inlineStr">
        <is>
          <t>[Memorial ed., rev. and enl.]</t>
        </is>
      </c>
      <c r="O53" t="inlineStr">
        <is>
          <t>eng</t>
        </is>
      </c>
      <c r="P53" t="inlineStr">
        <is>
          <t>nyu</t>
        </is>
      </c>
      <c r="R53" t="inlineStr">
        <is>
          <t xml:space="preserve">BX </t>
        </is>
      </c>
      <c r="S53" t="n">
        <v>3</v>
      </c>
      <c r="T53" t="n">
        <v>3</v>
      </c>
      <c r="U53" t="inlineStr">
        <is>
          <t>2005-10-28</t>
        </is>
      </c>
      <c r="V53" t="inlineStr">
        <is>
          <t>2005-10-28</t>
        </is>
      </c>
      <c r="W53" t="inlineStr">
        <is>
          <t>1992-06-08</t>
        </is>
      </c>
      <c r="X53" t="inlineStr">
        <is>
          <t>1992-06-08</t>
        </is>
      </c>
      <c r="Y53" t="n">
        <v>255</v>
      </c>
      <c r="Z53" t="n">
        <v>245</v>
      </c>
      <c r="AA53" t="n">
        <v>736</v>
      </c>
      <c r="AB53" t="n">
        <v>2</v>
      </c>
      <c r="AC53" t="n">
        <v>6</v>
      </c>
      <c r="AD53" t="n">
        <v>16</v>
      </c>
      <c r="AE53" t="n">
        <v>36</v>
      </c>
      <c r="AF53" t="n">
        <v>3</v>
      </c>
      <c r="AG53" t="n">
        <v>12</v>
      </c>
      <c r="AH53" t="n">
        <v>5</v>
      </c>
      <c r="AI53" t="n">
        <v>9</v>
      </c>
      <c r="AJ53" t="n">
        <v>13</v>
      </c>
      <c r="AK53" t="n">
        <v>24</v>
      </c>
      <c r="AL53" t="n">
        <v>0</v>
      </c>
      <c r="AM53" t="n">
        <v>2</v>
      </c>
      <c r="AN53" t="n">
        <v>0</v>
      </c>
      <c r="AO53" t="n">
        <v>0</v>
      </c>
      <c r="AP53" t="inlineStr">
        <is>
          <t>No</t>
        </is>
      </c>
      <c r="AQ53" t="inlineStr">
        <is>
          <t>Yes</t>
        </is>
      </c>
      <c r="AR53">
        <f>HYPERLINK("http://catalog.hathitrust.org/Record/006017882","HathiTrust Record")</f>
        <v/>
      </c>
      <c r="AS53">
        <f>HYPERLINK("https://creighton-primo.hosted.exlibrisgroup.com/primo-explore/search?tab=default_tab&amp;search_scope=EVERYTHING&amp;vid=01CRU&amp;lang=en_US&amp;offset=0&amp;query=any,contains,991004080279702656","Catalog Record")</f>
        <v/>
      </c>
      <c r="AT53">
        <f>HYPERLINK("http://www.worldcat.org/oclc/2326035","WorldCat Record")</f>
        <v/>
      </c>
      <c r="AU53" t="inlineStr">
        <is>
          <t>1073156266:eng</t>
        </is>
      </c>
      <c r="AV53" t="inlineStr">
        <is>
          <t>2326035</t>
        </is>
      </c>
      <c r="AW53" t="inlineStr">
        <is>
          <t>991004080279702656</t>
        </is>
      </c>
      <c r="AX53" t="inlineStr">
        <is>
          <t>991004080279702656</t>
        </is>
      </c>
      <c r="AY53" t="inlineStr">
        <is>
          <t>2261659310002656</t>
        </is>
      </c>
      <c r="AZ53" t="inlineStr">
        <is>
          <t>BOOK</t>
        </is>
      </c>
      <c r="BC53" t="inlineStr">
        <is>
          <t>32285001228104</t>
        </is>
      </c>
      <c r="BD53" t="inlineStr">
        <is>
          <t>893718442</t>
        </is>
      </c>
    </row>
    <row r="54">
      <c r="A54" t="inlineStr">
        <is>
          <t>No</t>
        </is>
      </c>
      <c r="B54" t="inlineStr">
        <is>
          <t>BX1378 .M37 2000</t>
        </is>
      </c>
      <c r="C54" t="inlineStr">
        <is>
          <t>0                      BX 1378000M  37          2000</t>
        </is>
      </c>
      <c r="D54" t="inlineStr">
        <is>
          <t>Pope Pius XII : architect for peace / Margherita Marchione.</t>
        </is>
      </c>
      <c r="F54" t="inlineStr">
        <is>
          <t>No</t>
        </is>
      </c>
      <c r="G54" t="inlineStr">
        <is>
          <t>1</t>
        </is>
      </c>
      <c r="H54" t="inlineStr">
        <is>
          <t>No</t>
        </is>
      </c>
      <c r="I54" t="inlineStr">
        <is>
          <t>No</t>
        </is>
      </c>
      <c r="J54" t="inlineStr">
        <is>
          <t>0</t>
        </is>
      </c>
      <c r="K54" t="inlineStr">
        <is>
          <t>Marchione, Margherita.</t>
        </is>
      </c>
      <c r="L54" t="inlineStr">
        <is>
          <t>New York : Paulist Press, c2000.</t>
        </is>
      </c>
      <c r="M54" t="inlineStr">
        <is>
          <t>2000</t>
        </is>
      </c>
      <c r="O54" t="inlineStr">
        <is>
          <t>eng</t>
        </is>
      </c>
      <c r="P54" t="inlineStr">
        <is>
          <t>nyu</t>
        </is>
      </c>
      <c r="R54" t="inlineStr">
        <is>
          <t xml:space="preserve">BX </t>
        </is>
      </c>
      <c r="S54" t="n">
        <v>8</v>
      </c>
      <c r="T54" t="n">
        <v>8</v>
      </c>
      <c r="U54" t="inlineStr">
        <is>
          <t>2010-04-12</t>
        </is>
      </c>
      <c r="V54" t="inlineStr">
        <is>
          <t>2010-04-12</t>
        </is>
      </c>
      <c r="W54" t="inlineStr">
        <is>
          <t>2000-09-13</t>
        </is>
      </c>
      <c r="X54" t="inlineStr">
        <is>
          <t>2000-09-13</t>
        </is>
      </c>
      <c r="Y54" t="n">
        <v>342</v>
      </c>
      <c r="Z54" t="n">
        <v>291</v>
      </c>
      <c r="AA54" t="n">
        <v>297</v>
      </c>
      <c r="AB54" t="n">
        <v>6</v>
      </c>
      <c r="AC54" t="n">
        <v>6</v>
      </c>
      <c r="AD54" t="n">
        <v>29</v>
      </c>
      <c r="AE54" t="n">
        <v>29</v>
      </c>
      <c r="AF54" t="n">
        <v>10</v>
      </c>
      <c r="AG54" t="n">
        <v>10</v>
      </c>
      <c r="AH54" t="n">
        <v>6</v>
      </c>
      <c r="AI54" t="n">
        <v>6</v>
      </c>
      <c r="AJ54" t="n">
        <v>18</v>
      </c>
      <c r="AK54" t="n">
        <v>18</v>
      </c>
      <c r="AL54" t="n">
        <v>3</v>
      </c>
      <c r="AM54" t="n">
        <v>3</v>
      </c>
      <c r="AN54" t="n">
        <v>0</v>
      </c>
      <c r="AO54" t="n">
        <v>0</v>
      </c>
      <c r="AP54" t="inlineStr">
        <is>
          <t>No</t>
        </is>
      </c>
      <c r="AQ54" t="inlineStr">
        <is>
          <t>No</t>
        </is>
      </c>
      <c r="AS54">
        <f>HYPERLINK("https://creighton-primo.hosted.exlibrisgroup.com/primo-explore/search?tab=default_tab&amp;search_scope=EVERYTHING&amp;vid=01CRU&amp;lang=en_US&amp;offset=0&amp;query=any,contains,991003241339702656","Catalog Record")</f>
        <v/>
      </c>
      <c r="AT54">
        <f>HYPERLINK("http://www.worldcat.org/oclc/42888102","WorldCat Record")</f>
        <v/>
      </c>
      <c r="AU54" t="inlineStr">
        <is>
          <t>33107589:eng</t>
        </is>
      </c>
      <c r="AV54" t="inlineStr">
        <is>
          <t>42888102</t>
        </is>
      </c>
      <c r="AW54" t="inlineStr">
        <is>
          <t>991003241339702656</t>
        </is>
      </c>
      <c r="AX54" t="inlineStr">
        <is>
          <t>991003241339702656</t>
        </is>
      </c>
      <c r="AY54" t="inlineStr">
        <is>
          <t>2264996700002656</t>
        </is>
      </c>
      <c r="AZ54" t="inlineStr">
        <is>
          <t>BOOK</t>
        </is>
      </c>
      <c r="BB54" t="inlineStr">
        <is>
          <t>9780809139125</t>
        </is>
      </c>
      <c r="BC54" t="inlineStr">
        <is>
          <t>32285003762415</t>
        </is>
      </c>
      <c r="BD54" t="inlineStr">
        <is>
          <t>893422336</t>
        </is>
      </c>
    </row>
    <row r="55">
      <c r="A55" t="inlineStr">
        <is>
          <t>No</t>
        </is>
      </c>
      <c r="B55" t="inlineStr">
        <is>
          <t>BX1378 .M396 2001</t>
        </is>
      </c>
      <c r="C55" t="inlineStr">
        <is>
          <t>0                      BX 1378000M  396         2001</t>
        </is>
      </c>
      <c r="D55" t="inlineStr">
        <is>
          <t>The defamation of Pius XII / Ralph McInerny.</t>
        </is>
      </c>
      <c r="F55" t="inlineStr">
        <is>
          <t>No</t>
        </is>
      </c>
      <c r="G55" t="inlineStr">
        <is>
          <t>1</t>
        </is>
      </c>
      <c r="H55" t="inlineStr">
        <is>
          <t>No</t>
        </is>
      </c>
      <c r="I55" t="inlineStr">
        <is>
          <t>No</t>
        </is>
      </c>
      <c r="J55" t="inlineStr">
        <is>
          <t>0</t>
        </is>
      </c>
      <c r="K55" t="inlineStr">
        <is>
          <t>McInerny, Ralph, 1929-2010.</t>
        </is>
      </c>
      <c r="L55" t="inlineStr">
        <is>
          <t>South Bend, Ind. : St. Augustine's Press, 2001.</t>
        </is>
      </c>
      <c r="M55" t="inlineStr">
        <is>
          <t>2001</t>
        </is>
      </c>
      <c r="O55" t="inlineStr">
        <is>
          <t>eng</t>
        </is>
      </c>
      <c r="P55" t="inlineStr">
        <is>
          <t>inu</t>
        </is>
      </c>
      <c r="R55" t="inlineStr">
        <is>
          <t xml:space="preserve">BX </t>
        </is>
      </c>
      <c r="S55" t="n">
        <v>8</v>
      </c>
      <c r="T55" t="n">
        <v>8</v>
      </c>
      <c r="U55" t="inlineStr">
        <is>
          <t>2010-04-12</t>
        </is>
      </c>
      <c r="V55" t="inlineStr">
        <is>
          <t>2010-04-12</t>
        </is>
      </c>
      <c r="W55" t="inlineStr">
        <is>
          <t>2001-10-23</t>
        </is>
      </c>
      <c r="X55" t="inlineStr">
        <is>
          <t>2001-10-23</t>
        </is>
      </c>
      <c r="Y55" t="n">
        <v>468</v>
      </c>
      <c r="Z55" t="n">
        <v>414</v>
      </c>
      <c r="AA55" t="n">
        <v>432</v>
      </c>
      <c r="AB55" t="n">
        <v>5</v>
      </c>
      <c r="AC55" t="n">
        <v>5</v>
      </c>
      <c r="AD55" t="n">
        <v>25</v>
      </c>
      <c r="AE55" t="n">
        <v>26</v>
      </c>
      <c r="AF55" t="n">
        <v>9</v>
      </c>
      <c r="AG55" t="n">
        <v>10</v>
      </c>
      <c r="AH55" t="n">
        <v>7</v>
      </c>
      <c r="AI55" t="n">
        <v>7</v>
      </c>
      <c r="AJ55" t="n">
        <v>16</v>
      </c>
      <c r="AK55" t="n">
        <v>16</v>
      </c>
      <c r="AL55" t="n">
        <v>1</v>
      </c>
      <c r="AM55" t="n">
        <v>1</v>
      </c>
      <c r="AN55" t="n">
        <v>0</v>
      </c>
      <c r="AO55" t="n">
        <v>0</v>
      </c>
      <c r="AP55" t="inlineStr">
        <is>
          <t>No</t>
        </is>
      </c>
      <c r="AQ55" t="inlineStr">
        <is>
          <t>Yes</t>
        </is>
      </c>
      <c r="AR55">
        <f>HYPERLINK("http://catalog.hathitrust.org/Record/004167890","HathiTrust Record")</f>
        <v/>
      </c>
      <c r="AS55">
        <f>HYPERLINK("https://creighton-primo.hosted.exlibrisgroup.com/primo-explore/search?tab=default_tab&amp;search_scope=EVERYTHING&amp;vid=01CRU&amp;lang=en_US&amp;offset=0&amp;query=any,contains,991003640089702656","Catalog Record")</f>
        <v/>
      </c>
      <c r="AT55">
        <f>HYPERLINK("http://www.worldcat.org/oclc/44860732","WorldCat Record")</f>
        <v/>
      </c>
      <c r="AU55" t="inlineStr">
        <is>
          <t>376214619:eng</t>
        </is>
      </c>
      <c r="AV55" t="inlineStr">
        <is>
          <t>44860732</t>
        </is>
      </c>
      <c r="AW55" t="inlineStr">
        <is>
          <t>991003640089702656</t>
        </is>
      </c>
      <c r="AX55" t="inlineStr">
        <is>
          <t>991003640089702656</t>
        </is>
      </c>
      <c r="AY55" t="inlineStr">
        <is>
          <t>2255938140002656</t>
        </is>
      </c>
      <c r="AZ55" t="inlineStr">
        <is>
          <t>BOOK</t>
        </is>
      </c>
      <c r="BB55" t="inlineStr">
        <is>
          <t>9781890318666</t>
        </is>
      </c>
      <c r="BC55" t="inlineStr">
        <is>
          <t>32285004399407</t>
        </is>
      </c>
      <c r="BD55" t="inlineStr">
        <is>
          <t>893525044</t>
        </is>
      </c>
    </row>
    <row r="56">
      <c r="A56" t="inlineStr">
        <is>
          <t>No</t>
        </is>
      </c>
      <c r="B56" t="inlineStr">
        <is>
          <t>BX1378 .N3 1943</t>
        </is>
      </c>
      <c r="C56" t="inlineStr">
        <is>
          <t>0                      BX 1378000N  3           1943</t>
        </is>
      </c>
      <c r="D56" t="inlineStr">
        <is>
          <t>Piux XII on world problems / by James W. Naughton, S. J.</t>
        </is>
      </c>
      <c r="F56" t="inlineStr">
        <is>
          <t>No</t>
        </is>
      </c>
      <c r="G56" t="inlineStr">
        <is>
          <t>1</t>
        </is>
      </c>
      <c r="H56" t="inlineStr">
        <is>
          <t>No</t>
        </is>
      </c>
      <c r="I56" t="inlineStr">
        <is>
          <t>No</t>
        </is>
      </c>
      <c r="J56" t="inlineStr">
        <is>
          <t>0</t>
        </is>
      </c>
      <c r="K56" t="inlineStr">
        <is>
          <t>Naughton, James W., 1915-</t>
        </is>
      </c>
      <c r="L56" t="inlineStr">
        <is>
          <t>New York : The America press, [1943]</t>
        </is>
      </c>
      <c r="M56" t="inlineStr">
        <is>
          <t>1943</t>
        </is>
      </c>
      <c r="O56" t="inlineStr">
        <is>
          <t>eng</t>
        </is>
      </c>
      <c r="P56" t="inlineStr">
        <is>
          <t xml:space="preserve">xx </t>
        </is>
      </c>
      <c r="R56" t="inlineStr">
        <is>
          <t xml:space="preserve">BX </t>
        </is>
      </c>
      <c r="S56" t="n">
        <v>4</v>
      </c>
      <c r="T56" t="n">
        <v>4</v>
      </c>
      <c r="U56" t="inlineStr">
        <is>
          <t>2007-04-22</t>
        </is>
      </c>
      <c r="V56" t="inlineStr">
        <is>
          <t>2007-04-22</t>
        </is>
      </c>
      <c r="W56" t="inlineStr">
        <is>
          <t>1992-06-09</t>
        </is>
      </c>
      <c r="X56" t="inlineStr">
        <is>
          <t>1992-06-09</t>
        </is>
      </c>
      <c r="Y56" t="n">
        <v>93</v>
      </c>
      <c r="Z56" t="n">
        <v>90</v>
      </c>
      <c r="AA56" t="n">
        <v>90</v>
      </c>
      <c r="AB56" t="n">
        <v>1</v>
      </c>
      <c r="AC56" t="n">
        <v>1</v>
      </c>
      <c r="AD56" t="n">
        <v>13</v>
      </c>
      <c r="AE56" t="n">
        <v>13</v>
      </c>
      <c r="AF56" t="n">
        <v>1</v>
      </c>
      <c r="AG56" t="n">
        <v>1</v>
      </c>
      <c r="AH56" t="n">
        <v>5</v>
      </c>
      <c r="AI56" t="n">
        <v>5</v>
      </c>
      <c r="AJ56" t="n">
        <v>10</v>
      </c>
      <c r="AK56" t="n">
        <v>10</v>
      </c>
      <c r="AL56" t="n">
        <v>0</v>
      </c>
      <c r="AM56" t="n">
        <v>0</v>
      </c>
      <c r="AN56" t="n">
        <v>0</v>
      </c>
      <c r="AO56" t="n">
        <v>0</v>
      </c>
      <c r="AP56" t="inlineStr">
        <is>
          <t>No</t>
        </is>
      </c>
      <c r="AQ56" t="inlineStr">
        <is>
          <t>No</t>
        </is>
      </c>
      <c r="AR56">
        <f>HYPERLINK("http://catalog.hathitrust.org/Record/101793117","HathiTrust Record")</f>
        <v/>
      </c>
      <c r="AS56">
        <f>HYPERLINK("https://creighton-primo.hosted.exlibrisgroup.com/primo-explore/search?tab=default_tab&amp;search_scope=EVERYTHING&amp;vid=01CRU&amp;lang=en_US&amp;offset=0&amp;query=any,contains,991002969549702656","Catalog Record")</f>
        <v/>
      </c>
      <c r="AT56">
        <f>HYPERLINK("http://www.worldcat.org/oclc/547752","WorldCat Record")</f>
        <v/>
      </c>
      <c r="AU56" t="inlineStr">
        <is>
          <t>5615943833:eng</t>
        </is>
      </c>
      <c r="AV56" t="inlineStr">
        <is>
          <t>547752</t>
        </is>
      </c>
      <c r="AW56" t="inlineStr">
        <is>
          <t>991002969549702656</t>
        </is>
      </c>
      <c r="AX56" t="inlineStr">
        <is>
          <t>991002969549702656</t>
        </is>
      </c>
      <c r="AY56" t="inlineStr">
        <is>
          <t>2262918820002656</t>
        </is>
      </c>
      <c r="AZ56" t="inlineStr">
        <is>
          <t>BOOK</t>
        </is>
      </c>
      <c r="BC56" t="inlineStr">
        <is>
          <t>32285001228153</t>
        </is>
      </c>
      <c r="BD56" t="inlineStr">
        <is>
          <t>893686025</t>
        </is>
      </c>
    </row>
    <row r="57">
      <c r="A57" t="inlineStr">
        <is>
          <t>No</t>
        </is>
      </c>
      <c r="B57" t="inlineStr">
        <is>
          <t>BX1378 .S4 1950</t>
        </is>
      </c>
      <c r="C57" t="inlineStr">
        <is>
          <t>0                      BX 1378000S  4           1950</t>
        </is>
      </c>
      <c r="D57" t="inlineStr">
        <is>
          <t>Angelic shepherd.</t>
        </is>
      </c>
      <c r="F57" t="inlineStr">
        <is>
          <t>No</t>
        </is>
      </c>
      <c r="G57" t="inlineStr">
        <is>
          <t>1</t>
        </is>
      </c>
      <c r="H57" t="inlineStr">
        <is>
          <t>No</t>
        </is>
      </c>
      <c r="I57" t="inlineStr">
        <is>
          <t>No</t>
        </is>
      </c>
      <c r="J57" t="inlineStr">
        <is>
          <t>0</t>
        </is>
      </c>
      <c r="K57" t="inlineStr">
        <is>
          <t>Senan, Father.</t>
        </is>
      </c>
      <c r="L57" t="inlineStr">
        <is>
          <t>Dublin : Capuchin Annual Office, 1950.</t>
        </is>
      </c>
      <c r="M57" t="inlineStr">
        <is>
          <t>1950</t>
        </is>
      </c>
      <c r="O57" t="inlineStr">
        <is>
          <t>eng</t>
        </is>
      </c>
      <c r="P57" t="inlineStr">
        <is>
          <t xml:space="preserve">ie </t>
        </is>
      </c>
      <c r="R57" t="inlineStr">
        <is>
          <t xml:space="preserve">BX </t>
        </is>
      </c>
      <c r="S57" t="n">
        <v>3</v>
      </c>
      <c r="T57" t="n">
        <v>3</v>
      </c>
      <c r="U57" t="inlineStr">
        <is>
          <t>2005-11-23</t>
        </is>
      </c>
      <c r="V57" t="inlineStr">
        <is>
          <t>2005-11-23</t>
        </is>
      </c>
      <c r="W57" t="inlineStr">
        <is>
          <t>1992-06-09</t>
        </is>
      </c>
      <c r="X57" t="inlineStr">
        <is>
          <t>1992-06-09</t>
        </is>
      </c>
      <c r="Y57" t="n">
        <v>38</v>
      </c>
      <c r="Z57" t="n">
        <v>27</v>
      </c>
      <c r="AA57" t="n">
        <v>44</v>
      </c>
      <c r="AB57" t="n">
        <v>1</v>
      </c>
      <c r="AC57" t="n">
        <v>1</v>
      </c>
      <c r="AD57" t="n">
        <v>7</v>
      </c>
      <c r="AE57" t="n">
        <v>9</v>
      </c>
      <c r="AF57" t="n">
        <v>2</v>
      </c>
      <c r="AG57" t="n">
        <v>3</v>
      </c>
      <c r="AH57" t="n">
        <v>1</v>
      </c>
      <c r="AI57" t="n">
        <v>1</v>
      </c>
      <c r="AJ57" t="n">
        <v>5</v>
      </c>
      <c r="AK57" t="n">
        <v>7</v>
      </c>
      <c r="AL57" t="n">
        <v>0</v>
      </c>
      <c r="AM57" t="n">
        <v>0</v>
      </c>
      <c r="AN57" t="n">
        <v>0</v>
      </c>
      <c r="AO57" t="n">
        <v>0</v>
      </c>
      <c r="AP57" t="inlineStr">
        <is>
          <t>No</t>
        </is>
      </c>
      <c r="AQ57" t="inlineStr">
        <is>
          <t>No</t>
        </is>
      </c>
      <c r="AS57">
        <f>HYPERLINK("https://creighton-primo.hosted.exlibrisgroup.com/primo-explore/search?tab=default_tab&amp;search_scope=EVERYTHING&amp;vid=01CRU&amp;lang=en_US&amp;offset=0&amp;query=any,contains,991000061239702656","Catalog Record")</f>
        <v/>
      </c>
      <c r="AT57">
        <f>HYPERLINK("http://www.worldcat.org/oclc/8730206","WorldCat Record")</f>
        <v/>
      </c>
      <c r="AU57" t="inlineStr">
        <is>
          <t>424913345:eng</t>
        </is>
      </c>
      <c r="AV57" t="inlineStr">
        <is>
          <t>8730206</t>
        </is>
      </c>
      <c r="AW57" t="inlineStr">
        <is>
          <t>991000061239702656</t>
        </is>
      </c>
      <c r="AX57" t="inlineStr">
        <is>
          <t>991000061239702656</t>
        </is>
      </c>
      <c r="AY57" t="inlineStr">
        <is>
          <t>2261253590002656</t>
        </is>
      </c>
      <c r="AZ57" t="inlineStr">
        <is>
          <t>BOOK</t>
        </is>
      </c>
      <c r="BC57" t="inlineStr">
        <is>
          <t>32285004286471</t>
        </is>
      </c>
      <c r="BD57" t="inlineStr">
        <is>
          <t>893326968</t>
        </is>
      </c>
    </row>
    <row r="58">
      <c r="A58" t="inlineStr">
        <is>
          <t>No</t>
        </is>
      </c>
      <c r="B58" t="inlineStr">
        <is>
          <t>BX1378 .S533 1950</t>
        </is>
      </c>
      <c r="C58" t="inlineStr">
        <is>
          <t>0                      BX 1378000S  533         1950</t>
        </is>
      </c>
      <c r="D58" t="inlineStr">
        <is>
          <t>Angelic shepherd : the life of Pope Pius XII / Adapted into English by James H. Vanderveldt.</t>
        </is>
      </c>
      <c r="F58" t="inlineStr">
        <is>
          <t>No</t>
        </is>
      </c>
      <c r="G58" t="inlineStr">
        <is>
          <t>1</t>
        </is>
      </c>
      <c r="H58" t="inlineStr">
        <is>
          <t>No</t>
        </is>
      </c>
      <c r="I58" t="inlineStr">
        <is>
          <t>No</t>
        </is>
      </c>
      <c r="J58" t="inlineStr">
        <is>
          <t>0</t>
        </is>
      </c>
      <c r="K58" t="inlineStr">
        <is>
          <t>Smit, Jan Olav, 1883-1972.</t>
        </is>
      </c>
      <c r="L58" t="inlineStr">
        <is>
          <t>New York : Dodd, Mead, 1950.</t>
        </is>
      </c>
      <c r="M58" t="inlineStr">
        <is>
          <t>1950</t>
        </is>
      </c>
      <c r="O58" t="inlineStr">
        <is>
          <t>eng</t>
        </is>
      </c>
      <c r="P58" t="inlineStr">
        <is>
          <t xml:space="preserve">xx </t>
        </is>
      </c>
      <c r="R58" t="inlineStr">
        <is>
          <t xml:space="preserve">BX </t>
        </is>
      </c>
      <c r="S58" t="n">
        <v>3</v>
      </c>
      <c r="T58" t="n">
        <v>3</v>
      </c>
      <c r="U58" t="inlineStr">
        <is>
          <t>1999-11-01</t>
        </is>
      </c>
      <c r="V58" t="inlineStr">
        <is>
          <t>1999-11-01</t>
        </is>
      </c>
      <c r="W58" t="inlineStr">
        <is>
          <t>1992-06-09</t>
        </is>
      </c>
      <c r="X58" t="inlineStr">
        <is>
          <t>1992-06-09</t>
        </is>
      </c>
      <c r="Y58" t="n">
        <v>237</v>
      </c>
      <c r="Z58" t="n">
        <v>219</v>
      </c>
      <c r="AA58" t="n">
        <v>220</v>
      </c>
      <c r="AB58" t="n">
        <v>4</v>
      </c>
      <c r="AC58" t="n">
        <v>4</v>
      </c>
      <c r="AD58" t="n">
        <v>26</v>
      </c>
      <c r="AE58" t="n">
        <v>26</v>
      </c>
      <c r="AF58" t="n">
        <v>5</v>
      </c>
      <c r="AG58" t="n">
        <v>5</v>
      </c>
      <c r="AH58" t="n">
        <v>8</v>
      </c>
      <c r="AI58" t="n">
        <v>8</v>
      </c>
      <c r="AJ58" t="n">
        <v>19</v>
      </c>
      <c r="AK58" t="n">
        <v>19</v>
      </c>
      <c r="AL58" t="n">
        <v>1</v>
      </c>
      <c r="AM58" t="n">
        <v>1</v>
      </c>
      <c r="AN58" t="n">
        <v>0</v>
      </c>
      <c r="AO58" t="n">
        <v>0</v>
      </c>
      <c r="AP58" t="inlineStr">
        <is>
          <t>No</t>
        </is>
      </c>
      <c r="AQ58" t="inlineStr">
        <is>
          <t>Yes</t>
        </is>
      </c>
      <c r="AR58">
        <f>HYPERLINK("http://catalog.hathitrust.org/Record/102098791","HathiTrust Record")</f>
        <v/>
      </c>
      <c r="AS58">
        <f>HYPERLINK("https://creighton-primo.hosted.exlibrisgroup.com/primo-explore/search?tab=default_tab&amp;search_scope=EVERYTHING&amp;vid=01CRU&amp;lang=en_US&amp;offset=0&amp;query=any,contains,991003746049702656","Catalog Record")</f>
        <v/>
      </c>
      <c r="AT58">
        <f>HYPERLINK("http://www.worldcat.org/oclc/1417921","WorldCat Record")</f>
        <v/>
      </c>
      <c r="AU58" t="inlineStr">
        <is>
          <t>57814130:eng</t>
        </is>
      </c>
      <c r="AV58" t="inlineStr">
        <is>
          <t>1417921</t>
        </is>
      </c>
      <c r="AW58" t="inlineStr">
        <is>
          <t>991003746049702656</t>
        </is>
      </c>
      <c r="AX58" t="inlineStr">
        <is>
          <t>991003746049702656</t>
        </is>
      </c>
      <c r="AY58" t="inlineStr">
        <is>
          <t>2261738090002656</t>
        </is>
      </c>
      <c r="AZ58" t="inlineStr">
        <is>
          <t>BOOK</t>
        </is>
      </c>
      <c r="BC58" t="inlineStr">
        <is>
          <t>32285001228187</t>
        </is>
      </c>
      <c r="BD58" t="inlineStr">
        <is>
          <t>893258798</t>
        </is>
      </c>
    </row>
    <row r="59">
      <c r="A59" t="inlineStr">
        <is>
          <t>No</t>
        </is>
      </c>
      <c r="B59" t="inlineStr">
        <is>
          <t>BX1378 .T47 1961</t>
        </is>
      </c>
      <c r="C59" t="inlineStr">
        <is>
          <t>0                      BX 1378000T  47          1961</t>
        </is>
      </c>
      <c r="D59" t="inlineStr">
        <is>
          <t>Memories of Pius XII / Domenico Cardinal Tardini. Translated by Rosemary Goldie.</t>
        </is>
      </c>
      <c r="F59" t="inlineStr">
        <is>
          <t>No</t>
        </is>
      </c>
      <c r="G59" t="inlineStr">
        <is>
          <t>1</t>
        </is>
      </c>
      <c r="H59" t="inlineStr">
        <is>
          <t>No</t>
        </is>
      </c>
      <c r="I59" t="inlineStr">
        <is>
          <t>No</t>
        </is>
      </c>
      <c r="J59" t="inlineStr">
        <is>
          <t>0</t>
        </is>
      </c>
      <c r="K59" t="inlineStr">
        <is>
          <t>Tardini, Domenico, 1888-1961.</t>
        </is>
      </c>
      <c r="L59" t="inlineStr">
        <is>
          <t>Westminster, Md. : Newman Press, 1961.</t>
        </is>
      </c>
      <c r="M59" t="inlineStr">
        <is>
          <t>1961</t>
        </is>
      </c>
      <c r="O59" t="inlineStr">
        <is>
          <t>eng</t>
        </is>
      </c>
      <c r="P59" t="inlineStr">
        <is>
          <t xml:space="preserve">xx </t>
        </is>
      </c>
      <c r="R59" t="inlineStr">
        <is>
          <t xml:space="preserve">BX </t>
        </is>
      </c>
      <c r="S59" t="n">
        <v>3</v>
      </c>
      <c r="T59" t="n">
        <v>3</v>
      </c>
      <c r="U59" t="inlineStr">
        <is>
          <t>1995-09-20</t>
        </is>
      </c>
      <c r="V59" t="inlineStr">
        <is>
          <t>1995-09-20</t>
        </is>
      </c>
      <c r="W59" t="inlineStr">
        <is>
          <t>1992-06-09</t>
        </is>
      </c>
      <c r="X59" t="inlineStr">
        <is>
          <t>1992-06-09</t>
        </is>
      </c>
      <c r="Y59" t="n">
        <v>130</v>
      </c>
      <c r="Z59" t="n">
        <v>115</v>
      </c>
      <c r="AA59" t="n">
        <v>117</v>
      </c>
      <c r="AB59" t="n">
        <v>2</v>
      </c>
      <c r="AC59" t="n">
        <v>2</v>
      </c>
      <c r="AD59" t="n">
        <v>21</v>
      </c>
      <c r="AE59" t="n">
        <v>21</v>
      </c>
      <c r="AF59" t="n">
        <v>4</v>
      </c>
      <c r="AG59" t="n">
        <v>4</v>
      </c>
      <c r="AH59" t="n">
        <v>5</v>
      </c>
      <c r="AI59" t="n">
        <v>5</v>
      </c>
      <c r="AJ59" t="n">
        <v>16</v>
      </c>
      <c r="AK59" t="n">
        <v>16</v>
      </c>
      <c r="AL59" t="n">
        <v>0</v>
      </c>
      <c r="AM59" t="n">
        <v>0</v>
      </c>
      <c r="AN59" t="n">
        <v>0</v>
      </c>
      <c r="AO59" t="n">
        <v>0</v>
      </c>
      <c r="AP59" t="inlineStr">
        <is>
          <t>No</t>
        </is>
      </c>
      <c r="AQ59" t="inlineStr">
        <is>
          <t>Yes</t>
        </is>
      </c>
      <c r="AR59">
        <f>HYPERLINK("http://catalog.hathitrust.org/Record/011239679","HathiTrust Record")</f>
        <v/>
      </c>
      <c r="AS59">
        <f>HYPERLINK("https://creighton-primo.hosted.exlibrisgroup.com/primo-explore/search?tab=default_tab&amp;search_scope=EVERYTHING&amp;vid=01CRU&amp;lang=en_US&amp;offset=0&amp;query=any,contains,991004265159702656","Catalog Record")</f>
        <v/>
      </c>
      <c r="AT59">
        <f>HYPERLINK("http://www.worldcat.org/oclc/2861809","WorldCat Record")</f>
        <v/>
      </c>
      <c r="AU59" t="inlineStr">
        <is>
          <t>6223987:eng</t>
        </is>
      </c>
      <c r="AV59" t="inlineStr">
        <is>
          <t>2861809</t>
        </is>
      </c>
      <c r="AW59" t="inlineStr">
        <is>
          <t>991004265159702656</t>
        </is>
      </c>
      <c r="AX59" t="inlineStr">
        <is>
          <t>991004265159702656</t>
        </is>
      </c>
      <c r="AY59" t="inlineStr">
        <is>
          <t>2270650630002656</t>
        </is>
      </c>
      <c r="AZ59" t="inlineStr">
        <is>
          <t>BOOK</t>
        </is>
      </c>
      <c r="BC59" t="inlineStr">
        <is>
          <t>32285001228195</t>
        </is>
      </c>
      <c r="BD59" t="inlineStr">
        <is>
          <t>893700039</t>
        </is>
      </c>
    </row>
    <row r="60">
      <c r="A60" t="inlineStr">
        <is>
          <t>No</t>
        </is>
      </c>
      <c r="B60" t="inlineStr">
        <is>
          <t>BX1378.2 .A3833 1970</t>
        </is>
      </c>
      <c r="C60" t="inlineStr">
        <is>
          <t>0                      BX 1378200A  3833        1970</t>
        </is>
      </c>
      <c r="D60" t="inlineStr">
        <is>
          <t>Pope John XXIII, letters to his family [1901-1962] / Translated by Dorothy White.</t>
        </is>
      </c>
      <c r="F60" t="inlineStr">
        <is>
          <t>No</t>
        </is>
      </c>
      <c r="G60" t="inlineStr">
        <is>
          <t>1</t>
        </is>
      </c>
      <c r="H60" t="inlineStr">
        <is>
          <t>No</t>
        </is>
      </c>
      <c r="I60" t="inlineStr">
        <is>
          <t>No</t>
        </is>
      </c>
      <c r="J60" t="inlineStr">
        <is>
          <t>0</t>
        </is>
      </c>
      <c r="K60" t="inlineStr">
        <is>
          <t>John XXIII, Pope, 1881-1963.</t>
        </is>
      </c>
      <c r="L60" t="inlineStr">
        <is>
          <t>New York : McGraw-Hill, [1970, c1969]</t>
        </is>
      </c>
      <c r="M60" t="inlineStr">
        <is>
          <t>1970</t>
        </is>
      </c>
      <c r="O60" t="inlineStr">
        <is>
          <t>eng</t>
        </is>
      </c>
      <c r="P60" t="inlineStr">
        <is>
          <t>nyu</t>
        </is>
      </c>
      <c r="R60" t="inlineStr">
        <is>
          <t xml:space="preserve">BX </t>
        </is>
      </c>
      <c r="S60" t="n">
        <v>5</v>
      </c>
      <c r="T60" t="n">
        <v>5</v>
      </c>
      <c r="U60" t="inlineStr">
        <is>
          <t>2000-10-13</t>
        </is>
      </c>
      <c r="V60" t="inlineStr">
        <is>
          <t>2000-10-13</t>
        </is>
      </c>
      <c r="W60" t="inlineStr">
        <is>
          <t>1992-06-09</t>
        </is>
      </c>
      <c r="X60" t="inlineStr">
        <is>
          <t>1992-06-09</t>
        </is>
      </c>
      <c r="Y60" t="n">
        <v>366</v>
      </c>
      <c r="Z60" t="n">
        <v>355</v>
      </c>
      <c r="AA60" t="n">
        <v>400</v>
      </c>
      <c r="AB60" t="n">
        <v>5</v>
      </c>
      <c r="AC60" t="n">
        <v>5</v>
      </c>
      <c r="AD60" t="n">
        <v>27</v>
      </c>
      <c r="AE60" t="n">
        <v>28</v>
      </c>
      <c r="AF60" t="n">
        <v>8</v>
      </c>
      <c r="AG60" t="n">
        <v>9</v>
      </c>
      <c r="AH60" t="n">
        <v>9</v>
      </c>
      <c r="AI60" t="n">
        <v>9</v>
      </c>
      <c r="AJ60" t="n">
        <v>16</v>
      </c>
      <c r="AK60" t="n">
        <v>17</v>
      </c>
      <c r="AL60" t="n">
        <v>3</v>
      </c>
      <c r="AM60" t="n">
        <v>3</v>
      </c>
      <c r="AN60" t="n">
        <v>0</v>
      </c>
      <c r="AO60" t="n">
        <v>0</v>
      </c>
      <c r="AP60" t="inlineStr">
        <is>
          <t>No</t>
        </is>
      </c>
      <c r="AQ60" t="inlineStr">
        <is>
          <t>Yes</t>
        </is>
      </c>
      <c r="AR60">
        <f>HYPERLINK("http://catalog.hathitrust.org/Record/001415903","HathiTrust Record")</f>
        <v/>
      </c>
      <c r="AS60">
        <f>HYPERLINK("https://creighton-primo.hosted.exlibrisgroup.com/primo-explore/search?tab=default_tab&amp;search_scope=EVERYTHING&amp;vid=01CRU&amp;lang=en_US&amp;offset=0&amp;query=any,contains,991000173319702656","Catalog Record")</f>
        <v/>
      </c>
      <c r="AT60">
        <f>HYPERLINK("http://www.worldcat.org/oclc/62033","WorldCat Record")</f>
        <v/>
      </c>
      <c r="AU60" t="inlineStr">
        <is>
          <t>1374211481:eng</t>
        </is>
      </c>
      <c r="AV60" t="inlineStr">
        <is>
          <t>62033</t>
        </is>
      </c>
      <c r="AW60" t="inlineStr">
        <is>
          <t>991000173319702656</t>
        </is>
      </c>
      <c r="AX60" t="inlineStr">
        <is>
          <t>991000173319702656</t>
        </is>
      </c>
      <c r="AY60" t="inlineStr">
        <is>
          <t>2254766850002656</t>
        </is>
      </c>
      <c r="AZ60" t="inlineStr">
        <is>
          <t>BOOK</t>
        </is>
      </c>
      <c r="BC60" t="inlineStr">
        <is>
          <t>32285001228252</t>
        </is>
      </c>
      <c r="BD60" t="inlineStr">
        <is>
          <t>893224802</t>
        </is>
      </c>
    </row>
    <row r="61">
      <c r="A61" t="inlineStr">
        <is>
          <t>No</t>
        </is>
      </c>
      <c r="B61" t="inlineStr">
        <is>
          <t>BX1378.2 .B74 1959</t>
        </is>
      </c>
      <c r="C61" t="inlineStr">
        <is>
          <t>0                      BX 1378200B  74          1959</t>
        </is>
      </c>
      <c r="D61" t="inlineStr">
        <is>
          <t>The story of Pope John XXIII.</t>
        </is>
      </c>
      <c r="F61" t="inlineStr">
        <is>
          <t>No</t>
        </is>
      </c>
      <c r="G61" t="inlineStr">
        <is>
          <t>1</t>
        </is>
      </c>
      <c r="H61" t="inlineStr">
        <is>
          <t>No</t>
        </is>
      </c>
      <c r="I61" t="inlineStr">
        <is>
          <t>No</t>
        </is>
      </c>
      <c r="J61" t="inlineStr">
        <is>
          <t>0</t>
        </is>
      </c>
      <c r="K61" t="inlineStr">
        <is>
          <t>Breig, Joseph A. (Joseph Anthony), 1906-</t>
        </is>
      </c>
      <c r="L61" t="inlineStr">
        <is>
          <t>St. Paul : Summit Press, [c1959]</t>
        </is>
      </c>
      <c r="M61" t="inlineStr">
        <is>
          <t>1959</t>
        </is>
      </c>
      <c r="O61" t="inlineStr">
        <is>
          <t>eng</t>
        </is>
      </c>
      <c r="P61" t="inlineStr">
        <is>
          <t xml:space="preserve">xx </t>
        </is>
      </c>
      <c r="R61" t="inlineStr">
        <is>
          <t xml:space="preserve">BX </t>
        </is>
      </c>
      <c r="S61" t="n">
        <v>7</v>
      </c>
      <c r="T61" t="n">
        <v>7</v>
      </c>
      <c r="U61" t="inlineStr">
        <is>
          <t>1999-11-08</t>
        </is>
      </c>
      <c r="V61" t="inlineStr">
        <is>
          <t>1999-11-08</t>
        </is>
      </c>
      <c r="W61" t="inlineStr">
        <is>
          <t>1992-06-09</t>
        </is>
      </c>
      <c r="X61" t="inlineStr">
        <is>
          <t>1992-06-09</t>
        </is>
      </c>
      <c r="Y61" t="n">
        <v>38</v>
      </c>
      <c r="Z61" t="n">
        <v>36</v>
      </c>
      <c r="AA61" t="n">
        <v>37</v>
      </c>
      <c r="AB61" t="n">
        <v>2</v>
      </c>
      <c r="AC61" t="n">
        <v>2</v>
      </c>
      <c r="AD61" t="n">
        <v>9</v>
      </c>
      <c r="AE61" t="n">
        <v>9</v>
      </c>
      <c r="AF61" t="n">
        <v>2</v>
      </c>
      <c r="AG61" t="n">
        <v>2</v>
      </c>
      <c r="AH61" t="n">
        <v>1</v>
      </c>
      <c r="AI61" t="n">
        <v>1</v>
      </c>
      <c r="AJ61" t="n">
        <v>8</v>
      </c>
      <c r="AK61" t="n">
        <v>8</v>
      </c>
      <c r="AL61" t="n">
        <v>1</v>
      </c>
      <c r="AM61" t="n">
        <v>1</v>
      </c>
      <c r="AN61" t="n">
        <v>0</v>
      </c>
      <c r="AO61" t="n">
        <v>0</v>
      </c>
      <c r="AP61" t="inlineStr">
        <is>
          <t>No</t>
        </is>
      </c>
      <c r="AQ61" t="inlineStr">
        <is>
          <t>Yes</t>
        </is>
      </c>
      <c r="AR61">
        <f>HYPERLINK("http://catalog.hathitrust.org/Record/101652393","HathiTrust Record")</f>
        <v/>
      </c>
      <c r="AS61">
        <f>HYPERLINK("https://creighton-primo.hosted.exlibrisgroup.com/primo-explore/search?tab=default_tab&amp;search_scope=EVERYTHING&amp;vid=01CRU&amp;lang=en_US&amp;offset=0&amp;query=any,contains,991003837689702656","Catalog Record")</f>
        <v/>
      </c>
      <c r="AT61">
        <f>HYPERLINK("http://www.worldcat.org/oclc/1608781","WorldCat Record")</f>
        <v/>
      </c>
      <c r="AU61" t="inlineStr">
        <is>
          <t>2402112:eng</t>
        </is>
      </c>
      <c r="AV61" t="inlineStr">
        <is>
          <t>1608781</t>
        </is>
      </c>
      <c r="AW61" t="inlineStr">
        <is>
          <t>991003837689702656</t>
        </is>
      </c>
      <c r="AX61" t="inlineStr">
        <is>
          <t>991003837689702656</t>
        </is>
      </c>
      <c r="AY61" t="inlineStr">
        <is>
          <t>2260902220002656</t>
        </is>
      </c>
      <c r="AZ61" t="inlineStr">
        <is>
          <t>BOOK</t>
        </is>
      </c>
      <c r="BC61" t="inlineStr">
        <is>
          <t>32285001228286</t>
        </is>
      </c>
      <c r="BD61" t="inlineStr">
        <is>
          <t>893611516</t>
        </is>
      </c>
    </row>
    <row r="62">
      <c r="A62" t="inlineStr">
        <is>
          <t>No</t>
        </is>
      </c>
      <c r="B62" t="inlineStr">
        <is>
          <t>BX1378.2 .G513 1959</t>
        </is>
      </c>
      <c r="C62" t="inlineStr">
        <is>
          <t>0                      BX 1378200G  513         1959</t>
        </is>
      </c>
      <c r="D62" t="inlineStr">
        <is>
          <t>We have a Pope : a portrait of His Holiness John XXIII / Translated from the Italian by John Chapin.</t>
        </is>
      </c>
      <c r="F62" t="inlineStr">
        <is>
          <t>No</t>
        </is>
      </c>
      <c r="G62" t="inlineStr">
        <is>
          <t>1</t>
        </is>
      </c>
      <c r="H62" t="inlineStr">
        <is>
          <t>No</t>
        </is>
      </c>
      <c r="I62" t="inlineStr">
        <is>
          <t>No</t>
        </is>
      </c>
      <c r="J62" t="inlineStr">
        <is>
          <t>0</t>
        </is>
      </c>
      <c r="K62" t="inlineStr">
        <is>
          <t>Giovannetti, Alberto.</t>
        </is>
      </c>
      <c r="L62" t="inlineStr">
        <is>
          <t>Westminster, Md. : Newman Press, 1959.</t>
        </is>
      </c>
      <c r="M62" t="inlineStr">
        <is>
          <t>1959</t>
        </is>
      </c>
      <c r="O62" t="inlineStr">
        <is>
          <t>eng</t>
        </is>
      </c>
      <c r="P62" t="inlineStr">
        <is>
          <t>mdu</t>
        </is>
      </c>
      <c r="R62" t="inlineStr">
        <is>
          <t xml:space="preserve">BX </t>
        </is>
      </c>
      <c r="S62" t="n">
        <v>3</v>
      </c>
      <c r="T62" t="n">
        <v>3</v>
      </c>
      <c r="U62" t="inlineStr">
        <is>
          <t>2007-03-24</t>
        </is>
      </c>
      <c r="V62" t="inlineStr">
        <is>
          <t>2007-03-24</t>
        </is>
      </c>
      <c r="W62" t="inlineStr">
        <is>
          <t>1992-06-09</t>
        </is>
      </c>
      <c r="X62" t="inlineStr">
        <is>
          <t>1992-06-09</t>
        </is>
      </c>
      <c r="Y62" t="n">
        <v>265</v>
      </c>
      <c r="Z62" t="n">
        <v>249</v>
      </c>
      <c r="AA62" t="n">
        <v>256</v>
      </c>
      <c r="AB62" t="n">
        <v>3</v>
      </c>
      <c r="AC62" t="n">
        <v>3</v>
      </c>
      <c r="AD62" t="n">
        <v>30</v>
      </c>
      <c r="AE62" t="n">
        <v>30</v>
      </c>
      <c r="AF62" t="n">
        <v>9</v>
      </c>
      <c r="AG62" t="n">
        <v>9</v>
      </c>
      <c r="AH62" t="n">
        <v>8</v>
      </c>
      <c r="AI62" t="n">
        <v>8</v>
      </c>
      <c r="AJ62" t="n">
        <v>23</v>
      </c>
      <c r="AK62" t="n">
        <v>23</v>
      </c>
      <c r="AL62" t="n">
        <v>1</v>
      </c>
      <c r="AM62" t="n">
        <v>1</v>
      </c>
      <c r="AN62" t="n">
        <v>0</v>
      </c>
      <c r="AO62" t="n">
        <v>0</v>
      </c>
      <c r="AP62" t="inlineStr">
        <is>
          <t>No</t>
        </is>
      </c>
      <c r="AQ62" t="inlineStr">
        <is>
          <t>No</t>
        </is>
      </c>
      <c r="AS62">
        <f>HYPERLINK("https://creighton-primo.hosted.exlibrisgroup.com/primo-explore/search?tab=default_tab&amp;search_scope=EVERYTHING&amp;vid=01CRU&amp;lang=en_US&amp;offset=0&amp;query=any,contains,991003442479702656","Catalog Record")</f>
        <v/>
      </c>
      <c r="AT62">
        <f>HYPERLINK("http://www.worldcat.org/oclc/978732","WorldCat Record")</f>
        <v/>
      </c>
      <c r="AU62" t="inlineStr">
        <is>
          <t>1941204:eng</t>
        </is>
      </c>
      <c r="AV62" t="inlineStr">
        <is>
          <t>978732</t>
        </is>
      </c>
      <c r="AW62" t="inlineStr">
        <is>
          <t>991003442479702656</t>
        </is>
      </c>
      <c r="AX62" t="inlineStr">
        <is>
          <t>991003442479702656</t>
        </is>
      </c>
      <c r="AY62" t="inlineStr">
        <is>
          <t>2260343330002656</t>
        </is>
      </c>
      <c r="AZ62" t="inlineStr">
        <is>
          <t>BOOK</t>
        </is>
      </c>
      <c r="BC62" t="inlineStr">
        <is>
          <t>32285001228302</t>
        </is>
      </c>
      <c r="BD62" t="inlineStr">
        <is>
          <t>893336490</t>
        </is>
      </c>
    </row>
    <row r="63">
      <c r="A63" t="inlineStr">
        <is>
          <t>No</t>
        </is>
      </c>
      <c r="B63" t="inlineStr">
        <is>
          <t>BX1378.2 .H3 1963</t>
        </is>
      </c>
      <c r="C63" t="inlineStr">
        <is>
          <t>0                      BX 1378200H  3           1963</t>
        </is>
      </c>
      <c r="D63" t="inlineStr">
        <is>
          <t>A man named John; the life of Pope John XXIII / by Alden Hatch. Illustrated with drawings by Allene Gaty Hatch.</t>
        </is>
      </c>
      <c r="F63" t="inlineStr">
        <is>
          <t>No</t>
        </is>
      </c>
      <c r="G63" t="inlineStr">
        <is>
          <t>1</t>
        </is>
      </c>
      <c r="H63" t="inlineStr">
        <is>
          <t>No</t>
        </is>
      </c>
      <c r="I63" t="inlineStr">
        <is>
          <t>No</t>
        </is>
      </c>
      <c r="J63" t="inlineStr">
        <is>
          <t>0</t>
        </is>
      </c>
      <c r="K63" t="inlineStr">
        <is>
          <t>Hatch, Alden, 1898-1975.</t>
        </is>
      </c>
      <c r="L63" t="inlineStr">
        <is>
          <t>New York : Hawthorn Books, 1963.</t>
        </is>
      </c>
      <c r="M63" t="inlineStr">
        <is>
          <t>1963</t>
        </is>
      </c>
      <c r="N63" t="inlineStr">
        <is>
          <t>[1st ed.]</t>
        </is>
      </c>
      <c r="O63" t="inlineStr">
        <is>
          <t>eng</t>
        </is>
      </c>
      <c r="P63" t="inlineStr">
        <is>
          <t>nyu</t>
        </is>
      </c>
      <c r="R63" t="inlineStr">
        <is>
          <t xml:space="preserve">BX </t>
        </is>
      </c>
      <c r="S63" t="n">
        <v>7</v>
      </c>
      <c r="T63" t="n">
        <v>7</v>
      </c>
      <c r="U63" t="inlineStr">
        <is>
          <t>2007-04-11</t>
        </is>
      </c>
      <c r="V63" t="inlineStr">
        <is>
          <t>2007-04-11</t>
        </is>
      </c>
      <c r="W63" t="inlineStr">
        <is>
          <t>1992-06-09</t>
        </is>
      </c>
      <c r="X63" t="inlineStr">
        <is>
          <t>1992-06-09</t>
        </is>
      </c>
      <c r="Y63" t="n">
        <v>883</v>
      </c>
      <c r="Z63" t="n">
        <v>836</v>
      </c>
      <c r="AA63" t="n">
        <v>961</v>
      </c>
      <c r="AB63" t="n">
        <v>6</v>
      </c>
      <c r="AC63" t="n">
        <v>8</v>
      </c>
      <c r="AD63" t="n">
        <v>34</v>
      </c>
      <c r="AE63" t="n">
        <v>40</v>
      </c>
      <c r="AF63" t="n">
        <v>12</v>
      </c>
      <c r="AG63" t="n">
        <v>15</v>
      </c>
      <c r="AH63" t="n">
        <v>8</v>
      </c>
      <c r="AI63" t="n">
        <v>10</v>
      </c>
      <c r="AJ63" t="n">
        <v>22</v>
      </c>
      <c r="AK63" t="n">
        <v>23</v>
      </c>
      <c r="AL63" t="n">
        <v>2</v>
      </c>
      <c r="AM63" t="n">
        <v>3</v>
      </c>
      <c r="AN63" t="n">
        <v>0</v>
      </c>
      <c r="AO63" t="n">
        <v>0</v>
      </c>
      <c r="AP63" t="inlineStr">
        <is>
          <t>No</t>
        </is>
      </c>
      <c r="AQ63" t="inlineStr">
        <is>
          <t>Yes</t>
        </is>
      </c>
      <c r="AR63">
        <f>HYPERLINK("http://catalog.hathitrust.org/Record/008003634","HathiTrust Record")</f>
        <v/>
      </c>
      <c r="AS63">
        <f>HYPERLINK("https://creighton-primo.hosted.exlibrisgroup.com/primo-explore/search?tab=default_tab&amp;search_scope=EVERYTHING&amp;vid=01CRU&amp;lang=en_US&amp;offset=0&amp;query=any,contains,991002402699702656","Catalog Record")</f>
        <v/>
      </c>
      <c r="AT63">
        <f>HYPERLINK("http://www.worldcat.org/oclc/337595","WorldCat Record")</f>
        <v/>
      </c>
      <c r="AU63" t="inlineStr">
        <is>
          <t>155752608:eng</t>
        </is>
      </c>
      <c r="AV63" t="inlineStr">
        <is>
          <t>337595</t>
        </is>
      </c>
      <c r="AW63" t="inlineStr">
        <is>
          <t>991002402699702656</t>
        </is>
      </c>
      <c r="AX63" t="inlineStr">
        <is>
          <t>991002402699702656</t>
        </is>
      </c>
      <c r="AY63" t="inlineStr">
        <is>
          <t>2255677990002656</t>
        </is>
      </c>
      <c r="AZ63" t="inlineStr">
        <is>
          <t>BOOK</t>
        </is>
      </c>
      <c r="BC63" t="inlineStr">
        <is>
          <t>32285001228310</t>
        </is>
      </c>
      <c r="BD63" t="inlineStr">
        <is>
          <t>893867168</t>
        </is>
      </c>
    </row>
    <row r="64">
      <c r="A64" t="inlineStr">
        <is>
          <t>No</t>
        </is>
      </c>
      <c r="B64" t="inlineStr">
        <is>
          <t>BX1378.2 .H342 2000</t>
        </is>
      </c>
      <c r="C64" t="inlineStr">
        <is>
          <t>0                      BX 1378200H  342         2000</t>
        </is>
      </c>
      <c r="D64" t="inlineStr">
        <is>
          <t>John XXIII : Pope of the century / Peter Hebblethwaite.</t>
        </is>
      </c>
      <c r="F64" t="inlineStr">
        <is>
          <t>No</t>
        </is>
      </c>
      <c r="G64" t="inlineStr">
        <is>
          <t>1</t>
        </is>
      </c>
      <c r="H64" t="inlineStr">
        <is>
          <t>No</t>
        </is>
      </c>
      <c r="I64" t="inlineStr">
        <is>
          <t>No</t>
        </is>
      </c>
      <c r="J64" t="inlineStr">
        <is>
          <t>0</t>
        </is>
      </c>
      <c r="K64" t="inlineStr">
        <is>
          <t>Hebblethwaite, Peter.</t>
        </is>
      </c>
      <c r="L64" t="inlineStr">
        <is>
          <t>London : Continuum, 20008.</t>
        </is>
      </c>
      <c r="M64" t="inlineStr">
        <is>
          <t>2000</t>
        </is>
      </c>
      <c r="N64" t="inlineStr">
        <is>
          <t>Abridged ed. / [by Margaret Hebblethwaite]</t>
        </is>
      </c>
      <c r="O64" t="inlineStr">
        <is>
          <t>eng</t>
        </is>
      </c>
      <c r="P64" t="inlineStr">
        <is>
          <t>enk</t>
        </is>
      </c>
      <c r="Q64" t="inlineStr">
        <is>
          <t>Fount classics</t>
        </is>
      </c>
      <c r="R64" t="inlineStr">
        <is>
          <t xml:space="preserve">BX </t>
        </is>
      </c>
      <c r="S64" t="n">
        <v>7</v>
      </c>
      <c r="T64" t="n">
        <v>7</v>
      </c>
      <c r="U64" t="inlineStr">
        <is>
          <t>2008-12-09</t>
        </is>
      </c>
      <c r="V64" t="inlineStr">
        <is>
          <t>2008-12-09</t>
        </is>
      </c>
      <c r="W64" t="inlineStr">
        <is>
          <t>2001-08-20</t>
        </is>
      </c>
      <c r="X64" t="inlineStr">
        <is>
          <t>2001-08-20</t>
        </is>
      </c>
      <c r="Y64" t="n">
        <v>194</v>
      </c>
      <c r="Z64" t="n">
        <v>159</v>
      </c>
      <c r="AA64" t="n">
        <v>766</v>
      </c>
      <c r="AB64" t="n">
        <v>1</v>
      </c>
      <c r="AC64" t="n">
        <v>7</v>
      </c>
      <c r="AD64" t="n">
        <v>18</v>
      </c>
      <c r="AE64" t="n">
        <v>36</v>
      </c>
      <c r="AF64" t="n">
        <v>9</v>
      </c>
      <c r="AG64" t="n">
        <v>16</v>
      </c>
      <c r="AH64" t="n">
        <v>3</v>
      </c>
      <c r="AI64" t="n">
        <v>7</v>
      </c>
      <c r="AJ64" t="n">
        <v>12</v>
      </c>
      <c r="AK64" t="n">
        <v>16</v>
      </c>
      <c r="AL64" t="n">
        <v>0</v>
      </c>
      <c r="AM64" t="n">
        <v>6</v>
      </c>
      <c r="AN64" t="n">
        <v>0</v>
      </c>
      <c r="AO64" t="n">
        <v>0</v>
      </c>
      <c r="AP64" t="inlineStr">
        <is>
          <t>No</t>
        </is>
      </c>
      <c r="AQ64" t="inlineStr">
        <is>
          <t>No</t>
        </is>
      </c>
      <c r="AS64">
        <f>HYPERLINK("https://creighton-primo.hosted.exlibrisgroup.com/primo-explore/search?tab=default_tab&amp;search_scope=EVERYTHING&amp;vid=01CRU&amp;lang=en_US&amp;offset=0&amp;query=any,contains,991003572809702656","Catalog Record")</f>
        <v/>
      </c>
      <c r="AT64">
        <f>HYPERLINK("http://www.worldcat.org/oclc/45329426","WorldCat Record")</f>
        <v/>
      </c>
      <c r="AU64" t="inlineStr">
        <is>
          <t>52238:eng</t>
        </is>
      </c>
      <c r="AV64" t="inlineStr">
        <is>
          <t>45329426</t>
        </is>
      </c>
      <c r="AW64" t="inlineStr">
        <is>
          <t>991003572809702656</t>
        </is>
      </c>
      <c r="AX64" t="inlineStr">
        <is>
          <t>991003572809702656</t>
        </is>
      </c>
      <c r="AY64" t="inlineStr">
        <is>
          <t>2256604730002656</t>
        </is>
      </c>
      <c r="AZ64" t="inlineStr">
        <is>
          <t>BOOK</t>
        </is>
      </c>
      <c r="BB64" t="inlineStr">
        <is>
          <t>9780826449955</t>
        </is>
      </c>
      <c r="BC64" t="inlineStr">
        <is>
          <t>32285004378260</t>
        </is>
      </c>
      <c r="BD64" t="inlineStr">
        <is>
          <t>893410421</t>
        </is>
      </c>
    </row>
    <row r="65">
      <c r="A65" t="inlineStr">
        <is>
          <t>No</t>
        </is>
      </c>
      <c r="B65" t="inlineStr">
        <is>
          <t>BX1378.2 .H4 1965</t>
        </is>
      </c>
      <c r="C65" t="inlineStr">
        <is>
          <t>0                      BX 1378200H  4           1965</t>
        </is>
      </c>
      <c r="D65" t="inlineStr">
        <is>
          <t>John XXIII : Pope Paul on his predecessor, and a documentation by the editors of Herder correspondence.</t>
        </is>
      </c>
      <c r="F65" t="inlineStr">
        <is>
          <t>No</t>
        </is>
      </c>
      <c r="G65" t="inlineStr">
        <is>
          <t>1</t>
        </is>
      </c>
      <c r="H65" t="inlineStr">
        <is>
          <t>No</t>
        </is>
      </c>
      <c r="I65" t="inlineStr">
        <is>
          <t>No</t>
        </is>
      </c>
      <c r="J65" t="inlineStr">
        <is>
          <t>0</t>
        </is>
      </c>
      <c r="K65" t="inlineStr">
        <is>
          <t>Herder correspondence.</t>
        </is>
      </c>
      <c r="L65" t="inlineStr">
        <is>
          <t>[New York] : Herder and Herder, [1965]</t>
        </is>
      </c>
      <c r="M65" t="inlineStr">
        <is>
          <t>1965</t>
        </is>
      </c>
      <c r="O65" t="inlineStr">
        <is>
          <t>eng</t>
        </is>
      </c>
      <c r="P65" t="inlineStr">
        <is>
          <t>nyu</t>
        </is>
      </c>
      <c r="R65" t="inlineStr">
        <is>
          <t xml:space="preserve">BX </t>
        </is>
      </c>
      <c r="S65" t="n">
        <v>1</v>
      </c>
      <c r="T65" t="n">
        <v>1</v>
      </c>
      <c r="U65" t="inlineStr">
        <is>
          <t>2007-03-24</t>
        </is>
      </c>
      <c r="V65" t="inlineStr">
        <is>
          <t>2007-03-24</t>
        </is>
      </c>
      <c r="W65" t="inlineStr">
        <is>
          <t>1992-06-09</t>
        </is>
      </c>
      <c r="X65" t="inlineStr">
        <is>
          <t>1992-06-09</t>
        </is>
      </c>
      <c r="Y65" t="n">
        <v>257</v>
      </c>
      <c r="Z65" t="n">
        <v>246</v>
      </c>
      <c r="AA65" t="n">
        <v>247</v>
      </c>
      <c r="AB65" t="n">
        <v>3</v>
      </c>
      <c r="AC65" t="n">
        <v>3</v>
      </c>
      <c r="AD65" t="n">
        <v>29</v>
      </c>
      <c r="AE65" t="n">
        <v>29</v>
      </c>
      <c r="AF65" t="n">
        <v>10</v>
      </c>
      <c r="AG65" t="n">
        <v>10</v>
      </c>
      <c r="AH65" t="n">
        <v>8</v>
      </c>
      <c r="AI65" t="n">
        <v>8</v>
      </c>
      <c r="AJ65" t="n">
        <v>21</v>
      </c>
      <c r="AK65" t="n">
        <v>21</v>
      </c>
      <c r="AL65" t="n">
        <v>0</v>
      </c>
      <c r="AM65" t="n">
        <v>0</v>
      </c>
      <c r="AN65" t="n">
        <v>0</v>
      </c>
      <c r="AO65" t="n">
        <v>0</v>
      </c>
      <c r="AP65" t="inlineStr">
        <is>
          <t>No</t>
        </is>
      </c>
      <c r="AQ65" t="inlineStr">
        <is>
          <t>Yes</t>
        </is>
      </c>
      <c r="AR65">
        <f>HYPERLINK("http://catalog.hathitrust.org/Record/006639310","HathiTrust Record")</f>
        <v/>
      </c>
      <c r="AS65">
        <f>HYPERLINK("https://creighton-primo.hosted.exlibrisgroup.com/primo-explore/search?tab=default_tab&amp;search_scope=EVERYTHING&amp;vid=01CRU&amp;lang=en_US&amp;offset=0&amp;query=any,contains,991003372169702656","Catalog Record")</f>
        <v/>
      </c>
      <c r="AT65">
        <f>HYPERLINK("http://www.worldcat.org/oclc/908342","WorldCat Record")</f>
        <v/>
      </c>
      <c r="AU65" t="inlineStr">
        <is>
          <t>54013192:eng</t>
        </is>
      </c>
      <c r="AV65" t="inlineStr">
        <is>
          <t>908342</t>
        </is>
      </c>
      <c r="AW65" t="inlineStr">
        <is>
          <t>991003372169702656</t>
        </is>
      </c>
      <c r="AX65" t="inlineStr">
        <is>
          <t>991003372169702656</t>
        </is>
      </c>
      <c r="AY65" t="inlineStr">
        <is>
          <t>2261386710002656</t>
        </is>
      </c>
      <c r="AZ65" t="inlineStr">
        <is>
          <t>BOOK</t>
        </is>
      </c>
      <c r="BC65" t="inlineStr">
        <is>
          <t>32285001228344</t>
        </is>
      </c>
      <c r="BD65" t="inlineStr">
        <is>
          <t>893434943</t>
        </is>
      </c>
    </row>
    <row r="66">
      <c r="A66" t="inlineStr">
        <is>
          <t>No</t>
        </is>
      </c>
      <c r="B66" t="inlineStr">
        <is>
          <t>BX1378.2 .J66</t>
        </is>
      </c>
      <c r="C66" t="inlineStr">
        <is>
          <t>0                      BX 1378200J  66</t>
        </is>
      </c>
      <c r="D66" t="inlineStr">
        <is>
          <t>Pope John XXIII / by Paul Johnson.</t>
        </is>
      </c>
      <c r="F66" t="inlineStr">
        <is>
          <t>No</t>
        </is>
      </c>
      <c r="G66" t="inlineStr">
        <is>
          <t>1</t>
        </is>
      </c>
      <c r="H66" t="inlineStr">
        <is>
          <t>No</t>
        </is>
      </c>
      <c r="I66" t="inlineStr">
        <is>
          <t>No</t>
        </is>
      </c>
      <c r="J66" t="inlineStr">
        <is>
          <t>0</t>
        </is>
      </c>
      <c r="K66" t="inlineStr">
        <is>
          <t>Johnson, Paul, 1928-</t>
        </is>
      </c>
      <c r="L66" t="inlineStr">
        <is>
          <t>Boston, Little, Brown [1974]</t>
        </is>
      </c>
      <c r="M66" t="inlineStr">
        <is>
          <t>1974</t>
        </is>
      </c>
      <c r="N66" t="inlineStr">
        <is>
          <t>[1st ed.]</t>
        </is>
      </c>
      <c r="O66" t="inlineStr">
        <is>
          <t>eng</t>
        </is>
      </c>
      <c r="P66" t="inlineStr">
        <is>
          <t>mau</t>
        </is>
      </c>
      <c r="Q66" t="inlineStr">
        <is>
          <t>The Library of world biography</t>
        </is>
      </c>
      <c r="R66" t="inlineStr">
        <is>
          <t xml:space="preserve">BX </t>
        </is>
      </c>
      <c r="S66" t="n">
        <v>8</v>
      </c>
      <c r="T66" t="n">
        <v>8</v>
      </c>
      <c r="U66" t="inlineStr">
        <is>
          <t>2007-03-24</t>
        </is>
      </c>
      <c r="V66" t="inlineStr">
        <is>
          <t>2007-03-24</t>
        </is>
      </c>
      <c r="W66" t="inlineStr">
        <is>
          <t>1992-06-09</t>
        </is>
      </c>
      <c r="X66" t="inlineStr">
        <is>
          <t>1992-06-09</t>
        </is>
      </c>
      <c r="Y66" t="n">
        <v>752</v>
      </c>
      <c r="Z66" t="n">
        <v>714</v>
      </c>
      <c r="AA66" t="n">
        <v>730</v>
      </c>
      <c r="AB66" t="n">
        <v>7</v>
      </c>
      <c r="AC66" t="n">
        <v>7</v>
      </c>
      <c r="AD66" t="n">
        <v>30</v>
      </c>
      <c r="AE66" t="n">
        <v>30</v>
      </c>
      <c r="AF66" t="n">
        <v>9</v>
      </c>
      <c r="AG66" t="n">
        <v>9</v>
      </c>
      <c r="AH66" t="n">
        <v>6</v>
      </c>
      <c r="AI66" t="n">
        <v>6</v>
      </c>
      <c r="AJ66" t="n">
        <v>17</v>
      </c>
      <c r="AK66" t="n">
        <v>17</v>
      </c>
      <c r="AL66" t="n">
        <v>3</v>
      </c>
      <c r="AM66" t="n">
        <v>3</v>
      </c>
      <c r="AN66" t="n">
        <v>0</v>
      </c>
      <c r="AO66" t="n">
        <v>0</v>
      </c>
      <c r="AP66" t="inlineStr">
        <is>
          <t>No</t>
        </is>
      </c>
      <c r="AQ66" t="inlineStr">
        <is>
          <t>Yes</t>
        </is>
      </c>
      <c r="AR66">
        <f>HYPERLINK("http://catalog.hathitrust.org/Record/005135478","HathiTrust Record")</f>
        <v/>
      </c>
      <c r="AS66">
        <f>HYPERLINK("https://creighton-primo.hosted.exlibrisgroup.com/primo-explore/search?tab=default_tab&amp;search_scope=EVERYTHING&amp;vid=01CRU&amp;lang=en_US&amp;offset=0&amp;query=any,contains,991003419659702656","Catalog Record")</f>
        <v/>
      </c>
      <c r="AT66">
        <f>HYPERLINK("http://www.worldcat.org/oclc/960336","WorldCat Record")</f>
        <v/>
      </c>
      <c r="AU66" t="inlineStr">
        <is>
          <t>1911010:eng</t>
        </is>
      </c>
      <c r="AV66" t="inlineStr">
        <is>
          <t>960336</t>
        </is>
      </c>
      <c r="AW66" t="inlineStr">
        <is>
          <t>991003419659702656</t>
        </is>
      </c>
      <c r="AX66" t="inlineStr">
        <is>
          <t>991003419659702656</t>
        </is>
      </c>
      <c r="AY66" t="inlineStr">
        <is>
          <t>2259149800002656</t>
        </is>
      </c>
      <c r="AZ66" t="inlineStr">
        <is>
          <t>BOOK</t>
        </is>
      </c>
      <c r="BB66" t="inlineStr">
        <is>
          <t>9780316467551</t>
        </is>
      </c>
      <c r="BC66" t="inlineStr">
        <is>
          <t>32285001228351</t>
        </is>
      </c>
      <c r="BD66" t="inlineStr">
        <is>
          <t>893499269</t>
        </is>
      </c>
    </row>
    <row r="67">
      <c r="A67" t="inlineStr">
        <is>
          <t>No</t>
        </is>
      </c>
      <c r="B67" t="inlineStr">
        <is>
          <t>BX1378.2 .K553 1964</t>
        </is>
      </c>
      <c r="C67" t="inlineStr">
        <is>
          <t>0                      BX 1378200K  553         1964</t>
        </is>
      </c>
      <c r="D67" t="inlineStr">
        <is>
          <t>A Pope laughs : stories of John XXIII / Translated from the German by Sally McDevitt Cunneen.</t>
        </is>
      </c>
      <c r="F67" t="inlineStr">
        <is>
          <t>No</t>
        </is>
      </c>
      <c r="G67" t="inlineStr">
        <is>
          <t>1</t>
        </is>
      </c>
      <c r="H67" t="inlineStr">
        <is>
          <t>No</t>
        </is>
      </c>
      <c r="I67" t="inlineStr">
        <is>
          <t>No</t>
        </is>
      </c>
      <c r="J67" t="inlineStr">
        <is>
          <t>0</t>
        </is>
      </c>
      <c r="K67" t="inlineStr">
        <is>
          <t>Klinger, Kurt, 1914-</t>
        </is>
      </c>
      <c r="L67" t="inlineStr">
        <is>
          <t>New York : Holt, Rinehard and Winston, [1964]</t>
        </is>
      </c>
      <c r="M67" t="inlineStr">
        <is>
          <t>1964</t>
        </is>
      </c>
      <c r="N67" t="inlineStr">
        <is>
          <t>[1st ed.]</t>
        </is>
      </c>
      <c r="O67" t="inlineStr">
        <is>
          <t>eng</t>
        </is>
      </c>
      <c r="P67" t="inlineStr">
        <is>
          <t>nyu</t>
        </is>
      </c>
      <c r="R67" t="inlineStr">
        <is>
          <t xml:space="preserve">BX </t>
        </is>
      </c>
      <c r="S67" t="n">
        <v>2</v>
      </c>
      <c r="T67" t="n">
        <v>2</v>
      </c>
      <c r="U67" t="inlineStr">
        <is>
          <t>1994-02-22</t>
        </is>
      </c>
      <c r="V67" t="inlineStr">
        <is>
          <t>1994-02-22</t>
        </is>
      </c>
      <c r="W67" t="inlineStr">
        <is>
          <t>1992-06-09</t>
        </is>
      </c>
      <c r="X67" t="inlineStr">
        <is>
          <t>1992-06-09</t>
        </is>
      </c>
      <c r="Y67" t="n">
        <v>288</v>
      </c>
      <c r="Z67" t="n">
        <v>274</v>
      </c>
      <c r="AA67" t="n">
        <v>299</v>
      </c>
      <c r="AB67" t="n">
        <v>2</v>
      </c>
      <c r="AC67" t="n">
        <v>2</v>
      </c>
      <c r="AD67" t="n">
        <v>20</v>
      </c>
      <c r="AE67" t="n">
        <v>22</v>
      </c>
      <c r="AF67" t="n">
        <v>8</v>
      </c>
      <c r="AG67" t="n">
        <v>9</v>
      </c>
      <c r="AH67" t="n">
        <v>4</v>
      </c>
      <c r="AI67" t="n">
        <v>5</v>
      </c>
      <c r="AJ67" t="n">
        <v>14</v>
      </c>
      <c r="AK67" t="n">
        <v>14</v>
      </c>
      <c r="AL67" t="n">
        <v>0</v>
      </c>
      <c r="AM67" t="n">
        <v>0</v>
      </c>
      <c r="AN67" t="n">
        <v>0</v>
      </c>
      <c r="AO67" t="n">
        <v>0</v>
      </c>
      <c r="AP67" t="inlineStr">
        <is>
          <t>No</t>
        </is>
      </c>
      <c r="AQ67" t="inlineStr">
        <is>
          <t>Yes</t>
        </is>
      </c>
      <c r="AR67">
        <f>HYPERLINK("http://catalog.hathitrust.org/Record/001415906","HathiTrust Record")</f>
        <v/>
      </c>
      <c r="AS67">
        <f>HYPERLINK("https://creighton-primo.hosted.exlibrisgroup.com/primo-explore/search?tab=default_tab&amp;search_scope=EVERYTHING&amp;vid=01CRU&amp;lang=en_US&amp;offset=0&amp;query=any,contains,991002078189702656","Catalog Record")</f>
        <v/>
      </c>
      <c r="AT67">
        <f>HYPERLINK("http://www.worldcat.org/oclc/263961","WorldCat Record")</f>
        <v/>
      </c>
      <c r="AU67" t="inlineStr">
        <is>
          <t>3901315227:eng</t>
        </is>
      </c>
      <c r="AV67" t="inlineStr">
        <is>
          <t>263961</t>
        </is>
      </c>
      <c r="AW67" t="inlineStr">
        <is>
          <t>991002078189702656</t>
        </is>
      </c>
      <c r="AX67" t="inlineStr">
        <is>
          <t>991002078189702656</t>
        </is>
      </c>
      <c r="AY67" t="inlineStr">
        <is>
          <t>2268667080002656</t>
        </is>
      </c>
      <c r="AZ67" t="inlineStr">
        <is>
          <t>BOOK</t>
        </is>
      </c>
      <c r="BC67" t="inlineStr">
        <is>
          <t>32285001228369</t>
        </is>
      </c>
      <c r="BD67" t="inlineStr">
        <is>
          <t>893238612</t>
        </is>
      </c>
    </row>
    <row r="68">
      <c r="A68" t="inlineStr">
        <is>
          <t>No</t>
        </is>
      </c>
      <c r="B68" t="inlineStr">
        <is>
          <t>BX1378.2 .M87 1959</t>
        </is>
      </c>
      <c r="C68" t="inlineStr">
        <is>
          <t>0                      BX 1378200M  87          1959</t>
        </is>
      </c>
      <c r="D68" t="inlineStr">
        <is>
          <t>Pope John XXIII comes to the Vatican.</t>
        </is>
      </c>
      <c r="F68" t="inlineStr">
        <is>
          <t>No</t>
        </is>
      </c>
      <c r="G68" t="inlineStr">
        <is>
          <t>1</t>
        </is>
      </c>
      <c r="H68" t="inlineStr">
        <is>
          <t>No</t>
        </is>
      </c>
      <c r="I68" t="inlineStr">
        <is>
          <t>No</t>
        </is>
      </c>
      <c r="J68" t="inlineStr">
        <is>
          <t>0</t>
        </is>
      </c>
      <c r="K68" t="inlineStr">
        <is>
          <t>Murphy, Francis X. (Francis Xavier), 1914-2002.</t>
        </is>
      </c>
      <c r="L68" t="inlineStr">
        <is>
          <t>New York : Robert M. McBride, [1959]</t>
        </is>
      </c>
      <c r="M68" t="inlineStr">
        <is>
          <t>1959</t>
        </is>
      </c>
      <c r="N68" t="inlineStr">
        <is>
          <t>First edition.</t>
        </is>
      </c>
      <c r="O68" t="inlineStr">
        <is>
          <t>eng</t>
        </is>
      </c>
      <c r="P68" t="inlineStr">
        <is>
          <t>nyu</t>
        </is>
      </c>
      <c r="R68" t="inlineStr">
        <is>
          <t xml:space="preserve">BX </t>
        </is>
      </c>
      <c r="S68" t="n">
        <v>3</v>
      </c>
      <c r="T68" t="n">
        <v>3</v>
      </c>
      <c r="U68" t="inlineStr">
        <is>
          <t>1998-11-03</t>
        </is>
      </c>
      <c r="V68" t="inlineStr">
        <is>
          <t>1998-11-03</t>
        </is>
      </c>
      <c r="W68" t="inlineStr">
        <is>
          <t>1992-06-09</t>
        </is>
      </c>
      <c r="X68" t="inlineStr">
        <is>
          <t>1992-06-09</t>
        </is>
      </c>
      <c r="Y68" t="n">
        <v>179</v>
      </c>
      <c r="Z68" t="n">
        <v>163</v>
      </c>
      <c r="AA68" t="n">
        <v>169</v>
      </c>
      <c r="AB68" t="n">
        <v>3</v>
      </c>
      <c r="AC68" t="n">
        <v>3</v>
      </c>
      <c r="AD68" t="n">
        <v>19</v>
      </c>
      <c r="AE68" t="n">
        <v>19</v>
      </c>
      <c r="AF68" t="n">
        <v>7</v>
      </c>
      <c r="AG68" t="n">
        <v>7</v>
      </c>
      <c r="AH68" t="n">
        <v>2</v>
      </c>
      <c r="AI68" t="n">
        <v>2</v>
      </c>
      <c r="AJ68" t="n">
        <v>17</v>
      </c>
      <c r="AK68" t="n">
        <v>17</v>
      </c>
      <c r="AL68" t="n">
        <v>0</v>
      </c>
      <c r="AM68" t="n">
        <v>0</v>
      </c>
      <c r="AN68" t="n">
        <v>0</v>
      </c>
      <c r="AO68" t="n">
        <v>0</v>
      </c>
      <c r="AP68" t="inlineStr">
        <is>
          <t>No</t>
        </is>
      </c>
      <c r="AQ68" t="inlineStr">
        <is>
          <t>Yes</t>
        </is>
      </c>
      <c r="AR68">
        <f>HYPERLINK("http://catalog.hathitrust.org/Record/101695099","HathiTrust Record")</f>
        <v/>
      </c>
      <c r="AS68">
        <f>HYPERLINK("https://creighton-primo.hosted.exlibrisgroup.com/primo-explore/search?tab=default_tab&amp;search_scope=EVERYTHING&amp;vid=01CRU&amp;lang=en_US&amp;offset=0&amp;query=any,contains,991002819919702656","Catalog Record")</f>
        <v/>
      </c>
      <c r="AT68">
        <f>HYPERLINK("http://www.worldcat.org/oclc/466367","WorldCat Record")</f>
        <v/>
      </c>
      <c r="AU68" t="inlineStr">
        <is>
          <t>153427512:eng</t>
        </is>
      </c>
      <c r="AV68" t="inlineStr">
        <is>
          <t>466367</t>
        </is>
      </c>
      <c r="AW68" t="inlineStr">
        <is>
          <t>991002819919702656</t>
        </is>
      </c>
      <c r="AX68" t="inlineStr">
        <is>
          <t>991002819919702656</t>
        </is>
      </c>
      <c r="AY68" t="inlineStr">
        <is>
          <t>2259776380002656</t>
        </is>
      </c>
      <c r="AZ68" t="inlineStr">
        <is>
          <t>BOOK</t>
        </is>
      </c>
      <c r="BC68" t="inlineStr">
        <is>
          <t>32285001228377</t>
        </is>
      </c>
      <c r="BD68" t="inlineStr">
        <is>
          <t>893347965</t>
        </is>
      </c>
    </row>
    <row r="69">
      <c r="A69" t="inlineStr">
        <is>
          <t>No</t>
        </is>
      </c>
      <c r="B69" t="inlineStr">
        <is>
          <t>BX1378.2 .P363 1959</t>
        </is>
      </c>
      <c r="C69" t="inlineStr">
        <is>
          <t>0                      BX 1378200P  363         1959</t>
        </is>
      </c>
      <c r="D69" t="inlineStr">
        <is>
          <t>Pope John XXIII : a pictorial biography / [Translated by Margaret Shenfield]</t>
        </is>
      </c>
      <c r="F69" t="inlineStr">
        <is>
          <t>No</t>
        </is>
      </c>
      <c r="G69" t="inlineStr">
        <is>
          <t>1</t>
        </is>
      </c>
      <c r="H69" t="inlineStr">
        <is>
          <t>No</t>
        </is>
      </c>
      <c r="I69" t="inlineStr">
        <is>
          <t>No</t>
        </is>
      </c>
      <c r="J69" t="inlineStr">
        <is>
          <t>0</t>
        </is>
      </c>
      <c r="K69" t="inlineStr">
        <is>
          <t>Pecher, Erich, 1913-</t>
        </is>
      </c>
      <c r="L69" t="inlineStr">
        <is>
          <t>New York : McGraw-Hill, [1959]</t>
        </is>
      </c>
      <c r="M69" t="inlineStr">
        <is>
          <t>1959</t>
        </is>
      </c>
      <c r="O69" t="inlineStr">
        <is>
          <t>eng</t>
        </is>
      </c>
      <c r="P69" t="inlineStr">
        <is>
          <t>nyu</t>
        </is>
      </c>
      <c r="R69" t="inlineStr">
        <is>
          <t xml:space="preserve">BX </t>
        </is>
      </c>
      <c r="S69" t="n">
        <v>6</v>
      </c>
      <c r="T69" t="n">
        <v>6</v>
      </c>
      <c r="U69" t="inlineStr">
        <is>
          <t>2007-04-10</t>
        </is>
      </c>
      <c r="V69" t="inlineStr">
        <is>
          <t>2007-04-10</t>
        </is>
      </c>
      <c r="W69" t="inlineStr">
        <is>
          <t>1992-06-09</t>
        </is>
      </c>
      <c r="X69" t="inlineStr">
        <is>
          <t>1992-06-09</t>
        </is>
      </c>
      <c r="Y69" t="n">
        <v>184</v>
      </c>
      <c r="Z69" t="n">
        <v>179</v>
      </c>
      <c r="AA69" t="n">
        <v>201</v>
      </c>
      <c r="AB69" t="n">
        <v>2</v>
      </c>
      <c r="AC69" t="n">
        <v>2</v>
      </c>
      <c r="AD69" t="n">
        <v>18</v>
      </c>
      <c r="AE69" t="n">
        <v>19</v>
      </c>
      <c r="AF69" t="n">
        <v>6</v>
      </c>
      <c r="AG69" t="n">
        <v>7</v>
      </c>
      <c r="AH69" t="n">
        <v>5</v>
      </c>
      <c r="AI69" t="n">
        <v>5</v>
      </c>
      <c r="AJ69" t="n">
        <v>13</v>
      </c>
      <c r="AK69" t="n">
        <v>13</v>
      </c>
      <c r="AL69" t="n">
        <v>0</v>
      </c>
      <c r="AM69" t="n">
        <v>0</v>
      </c>
      <c r="AN69" t="n">
        <v>0</v>
      </c>
      <c r="AO69" t="n">
        <v>0</v>
      </c>
      <c r="AP69" t="inlineStr">
        <is>
          <t>No</t>
        </is>
      </c>
      <c r="AQ69" t="inlineStr">
        <is>
          <t>Yes</t>
        </is>
      </c>
      <c r="AR69">
        <f>HYPERLINK("http://catalog.hathitrust.org/Record/007035506","HathiTrust Record")</f>
        <v/>
      </c>
      <c r="AS69">
        <f>HYPERLINK("https://creighton-primo.hosted.exlibrisgroup.com/primo-explore/search?tab=default_tab&amp;search_scope=EVERYTHING&amp;vid=01CRU&amp;lang=en_US&amp;offset=0&amp;query=any,contains,991003195119702656","Catalog Record")</f>
        <v/>
      </c>
      <c r="AT69">
        <f>HYPERLINK("http://www.worldcat.org/oclc/720411","WorldCat Record")</f>
        <v/>
      </c>
      <c r="AU69" t="inlineStr">
        <is>
          <t>376417890:eng</t>
        </is>
      </c>
      <c r="AV69" t="inlineStr">
        <is>
          <t>720411</t>
        </is>
      </c>
      <c r="AW69" t="inlineStr">
        <is>
          <t>991003195119702656</t>
        </is>
      </c>
      <c r="AX69" t="inlineStr">
        <is>
          <t>991003195119702656</t>
        </is>
      </c>
      <c r="AY69" t="inlineStr">
        <is>
          <t>2256240000002656</t>
        </is>
      </c>
      <c r="AZ69" t="inlineStr">
        <is>
          <t>BOOK</t>
        </is>
      </c>
      <c r="BC69" t="inlineStr">
        <is>
          <t>32285001228385</t>
        </is>
      </c>
      <c r="BD69" t="inlineStr">
        <is>
          <t>893799466</t>
        </is>
      </c>
    </row>
    <row r="70">
      <c r="A70" t="inlineStr">
        <is>
          <t>No</t>
        </is>
      </c>
      <c r="B70" t="inlineStr">
        <is>
          <t>BX1378.2 .S8 1966</t>
        </is>
      </c>
      <c r="C70" t="inlineStr">
        <is>
          <t>0                      BX 1378200S  8           1966</t>
        </is>
      </c>
      <c r="D70" t="inlineStr">
        <is>
          <t>Journey of love : a pilgrimage to Pope John's birthplace / Photos. by Daniel M. Madden. Book design by Edward R. Wade. With a foreword by Richard Cardinal Cushing.</t>
        </is>
      </c>
      <c r="F70" t="inlineStr">
        <is>
          <t>No</t>
        </is>
      </c>
      <c r="G70" t="inlineStr">
        <is>
          <t>1</t>
        </is>
      </c>
      <c r="H70" t="inlineStr">
        <is>
          <t>No</t>
        </is>
      </c>
      <c r="I70" t="inlineStr">
        <is>
          <t>No</t>
        </is>
      </c>
      <c r="J70" t="inlineStr">
        <is>
          <t>0</t>
        </is>
      </c>
      <c r="K70" t="inlineStr">
        <is>
          <t>Sullivan, Kay.</t>
        </is>
      </c>
      <c r="L70" t="inlineStr">
        <is>
          <t>New York : Appleton-Century, [1966]</t>
        </is>
      </c>
      <c r="M70" t="inlineStr">
        <is>
          <t>1966</t>
        </is>
      </c>
      <c r="O70" t="inlineStr">
        <is>
          <t>eng</t>
        </is>
      </c>
      <c r="P70" t="inlineStr">
        <is>
          <t>nyu</t>
        </is>
      </c>
      <c r="R70" t="inlineStr">
        <is>
          <t xml:space="preserve">BX </t>
        </is>
      </c>
      <c r="S70" t="n">
        <v>1</v>
      </c>
      <c r="T70" t="n">
        <v>1</v>
      </c>
      <c r="U70" t="inlineStr">
        <is>
          <t>1993-11-16</t>
        </is>
      </c>
      <c r="V70" t="inlineStr">
        <is>
          <t>1993-11-16</t>
        </is>
      </c>
      <c r="W70" t="inlineStr">
        <is>
          <t>1992-06-09</t>
        </is>
      </c>
      <c r="X70" t="inlineStr">
        <is>
          <t>1992-06-09</t>
        </is>
      </c>
      <c r="Y70" t="n">
        <v>125</v>
      </c>
      <c r="Z70" t="n">
        <v>119</v>
      </c>
      <c r="AA70" t="n">
        <v>124</v>
      </c>
      <c r="AB70" t="n">
        <v>3</v>
      </c>
      <c r="AC70" t="n">
        <v>3</v>
      </c>
      <c r="AD70" t="n">
        <v>12</v>
      </c>
      <c r="AE70" t="n">
        <v>12</v>
      </c>
      <c r="AF70" t="n">
        <v>3</v>
      </c>
      <c r="AG70" t="n">
        <v>3</v>
      </c>
      <c r="AH70" t="n">
        <v>1</v>
      </c>
      <c r="AI70" t="n">
        <v>1</v>
      </c>
      <c r="AJ70" t="n">
        <v>10</v>
      </c>
      <c r="AK70" t="n">
        <v>10</v>
      </c>
      <c r="AL70" t="n">
        <v>0</v>
      </c>
      <c r="AM70" t="n">
        <v>0</v>
      </c>
      <c r="AN70" t="n">
        <v>0</v>
      </c>
      <c r="AO70" t="n">
        <v>0</v>
      </c>
      <c r="AP70" t="inlineStr">
        <is>
          <t>No</t>
        </is>
      </c>
      <c r="AQ70" t="inlineStr">
        <is>
          <t>No</t>
        </is>
      </c>
      <c r="AS70">
        <f>HYPERLINK("https://creighton-primo.hosted.exlibrisgroup.com/primo-explore/search?tab=default_tab&amp;search_scope=EVERYTHING&amp;vid=01CRU&amp;lang=en_US&amp;offset=0&amp;query=any,contains,991002078139702656","Catalog Record")</f>
        <v/>
      </c>
      <c r="AT70">
        <f>HYPERLINK("http://www.worldcat.org/oclc/263948","WorldCat Record")</f>
        <v/>
      </c>
      <c r="AU70" t="inlineStr">
        <is>
          <t>1378526:eng</t>
        </is>
      </c>
      <c r="AV70" t="inlineStr">
        <is>
          <t>263948</t>
        </is>
      </c>
      <c r="AW70" t="inlineStr">
        <is>
          <t>991002078139702656</t>
        </is>
      </c>
      <c r="AX70" t="inlineStr">
        <is>
          <t>991002078139702656</t>
        </is>
      </c>
      <c r="AY70" t="inlineStr">
        <is>
          <t>2268662090002656</t>
        </is>
      </c>
      <c r="AZ70" t="inlineStr">
        <is>
          <t>BOOK</t>
        </is>
      </c>
      <c r="BC70" t="inlineStr">
        <is>
          <t>32285001228401</t>
        </is>
      </c>
      <c r="BD70" t="inlineStr">
        <is>
          <t>893615664</t>
        </is>
      </c>
    </row>
    <row r="71">
      <c r="A71" t="inlineStr">
        <is>
          <t>No</t>
        </is>
      </c>
      <c r="B71" t="inlineStr">
        <is>
          <t>BX1378.2 .T7 1967b</t>
        </is>
      </c>
      <c r="C71" t="inlineStr">
        <is>
          <t>0                      BX 1378200T  7           1967b</t>
        </is>
      </c>
      <c r="D71" t="inlineStr">
        <is>
          <t>Pope John.</t>
        </is>
      </c>
      <c r="F71" t="inlineStr">
        <is>
          <t>No</t>
        </is>
      </c>
      <c r="G71" t="inlineStr">
        <is>
          <t>1</t>
        </is>
      </c>
      <c r="H71" t="inlineStr">
        <is>
          <t>No</t>
        </is>
      </c>
      <c r="I71" t="inlineStr">
        <is>
          <t>No</t>
        </is>
      </c>
      <c r="J71" t="inlineStr">
        <is>
          <t>0</t>
        </is>
      </c>
      <c r="K71" t="inlineStr">
        <is>
          <t>Trevor, Meriol.</t>
        </is>
      </c>
      <c r="L71" t="inlineStr">
        <is>
          <t>Garden City, N.Y. : Doubleday, 1967.</t>
        </is>
      </c>
      <c r="M71" t="inlineStr">
        <is>
          <t>1967</t>
        </is>
      </c>
      <c r="N71" t="inlineStr">
        <is>
          <t>[1st ed.]</t>
        </is>
      </c>
      <c r="O71" t="inlineStr">
        <is>
          <t>eng</t>
        </is>
      </c>
      <c r="P71" t="inlineStr">
        <is>
          <t>nyu</t>
        </is>
      </c>
      <c r="R71" t="inlineStr">
        <is>
          <t xml:space="preserve">BX </t>
        </is>
      </c>
      <c r="S71" t="n">
        <v>7</v>
      </c>
      <c r="T71" t="n">
        <v>7</v>
      </c>
      <c r="U71" t="inlineStr">
        <is>
          <t>2006-12-03</t>
        </is>
      </c>
      <c r="V71" t="inlineStr">
        <is>
          <t>2006-12-03</t>
        </is>
      </c>
      <c r="W71" t="inlineStr">
        <is>
          <t>1992-06-09</t>
        </is>
      </c>
      <c r="X71" t="inlineStr">
        <is>
          <t>1992-06-09</t>
        </is>
      </c>
      <c r="Y71" t="n">
        <v>515</v>
      </c>
      <c r="Z71" t="n">
        <v>508</v>
      </c>
      <c r="AA71" t="n">
        <v>586</v>
      </c>
      <c r="AB71" t="n">
        <v>3</v>
      </c>
      <c r="AC71" t="n">
        <v>3</v>
      </c>
      <c r="AD71" t="n">
        <v>28</v>
      </c>
      <c r="AE71" t="n">
        <v>30</v>
      </c>
      <c r="AF71" t="n">
        <v>11</v>
      </c>
      <c r="AG71" t="n">
        <v>12</v>
      </c>
      <c r="AH71" t="n">
        <v>5</v>
      </c>
      <c r="AI71" t="n">
        <v>5</v>
      </c>
      <c r="AJ71" t="n">
        <v>20</v>
      </c>
      <c r="AK71" t="n">
        <v>21</v>
      </c>
      <c r="AL71" t="n">
        <v>1</v>
      </c>
      <c r="AM71" t="n">
        <v>1</v>
      </c>
      <c r="AN71" t="n">
        <v>0</v>
      </c>
      <c r="AO71" t="n">
        <v>0</v>
      </c>
      <c r="AP71" t="inlineStr">
        <is>
          <t>No</t>
        </is>
      </c>
      <c r="AQ71" t="inlineStr">
        <is>
          <t>Yes</t>
        </is>
      </c>
      <c r="AR71">
        <f>HYPERLINK("http://catalog.hathitrust.org/Record/001415911","HathiTrust Record")</f>
        <v/>
      </c>
      <c r="AS71">
        <f>HYPERLINK("https://creighton-primo.hosted.exlibrisgroup.com/primo-explore/search?tab=default_tab&amp;search_scope=EVERYTHING&amp;vid=01CRU&amp;lang=en_US&amp;offset=0&amp;query=any,contains,991002647079702656","Catalog Record")</f>
        <v/>
      </c>
      <c r="AT71">
        <f>HYPERLINK("http://www.worldcat.org/oclc/386083","WorldCat Record")</f>
        <v/>
      </c>
      <c r="AU71" t="inlineStr">
        <is>
          <t>1263130249:eng</t>
        </is>
      </c>
      <c r="AV71" t="inlineStr">
        <is>
          <t>386083</t>
        </is>
      </c>
      <c r="AW71" t="inlineStr">
        <is>
          <t>991002647079702656</t>
        </is>
      </c>
      <c r="AX71" t="inlineStr">
        <is>
          <t>991002647079702656</t>
        </is>
      </c>
      <c r="AY71" t="inlineStr">
        <is>
          <t>2257539380002656</t>
        </is>
      </c>
      <c r="AZ71" t="inlineStr">
        <is>
          <t>BOOK</t>
        </is>
      </c>
      <c r="BC71" t="inlineStr">
        <is>
          <t>32285001228419</t>
        </is>
      </c>
      <c r="BD71" t="inlineStr">
        <is>
          <t>893239328</t>
        </is>
      </c>
    </row>
    <row r="72">
      <c r="A72" t="inlineStr">
        <is>
          <t>No</t>
        </is>
      </c>
      <c r="B72" t="inlineStr">
        <is>
          <t>BX1378.3 .A6 1965</t>
        </is>
      </c>
      <c r="C72" t="inlineStr">
        <is>
          <t>0                      BX 1378300A  6           1965</t>
        </is>
      </c>
      <c r="D72" t="inlineStr">
        <is>
          <t>Pope Paul in the United States : his mission for peace on earth, October 4, 1965 / by Bill Adler with Sayre Ross.</t>
        </is>
      </c>
      <c r="F72" t="inlineStr">
        <is>
          <t>No</t>
        </is>
      </c>
      <c r="G72" t="inlineStr">
        <is>
          <t>1</t>
        </is>
      </c>
      <c r="H72" t="inlineStr">
        <is>
          <t>No</t>
        </is>
      </c>
      <c r="I72" t="inlineStr">
        <is>
          <t>No</t>
        </is>
      </c>
      <c r="J72" t="inlineStr">
        <is>
          <t>0</t>
        </is>
      </c>
      <c r="K72" t="inlineStr">
        <is>
          <t>Adler, Bill, 1929-2014.</t>
        </is>
      </c>
      <c r="L72" t="inlineStr">
        <is>
          <t>New York : Hawthorn Books, [1965]</t>
        </is>
      </c>
      <c r="M72" t="inlineStr">
        <is>
          <t>1965</t>
        </is>
      </c>
      <c r="N72" t="inlineStr">
        <is>
          <t>[1st ed.]</t>
        </is>
      </c>
      <c r="O72" t="inlineStr">
        <is>
          <t>eng</t>
        </is>
      </c>
      <c r="P72" t="inlineStr">
        <is>
          <t>nyu</t>
        </is>
      </c>
      <c r="R72" t="inlineStr">
        <is>
          <t xml:space="preserve">BX </t>
        </is>
      </c>
      <c r="S72" t="n">
        <v>1</v>
      </c>
      <c r="T72" t="n">
        <v>1</v>
      </c>
      <c r="U72" t="inlineStr">
        <is>
          <t>2009-06-25</t>
        </is>
      </c>
      <c r="V72" t="inlineStr">
        <is>
          <t>2009-06-25</t>
        </is>
      </c>
      <c r="W72" t="inlineStr">
        <is>
          <t>1992-06-09</t>
        </is>
      </c>
      <c r="X72" t="inlineStr">
        <is>
          <t>1992-06-09</t>
        </is>
      </c>
      <c r="Y72" t="n">
        <v>219</v>
      </c>
      <c r="Z72" t="n">
        <v>214</v>
      </c>
      <c r="AA72" t="n">
        <v>221</v>
      </c>
      <c r="AB72" t="n">
        <v>3</v>
      </c>
      <c r="AC72" t="n">
        <v>3</v>
      </c>
      <c r="AD72" t="n">
        <v>21</v>
      </c>
      <c r="AE72" t="n">
        <v>21</v>
      </c>
      <c r="AF72" t="n">
        <v>6</v>
      </c>
      <c r="AG72" t="n">
        <v>6</v>
      </c>
      <c r="AH72" t="n">
        <v>3</v>
      </c>
      <c r="AI72" t="n">
        <v>3</v>
      </c>
      <c r="AJ72" t="n">
        <v>16</v>
      </c>
      <c r="AK72" t="n">
        <v>16</v>
      </c>
      <c r="AL72" t="n">
        <v>1</v>
      </c>
      <c r="AM72" t="n">
        <v>1</v>
      </c>
      <c r="AN72" t="n">
        <v>0</v>
      </c>
      <c r="AO72" t="n">
        <v>0</v>
      </c>
      <c r="AP72" t="inlineStr">
        <is>
          <t>No</t>
        </is>
      </c>
      <c r="AQ72" t="inlineStr">
        <is>
          <t>Yes</t>
        </is>
      </c>
      <c r="AR72">
        <f>HYPERLINK("http://catalog.hathitrust.org/Record/006921715","HathiTrust Record")</f>
        <v/>
      </c>
      <c r="AS72">
        <f>HYPERLINK("https://creighton-primo.hosted.exlibrisgroup.com/primo-explore/search?tab=default_tab&amp;search_scope=EVERYTHING&amp;vid=01CRU&amp;lang=en_US&amp;offset=0&amp;query=any,contains,991003519189702656","Catalog Record")</f>
        <v/>
      </c>
      <c r="AT72">
        <f>HYPERLINK("http://www.worldcat.org/oclc/1078305","WorldCat Record")</f>
        <v/>
      </c>
      <c r="AU72" t="inlineStr">
        <is>
          <t>148443629:eng</t>
        </is>
      </c>
      <c r="AV72" t="inlineStr">
        <is>
          <t>1078305</t>
        </is>
      </c>
      <c r="AW72" t="inlineStr">
        <is>
          <t>991003519189702656</t>
        </is>
      </c>
      <c r="AX72" t="inlineStr">
        <is>
          <t>991003519189702656</t>
        </is>
      </c>
      <c r="AY72" t="inlineStr">
        <is>
          <t>2258741320002656</t>
        </is>
      </c>
      <c r="AZ72" t="inlineStr">
        <is>
          <t>BOOK</t>
        </is>
      </c>
      <c r="BC72" t="inlineStr">
        <is>
          <t>32285001228435</t>
        </is>
      </c>
      <c r="BD72" t="inlineStr">
        <is>
          <t>893787413</t>
        </is>
      </c>
    </row>
    <row r="73">
      <c r="A73" t="inlineStr">
        <is>
          <t>No</t>
        </is>
      </c>
      <c r="B73" t="inlineStr">
        <is>
          <t>BX1378.3 .B6 1964</t>
        </is>
      </c>
      <c r="C73" t="inlineStr">
        <is>
          <t>0                      BX 1378300B  6           1964</t>
        </is>
      </c>
      <c r="D73" t="inlineStr">
        <is>
          <t>Shepherd of mankind : a biography of Pope Paul VI.</t>
        </is>
      </c>
      <c r="F73" t="inlineStr">
        <is>
          <t>No</t>
        </is>
      </c>
      <c r="G73" t="inlineStr">
        <is>
          <t>1</t>
        </is>
      </c>
      <c r="H73" t="inlineStr">
        <is>
          <t>No</t>
        </is>
      </c>
      <c r="I73" t="inlineStr">
        <is>
          <t>No</t>
        </is>
      </c>
      <c r="J73" t="inlineStr">
        <is>
          <t>0</t>
        </is>
      </c>
      <c r="K73" t="inlineStr">
        <is>
          <t>Barrett, William E. (William Edmund), 1900-1986.</t>
        </is>
      </c>
      <c r="L73" t="inlineStr">
        <is>
          <t>Garden City, N.Y. : Doubleday, 1964.</t>
        </is>
      </c>
      <c r="M73" t="inlineStr">
        <is>
          <t>1964</t>
        </is>
      </c>
      <c r="N73" t="inlineStr">
        <is>
          <t>[1st ed.]</t>
        </is>
      </c>
      <c r="O73" t="inlineStr">
        <is>
          <t>eng</t>
        </is>
      </c>
      <c r="P73" t="inlineStr">
        <is>
          <t>nyu</t>
        </is>
      </c>
      <c r="R73" t="inlineStr">
        <is>
          <t xml:space="preserve">BX </t>
        </is>
      </c>
      <c r="S73" t="n">
        <v>7</v>
      </c>
      <c r="T73" t="n">
        <v>7</v>
      </c>
      <c r="U73" t="inlineStr">
        <is>
          <t>2009-03-05</t>
        </is>
      </c>
      <c r="V73" t="inlineStr">
        <is>
          <t>2009-03-05</t>
        </is>
      </c>
      <c r="W73" t="inlineStr">
        <is>
          <t>1992-06-09</t>
        </is>
      </c>
      <c r="X73" t="inlineStr">
        <is>
          <t>1992-06-09</t>
        </is>
      </c>
      <c r="Y73" t="n">
        <v>781</v>
      </c>
      <c r="Z73" t="n">
        <v>734</v>
      </c>
      <c r="AA73" t="n">
        <v>776</v>
      </c>
      <c r="AB73" t="n">
        <v>5</v>
      </c>
      <c r="AC73" t="n">
        <v>5</v>
      </c>
      <c r="AD73" t="n">
        <v>34</v>
      </c>
      <c r="AE73" t="n">
        <v>34</v>
      </c>
      <c r="AF73" t="n">
        <v>12</v>
      </c>
      <c r="AG73" t="n">
        <v>12</v>
      </c>
      <c r="AH73" t="n">
        <v>10</v>
      </c>
      <c r="AI73" t="n">
        <v>10</v>
      </c>
      <c r="AJ73" t="n">
        <v>25</v>
      </c>
      <c r="AK73" t="n">
        <v>25</v>
      </c>
      <c r="AL73" t="n">
        <v>0</v>
      </c>
      <c r="AM73" t="n">
        <v>0</v>
      </c>
      <c r="AN73" t="n">
        <v>0</v>
      </c>
      <c r="AO73" t="n">
        <v>0</v>
      </c>
      <c r="AP73" t="inlineStr">
        <is>
          <t>No</t>
        </is>
      </c>
      <c r="AQ73" t="inlineStr">
        <is>
          <t>No</t>
        </is>
      </c>
      <c r="AS73">
        <f>HYPERLINK("https://creighton-primo.hosted.exlibrisgroup.com/primo-explore/search?tab=default_tab&amp;search_scope=EVERYTHING&amp;vid=01CRU&amp;lang=en_US&amp;offset=0&amp;query=any,contains,991002212539702656","Catalog Record")</f>
        <v/>
      </c>
      <c r="AT73">
        <f>HYPERLINK("http://www.worldcat.org/oclc/287992","WorldCat Record")</f>
        <v/>
      </c>
      <c r="AU73" t="inlineStr">
        <is>
          <t>428324468:eng</t>
        </is>
      </c>
      <c r="AV73" t="inlineStr">
        <is>
          <t>287992</t>
        </is>
      </c>
      <c r="AW73" t="inlineStr">
        <is>
          <t>991002212539702656</t>
        </is>
      </c>
      <c r="AX73" t="inlineStr">
        <is>
          <t>991002212539702656</t>
        </is>
      </c>
      <c r="AY73" t="inlineStr">
        <is>
          <t>2263571520002656</t>
        </is>
      </c>
      <c r="AZ73" t="inlineStr">
        <is>
          <t>BOOK</t>
        </is>
      </c>
      <c r="BC73" t="inlineStr">
        <is>
          <t>32285001228450</t>
        </is>
      </c>
      <c r="BD73" t="inlineStr">
        <is>
          <t>893773350</t>
        </is>
      </c>
    </row>
    <row r="74">
      <c r="A74" t="inlineStr">
        <is>
          <t>No</t>
        </is>
      </c>
      <c r="B74" t="inlineStr">
        <is>
          <t>BX1378.3 .C52 1965</t>
        </is>
      </c>
      <c r="C74" t="inlineStr">
        <is>
          <t>0                      BX 1378300C  52          1965</t>
        </is>
      </c>
      <c r="D74" t="inlineStr">
        <is>
          <t>The pilgrimage for peace / [written by Andrew C. Ciofalo.</t>
        </is>
      </c>
      <c r="F74" t="inlineStr">
        <is>
          <t>No</t>
        </is>
      </c>
      <c r="G74" t="inlineStr">
        <is>
          <t>1</t>
        </is>
      </c>
      <c r="H74" t="inlineStr">
        <is>
          <t>No</t>
        </is>
      </c>
      <c r="I74" t="inlineStr">
        <is>
          <t>No</t>
        </is>
      </c>
      <c r="J74" t="inlineStr">
        <is>
          <t>0</t>
        </is>
      </c>
      <c r="K74" t="inlineStr">
        <is>
          <t>Ciofalo, Andrew, 1935-</t>
        </is>
      </c>
      <c r="L74" t="inlineStr">
        <is>
          <t>South Hackensack, N.J. : Custombook, inc., 1965]</t>
        </is>
      </c>
      <c r="M74" t="inlineStr">
        <is>
          <t>1965</t>
        </is>
      </c>
      <c r="O74" t="inlineStr">
        <is>
          <t>eng</t>
        </is>
      </c>
      <c r="P74" t="inlineStr">
        <is>
          <t>___</t>
        </is>
      </c>
      <c r="R74" t="inlineStr">
        <is>
          <t xml:space="preserve">BX </t>
        </is>
      </c>
      <c r="S74" t="n">
        <v>3</v>
      </c>
      <c r="T74" t="n">
        <v>3</v>
      </c>
      <c r="U74" t="inlineStr">
        <is>
          <t>2009-06-25</t>
        </is>
      </c>
      <c r="V74" t="inlineStr">
        <is>
          <t>2009-06-25</t>
        </is>
      </c>
      <c r="W74" t="inlineStr">
        <is>
          <t>1992-06-09</t>
        </is>
      </c>
      <c r="X74" t="inlineStr">
        <is>
          <t>1992-06-09</t>
        </is>
      </c>
      <c r="Y74" t="n">
        <v>97</v>
      </c>
      <c r="Z74" t="n">
        <v>96</v>
      </c>
      <c r="AA74" t="n">
        <v>104</v>
      </c>
      <c r="AB74" t="n">
        <v>1</v>
      </c>
      <c r="AC74" t="n">
        <v>1</v>
      </c>
      <c r="AD74" t="n">
        <v>12</v>
      </c>
      <c r="AE74" t="n">
        <v>12</v>
      </c>
      <c r="AF74" t="n">
        <v>2</v>
      </c>
      <c r="AG74" t="n">
        <v>2</v>
      </c>
      <c r="AH74" t="n">
        <v>4</v>
      </c>
      <c r="AI74" t="n">
        <v>4</v>
      </c>
      <c r="AJ74" t="n">
        <v>10</v>
      </c>
      <c r="AK74" t="n">
        <v>10</v>
      </c>
      <c r="AL74" t="n">
        <v>0</v>
      </c>
      <c r="AM74" t="n">
        <v>0</v>
      </c>
      <c r="AN74" t="n">
        <v>0</v>
      </c>
      <c r="AO74" t="n">
        <v>0</v>
      </c>
      <c r="AP74" t="inlineStr">
        <is>
          <t>No</t>
        </is>
      </c>
      <c r="AQ74" t="inlineStr">
        <is>
          <t>Yes</t>
        </is>
      </c>
      <c r="AR74">
        <f>HYPERLINK("http://catalog.hathitrust.org/Record/006921716","HathiTrust Record")</f>
        <v/>
      </c>
      <c r="AS74">
        <f>HYPERLINK("https://creighton-primo.hosted.exlibrisgroup.com/primo-explore/search?tab=default_tab&amp;search_scope=EVERYTHING&amp;vid=01CRU&amp;lang=en_US&amp;offset=0&amp;query=any,contains,991002051209702656","Catalog Record")</f>
        <v/>
      </c>
      <c r="AT74">
        <f>HYPERLINK("http://www.worldcat.org/oclc/261764","WorldCat Record")</f>
        <v/>
      </c>
      <c r="AU74" t="inlineStr">
        <is>
          <t>1371559:eng</t>
        </is>
      </c>
      <c r="AV74" t="inlineStr">
        <is>
          <t>261764</t>
        </is>
      </c>
      <c r="AW74" t="inlineStr">
        <is>
          <t>991002051209702656</t>
        </is>
      </c>
      <c r="AX74" t="inlineStr">
        <is>
          <t>991002051209702656</t>
        </is>
      </c>
      <c r="AY74" t="inlineStr">
        <is>
          <t>2266697480002656</t>
        </is>
      </c>
      <c r="AZ74" t="inlineStr">
        <is>
          <t>BOOK</t>
        </is>
      </c>
      <c r="BC74" t="inlineStr">
        <is>
          <t>32285001228468</t>
        </is>
      </c>
      <c r="BD74" t="inlineStr">
        <is>
          <t>893804170</t>
        </is>
      </c>
    </row>
    <row r="75">
      <c r="A75" t="inlineStr">
        <is>
          <t>No</t>
        </is>
      </c>
      <c r="B75" t="inlineStr">
        <is>
          <t>BX1378.3 .C55 1963</t>
        </is>
      </c>
      <c r="C75" t="inlineStr">
        <is>
          <t>0                      BX 1378300C  55          1963</t>
        </is>
      </c>
      <c r="D75" t="inlineStr">
        <is>
          <t>Apostle for our time, Pope Paul VI / by John G. Clancy.</t>
        </is>
      </c>
      <c r="F75" t="inlineStr">
        <is>
          <t>No</t>
        </is>
      </c>
      <c r="G75" t="inlineStr">
        <is>
          <t>1</t>
        </is>
      </c>
      <c r="H75" t="inlineStr">
        <is>
          <t>No</t>
        </is>
      </c>
      <c r="I75" t="inlineStr">
        <is>
          <t>No</t>
        </is>
      </c>
      <c r="J75" t="inlineStr">
        <is>
          <t>0</t>
        </is>
      </c>
      <c r="K75" t="inlineStr">
        <is>
          <t>Clancy, John Gregory.</t>
        </is>
      </c>
      <c r="L75" t="inlineStr">
        <is>
          <t>New York : P.J. Kenedy, [1963]</t>
        </is>
      </c>
      <c r="M75" t="inlineStr">
        <is>
          <t>1963</t>
        </is>
      </c>
      <c r="O75" t="inlineStr">
        <is>
          <t>eng</t>
        </is>
      </c>
      <c r="P75" t="inlineStr">
        <is>
          <t>nyu</t>
        </is>
      </c>
      <c r="R75" t="inlineStr">
        <is>
          <t xml:space="preserve">BX </t>
        </is>
      </c>
      <c r="S75" t="n">
        <v>4</v>
      </c>
      <c r="T75" t="n">
        <v>4</v>
      </c>
      <c r="U75" t="inlineStr">
        <is>
          <t>2009-03-05</t>
        </is>
      </c>
      <c r="V75" t="inlineStr">
        <is>
          <t>2009-03-05</t>
        </is>
      </c>
      <c r="W75" t="inlineStr">
        <is>
          <t>1992-06-09</t>
        </is>
      </c>
      <c r="X75" t="inlineStr">
        <is>
          <t>1992-06-09</t>
        </is>
      </c>
      <c r="Y75" t="n">
        <v>502</v>
      </c>
      <c r="Z75" t="n">
        <v>478</v>
      </c>
      <c r="AA75" t="n">
        <v>527</v>
      </c>
      <c r="AB75" t="n">
        <v>4</v>
      </c>
      <c r="AC75" t="n">
        <v>4</v>
      </c>
      <c r="AD75" t="n">
        <v>30</v>
      </c>
      <c r="AE75" t="n">
        <v>32</v>
      </c>
      <c r="AF75" t="n">
        <v>10</v>
      </c>
      <c r="AG75" t="n">
        <v>12</v>
      </c>
      <c r="AH75" t="n">
        <v>9</v>
      </c>
      <c r="AI75" t="n">
        <v>9</v>
      </c>
      <c r="AJ75" t="n">
        <v>22</v>
      </c>
      <c r="AK75" t="n">
        <v>23</v>
      </c>
      <c r="AL75" t="n">
        <v>0</v>
      </c>
      <c r="AM75" t="n">
        <v>0</v>
      </c>
      <c r="AN75" t="n">
        <v>0</v>
      </c>
      <c r="AO75" t="n">
        <v>0</v>
      </c>
      <c r="AP75" t="inlineStr">
        <is>
          <t>Yes</t>
        </is>
      </c>
      <c r="AQ75" t="inlineStr">
        <is>
          <t>No</t>
        </is>
      </c>
      <c r="AR75">
        <f>HYPERLINK("http://catalog.hathitrust.org/Record/001415914","HathiTrust Record")</f>
        <v/>
      </c>
      <c r="AS75">
        <f>HYPERLINK("https://creighton-primo.hosted.exlibrisgroup.com/primo-explore/search?tab=default_tab&amp;search_scope=EVERYTHING&amp;vid=01CRU&amp;lang=en_US&amp;offset=0&amp;query=any,contains,991003124909702656","Catalog Record")</f>
        <v/>
      </c>
      <c r="AT75">
        <f>HYPERLINK("http://www.worldcat.org/oclc/669624","WorldCat Record")</f>
        <v/>
      </c>
      <c r="AU75" t="inlineStr">
        <is>
          <t>1697654:eng</t>
        </is>
      </c>
      <c r="AV75" t="inlineStr">
        <is>
          <t>669624</t>
        </is>
      </c>
      <c r="AW75" t="inlineStr">
        <is>
          <t>991003124909702656</t>
        </is>
      </c>
      <c r="AX75" t="inlineStr">
        <is>
          <t>991003124909702656</t>
        </is>
      </c>
      <c r="AY75" t="inlineStr">
        <is>
          <t>2256136190002656</t>
        </is>
      </c>
      <c r="AZ75" t="inlineStr">
        <is>
          <t>BOOK</t>
        </is>
      </c>
      <c r="BC75" t="inlineStr">
        <is>
          <t>32285001228476</t>
        </is>
      </c>
      <c r="BD75" t="inlineStr">
        <is>
          <t>893692421</t>
        </is>
      </c>
    </row>
    <row r="76">
      <c r="A76" t="inlineStr">
        <is>
          <t>No</t>
        </is>
      </c>
      <c r="B76" t="inlineStr">
        <is>
          <t>BX1378.3 .G5813 1965</t>
        </is>
      </c>
      <c r="C76" t="inlineStr">
        <is>
          <t>0                      BX 1378300G  5813        1965</t>
        </is>
      </c>
      <c r="D76" t="inlineStr">
        <is>
          <t>Chats with Pope Paul / by J. L. Gonzalez. Translated by Mary F. Ingoldsby.</t>
        </is>
      </c>
      <c r="F76" t="inlineStr">
        <is>
          <t>No</t>
        </is>
      </c>
      <c r="G76" t="inlineStr">
        <is>
          <t>1</t>
        </is>
      </c>
      <c r="H76" t="inlineStr">
        <is>
          <t>No</t>
        </is>
      </c>
      <c r="I76" t="inlineStr">
        <is>
          <t>No</t>
        </is>
      </c>
      <c r="J76" t="inlineStr">
        <is>
          <t>0</t>
        </is>
      </c>
      <c r="K76" t="inlineStr">
        <is>
          <t>Gonzalez, James L.</t>
        </is>
      </c>
      <c r="L76" t="inlineStr">
        <is>
          <t>[Boston] : St. Paul Editions, [c1965]</t>
        </is>
      </c>
      <c r="M76" t="inlineStr">
        <is>
          <t>1965</t>
        </is>
      </c>
      <c r="O76" t="inlineStr">
        <is>
          <t>eng</t>
        </is>
      </c>
      <c r="P76" t="inlineStr">
        <is>
          <t xml:space="preserve">xx </t>
        </is>
      </c>
      <c r="R76" t="inlineStr">
        <is>
          <t xml:space="preserve">BX </t>
        </is>
      </c>
      <c r="S76" t="n">
        <v>2</v>
      </c>
      <c r="T76" t="n">
        <v>2</v>
      </c>
      <c r="U76" t="inlineStr">
        <is>
          <t>1992-07-22</t>
        </is>
      </c>
      <c r="V76" t="inlineStr">
        <is>
          <t>1992-07-22</t>
        </is>
      </c>
      <c r="W76" t="inlineStr">
        <is>
          <t>1992-06-09</t>
        </is>
      </c>
      <c r="X76" t="inlineStr">
        <is>
          <t>1992-06-09</t>
        </is>
      </c>
      <c r="Y76" t="n">
        <v>43</v>
      </c>
      <c r="Z76" t="n">
        <v>41</v>
      </c>
      <c r="AA76" t="n">
        <v>41</v>
      </c>
      <c r="AB76" t="n">
        <v>3</v>
      </c>
      <c r="AC76" t="n">
        <v>3</v>
      </c>
      <c r="AD76" t="n">
        <v>4</v>
      </c>
      <c r="AE76" t="n">
        <v>4</v>
      </c>
      <c r="AF76" t="n">
        <v>1</v>
      </c>
      <c r="AG76" t="n">
        <v>1</v>
      </c>
      <c r="AH76" t="n">
        <v>0</v>
      </c>
      <c r="AI76" t="n">
        <v>0</v>
      </c>
      <c r="AJ76" t="n">
        <v>4</v>
      </c>
      <c r="AK76" t="n">
        <v>4</v>
      </c>
      <c r="AL76" t="n">
        <v>0</v>
      </c>
      <c r="AM76" t="n">
        <v>0</v>
      </c>
      <c r="AN76" t="n">
        <v>0</v>
      </c>
      <c r="AO76" t="n">
        <v>0</v>
      </c>
      <c r="AP76" t="inlineStr">
        <is>
          <t>No</t>
        </is>
      </c>
      <c r="AQ76" t="inlineStr">
        <is>
          <t>No</t>
        </is>
      </c>
      <c r="AS76">
        <f>HYPERLINK("https://creighton-primo.hosted.exlibrisgroup.com/primo-explore/search?tab=default_tab&amp;search_scope=EVERYTHING&amp;vid=01CRU&amp;lang=en_US&amp;offset=0&amp;query=any,contains,991004324469702656","Catalog Record")</f>
        <v/>
      </c>
      <c r="AT76">
        <f>HYPERLINK("http://www.worldcat.org/oclc/3032843","WorldCat Record")</f>
        <v/>
      </c>
      <c r="AU76" t="inlineStr">
        <is>
          <t>7649613:eng</t>
        </is>
      </c>
      <c r="AV76" t="inlineStr">
        <is>
          <t>3032843</t>
        </is>
      </c>
      <c r="AW76" t="inlineStr">
        <is>
          <t>991004324469702656</t>
        </is>
      </c>
      <c r="AX76" t="inlineStr">
        <is>
          <t>991004324469702656</t>
        </is>
      </c>
      <c r="AY76" t="inlineStr">
        <is>
          <t>2262018650002656</t>
        </is>
      </c>
      <c r="AZ76" t="inlineStr">
        <is>
          <t>BOOK</t>
        </is>
      </c>
      <c r="BC76" t="inlineStr">
        <is>
          <t>32285001228484</t>
        </is>
      </c>
      <c r="BD76" t="inlineStr">
        <is>
          <t>893794726</t>
        </is>
      </c>
    </row>
    <row r="77">
      <c r="A77" t="inlineStr">
        <is>
          <t>No</t>
        </is>
      </c>
      <c r="B77" t="inlineStr">
        <is>
          <t>BX1378.3 .G613 1964</t>
        </is>
      </c>
      <c r="C77" t="inlineStr">
        <is>
          <t>0                      BX 1378300G  613         1964</t>
        </is>
      </c>
      <c r="D77" t="inlineStr">
        <is>
          <t>Paul VI / by J. L. González [and] T. Perez. English version by Edward L. Heston.</t>
        </is>
      </c>
      <c r="F77" t="inlineStr">
        <is>
          <t>No</t>
        </is>
      </c>
      <c r="G77" t="inlineStr">
        <is>
          <t>1</t>
        </is>
      </c>
      <c r="H77" t="inlineStr">
        <is>
          <t>No</t>
        </is>
      </c>
      <c r="I77" t="inlineStr">
        <is>
          <t>No</t>
        </is>
      </c>
      <c r="J77" t="inlineStr">
        <is>
          <t>0</t>
        </is>
      </c>
      <c r="K77" t="inlineStr">
        <is>
          <t>González, José Luis.</t>
        </is>
      </c>
      <c r="L77" t="inlineStr">
        <is>
          <t>[Boston] : St. Paul Editions, [1964]</t>
        </is>
      </c>
      <c r="M77" t="inlineStr">
        <is>
          <t>1964</t>
        </is>
      </c>
      <c r="O77" t="inlineStr">
        <is>
          <t>eng</t>
        </is>
      </c>
      <c r="P77" t="inlineStr">
        <is>
          <t>mau</t>
        </is>
      </c>
      <c r="R77" t="inlineStr">
        <is>
          <t xml:space="preserve">BX </t>
        </is>
      </c>
      <c r="S77" t="n">
        <v>6</v>
      </c>
      <c r="T77" t="n">
        <v>6</v>
      </c>
      <c r="U77" t="inlineStr">
        <is>
          <t>2009-03-05</t>
        </is>
      </c>
      <c r="V77" t="inlineStr">
        <is>
          <t>2009-03-05</t>
        </is>
      </c>
      <c r="W77" t="inlineStr">
        <is>
          <t>1992-06-09</t>
        </is>
      </c>
      <c r="X77" t="inlineStr">
        <is>
          <t>1992-06-09</t>
        </is>
      </c>
      <c r="Y77" t="n">
        <v>138</v>
      </c>
      <c r="Z77" t="n">
        <v>128</v>
      </c>
      <c r="AA77" t="n">
        <v>130</v>
      </c>
      <c r="AB77" t="n">
        <v>3</v>
      </c>
      <c r="AC77" t="n">
        <v>3</v>
      </c>
      <c r="AD77" t="n">
        <v>15</v>
      </c>
      <c r="AE77" t="n">
        <v>15</v>
      </c>
      <c r="AF77" t="n">
        <v>3</v>
      </c>
      <c r="AG77" t="n">
        <v>3</v>
      </c>
      <c r="AH77" t="n">
        <v>2</v>
      </c>
      <c r="AI77" t="n">
        <v>2</v>
      </c>
      <c r="AJ77" t="n">
        <v>12</v>
      </c>
      <c r="AK77" t="n">
        <v>12</v>
      </c>
      <c r="AL77" t="n">
        <v>0</v>
      </c>
      <c r="AM77" t="n">
        <v>0</v>
      </c>
      <c r="AN77" t="n">
        <v>0</v>
      </c>
      <c r="AO77" t="n">
        <v>0</v>
      </c>
      <c r="AP77" t="inlineStr">
        <is>
          <t>No</t>
        </is>
      </c>
      <c r="AQ77" t="inlineStr">
        <is>
          <t>No</t>
        </is>
      </c>
      <c r="AS77">
        <f>HYPERLINK("https://creighton-primo.hosted.exlibrisgroup.com/primo-explore/search?tab=default_tab&amp;search_scope=EVERYTHING&amp;vid=01CRU&amp;lang=en_US&amp;offset=0&amp;query=any,contains,991003862519702656","Catalog Record")</f>
        <v/>
      </c>
      <c r="AT77">
        <f>HYPERLINK("http://www.worldcat.org/oclc/1670209","WorldCat Record")</f>
        <v/>
      </c>
      <c r="AU77" t="inlineStr">
        <is>
          <t>2497316:eng</t>
        </is>
      </c>
      <c r="AV77" t="inlineStr">
        <is>
          <t>1670209</t>
        </is>
      </c>
      <c r="AW77" t="inlineStr">
        <is>
          <t>991003862519702656</t>
        </is>
      </c>
      <c r="AX77" t="inlineStr">
        <is>
          <t>991003862519702656</t>
        </is>
      </c>
      <c r="AY77" t="inlineStr">
        <is>
          <t>2265779610002656</t>
        </is>
      </c>
      <c r="AZ77" t="inlineStr">
        <is>
          <t>BOOK</t>
        </is>
      </c>
      <c r="BC77" t="inlineStr">
        <is>
          <t>32285001228492</t>
        </is>
      </c>
      <c r="BD77" t="inlineStr">
        <is>
          <t>893904561</t>
        </is>
      </c>
    </row>
    <row r="78">
      <c r="A78" t="inlineStr">
        <is>
          <t>No</t>
        </is>
      </c>
      <c r="B78" t="inlineStr">
        <is>
          <t>BX1378.3 .G813 1968</t>
        </is>
      </c>
      <c r="C78" t="inlineStr">
        <is>
          <t>0                      BX 1378300G  813         1968</t>
        </is>
      </c>
      <c r="D78" t="inlineStr">
        <is>
          <t>The Pope speaks : dialogues of Paul VI with Jean Guitton / English translation by Anne and Christopher Fremantle.</t>
        </is>
      </c>
      <c r="F78" t="inlineStr">
        <is>
          <t>No</t>
        </is>
      </c>
      <c r="G78" t="inlineStr">
        <is>
          <t>1</t>
        </is>
      </c>
      <c r="H78" t="inlineStr">
        <is>
          <t>No</t>
        </is>
      </c>
      <c r="I78" t="inlineStr">
        <is>
          <t>No</t>
        </is>
      </c>
      <c r="J78" t="inlineStr">
        <is>
          <t>0</t>
        </is>
      </c>
      <c r="K78" t="inlineStr">
        <is>
          <t>Guitton, Jean.</t>
        </is>
      </c>
      <c r="L78" t="inlineStr">
        <is>
          <t>New York : Meredith Press, [1968]</t>
        </is>
      </c>
      <c r="M78" t="inlineStr">
        <is>
          <t>1968</t>
        </is>
      </c>
      <c r="N78" t="inlineStr">
        <is>
          <t>[1st U.S. ed.]</t>
        </is>
      </c>
      <c r="O78" t="inlineStr">
        <is>
          <t>eng</t>
        </is>
      </c>
      <c r="P78" t="inlineStr">
        <is>
          <t>nyu</t>
        </is>
      </c>
      <c r="R78" t="inlineStr">
        <is>
          <t xml:space="preserve">BX </t>
        </is>
      </c>
      <c r="S78" t="n">
        <v>5</v>
      </c>
      <c r="T78" t="n">
        <v>5</v>
      </c>
      <c r="U78" t="inlineStr">
        <is>
          <t>1993-08-24</t>
        </is>
      </c>
      <c r="V78" t="inlineStr">
        <is>
          <t>1993-08-24</t>
        </is>
      </c>
      <c r="W78" t="inlineStr">
        <is>
          <t>1992-06-09</t>
        </is>
      </c>
      <c r="X78" t="inlineStr">
        <is>
          <t>1992-06-09</t>
        </is>
      </c>
      <c r="Y78" t="n">
        <v>523</v>
      </c>
      <c r="Z78" t="n">
        <v>503</v>
      </c>
      <c r="AA78" t="n">
        <v>522</v>
      </c>
      <c r="AB78" t="n">
        <v>4</v>
      </c>
      <c r="AC78" t="n">
        <v>4</v>
      </c>
      <c r="AD78" t="n">
        <v>32</v>
      </c>
      <c r="AE78" t="n">
        <v>32</v>
      </c>
      <c r="AF78" t="n">
        <v>10</v>
      </c>
      <c r="AG78" t="n">
        <v>10</v>
      </c>
      <c r="AH78" t="n">
        <v>7</v>
      </c>
      <c r="AI78" t="n">
        <v>7</v>
      </c>
      <c r="AJ78" t="n">
        <v>22</v>
      </c>
      <c r="AK78" t="n">
        <v>22</v>
      </c>
      <c r="AL78" t="n">
        <v>1</v>
      </c>
      <c r="AM78" t="n">
        <v>1</v>
      </c>
      <c r="AN78" t="n">
        <v>1</v>
      </c>
      <c r="AO78" t="n">
        <v>1</v>
      </c>
      <c r="AP78" t="inlineStr">
        <is>
          <t>No</t>
        </is>
      </c>
      <c r="AQ78" t="inlineStr">
        <is>
          <t>Yes</t>
        </is>
      </c>
      <c r="AR78">
        <f>HYPERLINK("http://catalog.hathitrust.org/Record/001415915","HathiTrust Record")</f>
        <v/>
      </c>
      <c r="AS78">
        <f>HYPERLINK("https://creighton-primo.hosted.exlibrisgroup.com/primo-explore/search?tab=default_tab&amp;search_scope=EVERYTHING&amp;vid=01CRU&amp;lang=en_US&amp;offset=0&amp;query=any,contains,991002776099702656","Catalog Record")</f>
        <v/>
      </c>
      <c r="AT78">
        <f>HYPERLINK("http://www.worldcat.org/oclc/438816","WorldCat Record")</f>
        <v/>
      </c>
      <c r="AU78" t="inlineStr">
        <is>
          <t>2908655424:eng</t>
        </is>
      </c>
      <c r="AV78" t="inlineStr">
        <is>
          <t>438816</t>
        </is>
      </c>
      <c r="AW78" t="inlineStr">
        <is>
          <t>991002776099702656</t>
        </is>
      </c>
      <c r="AX78" t="inlineStr">
        <is>
          <t>991002776099702656</t>
        </is>
      </c>
      <c r="AY78" t="inlineStr">
        <is>
          <t>2265300640002656</t>
        </is>
      </c>
      <c r="AZ78" t="inlineStr">
        <is>
          <t>BOOK</t>
        </is>
      </c>
      <c r="BC78" t="inlineStr">
        <is>
          <t>32285001228500</t>
        </is>
      </c>
      <c r="BD78" t="inlineStr">
        <is>
          <t>893329520</t>
        </is>
      </c>
    </row>
    <row r="79">
      <c r="A79" t="inlineStr">
        <is>
          <t>No</t>
        </is>
      </c>
      <c r="B79" t="inlineStr">
        <is>
          <t>BX1378.3 .H3 1966</t>
        </is>
      </c>
      <c r="C79" t="inlineStr">
        <is>
          <t>0                      BX 1378300H  3           1966</t>
        </is>
      </c>
      <c r="D79" t="inlineStr">
        <is>
          <t>Pope Paul VI.</t>
        </is>
      </c>
      <c r="F79" t="inlineStr">
        <is>
          <t>No</t>
        </is>
      </c>
      <c r="G79" t="inlineStr">
        <is>
          <t>1</t>
        </is>
      </c>
      <c r="H79" t="inlineStr">
        <is>
          <t>No</t>
        </is>
      </c>
      <c r="I79" t="inlineStr">
        <is>
          <t>No</t>
        </is>
      </c>
      <c r="J79" t="inlineStr">
        <is>
          <t>0</t>
        </is>
      </c>
      <c r="K79" t="inlineStr">
        <is>
          <t>Hatch, Alden, 1898-1975.</t>
        </is>
      </c>
      <c r="L79" t="inlineStr">
        <is>
          <t>New York : Random House, [1966]</t>
        </is>
      </c>
      <c r="M79" t="inlineStr">
        <is>
          <t>1966</t>
        </is>
      </c>
      <c r="O79" t="inlineStr">
        <is>
          <t>eng</t>
        </is>
      </c>
      <c r="P79" t="inlineStr">
        <is>
          <t xml:space="preserve">xx </t>
        </is>
      </c>
      <c r="R79" t="inlineStr">
        <is>
          <t xml:space="preserve">BX </t>
        </is>
      </c>
      <c r="S79" t="n">
        <v>9</v>
      </c>
      <c r="T79" t="n">
        <v>9</v>
      </c>
      <c r="U79" t="inlineStr">
        <is>
          <t>2009-03-05</t>
        </is>
      </c>
      <c r="V79" t="inlineStr">
        <is>
          <t>2009-03-05</t>
        </is>
      </c>
      <c r="W79" t="inlineStr">
        <is>
          <t>1992-06-09</t>
        </is>
      </c>
      <c r="X79" t="inlineStr">
        <is>
          <t>1992-06-09</t>
        </is>
      </c>
      <c r="Y79" t="n">
        <v>532</v>
      </c>
      <c r="Z79" t="n">
        <v>508</v>
      </c>
      <c r="AA79" t="n">
        <v>548</v>
      </c>
      <c r="AB79" t="n">
        <v>4</v>
      </c>
      <c r="AC79" t="n">
        <v>5</v>
      </c>
      <c r="AD79" t="n">
        <v>24</v>
      </c>
      <c r="AE79" t="n">
        <v>27</v>
      </c>
      <c r="AF79" t="n">
        <v>5</v>
      </c>
      <c r="AG79" t="n">
        <v>6</v>
      </c>
      <c r="AH79" t="n">
        <v>8</v>
      </c>
      <c r="AI79" t="n">
        <v>9</v>
      </c>
      <c r="AJ79" t="n">
        <v>17</v>
      </c>
      <c r="AK79" t="n">
        <v>20</v>
      </c>
      <c r="AL79" t="n">
        <v>1</v>
      </c>
      <c r="AM79" t="n">
        <v>1</v>
      </c>
      <c r="AN79" t="n">
        <v>0</v>
      </c>
      <c r="AO79" t="n">
        <v>0</v>
      </c>
      <c r="AP79" t="inlineStr">
        <is>
          <t>No</t>
        </is>
      </c>
      <c r="AQ79" t="inlineStr">
        <is>
          <t>Yes</t>
        </is>
      </c>
      <c r="AR79">
        <f>HYPERLINK("http://catalog.hathitrust.org/Record/001415916","HathiTrust Record")</f>
        <v/>
      </c>
      <c r="AS79">
        <f>HYPERLINK("https://creighton-primo.hosted.exlibrisgroup.com/primo-explore/search?tab=default_tab&amp;search_scope=EVERYTHING&amp;vid=01CRU&amp;lang=en_US&amp;offset=0&amp;query=any,contains,991002890219702656","Catalog Record")</f>
        <v/>
      </c>
      <c r="AT79">
        <f>HYPERLINK("http://www.worldcat.org/oclc/511185","WorldCat Record")</f>
        <v/>
      </c>
      <c r="AU79" t="inlineStr">
        <is>
          <t>155752612:eng</t>
        </is>
      </c>
      <c r="AV79" t="inlineStr">
        <is>
          <t>511185</t>
        </is>
      </c>
      <c r="AW79" t="inlineStr">
        <is>
          <t>991002890219702656</t>
        </is>
      </c>
      <c r="AX79" t="inlineStr">
        <is>
          <t>991002890219702656</t>
        </is>
      </c>
      <c r="AY79" t="inlineStr">
        <is>
          <t>2263893010002656</t>
        </is>
      </c>
      <c r="AZ79" t="inlineStr">
        <is>
          <t>BOOK</t>
        </is>
      </c>
      <c r="BC79" t="inlineStr">
        <is>
          <t>32285001228518</t>
        </is>
      </c>
      <c r="BD79" t="inlineStr">
        <is>
          <t>893867838</t>
        </is>
      </c>
    </row>
    <row r="80">
      <c r="A80" t="inlineStr">
        <is>
          <t>No</t>
        </is>
      </c>
      <c r="B80" t="inlineStr">
        <is>
          <t>BX1378.3 .H31</t>
        </is>
      </c>
      <c r="C80" t="inlineStr">
        <is>
          <t>0                      BX 1378300H  31</t>
        </is>
      </c>
      <c r="D80" t="inlineStr">
        <is>
          <t>The year of three popes / Peter Hebblethwaite.</t>
        </is>
      </c>
      <c r="F80" t="inlineStr">
        <is>
          <t>No</t>
        </is>
      </c>
      <c r="G80" t="inlineStr">
        <is>
          <t>1</t>
        </is>
      </c>
      <c r="H80" t="inlineStr">
        <is>
          <t>No</t>
        </is>
      </c>
      <c r="I80" t="inlineStr">
        <is>
          <t>No</t>
        </is>
      </c>
      <c r="J80" t="inlineStr">
        <is>
          <t>0</t>
        </is>
      </c>
      <c r="K80" t="inlineStr">
        <is>
          <t>Hebblethwaite, Peter.</t>
        </is>
      </c>
      <c r="L80" t="inlineStr">
        <is>
          <t>Cleveland : Collins, 1979, c1978.</t>
        </is>
      </c>
      <c r="M80" t="inlineStr">
        <is>
          <t>1979</t>
        </is>
      </c>
      <c r="N80" t="inlineStr">
        <is>
          <t>1st U. S. ed.</t>
        </is>
      </c>
      <c r="O80" t="inlineStr">
        <is>
          <t>eng</t>
        </is>
      </c>
      <c r="P80" t="inlineStr">
        <is>
          <t>ohu</t>
        </is>
      </c>
      <c r="R80" t="inlineStr">
        <is>
          <t xml:space="preserve">BX </t>
        </is>
      </c>
      <c r="S80" t="n">
        <v>6</v>
      </c>
      <c r="T80" t="n">
        <v>6</v>
      </c>
      <c r="U80" t="inlineStr">
        <is>
          <t>2002-07-02</t>
        </is>
      </c>
      <c r="V80" t="inlineStr">
        <is>
          <t>2002-07-02</t>
        </is>
      </c>
      <c r="W80" t="inlineStr">
        <is>
          <t>1992-06-09</t>
        </is>
      </c>
      <c r="X80" t="inlineStr">
        <is>
          <t>1992-06-09</t>
        </is>
      </c>
      <c r="Y80" t="n">
        <v>541</v>
      </c>
      <c r="Z80" t="n">
        <v>520</v>
      </c>
      <c r="AA80" t="n">
        <v>673</v>
      </c>
      <c r="AB80" t="n">
        <v>4</v>
      </c>
      <c r="AC80" t="n">
        <v>7</v>
      </c>
      <c r="AD80" t="n">
        <v>22</v>
      </c>
      <c r="AE80" t="n">
        <v>30</v>
      </c>
      <c r="AF80" t="n">
        <v>7</v>
      </c>
      <c r="AG80" t="n">
        <v>9</v>
      </c>
      <c r="AH80" t="n">
        <v>5</v>
      </c>
      <c r="AI80" t="n">
        <v>7</v>
      </c>
      <c r="AJ80" t="n">
        <v>16</v>
      </c>
      <c r="AK80" t="n">
        <v>19</v>
      </c>
      <c r="AL80" t="n">
        <v>1</v>
      </c>
      <c r="AM80" t="n">
        <v>4</v>
      </c>
      <c r="AN80" t="n">
        <v>0</v>
      </c>
      <c r="AO80" t="n">
        <v>0</v>
      </c>
      <c r="AP80" t="inlineStr">
        <is>
          <t>No</t>
        </is>
      </c>
      <c r="AQ80" t="inlineStr">
        <is>
          <t>No</t>
        </is>
      </c>
      <c r="AS80">
        <f>HYPERLINK("https://creighton-primo.hosted.exlibrisgroup.com/primo-explore/search?tab=default_tab&amp;search_scope=EVERYTHING&amp;vid=01CRU&amp;lang=en_US&amp;offset=0&amp;query=any,contains,991004743709702656","Catalog Record")</f>
        <v/>
      </c>
      <c r="AT80">
        <f>HYPERLINK("http://www.worldcat.org/oclc/4896477","WorldCat Record")</f>
        <v/>
      </c>
      <c r="AU80" t="inlineStr">
        <is>
          <t>3031631:eng</t>
        </is>
      </c>
      <c r="AV80" t="inlineStr">
        <is>
          <t>4896477</t>
        </is>
      </c>
      <c r="AW80" t="inlineStr">
        <is>
          <t>991004743709702656</t>
        </is>
      </c>
      <c r="AX80" t="inlineStr">
        <is>
          <t>991004743709702656</t>
        </is>
      </c>
      <c r="AY80" t="inlineStr">
        <is>
          <t>2262097090002656</t>
        </is>
      </c>
      <c r="AZ80" t="inlineStr">
        <is>
          <t>BOOK</t>
        </is>
      </c>
      <c r="BB80" t="inlineStr">
        <is>
          <t>9780529056528</t>
        </is>
      </c>
      <c r="BC80" t="inlineStr">
        <is>
          <t>32285001228526</t>
        </is>
      </c>
      <c r="BD80" t="inlineStr">
        <is>
          <t>893331993</t>
        </is>
      </c>
    </row>
    <row r="81">
      <c r="A81" t="inlineStr">
        <is>
          <t>No</t>
        </is>
      </c>
      <c r="B81" t="inlineStr">
        <is>
          <t>BX1378.3 .H433 1993</t>
        </is>
      </c>
      <c r="C81" t="inlineStr">
        <is>
          <t>0                      BX 1378300H  433         1993</t>
        </is>
      </c>
      <c r="D81" t="inlineStr">
        <is>
          <t>Paul VI : the first modern Pope / Peter Hebblethwaite.</t>
        </is>
      </c>
      <c r="F81" t="inlineStr">
        <is>
          <t>No</t>
        </is>
      </c>
      <c r="G81" t="inlineStr">
        <is>
          <t>1</t>
        </is>
      </c>
      <c r="H81" t="inlineStr">
        <is>
          <t>No</t>
        </is>
      </c>
      <c r="I81" t="inlineStr">
        <is>
          <t>No</t>
        </is>
      </c>
      <c r="J81" t="inlineStr">
        <is>
          <t>0</t>
        </is>
      </c>
      <c r="K81" t="inlineStr">
        <is>
          <t>Hebblethwaite, Peter.</t>
        </is>
      </c>
      <c r="L81" t="inlineStr">
        <is>
          <t>New York : Paulist Press, 1993.</t>
        </is>
      </c>
      <c r="M81" t="inlineStr">
        <is>
          <t>1993</t>
        </is>
      </c>
      <c r="O81" t="inlineStr">
        <is>
          <t>eng</t>
        </is>
      </c>
      <c r="P81" t="inlineStr">
        <is>
          <t>nyu</t>
        </is>
      </c>
      <c r="R81" t="inlineStr">
        <is>
          <t xml:space="preserve">BX </t>
        </is>
      </c>
      <c r="S81" t="n">
        <v>6</v>
      </c>
      <c r="T81" t="n">
        <v>6</v>
      </c>
      <c r="U81" t="inlineStr">
        <is>
          <t>2009-03-05</t>
        </is>
      </c>
      <c r="V81" t="inlineStr">
        <is>
          <t>2009-03-05</t>
        </is>
      </c>
      <c r="W81" t="inlineStr">
        <is>
          <t>1993-10-16</t>
        </is>
      </c>
      <c r="X81" t="inlineStr">
        <is>
          <t>1993-10-16</t>
        </is>
      </c>
      <c r="Y81" t="n">
        <v>744</v>
      </c>
      <c r="Z81" t="n">
        <v>673</v>
      </c>
      <c r="AA81" t="n">
        <v>718</v>
      </c>
      <c r="AB81" t="n">
        <v>7</v>
      </c>
      <c r="AC81" t="n">
        <v>7</v>
      </c>
      <c r="AD81" t="n">
        <v>36</v>
      </c>
      <c r="AE81" t="n">
        <v>39</v>
      </c>
      <c r="AF81" t="n">
        <v>12</v>
      </c>
      <c r="AG81" t="n">
        <v>14</v>
      </c>
      <c r="AH81" t="n">
        <v>8</v>
      </c>
      <c r="AI81" t="n">
        <v>9</v>
      </c>
      <c r="AJ81" t="n">
        <v>23</v>
      </c>
      <c r="AK81" t="n">
        <v>25</v>
      </c>
      <c r="AL81" t="n">
        <v>3</v>
      </c>
      <c r="AM81" t="n">
        <v>3</v>
      </c>
      <c r="AN81" t="n">
        <v>0</v>
      </c>
      <c r="AO81" t="n">
        <v>0</v>
      </c>
      <c r="AP81" t="inlineStr">
        <is>
          <t>No</t>
        </is>
      </c>
      <c r="AQ81" t="inlineStr">
        <is>
          <t>Yes</t>
        </is>
      </c>
      <c r="AR81">
        <f>HYPERLINK("http://catalog.hathitrust.org/Record/002863365","HathiTrust Record")</f>
        <v/>
      </c>
      <c r="AS81">
        <f>HYPERLINK("https://creighton-primo.hosted.exlibrisgroup.com/primo-explore/search?tab=default_tab&amp;search_scope=EVERYTHING&amp;vid=01CRU&amp;lang=en_US&amp;offset=0&amp;query=any,contains,991002129319702656","Catalog Record")</f>
        <v/>
      </c>
      <c r="AT81">
        <f>HYPERLINK("http://www.worldcat.org/oclc/27266137","WorldCat Record")</f>
        <v/>
      </c>
      <c r="AU81" t="inlineStr">
        <is>
          <t>353055:eng</t>
        </is>
      </c>
      <c r="AV81" t="inlineStr">
        <is>
          <t>27266137</t>
        </is>
      </c>
      <c r="AW81" t="inlineStr">
        <is>
          <t>991002129319702656</t>
        </is>
      </c>
      <c r="AX81" t="inlineStr">
        <is>
          <t>991002129319702656</t>
        </is>
      </c>
      <c r="AY81" t="inlineStr">
        <is>
          <t>2269402460002656</t>
        </is>
      </c>
      <c r="AZ81" t="inlineStr">
        <is>
          <t>BOOK</t>
        </is>
      </c>
      <c r="BB81" t="inlineStr">
        <is>
          <t>9780809104611</t>
        </is>
      </c>
      <c r="BC81" t="inlineStr">
        <is>
          <t>32285001786408</t>
        </is>
      </c>
      <c r="BD81" t="inlineStr">
        <is>
          <t>893798220</t>
        </is>
      </c>
    </row>
    <row r="82">
      <c r="A82" t="inlineStr">
        <is>
          <t>No</t>
        </is>
      </c>
      <c r="B82" t="inlineStr">
        <is>
          <t>BX1378.3 .T5 1965</t>
        </is>
      </c>
      <c r="C82" t="inlineStr">
        <is>
          <t>0                      BX 1378300T  5           1965</t>
        </is>
      </c>
      <c r="D82" t="inlineStr">
        <is>
          <t>The Pope's visit.</t>
        </is>
      </c>
      <c r="F82" t="inlineStr">
        <is>
          <t>No</t>
        </is>
      </c>
      <c r="G82" t="inlineStr">
        <is>
          <t>1</t>
        </is>
      </c>
      <c r="H82" t="inlineStr">
        <is>
          <t>No</t>
        </is>
      </c>
      <c r="I82" t="inlineStr">
        <is>
          <t>No</t>
        </is>
      </c>
      <c r="J82" t="inlineStr">
        <is>
          <t>0</t>
        </is>
      </c>
      <c r="K82" t="inlineStr">
        <is>
          <t>Time, inc.</t>
        </is>
      </c>
      <c r="M82" t="inlineStr">
        <is>
          <t>1965</t>
        </is>
      </c>
      <c r="O82" t="inlineStr">
        <is>
          <t>eng</t>
        </is>
      </c>
      <c r="P82" t="inlineStr">
        <is>
          <t>nyu</t>
        </is>
      </c>
      <c r="Q82" t="inlineStr">
        <is>
          <t>Time-Life special report books</t>
        </is>
      </c>
      <c r="R82" t="inlineStr">
        <is>
          <t xml:space="preserve">BX </t>
        </is>
      </c>
      <c r="S82" t="n">
        <v>5</v>
      </c>
      <c r="T82" t="n">
        <v>5</v>
      </c>
      <c r="U82" t="inlineStr">
        <is>
          <t>2009-06-25</t>
        </is>
      </c>
      <c r="V82" t="inlineStr">
        <is>
          <t>2009-06-25</t>
        </is>
      </c>
      <c r="W82" t="inlineStr">
        <is>
          <t>1992-06-09</t>
        </is>
      </c>
      <c r="X82" t="inlineStr">
        <is>
          <t>1992-06-09</t>
        </is>
      </c>
      <c r="Y82" t="n">
        <v>228</v>
      </c>
      <c r="Z82" t="n">
        <v>217</v>
      </c>
      <c r="AA82" t="n">
        <v>217</v>
      </c>
      <c r="AB82" t="n">
        <v>2</v>
      </c>
      <c r="AC82" t="n">
        <v>2</v>
      </c>
      <c r="AD82" t="n">
        <v>24</v>
      </c>
      <c r="AE82" t="n">
        <v>24</v>
      </c>
      <c r="AF82" t="n">
        <v>8</v>
      </c>
      <c r="AG82" t="n">
        <v>8</v>
      </c>
      <c r="AH82" t="n">
        <v>5</v>
      </c>
      <c r="AI82" t="n">
        <v>5</v>
      </c>
      <c r="AJ82" t="n">
        <v>18</v>
      </c>
      <c r="AK82" t="n">
        <v>18</v>
      </c>
      <c r="AL82" t="n">
        <v>1</v>
      </c>
      <c r="AM82" t="n">
        <v>1</v>
      </c>
      <c r="AN82" t="n">
        <v>0</v>
      </c>
      <c r="AO82" t="n">
        <v>0</v>
      </c>
      <c r="AP82" t="inlineStr">
        <is>
          <t>No</t>
        </is>
      </c>
      <c r="AQ82" t="inlineStr">
        <is>
          <t>No</t>
        </is>
      </c>
      <c r="AS82">
        <f>HYPERLINK("https://creighton-primo.hosted.exlibrisgroup.com/primo-explore/search?tab=default_tab&amp;search_scope=EVERYTHING&amp;vid=01CRU&amp;lang=en_US&amp;offset=0&amp;query=any,contains,991004004849702656","Catalog Record")</f>
        <v/>
      </c>
      <c r="AT82">
        <f>HYPERLINK("http://www.worldcat.org/oclc/2082185","WorldCat Record")</f>
        <v/>
      </c>
      <c r="AU82" t="inlineStr">
        <is>
          <t>4144576:eng</t>
        </is>
      </c>
      <c r="AV82" t="inlineStr">
        <is>
          <t>2082185</t>
        </is>
      </c>
      <c r="AW82" t="inlineStr">
        <is>
          <t>991004004849702656</t>
        </is>
      </c>
      <c r="AX82" t="inlineStr">
        <is>
          <t>991004004849702656</t>
        </is>
      </c>
      <c r="AY82" t="inlineStr">
        <is>
          <t>2259588440002656</t>
        </is>
      </c>
      <c r="AZ82" t="inlineStr">
        <is>
          <t>BOOK</t>
        </is>
      </c>
      <c r="BC82" t="inlineStr">
        <is>
          <t>32285001228559</t>
        </is>
      </c>
      <c r="BD82" t="inlineStr">
        <is>
          <t>893331096</t>
        </is>
      </c>
    </row>
    <row r="83">
      <c r="A83" t="inlineStr">
        <is>
          <t>No</t>
        </is>
      </c>
      <c r="B83" t="inlineStr">
        <is>
          <t>BX1378.4 .C37</t>
        </is>
      </c>
      <c r="C83" t="inlineStr">
        <is>
          <t>0                      BX 1378400C  37</t>
        </is>
      </c>
      <c r="D83" t="inlineStr">
        <is>
          <t>Pope John Paul I.</t>
        </is>
      </c>
      <c r="F83" t="inlineStr">
        <is>
          <t>No</t>
        </is>
      </c>
      <c r="G83" t="inlineStr">
        <is>
          <t>1</t>
        </is>
      </c>
      <c r="H83" t="inlineStr">
        <is>
          <t>No</t>
        </is>
      </c>
      <c r="I83" t="inlineStr">
        <is>
          <t>No</t>
        </is>
      </c>
      <c r="J83" t="inlineStr">
        <is>
          <t>0</t>
        </is>
      </c>
      <c r="K83" t="inlineStr">
        <is>
          <t>Catholic Church. Pope (1978 : John Paul I)</t>
        </is>
      </c>
      <c r="L83" t="inlineStr">
        <is>
          <t>Washington (D.C.) : Publications Office, United States Catholic Conference, 1979.</t>
        </is>
      </c>
      <c r="M83" t="inlineStr">
        <is>
          <t>1979</t>
        </is>
      </c>
      <c r="O83" t="inlineStr">
        <is>
          <t>eng</t>
        </is>
      </c>
      <c r="P83" t="inlineStr">
        <is>
          <t>dcu</t>
        </is>
      </c>
      <c r="R83" t="inlineStr">
        <is>
          <t xml:space="preserve">BX </t>
        </is>
      </c>
      <c r="S83" t="n">
        <v>4</v>
      </c>
      <c r="T83" t="n">
        <v>4</v>
      </c>
      <c r="U83" t="inlineStr">
        <is>
          <t>1999-02-23</t>
        </is>
      </c>
      <c r="V83" t="inlineStr">
        <is>
          <t>1999-02-23</t>
        </is>
      </c>
      <c r="W83" t="inlineStr">
        <is>
          <t>1992-06-09</t>
        </is>
      </c>
      <c r="X83" t="inlineStr">
        <is>
          <t>1992-06-09</t>
        </is>
      </c>
      <c r="Y83" t="n">
        <v>52</v>
      </c>
      <c r="Z83" t="n">
        <v>52</v>
      </c>
      <c r="AA83" t="n">
        <v>54</v>
      </c>
      <c r="AB83" t="n">
        <v>1</v>
      </c>
      <c r="AC83" t="n">
        <v>1</v>
      </c>
      <c r="AD83" t="n">
        <v>6</v>
      </c>
      <c r="AE83" t="n">
        <v>6</v>
      </c>
      <c r="AF83" t="n">
        <v>2</v>
      </c>
      <c r="AG83" t="n">
        <v>2</v>
      </c>
      <c r="AH83" t="n">
        <v>2</v>
      </c>
      <c r="AI83" t="n">
        <v>2</v>
      </c>
      <c r="AJ83" t="n">
        <v>5</v>
      </c>
      <c r="AK83" t="n">
        <v>5</v>
      </c>
      <c r="AL83" t="n">
        <v>0</v>
      </c>
      <c r="AM83" t="n">
        <v>0</v>
      </c>
      <c r="AN83" t="n">
        <v>0</v>
      </c>
      <c r="AO83" t="n">
        <v>0</v>
      </c>
      <c r="AP83" t="inlineStr">
        <is>
          <t>No</t>
        </is>
      </c>
      <c r="AQ83" t="inlineStr">
        <is>
          <t>Yes</t>
        </is>
      </c>
      <c r="AR83">
        <f>HYPERLINK("http://catalog.hathitrust.org/Record/007920753","HathiTrust Record")</f>
        <v/>
      </c>
      <c r="AS83">
        <f>HYPERLINK("https://creighton-primo.hosted.exlibrisgroup.com/primo-explore/search?tab=default_tab&amp;search_scope=EVERYTHING&amp;vid=01CRU&amp;lang=en_US&amp;offset=0&amp;query=any,contains,991005109359702656","Catalog Record")</f>
        <v/>
      </c>
      <c r="AT83">
        <f>HYPERLINK("http://www.worldcat.org/oclc/6767601","WorldCat Record")</f>
        <v/>
      </c>
      <c r="AU83" t="inlineStr">
        <is>
          <t>23934238:eng</t>
        </is>
      </c>
      <c r="AV83" t="inlineStr">
        <is>
          <t>6767601</t>
        </is>
      </c>
      <c r="AW83" t="inlineStr">
        <is>
          <t>991005109359702656</t>
        </is>
      </c>
      <c r="AX83" t="inlineStr">
        <is>
          <t>991005109359702656</t>
        </is>
      </c>
      <c r="AY83" t="inlineStr">
        <is>
          <t>2264209300002656</t>
        </is>
      </c>
      <c r="AZ83" t="inlineStr">
        <is>
          <t>BOOK</t>
        </is>
      </c>
      <c r="BC83" t="inlineStr">
        <is>
          <t>32285001228567</t>
        </is>
      </c>
      <c r="BD83" t="inlineStr">
        <is>
          <t>893801736</t>
        </is>
      </c>
    </row>
    <row r="84">
      <c r="A84" t="inlineStr">
        <is>
          <t>No</t>
        </is>
      </c>
      <c r="B84" t="inlineStr">
        <is>
          <t>BX1378.4 .C67 1989</t>
        </is>
      </c>
      <c r="C84" t="inlineStr">
        <is>
          <t>0                      BX 1378400C  67          1989</t>
        </is>
      </c>
      <c r="D84" t="inlineStr">
        <is>
          <t>A thief in the night : the mysterious death of Pope John Paul I / John Cornwell.</t>
        </is>
      </c>
      <c r="F84" t="inlineStr">
        <is>
          <t>No</t>
        </is>
      </c>
      <c r="G84" t="inlineStr">
        <is>
          <t>1</t>
        </is>
      </c>
      <c r="H84" t="inlineStr">
        <is>
          <t>No</t>
        </is>
      </c>
      <c r="I84" t="inlineStr">
        <is>
          <t>No</t>
        </is>
      </c>
      <c r="J84" t="inlineStr">
        <is>
          <t>0</t>
        </is>
      </c>
      <c r="K84" t="inlineStr">
        <is>
          <t>Cornwell, John, 1940-</t>
        </is>
      </c>
      <c r="L84" t="inlineStr">
        <is>
          <t>New York : Simon and Schuster, c1989.</t>
        </is>
      </c>
      <c r="M84" t="inlineStr">
        <is>
          <t>1989</t>
        </is>
      </c>
      <c r="O84" t="inlineStr">
        <is>
          <t>eng</t>
        </is>
      </c>
      <c r="P84" t="inlineStr">
        <is>
          <t>nyu</t>
        </is>
      </c>
      <c r="R84" t="inlineStr">
        <is>
          <t xml:space="preserve">BX </t>
        </is>
      </c>
      <c r="S84" t="n">
        <v>2</v>
      </c>
      <c r="T84" t="n">
        <v>2</v>
      </c>
      <c r="U84" t="inlineStr">
        <is>
          <t>1996-11-07</t>
        </is>
      </c>
      <c r="V84" t="inlineStr">
        <is>
          <t>1996-11-07</t>
        </is>
      </c>
      <c r="W84" t="inlineStr">
        <is>
          <t>1990-01-09</t>
        </is>
      </c>
      <c r="X84" t="inlineStr">
        <is>
          <t>1990-01-09</t>
        </is>
      </c>
      <c r="Y84" t="n">
        <v>686</v>
      </c>
      <c r="Z84" t="n">
        <v>667</v>
      </c>
      <c r="AA84" t="n">
        <v>736</v>
      </c>
      <c r="AB84" t="n">
        <v>2</v>
      </c>
      <c r="AC84" t="n">
        <v>3</v>
      </c>
      <c r="AD84" t="n">
        <v>17</v>
      </c>
      <c r="AE84" t="n">
        <v>22</v>
      </c>
      <c r="AF84" t="n">
        <v>4</v>
      </c>
      <c r="AG84" t="n">
        <v>6</v>
      </c>
      <c r="AH84" t="n">
        <v>7</v>
      </c>
      <c r="AI84" t="n">
        <v>8</v>
      </c>
      <c r="AJ84" t="n">
        <v>13</v>
      </c>
      <c r="AK84" t="n">
        <v>15</v>
      </c>
      <c r="AL84" t="n">
        <v>0</v>
      </c>
      <c r="AM84" t="n">
        <v>1</v>
      </c>
      <c r="AN84" t="n">
        <v>0</v>
      </c>
      <c r="AO84" t="n">
        <v>0</v>
      </c>
      <c r="AP84" t="inlineStr">
        <is>
          <t>No</t>
        </is>
      </c>
      <c r="AQ84" t="inlineStr">
        <is>
          <t>Yes</t>
        </is>
      </c>
      <c r="AR84">
        <f>HYPERLINK("http://catalog.hathitrust.org/Record/004527140","HathiTrust Record")</f>
        <v/>
      </c>
      <c r="AS84">
        <f>HYPERLINK("https://creighton-primo.hosted.exlibrisgroup.com/primo-explore/search?tab=default_tab&amp;search_scope=EVERYTHING&amp;vid=01CRU&amp;lang=en_US&amp;offset=0&amp;query=any,contains,991001527079702656","Catalog Record")</f>
        <v/>
      </c>
      <c r="AT84">
        <f>HYPERLINK("http://www.worldcat.org/oclc/20013469","WorldCat Record")</f>
        <v/>
      </c>
      <c r="AU84" t="inlineStr">
        <is>
          <t>20552546:eng</t>
        </is>
      </c>
      <c r="AV84" t="inlineStr">
        <is>
          <t>20013469</t>
        </is>
      </c>
      <c r="AW84" t="inlineStr">
        <is>
          <t>991001527079702656</t>
        </is>
      </c>
      <c r="AX84" t="inlineStr">
        <is>
          <t>991001527079702656</t>
        </is>
      </c>
      <c r="AY84" t="inlineStr">
        <is>
          <t>2262169880002656</t>
        </is>
      </c>
      <c r="AZ84" t="inlineStr">
        <is>
          <t>BOOK</t>
        </is>
      </c>
      <c r="BB84" t="inlineStr">
        <is>
          <t>9780671683948</t>
        </is>
      </c>
      <c r="BC84" t="inlineStr">
        <is>
          <t>32285000026582</t>
        </is>
      </c>
      <c r="BD84" t="inlineStr">
        <is>
          <t>893872579</t>
        </is>
      </c>
    </row>
    <row r="85">
      <c r="A85" t="inlineStr">
        <is>
          <t>No</t>
        </is>
      </c>
      <c r="B85" t="inlineStr">
        <is>
          <t>BX1378.5 .J548 1998</t>
        </is>
      </c>
      <c r="C85" t="inlineStr">
        <is>
          <t>0                      BX 1378500J  548         1998</t>
        </is>
      </c>
      <c r="D85" t="inlineStr">
        <is>
          <t>Creed and culture : Jesuit studies of Pope John Paul II / edited by Joseph W. Koterski and John J. Conley.</t>
        </is>
      </c>
      <c r="F85" t="inlineStr">
        <is>
          <t>No</t>
        </is>
      </c>
      <c r="G85" t="inlineStr">
        <is>
          <t>1</t>
        </is>
      </c>
      <c r="H85" t="inlineStr">
        <is>
          <t>No</t>
        </is>
      </c>
      <c r="I85" t="inlineStr">
        <is>
          <t>No</t>
        </is>
      </c>
      <c r="J85" t="inlineStr">
        <is>
          <t>0</t>
        </is>
      </c>
      <c r="K85" t="inlineStr">
        <is>
          <t>John Paul II Jesuit Symposium (1998 : Georgetown University)</t>
        </is>
      </c>
      <c r="L85" t="inlineStr">
        <is>
          <t>Philadelphia : Saint Joseph's University Press, c2004.</t>
        </is>
      </c>
      <c r="M85" t="inlineStr">
        <is>
          <t>2004</t>
        </is>
      </c>
      <c r="O85" t="inlineStr">
        <is>
          <t>eng</t>
        </is>
      </c>
      <c r="P85" t="inlineStr">
        <is>
          <t>pau</t>
        </is>
      </c>
      <c r="R85" t="inlineStr">
        <is>
          <t xml:space="preserve">BX </t>
        </is>
      </c>
      <c r="S85" t="n">
        <v>2</v>
      </c>
      <c r="T85" t="n">
        <v>2</v>
      </c>
      <c r="U85" t="inlineStr">
        <is>
          <t>2009-10-27</t>
        </is>
      </c>
      <c r="V85" t="inlineStr">
        <is>
          <t>2009-10-27</t>
        </is>
      </c>
      <c r="W85" t="inlineStr">
        <is>
          <t>2006-02-06</t>
        </is>
      </c>
      <c r="X85" t="inlineStr">
        <is>
          <t>2006-02-06</t>
        </is>
      </c>
      <c r="Y85" t="n">
        <v>78</v>
      </c>
      <c r="Z85" t="n">
        <v>61</v>
      </c>
      <c r="AA85" t="n">
        <v>70</v>
      </c>
      <c r="AB85" t="n">
        <v>1</v>
      </c>
      <c r="AC85" t="n">
        <v>2</v>
      </c>
      <c r="AD85" t="n">
        <v>12</v>
      </c>
      <c r="AE85" t="n">
        <v>14</v>
      </c>
      <c r="AF85" t="n">
        <v>3</v>
      </c>
      <c r="AG85" t="n">
        <v>4</v>
      </c>
      <c r="AH85" t="n">
        <v>4</v>
      </c>
      <c r="AI85" t="n">
        <v>5</v>
      </c>
      <c r="AJ85" t="n">
        <v>10</v>
      </c>
      <c r="AK85" t="n">
        <v>10</v>
      </c>
      <c r="AL85" t="n">
        <v>0</v>
      </c>
      <c r="AM85" t="n">
        <v>1</v>
      </c>
      <c r="AN85" t="n">
        <v>0</v>
      </c>
      <c r="AO85" t="n">
        <v>0</v>
      </c>
      <c r="AP85" t="inlineStr">
        <is>
          <t>No</t>
        </is>
      </c>
      <c r="AQ85" t="inlineStr">
        <is>
          <t>No</t>
        </is>
      </c>
      <c r="AS85">
        <f>HYPERLINK("https://creighton-primo.hosted.exlibrisgroup.com/primo-explore/search?tab=default_tab&amp;search_scope=EVERYTHING&amp;vid=01CRU&amp;lang=en_US&amp;offset=0&amp;query=any,contains,991004733309702656","Catalog Record")</f>
        <v/>
      </c>
      <c r="AT85">
        <f>HYPERLINK("http://www.worldcat.org/oclc/54280100","WorldCat Record")</f>
        <v/>
      </c>
      <c r="AU85" t="inlineStr">
        <is>
          <t>986245:eng</t>
        </is>
      </c>
      <c r="AV85" t="inlineStr">
        <is>
          <t>54280100</t>
        </is>
      </c>
      <c r="AW85" t="inlineStr">
        <is>
          <t>991004733309702656</t>
        </is>
      </c>
      <c r="AX85" t="inlineStr">
        <is>
          <t>991004733309702656</t>
        </is>
      </c>
      <c r="AY85" t="inlineStr">
        <is>
          <t>2270895300002656</t>
        </is>
      </c>
      <c r="AZ85" t="inlineStr">
        <is>
          <t>BOOK</t>
        </is>
      </c>
      <c r="BB85" t="inlineStr">
        <is>
          <t>9780916101459</t>
        </is>
      </c>
      <c r="BC85" t="inlineStr">
        <is>
          <t>32285005159081</t>
        </is>
      </c>
      <c r="BD85" t="inlineStr">
        <is>
          <t>893706767</t>
        </is>
      </c>
    </row>
    <row r="86">
      <c r="A86" t="inlineStr">
        <is>
          <t>No</t>
        </is>
      </c>
      <c r="B86" t="inlineStr">
        <is>
          <t>BX1378.5 .J62913 2002</t>
        </is>
      </c>
      <c r="C86" t="inlineStr">
        <is>
          <t>0                      BX 1378500J  62913       2002</t>
        </is>
      </c>
      <c r="D86" t="inlineStr">
        <is>
          <t>The private prayers of Pope John Paul II : the rosary hour.</t>
        </is>
      </c>
      <c r="F86" t="inlineStr">
        <is>
          <t>No</t>
        </is>
      </c>
      <c r="G86" t="inlineStr">
        <is>
          <t>1</t>
        </is>
      </c>
      <c r="H86" t="inlineStr">
        <is>
          <t>No</t>
        </is>
      </c>
      <c r="I86" t="inlineStr">
        <is>
          <t>No</t>
        </is>
      </c>
      <c r="J86" t="inlineStr">
        <is>
          <t>0</t>
        </is>
      </c>
      <c r="K86" t="inlineStr">
        <is>
          <t>John Paul II, Pope, 1920-2005.</t>
        </is>
      </c>
      <c r="L86" t="inlineStr">
        <is>
          <t>New York : Atria Books, c2002.</t>
        </is>
      </c>
      <c r="M86" t="inlineStr">
        <is>
          <t>2002</t>
        </is>
      </c>
      <c r="O86" t="inlineStr">
        <is>
          <t>eng</t>
        </is>
      </c>
      <c r="P86" t="inlineStr">
        <is>
          <t>nyu</t>
        </is>
      </c>
      <c r="R86" t="inlineStr">
        <is>
          <t xml:space="preserve">BX </t>
        </is>
      </c>
      <c r="S86" t="n">
        <v>3</v>
      </c>
      <c r="T86" t="n">
        <v>3</v>
      </c>
      <c r="U86" t="inlineStr">
        <is>
          <t>2010-01-14</t>
        </is>
      </c>
      <c r="V86" t="inlineStr">
        <is>
          <t>2010-01-14</t>
        </is>
      </c>
      <c r="W86" t="inlineStr">
        <is>
          <t>2005-04-13</t>
        </is>
      </c>
      <c r="X86" t="inlineStr">
        <is>
          <t>2005-04-13</t>
        </is>
      </c>
      <c r="Y86" t="n">
        <v>171</v>
      </c>
      <c r="Z86" t="n">
        <v>160</v>
      </c>
      <c r="AA86" t="n">
        <v>312</v>
      </c>
      <c r="AB86" t="n">
        <v>4</v>
      </c>
      <c r="AC86" t="n">
        <v>6</v>
      </c>
      <c r="AD86" t="n">
        <v>0</v>
      </c>
      <c r="AE86" t="n">
        <v>3</v>
      </c>
      <c r="AF86" t="n">
        <v>0</v>
      </c>
      <c r="AG86" t="n">
        <v>1</v>
      </c>
      <c r="AH86" t="n">
        <v>0</v>
      </c>
      <c r="AI86" t="n">
        <v>1</v>
      </c>
      <c r="AJ86" t="n">
        <v>0</v>
      </c>
      <c r="AK86" t="n">
        <v>2</v>
      </c>
      <c r="AL86" t="n">
        <v>0</v>
      </c>
      <c r="AM86" t="n">
        <v>0</v>
      </c>
      <c r="AN86" t="n">
        <v>0</v>
      </c>
      <c r="AO86" t="n">
        <v>0</v>
      </c>
      <c r="AP86" t="inlineStr">
        <is>
          <t>No</t>
        </is>
      </c>
      <c r="AQ86" t="inlineStr">
        <is>
          <t>No</t>
        </is>
      </c>
      <c r="AS86">
        <f>HYPERLINK("https://creighton-primo.hosted.exlibrisgroup.com/primo-explore/search?tab=default_tab&amp;search_scope=EVERYTHING&amp;vid=01CRU&amp;lang=en_US&amp;offset=0&amp;query=any,contains,991004530079702656","Catalog Record")</f>
        <v/>
      </c>
      <c r="AT86">
        <f>HYPERLINK("http://www.worldcat.org/oclc/50797444","WorldCat Record")</f>
        <v/>
      </c>
      <c r="AU86" t="inlineStr">
        <is>
          <t>794005753:eng</t>
        </is>
      </c>
      <c r="AV86" t="inlineStr">
        <is>
          <t>50797444</t>
        </is>
      </c>
      <c r="AW86" t="inlineStr">
        <is>
          <t>991004530079702656</t>
        </is>
      </c>
      <c r="AX86" t="inlineStr">
        <is>
          <t>991004530079702656</t>
        </is>
      </c>
      <c r="AY86" t="inlineStr">
        <is>
          <t>2266640190002656</t>
        </is>
      </c>
      <c r="AZ86" t="inlineStr">
        <is>
          <t>BOOK</t>
        </is>
      </c>
      <c r="BB86" t="inlineStr">
        <is>
          <t>9780743444408</t>
        </is>
      </c>
      <c r="BC86" t="inlineStr">
        <is>
          <t>32285005030803</t>
        </is>
      </c>
      <c r="BD86" t="inlineStr">
        <is>
          <t>893624826</t>
        </is>
      </c>
    </row>
    <row r="87">
      <c r="A87" t="inlineStr">
        <is>
          <t>No</t>
        </is>
      </c>
      <c r="B87" t="inlineStr">
        <is>
          <t>BX1378.5 .L38</t>
        </is>
      </c>
      <c r="C87" t="inlineStr">
        <is>
          <t>0                      BX 1378500L  38</t>
        </is>
      </c>
      <c r="D87" t="inlineStr">
        <is>
          <t>The Christian personalism of Pope John Paul II / by Ronald D. Lawler.</t>
        </is>
      </c>
      <c r="F87" t="inlineStr">
        <is>
          <t>No</t>
        </is>
      </c>
      <c r="G87" t="inlineStr">
        <is>
          <t>1</t>
        </is>
      </c>
      <c r="H87" t="inlineStr">
        <is>
          <t>No</t>
        </is>
      </c>
      <c r="I87" t="inlineStr">
        <is>
          <t>No</t>
        </is>
      </c>
      <c r="J87" t="inlineStr">
        <is>
          <t>0</t>
        </is>
      </c>
      <c r="K87" t="inlineStr">
        <is>
          <t>Lawler, Ronald David, 1926-</t>
        </is>
      </c>
      <c r="L87" t="inlineStr">
        <is>
          <t>Chicago, Ill. : Franciscan Herald Press, [1982]</t>
        </is>
      </c>
      <c r="M87" t="inlineStr">
        <is>
          <t>1981</t>
        </is>
      </c>
      <c r="O87" t="inlineStr">
        <is>
          <t>eng</t>
        </is>
      </c>
      <c r="P87" t="inlineStr">
        <is>
          <t>ilu</t>
        </is>
      </c>
      <c r="R87" t="inlineStr">
        <is>
          <t xml:space="preserve">BX </t>
        </is>
      </c>
      <c r="S87" t="n">
        <v>5</v>
      </c>
      <c r="T87" t="n">
        <v>5</v>
      </c>
      <c r="U87" t="inlineStr">
        <is>
          <t>2002-03-07</t>
        </is>
      </c>
      <c r="V87" t="inlineStr">
        <is>
          <t>2002-03-07</t>
        </is>
      </c>
      <c r="W87" t="inlineStr">
        <is>
          <t>1992-02-11</t>
        </is>
      </c>
      <c r="X87" t="inlineStr">
        <is>
          <t>1992-02-11</t>
        </is>
      </c>
      <c r="Y87" t="n">
        <v>143</v>
      </c>
      <c r="Z87" t="n">
        <v>122</v>
      </c>
      <c r="AA87" t="n">
        <v>126</v>
      </c>
      <c r="AB87" t="n">
        <v>1</v>
      </c>
      <c r="AC87" t="n">
        <v>1</v>
      </c>
      <c r="AD87" t="n">
        <v>10</v>
      </c>
      <c r="AE87" t="n">
        <v>11</v>
      </c>
      <c r="AF87" t="n">
        <v>3</v>
      </c>
      <c r="AG87" t="n">
        <v>4</v>
      </c>
      <c r="AH87" t="n">
        <v>3</v>
      </c>
      <c r="AI87" t="n">
        <v>3</v>
      </c>
      <c r="AJ87" t="n">
        <v>7</v>
      </c>
      <c r="AK87" t="n">
        <v>8</v>
      </c>
      <c r="AL87" t="n">
        <v>0</v>
      </c>
      <c r="AM87" t="n">
        <v>0</v>
      </c>
      <c r="AN87" t="n">
        <v>0</v>
      </c>
      <c r="AO87" t="n">
        <v>0</v>
      </c>
      <c r="AP87" t="inlineStr">
        <is>
          <t>No</t>
        </is>
      </c>
      <c r="AQ87" t="inlineStr">
        <is>
          <t>Yes</t>
        </is>
      </c>
      <c r="AR87">
        <f>HYPERLINK("http://catalog.hathitrust.org/Record/000151338","HathiTrust Record")</f>
        <v/>
      </c>
      <c r="AS87">
        <f>HYPERLINK("https://creighton-primo.hosted.exlibrisgroup.com/primo-explore/search?tab=default_tab&amp;search_scope=EVERYTHING&amp;vid=01CRU&amp;lang=en_US&amp;offset=0&amp;query=any,contains,991005152399702656","Catalog Record")</f>
        <v/>
      </c>
      <c r="AT87">
        <f>HYPERLINK("http://www.worldcat.org/oclc/7734129","WorldCat Record")</f>
        <v/>
      </c>
      <c r="AU87" t="inlineStr">
        <is>
          <t>484600:eng</t>
        </is>
      </c>
      <c r="AV87" t="inlineStr">
        <is>
          <t>7734129</t>
        </is>
      </c>
      <c r="AW87" t="inlineStr">
        <is>
          <t>991005152399702656</t>
        </is>
      </c>
      <c r="AX87" t="inlineStr">
        <is>
          <t>991005152399702656</t>
        </is>
      </c>
      <c r="AY87" t="inlineStr">
        <is>
          <t>2255832940002656</t>
        </is>
      </c>
      <c r="AZ87" t="inlineStr">
        <is>
          <t>BOOK</t>
        </is>
      </c>
      <c r="BB87" t="inlineStr">
        <is>
          <t>9780819908377</t>
        </is>
      </c>
      <c r="BC87" t="inlineStr">
        <is>
          <t>32285000946359</t>
        </is>
      </c>
      <c r="BD87" t="inlineStr">
        <is>
          <t>893501410</t>
        </is>
      </c>
    </row>
    <row r="88">
      <c r="A88" t="inlineStr">
        <is>
          <t>No</t>
        </is>
      </c>
      <c r="B88" t="inlineStr">
        <is>
          <t>BX1378.5 .M36 1980</t>
        </is>
      </c>
      <c r="C88" t="inlineStr">
        <is>
          <t>0                      BX 1378500M  36          1980</t>
        </is>
      </c>
      <c r="D88" t="inlineStr">
        <is>
          <t>The Man who leads the Church ; an assessment of Pope John Paul II / John Whale, editor ; Peter Hebblethwaite ... [et al.]</t>
        </is>
      </c>
      <c r="F88" t="inlineStr">
        <is>
          <t>No</t>
        </is>
      </c>
      <c r="G88" t="inlineStr">
        <is>
          <t>1</t>
        </is>
      </c>
      <c r="H88" t="inlineStr">
        <is>
          <t>No</t>
        </is>
      </c>
      <c r="I88" t="inlineStr">
        <is>
          <t>No</t>
        </is>
      </c>
      <c r="J88" t="inlineStr">
        <is>
          <t>0</t>
        </is>
      </c>
      <c r="L88" t="inlineStr">
        <is>
          <t>San Francisco, CA : Harper &amp; Row, c1980.</t>
        </is>
      </c>
      <c r="M88" t="inlineStr">
        <is>
          <t>1980</t>
        </is>
      </c>
      <c r="N88" t="inlineStr">
        <is>
          <t>1st ed.</t>
        </is>
      </c>
      <c r="O88" t="inlineStr">
        <is>
          <t>eng</t>
        </is>
      </c>
      <c r="P88" t="inlineStr">
        <is>
          <t>cau</t>
        </is>
      </c>
      <c r="R88" t="inlineStr">
        <is>
          <t xml:space="preserve">BX </t>
        </is>
      </c>
      <c r="S88" t="n">
        <v>3</v>
      </c>
      <c r="T88" t="n">
        <v>3</v>
      </c>
      <c r="U88" t="inlineStr">
        <is>
          <t>1994-05-19</t>
        </is>
      </c>
      <c r="V88" t="inlineStr">
        <is>
          <t>1994-05-19</t>
        </is>
      </c>
      <c r="W88" t="inlineStr">
        <is>
          <t>1992-01-06</t>
        </is>
      </c>
      <c r="X88" t="inlineStr">
        <is>
          <t>1992-01-06</t>
        </is>
      </c>
      <c r="Y88" t="n">
        <v>606</v>
      </c>
      <c r="Z88" t="n">
        <v>576</v>
      </c>
      <c r="AA88" t="n">
        <v>587</v>
      </c>
      <c r="AB88" t="n">
        <v>5</v>
      </c>
      <c r="AC88" t="n">
        <v>5</v>
      </c>
      <c r="AD88" t="n">
        <v>29</v>
      </c>
      <c r="AE88" t="n">
        <v>29</v>
      </c>
      <c r="AF88" t="n">
        <v>13</v>
      </c>
      <c r="AG88" t="n">
        <v>13</v>
      </c>
      <c r="AH88" t="n">
        <v>6</v>
      </c>
      <c r="AI88" t="n">
        <v>6</v>
      </c>
      <c r="AJ88" t="n">
        <v>15</v>
      </c>
      <c r="AK88" t="n">
        <v>15</v>
      </c>
      <c r="AL88" t="n">
        <v>3</v>
      </c>
      <c r="AM88" t="n">
        <v>3</v>
      </c>
      <c r="AN88" t="n">
        <v>0</v>
      </c>
      <c r="AO88" t="n">
        <v>0</v>
      </c>
      <c r="AP88" t="inlineStr">
        <is>
          <t>No</t>
        </is>
      </c>
      <c r="AQ88" t="inlineStr">
        <is>
          <t>Yes</t>
        </is>
      </c>
      <c r="AR88">
        <f>HYPERLINK("http://catalog.hathitrust.org/Record/000226573","HathiTrust Record")</f>
        <v/>
      </c>
      <c r="AS88">
        <f>HYPERLINK("https://creighton-primo.hosted.exlibrisgroup.com/primo-explore/search?tab=default_tab&amp;search_scope=EVERYTHING&amp;vid=01CRU&amp;lang=en_US&amp;offset=0&amp;query=any,contains,991004964459702656","Catalog Record")</f>
        <v/>
      </c>
      <c r="AT88">
        <f>HYPERLINK("http://www.worldcat.org/oclc/6330762","WorldCat Record")</f>
        <v/>
      </c>
      <c r="AU88" t="inlineStr">
        <is>
          <t>22315922:eng</t>
        </is>
      </c>
      <c r="AV88" t="inlineStr">
        <is>
          <t>6330762</t>
        </is>
      </c>
      <c r="AW88" t="inlineStr">
        <is>
          <t>991004964459702656</t>
        </is>
      </c>
      <c r="AX88" t="inlineStr">
        <is>
          <t>991004964459702656</t>
        </is>
      </c>
      <c r="AY88" t="inlineStr">
        <is>
          <t>2271035130002656</t>
        </is>
      </c>
      <c r="AZ88" t="inlineStr">
        <is>
          <t>BOOK</t>
        </is>
      </c>
      <c r="BB88" t="inlineStr">
        <is>
          <t>9780060693459</t>
        </is>
      </c>
      <c r="BC88" t="inlineStr">
        <is>
          <t>32285000883198</t>
        </is>
      </c>
      <c r="BD88" t="inlineStr">
        <is>
          <t>893807671</t>
        </is>
      </c>
    </row>
    <row r="89">
      <c r="A89" t="inlineStr">
        <is>
          <t>No</t>
        </is>
      </c>
      <c r="B89" t="inlineStr">
        <is>
          <t>BX1378.5 .O24 1998</t>
        </is>
      </c>
      <c r="C89" t="inlineStr">
        <is>
          <t>0                      BX 1378500O  24          1998</t>
        </is>
      </c>
      <c r="D89" t="inlineStr">
        <is>
          <t>The hidden Pope : the untold story of a lifelong friendship that is changing the relationship between Catholics and Jews : the personal journey of John Paul II and Jerzy Kluger / Darcy O'Brien.</t>
        </is>
      </c>
      <c r="F89" t="inlineStr">
        <is>
          <t>No</t>
        </is>
      </c>
      <c r="G89" t="inlineStr">
        <is>
          <t>1</t>
        </is>
      </c>
      <c r="H89" t="inlineStr">
        <is>
          <t>No</t>
        </is>
      </c>
      <c r="I89" t="inlineStr">
        <is>
          <t>No</t>
        </is>
      </c>
      <c r="J89" t="inlineStr">
        <is>
          <t>0</t>
        </is>
      </c>
      <c r="K89" t="inlineStr">
        <is>
          <t>O'Brien, Darcy.</t>
        </is>
      </c>
      <c r="L89" t="inlineStr">
        <is>
          <t>New York : Daybreak Books : Distributed in the book trade by St. Martin's Press, c1998.</t>
        </is>
      </c>
      <c r="M89" t="inlineStr">
        <is>
          <t>1998</t>
        </is>
      </c>
      <c r="O89" t="inlineStr">
        <is>
          <t>eng</t>
        </is>
      </c>
      <c r="P89" t="inlineStr">
        <is>
          <t>nyu</t>
        </is>
      </c>
      <c r="R89" t="inlineStr">
        <is>
          <t xml:space="preserve">BX </t>
        </is>
      </c>
      <c r="S89" t="n">
        <v>5</v>
      </c>
      <c r="T89" t="n">
        <v>5</v>
      </c>
      <c r="U89" t="inlineStr">
        <is>
          <t>1999-02-21</t>
        </is>
      </c>
      <c r="V89" t="inlineStr">
        <is>
          <t>1999-02-21</t>
        </is>
      </c>
      <c r="W89" t="inlineStr">
        <is>
          <t>1998-04-29</t>
        </is>
      </c>
      <c r="X89" t="inlineStr">
        <is>
          <t>1998-04-29</t>
        </is>
      </c>
      <c r="Y89" t="n">
        <v>746</v>
      </c>
      <c r="Z89" t="n">
        <v>703</v>
      </c>
      <c r="AA89" t="n">
        <v>956</v>
      </c>
      <c r="AB89" t="n">
        <v>8</v>
      </c>
      <c r="AC89" t="n">
        <v>8</v>
      </c>
      <c r="AD89" t="n">
        <v>29</v>
      </c>
      <c r="AE89" t="n">
        <v>31</v>
      </c>
      <c r="AF89" t="n">
        <v>10</v>
      </c>
      <c r="AG89" t="n">
        <v>12</v>
      </c>
      <c r="AH89" t="n">
        <v>9</v>
      </c>
      <c r="AI89" t="n">
        <v>9</v>
      </c>
      <c r="AJ89" t="n">
        <v>14</v>
      </c>
      <c r="AK89" t="n">
        <v>14</v>
      </c>
      <c r="AL89" t="n">
        <v>3</v>
      </c>
      <c r="AM89" t="n">
        <v>3</v>
      </c>
      <c r="AN89" t="n">
        <v>1</v>
      </c>
      <c r="AO89" t="n">
        <v>1</v>
      </c>
      <c r="AP89" t="inlineStr">
        <is>
          <t>No</t>
        </is>
      </c>
      <c r="AQ89" t="inlineStr">
        <is>
          <t>Yes</t>
        </is>
      </c>
      <c r="AR89">
        <f>HYPERLINK("http://catalog.hathitrust.org/Record/003974505","HathiTrust Record")</f>
        <v/>
      </c>
      <c r="AS89">
        <f>HYPERLINK("https://creighton-primo.hosted.exlibrisgroup.com/primo-explore/search?tab=default_tab&amp;search_scope=EVERYTHING&amp;vid=01CRU&amp;lang=en_US&amp;offset=0&amp;query=any,contains,991002894209702656","Catalog Record")</f>
        <v/>
      </c>
      <c r="AT89">
        <f>HYPERLINK("http://www.worldcat.org/oclc/38130559","WorldCat Record")</f>
        <v/>
      </c>
      <c r="AU89" t="inlineStr">
        <is>
          <t>642431:eng</t>
        </is>
      </c>
      <c r="AV89" t="inlineStr">
        <is>
          <t>38130559</t>
        </is>
      </c>
      <c r="AW89" t="inlineStr">
        <is>
          <t>991002894209702656</t>
        </is>
      </c>
      <c r="AX89" t="inlineStr">
        <is>
          <t>991002894209702656</t>
        </is>
      </c>
      <c r="AY89" t="inlineStr">
        <is>
          <t>2262269650002656</t>
        </is>
      </c>
      <c r="AZ89" t="inlineStr">
        <is>
          <t>BOOK</t>
        </is>
      </c>
      <c r="BB89" t="inlineStr">
        <is>
          <t>9780875964782</t>
        </is>
      </c>
      <c r="BC89" t="inlineStr">
        <is>
          <t>32285003378642</t>
        </is>
      </c>
      <c r="BD89" t="inlineStr">
        <is>
          <t>893710812</t>
        </is>
      </c>
    </row>
    <row r="90">
      <c r="A90" t="inlineStr">
        <is>
          <t>No</t>
        </is>
      </c>
      <c r="B90" t="inlineStr">
        <is>
          <t>BX1378.5 .P622 1979</t>
        </is>
      </c>
      <c r="C90" t="inlineStr">
        <is>
          <t>0                      BX 1378500P  622         1979</t>
        </is>
      </c>
      <c r="D90" t="inlineStr">
        <is>
          <t>The Pope in America : a pictorial record.</t>
        </is>
      </c>
      <c r="F90" t="inlineStr">
        <is>
          <t>No</t>
        </is>
      </c>
      <c r="G90" t="inlineStr">
        <is>
          <t>1</t>
        </is>
      </c>
      <c r="H90" t="inlineStr">
        <is>
          <t>No</t>
        </is>
      </c>
      <c r="I90" t="inlineStr">
        <is>
          <t>No</t>
        </is>
      </c>
      <c r="J90" t="inlineStr">
        <is>
          <t>0</t>
        </is>
      </c>
      <c r="L90" t="inlineStr">
        <is>
          <t>Secaucus, N.J. : Chartwell Books, 1979.</t>
        </is>
      </c>
      <c r="M90" t="inlineStr">
        <is>
          <t>1979</t>
        </is>
      </c>
      <c r="O90" t="inlineStr">
        <is>
          <t>eng</t>
        </is>
      </c>
      <c r="P90" t="inlineStr">
        <is>
          <t>nju</t>
        </is>
      </c>
      <c r="R90" t="inlineStr">
        <is>
          <t xml:space="preserve">BX </t>
        </is>
      </c>
      <c r="S90" t="n">
        <v>4</v>
      </c>
      <c r="T90" t="n">
        <v>4</v>
      </c>
      <c r="U90" t="inlineStr">
        <is>
          <t>2000-10-30</t>
        </is>
      </c>
      <c r="V90" t="inlineStr">
        <is>
          <t>2000-10-30</t>
        </is>
      </c>
      <c r="W90" t="inlineStr">
        <is>
          <t>1992-06-09</t>
        </is>
      </c>
      <c r="X90" t="inlineStr">
        <is>
          <t>1992-06-09</t>
        </is>
      </c>
      <c r="Y90" t="n">
        <v>202</v>
      </c>
      <c r="Z90" t="n">
        <v>197</v>
      </c>
      <c r="AA90" t="n">
        <v>204</v>
      </c>
      <c r="AB90" t="n">
        <v>7</v>
      </c>
      <c r="AC90" t="n">
        <v>7</v>
      </c>
      <c r="AD90" t="n">
        <v>8</v>
      </c>
      <c r="AE90" t="n">
        <v>8</v>
      </c>
      <c r="AF90" t="n">
        <v>1</v>
      </c>
      <c r="AG90" t="n">
        <v>1</v>
      </c>
      <c r="AH90" t="n">
        <v>1</v>
      </c>
      <c r="AI90" t="n">
        <v>1</v>
      </c>
      <c r="AJ90" t="n">
        <v>6</v>
      </c>
      <c r="AK90" t="n">
        <v>6</v>
      </c>
      <c r="AL90" t="n">
        <v>1</v>
      </c>
      <c r="AM90" t="n">
        <v>1</v>
      </c>
      <c r="AN90" t="n">
        <v>0</v>
      </c>
      <c r="AO90" t="n">
        <v>0</v>
      </c>
      <c r="AP90" t="inlineStr">
        <is>
          <t>No</t>
        </is>
      </c>
      <c r="AQ90" t="inlineStr">
        <is>
          <t>Yes</t>
        </is>
      </c>
      <c r="AR90">
        <f>HYPERLINK("http://catalog.hathitrust.org/Record/011807378","HathiTrust Record")</f>
        <v/>
      </c>
      <c r="AS90">
        <f>HYPERLINK("https://creighton-primo.hosted.exlibrisgroup.com/primo-explore/search?tab=default_tab&amp;search_scope=EVERYTHING&amp;vid=01CRU&amp;lang=en_US&amp;offset=0&amp;query=any,contains,991001160539702656","Catalog Record")</f>
        <v/>
      </c>
      <c r="AT90">
        <f>HYPERLINK("http://www.worldcat.org/oclc/6036304","WorldCat Record")</f>
        <v/>
      </c>
      <c r="AU90" t="inlineStr">
        <is>
          <t>546627:eng</t>
        </is>
      </c>
      <c r="AV90" t="inlineStr">
        <is>
          <t>6036304</t>
        </is>
      </c>
      <c r="AW90" t="inlineStr">
        <is>
          <t>991001160539702656</t>
        </is>
      </c>
      <c r="AX90" t="inlineStr">
        <is>
          <t>991001160539702656</t>
        </is>
      </c>
      <c r="AY90" t="inlineStr">
        <is>
          <t>2254869940002656</t>
        </is>
      </c>
      <c r="AZ90" t="inlineStr">
        <is>
          <t>BOOK</t>
        </is>
      </c>
      <c r="BB90" t="inlineStr">
        <is>
          <t>9780890093146</t>
        </is>
      </c>
      <c r="BC90" t="inlineStr">
        <is>
          <t>32285001228633</t>
        </is>
      </c>
      <c r="BD90" t="inlineStr">
        <is>
          <t>893225648</t>
        </is>
      </c>
    </row>
    <row r="91">
      <c r="A91" t="inlineStr">
        <is>
          <t>No</t>
        </is>
      </c>
      <c r="B91" t="inlineStr">
        <is>
          <t>BX1378.5 .P66</t>
        </is>
      </c>
      <c r="C91" t="inlineStr">
        <is>
          <t>0                      BX 1378500P  66</t>
        </is>
      </c>
      <c r="D91" t="inlineStr">
        <is>
          <t>Pope John Paul II--he came to us as a father.</t>
        </is>
      </c>
      <c r="F91" t="inlineStr">
        <is>
          <t>No</t>
        </is>
      </c>
      <c r="G91" t="inlineStr">
        <is>
          <t>1</t>
        </is>
      </c>
      <c r="H91" t="inlineStr">
        <is>
          <t>No</t>
        </is>
      </c>
      <c r="I91" t="inlineStr">
        <is>
          <t>No</t>
        </is>
      </c>
      <c r="J91" t="inlineStr">
        <is>
          <t>0</t>
        </is>
      </c>
      <c r="L91" t="inlineStr">
        <is>
          <t>Boston : St. Paul Editions, [1979]</t>
        </is>
      </c>
      <c r="M91" t="inlineStr">
        <is>
          <t>1979</t>
        </is>
      </c>
      <c r="O91" t="inlineStr">
        <is>
          <t>eng</t>
        </is>
      </c>
      <c r="P91" t="inlineStr">
        <is>
          <t>mau</t>
        </is>
      </c>
      <c r="R91" t="inlineStr">
        <is>
          <t xml:space="preserve">BX </t>
        </is>
      </c>
      <c r="S91" t="n">
        <v>3</v>
      </c>
      <c r="T91" t="n">
        <v>3</v>
      </c>
      <c r="U91" t="inlineStr">
        <is>
          <t>2000-10-30</t>
        </is>
      </c>
      <c r="V91" t="inlineStr">
        <is>
          <t>2000-10-30</t>
        </is>
      </c>
      <c r="W91" t="inlineStr">
        <is>
          <t>1990-05-01</t>
        </is>
      </c>
      <c r="X91" t="inlineStr">
        <is>
          <t>1990-05-01</t>
        </is>
      </c>
      <c r="Y91" t="n">
        <v>106</v>
      </c>
      <c r="Z91" t="n">
        <v>104</v>
      </c>
      <c r="AA91" t="n">
        <v>104</v>
      </c>
      <c r="AB91" t="n">
        <v>3</v>
      </c>
      <c r="AC91" t="n">
        <v>3</v>
      </c>
      <c r="AD91" t="n">
        <v>12</v>
      </c>
      <c r="AE91" t="n">
        <v>12</v>
      </c>
      <c r="AF91" t="n">
        <v>3</v>
      </c>
      <c r="AG91" t="n">
        <v>3</v>
      </c>
      <c r="AH91" t="n">
        <v>4</v>
      </c>
      <c r="AI91" t="n">
        <v>4</v>
      </c>
      <c r="AJ91" t="n">
        <v>9</v>
      </c>
      <c r="AK91" t="n">
        <v>9</v>
      </c>
      <c r="AL91" t="n">
        <v>0</v>
      </c>
      <c r="AM91" t="n">
        <v>0</v>
      </c>
      <c r="AN91" t="n">
        <v>0</v>
      </c>
      <c r="AO91" t="n">
        <v>0</v>
      </c>
      <c r="AP91" t="inlineStr">
        <is>
          <t>No</t>
        </is>
      </c>
      <c r="AQ91" t="inlineStr">
        <is>
          <t>No</t>
        </is>
      </c>
      <c r="AS91">
        <f>HYPERLINK("https://creighton-primo.hosted.exlibrisgroup.com/primo-explore/search?tab=default_tab&amp;search_scope=EVERYTHING&amp;vid=01CRU&amp;lang=en_US&amp;offset=0&amp;query=any,contains,991004874299702656","Catalog Record")</f>
        <v/>
      </c>
      <c r="AT91">
        <f>HYPERLINK("http://www.worldcat.org/oclc/5777362","WorldCat Record")</f>
        <v/>
      </c>
      <c r="AU91" t="inlineStr">
        <is>
          <t>19963849:eng</t>
        </is>
      </c>
      <c r="AV91" t="inlineStr">
        <is>
          <t>5777362</t>
        </is>
      </c>
      <c r="AW91" t="inlineStr">
        <is>
          <t>991004874299702656</t>
        </is>
      </c>
      <c r="AX91" t="inlineStr">
        <is>
          <t>991004874299702656</t>
        </is>
      </c>
      <c r="AY91" t="inlineStr">
        <is>
          <t>2256316080002656</t>
        </is>
      </c>
      <c r="AZ91" t="inlineStr">
        <is>
          <t>BOOK</t>
        </is>
      </c>
      <c r="BC91" t="inlineStr">
        <is>
          <t>32285000145671</t>
        </is>
      </c>
      <c r="BD91" t="inlineStr">
        <is>
          <t>893606556</t>
        </is>
      </c>
    </row>
    <row r="92">
      <c r="A92" t="inlineStr">
        <is>
          <t>No</t>
        </is>
      </c>
      <c r="B92" t="inlineStr">
        <is>
          <t>BX1378.5 .S65 1979</t>
        </is>
      </c>
      <c r="C92" t="inlineStr">
        <is>
          <t>0                      BX 1378500S  65          1979</t>
        </is>
      </c>
      <c r="D92" t="inlineStr">
        <is>
          <t>John Paul II in the service of love / text by Kathryn Spink ; designed and produced by Ted Smart and David Gibbon.</t>
        </is>
      </c>
      <c r="F92" t="inlineStr">
        <is>
          <t>No</t>
        </is>
      </c>
      <c r="G92" t="inlineStr">
        <is>
          <t>1</t>
        </is>
      </c>
      <c r="H92" t="inlineStr">
        <is>
          <t>No</t>
        </is>
      </c>
      <c r="I92" t="inlineStr">
        <is>
          <t>No</t>
        </is>
      </c>
      <c r="J92" t="inlineStr">
        <is>
          <t>0</t>
        </is>
      </c>
      <c r="K92" t="inlineStr">
        <is>
          <t>Spink, Kathryn.</t>
        </is>
      </c>
      <c r="L92" t="inlineStr">
        <is>
          <t>New York : Mayflower Books, c1979.</t>
        </is>
      </c>
      <c r="M92" t="inlineStr">
        <is>
          <t>1979</t>
        </is>
      </c>
      <c r="O92" t="inlineStr">
        <is>
          <t>eng</t>
        </is>
      </c>
      <c r="P92" t="inlineStr">
        <is>
          <t>nyu</t>
        </is>
      </c>
      <c r="R92" t="inlineStr">
        <is>
          <t xml:space="preserve">BX </t>
        </is>
      </c>
      <c r="S92" t="n">
        <v>6</v>
      </c>
      <c r="T92" t="n">
        <v>6</v>
      </c>
      <c r="U92" t="inlineStr">
        <is>
          <t>2008-10-08</t>
        </is>
      </c>
      <c r="V92" t="inlineStr">
        <is>
          <t>2008-10-08</t>
        </is>
      </c>
      <c r="W92" t="inlineStr">
        <is>
          <t>1992-01-29</t>
        </is>
      </c>
      <c r="X92" t="inlineStr">
        <is>
          <t>1992-01-29</t>
        </is>
      </c>
      <c r="Y92" t="n">
        <v>91</v>
      </c>
      <c r="Z92" t="n">
        <v>83</v>
      </c>
      <c r="AA92" t="n">
        <v>121</v>
      </c>
      <c r="AB92" t="n">
        <v>1</v>
      </c>
      <c r="AC92" t="n">
        <v>2</v>
      </c>
      <c r="AD92" t="n">
        <v>3</v>
      </c>
      <c r="AE92" t="n">
        <v>4</v>
      </c>
      <c r="AF92" t="n">
        <v>1</v>
      </c>
      <c r="AG92" t="n">
        <v>1</v>
      </c>
      <c r="AH92" t="n">
        <v>0</v>
      </c>
      <c r="AI92" t="n">
        <v>0</v>
      </c>
      <c r="AJ92" t="n">
        <v>2</v>
      </c>
      <c r="AK92" t="n">
        <v>3</v>
      </c>
      <c r="AL92" t="n">
        <v>0</v>
      </c>
      <c r="AM92" t="n">
        <v>0</v>
      </c>
      <c r="AN92" t="n">
        <v>0</v>
      </c>
      <c r="AO92" t="n">
        <v>0</v>
      </c>
      <c r="AP92" t="inlineStr">
        <is>
          <t>No</t>
        </is>
      </c>
      <c r="AQ92" t="inlineStr">
        <is>
          <t>No</t>
        </is>
      </c>
      <c r="AS92">
        <f>HYPERLINK("https://creighton-primo.hosted.exlibrisgroup.com/primo-explore/search?tab=default_tab&amp;search_scope=EVERYTHING&amp;vid=01CRU&amp;lang=en_US&amp;offset=0&amp;query=any,contains,991004982889702656","Catalog Record")</f>
        <v/>
      </c>
      <c r="AT92">
        <f>HYPERLINK("http://www.worldcat.org/oclc/6435925","WorldCat Record")</f>
        <v/>
      </c>
      <c r="AU92" t="inlineStr">
        <is>
          <t>13981876:eng</t>
        </is>
      </c>
      <c r="AV92" t="inlineStr">
        <is>
          <t>6435925</t>
        </is>
      </c>
      <c r="AW92" t="inlineStr">
        <is>
          <t>991004982889702656</t>
        </is>
      </c>
      <c r="AX92" t="inlineStr">
        <is>
          <t>991004982889702656</t>
        </is>
      </c>
      <c r="AY92" t="inlineStr">
        <is>
          <t>2269373850002656</t>
        </is>
      </c>
      <c r="AZ92" t="inlineStr">
        <is>
          <t>BOOK</t>
        </is>
      </c>
      <c r="BB92" t="inlineStr">
        <is>
          <t>9780831770259</t>
        </is>
      </c>
      <c r="BC92" t="inlineStr">
        <is>
          <t>32285000941335</t>
        </is>
      </c>
      <c r="BD92" t="inlineStr">
        <is>
          <t>893688438</t>
        </is>
      </c>
    </row>
    <row r="93">
      <c r="A93" t="inlineStr">
        <is>
          <t>No</t>
        </is>
      </c>
      <c r="B93" t="inlineStr">
        <is>
          <t>BX1378.5 .S8713 1994</t>
        </is>
      </c>
      <c r="C93" t="inlineStr">
        <is>
          <t>0                      BX 1378500S  8713        1994</t>
        </is>
      </c>
      <c r="D93" t="inlineStr">
        <is>
          <t>Letter to a Jewish friend : the simple and extraordinary story of Pope John Paul II and his Jewish school friend / Gian Franco Svidercoschi ; translated by Gregory Dowling.</t>
        </is>
      </c>
      <c r="F93" t="inlineStr">
        <is>
          <t>No</t>
        </is>
      </c>
      <c r="G93" t="inlineStr">
        <is>
          <t>1</t>
        </is>
      </c>
      <c r="H93" t="inlineStr">
        <is>
          <t>No</t>
        </is>
      </c>
      <c r="I93" t="inlineStr">
        <is>
          <t>No</t>
        </is>
      </c>
      <c r="J93" t="inlineStr">
        <is>
          <t>0</t>
        </is>
      </c>
      <c r="K93" t="inlineStr">
        <is>
          <t>Svidercoschi, Gian Franco.</t>
        </is>
      </c>
      <c r="L93" t="inlineStr">
        <is>
          <t>New York : Crossroad, 1994.</t>
        </is>
      </c>
      <c r="M93" t="inlineStr">
        <is>
          <t>1994</t>
        </is>
      </c>
      <c r="O93" t="inlineStr">
        <is>
          <t>eng</t>
        </is>
      </c>
      <c r="P93" t="inlineStr">
        <is>
          <t>nyu</t>
        </is>
      </c>
      <c r="R93" t="inlineStr">
        <is>
          <t xml:space="preserve">BX </t>
        </is>
      </c>
      <c r="S93" t="n">
        <v>2</v>
      </c>
      <c r="T93" t="n">
        <v>2</v>
      </c>
      <c r="U93" t="inlineStr">
        <is>
          <t>2002-06-19</t>
        </is>
      </c>
      <c r="V93" t="inlineStr">
        <is>
          <t>2002-06-19</t>
        </is>
      </c>
      <c r="W93" t="inlineStr">
        <is>
          <t>2000-07-31</t>
        </is>
      </c>
      <c r="X93" t="inlineStr">
        <is>
          <t>2000-07-31</t>
        </is>
      </c>
      <c r="Y93" t="n">
        <v>145</v>
      </c>
      <c r="Z93" t="n">
        <v>135</v>
      </c>
      <c r="AA93" t="n">
        <v>144</v>
      </c>
      <c r="AB93" t="n">
        <v>1</v>
      </c>
      <c r="AC93" t="n">
        <v>1</v>
      </c>
      <c r="AD93" t="n">
        <v>8</v>
      </c>
      <c r="AE93" t="n">
        <v>9</v>
      </c>
      <c r="AF93" t="n">
        <v>1</v>
      </c>
      <c r="AG93" t="n">
        <v>2</v>
      </c>
      <c r="AH93" t="n">
        <v>3</v>
      </c>
      <c r="AI93" t="n">
        <v>3</v>
      </c>
      <c r="AJ93" t="n">
        <v>5</v>
      </c>
      <c r="AK93" t="n">
        <v>6</v>
      </c>
      <c r="AL93" t="n">
        <v>0</v>
      </c>
      <c r="AM93" t="n">
        <v>0</v>
      </c>
      <c r="AN93" t="n">
        <v>0</v>
      </c>
      <c r="AO93" t="n">
        <v>0</v>
      </c>
      <c r="AP93" t="inlineStr">
        <is>
          <t>No</t>
        </is>
      </c>
      <c r="AQ93" t="inlineStr">
        <is>
          <t>No</t>
        </is>
      </c>
      <c r="AS93">
        <f>HYPERLINK("https://creighton-primo.hosted.exlibrisgroup.com/primo-explore/search?tab=default_tab&amp;search_scope=EVERYTHING&amp;vid=01CRU&amp;lang=en_US&amp;offset=0&amp;query=any,contains,991003228699702656","Catalog Record")</f>
        <v/>
      </c>
      <c r="AT93">
        <f>HYPERLINK("http://www.worldcat.org/oclc/32023048","WorldCat Record")</f>
        <v/>
      </c>
      <c r="AU93" t="inlineStr">
        <is>
          <t>1809365178:eng</t>
        </is>
      </c>
      <c r="AV93" t="inlineStr">
        <is>
          <t>32023048</t>
        </is>
      </c>
      <c r="AW93" t="inlineStr">
        <is>
          <t>991003228699702656</t>
        </is>
      </c>
      <c r="AX93" t="inlineStr">
        <is>
          <t>991003228699702656</t>
        </is>
      </c>
      <c r="AY93" t="inlineStr">
        <is>
          <t>2261398580002656</t>
        </is>
      </c>
      <c r="AZ93" t="inlineStr">
        <is>
          <t>BOOK</t>
        </is>
      </c>
      <c r="BB93" t="inlineStr">
        <is>
          <t>9780824514822</t>
        </is>
      </c>
      <c r="BC93" t="inlineStr">
        <is>
          <t>32285003689295</t>
        </is>
      </c>
      <c r="BD93" t="inlineStr">
        <is>
          <t>893698784</t>
        </is>
      </c>
    </row>
    <row r="94">
      <c r="A94" t="inlineStr">
        <is>
          <t>No</t>
        </is>
      </c>
      <c r="B94" t="inlineStr">
        <is>
          <t>BX1378.5 .Z54 2000</t>
        </is>
      </c>
      <c r="C94" t="inlineStr">
        <is>
          <t>0                      BX 1378500Z  54          2000</t>
        </is>
      </c>
      <c r="D94" t="inlineStr">
        <is>
          <t>The surprising pope : understanding the thought of John Paul II / Maciej Zięba ; interviews conducted by Adam Pawlowicz ; translated by Karolina Weening ; with a foreword by Michael Novak.</t>
        </is>
      </c>
      <c r="F94" t="inlineStr">
        <is>
          <t>No</t>
        </is>
      </c>
      <c r="G94" t="inlineStr">
        <is>
          <t>1</t>
        </is>
      </c>
      <c r="H94" t="inlineStr">
        <is>
          <t>No</t>
        </is>
      </c>
      <c r="I94" t="inlineStr">
        <is>
          <t>No</t>
        </is>
      </c>
      <c r="J94" t="inlineStr">
        <is>
          <t>0</t>
        </is>
      </c>
      <c r="K94" t="inlineStr">
        <is>
          <t>Zięba, Maciej.</t>
        </is>
      </c>
      <c r="L94" t="inlineStr">
        <is>
          <t>Lanham, Md. : Lexington Books, c2000.</t>
        </is>
      </c>
      <c r="M94" t="inlineStr">
        <is>
          <t>2000</t>
        </is>
      </c>
      <c r="O94" t="inlineStr">
        <is>
          <t>eng</t>
        </is>
      </c>
      <c r="P94" t="inlineStr">
        <is>
          <t>mdu</t>
        </is>
      </c>
      <c r="Q94" t="inlineStr">
        <is>
          <t>Religion, politics, and society in the new millennium</t>
        </is>
      </c>
      <c r="R94" t="inlineStr">
        <is>
          <t xml:space="preserve">BX </t>
        </is>
      </c>
      <c r="S94" t="n">
        <v>2</v>
      </c>
      <c r="T94" t="n">
        <v>2</v>
      </c>
      <c r="U94" t="inlineStr">
        <is>
          <t>2007-10-03</t>
        </is>
      </c>
      <c r="V94" t="inlineStr">
        <is>
          <t>2007-10-03</t>
        </is>
      </c>
      <c r="W94" t="inlineStr">
        <is>
          <t>2000-11-07</t>
        </is>
      </c>
      <c r="X94" t="inlineStr">
        <is>
          <t>2000-11-07</t>
        </is>
      </c>
      <c r="Y94" t="n">
        <v>141</v>
      </c>
      <c r="Z94" t="n">
        <v>118</v>
      </c>
      <c r="AA94" t="n">
        <v>118</v>
      </c>
      <c r="AB94" t="n">
        <v>2</v>
      </c>
      <c r="AC94" t="n">
        <v>2</v>
      </c>
      <c r="AD94" t="n">
        <v>15</v>
      </c>
      <c r="AE94" t="n">
        <v>15</v>
      </c>
      <c r="AF94" t="n">
        <v>4</v>
      </c>
      <c r="AG94" t="n">
        <v>4</v>
      </c>
      <c r="AH94" t="n">
        <v>5</v>
      </c>
      <c r="AI94" t="n">
        <v>5</v>
      </c>
      <c r="AJ94" t="n">
        <v>10</v>
      </c>
      <c r="AK94" t="n">
        <v>10</v>
      </c>
      <c r="AL94" t="n">
        <v>1</v>
      </c>
      <c r="AM94" t="n">
        <v>1</v>
      </c>
      <c r="AN94" t="n">
        <v>0</v>
      </c>
      <c r="AO94" t="n">
        <v>0</v>
      </c>
      <c r="AP94" t="inlineStr">
        <is>
          <t>No</t>
        </is>
      </c>
      <c r="AQ94" t="inlineStr">
        <is>
          <t>No</t>
        </is>
      </c>
      <c r="AS94">
        <f>HYPERLINK("https://creighton-primo.hosted.exlibrisgroup.com/primo-explore/search?tab=default_tab&amp;search_scope=EVERYTHING&amp;vid=01CRU&amp;lang=en_US&amp;offset=0&amp;query=any,contains,991003315739702656","Catalog Record")</f>
        <v/>
      </c>
      <c r="AT94">
        <f>HYPERLINK("http://www.worldcat.org/oclc/43751955","WorldCat Record")</f>
        <v/>
      </c>
      <c r="AU94" t="inlineStr">
        <is>
          <t>795276103:eng</t>
        </is>
      </c>
      <c r="AV94" t="inlineStr">
        <is>
          <t>43751955</t>
        </is>
      </c>
      <c r="AW94" t="inlineStr">
        <is>
          <t>991003315739702656</t>
        </is>
      </c>
      <c r="AX94" t="inlineStr">
        <is>
          <t>991003315739702656</t>
        </is>
      </c>
      <c r="AY94" t="inlineStr">
        <is>
          <t>2264315490002656</t>
        </is>
      </c>
      <c r="AZ94" t="inlineStr">
        <is>
          <t>BOOK</t>
        </is>
      </c>
      <c r="BB94" t="inlineStr">
        <is>
          <t>9780739101452</t>
        </is>
      </c>
      <c r="BC94" t="inlineStr">
        <is>
          <t>32285004263835</t>
        </is>
      </c>
      <c r="BD94" t="inlineStr">
        <is>
          <t>893511820</t>
        </is>
      </c>
    </row>
    <row r="95">
      <c r="A95" t="inlineStr">
        <is>
          <t>No</t>
        </is>
      </c>
      <c r="B95" t="inlineStr">
        <is>
          <t>BX1378.6 .F5713 2005</t>
        </is>
      </c>
      <c r="C95" t="inlineStr">
        <is>
          <t>0                      BX 1378600F  5713        2005</t>
        </is>
      </c>
      <c r="D95" t="inlineStr">
        <is>
          <t>Pope Benedict XVI : a personal portrait / Heinz-Joachim Fischer ; translated by Brian McNeil.</t>
        </is>
      </c>
      <c r="F95" t="inlineStr">
        <is>
          <t>No</t>
        </is>
      </c>
      <c r="G95" t="inlineStr">
        <is>
          <t>1</t>
        </is>
      </c>
      <c r="H95" t="inlineStr">
        <is>
          <t>No</t>
        </is>
      </c>
      <c r="I95" t="inlineStr">
        <is>
          <t>No</t>
        </is>
      </c>
      <c r="J95" t="inlineStr">
        <is>
          <t>0</t>
        </is>
      </c>
      <c r="K95" t="inlineStr">
        <is>
          <t>Fischer, Heinz-Joachim, 1944-</t>
        </is>
      </c>
      <c r="L95" t="inlineStr">
        <is>
          <t>New York : Crossroad Pub. Co., c2005.</t>
        </is>
      </c>
      <c r="M95" t="inlineStr">
        <is>
          <t>2005</t>
        </is>
      </c>
      <c r="O95" t="inlineStr">
        <is>
          <t>eng</t>
        </is>
      </c>
      <c r="P95" t="inlineStr">
        <is>
          <t>nyu</t>
        </is>
      </c>
      <c r="R95" t="inlineStr">
        <is>
          <t xml:space="preserve">BX </t>
        </is>
      </c>
      <c r="S95" t="n">
        <v>7</v>
      </c>
      <c r="T95" t="n">
        <v>7</v>
      </c>
      <c r="U95" t="inlineStr">
        <is>
          <t>2008-04-21</t>
        </is>
      </c>
      <c r="V95" t="inlineStr">
        <is>
          <t>2008-04-21</t>
        </is>
      </c>
      <c r="W95" t="inlineStr">
        <is>
          <t>2005-07-26</t>
        </is>
      </c>
      <c r="X95" t="inlineStr">
        <is>
          <t>2005-07-26</t>
        </is>
      </c>
      <c r="Y95" t="n">
        <v>263</v>
      </c>
      <c r="Z95" t="n">
        <v>224</v>
      </c>
      <c r="AA95" t="n">
        <v>230</v>
      </c>
      <c r="AB95" t="n">
        <v>5</v>
      </c>
      <c r="AC95" t="n">
        <v>5</v>
      </c>
      <c r="AD95" t="n">
        <v>11</v>
      </c>
      <c r="AE95" t="n">
        <v>11</v>
      </c>
      <c r="AF95" t="n">
        <v>3</v>
      </c>
      <c r="AG95" t="n">
        <v>3</v>
      </c>
      <c r="AH95" t="n">
        <v>4</v>
      </c>
      <c r="AI95" t="n">
        <v>4</v>
      </c>
      <c r="AJ95" t="n">
        <v>7</v>
      </c>
      <c r="AK95" t="n">
        <v>7</v>
      </c>
      <c r="AL95" t="n">
        <v>1</v>
      </c>
      <c r="AM95" t="n">
        <v>1</v>
      </c>
      <c r="AN95" t="n">
        <v>0</v>
      </c>
      <c r="AO95" t="n">
        <v>0</v>
      </c>
      <c r="AP95" t="inlineStr">
        <is>
          <t>No</t>
        </is>
      </c>
      <c r="AQ95" t="inlineStr">
        <is>
          <t>Yes</t>
        </is>
      </c>
      <c r="AR95">
        <f>HYPERLINK("http://catalog.hathitrust.org/Record/102039951","HathiTrust Record")</f>
        <v/>
      </c>
      <c r="AS95">
        <f>HYPERLINK("https://creighton-primo.hosted.exlibrisgroup.com/primo-explore/search?tab=default_tab&amp;search_scope=EVERYTHING&amp;vid=01CRU&amp;lang=en_US&amp;offset=0&amp;query=any,contains,991004600219702656","Catalog Record")</f>
        <v/>
      </c>
      <c r="AT95">
        <f>HYPERLINK("http://www.worldcat.org/oclc/60531899","WorldCat Record")</f>
        <v/>
      </c>
      <c r="AU95" t="inlineStr">
        <is>
          <t>4236163481:eng</t>
        </is>
      </c>
      <c r="AV95" t="inlineStr">
        <is>
          <t>60531899</t>
        </is>
      </c>
      <c r="AW95" t="inlineStr">
        <is>
          <t>991004600219702656</t>
        </is>
      </c>
      <c r="AX95" t="inlineStr">
        <is>
          <t>991004600219702656</t>
        </is>
      </c>
      <c r="AY95" t="inlineStr">
        <is>
          <t>2264090630002656</t>
        </is>
      </c>
      <c r="AZ95" t="inlineStr">
        <is>
          <t>BOOK</t>
        </is>
      </c>
      <c r="BB95" t="inlineStr">
        <is>
          <t>9780824523725</t>
        </is>
      </c>
      <c r="BC95" t="inlineStr">
        <is>
          <t>32285005097901</t>
        </is>
      </c>
      <c r="BD95" t="inlineStr">
        <is>
          <t>893526277</t>
        </is>
      </c>
    </row>
    <row r="96">
      <c r="A96" t="inlineStr">
        <is>
          <t>No</t>
        </is>
      </c>
      <c r="B96" t="inlineStr">
        <is>
          <t>BX1378.6 .W45 2005</t>
        </is>
      </c>
      <c r="C96" t="inlineStr">
        <is>
          <t>0                      BX 1378600W  45          2005</t>
        </is>
      </c>
      <c r="D96" t="inlineStr">
        <is>
          <t>God's choice : Pope Benedict XVI and the future of the Catholic Church / George Weigel.</t>
        </is>
      </c>
      <c r="F96" t="inlineStr">
        <is>
          <t>No</t>
        </is>
      </c>
      <c r="G96" t="inlineStr">
        <is>
          <t>1</t>
        </is>
      </c>
      <c r="H96" t="inlineStr">
        <is>
          <t>No</t>
        </is>
      </c>
      <c r="I96" t="inlineStr">
        <is>
          <t>No</t>
        </is>
      </c>
      <c r="J96" t="inlineStr">
        <is>
          <t>0</t>
        </is>
      </c>
      <c r="K96" t="inlineStr">
        <is>
          <t>Weigel, George, 1951-</t>
        </is>
      </c>
      <c r="L96" t="inlineStr">
        <is>
          <t>New York : HarperCollins, c2005.</t>
        </is>
      </c>
      <c r="M96" t="inlineStr">
        <is>
          <t>2005</t>
        </is>
      </c>
      <c r="N96" t="inlineStr">
        <is>
          <t>1st ed.</t>
        </is>
      </c>
      <c r="O96" t="inlineStr">
        <is>
          <t>eng</t>
        </is>
      </c>
      <c r="P96" t="inlineStr">
        <is>
          <t>nyu</t>
        </is>
      </c>
      <c r="R96" t="inlineStr">
        <is>
          <t xml:space="preserve">BX </t>
        </is>
      </c>
      <c r="S96" t="n">
        <v>6</v>
      </c>
      <c r="T96" t="n">
        <v>6</v>
      </c>
      <c r="U96" t="inlineStr">
        <is>
          <t>2008-10-01</t>
        </is>
      </c>
      <c r="V96" t="inlineStr">
        <is>
          <t>2008-10-01</t>
        </is>
      </c>
      <c r="W96" t="inlineStr">
        <is>
          <t>2005-11-28</t>
        </is>
      </c>
      <c r="X96" t="inlineStr">
        <is>
          <t>2005-11-28</t>
        </is>
      </c>
      <c r="Y96" t="n">
        <v>746</v>
      </c>
      <c r="Z96" t="n">
        <v>671</v>
      </c>
      <c r="AA96" t="n">
        <v>810</v>
      </c>
      <c r="AB96" t="n">
        <v>7</v>
      </c>
      <c r="AC96" t="n">
        <v>9</v>
      </c>
      <c r="AD96" t="n">
        <v>24</v>
      </c>
      <c r="AE96" t="n">
        <v>28</v>
      </c>
      <c r="AF96" t="n">
        <v>6</v>
      </c>
      <c r="AG96" t="n">
        <v>9</v>
      </c>
      <c r="AH96" t="n">
        <v>6</v>
      </c>
      <c r="AI96" t="n">
        <v>7</v>
      </c>
      <c r="AJ96" t="n">
        <v>11</v>
      </c>
      <c r="AK96" t="n">
        <v>14</v>
      </c>
      <c r="AL96" t="n">
        <v>3</v>
      </c>
      <c r="AM96" t="n">
        <v>3</v>
      </c>
      <c r="AN96" t="n">
        <v>1</v>
      </c>
      <c r="AO96" t="n">
        <v>1</v>
      </c>
      <c r="AP96" t="inlineStr">
        <is>
          <t>No</t>
        </is>
      </c>
      <c r="AQ96" t="inlineStr">
        <is>
          <t>No</t>
        </is>
      </c>
      <c r="AS96">
        <f>HYPERLINK("https://creighton-primo.hosted.exlibrisgroup.com/primo-explore/search?tab=default_tab&amp;search_scope=EVERYTHING&amp;vid=01CRU&amp;lang=en_US&amp;offset=0&amp;query=any,contains,991004688259702656","Catalog Record")</f>
        <v/>
      </c>
      <c r="AT96">
        <f>HYPERLINK("http://www.worldcat.org/oclc/61500077","WorldCat Record")</f>
        <v/>
      </c>
      <c r="AU96" t="inlineStr">
        <is>
          <t>3901355417:eng</t>
        </is>
      </c>
      <c r="AV96" t="inlineStr">
        <is>
          <t>61500077</t>
        </is>
      </c>
      <c r="AW96" t="inlineStr">
        <is>
          <t>991004688259702656</t>
        </is>
      </c>
      <c r="AX96" t="inlineStr">
        <is>
          <t>991004688259702656</t>
        </is>
      </c>
      <c r="AY96" t="inlineStr">
        <is>
          <t>2260022990002656</t>
        </is>
      </c>
      <c r="AZ96" t="inlineStr">
        <is>
          <t>BOOK</t>
        </is>
      </c>
      <c r="BB96" t="inlineStr">
        <is>
          <t>9780066213316</t>
        </is>
      </c>
      <c r="BC96" t="inlineStr">
        <is>
          <t>32285005148845</t>
        </is>
      </c>
      <c r="BD96" t="inlineStr">
        <is>
          <t>893895352</t>
        </is>
      </c>
    </row>
    <row r="97">
      <c r="A97" t="inlineStr">
        <is>
          <t>No</t>
        </is>
      </c>
      <c r="B97" t="inlineStr">
        <is>
          <t>BX1386 .C48 1998</t>
        </is>
      </c>
      <c r="C97" t="inlineStr">
        <is>
          <t>0                      BX 1386000C  48          1998</t>
        </is>
      </c>
      <c r="D97" t="inlineStr">
        <is>
          <t>A history of the popes, 1830-1914 / Owen Chadwick.</t>
        </is>
      </c>
      <c r="F97" t="inlineStr">
        <is>
          <t>No</t>
        </is>
      </c>
      <c r="G97" t="inlineStr">
        <is>
          <t>1</t>
        </is>
      </c>
      <c r="H97" t="inlineStr">
        <is>
          <t>No</t>
        </is>
      </c>
      <c r="I97" t="inlineStr">
        <is>
          <t>No</t>
        </is>
      </c>
      <c r="J97" t="inlineStr">
        <is>
          <t>0</t>
        </is>
      </c>
      <c r="K97" t="inlineStr">
        <is>
          <t>Chadwick, Owen.</t>
        </is>
      </c>
      <c r="L97" t="inlineStr">
        <is>
          <t>Oxford : Clarendon Press ; New York : Oxford University Press, c1998.</t>
        </is>
      </c>
      <c r="M97" t="inlineStr">
        <is>
          <t>1998</t>
        </is>
      </c>
      <c r="O97" t="inlineStr">
        <is>
          <t>eng</t>
        </is>
      </c>
      <c r="P97" t="inlineStr">
        <is>
          <t>enk</t>
        </is>
      </c>
      <c r="Q97" t="inlineStr">
        <is>
          <t>The Oxford history of the Christian Church</t>
        </is>
      </c>
      <c r="R97" t="inlineStr">
        <is>
          <t xml:space="preserve">BX </t>
        </is>
      </c>
      <c r="S97" t="n">
        <v>9</v>
      </c>
      <c r="T97" t="n">
        <v>9</v>
      </c>
      <c r="U97" t="inlineStr">
        <is>
          <t>2009-07-01</t>
        </is>
      </c>
      <c r="V97" t="inlineStr">
        <is>
          <t>2009-07-01</t>
        </is>
      </c>
      <c r="W97" t="inlineStr">
        <is>
          <t>2000-10-24</t>
        </is>
      </c>
      <c r="X97" t="inlineStr">
        <is>
          <t>2000-10-24</t>
        </is>
      </c>
      <c r="Y97" t="n">
        <v>457</v>
      </c>
      <c r="Z97" t="n">
        <v>329</v>
      </c>
      <c r="AA97" t="n">
        <v>461</v>
      </c>
      <c r="AB97" t="n">
        <v>1</v>
      </c>
      <c r="AC97" t="n">
        <v>1</v>
      </c>
      <c r="AD97" t="n">
        <v>31</v>
      </c>
      <c r="AE97" t="n">
        <v>40</v>
      </c>
      <c r="AF97" t="n">
        <v>15</v>
      </c>
      <c r="AG97" t="n">
        <v>18</v>
      </c>
      <c r="AH97" t="n">
        <v>6</v>
      </c>
      <c r="AI97" t="n">
        <v>10</v>
      </c>
      <c r="AJ97" t="n">
        <v>20</v>
      </c>
      <c r="AK97" t="n">
        <v>24</v>
      </c>
      <c r="AL97" t="n">
        <v>0</v>
      </c>
      <c r="AM97" t="n">
        <v>0</v>
      </c>
      <c r="AN97" t="n">
        <v>0</v>
      </c>
      <c r="AO97" t="n">
        <v>0</v>
      </c>
      <c r="AP97" t="inlineStr">
        <is>
          <t>No</t>
        </is>
      </c>
      <c r="AQ97" t="inlineStr">
        <is>
          <t>No</t>
        </is>
      </c>
      <c r="AS97">
        <f>HYPERLINK("https://creighton-primo.hosted.exlibrisgroup.com/primo-explore/search?tab=default_tab&amp;search_scope=EVERYTHING&amp;vid=01CRU&amp;lang=en_US&amp;offset=0&amp;query=any,contains,991003230749702656","Catalog Record")</f>
        <v/>
      </c>
      <c r="AT97">
        <f>HYPERLINK("http://www.worldcat.org/oclc/38081653","WorldCat Record")</f>
        <v/>
      </c>
      <c r="AU97" t="inlineStr">
        <is>
          <t>598863:eng</t>
        </is>
      </c>
      <c r="AV97" t="inlineStr">
        <is>
          <t>38081653</t>
        </is>
      </c>
      <c r="AW97" t="inlineStr">
        <is>
          <t>991003230749702656</t>
        </is>
      </c>
      <c r="AX97" t="inlineStr">
        <is>
          <t>991003230749702656</t>
        </is>
      </c>
      <c r="AY97" t="inlineStr">
        <is>
          <t>2268819590002656</t>
        </is>
      </c>
      <c r="AZ97" t="inlineStr">
        <is>
          <t>BOOK</t>
        </is>
      </c>
      <c r="BB97" t="inlineStr">
        <is>
          <t>9780198269229</t>
        </is>
      </c>
      <c r="BC97" t="inlineStr">
        <is>
          <t>32285004260153</t>
        </is>
      </c>
      <c r="BD97" t="inlineStr">
        <is>
          <t>893598387</t>
        </is>
      </c>
    </row>
    <row r="98">
      <c r="A98" t="inlineStr">
        <is>
          <t>No</t>
        </is>
      </c>
      <c r="B98" t="inlineStr">
        <is>
          <t>BX1386 .C6 1938</t>
        </is>
      </c>
      <c r="C98" t="inlineStr">
        <is>
          <t>0                      BX 1386000C  6           1938</t>
        </is>
      </c>
      <c r="D98" t="inlineStr">
        <is>
          <t>The church and the nineteenth century / by Raymond Corrigan</t>
        </is>
      </c>
      <c r="F98" t="inlineStr">
        <is>
          <t>No</t>
        </is>
      </c>
      <c r="G98" t="inlineStr">
        <is>
          <t>1</t>
        </is>
      </c>
      <c r="H98" t="inlineStr">
        <is>
          <t>No</t>
        </is>
      </c>
      <c r="I98" t="inlineStr">
        <is>
          <t>No</t>
        </is>
      </c>
      <c r="J98" t="inlineStr">
        <is>
          <t>0</t>
        </is>
      </c>
      <c r="K98" t="inlineStr">
        <is>
          <t>Corrigan, Raymond, 1889-1942.</t>
        </is>
      </c>
      <c r="L98" t="inlineStr">
        <is>
          <t>Milwaukee : The Bruce Publishing Company, [c1938]</t>
        </is>
      </c>
      <c r="M98" t="inlineStr">
        <is>
          <t>1938</t>
        </is>
      </c>
      <c r="O98" t="inlineStr">
        <is>
          <t>eng</t>
        </is>
      </c>
      <c r="P98" t="inlineStr">
        <is>
          <t>wiu</t>
        </is>
      </c>
      <c r="Q98" t="inlineStr">
        <is>
          <t>Science and culture series</t>
        </is>
      </c>
      <c r="R98" t="inlineStr">
        <is>
          <t xml:space="preserve">BX </t>
        </is>
      </c>
      <c r="S98" t="n">
        <v>4</v>
      </c>
      <c r="T98" t="n">
        <v>4</v>
      </c>
      <c r="U98" t="inlineStr">
        <is>
          <t>2001-08-27</t>
        </is>
      </c>
      <c r="V98" t="inlineStr">
        <is>
          <t>2001-08-27</t>
        </is>
      </c>
      <c r="W98" t="inlineStr">
        <is>
          <t>1992-03-31</t>
        </is>
      </c>
      <c r="X98" t="inlineStr">
        <is>
          <t>1992-03-31</t>
        </is>
      </c>
      <c r="Y98" t="n">
        <v>345</v>
      </c>
      <c r="Z98" t="n">
        <v>306</v>
      </c>
      <c r="AA98" t="n">
        <v>317</v>
      </c>
      <c r="AB98" t="n">
        <v>2</v>
      </c>
      <c r="AC98" t="n">
        <v>2</v>
      </c>
      <c r="AD98" t="n">
        <v>33</v>
      </c>
      <c r="AE98" t="n">
        <v>33</v>
      </c>
      <c r="AF98" t="n">
        <v>11</v>
      </c>
      <c r="AG98" t="n">
        <v>11</v>
      </c>
      <c r="AH98" t="n">
        <v>9</v>
      </c>
      <c r="AI98" t="n">
        <v>9</v>
      </c>
      <c r="AJ98" t="n">
        <v>25</v>
      </c>
      <c r="AK98" t="n">
        <v>25</v>
      </c>
      <c r="AL98" t="n">
        <v>0</v>
      </c>
      <c r="AM98" t="n">
        <v>0</v>
      </c>
      <c r="AN98" t="n">
        <v>0</v>
      </c>
      <c r="AO98" t="n">
        <v>0</v>
      </c>
      <c r="AP98" t="inlineStr">
        <is>
          <t>Yes</t>
        </is>
      </c>
      <c r="AQ98" t="inlineStr">
        <is>
          <t>No</t>
        </is>
      </c>
      <c r="AR98">
        <f>HYPERLINK("http://catalog.hathitrust.org/Record/006661860","HathiTrust Record")</f>
        <v/>
      </c>
      <c r="AS98">
        <f>HYPERLINK("https://creighton-primo.hosted.exlibrisgroup.com/primo-explore/search?tab=default_tab&amp;search_scope=EVERYTHING&amp;vid=01CRU&amp;lang=en_US&amp;offset=0&amp;query=any,contains,991003742319702656","Catalog Record")</f>
        <v/>
      </c>
      <c r="AT98">
        <f>HYPERLINK("http://www.worldcat.org/oclc/1408631","WorldCat Record")</f>
        <v/>
      </c>
      <c r="AU98" t="inlineStr">
        <is>
          <t>2265437:eng</t>
        </is>
      </c>
      <c r="AV98" t="inlineStr">
        <is>
          <t>1408631</t>
        </is>
      </c>
      <c r="AW98" t="inlineStr">
        <is>
          <t>991003742319702656</t>
        </is>
      </c>
      <c r="AX98" t="inlineStr">
        <is>
          <t>991003742319702656</t>
        </is>
      </c>
      <c r="AY98" t="inlineStr">
        <is>
          <t>2267986920002656</t>
        </is>
      </c>
      <c r="AZ98" t="inlineStr">
        <is>
          <t>BOOK</t>
        </is>
      </c>
      <c r="BC98" t="inlineStr">
        <is>
          <t>32285001032308</t>
        </is>
      </c>
      <c r="BD98" t="inlineStr">
        <is>
          <t>893435380</t>
        </is>
      </c>
    </row>
    <row r="99">
      <c r="A99" t="inlineStr">
        <is>
          <t>No</t>
        </is>
      </c>
      <c r="B99" t="inlineStr">
        <is>
          <t>BX1386 .H3 1958</t>
        </is>
      </c>
      <c r="C99" t="inlineStr">
        <is>
          <t>0                      BX 1386000H  3           1958</t>
        </is>
      </c>
      <c r="D99" t="inlineStr">
        <is>
          <t>The Catholic Church in the modern world : a survey from the French Revolution to the present.</t>
        </is>
      </c>
      <c r="F99" t="inlineStr">
        <is>
          <t>No</t>
        </is>
      </c>
      <c r="G99" t="inlineStr">
        <is>
          <t>1</t>
        </is>
      </c>
      <c r="H99" t="inlineStr">
        <is>
          <t>No</t>
        </is>
      </c>
      <c r="I99" t="inlineStr">
        <is>
          <t>No</t>
        </is>
      </c>
      <c r="J99" t="inlineStr">
        <is>
          <t>0</t>
        </is>
      </c>
      <c r="K99" t="inlineStr">
        <is>
          <t>Hales, E. E. Y. (Edward Elton Young), 1908-1986.</t>
        </is>
      </c>
      <c r="L99" t="inlineStr">
        <is>
          <t>Garden City, N.Y. : Hanover House, 1958.</t>
        </is>
      </c>
      <c r="M99" t="inlineStr">
        <is>
          <t>1958</t>
        </is>
      </c>
      <c r="N99" t="inlineStr">
        <is>
          <t>[1st ed.]</t>
        </is>
      </c>
      <c r="O99" t="inlineStr">
        <is>
          <t>eng</t>
        </is>
      </c>
      <c r="P99" t="inlineStr">
        <is>
          <t>nyu</t>
        </is>
      </c>
      <c r="R99" t="inlineStr">
        <is>
          <t xml:space="preserve">BX </t>
        </is>
      </c>
      <c r="S99" t="n">
        <v>2</v>
      </c>
      <c r="T99" t="n">
        <v>2</v>
      </c>
      <c r="U99" t="inlineStr">
        <is>
          <t>2007-04-12</t>
        </is>
      </c>
      <c r="V99" t="inlineStr">
        <is>
          <t>2007-04-12</t>
        </is>
      </c>
      <c r="W99" t="inlineStr">
        <is>
          <t>1992-03-23</t>
        </is>
      </c>
      <c r="X99" t="inlineStr">
        <is>
          <t>1992-03-23</t>
        </is>
      </c>
      <c r="Y99" t="n">
        <v>500</v>
      </c>
      <c r="Z99" t="n">
        <v>446</v>
      </c>
      <c r="AA99" t="n">
        <v>559</v>
      </c>
      <c r="AB99" t="n">
        <v>5</v>
      </c>
      <c r="AC99" t="n">
        <v>6</v>
      </c>
      <c r="AD99" t="n">
        <v>33</v>
      </c>
      <c r="AE99" t="n">
        <v>36</v>
      </c>
      <c r="AF99" t="n">
        <v>12</v>
      </c>
      <c r="AG99" t="n">
        <v>12</v>
      </c>
      <c r="AH99" t="n">
        <v>7</v>
      </c>
      <c r="AI99" t="n">
        <v>7</v>
      </c>
      <c r="AJ99" t="n">
        <v>22</v>
      </c>
      <c r="AK99" t="n">
        <v>24</v>
      </c>
      <c r="AL99" t="n">
        <v>2</v>
      </c>
      <c r="AM99" t="n">
        <v>3</v>
      </c>
      <c r="AN99" t="n">
        <v>0</v>
      </c>
      <c r="AO99" t="n">
        <v>0</v>
      </c>
      <c r="AP99" t="inlineStr">
        <is>
          <t>No</t>
        </is>
      </c>
      <c r="AQ99" t="inlineStr">
        <is>
          <t>Yes</t>
        </is>
      </c>
      <c r="AR99">
        <f>HYPERLINK("http://catalog.hathitrust.org/Record/001925697","HathiTrust Record")</f>
        <v/>
      </c>
      <c r="AS99">
        <f>HYPERLINK("https://creighton-primo.hosted.exlibrisgroup.com/primo-explore/search?tab=default_tab&amp;search_scope=EVERYTHING&amp;vid=01CRU&amp;lang=en_US&amp;offset=0&amp;query=any,contains,991002423749702656","Catalog Record")</f>
        <v/>
      </c>
      <c r="AT99">
        <f>HYPERLINK("http://www.worldcat.org/oclc/343939","WorldCat Record")</f>
        <v/>
      </c>
      <c r="AU99" t="inlineStr">
        <is>
          <t>1487452:eng</t>
        </is>
      </c>
      <c r="AV99" t="inlineStr">
        <is>
          <t>343939</t>
        </is>
      </c>
      <c r="AW99" t="inlineStr">
        <is>
          <t>991002423749702656</t>
        </is>
      </c>
      <c r="AX99" t="inlineStr">
        <is>
          <t>991002423749702656</t>
        </is>
      </c>
      <c r="AY99" t="inlineStr">
        <is>
          <t>2264640860002656</t>
        </is>
      </c>
      <c r="AZ99" t="inlineStr">
        <is>
          <t>BOOK</t>
        </is>
      </c>
      <c r="BC99" t="inlineStr">
        <is>
          <t>32285001027381</t>
        </is>
      </c>
      <c r="BD99" t="inlineStr">
        <is>
          <t>893809481</t>
        </is>
      </c>
    </row>
    <row r="100">
      <c r="A100" t="inlineStr">
        <is>
          <t>No</t>
        </is>
      </c>
      <c r="B100" t="inlineStr">
        <is>
          <t>BX1389 .A4413 1996</t>
        </is>
      </c>
      <c r="C100" t="inlineStr">
        <is>
          <t>0                      BX 1389000A  4413        1996</t>
        </is>
      </c>
      <c r="D100" t="inlineStr">
        <is>
          <t>Iota unum : a study of changes in the Catholic Church in the XXth century / Romano Amerio ; translated by John P. Parsons.</t>
        </is>
      </c>
      <c r="F100" t="inlineStr">
        <is>
          <t>No</t>
        </is>
      </c>
      <c r="G100" t="inlineStr">
        <is>
          <t>1</t>
        </is>
      </c>
      <c r="H100" t="inlineStr">
        <is>
          <t>No</t>
        </is>
      </c>
      <c r="I100" t="inlineStr">
        <is>
          <t>No</t>
        </is>
      </c>
      <c r="J100" t="inlineStr">
        <is>
          <t>0</t>
        </is>
      </c>
      <c r="K100" t="inlineStr">
        <is>
          <t>Amerio, Romano.</t>
        </is>
      </c>
      <c r="L100" t="inlineStr">
        <is>
          <t>Kansas City, Mo. : Sarto House, 1996.</t>
        </is>
      </c>
      <c r="M100" t="inlineStr">
        <is>
          <t>1996</t>
        </is>
      </c>
      <c r="O100" t="inlineStr">
        <is>
          <t>eng</t>
        </is>
      </c>
      <c r="P100" t="inlineStr">
        <is>
          <t>mou</t>
        </is>
      </c>
      <c r="R100" t="inlineStr">
        <is>
          <t xml:space="preserve">BX </t>
        </is>
      </c>
      <c r="S100" t="n">
        <v>7</v>
      </c>
      <c r="T100" t="n">
        <v>7</v>
      </c>
      <c r="U100" t="inlineStr">
        <is>
          <t>2007-11-06</t>
        </is>
      </c>
      <c r="V100" t="inlineStr">
        <is>
          <t>2007-11-06</t>
        </is>
      </c>
      <c r="W100" t="inlineStr">
        <is>
          <t>1997-04-28</t>
        </is>
      </c>
      <c r="X100" t="inlineStr">
        <is>
          <t>1997-04-28</t>
        </is>
      </c>
      <c r="Y100" t="n">
        <v>89</v>
      </c>
      <c r="Z100" t="n">
        <v>73</v>
      </c>
      <c r="AA100" t="n">
        <v>74</v>
      </c>
      <c r="AB100" t="n">
        <v>3</v>
      </c>
      <c r="AC100" t="n">
        <v>3</v>
      </c>
      <c r="AD100" t="n">
        <v>9</v>
      </c>
      <c r="AE100" t="n">
        <v>10</v>
      </c>
      <c r="AF100" t="n">
        <v>1</v>
      </c>
      <c r="AG100" t="n">
        <v>1</v>
      </c>
      <c r="AH100" t="n">
        <v>3</v>
      </c>
      <c r="AI100" t="n">
        <v>3</v>
      </c>
      <c r="AJ100" t="n">
        <v>8</v>
      </c>
      <c r="AK100" t="n">
        <v>9</v>
      </c>
      <c r="AL100" t="n">
        <v>0</v>
      </c>
      <c r="AM100" t="n">
        <v>0</v>
      </c>
      <c r="AN100" t="n">
        <v>0</v>
      </c>
      <c r="AO100" t="n">
        <v>0</v>
      </c>
      <c r="AP100" t="inlineStr">
        <is>
          <t>No</t>
        </is>
      </c>
      <c r="AQ100" t="inlineStr">
        <is>
          <t>No</t>
        </is>
      </c>
      <c r="AS100">
        <f>HYPERLINK("https://creighton-primo.hosted.exlibrisgroup.com/primo-explore/search?tab=default_tab&amp;search_scope=EVERYTHING&amp;vid=01CRU&amp;lang=en_US&amp;offset=0&amp;query=any,contains,991002679329702656","Catalog Record")</f>
        <v/>
      </c>
      <c r="AT100">
        <f>HYPERLINK("http://www.worldcat.org/oclc/35022655","WorldCat Record")</f>
        <v/>
      </c>
      <c r="AU100" t="inlineStr">
        <is>
          <t>1151513066:eng</t>
        </is>
      </c>
      <c r="AV100" t="inlineStr">
        <is>
          <t>35022655</t>
        </is>
      </c>
      <c r="AW100" t="inlineStr">
        <is>
          <t>991002679329702656</t>
        </is>
      </c>
      <c r="AX100" t="inlineStr">
        <is>
          <t>991002679329702656</t>
        </is>
      </c>
      <c r="AY100" t="inlineStr">
        <is>
          <t>2271302760002656</t>
        </is>
      </c>
      <c r="AZ100" t="inlineStr">
        <is>
          <t>BOOK</t>
        </is>
      </c>
      <c r="BB100" t="inlineStr">
        <is>
          <t>9780963903211</t>
        </is>
      </c>
      <c r="BC100" t="inlineStr">
        <is>
          <t>32285002541836</t>
        </is>
      </c>
      <c r="BD100" t="inlineStr">
        <is>
          <t>893780085</t>
        </is>
      </c>
    </row>
    <row r="101">
      <c r="A101" t="inlineStr">
        <is>
          <t>No</t>
        </is>
      </c>
      <c r="B101" t="inlineStr">
        <is>
          <t>BX1389 .H45 1993</t>
        </is>
      </c>
      <c r="C101" t="inlineStr">
        <is>
          <t>0                      BX 1389000H  45          1993</t>
        </is>
      </c>
      <c r="D101" t="inlineStr">
        <is>
          <t>A Catholic scholar's journey through the twentieth century / by Monika K. Hellwig.</t>
        </is>
      </c>
      <c r="F101" t="inlineStr">
        <is>
          <t>No</t>
        </is>
      </c>
      <c r="G101" t="inlineStr">
        <is>
          <t>1</t>
        </is>
      </c>
      <c r="H101" t="inlineStr">
        <is>
          <t>No</t>
        </is>
      </c>
      <c r="I101" t="inlineStr">
        <is>
          <t>No</t>
        </is>
      </c>
      <c r="J101" t="inlineStr">
        <is>
          <t>0</t>
        </is>
      </c>
      <c r="K101" t="inlineStr">
        <is>
          <t>Hellwig, Monika.</t>
        </is>
      </c>
      <c r="L101" t="inlineStr">
        <is>
          <t>Dayton, Ohio : University of Dayton, c1993.</t>
        </is>
      </c>
      <c r="M101" t="inlineStr">
        <is>
          <t>1993</t>
        </is>
      </c>
      <c r="O101" t="inlineStr">
        <is>
          <t>eng</t>
        </is>
      </c>
      <c r="P101" t="inlineStr">
        <is>
          <t>ohu</t>
        </is>
      </c>
      <c r="Q101" t="inlineStr">
        <is>
          <t>Marianist Award lecture ; 1993</t>
        </is>
      </c>
      <c r="R101" t="inlineStr">
        <is>
          <t xml:space="preserve">BX </t>
        </is>
      </c>
      <c r="S101" t="n">
        <v>5</v>
      </c>
      <c r="T101" t="n">
        <v>5</v>
      </c>
      <c r="U101" t="inlineStr">
        <is>
          <t>1994-02-01</t>
        </is>
      </c>
      <c r="V101" t="inlineStr">
        <is>
          <t>1994-02-01</t>
        </is>
      </c>
      <c r="W101" t="inlineStr">
        <is>
          <t>1993-11-11</t>
        </is>
      </c>
      <c r="X101" t="inlineStr">
        <is>
          <t>1993-11-11</t>
        </is>
      </c>
      <c r="Y101" t="n">
        <v>42</v>
      </c>
      <c r="Z101" t="n">
        <v>42</v>
      </c>
      <c r="AA101" t="n">
        <v>42</v>
      </c>
      <c r="AB101" t="n">
        <v>1</v>
      </c>
      <c r="AC101" t="n">
        <v>1</v>
      </c>
      <c r="AD101" t="n">
        <v>8</v>
      </c>
      <c r="AE101" t="n">
        <v>8</v>
      </c>
      <c r="AF101" t="n">
        <v>2</v>
      </c>
      <c r="AG101" t="n">
        <v>2</v>
      </c>
      <c r="AH101" t="n">
        <v>2</v>
      </c>
      <c r="AI101" t="n">
        <v>2</v>
      </c>
      <c r="AJ101" t="n">
        <v>8</v>
      </c>
      <c r="AK101" t="n">
        <v>8</v>
      </c>
      <c r="AL101" t="n">
        <v>0</v>
      </c>
      <c r="AM101" t="n">
        <v>0</v>
      </c>
      <c r="AN101" t="n">
        <v>0</v>
      </c>
      <c r="AO101" t="n">
        <v>0</v>
      </c>
      <c r="AP101" t="inlineStr">
        <is>
          <t>No</t>
        </is>
      </c>
      <c r="AQ101" t="inlineStr">
        <is>
          <t>No</t>
        </is>
      </c>
      <c r="AS101">
        <f>HYPERLINK("https://creighton-primo.hosted.exlibrisgroup.com/primo-explore/search?tab=default_tab&amp;search_scope=EVERYTHING&amp;vid=01CRU&amp;lang=en_US&amp;offset=0&amp;query=any,contains,991002211869702656","Catalog Record")</f>
        <v/>
      </c>
      <c r="AT101">
        <f>HYPERLINK("http://www.worldcat.org/oclc/28438722","WorldCat Record")</f>
        <v/>
      </c>
      <c r="AU101" t="inlineStr">
        <is>
          <t>31151570:eng</t>
        </is>
      </c>
      <c r="AV101" t="inlineStr">
        <is>
          <t>28438722</t>
        </is>
      </c>
      <c r="AW101" t="inlineStr">
        <is>
          <t>991002211869702656</t>
        </is>
      </c>
      <c r="AX101" t="inlineStr">
        <is>
          <t>991002211869702656</t>
        </is>
      </c>
      <c r="AY101" t="inlineStr">
        <is>
          <t>2264620380002656</t>
        </is>
      </c>
      <c r="AZ101" t="inlineStr">
        <is>
          <t>BOOK</t>
        </is>
      </c>
      <c r="BC101" t="inlineStr">
        <is>
          <t>32285001811123</t>
        </is>
      </c>
      <c r="BD101" t="inlineStr">
        <is>
          <t>893609579</t>
        </is>
      </c>
    </row>
    <row r="102">
      <c r="A102" t="inlineStr">
        <is>
          <t>No</t>
        </is>
      </c>
      <c r="B102" t="inlineStr">
        <is>
          <t>BX1389 .H64 1981b</t>
        </is>
      </c>
      <c r="C102" t="inlineStr">
        <is>
          <t>0                      BX 1389000H  64          1981b</t>
        </is>
      </c>
      <c r="D102" t="inlineStr">
        <is>
          <t>The Papacy in the modern world, 1914-1978 / J. Derek Holmes ; foreword by John Tracy Ellis.</t>
        </is>
      </c>
      <c r="F102" t="inlineStr">
        <is>
          <t>No</t>
        </is>
      </c>
      <c r="G102" t="inlineStr">
        <is>
          <t>1</t>
        </is>
      </c>
      <c r="H102" t="inlineStr">
        <is>
          <t>No</t>
        </is>
      </c>
      <c r="I102" t="inlineStr">
        <is>
          <t>No</t>
        </is>
      </c>
      <c r="J102" t="inlineStr">
        <is>
          <t>0</t>
        </is>
      </c>
      <c r="K102" t="inlineStr">
        <is>
          <t>Holmes, J. Derek.</t>
        </is>
      </c>
      <c r="L102" t="inlineStr">
        <is>
          <t>New York : Crossroad, 1981.</t>
        </is>
      </c>
      <c r="M102" t="inlineStr">
        <is>
          <t>1981</t>
        </is>
      </c>
      <c r="O102" t="inlineStr">
        <is>
          <t>eng</t>
        </is>
      </c>
      <c r="P102" t="inlineStr">
        <is>
          <t>nyu</t>
        </is>
      </c>
      <c r="R102" t="inlineStr">
        <is>
          <t xml:space="preserve">BX </t>
        </is>
      </c>
      <c r="S102" t="n">
        <v>1</v>
      </c>
      <c r="T102" t="n">
        <v>1</v>
      </c>
      <c r="U102" t="inlineStr">
        <is>
          <t>2001-03-13</t>
        </is>
      </c>
      <c r="V102" t="inlineStr">
        <is>
          <t>2001-03-13</t>
        </is>
      </c>
      <c r="W102" t="inlineStr">
        <is>
          <t>1991-02-11</t>
        </is>
      </c>
      <c r="X102" t="inlineStr">
        <is>
          <t>1991-02-11</t>
        </is>
      </c>
      <c r="Y102" t="n">
        <v>634</v>
      </c>
      <c r="Z102" t="n">
        <v>584</v>
      </c>
      <c r="AA102" t="n">
        <v>640</v>
      </c>
      <c r="AB102" t="n">
        <v>3</v>
      </c>
      <c r="AC102" t="n">
        <v>4</v>
      </c>
      <c r="AD102" t="n">
        <v>38</v>
      </c>
      <c r="AE102" t="n">
        <v>39</v>
      </c>
      <c r="AF102" t="n">
        <v>15</v>
      </c>
      <c r="AG102" t="n">
        <v>15</v>
      </c>
      <c r="AH102" t="n">
        <v>10</v>
      </c>
      <c r="AI102" t="n">
        <v>10</v>
      </c>
      <c r="AJ102" t="n">
        <v>25</v>
      </c>
      <c r="AK102" t="n">
        <v>25</v>
      </c>
      <c r="AL102" t="n">
        <v>0</v>
      </c>
      <c r="AM102" t="n">
        <v>1</v>
      </c>
      <c r="AN102" t="n">
        <v>0</v>
      </c>
      <c r="AO102" t="n">
        <v>0</v>
      </c>
      <c r="AP102" t="inlineStr">
        <is>
          <t>No</t>
        </is>
      </c>
      <c r="AQ102" t="inlineStr">
        <is>
          <t>Yes</t>
        </is>
      </c>
      <c r="AR102">
        <f>HYPERLINK("http://catalog.hathitrust.org/Record/000761180","HathiTrust Record")</f>
        <v/>
      </c>
      <c r="AS102">
        <f>HYPERLINK("https://creighton-primo.hosted.exlibrisgroup.com/primo-explore/search?tab=default_tab&amp;search_scope=EVERYTHING&amp;vid=01CRU&amp;lang=en_US&amp;offset=0&amp;query=any,contains,991005174409702656","Catalog Record")</f>
        <v/>
      </c>
      <c r="AT102">
        <f>HYPERLINK("http://www.worldcat.org/oclc/7897419","WorldCat Record")</f>
        <v/>
      </c>
      <c r="AU102" t="inlineStr">
        <is>
          <t>490942:eng</t>
        </is>
      </c>
      <c r="AV102" t="inlineStr">
        <is>
          <t>7897419</t>
        </is>
      </c>
      <c r="AW102" t="inlineStr">
        <is>
          <t>991005174409702656</t>
        </is>
      </c>
      <c r="AX102" t="inlineStr">
        <is>
          <t>991005174409702656</t>
        </is>
      </c>
      <c r="AY102" t="inlineStr">
        <is>
          <t>2259941380002656</t>
        </is>
      </c>
      <c r="AZ102" t="inlineStr">
        <is>
          <t>BOOK</t>
        </is>
      </c>
      <c r="BB102" t="inlineStr">
        <is>
          <t>9780824500474</t>
        </is>
      </c>
      <c r="BC102" t="inlineStr">
        <is>
          <t>32285000505213</t>
        </is>
      </c>
      <c r="BD102" t="inlineStr">
        <is>
          <t>893807935</t>
        </is>
      </c>
    </row>
    <row r="103">
      <c r="A103" t="inlineStr">
        <is>
          <t>No</t>
        </is>
      </c>
      <c r="B103" t="inlineStr">
        <is>
          <t>BX1389 .M37 1972</t>
        </is>
      </c>
      <c r="C103" t="inlineStr">
        <is>
          <t>0                      BX 1389000M  37          1972</t>
        </is>
      </c>
      <c r="D103" t="inlineStr">
        <is>
          <t>Three Popes and the Cardinal / Malachi Martin.</t>
        </is>
      </c>
      <c r="F103" t="inlineStr">
        <is>
          <t>No</t>
        </is>
      </c>
      <c r="G103" t="inlineStr">
        <is>
          <t>1</t>
        </is>
      </c>
      <c r="H103" t="inlineStr">
        <is>
          <t>No</t>
        </is>
      </c>
      <c r="I103" t="inlineStr">
        <is>
          <t>No</t>
        </is>
      </c>
      <c r="J103" t="inlineStr">
        <is>
          <t>0</t>
        </is>
      </c>
      <c r="K103" t="inlineStr">
        <is>
          <t>Martin, Malachi.</t>
        </is>
      </c>
      <c r="L103" t="inlineStr">
        <is>
          <t>New York, Farrar, Straus and Giroux [1972]</t>
        </is>
      </c>
      <c r="M103" t="inlineStr">
        <is>
          <t>1972</t>
        </is>
      </c>
      <c r="O103" t="inlineStr">
        <is>
          <t>eng</t>
        </is>
      </c>
      <c r="P103" t="inlineStr">
        <is>
          <t>nyu</t>
        </is>
      </c>
      <c r="R103" t="inlineStr">
        <is>
          <t xml:space="preserve">BX </t>
        </is>
      </c>
      <c r="S103" t="n">
        <v>2</v>
      </c>
      <c r="T103" t="n">
        <v>2</v>
      </c>
      <c r="U103" t="inlineStr">
        <is>
          <t>1994-06-29</t>
        </is>
      </c>
      <c r="V103" t="inlineStr">
        <is>
          <t>1994-06-29</t>
        </is>
      </c>
      <c r="W103" t="inlineStr">
        <is>
          <t>1991-02-11</t>
        </is>
      </c>
      <c r="X103" t="inlineStr">
        <is>
          <t>1991-02-11</t>
        </is>
      </c>
      <c r="Y103" t="n">
        <v>756</v>
      </c>
      <c r="Z103" t="n">
        <v>703</v>
      </c>
      <c r="AA103" t="n">
        <v>737</v>
      </c>
      <c r="AB103" t="n">
        <v>9</v>
      </c>
      <c r="AC103" t="n">
        <v>10</v>
      </c>
      <c r="AD103" t="n">
        <v>40</v>
      </c>
      <c r="AE103" t="n">
        <v>40</v>
      </c>
      <c r="AF103" t="n">
        <v>13</v>
      </c>
      <c r="AG103" t="n">
        <v>13</v>
      </c>
      <c r="AH103" t="n">
        <v>9</v>
      </c>
      <c r="AI103" t="n">
        <v>9</v>
      </c>
      <c r="AJ103" t="n">
        <v>23</v>
      </c>
      <c r="AK103" t="n">
        <v>23</v>
      </c>
      <c r="AL103" t="n">
        <v>7</v>
      </c>
      <c r="AM103" t="n">
        <v>7</v>
      </c>
      <c r="AN103" t="n">
        <v>0</v>
      </c>
      <c r="AO103" t="n">
        <v>0</v>
      </c>
      <c r="AP103" t="inlineStr">
        <is>
          <t>No</t>
        </is>
      </c>
      <c r="AQ103" t="inlineStr">
        <is>
          <t>No</t>
        </is>
      </c>
      <c r="AS103">
        <f>HYPERLINK("https://creighton-primo.hosted.exlibrisgroup.com/primo-explore/search?tab=default_tab&amp;search_scope=EVERYTHING&amp;vid=01CRU&amp;lang=en_US&amp;offset=0&amp;query=any,contains,991002180379702656","Catalog Record")</f>
        <v/>
      </c>
      <c r="AT103">
        <f>HYPERLINK("http://www.worldcat.org/oclc/278910","WorldCat Record")</f>
        <v/>
      </c>
      <c r="AU103" t="inlineStr">
        <is>
          <t>1421714:eng</t>
        </is>
      </c>
      <c r="AV103" t="inlineStr">
        <is>
          <t>278910</t>
        </is>
      </c>
      <c r="AW103" t="inlineStr">
        <is>
          <t>991002180379702656</t>
        </is>
      </c>
      <c r="AX103" t="inlineStr">
        <is>
          <t>991002180379702656</t>
        </is>
      </c>
      <c r="AY103" t="inlineStr">
        <is>
          <t>2258278550002656</t>
        </is>
      </c>
      <c r="AZ103" t="inlineStr">
        <is>
          <t>BOOK</t>
        </is>
      </c>
      <c r="BB103" t="inlineStr">
        <is>
          <t>9780374276751</t>
        </is>
      </c>
      <c r="BC103" t="inlineStr">
        <is>
          <t>32285000505239</t>
        </is>
      </c>
      <c r="BD103" t="inlineStr">
        <is>
          <t>893516977</t>
        </is>
      </c>
    </row>
    <row r="104">
      <c r="A104" t="inlineStr">
        <is>
          <t>No</t>
        </is>
      </c>
      <c r="B104" t="inlineStr">
        <is>
          <t>BX1389 .M38 1998</t>
        </is>
      </c>
      <c r="C104" t="inlineStr">
        <is>
          <t>0                      BX 1389000M  38          1998</t>
        </is>
      </c>
      <c r="D104" t="inlineStr">
        <is>
          <t>The Catholic tradition : the church in the twentieth century / Timothy G. McCarthy.</t>
        </is>
      </c>
      <c r="F104" t="inlineStr">
        <is>
          <t>No</t>
        </is>
      </c>
      <c r="G104" t="inlineStr">
        <is>
          <t>1</t>
        </is>
      </c>
      <c r="H104" t="inlineStr">
        <is>
          <t>No</t>
        </is>
      </c>
      <c r="I104" t="inlineStr">
        <is>
          <t>No</t>
        </is>
      </c>
      <c r="J104" t="inlineStr">
        <is>
          <t>0</t>
        </is>
      </c>
      <c r="K104" t="inlineStr">
        <is>
          <t>McCarthy, Timothy, 1929-</t>
        </is>
      </c>
      <c r="L104" t="inlineStr">
        <is>
          <t>Chicago, Ill. : Loyola Press, c1998.</t>
        </is>
      </c>
      <c r="M104" t="inlineStr">
        <is>
          <t>1998</t>
        </is>
      </c>
      <c r="N104" t="inlineStr">
        <is>
          <t>Rev. and expanded 2nd ed.</t>
        </is>
      </c>
      <c r="O104" t="inlineStr">
        <is>
          <t>eng</t>
        </is>
      </c>
      <c r="P104" t="inlineStr">
        <is>
          <t>ilu</t>
        </is>
      </c>
      <c r="R104" t="inlineStr">
        <is>
          <t xml:space="preserve">BX </t>
        </is>
      </c>
      <c r="S104" t="n">
        <v>9</v>
      </c>
      <c r="T104" t="n">
        <v>9</v>
      </c>
      <c r="U104" t="inlineStr">
        <is>
          <t>2007-03-26</t>
        </is>
      </c>
      <c r="V104" t="inlineStr">
        <is>
          <t>2007-03-26</t>
        </is>
      </c>
      <c r="W104" t="inlineStr">
        <is>
          <t>1998-08-25</t>
        </is>
      </c>
      <c r="X104" t="inlineStr">
        <is>
          <t>1998-08-25</t>
        </is>
      </c>
      <c r="Y104" t="n">
        <v>209</v>
      </c>
      <c r="Z104" t="n">
        <v>179</v>
      </c>
      <c r="AA104" t="n">
        <v>181</v>
      </c>
      <c r="AB104" t="n">
        <v>2</v>
      </c>
      <c r="AC104" t="n">
        <v>2</v>
      </c>
      <c r="AD104" t="n">
        <v>17</v>
      </c>
      <c r="AE104" t="n">
        <v>17</v>
      </c>
      <c r="AF104" t="n">
        <v>6</v>
      </c>
      <c r="AG104" t="n">
        <v>6</v>
      </c>
      <c r="AH104" t="n">
        <v>3</v>
      </c>
      <c r="AI104" t="n">
        <v>3</v>
      </c>
      <c r="AJ104" t="n">
        <v>13</v>
      </c>
      <c r="AK104" t="n">
        <v>13</v>
      </c>
      <c r="AL104" t="n">
        <v>0</v>
      </c>
      <c r="AM104" t="n">
        <v>0</v>
      </c>
      <c r="AN104" t="n">
        <v>0</v>
      </c>
      <c r="AO104" t="n">
        <v>0</v>
      </c>
      <c r="AP104" t="inlineStr">
        <is>
          <t>No</t>
        </is>
      </c>
      <c r="AQ104" t="inlineStr">
        <is>
          <t>Yes</t>
        </is>
      </c>
      <c r="AR104">
        <f>HYPERLINK("http://catalog.hathitrust.org/Record/003980206","HathiTrust Record")</f>
        <v/>
      </c>
      <c r="AS104">
        <f>HYPERLINK("https://creighton-primo.hosted.exlibrisgroup.com/primo-explore/search?tab=default_tab&amp;search_scope=EVERYTHING&amp;vid=01CRU&amp;lang=en_US&amp;offset=0&amp;query=any,contains,991002849969702656","Catalog Record")</f>
        <v/>
      </c>
      <c r="AT104">
        <f>HYPERLINK("http://www.worldcat.org/oclc/37553686","WorldCat Record")</f>
        <v/>
      </c>
      <c r="AU104" t="inlineStr">
        <is>
          <t>898665236:eng</t>
        </is>
      </c>
      <c r="AV104" t="inlineStr">
        <is>
          <t>37553686</t>
        </is>
      </c>
      <c r="AW104" t="inlineStr">
        <is>
          <t>991002849969702656</t>
        </is>
      </c>
      <c r="AX104" t="inlineStr">
        <is>
          <t>991002849969702656</t>
        </is>
      </c>
      <c r="AY104" t="inlineStr">
        <is>
          <t>2258790960002656</t>
        </is>
      </c>
      <c r="AZ104" t="inlineStr">
        <is>
          <t>BOOK</t>
        </is>
      </c>
      <c r="BB104" t="inlineStr">
        <is>
          <t>9780829409710</t>
        </is>
      </c>
      <c r="BC104" t="inlineStr">
        <is>
          <t>32285003461711</t>
        </is>
      </c>
      <c r="BD104" t="inlineStr">
        <is>
          <t>893504897</t>
        </is>
      </c>
    </row>
    <row r="105">
      <c r="A105" t="inlineStr">
        <is>
          <t>No</t>
        </is>
      </c>
      <c r="B105" t="inlineStr">
        <is>
          <t>BX1389 .N5 1968b</t>
        </is>
      </c>
      <c r="C105" t="inlineStr">
        <is>
          <t>0                      BX 1389000N  5           1968b</t>
        </is>
      </c>
      <c r="D105" t="inlineStr">
        <is>
          <t>The politics of the Vatican / Peter Nichols.</t>
        </is>
      </c>
      <c r="F105" t="inlineStr">
        <is>
          <t>No</t>
        </is>
      </c>
      <c r="G105" t="inlineStr">
        <is>
          <t>1</t>
        </is>
      </c>
      <c r="H105" t="inlineStr">
        <is>
          <t>No</t>
        </is>
      </c>
      <c r="I105" t="inlineStr">
        <is>
          <t>No</t>
        </is>
      </c>
      <c r="J105" t="inlineStr">
        <is>
          <t>0</t>
        </is>
      </c>
      <c r="K105" t="inlineStr">
        <is>
          <t>Nichols, Peter, 1928-</t>
        </is>
      </c>
      <c r="L105" t="inlineStr">
        <is>
          <t>London : Pall Mall Press, 1968.</t>
        </is>
      </c>
      <c r="M105" t="inlineStr">
        <is>
          <t>1968</t>
        </is>
      </c>
      <c r="O105" t="inlineStr">
        <is>
          <t>eng</t>
        </is>
      </c>
      <c r="P105" t="inlineStr">
        <is>
          <t>enk</t>
        </is>
      </c>
      <c r="R105" t="inlineStr">
        <is>
          <t xml:space="preserve">BX </t>
        </is>
      </c>
      <c r="S105" t="n">
        <v>1</v>
      </c>
      <c r="T105" t="n">
        <v>1</v>
      </c>
      <c r="U105" t="inlineStr">
        <is>
          <t>2001-03-13</t>
        </is>
      </c>
      <c r="V105" t="inlineStr">
        <is>
          <t>2001-03-13</t>
        </is>
      </c>
      <c r="W105" t="inlineStr">
        <is>
          <t>1991-09-06</t>
        </is>
      </c>
      <c r="X105" t="inlineStr">
        <is>
          <t>1991-09-06</t>
        </is>
      </c>
      <c r="Y105" t="n">
        <v>186</v>
      </c>
      <c r="Z105" t="n">
        <v>62</v>
      </c>
      <c r="AA105" t="n">
        <v>555</v>
      </c>
      <c r="AB105" t="n">
        <v>1</v>
      </c>
      <c r="AC105" t="n">
        <v>5</v>
      </c>
      <c r="AD105" t="n">
        <v>4</v>
      </c>
      <c r="AE105" t="n">
        <v>35</v>
      </c>
      <c r="AF105" t="n">
        <v>1</v>
      </c>
      <c r="AG105" t="n">
        <v>11</v>
      </c>
      <c r="AH105" t="n">
        <v>1</v>
      </c>
      <c r="AI105" t="n">
        <v>9</v>
      </c>
      <c r="AJ105" t="n">
        <v>4</v>
      </c>
      <c r="AK105" t="n">
        <v>24</v>
      </c>
      <c r="AL105" t="n">
        <v>0</v>
      </c>
      <c r="AM105" t="n">
        <v>3</v>
      </c>
      <c r="AN105" t="n">
        <v>0</v>
      </c>
      <c r="AO105" t="n">
        <v>0</v>
      </c>
      <c r="AP105" t="inlineStr">
        <is>
          <t>No</t>
        </is>
      </c>
      <c r="AQ105" t="inlineStr">
        <is>
          <t>Yes</t>
        </is>
      </c>
      <c r="AR105">
        <f>HYPERLINK("http://catalog.hathitrust.org/Record/102113014","HathiTrust Record")</f>
        <v/>
      </c>
      <c r="AS105">
        <f>HYPERLINK("https://creighton-primo.hosted.exlibrisgroup.com/primo-explore/search?tab=default_tab&amp;search_scope=EVERYTHING&amp;vid=01CRU&amp;lang=en_US&amp;offset=0&amp;query=any,contains,991002818849702656","Catalog Record")</f>
        <v/>
      </c>
      <c r="AT105">
        <f>HYPERLINK("http://www.worldcat.org/oclc/465008","WorldCat Record")</f>
        <v/>
      </c>
      <c r="AU105" t="inlineStr">
        <is>
          <t>35204434:eng</t>
        </is>
      </c>
      <c r="AV105" t="inlineStr">
        <is>
          <t>465008</t>
        </is>
      </c>
      <c r="AW105" t="inlineStr">
        <is>
          <t>991002818849702656</t>
        </is>
      </c>
      <c r="AX105" t="inlineStr">
        <is>
          <t>991002818849702656</t>
        </is>
      </c>
      <c r="AY105" t="inlineStr">
        <is>
          <t>2260304630002656</t>
        </is>
      </c>
      <c r="AZ105" t="inlineStr">
        <is>
          <t>BOOK</t>
        </is>
      </c>
      <c r="BB105" t="inlineStr">
        <is>
          <t>9780269673429</t>
        </is>
      </c>
      <c r="BC105" t="inlineStr">
        <is>
          <t>32285000740356</t>
        </is>
      </c>
      <c r="BD105" t="inlineStr">
        <is>
          <t>893341896</t>
        </is>
      </c>
    </row>
    <row r="106">
      <c r="A106" t="inlineStr">
        <is>
          <t>No</t>
        </is>
      </c>
      <c r="B106" t="inlineStr">
        <is>
          <t>BX1389 .P2 1994</t>
        </is>
      </c>
      <c r="C106" t="inlineStr">
        <is>
          <t>0                      BX 1389000P  2           1994</t>
        </is>
      </c>
      <c r="D106" t="inlineStr">
        <is>
          <t>Papal diplomacy in the modern age / edited by Peter C. Kent and John F. Pollard.</t>
        </is>
      </c>
      <c r="F106" t="inlineStr">
        <is>
          <t>No</t>
        </is>
      </c>
      <c r="G106" t="inlineStr">
        <is>
          <t>1</t>
        </is>
      </c>
      <c r="H106" t="inlineStr">
        <is>
          <t>No</t>
        </is>
      </c>
      <c r="I106" t="inlineStr">
        <is>
          <t>No</t>
        </is>
      </c>
      <c r="J106" t="inlineStr">
        <is>
          <t>0</t>
        </is>
      </c>
      <c r="L106" t="inlineStr">
        <is>
          <t>Westport, Conn. : Praeger, 1994.</t>
        </is>
      </c>
      <c r="M106" t="inlineStr">
        <is>
          <t>1994</t>
        </is>
      </c>
      <c r="O106" t="inlineStr">
        <is>
          <t>eng</t>
        </is>
      </c>
      <c r="P106" t="inlineStr">
        <is>
          <t>ctu</t>
        </is>
      </c>
      <c r="R106" t="inlineStr">
        <is>
          <t xml:space="preserve">BX </t>
        </is>
      </c>
      <c r="S106" t="n">
        <v>5</v>
      </c>
      <c r="T106" t="n">
        <v>5</v>
      </c>
      <c r="U106" t="inlineStr">
        <is>
          <t>2001-03-13</t>
        </is>
      </c>
      <c r="V106" t="inlineStr">
        <is>
          <t>2001-03-13</t>
        </is>
      </c>
      <c r="W106" t="inlineStr">
        <is>
          <t>1994-09-07</t>
        </is>
      </c>
      <c r="X106" t="inlineStr">
        <is>
          <t>1994-09-07</t>
        </is>
      </c>
      <c r="Y106" t="n">
        <v>245</v>
      </c>
      <c r="Z106" t="n">
        <v>178</v>
      </c>
      <c r="AA106" t="n">
        <v>180</v>
      </c>
      <c r="AB106" t="n">
        <v>3</v>
      </c>
      <c r="AC106" t="n">
        <v>3</v>
      </c>
      <c r="AD106" t="n">
        <v>19</v>
      </c>
      <c r="AE106" t="n">
        <v>19</v>
      </c>
      <c r="AF106" t="n">
        <v>5</v>
      </c>
      <c r="AG106" t="n">
        <v>5</v>
      </c>
      <c r="AH106" t="n">
        <v>5</v>
      </c>
      <c r="AI106" t="n">
        <v>5</v>
      </c>
      <c r="AJ106" t="n">
        <v>15</v>
      </c>
      <c r="AK106" t="n">
        <v>15</v>
      </c>
      <c r="AL106" t="n">
        <v>2</v>
      </c>
      <c r="AM106" t="n">
        <v>2</v>
      </c>
      <c r="AN106" t="n">
        <v>0</v>
      </c>
      <c r="AO106" t="n">
        <v>0</v>
      </c>
      <c r="AP106" t="inlineStr">
        <is>
          <t>No</t>
        </is>
      </c>
      <c r="AQ106" t="inlineStr">
        <is>
          <t>Yes</t>
        </is>
      </c>
      <c r="AR106">
        <f>HYPERLINK("http://catalog.hathitrust.org/Record/002872999","HathiTrust Record")</f>
        <v/>
      </c>
      <c r="AS106">
        <f>HYPERLINK("https://creighton-primo.hosted.exlibrisgroup.com/primo-explore/search?tab=default_tab&amp;search_scope=EVERYTHING&amp;vid=01CRU&amp;lang=en_US&amp;offset=0&amp;query=any,contains,991002235039702656","Catalog Record")</f>
        <v/>
      </c>
      <c r="AT106">
        <f>HYPERLINK("http://www.worldcat.org/oclc/28801188","WorldCat Record")</f>
        <v/>
      </c>
      <c r="AU106" t="inlineStr">
        <is>
          <t>353787895:eng</t>
        </is>
      </c>
      <c r="AV106" t="inlineStr">
        <is>
          <t>28801188</t>
        </is>
      </c>
      <c r="AW106" t="inlineStr">
        <is>
          <t>991002235039702656</t>
        </is>
      </c>
      <c r="AX106" t="inlineStr">
        <is>
          <t>991002235039702656</t>
        </is>
      </c>
      <c r="AY106" t="inlineStr">
        <is>
          <t>2259183600002656</t>
        </is>
      </c>
      <c r="AZ106" t="inlineStr">
        <is>
          <t>BOOK</t>
        </is>
      </c>
      <c r="BB106" t="inlineStr">
        <is>
          <t>9780275944414</t>
        </is>
      </c>
      <c r="BC106" t="inlineStr">
        <is>
          <t>32285001944932</t>
        </is>
      </c>
      <c r="BD106" t="inlineStr">
        <is>
          <t>893421088</t>
        </is>
      </c>
    </row>
    <row r="107">
      <c r="A107" t="inlineStr">
        <is>
          <t>No</t>
        </is>
      </c>
      <c r="B107" t="inlineStr">
        <is>
          <t>BX1389 .R48 1974</t>
        </is>
      </c>
      <c r="C107" t="inlineStr">
        <is>
          <t>0                      BX 1389000R  48          1974</t>
        </is>
      </c>
      <c r="D107" t="inlineStr">
        <is>
          <t>The Vatican in the age of the dictators, 1922-1945 / [by] Anthony Rhodes.</t>
        </is>
      </c>
      <c r="F107" t="inlineStr">
        <is>
          <t>No</t>
        </is>
      </c>
      <c r="G107" t="inlineStr">
        <is>
          <t>1</t>
        </is>
      </c>
      <c r="H107" t="inlineStr">
        <is>
          <t>No</t>
        </is>
      </c>
      <c r="I107" t="inlineStr">
        <is>
          <t>No</t>
        </is>
      </c>
      <c r="J107" t="inlineStr">
        <is>
          <t>0</t>
        </is>
      </c>
      <c r="K107" t="inlineStr">
        <is>
          <t>Rhodes, Anthony, 1916-2004.</t>
        </is>
      </c>
      <c r="L107" t="inlineStr">
        <is>
          <t>New York, Holt, Rinehart and Winston [1974, c1973]</t>
        </is>
      </c>
      <c r="M107" t="inlineStr">
        <is>
          <t>1974</t>
        </is>
      </c>
      <c r="O107" t="inlineStr">
        <is>
          <t>eng</t>
        </is>
      </c>
      <c r="P107" t="inlineStr">
        <is>
          <t>nyu</t>
        </is>
      </c>
      <c r="R107" t="inlineStr">
        <is>
          <t xml:space="preserve">BX </t>
        </is>
      </c>
      <c r="S107" t="n">
        <v>5</v>
      </c>
      <c r="T107" t="n">
        <v>5</v>
      </c>
      <c r="U107" t="inlineStr">
        <is>
          <t>2010-01-25</t>
        </is>
      </c>
      <c r="V107" t="inlineStr">
        <is>
          <t>2010-01-25</t>
        </is>
      </c>
      <c r="W107" t="inlineStr">
        <is>
          <t>1991-02-11</t>
        </is>
      </c>
      <c r="X107" t="inlineStr">
        <is>
          <t>1991-02-11</t>
        </is>
      </c>
      <c r="Y107" t="n">
        <v>611</v>
      </c>
      <c r="Z107" t="n">
        <v>586</v>
      </c>
      <c r="AA107" t="n">
        <v>780</v>
      </c>
      <c r="AB107" t="n">
        <v>7</v>
      </c>
      <c r="AC107" t="n">
        <v>9</v>
      </c>
      <c r="AD107" t="n">
        <v>35</v>
      </c>
      <c r="AE107" t="n">
        <v>42</v>
      </c>
      <c r="AF107" t="n">
        <v>13</v>
      </c>
      <c r="AG107" t="n">
        <v>14</v>
      </c>
      <c r="AH107" t="n">
        <v>8</v>
      </c>
      <c r="AI107" t="n">
        <v>10</v>
      </c>
      <c r="AJ107" t="n">
        <v>19</v>
      </c>
      <c r="AK107" t="n">
        <v>24</v>
      </c>
      <c r="AL107" t="n">
        <v>3</v>
      </c>
      <c r="AM107" t="n">
        <v>5</v>
      </c>
      <c r="AN107" t="n">
        <v>0</v>
      </c>
      <c r="AO107" t="n">
        <v>0</v>
      </c>
      <c r="AP107" t="inlineStr">
        <is>
          <t>No</t>
        </is>
      </c>
      <c r="AQ107" t="inlineStr">
        <is>
          <t>Yes</t>
        </is>
      </c>
      <c r="AR107">
        <f>HYPERLINK("http://catalog.hathitrust.org/Record/102073101","HathiTrust Record")</f>
        <v/>
      </c>
      <c r="AS107">
        <f>HYPERLINK("https://creighton-primo.hosted.exlibrisgroup.com/primo-explore/search?tab=default_tab&amp;search_scope=EVERYTHING&amp;vid=01CRU&amp;lang=en_US&amp;offset=0&amp;query=any,contains,991003068629702656","Catalog Record")</f>
        <v/>
      </c>
      <c r="AT107">
        <f>HYPERLINK("http://www.worldcat.org/oclc/623460","WorldCat Record")</f>
        <v/>
      </c>
      <c r="AU107" t="inlineStr">
        <is>
          <t>1650089:eng</t>
        </is>
      </c>
      <c r="AV107" t="inlineStr">
        <is>
          <t>623460</t>
        </is>
      </c>
      <c r="AW107" t="inlineStr">
        <is>
          <t>991003068629702656</t>
        </is>
      </c>
      <c r="AX107" t="inlineStr">
        <is>
          <t>991003068629702656</t>
        </is>
      </c>
      <c r="AY107" t="inlineStr">
        <is>
          <t>2255723870002656</t>
        </is>
      </c>
      <c r="AZ107" t="inlineStr">
        <is>
          <t>BOOK</t>
        </is>
      </c>
      <c r="BB107" t="inlineStr">
        <is>
          <t>9780030077364</t>
        </is>
      </c>
      <c r="BC107" t="inlineStr">
        <is>
          <t>32285000505288</t>
        </is>
      </c>
      <c r="BD107" t="inlineStr">
        <is>
          <t>893868069</t>
        </is>
      </c>
    </row>
    <row r="108">
      <c r="A108" t="inlineStr">
        <is>
          <t>No</t>
        </is>
      </c>
      <c r="B108" t="inlineStr">
        <is>
          <t>BX1389 .T49 1983</t>
        </is>
      </c>
      <c r="C108" t="inlineStr">
        <is>
          <t>0                      BX 1389000T  49          1983</t>
        </is>
      </c>
      <c r="D108" t="inlineStr">
        <is>
          <t>Pontiff / by Gordon Thomas and Max Morgan-Witts.</t>
        </is>
      </c>
      <c r="F108" t="inlineStr">
        <is>
          <t>No</t>
        </is>
      </c>
      <c r="G108" t="inlineStr">
        <is>
          <t>1</t>
        </is>
      </c>
      <c r="H108" t="inlineStr">
        <is>
          <t>No</t>
        </is>
      </c>
      <c r="I108" t="inlineStr">
        <is>
          <t>No</t>
        </is>
      </c>
      <c r="J108" t="inlineStr">
        <is>
          <t>0</t>
        </is>
      </c>
      <c r="K108" t="inlineStr">
        <is>
          <t>Thomas, Gordon, 1933-2017.</t>
        </is>
      </c>
      <c r="L108" t="inlineStr">
        <is>
          <t>Garden City, N.Y. : Doubleday, 1983.</t>
        </is>
      </c>
      <c r="M108" t="inlineStr">
        <is>
          <t>1983</t>
        </is>
      </c>
      <c r="N108" t="inlineStr">
        <is>
          <t>1st ed.</t>
        </is>
      </c>
      <c r="O108" t="inlineStr">
        <is>
          <t>eng</t>
        </is>
      </c>
      <c r="P108" t="inlineStr">
        <is>
          <t>nyu</t>
        </is>
      </c>
      <c r="R108" t="inlineStr">
        <is>
          <t xml:space="preserve">BX </t>
        </is>
      </c>
      <c r="S108" t="n">
        <v>3</v>
      </c>
      <c r="T108" t="n">
        <v>3</v>
      </c>
      <c r="U108" t="inlineStr">
        <is>
          <t>1993-11-20</t>
        </is>
      </c>
      <c r="V108" t="inlineStr">
        <is>
          <t>1993-11-20</t>
        </is>
      </c>
      <c r="W108" t="inlineStr">
        <is>
          <t>1991-02-11</t>
        </is>
      </c>
      <c r="X108" t="inlineStr">
        <is>
          <t>1991-02-11</t>
        </is>
      </c>
      <c r="Y108" t="n">
        <v>922</v>
      </c>
      <c r="Z108" t="n">
        <v>889</v>
      </c>
      <c r="AA108" t="n">
        <v>1045</v>
      </c>
      <c r="AB108" t="n">
        <v>10</v>
      </c>
      <c r="AC108" t="n">
        <v>10</v>
      </c>
      <c r="AD108" t="n">
        <v>31</v>
      </c>
      <c r="AE108" t="n">
        <v>33</v>
      </c>
      <c r="AF108" t="n">
        <v>10</v>
      </c>
      <c r="AG108" t="n">
        <v>12</v>
      </c>
      <c r="AH108" t="n">
        <v>8</v>
      </c>
      <c r="AI108" t="n">
        <v>9</v>
      </c>
      <c r="AJ108" t="n">
        <v>17</v>
      </c>
      <c r="AK108" t="n">
        <v>17</v>
      </c>
      <c r="AL108" t="n">
        <v>4</v>
      </c>
      <c r="AM108" t="n">
        <v>4</v>
      </c>
      <c r="AN108" t="n">
        <v>0</v>
      </c>
      <c r="AO108" t="n">
        <v>0</v>
      </c>
      <c r="AP108" t="inlineStr">
        <is>
          <t>No</t>
        </is>
      </c>
      <c r="AQ108" t="inlineStr">
        <is>
          <t>No</t>
        </is>
      </c>
      <c r="AS108">
        <f>HYPERLINK("https://creighton-primo.hosted.exlibrisgroup.com/primo-explore/search?tab=default_tab&amp;search_scope=EVERYTHING&amp;vid=01CRU&amp;lang=en_US&amp;offset=0&amp;query=any,contains,991000145529702656","Catalog Record")</f>
        <v/>
      </c>
      <c r="AT108">
        <f>HYPERLINK("http://www.worldcat.org/oclc/9194799","WorldCat Record")</f>
        <v/>
      </c>
      <c r="AU108" t="inlineStr">
        <is>
          <t>2960163:eng</t>
        </is>
      </c>
      <c r="AV108" t="inlineStr">
        <is>
          <t>9194799</t>
        </is>
      </c>
      <c r="AW108" t="inlineStr">
        <is>
          <t>991000145529702656</t>
        </is>
      </c>
      <c r="AX108" t="inlineStr">
        <is>
          <t>991000145529702656</t>
        </is>
      </c>
      <c r="AY108" t="inlineStr">
        <is>
          <t>2265398370002656</t>
        </is>
      </c>
      <c r="AZ108" t="inlineStr">
        <is>
          <t>BOOK</t>
        </is>
      </c>
      <c r="BB108" t="inlineStr">
        <is>
          <t>9780385180566</t>
        </is>
      </c>
      <c r="BC108" t="inlineStr">
        <is>
          <t>32285000505296</t>
        </is>
      </c>
      <c r="BD108" t="inlineStr">
        <is>
          <t>893527847</t>
        </is>
      </c>
    </row>
    <row r="109">
      <c r="A109" t="inlineStr">
        <is>
          <t>No</t>
        </is>
      </c>
      <c r="B109" t="inlineStr">
        <is>
          <t>BX1389 .W5 1983</t>
        </is>
      </c>
      <c r="C109" t="inlineStr">
        <is>
          <t>0                      BX 1389000W  5           1983</t>
        </is>
      </c>
      <c r="D109" t="inlineStr">
        <is>
          <t>The popes of Vatican Council II : John XXIII, Paul VI, John Paul I, John Paul II : the papacy askew? / by F. Peter Wigginton.</t>
        </is>
      </c>
      <c r="F109" t="inlineStr">
        <is>
          <t>No</t>
        </is>
      </c>
      <c r="G109" t="inlineStr">
        <is>
          <t>1</t>
        </is>
      </c>
      <c r="H109" t="inlineStr">
        <is>
          <t>No</t>
        </is>
      </c>
      <c r="I109" t="inlineStr">
        <is>
          <t>No</t>
        </is>
      </c>
      <c r="J109" t="inlineStr">
        <is>
          <t>0</t>
        </is>
      </c>
      <c r="K109" t="inlineStr">
        <is>
          <t>Wigginton, F. Peter.</t>
        </is>
      </c>
      <c r="L109" t="inlineStr">
        <is>
          <t>Chicago, Ill : Franciscan Herald Press, c1983.</t>
        </is>
      </c>
      <c r="M109" t="inlineStr">
        <is>
          <t>1983</t>
        </is>
      </c>
      <c r="O109" t="inlineStr">
        <is>
          <t>eng</t>
        </is>
      </c>
      <c r="P109" t="inlineStr">
        <is>
          <t>ilu</t>
        </is>
      </c>
      <c r="R109" t="inlineStr">
        <is>
          <t xml:space="preserve">BX </t>
        </is>
      </c>
      <c r="S109" t="n">
        <v>7</v>
      </c>
      <c r="T109" t="n">
        <v>7</v>
      </c>
      <c r="U109" t="inlineStr">
        <is>
          <t>2007-04-10</t>
        </is>
      </c>
      <c r="V109" t="inlineStr">
        <is>
          <t>2007-04-10</t>
        </is>
      </c>
      <c r="W109" t="inlineStr">
        <is>
          <t>1990-04-04</t>
        </is>
      </c>
      <c r="X109" t="inlineStr">
        <is>
          <t>1990-04-04</t>
        </is>
      </c>
      <c r="Y109" t="n">
        <v>122</v>
      </c>
      <c r="Z109" t="n">
        <v>110</v>
      </c>
      <c r="AA109" t="n">
        <v>112</v>
      </c>
      <c r="AB109" t="n">
        <v>3</v>
      </c>
      <c r="AC109" t="n">
        <v>3</v>
      </c>
      <c r="AD109" t="n">
        <v>9</v>
      </c>
      <c r="AE109" t="n">
        <v>9</v>
      </c>
      <c r="AF109" t="n">
        <v>1</v>
      </c>
      <c r="AG109" t="n">
        <v>1</v>
      </c>
      <c r="AH109" t="n">
        <v>2</v>
      </c>
      <c r="AI109" t="n">
        <v>2</v>
      </c>
      <c r="AJ109" t="n">
        <v>8</v>
      </c>
      <c r="AK109" t="n">
        <v>8</v>
      </c>
      <c r="AL109" t="n">
        <v>0</v>
      </c>
      <c r="AM109" t="n">
        <v>0</v>
      </c>
      <c r="AN109" t="n">
        <v>0</v>
      </c>
      <c r="AO109" t="n">
        <v>0</v>
      </c>
      <c r="AP109" t="inlineStr">
        <is>
          <t>No</t>
        </is>
      </c>
      <c r="AQ109" t="inlineStr">
        <is>
          <t>Yes</t>
        </is>
      </c>
      <c r="AR109">
        <f>HYPERLINK("http://catalog.hathitrust.org/Record/000782516","HathiTrust Record")</f>
        <v/>
      </c>
      <c r="AS109">
        <f>HYPERLINK("https://creighton-primo.hosted.exlibrisgroup.com/primo-explore/search?tab=default_tab&amp;search_scope=EVERYTHING&amp;vid=01CRU&amp;lang=en_US&amp;offset=0&amp;query=any,contains,991005213829702656","Catalog Record")</f>
        <v/>
      </c>
      <c r="AT109">
        <f>HYPERLINK("http://www.worldcat.org/oclc/8171553","WorldCat Record")</f>
        <v/>
      </c>
      <c r="AU109" t="inlineStr">
        <is>
          <t>199215581:eng</t>
        </is>
      </c>
      <c r="AV109" t="inlineStr">
        <is>
          <t>8171553</t>
        </is>
      </c>
      <c r="AW109" t="inlineStr">
        <is>
          <t>991005213829702656</t>
        </is>
      </c>
      <c r="AX109" t="inlineStr">
        <is>
          <t>991005213829702656</t>
        </is>
      </c>
      <c r="AY109" t="inlineStr">
        <is>
          <t>2256853170002656</t>
        </is>
      </c>
      <c r="AZ109" t="inlineStr">
        <is>
          <t>BOOK</t>
        </is>
      </c>
      <c r="BB109" t="inlineStr">
        <is>
          <t>9780819908285</t>
        </is>
      </c>
      <c r="BC109" t="inlineStr">
        <is>
          <t>32285000111483</t>
        </is>
      </c>
      <c r="BD109" t="inlineStr">
        <is>
          <t>893260733</t>
        </is>
      </c>
    </row>
    <row r="110">
      <c r="A110" t="inlineStr">
        <is>
          <t>No</t>
        </is>
      </c>
      <c r="B110" t="inlineStr">
        <is>
          <t>BX1389 .W53</t>
        </is>
      </c>
      <c r="C110" t="inlineStr">
        <is>
          <t>0                      BX 1389000W  53</t>
        </is>
      </c>
      <c r="D110" t="inlineStr">
        <is>
          <t>Bare ruined choirs; doubt, prophecy, and radical religion.</t>
        </is>
      </c>
      <c r="F110" t="inlineStr">
        <is>
          <t>No</t>
        </is>
      </c>
      <c r="G110" t="inlineStr">
        <is>
          <t>1</t>
        </is>
      </c>
      <c r="H110" t="inlineStr">
        <is>
          <t>No</t>
        </is>
      </c>
      <c r="I110" t="inlineStr">
        <is>
          <t>No</t>
        </is>
      </c>
      <c r="J110" t="inlineStr">
        <is>
          <t>0</t>
        </is>
      </c>
      <c r="K110" t="inlineStr">
        <is>
          <t>Wills, Garry, 1934-</t>
        </is>
      </c>
      <c r="L110" t="inlineStr">
        <is>
          <t>Garden City, N.Y., Doubleday, 1972.</t>
        </is>
      </c>
      <c r="M110" t="inlineStr">
        <is>
          <t>1972</t>
        </is>
      </c>
      <c r="N110" t="inlineStr">
        <is>
          <t>[1st ed.]</t>
        </is>
      </c>
      <c r="O110" t="inlineStr">
        <is>
          <t>eng</t>
        </is>
      </c>
      <c r="P110" t="inlineStr">
        <is>
          <t>nyu</t>
        </is>
      </c>
      <c r="R110" t="inlineStr">
        <is>
          <t xml:space="preserve">BX </t>
        </is>
      </c>
      <c r="S110" t="n">
        <v>1</v>
      </c>
      <c r="T110" t="n">
        <v>1</v>
      </c>
      <c r="U110" t="inlineStr">
        <is>
          <t>2010-07-24</t>
        </is>
      </c>
      <c r="V110" t="inlineStr">
        <is>
          <t>2010-07-24</t>
        </is>
      </c>
      <c r="W110" t="inlineStr">
        <is>
          <t>1991-02-11</t>
        </is>
      </c>
      <c r="X110" t="inlineStr">
        <is>
          <t>1991-02-11</t>
        </is>
      </c>
      <c r="Y110" t="n">
        <v>1141</v>
      </c>
      <c r="Z110" t="n">
        <v>1068</v>
      </c>
      <c r="AA110" t="n">
        <v>1124</v>
      </c>
      <c r="AB110" t="n">
        <v>11</v>
      </c>
      <c r="AC110" t="n">
        <v>11</v>
      </c>
      <c r="AD110" t="n">
        <v>43</v>
      </c>
      <c r="AE110" t="n">
        <v>48</v>
      </c>
      <c r="AF110" t="n">
        <v>13</v>
      </c>
      <c r="AG110" t="n">
        <v>17</v>
      </c>
      <c r="AH110" t="n">
        <v>10</v>
      </c>
      <c r="AI110" t="n">
        <v>10</v>
      </c>
      <c r="AJ110" t="n">
        <v>23</v>
      </c>
      <c r="AK110" t="n">
        <v>25</v>
      </c>
      <c r="AL110" t="n">
        <v>8</v>
      </c>
      <c r="AM110" t="n">
        <v>8</v>
      </c>
      <c r="AN110" t="n">
        <v>0</v>
      </c>
      <c r="AO110" t="n">
        <v>0</v>
      </c>
      <c r="AP110" t="inlineStr">
        <is>
          <t>No</t>
        </is>
      </c>
      <c r="AQ110" t="inlineStr">
        <is>
          <t>Yes</t>
        </is>
      </c>
      <c r="AR110">
        <f>HYPERLINK("http://catalog.hathitrust.org/Record/001415936","HathiTrust Record")</f>
        <v/>
      </c>
      <c r="AS110">
        <f>HYPERLINK("https://creighton-primo.hosted.exlibrisgroup.com/primo-explore/search?tab=default_tab&amp;search_scope=EVERYTHING&amp;vid=01CRU&amp;lang=en_US&amp;offset=0&amp;query=any,contains,991002887129702656","Catalog Record")</f>
        <v/>
      </c>
      <c r="AT110">
        <f>HYPERLINK("http://www.worldcat.org/oclc/509303","WorldCat Record")</f>
        <v/>
      </c>
      <c r="AU110" t="inlineStr">
        <is>
          <t>1467294:eng</t>
        </is>
      </c>
      <c r="AV110" t="inlineStr">
        <is>
          <t>509303</t>
        </is>
      </c>
      <c r="AW110" t="inlineStr">
        <is>
          <t>991002887129702656</t>
        </is>
      </c>
      <c r="AX110" t="inlineStr">
        <is>
          <t>991002887129702656</t>
        </is>
      </c>
      <c r="AY110" t="inlineStr">
        <is>
          <t>2261738580002656</t>
        </is>
      </c>
      <c r="AZ110" t="inlineStr">
        <is>
          <t>BOOK</t>
        </is>
      </c>
      <c r="BB110" t="inlineStr">
        <is>
          <t>9780385089708</t>
        </is>
      </c>
      <c r="BC110" t="inlineStr">
        <is>
          <t>32285000505304</t>
        </is>
      </c>
      <c r="BD110" t="inlineStr">
        <is>
          <t>893504950</t>
        </is>
      </c>
    </row>
    <row r="111">
      <c r="A111" t="inlineStr">
        <is>
          <t>No</t>
        </is>
      </c>
      <c r="B111" t="inlineStr">
        <is>
          <t>BX1389 .W96 1988</t>
        </is>
      </c>
      <c r="C111" t="inlineStr">
        <is>
          <t>0                      BX 1389000W  96          1988</t>
        </is>
      </c>
      <c r="D111" t="inlineStr">
        <is>
          <t>Keepers of the keys : John XXIII, Paul VI, and John Paul II, three who changed the Church / Wilton Wynn.</t>
        </is>
      </c>
      <c r="F111" t="inlineStr">
        <is>
          <t>No</t>
        </is>
      </c>
      <c r="G111" t="inlineStr">
        <is>
          <t>1</t>
        </is>
      </c>
      <c r="H111" t="inlineStr">
        <is>
          <t>No</t>
        </is>
      </c>
      <c r="I111" t="inlineStr">
        <is>
          <t>No</t>
        </is>
      </c>
      <c r="J111" t="inlineStr">
        <is>
          <t>0</t>
        </is>
      </c>
      <c r="K111" t="inlineStr">
        <is>
          <t>Wynn, Wilton, 1920-</t>
        </is>
      </c>
      <c r="L111" t="inlineStr">
        <is>
          <t>New York : Random House, c1988.</t>
        </is>
      </c>
      <c r="M111" t="inlineStr">
        <is>
          <t>1988</t>
        </is>
      </c>
      <c r="N111" t="inlineStr">
        <is>
          <t>1st ed.</t>
        </is>
      </c>
      <c r="O111" t="inlineStr">
        <is>
          <t>eng</t>
        </is>
      </c>
      <c r="P111" t="inlineStr">
        <is>
          <t>nyu</t>
        </is>
      </c>
      <c r="R111" t="inlineStr">
        <is>
          <t xml:space="preserve">BX </t>
        </is>
      </c>
      <c r="S111" t="n">
        <v>2</v>
      </c>
      <c r="T111" t="n">
        <v>2</v>
      </c>
      <c r="U111" t="inlineStr">
        <is>
          <t>2007-04-12</t>
        </is>
      </c>
      <c r="V111" t="inlineStr">
        <is>
          <t>2007-04-12</t>
        </is>
      </c>
      <c r="W111" t="inlineStr">
        <is>
          <t>2004-05-05</t>
        </is>
      </c>
      <c r="X111" t="inlineStr">
        <is>
          <t>2004-05-05</t>
        </is>
      </c>
      <c r="Y111" t="n">
        <v>664</v>
      </c>
      <c r="Z111" t="n">
        <v>623</v>
      </c>
      <c r="AA111" t="n">
        <v>633</v>
      </c>
      <c r="AB111" t="n">
        <v>4</v>
      </c>
      <c r="AC111" t="n">
        <v>4</v>
      </c>
      <c r="AD111" t="n">
        <v>29</v>
      </c>
      <c r="AE111" t="n">
        <v>29</v>
      </c>
      <c r="AF111" t="n">
        <v>11</v>
      </c>
      <c r="AG111" t="n">
        <v>11</v>
      </c>
      <c r="AH111" t="n">
        <v>8</v>
      </c>
      <c r="AI111" t="n">
        <v>8</v>
      </c>
      <c r="AJ111" t="n">
        <v>19</v>
      </c>
      <c r="AK111" t="n">
        <v>19</v>
      </c>
      <c r="AL111" t="n">
        <v>1</v>
      </c>
      <c r="AM111" t="n">
        <v>1</v>
      </c>
      <c r="AN111" t="n">
        <v>0</v>
      </c>
      <c r="AO111" t="n">
        <v>0</v>
      </c>
      <c r="AP111" t="inlineStr">
        <is>
          <t>No</t>
        </is>
      </c>
      <c r="AQ111" t="inlineStr">
        <is>
          <t>No</t>
        </is>
      </c>
      <c r="AS111">
        <f>HYPERLINK("https://creighton-primo.hosted.exlibrisgroup.com/primo-explore/search?tab=default_tab&amp;search_scope=EVERYTHING&amp;vid=01CRU&amp;lang=en_US&amp;offset=0&amp;query=any,contains,991004295319702656","Catalog Record")</f>
        <v/>
      </c>
      <c r="AT111">
        <f>HYPERLINK("http://www.worldcat.org/oclc/17441652","WorldCat Record")</f>
        <v/>
      </c>
      <c r="AU111" t="inlineStr">
        <is>
          <t>1024722187:eng</t>
        </is>
      </c>
      <c r="AV111" t="inlineStr">
        <is>
          <t>17441652</t>
        </is>
      </c>
      <c r="AW111" t="inlineStr">
        <is>
          <t>991004295319702656</t>
        </is>
      </c>
      <c r="AX111" t="inlineStr">
        <is>
          <t>991004295319702656</t>
        </is>
      </c>
      <c r="AY111" t="inlineStr">
        <is>
          <t>2260602480002656</t>
        </is>
      </c>
      <c r="AZ111" t="inlineStr">
        <is>
          <t>BOOK</t>
        </is>
      </c>
      <c r="BB111" t="inlineStr">
        <is>
          <t>9780394557625</t>
        </is>
      </c>
      <c r="BC111" t="inlineStr">
        <is>
          <t>32285004904081</t>
        </is>
      </c>
      <c r="BD111" t="inlineStr">
        <is>
          <t>893894816</t>
        </is>
      </c>
    </row>
    <row r="112">
      <c r="A112" t="inlineStr">
        <is>
          <t>No</t>
        </is>
      </c>
      <c r="B112" t="inlineStr">
        <is>
          <t>BX1390 .B84 1986</t>
        </is>
      </c>
      <c r="C112" t="inlineStr">
        <is>
          <t>0                      BX 1390000B  84          1986</t>
        </is>
      </c>
      <c r="D112" t="inlineStr">
        <is>
          <t>The church of the future : a model for the year 2001 / Walbert Bühlmann. Epilogue by Karl Rahner.</t>
        </is>
      </c>
      <c r="F112" t="inlineStr">
        <is>
          <t>No</t>
        </is>
      </c>
      <c r="G112" t="inlineStr">
        <is>
          <t>1</t>
        </is>
      </c>
      <c r="H112" t="inlineStr">
        <is>
          <t>No</t>
        </is>
      </c>
      <c r="I112" t="inlineStr">
        <is>
          <t>No</t>
        </is>
      </c>
      <c r="J112" t="inlineStr">
        <is>
          <t>0</t>
        </is>
      </c>
      <c r="K112" t="inlineStr">
        <is>
          <t>Bühlmann, Walbert.</t>
        </is>
      </c>
      <c r="L112" t="inlineStr">
        <is>
          <t>Maryknoll, NY : Orbis Books ; Melbourne, Australia : Dove Commmunications ; Slough, Eng. : St Paul Publications, 1986.</t>
        </is>
      </c>
      <c r="M112" t="inlineStr">
        <is>
          <t>1986</t>
        </is>
      </c>
      <c r="O112" t="inlineStr">
        <is>
          <t>eng</t>
        </is>
      </c>
      <c r="P112" t="inlineStr">
        <is>
          <t>nyu</t>
        </is>
      </c>
      <c r="R112" t="inlineStr">
        <is>
          <t xml:space="preserve">BX </t>
        </is>
      </c>
      <c r="S112" t="n">
        <v>4</v>
      </c>
      <c r="T112" t="n">
        <v>4</v>
      </c>
      <c r="U112" t="inlineStr">
        <is>
          <t>2000-10-04</t>
        </is>
      </c>
      <c r="V112" t="inlineStr">
        <is>
          <t>2000-10-04</t>
        </is>
      </c>
      <c r="W112" t="inlineStr">
        <is>
          <t>1990-03-27</t>
        </is>
      </c>
      <c r="X112" t="inlineStr">
        <is>
          <t>1990-03-27</t>
        </is>
      </c>
      <c r="Y112" t="n">
        <v>315</v>
      </c>
      <c r="Z112" t="n">
        <v>249</v>
      </c>
      <c r="AA112" t="n">
        <v>256</v>
      </c>
      <c r="AB112" t="n">
        <v>1</v>
      </c>
      <c r="AC112" t="n">
        <v>1</v>
      </c>
      <c r="AD112" t="n">
        <v>25</v>
      </c>
      <c r="AE112" t="n">
        <v>25</v>
      </c>
      <c r="AF112" t="n">
        <v>8</v>
      </c>
      <c r="AG112" t="n">
        <v>8</v>
      </c>
      <c r="AH112" t="n">
        <v>7</v>
      </c>
      <c r="AI112" t="n">
        <v>7</v>
      </c>
      <c r="AJ112" t="n">
        <v>16</v>
      </c>
      <c r="AK112" t="n">
        <v>16</v>
      </c>
      <c r="AL112" t="n">
        <v>0</v>
      </c>
      <c r="AM112" t="n">
        <v>0</v>
      </c>
      <c r="AN112" t="n">
        <v>0</v>
      </c>
      <c r="AO112" t="n">
        <v>0</v>
      </c>
      <c r="AP112" t="inlineStr">
        <is>
          <t>No</t>
        </is>
      </c>
      <c r="AQ112" t="inlineStr">
        <is>
          <t>Yes</t>
        </is>
      </c>
      <c r="AR112">
        <f>HYPERLINK("http://catalog.hathitrust.org/Record/000625690","HathiTrust Record")</f>
        <v/>
      </c>
      <c r="AS112">
        <f>HYPERLINK("https://creighton-primo.hosted.exlibrisgroup.com/primo-explore/search?tab=default_tab&amp;search_scope=EVERYTHING&amp;vid=01CRU&amp;lang=en_US&amp;offset=0&amp;query=any,contains,991000807049702656","Catalog Record")</f>
        <v/>
      </c>
      <c r="AT112">
        <f>HYPERLINK("http://www.worldcat.org/oclc/14129248","WorldCat Record")</f>
        <v/>
      </c>
      <c r="AU112" t="inlineStr">
        <is>
          <t>198194717:eng</t>
        </is>
      </c>
      <c r="AV112" t="inlineStr">
        <is>
          <t>14129248</t>
        </is>
      </c>
      <c r="AW112" t="inlineStr">
        <is>
          <t>991000807049702656</t>
        </is>
      </c>
      <c r="AX112" t="inlineStr">
        <is>
          <t>991000807049702656</t>
        </is>
      </c>
      <c r="AY112" t="inlineStr">
        <is>
          <t>2267474050002656</t>
        </is>
      </c>
      <c r="AZ112" t="inlineStr">
        <is>
          <t>BOOK</t>
        </is>
      </c>
      <c r="BB112" t="inlineStr">
        <is>
          <t>9780883442531</t>
        </is>
      </c>
      <c r="BC112" t="inlineStr">
        <is>
          <t>32285000097047</t>
        </is>
      </c>
      <c r="BD112" t="inlineStr">
        <is>
          <t>893522039</t>
        </is>
      </c>
    </row>
    <row r="113">
      <c r="A113" t="inlineStr">
        <is>
          <t>No</t>
        </is>
      </c>
      <c r="B113" t="inlineStr">
        <is>
          <t>BX1390 .C38 2001</t>
        </is>
      </c>
      <c r="C113" t="inlineStr">
        <is>
          <t>0                      BX 1390000C  38          2001</t>
        </is>
      </c>
      <c r="D113" t="inlineStr">
        <is>
          <t>Catholicism at the Millennium : the church of tradition in transition / edited by Gerald L. Miller and Wilburn T. Stancil.</t>
        </is>
      </c>
      <c r="F113" t="inlineStr">
        <is>
          <t>No</t>
        </is>
      </c>
      <c r="G113" t="inlineStr">
        <is>
          <t>1</t>
        </is>
      </c>
      <c r="H113" t="inlineStr">
        <is>
          <t>No</t>
        </is>
      </c>
      <c r="I113" t="inlineStr">
        <is>
          <t>No</t>
        </is>
      </c>
      <c r="J113" t="inlineStr">
        <is>
          <t>0</t>
        </is>
      </c>
      <c r="L113" t="inlineStr">
        <is>
          <t>Kansas City, Missouri : Rockhurst University Press, 2001.</t>
        </is>
      </c>
      <c r="M113" t="inlineStr">
        <is>
          <t>2001</t>
        </is>
      </c>
      <c r="N113" t="inlineStr">
        <is>
          <t>1st ed.</t>
        </is>
      </c>
      <c r="O113" t="inlineStr">
        <is>
          <t>eng</t>
        </is>
      </c>
      <c r="P113" t="inlineStr">
        <is>
          <t>miu</t>
        </is>
      </c>
      <c r="R113" t="inlineStr">
        <is>
          <t xml:space="preserve">BX </t>
        </is>
      </c>
      <c r="S113" t="n">
        <v>6</v>
      </c>
      <c r="T113" t="n">
        <v>6</v>
      </c>
      <c r="U113" t="inlineStr">
        <is>
          <t>2007-03-28</t>
        </is>
      </c>
      <c r="V113" t="inlineStr">
        <is>
          <t>2007-03-28</t>
        </is>
      </c>
      <c r="W113" t="inlineStr">
        <is>
          <t>2001-08-13</t>
        </is>
      </c>
      <c r="X113" t="inlineStr">
        <is>
          <t>2001-08-13</t>
        </is>
      </c>
      <c r="Y113" t="n">
        <v>183</v>
      </c>
      <c r="Z113" t="n">
        <v>154</v>
      </c>
      <c r="AA113" t="n">
        <v>161</v>
      </c>
      <c r="AB113" t="n">
        <v>2</v>
      </c>
      <c r="AC113" t="n">
        <v>2</v>
      </c>
      <c r="AD113" t="n">
        <v>17</v>
      </c>
      <c r="AE113" t="n">
        <v>18</v>
      </c>
      <c r="AF113" t="n">
        <v>4</v>
      </c>
      <c r="AG113" t="n">
        <v>4</v>
      </c>
      <c r="AH113" t="n">
        <v>6</v>
      </c>
      <c r="AI113" t="n">
        <v>6</v>
      </c>
      <c r="AJ113" t="n">
        <v>11</v>
      </c>
      <c r="AK113" t="n">
        <v>12</v>
      </c>
      <c r="AL113" t="n">
        <v>1</v>
      </c>
      <c r="AM113" t="n">
        <v>1</v>
      </c>
      <c r="AN113" t="n">
        <v>0</v>
      </c>
      <c r="AO113" t="n">
        <v>0</v>
      </c>
      <c r="AP113" t="inlineStr">
        <is>
          <t>No</t>
        </is>
      </c>
      <c r="AQ113" t="inlineStr">
        <is>
          <t>Yes</t>
        </is>
      </c>
      <c r="AR113">
        <f>HYPERLINK("http://catalog.hathitrust.org/Record/102018599","HathiTrust Record")</f>
        <v/>
      </c>
      <c r="AS113">
        <f>HYPERLINK("https://creighton-primo.hosted.exlibrisgroup.com/primo-explore/search?tab=default_tab&amp;search_scope=EVERYTHING&amp;vid=01CRU&amp;lang=en_US&amp;offset=0&amp;query=any,contains,991003586969702656","Catalog Record")</f>
        <v/>
      </c>
      <c r="AT113">
        <f>HYPERLINK("http://www.worldcat.org/oclc/46829735","WorldCat Record")</f>
        <v/>
      </c>
      <c r="AU113" t="inlineStr">
        <is>
          <t>837080685:eng</t>
        </is>
      </c>
      <c r="AV113" t="inlineStr">
        <is>
          <t>46829735</t>
        </is>
      </c>
      <c r="AW113" t="inlineStr">
        <is>
          <t>991003586969702656</t>
        </is>
      </c>
      <c r="AX113" t="inlineStr">
        <is>
          <t>991003586969702656</t>
        </is>
      </c>
      <c r="AY113" t="inlineStr">
        <is>
          <t>2256604530002656</t>
        </is>
      </c>
      <c r="AZ113" t="inlineStr">
        <is>
          <t>BOOK</t>
        </is>
      </c>
      <c r="BB113" t="inlineStr">
        <is>
          <t>9781886761254</t>
        </is>
      </c>
      <c r="BC113" t="inlineStr">
        <is>
          <t>32285004377379</t>
        </is>
      </c>
      <c r="BD113" t="inlineStr">
        <is>
          <t>893623649</t>
        </is>
      </c>
    </row>
    <row r="114">
      <c r="A114" t="inlineStr">
        <is>
          <t>No</t>
        </is>
      </c>
      <c r="B114" t="inlineStr">
        <is>
          <t>BX1390 .C67 2001</t>
        </is>
      </c>
      <c r="C114" t="inlineStr">
        <is>
          <t>0                      BX 1390000C  67          2001</t>
        </is>
      </c>
      <c r="D114" t="inlineStr">
        <is>
          <t>Breaking faith : the Pope, the people, and the fate of Catholicism / John Cornwell.</t>
        </is>
      </c>
      <c r="F114" t="inlineStr">
        <is>
          <t>No</t>
        </is>
      </c>
      <c r="G114" t="inlineStr">
        <is>
          <t>1</t>
        </is>
      </c>
      <c r="H114" t="inlineStr">
        <is>
          <t>No</t>
        </is>
      </c>
      <c r="I114" t="inlineStr">
        <is>
          <t>No</t>
        </is>
      </c>
      <c r="J114" t="inlineStr">
        <is>
          <t>0</t>
        </is>
      </c>
      <c r="K114" t="inlineStr">
        <is>
          <t>Cornwell, John, 1940-</t>
        </is>
      </c>
      <c r="L114" t="inlineStr">
        <is>
          <t>New York : Viking Compass, c2001.</t>
        </is>
      </c>
      <c r="M114" t="inlineStr">
        <is>
          <t>2001</t>
        </is>
      </c>
      <c r="O114" t="inlineStr">
        <is>
          <t>eng</t>
        </is>
      </c>
      <c r="P114" t="inlineStr">
        <is>
          <t>nyu</t>
        </is>
      </c>
      <c r="R114" t="inlineStr">
        <is>
          <t xml:space="preserve">BX </t>
        </is>
      </c>
      <c r="S114" t="n">
        <v>6</v>
      </c>
      <c r="T114" t="n">
        <v>6</v>
      </c>
      <c r="U114" t="inlineStr">
        <is>
          <t>2004-05-22</t>
        </is>
      </c>
      <c r="V114" t="inlineStr">
        <is>
          <t>2004-05-22</t>
        </is>
      </c>
      <c r="W114" t="inlineStr">
        <is>
          <t>2001-10-17</t>
        </is>
      </c>
      <c r="X114" t="inlineStr">
        <is>
          <t>2001-10-17</t>
        </is>
      </c>
      <c r="Y114" t="n">
        <v>716</v>
      </c>
      <c r="Z114" t="n">
        <v>664</v>
      </c>
      <c r="AA114" t="n">
        <v>678</v>
      </c>
      <c r="AB114" t="n">
        <v>4</v>
      </c>
      <c r="AC114" t="n">
        <v>4</v>
      </c>
      <c r="AD114" t="n">
        <v>29</v>
      </c>
      <c r="AE114" t="n">
        <v>29</v>
      </c>
      <c r="AF114" t="n">
        <v>11</v>
      </c>
      <c r="AG114" t="n">
        <v>11</v>
      </c>
      <c r="AH114" t="n">
        <v>6</v>
      </c>
      <c r="AI114" t="n">
        <v>6</v>
      </c>
      <c r="AJ114" t="n">
        <v>20</v>
      </c>
      <c r="AK114" t="n">
        <v>20</v>
      </c>
      <c r="AL114" t="n">
        <v>2</v>
      </c>
      <c r="AM114" t="n">
        <v>2</v>
      </c>
      <c r="AN114" t="n">
        <v>0</v>
      </c>
      <c r="AO114" t="n">
        <v>0</v>
      </c>
      <c r="AP114" t="inlineStr">
        <is>
          <t>No</t>
        </is>
      </c>
      <c r="AQ114" t="inlineStr">
        <is>
          <t>Yes</t>
        </is>
      </c>
      <c r="AR114">
        <f>HYPERLINK("http://catalog.hathitrust.org/Record/007140762","HathiTrust Record")</f>
        <v/>
      </c>
      <c r="AS114">
        <f>HYPERLINK("https://creighton-primo.hosted.exlibrisgroup.com/primo-explore/search?tab=default_tab&amp;search_scope=EVERYTHING&amp;vid=01CRU&amp;lang=en_US&amp;offset=0&amp;query=any,contains,991003611649702656","Catalog Record")</f>
        <v/>
      </c>
      <c r="AT114">
        <f>HYPERLINK("http://www.worldcat.org/oclc/47074182","WorldCat Record")</f>
        <v/>
      </c>
      <c r="AU114" t="inlineStr">
        <is>
          <t>6360875:eng</t>
        </is>
      </c>
      <c r="AV114" t="inlineStr">
        <is>
          <t>47074182</t>
        </is>
      </c>
      <c r="AW114" t="inlineStr">
        <is>
          <t>991003611649702656</t>
        </is>
      </c>
      <c r="AX114" t="inlineStr">
        <is>
          <t>991003611649702656</t>
        </is>
      </c>
      <c r="AY114" t="inlineStr">
        <is>
          <t>2267224550002656</t>
        </is>
      </c>
      <c r="AZ114" t="inlineStr">
        <is>
          <t>BOOK</t>
        </is>
      </c>
      <c r="BB114" t="inlineStr">
        <is>
          <t>9780670030026</t>
        </is>
      </c>
      <c r="BC114" t="inlineStr">
        <is>
          <t>32285004397773</t>
        </is>
      </c>
      <c r="BD114" t="inlineStr">
        <is>
          <t>893336704</t>
        </is>
      </c>
    </row>
    <row r="115">
      <c r="A115" t="inlineStr">
        <is>
          <t>No</t>
        </is>
      </c>
      <c r="B115" t="inlineStr">
        <is>
          <t>BX1390 .H5</t>
        </is>
      </c>
      <c r="C115" t="inlineStr">
        <is>
          <t>0                      BX 1390000H  5</t>
        </is>
      </c>
      <c r="D115" t="inlineStr">
        <is>
          <t>Catholicism and modernity : confrontation or capitulation? / James Hitchcock.</t>
        </is>
      </c>
      <c r="F115" t="inlineStr">
        <is>
          <t>No</t>
        </is>
      </c>
      <c r="G115" t="inlineStr">
        <is>
          <t>1</t>
        </is>
      </c>
      <c r="H115" t="inlineStr">
        <is>
          <t>No</t>
        </is>
      </c>
      <c r="I115" t="inlineStr">
        <is>
          <t>No</t>
        </is>
      </c>
      <c r="J115" t="inlineStr">
        <is>
          <t>0</t>
        </is>
      </c>
      <c r="K115" t="inlineStr">
        <is>
          <t>Hitchcock, James, 1938-</t>
        </is>
      </c>
      <c r="L115" t="inlineStr">
        <is>
          <t>New York : Seabury Press, 1979.</t>
        </is>
      </c>
      <c r="M115" t="inlineStr">
        <is>
          <t>1979</t>
        </is>
      </c>
      <c r="O115" t="inlineStr">
        <is>
          <t>eng</t>
        </is>
      </c>
      <c r="P115" t="inlineStr">
        <is>
          <t>nyu</t>
        </is>
      </c>
      <c r="R115" t="inlineStr">
        <is>
          <t xml:space="preserve">BX </t>
        </is>
      </c>
      <c r="S115" t="n">
        <v>3</v>
      </c>
      <c r="T115" t="n">
        <v>3</v>
      </c>
      <c r="U115" t="inlineStr">
        <is>
          <t>2000-10-04</t>
        </is>
      </c>
      <c r="V115" t="inlineStr">
        <is>
          <t>2000-10-04</t>
        </is>
      </c>
      <c r="W115" t="inlineStr">
        <is>
          <t>1991-02-11</t>
        </is>
      </c>
      <c r="X115" t="inlineStr">
        <is>
          <t>1991-02-11</t>
        </is>
      </c>
      <c r="Y115" t="n">
        <v>388</v>
      </c>
      <c r="Z115" t="n">
        <v>325</v>
      </c>
      <c r="AA115" t="n">
        <v>347</v>
      </c>
      <c r="AB115" t="n">
        <v>6</v>
      </c>
      <c r="AC115" t="n">
        <v>6</v>
      </c>
      <c r="AD115" t="n">
        <v>30</v>
      </c>
      <c r="AE115" t="n">
        <v>31</v>
      </c>
      <c r="AF115" t="n">
        <v>12</v>
      </c>
      <c r="AG115" t="n">
        <v>12</v>
      </c>
      <c r="AH115" t="n">
        <v>6</v>
      </c>
      <c r="AI115" t="n">
        <v>7</v>
      </c>
      <c r="AJ115" t="n">
        <v>20</v>
      </c>
      <c r="AK115" t="n">
        <v>21</v>
      </c>
      <c r="AL115" t="n">
        <v>3</v>
      </c>
      <c r="AM115" t="n">
        <v>3</v>
      </c>
      <c r="AN115" t="n">
        <v>0</v>
      </c>
      <c r="AO115" t="n">
        <v>0</v>
      </c>
      <c r="AP115" t="inlineStr">
        <is>
          <t>No</t>
        </is>
      </c>
      <c r="AQ115" t="inlineStr">
        <is>
          <t>Yes</t>
        </is>
      </c>
      <c r="AR115">
        <f>HYPERLINK("http://catalog.hathitrust.org/Record/000728284","HathiTrust Record")</f>
        <v/>
      </c>
      <c r="AS115">
        <f>HYPERLINK("https://creighton-primo.hosted.exlibrisgroup.com/primo-explore/search?tab=default_tab&amp;search_scope=EVERYTHING&amp;vid=01CRU&amp;lang=en_US&amp;offset=0&amp;query=any,contains,991004685269702656","Catalog Record")</f>
        <v/>
      </c>
      <c r="AT115">
        <f>HYPERLINK("http://www.worldcat.org/oclc/4591570","WorldCat Record")</f>
        <v/>
      </c>
      <c r="AU115" t="inlineStr">
        <is>
          <t>4489596:eng</t>
        </is>
      </c>
      <c r="AV115" t="inlineStr">
        <is>
          <t>4591570</t>
        </is>
      </c>
      <c r="AW115" t="inlineStr">
        <is>
          <t>991004685269702656</t>
        </is>
      </c>
      <c r="AX115" t="inlineStr">
        <is>
          <t>991004685269702656</t>
        </is>
      </c>
      <c r="AY115" t="inlineStr">
        <is>
          <t>2266001060002656</t>
        </is>
      </c>
      <c r="AZ115" t="inlineStr">
        <is>
          <t>BOOK</t>
        </is>
      </c>
      <c r="BB115" t="inlineStr">
        <is>
          <t>9780816404278</t>
        </is>
      </c>
      <c r="BC115" t="inlineStr">
        <is>
          <t>32285000505353</t>
        </is>
      </c>
      <c r="BD115" t="inlineStr">
        <is>
          <t>893719231</t>
        </is>
      </c>
    </row>
    <row r="116">
      <c r="A116" t="inlineStr">
        <is>
          <t>No</t>
        </is>
      </c>
      <c r="B116" t="inlineStr">
        <is>
          <t>BX1390 .K63 1980</t>
        </is>
      </c>
      <c r="C116" t="inlineStr">
        <is>
          <t>0                      BX 1390000K  63          1980</t>
        </is>
      </c>
      <c r="D116" t="inlineStr">
        <is>
          <t>Catholicism today / by Matthew F. Kohmescher.</t>
        </is>
      </c>
      <c r="F116" t="inlineStr">
        <is>
          <t>No</t>
        </is>
      </c>
      <c r="G116" t="inlineStr">
        <is>
          <t>1</t>
        </is>
      </c>
      <c r="H116" t="inlineStr">
        <is>
          <t>No</t>
        </is>
      </c>
      <c r="I116" t="inlineStr">
        <is>
          <t>No</t>
        </is>
      </c>
      <c r="J116" t="inlineStr">
        <is>
          <t>0</t>
        </is>
      </c>
      <c r="K116" t="inlineStr">
        <is>
          <t>Kohmescher, Matthew F.</t>
        </is>
      </c>
      <c r="L116" t="inlineStr">
        <is>
          <t>New York : Paulist Press, 1980.</t>
        </is>
      </c>
      <c r="M116" t="inlineStr">
        <is>
          <t>1980</t>
        </is>
      </c>
      <c r="O116" t="inlineStr">
        <is>
          <t>eng</t>
        </is>
      </c>
      <c r="P116" t="inlineStr">
        <is>
          <t>nyu</t>
        </is>
      </c>
      <c r="R116" t="inlineStr">
        <is>
          <t xml:space="preserve">BX </t>
        </is>
      </c>
      <c r="S116" t="n">
        <v>9</v>
      </c>
      <c r="T116" t="n">
        <v>9</v>
      </c>
      <c r="U116" t="inlineStr">
        <is>
          <t>1997-11-12</t>
        </is>
      </c>
      <c r="V116" t="inlineStr">
        <is>
          <t>1997-11-12</t>
        </is>
      </c>
      <c r="W116" t="inlineStr">
        <is>
          <t>1990-04-26</t>
        </is>
      </c>
      <c r="X116" t="inlineStr">
        <is>
          <t>1990-04-26</t>
        </is>
      </c>
      <c r="Y116" t="n">
        <v>249</v>
      </c>
      <c r="Z116" t="n">
        <v>222</v>
      </c>
      <c r="AA116" t="n">
        <v>363</v>
      </c>
      <c r="AB116" t="n">
        <v>3</v>
      </c>
      <c r="AC116" t="n">
        <v>3</v>
      </c>
      <c r="AD116" t="n">
        <v>17</v>
      </c>
      <c r="AE116" t="n">
        <v>28</v>
      </c>
      <c r="AF116" t="n">
        <v>4</v>
      </c>
      <c r="AG116" t="n">
        <v>8</v>
      </c>
      <c r="AH116" t="n">
        <v>5</v>
      </c>
      <c r="AI116" t="n">
        <v>7</v>
      </c>
      <c r="AJ116" t="n">
        <v>13</v>
      </c>
      <c r="AK116" t="n">
        <v>21</v>
      </c>
      <c r="AL116" t="n">
        <v>1</v>
      </c>
      <c r="AM116" t="n">
        <v>1</v>
      </c>
      <c r="AN116" t="n">
        <v>0</v>
      </c>
      <c r="AO116" t="n">
        <v>0</v>
      </c>
      <c r="AP116" t="inlineStr">
        <is>
          <t>No</t>
        </is>
      </c>
      <c r="AQ116" t="inlineStr">
        <is>
          <t>Yes</t>
        </is>
      </c>
      <c r="AR116">
        <f>HYPERLINK("http://catalog.hathitrust.org/Record/006019877","HathiTrust Record")</f>
        <v/>
      </c>
      <c r="AS116">
        <f>HYPERLINK("https://creighton-primo.hosted.exlibrisgroup.com/primo-explore/search?tab=default_tab&amp;search_scope=EVERYTHING&amp;vid=01CRU&amp;lang=en_US&amp;offset=0&amp;query=any,contains,991005065369702656","Catalog Record")</f>
        <v/>
      </c>
      <c r="AT116">
        <f>HYPERLINK("http://www.worldcat.org/oclc/6950674","WorldCat Record")</f>
        <v/>
      </c>
      <c r="AU116" t="inlineStr">
        <is>
          <t>15173116:eng</t>
        </is>
      </c>
      <c r="AV116" t="inlineStr">
        <is>
          <t>6950674</t>
        </is>
      </c>
      <c r="AW116" t="inlineStr">
        <is>
          <t>991005065369702656</t>
        </is>
      </c>
      <c r="AX116" t="inlineStr">
        <is>
          <t>991005065369702656</t>
        </is>
      </c>
      <c r="AY116" t="inlineStr">
        <is>
          <t>2260001130002656</t>
        </is>
      </c>
      <c r="AZ116" t="inlineStr">
        <is>
          <t>BOOK</t>
        </is>
      </c>
      <c r="BB116" t="inlineStr">
        <is>
          <t>9780809123353</t>
        </is>
      </c>
      <c r="BC116" t="inlineStr">
        <is>
          <t>32285000134832</t>
        </is>
      </c>
      <c r="BD116" t="inlineStr">
        <is>
          <t>893870453</t>
        </is>
      </c>
    </row>
    <row r="117">
      <c r="A117" t="inlineStr">
        <is>
          <t>No</t>
        </is>
      </c>
      <c r="B117" t="inlineStr">
        <is>
          <t>BX1390 .N37 1978</t>
        </is>
      </c>
      <c r="C117" t="inlineStr">
        <is>
          <t>0                      BX 1390000N  37          1978</t>
        </is>
      </c>
      <c r="D117" t="inlineStr">
        <is>
          <t>Nights of sorrow, days of joy : papal transition, Paul VI, John Paul I, John Paul II / by The National Catholic News Service.</t>
        </is>
      </c>
      <c r="F117" t="inlineStr">
        <is>
          <t>No</t>
        </is>
      </c>
      <c r="G117" t="inlineStr">
        <is>
          <t>1</t>
        </is>
      </c>
      <c r="H117" t="inlineStr">
        <is>
          <t>No</t>
        </is>
      </c>
      <c r="I117" t="inlineStr">
        <is>
          <t>No</t>
        </is>
      </c>
      <c r="J117" t="inlineStr">
        <is>
          <t>0</t>
        </is>
      </c>
      <c r="K117" t="inlineStr">
        <is>
          <t>National Catholic News Service.</t>
        </is>
      </c>
      <c r="L117" t="inlineStr">
        <is>
          <t>[Washington] : The Service, c1978.</t>
        </is>
      </c>
      <c r="M117" t="inlineStr">
        <is>
          <t>1978</t>
        </is>
      </c>
      <c r="O117" t="inlineStr">
        <is>
          <t>eng</t>
        </is>
      </c>
      <c r="P117" t="inlineStr">
        <is>
          <t>dcu</t>
        </is>
      </c>
      <c r="R117" t="inlineStr">
        <is>
          <t xml:space="preserve">BX </t>
        </is>
      </c>
      <c r="S117" t="n">
        <v>2</v>
      </c>
      <c r="T117" t="n">
        <v>2</v>
      </c>
      <c r="U117" t="inlineStr">
        <is>
          <t>1998-11-03</t>
        </is>
      </c>
      <c r="V117" t="inlineStr">
        <is>
          <t>1998-11-03</t>
        </is>
      </c>
      <c r="W117" t="inlineStr">
        <is>
          <t>1991-02-11</t>
        </is>
      </c>
      <c r="X117" t="inlineStr">
        <is>
          <t>1991-02-11</t>
        </is>
      </c>
      <c r="Y117" t="n">
        <v>90</v>
      </c>
      <c r="Z117" t="n">
        <v>82</v>
      </c>
      <c r="AA117" t="n">
        <v>82</v>
      </c>
      <c r="AB117" t="n">
        <v>2</v>
      </c>
      <c r="AC117" t="n">
        <v>2</v>
      </c>
      <c r="AD117" t="n">
        <v>12</v>
      </c>
      <c r="AE117" t="n">
        <v>12</v>
      </c>
      <c r="AF117" t="n">
        <v>3</v>
      </c>
      <c r="AG117" t="n">
        <v>3</v>
      </c>
      <c r="AH117" t="n">
        <v>4</v>
      </c>
      <c r="AI117" t="n">
        <v>4</v>
      </c>
      <c r="AJ117" t="n">
        <v>6</v>
      </c>
      <c r="AK117" t="n">
        <v>6</v>
      </c>
      <c r="AL117" t="n">
        <v>1</v>
      </c>
      <c r="AM117" t="n">
        <v>1</v>
      </c>
      <c r="AN117" t="n">
        <v>0</v>
      </c>
      <c r="AO117" t="n">
        <v>0</v>
      </c>
      <c r="AP117" t="inlineStr">
        <is>
          <t>No</t>
        </is>
      </c>
      <c r="AQ117" t="inlineStr">
        <is>
          <t>No</t>
        </is>
      </c>
      <c r="AS117">
        <f>HYPERLINK("https://creighton-primo.hosted.exlibrisgroup.com/primo-explore/search?tab=default_tab&amp;search_scope=EVERYTHING&amp;vid=01CRU&amp;lang=en_US&amp;offset=0&amp;query=any,contains,991004741789702656","Catalog Record")</f>
        <v/>
      </c>
      <c r="AT117">
        <f>HYPERLINK("http://www.worldcat.org/oclc/4884187","WorldCat Record")</f>
        <v/>
      </c>
      <c r="AU117" t="inlineStr">
        <is>
          <t>1007225211:eng</t>
        </is>
      </c>
      <c r="AV117" t="inlineStr">
        <is>
          <t>4884187</t>
        </is>
      </c>
      <c r="AW117" t="inlineStr">
        <is>
          <t>991004741789702656</t>
        </is>
      </c>
      <c r="AX117" t="inlineStr">
        <is>
          <t>991004741789702656</t>
        </is>
      </c>
      <c r="AY117" t="inlineStr">
        <is>
          <t>2264085080002656</t>
        </is>
      </c>
      <c r="AZ117" t="inlineStr">
        <is>
          <t>BOOK</t>
        </is>
      </c>
      <c r="BC117" t="inlineStr">
        <is>
          <t>32285000505361</t>
        </is>
      </c>
      <c r="BD117" t="inlineStr">
        <is>
          <t>893325719</t>
        </is>
      </c>
    </row>
    <row r="118">
      <c r="A118" t="inlineStr">
        <is>
          <t>No</t>
        </is>
      </c>
      <c r="B118" t="inlineStr">
        <is>
          <t>BX1390 .N63</t>
        </is>
      </c>
      <c r="C118" t="inlineStr">
        <is>
          <t>0                      BX 1390000N  63</t>
        </is>
      </c>
      <c r="D118" t="inlineStr">
        <is>
          <t>The anatomy of the Catholic Church : Roman Catholicism in an age of revolution / Gerard Noel.</t>
        </is>
      </c>
      <c r="F118" t="inlineStr">
        <is>
          <t>No</t>
        </is>
      </c>
      <c r="G118" t="inlineStr">
        <is>
          <t>1</t>
        </is>
      </c>
      <c r="H118" t="inlineStr">
        <is>
          <t>No</t>
        </is>
      </c>
      <c r="I118" t="inlineStr">
        <is>
          <t>No</t>
        </is>
      </c>
      <c r="J118" t="inlineStr">
        <is>
          <t>0</t>
        </is>
      </c>
      <c r="K118" t="inlineStr">
        <is>
          <t>Noel, Gerard.</t>
        </is>
      </c>
      <c r="L118" t="inlineStr">
        <is>
          <t>Garden City, N.Y. : Doubleday, 1980.</t>
        </is>
      </c>
      <c r="M118" t="inlineStr">
        <is>
          <t>1980</t>
        </is>
      </c>
      <c r="N118" t="inlineStr">
        <is>
          <t>1st ed.</t>
        </is>
      </c>
      <c r="O118" t="inlineStr">
        <is>
          <t>eng</t>
        </is>
      </c>
      <c r="P118" t="inlineStr">
        <is>
          <t>nyu</t>
        </is>
      </c>
      <c r="R118" t="inlineStr">
        <is>
          <t xml:space="preserve">BX </t>
        </is>
      </c>
      <c r="S118" t="n">
        <v>4</v>
      </c>
      <c r="T118" t="n">
        <v>4</v>
      </c>
      <c r="U118" t="inlineStr">
        <is>
          <t>1998-09-21</t>
        </is>
      </c>
      <c r="V118" t="inlineStr">
        <is>
          <t>1998-09-21</t>
        </is>
      </c>
      <c r="W118" t="inlineStr">
        <is>
          <t>1991-02-11</t>
        </is>
      </c>
      <c r="X118" t="inlineStr">
        <is>
          <t>1991-02-11</t>
        </is>
      </c>
      <c r="Y118" t="n">
        <v>373</v>
      </c>
      <c r="Z118" t="n">
        <v>340</v>
      </c>
      <c r="AA118" t="n">
        <v>377</v>
      </c>
      <c r="AB118" t="n">
        <v>1</v>
      </c>
      <c r="AC118" t="n">
        <v>3</v>
      </c>
      <c r="AD118" t="n">
        <v>22</v>
      </c>
      <c r="AE118" t="n">
        <v>24</v>
      </c>
      <c r="AF118" t="n">
        <v>4</v>
      </c>
      <c r="AG118" t="n">
        <v>4</v>
      </c>
      <c r="AH118" t="n">
        <v>8</v>
      </c>
      <c r="AI118" t="n">
        <v>8</v>
      </c>
      <c r="AJ118" t="n">
        <v>17</v>
      </c>
      <c r="AK118" t="n">
        <v>17</v>
      </c>
      <c r="AL118" t="n">
        <v>0</v>
      </c>
      <c r="AM118" t="n">
        <v>2</v>
      </c>
      <c r="AN118" t="n">
        <v>0</v>
      </c>
      <c r="AO118" t="n">
        <v>0</v>
      </c>
      <c r="AP118" t="inlineStr">
        <is>
          <t>No</t>
        </is>
      </c>
      <c r="AQ118" t="inlineStr">
        <is>
          <t>No</t>
        </is>
      </c>
      <c r="AS118">
        <f>HYPERLINK("https://creighton-primo.hosted.exlibrisgroup.com/primo-explore/search?tab=default_tab&amp;search_scope=EVERYTHING&amp;vid=01CRU&amp;lang=en_US&amp;offset=0&amp;query=any,contains,991004877919702656","Catalog Record")</f>
        <v/>
      </c>
      <c r="AT118">
        <f>HYPERLINK("http://www.worldcat.org/oclc/5799760","WorldCat Record")</f>
        <v/>
      </c>
      <c r="AU118" t="inlineStr">
        <is>
          <t>20454134:eng</t>
        </is>
      </c>
      <c r="AV118" t="inlineStr">
        <is>
          <t>5799760</t>
        </is>
      </c>
      <c r="AW118" t="inlineStr">
        <is>
          <t>991004877919702656</t>
        </is>
      </c>
      <c r="AX118" t="inlineStr">
        <is>
          <t>991004877919702656</t>
        </is>
      </c>
      <c r="AY118" t="inlineStr">
        <is>
          <t>2269605660002656</t>
        </is>
      </c>
      <c r="AZ118" t="inlineStr">
        <is>
          <t>BOOK</t>
        </is>
      </c>
      <c r="BB118" t="inlineStr">
        <is>
          <t>9780385143110</t>
        </is>
      </c>
      <c r="BC118" t="inlineStr">
        <is>
          <t>32285000505387</t>
        </is>
      </c>
      <c r="BD118" t="inlineStr">
        <is>
          <t>893795351</t>
        </is>
      </c>
    </row>
    <row r="119">
      <c r="A119" t="inlineStr">
        <is>
          <t>No</t>
        </is>
      </c>
      <c r="B119" t="inlineStr">
        <is>
          <t>BX1390 .S36 1997</t>
        </is>
      </c>
      <c r="C119" t="inlineStr">
        <is>
          <t>0                      BX 1390000S  36          1997</t>
        </is>
      </c>
      <c r="D119" t="inlineStr">
        <is>
          <t>The new catholicity : theology between the global and the local / Robert J. Schreiter.</t>
        </is>
      </c>
      <c r="F119" t="inlineStr">
        <is>
          <t>No</t>
        </is>
      </c>
      <c r="G119" t="inlineStr">
        <is>
          <t>1</t>
        </is>
      </c>
      <c r="H119" t="inlineStr">
        <is>
          <t>No</t>
        </is>
      </c>
      <c r="I119" t="inlineStr">
        <is>
          <t>No</t>
        </is>
      </c>
      <c r="J119" t="inlineStr">
        <is>
          <t>0</t>
        </is>
      </c>
      <c r="K119" t="inlineStr">
        <is>
          <t>Schreiter, Robert J.</t>
        </is>
      </c>
      <c r="L119" t="inlineStr">
        <is>
          <t>Maryknoll, N.Y. : Orbis Books, c1997.</t>
        </is>
      </c>
      <c r="M119" t="inlineStr">
        <is>
          <t>1997</t>
        </is>
      </c>
      <c r="O119" t="inlineStr">
        <is>
          <t>eng</t>
        </is>
      </c>
      <c r="P119" t="inlineStr">
        <is>
          <t>nyu</t>
        </is>
      </c>
      <c r="Q119" t="inlineStr">
        <is>
          <t>Faith and cultures series</t>
        </is>
      </c>
      <c r="R119" t="inlineStr">
        <is>
          <t xml:space="preserve">BX </t>
        </is>
      </c>
      <c r="S119" t="n">
        <v>8</v>
      </c>
      <c r="T119" t="n">
        <v>8</v>
      </c>
      <c r="U119" t="inlineStr">
        <is>
          <t>2007-04-13</t>
        </is>
      </c>
      <c r="V119" t="inlineStr">
        <is>
          <t>2007-04-13</t>
        </is>
      </c>
      <c r="W119" t="inlineStr">
        <is>
          <t>1997-06-06</t>
        </is>
      </c>
      <c r="X119" t="inlineStr">
        <is>
          <t>1997-06-06</t>
        </is>
      </c>
      <c r="Y119" t="n">
        <v>328</v>
      </c>
      <c r="Z119" t="n">
        <v>240</v>
      </c>
      <c r="AA119" t="n">
        <v>251</v>
      </c>
      <c r="AB119" t="n">
        <v>3</v>
      </c>
      <c r="AC119" t="n">
        <v>3</v>
      </c>
      <c r="AD119" t="n">
        <v>28</v>
      </c>
      <c r="AE119" t="n">
        <v>28</v>
      </c>
      <c r="AF119" t="n">
        <v>9</v>
      </c>
      <c r="AG119" t="n">
        <v>9</v>
      </c>
      <c r="AH119" t="n">
        <v>6</v>
      </c>
      <c r="AI119" t="n">
        <v>6</v>
      </c>
      <c r="AJ119" t="n">
        <v>19</v>
      </c>
      <c r="AK119" t="n">
        <v>19</v>
      </c>
      <c r="AL119" t="n">
        <v>2</v>
      </c>
      <c r="AM119" t="n">
        <v>2</v>
      </c>
      <c r="AN119" t="n">
        <v>0</v>
      </c>
      <c r="AO119" t="n">
        <v>0</v>
      </c>
      <c r="AP119" t="inlineStr">
        <is>
          <t>No</t>
        </is>
      </c>
      <c r="AQ119" t="inlineStr">
        <is>
          <t>Yes</t>
        </is>
      </c>
      <c r="AR119">
        <f>HYPERLINK("http://catalog.hathitrust.org/Record/003168534","HathiTrust Record")</f>
        <v/>
      </c>
      <c r="AS119">
        <f>HYPERLINK("https://creighton-primo.hosted.exlibrisgroup.com/primo-explore/search?tab=default_tab&amp;search_scope=EVERYTHING&amp;vid=01CRU&amp;lang=en_US&amp;offset=0&amp;query=any,contains,991002769099702656","Catalog Record")</f>
        <v/>
      </c>
      <c r="AT119">
        <f>HYPERLINK("http://www.worldcat.org/oclc/36343264","WorldCat Record")</f>
        <v/>
      </c>
      <c r="AU119" t="inlineStr">
        <is>
          <t>682419:eng</t>
        </is>
      </c>
      <c r="AV119" t="inlineStr">
        <is>
          <t>36343264</t>
        </is>
      </c>
      <c r="AW119" t="inlineStr">
        <is>
          <t>991002769099702656</t>
        </is>
      </c>
      <c r="AX119" t="inlineStr">
        <is>
          <t>991002769099702656</t>
        </is>
      </c>
      <c r="AY119" t="inlineStr">
        <is>
          <t>2271919500002656</t>
        </is>
      </c>
      <c r="AZ119" t="inlineStr">
        <is>
          <t>BOOK</t>
        </is>
      </c>
      <c r="BB119" t="inlineStr">
        <is>
          <t>9781570751202</t>
        </is>
      </c>
      <c r="BC119" t="inlineStr">
        <is>
          <t>32285002750312</t>
        </is>
      </c>
      <c r="BD119" t="inlineStr">
        <is>
          <t>893233392</t>
        </is>
      </c>
    </row>
    <row r="120">
      <c r="A120" t="inlineStr">
        <is>
          <t>No</t>
        </is>
      </c>
      <c r="B120" t="inlineStr">
        <is>
          <t>BX1390 .S86 2000</t>
        </is>
      </c>
      <c r="C120" t="inlineStr">
        <is>
          <t>0                      BX 1390000S  86          2000</t>
        </is>
      </c>
      <c r="D120" t="inlineStr">
        <is>
          <t>Absolute truth : the struggle for meaning in today's Catholic Church / by Edward Stourton.</t>
        </is>
      </c>
      <c r="F120" t="inlineStr">
        <is>
          <t>No</t>
        </is>
      </c>
      <c r="G120" t="inlineStr">
        <is>
          <t>1</t>
        </is>
      </c>
      <c r="H120" t="inlineStr">
        <is>
          <t>No</t>
        </is>
      </c>
      <c r="I120" t="inlineStr">
        <is>
          <t>No</t>
        </is>
      </c>
      <c r="J120" t="inlineStr">
        <is>
          <t>0</t>
        </is>
      </c>
      <c r="K120" t="inlineStr">
        <is>
          <t>Stourton, Edward.</t>
        </is>
      </c>
      <c r="L120" t="inlineStr">
        <is>
          <t>New York : TV Books, 2000.</t>
        </is>
      </c>
      <c r="M120" t="inlineStr">
        <is>
          <t>2000</t>
        </is>
      </c>
      <c r="O120" t="inlineStr">
        <is>
          <t>eng</t>
        </is>
      </c>
      <c r="P120" t="inlineStr">
        <is>
          <t>nyu</t>
        </is>
      </c>
      <c r="R120" t="inlineStr">
        <is>
          <t xml:space="preserve">BX </t>
        </is>
      </c>
      <c r="S120" t="n">
        <v>3</v>
      </c>
      <c r="T120" t="n">
        <v>3</v>
      </c>
      <c r="U120" t="inlineStr">
        <is>
          <t>2006-11-19</t>
        </is>
      </c>
      <c r="V120" t="inlineStr">
        <is>
          <t>2006-11-19</t>
        </is>
      </c>
      <c r="W120" t="inlineStr">
        <is>
          <t>2001-01-08</t>
        </is>
      </c>
      <c r="X120" t="inlineStr">
        <is>
          <t>2001-01-08</t>
        </is>
      </c>
      <c r="Y120" t="n">
        <v>314</v>
      </c>
      <c r="Z120" t="n">
        <v>294</v>
      </c>
      <c r="AA120" t="n">
        <v>301</v>
      </c>
      <c r="AB120" t="n">
        <v>3</v>
      </c>
      <c r="AC120" t="n">
        <v>3</v>
      </c>
      <c r="AD120" t="n">
        <v>22</v>
      </c>
      <c r="AE120" t="n">
        <v>22</v>
      </c>
      <c r="AF120" t="n">
        <v>8</v>
      </c>
      <c r="AG120" t="n">
        <v>8</v>
      </c>
      <c r="AH120" t="n">
        <v>6</v>
      </c>
      <c r="AI120" t="n">
        <v>6</v>
      </c>
      <c r="AJ120" t="n">
        <v>14</v>
      </c>
      <c r="AK120" t="n">
        <v>14</v>
      </c>
      <c r="AL120" t="n">
        <v>2</v>
      </c>
      <c r="AM120" t="n">
        <v>2</v>
      </c>
      <c r="AN120" t="n">
        <v>0</v>
      </c>
      <c r="AO120" t="n">
        <v>0</v>
      </c>
      <c r="AP120" t="inlineStr">
        <is>
          <t>No</t>
        </is>
      </c>
      <c r="AQ120" t="inlineStr">
        <is>
          <t>Yes</t>
        </is>
      </c>
      <c r="AR120">
        <f>HYPERLINK("http://catalog.hathitrust.org/Record/009925347","HathiTrust Record")</f>
        <v/>
      </c>
      <c r="AS120">
        <f>HYPERLINK("https://creighton-primo.hosted.exlibrisgroup.com/primo-explore/search?tab=default_tab&amp;search_scope=EVERYTHING&amp;vid=01CRU&amp;lang=en_US&amp;offset=0&amp;query=any,contains,991003352629702656","Catalog Record")</f>
        <v/>
      </c>
      <c r="AT120">
        <f>HYPERLINK("http://www.worldcat.org/oclc/44039278","WorldCat Record")</f>
        <v/>
      </c>
      <c r="AU120" t="inlineStr">
        <is>
          <t>3901712476:eng</t>
        </is>
      </c>
      <c r="AV120" t="inlineStr">
        <is>
          <t>44039278</t>
        </is>
      </c>
      <c r="AW120" t="inlineStr">
        <is>
          <t>991003352629702656</t>
        </is>
      </c>
      <c r="AX120" t="inlineStr">
        <is>
          <t>991003352629702656</t>
        </is>
      </c>
      <c r="AY120" t="inlineStr">
        <is>
          <t>2265503390002656</t>
        </is>
      </c>
      <c r="AZ120" t="inlineStr">
        <is>
          <t>BOOK</t>
        </is>
      </c>
      <c r="BB120" t="inlineStr">
        <is>
          <t>9781575001487</t>
        </is>
      </c>
      <c r="BC120" t="inlineStr">
        <is>
          <t>32285004280912</t>
        </is>
      </c>
      <c r="BD120" t="inlineStr">
        <is>
          <t>893604710</t>
        </is>
      </c>
    </row>
    <row r="121">
      <c r="A121" t="inlineStr">
        <is>
          <t>No</t>
        </is>
      </c>
      <c r="B121" t="inlineStr">
        <is>
          <t>BX1395 .E72 no. 5-7</t>
        </is>
      </c>
      <c r="C121" t="inlineStr">
        <is>
          <t>0                      BX 1395000E  72                                                      no. 5-7</t>
        </is>
      </c>
      <c r="D121" t="inlineStr">
        <is>
          <t>Vital realities / by Carl Schmitt, Nicholas Berdyaev [and] Michael De La Bedoyère.</t>
        </is>
      </c>
      <c r="E121" t="inlineStr">
        <is>
          <t>no. 5-7*</t>
        </is>
      </c>
      <c r="F121" t="inlineStr">
        <is>
          <t>No</t>
        </is>
      </c>
      <c r="G121" t="inlineStr">
        <is>
          <t>1</t>
        </is>
      </c>
      <c r="H121" t="inlineStr">
        <is>
          <t>No</t>
        </is>
      </c>
      <c r="I121" t="inlineStr">
        <is>
          <t>No</t>
        </is>
      </c>
      <c r="J121" t="inlineStr">
        <is>
          <t>0</t>
        </is>
      </c>
      <c r="L121" t="inlineStr">
        <is>
          <t>New York : The Macmillan company, 1932.</t>
        </is>
      </c>
      <c r="M121" t="inlineStr">
        <is>
          <t>1932</t>
        </is>
      </c>
      <c r="O121" t="inlineStr">
        <is>
          <t>eng</t>
        </is>
      </c>
      <c r="P121" t="inlineStr">
        <is>
          <t>nyu</t>
        </is>
      </c>
      <c r="Q121" t="inlineStr">
        <is>
          <t>Essays in order ; 5-7</t>
        </is>
      </c>
      <c r="R121" t="inlineStr">
        <is>
          <t xml:space="preserve">BX </t>
        </is>
      </c>
      <c r="S121" t="n">
        <v>1</v>
      </c>
      <c r="T121" t="n">
        <v>1</v>
      </c>
      <c r="U121" t="inlineStr">
        <is>
          <t>2005-11-19</t>
        </is>
      </c>
      <c r="V121" t="inlineStr">
        <is>
          <t>2005-11-19</t>
        </is>
      </c>
      <c r="W121" t="inlineStr">
        <is>
          <t>1991-02-11</t>
        </is>
      </c>
      <c r="X121" t="inlineStr">
        <is>
          <t>1991-02-11</t>
        </is>
      </c>
      <c r="Y121" t="n">
        <v>176</v>
      </c>
      <c r="Z121" t="n">
        <v>169</v>
      </c>
      <c r="AA121" t="n">
        <v>172</v>
      </c>
      <c r="AB121" t="n">
        <v>1</v>
      </c>
      <c r="AC121" t="n">
        <v>1</v>
      </c>
      <c r="AD121" t="n">
        <v>24</v>
      </c>
      <c r="AE121" t="n">
        <v>24</v>
      </c>
      <c r="AF121" t="n">
        <v>8</v>
      </c>
      <c r="AG121" t="n">
        <v>8</v>
      </c>
      <c r="AH121" t="n">
        <v>7</v>
      </c>
      <c r="AI121" t="n">
        <v>7</v>
      </c>
      <c r="AJ121" t="n">
        <v>19</v>
      </c>
      <c r="AK121" t="n">
        <v>19</v>
      </c>
      <c r="AL121" t="n">
        <v>0</v>
      </c>
      <c r="AM121" t="n">
        <v>0</v>
      </c>
      <c r="AN121" t="n">
        <v>0</v>
      </c>
      <c r="AO121" t="n">
        <v>0</v>
      </c>
      <c r="AP121" t="inlineStr">
        <is>
          <t>No</t>
        </is>
      </c>
      <c r="AQ121" t="inlineStr">
        <is>
          <t>Yes</t>
        </is>
      </c>
      <c r="AR121">
        <f>HYPERLINK("http://catalog.hathitrust.org/Record/001416568","HathiTrust Record")</f>
        <v/>
      </c>
      <c r="AS121">
        <f>HYPERLINK("https://creighton-primo.hosted.exlibrisgroup.com/primo-explore/search?tab=default_tab&amp;search_scope=EVERYTHING&amp;vid=01CRU&amp;lang=en_US&amp;offset=0&amp;query=any,contains,991002279089702656","Catalog Record")</f>
        <v/>
      </c>
      <c r="AT121">
        <f>HYPERLINK("http://www.worldcat.org/oclc/310697","WorldCat Record")</f>
        <v/>
      </c>
      <c r="AU121" t="inlineStr">
        <is>
          <t>114080101:eng</t>
        </is>
      </c>
      <c r="AV121" t="inlineStr">
        <is>
          <t>310697</t>
        </is>
      </c>
      <c r="AW121" t="inlineStr">
        <is>
          <t>991002279089702656</t>
        </is>
      </c>
      <c r="AX121" t="inlineStr">
        <is>
          <t>991002279089702656</t>
        </is>
      </c>
      <c r="AY121" t="inlineStr">
        <is>
          <t>2259774580002656</t>
        </is>
      </c>
      <c r="AZ121" t="inlineStr">
        <is>
          <t>BOOK</t>
        </is>
      </c>
      <c r="BC121" t="inlineStr">
        <is>
          <t>32285000505494</t>
        </is>
      </c>
      <c r="BD121" t="inlineStr">
        <is>
          <t>893873319</t>
        </is>
      </c>
    </row>
    <row r="122">
      <c r="A122" t="inlineStr">
        <is>
          <t>No</t>
        </is>
      </c>
      <c r="B122" t="inlineStr">
        <is>
          <t>BX1395 .E73 1931</t>
        </is>
      </c>
      <c r="C122" t="inlineStr">
        <is>
          <t>0                      BX 1395000E  73          1931</t>
        </is>
      </c>
      <c r="D122" t="inlineStr">
        <is>
          <t>Essays in order / by Jacques Maritain, Peter Wust [and] Christopher Dawson; with a general introduction by Christopher Dawson. General editors, Christopher Dawson [and] J. [!] F. Burns.</t>
        </is>
      </c>
      <c r="F122" t="inlineStr">
        <is>
          <t>No</t>
        </is>
      </c>
      <c r="G122" t="inlineStr">
        <is>
          <t>1</t>
        </is>
      </c>
      <c r="H122" t="inlineStr">
        <is>
          <t>No</t>
        </is>
      </c>
      <c r="I122" t="inlineStr">
        <is>
          <t>No</t>
        </is>
      </c>
      <c r="J122" t="inlineStr">
        <is>
          <t>0</t>
        </is>
      </c>
      <c r="L122" t="inlineStr">
        <is>
          <t>New York : The Macmillan company, 1931.</t>
        </is>
      </c>
      <c r="M122" t="inlineStr">
        <is>
          <t>1931</t>
        </is>
      </c>
      <c r="O122" t="inlineStr">
        <is>
          <t>eng</t>
        </is>
      </c>
      <c r="P122" t="inlineStr">
        <is>
          <t>nyu</t>
        </is>
      </c>
      <c r="Q122" t="inlineStr">
        <is>
          <t>Essays in order ; 1-3</t>
        </is>
      </c>
      <c r="R122" t="inlineStr">
        <is>
          <t xml:space="preserve">BX </t>
        </is>
      </c>
      <c r="S122" t="n">
        <v>3</v>
      </c>
      <c r="T122" t="n">
        <v>3</v>
      </c>
      <c r="U122" t="inlineStr">
        <is>
          <t>1996-03-04</t>
        </is>
      </c>
      <c r="V122" t="inlineStr">
        <is>
          <t>1996-03-04</t>
        </is>
      </c>
      <c r="W122" t="inlineStr">
        <is>
          <t>1991-02-11</t>
        </is>
      </c>
      <c r="X122" t="inlineStr">
        <is>
          <t>1991-02-11</t>
        </is>
      </c>
      <c r="Y122" t="n">
        <v>234</v>
      </c>
      <c r="Z122" t="n">
        <v>213</v>
      </c>
      <c r="AA122" t="n">
        <v>287</v>
      </c>
      <c r="AB122" t="n">
        <v>3</v>
      </c>
      <c r="AC122" t="n">
        <v>4</v>
      </c>
      <c r="AD122" t="n">
        <v>25</v>
      </c>
      <c r="AE122" t="n">
        <v>30</v>
      </c>
      <c r="AF122" t="n">
        <v>9</v>
      </c>
      <c r="AG122" t="n">
        <v>12</v>
      </c>
      <c r="AH122" t="n">
        <v>5</v>
      </c>
      <c r="AI122" t="n">
        <v>7</v>
      </c>
      <c r="AJ122" t="n">
        <v>22</v>
      </c>
      <c r="AK122" t="n">
        <v>24</v>
      </c>
      <c r="AL122" t="n">
        <v>0</v>
      </c>
      <c r="AM122" t="n">
        <v>0</v>
      </c>
      <c r="AN122" t="n">
        <v>0</v>
      </c>
      <c r="AO122" t="n">
        <v>0</v>
      </c>
      <c r="AP122" t="inlineStr">
        <is>
          <t>Yes</t>
        </is>
      </c>
      <c r="AQ122" t="inlineStr">
        <is>
          <t>No</t>
        </is>
      </c>
      <c r="AR122">
        <f>HYPERLINK("http://catalog.hathitrust.org/Record/001415938","HathiTrust Record")</f>
        <v/>
      </c>
      <c r="AS122">
        <f>HYPERLINK("https://creighton-primo.hosted.exlibrisgroup.com/primo-explore/search?tab=default_tab&amp;search_scope=EVERYTHING&amp;vid=01CRU&amp;lang=en_US&amp;offset=0&amp;query=any,contains,991002332429702656","Catalog Record")</f>
        <v/>
      </c>
      <c r="AT122">
        <f>HYPERLINK("http://www.worldcat.org/oclc/322521","WorldCat Record")</f>
        <v/>
      </c>
      <c r="AU122" t="inlineStr">
        <is>
          <t>386403960:eng</t>
        </is>
      </c>
      <c r="AV122" t="inlineStr">
        <is>
          <t>322521</t>
        </is>
      </c>
      <c r="AW122" t="inlineStr">
        <is>
          <t>991002332429702656</t>
        </is>
      </c>
      <c r="AX122" t="inlineStr">
        <is>
          <t>991002332429702656</t>
        </is>
      </c>
      <c r="AY122" t="inlineStr">
        <is>
          <t>2257160980002656</t>
        </is>
      </c>
      <c r="AZ122" t="inlineStr">
        <is>
          <t>BOOK</t>
        </is>
      </c>
      <c r="BC122" t="inlineStr">
        <is>
          <t>32285000505437</t>
        </is>
      </c>
      <c r="BD122" t="inlineStr">
        <is>
          <t>893322808</t>
        </is>
      </c>
    </row>
    <row r="123">
      <c r="A123" t="inlineStr">
        <is>
          <t>No</t>
        </is>
      </c>
      <c r="B123" t="inlineStr">
        <is>
          <t>BX1395 .M2 1969</t>
        </is>
      </c>
      <c r="C123" t="inlineStr">
        <is>
          <t>0                      BX 1395000M  2           1969</t>
        </is>
      </c>
      <c r="D123" t="inlineStr">
        <is>
          <t>Sacraments for secular man / George McCauley.</t>
        </is>
      </c>
      <c r="F123" t="inlineStr">
        <is>
          <t>No</t>
        </is>
      </c>
      <c r="G123" t="inlineStr">
        <is>
          <t>1</t>
        </is>
      </c>
      <c r="H123" t="inlineStr">
        <is>
          <t>No</t>
        </is>
      </c>
      <c r="I123" t="inlineStr">
        <is>
          <t>No</t>
        </is>
      </c>
      <c r="J123" t="inlineStr">
        <is>
          <t>0</t>
        </is>
      </c>
      <c r="K123" t="inlineStr">
        <is>
          <t>McCauley, George.</t>
        </is>
      </c>
      <c r="L123" t="inlineStr">
        <is>
          <t>[New York] : Herder &amp; Herder, [1969]</t>
        </is>
      </c>
      <c r="M123" t="inlineStr">
        <is>
          <t>1969</t>
        </is>
      </c>
      <c r="O123" t="inlineStr">
        <is>
          <t>eng</t>
        </is>
      </c>
      <c r="P123" t="inlineStr">
        <is>
          <t>___</t>
        </is>
      </c>
      <c r="R123" t="inlineStr">
        <is>
          <t xml:space="preserve">BX </t>
        </is>
      </c>
      <c r="S123" t="n">
        <v>3</v>
      </c>
      <c r="T123" t="n">
        <v>3</v>
      </c>
      <c r="U123" t="inlineStr">
        <is>
          <t>1995-05-15</t>
        </is>
      </c>
      <c r="V123" t="inlineStr">
        <is>
          <t>1995-05-15</t>
        </is>
      </c>
      <c r="W123" t="inlineStr">
        <is>
          <t>1990-04-10</t>
        </is>
      </c>
      <c r="X123" t="inlineStr">
        <is>
          <t>1990-04-10</t>
        </is>
      </c>
      <c r="Y123" t="n">
        <v>141</v>
      </c>
      <c r="Z123" t="n">
        <v>127</v>
      </c>
      <c r="AA123" t="n">
        <v>167</v>
      </c>
      <c r="AB123" t="n">
        <v>1</v>
      </c>
      <c r="AC123" t="n">
        <v>3</v>
      </c>
      <c r="AD123" t="n">
        <v>21</v>
      </c>
      <c r="AE123" t="n">
        <v>27</v>
      </c>
      <c r="AF123" t="n">
        <v>3</v>
      </c>
      <c r="AG123" t="n">
        <v>4</v>
      </c>
      <c r="AH123" t="n">
        <v>6</v>
      </c>
      <c r="AI123" t="n">
        <v>9</v>
      </c>
      <c r="AJ123" t="n">
        <v>19</v>
      </c>
      <c r="AK123" t="n">
        <v>21</v>
      </c>
      <c r="AL123" t="n">
        <v>0</v>
      </c>
      <c r="AM123" t="n">
        <v>1</v>
      </c>
      <c r="AN123" t="n">
        <v>0</v>
      </c>
      <c r="AO123" t="n">
        <v>0</v>
      </c>
      <c r="AP123" t="inlineStr">
        <is>
          <t>No</t>
        </is>
      </c>
      <c r="AQ123" t="inlineStr">
        <is>
          <t>No</t>
        </is>
      </c>
      <c r="AS123">
        <f>HYPERLINK("https://creighton-primo.hosted.exlibrisgroup.com/primo-explore/search?tab=default_tab&amp;search_scope=EVERYTHING&amp;vid=01CRU&amp;lang=en_US&amp;offset=0&amp;query=any,contains,991003195829702656","Catalog Record")</f>
        <v/>
      </c>
      <c r="AT123">
        <f>HYPERLINK("http://www.worldcat.org/oclc/721242","WorldCat Record")</f>
        <v/>
      </c>
      <c r="AU123" t="inlineStr">
        <is>
          <t>1703687:eng</t>
        </is>
      </c>
      <c r="AV123" t="inlineStr">
        <is>
          <t>721242</t>
        </is>
      </c>
      <c r="AW123" t="inlineStr">
        <is>
          <t>991003195829702656</t>
        </is>
      </c>
      <c r="AX123" t="inlineStr">
        <is>
          <t>991003195829702656</t>
        </is>
      </c>
      <c r="AY123" t="inlineStr">
        <is>
          <t>2259055950002656</t>
        </is>
      </c>
      <c r="AZ123" t="inlineStr">
        <is>
          <t>BOOK</t>
        </is>
      </c>
      <c r="BC123" t="inlineStr">
        <is>
          <t>32285000113141</t>
        </is>
      </c>
      <c r="BD123" t="inlineStr">
        <is>
          <t>893887229</t>
        </is>
      </c>
    </row>
    <row r="124">
      <c r="A124" t="inlineStr">
        <is>
          <t>No</t>
        </is>
      </c>
      <c r="B124" t="inlineStr">
        <is>
          <t>BX1395 .M6 1933</t>
        </is>
      </c>
      <c r="C124" t="inlineStr">
        <is>
          <t>0                      BX 1395000M  6           1933</t>
        </is>
      </c>
      <c r="D124" t="inlineStr">
        <is>
          <t>The Catholic church and the modern mind / by Bakewell Morrison.</t>
        </is>
      </c>
      <c r="F124" t="inlineStr">
        <is>
          <t>No</t>
        </is>
      </c>
      <c r="G124" t="inlineStr">
        <is>
          <t>1</t>
        </is>
      </c>
      <c r="H124" t="inlineStr">
        <is>
          <t>No</t>
        </is>
      </c>
      <c r="I124" t="inlineStr">
        <is>
          <t>No</t>
        </is>
      </c>
      <c r="J124" t="inlineStr">
        <is>
          <t>0</t>
        </is>
      </c>
      <c r="K124" t="inlineStr">
        <is>
          <t>Morrison, Bakewell, 1894-</t>
        </is>
      </c>
      <c r="L124" t="inlineStr">
        <is>
          <t>New York ; Milwaukee : The Bruce Publishing Company, [c1933]</t>
        </is>
      </c>
      <c r="M124" t="inlineStr">
        <is>
          <t>1933</t>
        </is>
      </c>
      <c r="O124" t="inlineStr">
        <is>
          <t>eng</t>
        </is>
      </c>
      <c r="P124" t="inlineStr">
        <is>
          <t>nyu</t>
        </is>
      </c>
      <c r="Q124" t="inlineStr">
        <is>
          <t>Science and culture texts</t>
        </is>
      </c>
      <c r="R124" t="inlineStr">
        <is>
          <t xml:space="preserve">BX </t>
        </is>
      </c>
      <c r="S124" t="n">
        <v>5</v>
      </c>
      <c r="T124" t="n">
        <v>5</v>
      </c>
      <c r="U124" t="inlineStr">
        <is>
          <t>1996-02-28</t>
        </is>
      </c>
      <c r="V124" t="inlineStr">
        <is>
          <t>1996-02-28</t>
        </is>
      </c>
      <c r="W124" t="inlineStr">
        <is>
          <t>1991-02-11</t>
        </is>
      </c>
      <c r="X124" t="inlineStr">
        <is>
          <t>1991-02-11</t>
        </is>
      </c>
      <c r="Y124" t="n">
        <v>115</v>
      </c>
      <c r="Z124" t="n">
        <v>103</v>
      </c>
      <c r="AA124" t="n">
        <v>115</v>
      </c>
      <c r="AB124" t="n">
        <v>1</v>
      </c>
      <c r="AC124" t="n">
        <v>2</v>
      </c>
      <c r="AD124" t="n">
        <v>16</v>
      </c>
      <c r="AE124" t="n">
        <v>19</v>
      </c>
      <c r="AF124" t="n">
        <v>3</v>
      </c>
      <c r="AG124" t="n">
        <v>3</v>
      </c>
      <c r="AH124" t="n">
        <v>4</v>
      </c>
      <c r="AI124" t="n">
        <v>6</v>
      </c>
      <c r="AJ124" t="n">
        <v>14</v>
      </c>
      <c r="AK124" t="n">
        <v>16</v>
      </c>
      <c r="AL124" t="n">
        <v>0</v>
      </c>
      <c r="AM124" t="n">
        <v>0</v>
      </c>
      <c r="AN124" t="n">
        <v>0</v>
      </c>
      <c r="AO124" t="n">
        <v>0</v>
      </c>
      <c r="AP124" t="inlineStr">
        <is>
          <t>No</t>
        </is>
      </c>
      <c r="AQ124" t="inlineStr">
        <is>
          <t>No</t>
        </is>
      </c>
      <c r="AS124">
        <f>HYPERLINK("https://creighton-primo.hosted.exlibrisgroup.com/primo-explore/search?tab=default_tab&amp;search_scope=EVERYTHING&amp;vid=01CRU&amp;lang=en_US&amp;offset=0&amp;query=any,contains,991004841709702656","Catalog Record")</f>
        <v/>
      </c>
      <c r="AT124">
        <f>HYPERLINK("http://www.worldcat.org/oclc/5504196","WorldCat Record")</f>
        <v/>
      </c>
      <c r="AU124" t="inlineStr">
        <is>
          <t>2005341:eng</t>
        </is>
      </c>
      <c r="AV124" t="inlineStr">
        <is>
          <t>5504196</t>
        </is>
      </c>
      <c r="AW124" t="inlineStr">
        <is>
          <t>991004841709702656</t>
        </is>
      </c>
      <c r="AX124" t="inlineStr">
        <is>
          <t>991004841709702656</t>
        </is>
      </c>
      <c r="AY124" t="inlineStr">
        <is>
          <t>2271175700002656</t>
        </is>
      </c>
      <c r="AZ124" t="inlineStr">
        <is>
          <t>BOOK</t>
        </is>
      </c>
      <c r="BC124" t="inlineStr">
        <is>
          <t>32285000505452</t>
        </is>
      </c>
      <c r="BD124" t="inlineStr">
        <is>
          <t>893895554</t>
        </is>
      </c>
    </row>
    <row r="125">
      <c r="A125" t="inlineStr">
        <is>
          <t>No</t>
        </is>
      </c>
      <c r="B125" t="inlineStr">
        <is>
          <t>BX1395 .O5 1959</t>
        </is>
      </c>
      <c r="C125" t="inlineStr">
        <is>
          <t>0                      BX 1395000O  5           1959</t>
        </is>
      </c>
      <c r="D125" t="inlineStr">
        <is>
          <t>American Catholic crossroads : religious-secular encounters in the modern world.</t>
        </is>
      </c>
      <c r="F125" t="inlineStr">
        <is>
          <t>No</t>
        </is>
      </c>
      <c r="G125" t="inlineStr">
        <is>
          <t>1</t>
        </is>
      </c>
      <c r="H125" t="inlineStr">
        <is>
          <t>No</t>
        </is>
      </c>
      <c r="I125" t="inlineStr">
        <is>
          <t>No</t>
        </is>
      </c>
      <c r="J125" t="inlineStr">
        <is>
          <t>0</t>
        </is>
      </c>
      <c r="K125" t="inlineStr">
        <is>
          <t>Ong, Walter J.</t>
        </is>
      </c>
      <c r="L125" t="inlineStr">
        <is>
          <t>New York : The Macmillan Company, 1959.</t>
        </is>
      </c>
      <c r="M125" t="inlineStr">
        <is>
          <t>1959</t>
        </is>
      </c>
      <c r="O125" t="inlineStr">
        <is>
          <t>eng</t>
        </is>
      </c>
      <c r="P125" t="inlineStr">
        <is>
          <t xml:space="preserve">xx </t>
        </is>
      </c>
      <c r="R125" t="inlineStr">
        <is>
          <t xml:space="preserve">BX </t>
        </is>
      </c>
      <c r="S125" t="n">
        <v>4</v>
      </c>
      <c r="T125" t="n">
        <v>4</v>
      </c>
      <c r="U125" t="inlineStr">
        <is>
          <t>2006-03-10</t>
        </is>
      </c>
      <c r="V125" t="inlineStr">
        <is>
          <t>2006-03-10</t>
        </is>
      </c>
      <c r="W125" t="inlineStr">
        <is>
          <t>1991-02-11</t>
        </is>
      </c>
      <c r="X125" t="inlineStr">
        <is>
          <t>1991-02-11</t>
        </is>
      </c>
      <c r="Y125" t="n">
        <v>409</v>
      </c>
      <c r="Z125" t="n">
        <v>370</v>
      </c>
      <c r="AA125" t="n">
        <v>454</v>
      </c>
      <c r="AB125" t="n">
        <v>4</v>
      </c>
      <c r="AC125" t="n">
        <v>5</v>
      </c>
      <c r="AD125" t="n">
        <v>36</v>
      </c>
      <c r="AE125" t="n">
        <v>40</v>
      </c>
      <c r="AF125" t="n">
        <v>13</v>
      </c>
      <c r="AG125" t="n">
        <v>14</v>
      </c>
      <c r="AH125" t="n">
        <v>8</v>
      </c>
      <c r="AI125" t="n">
        <v>9</v>
      </c>
      <c r="AJ125" t="n">
        <v>25</v>
      </c>
      <c r="AK125" t="n">
        <v>27</v>
      </c>
      <c r="AL125" t="n">
        <v>2</v>
      </c>
      <c r="AM125" t="n">
        <v>3</v>
      </c>
      <c r="AN125" t="n">
        <v>0</v>
      </c>
      <c r="AO125" t="n">
        <v>0</v>
      </c>
      <c r="AP125" t="inlineStr">
        <is>
          <t>No</t>
        </is>
      </c>
      <c r="AQ125" t="inlineStr">
        <is>
          <t>No</t>
        </is>
      </c>
      <c r="AR125">
        <f>HYPERLINK("http://catalog.hathitrust.org/Record/000015409","HathiTrust Record")</f>
        <v/>
      </c>
      <c r="AS125">
        <f>HYPERLINK("https://creighton-primo.hosted.exlibrisgroup.com/primo-explore/search?tab=default_tab&amp;search_scope=EVERYTHING&amp;vid=01CRU&amp;lang=en_US&amp;offset=0&amp;query=any,contains,991003417629702656","Catalog Record")</f>
        <v/>
      </c>
      <c r="AT125">
        <f>HYPERLINK("http://www.worldcat.org/oclc/959043","WorldCat Record")</f>
        <v/>
      </c>
      <c r="AU125" t="inlineStr">
        <is>
          <t>446379:eng</t>
        </is>
      </c>
      <c r="AV125" t="inlineStr">
        <is>
          <t>959043</t>
        </is>
      </c>
      <c r="AW125" t="inlineStr">
        <is>
          <t>991003417629702656</t>
        </is>
      </c>
      <c r="AX125" t="inlineStr">
        <is>
          <t>991003417629702656</t>
        </is>
      </c>
      <c r="AY125" t="inlineStr">
        <is>
          <t>2268649120002656</t>
        </is>
      </c>
      <c r="AZ125" t="inlineStr">
        <is>
          <t>BOOK</t>
        </is>
      </c>
      <c r="BC125" t="inlineStr">
        <is>
          <t>32285000505478</t>
        </is>
      </c>
      <c r="BD125" t="inlineStr">
        <is>
          <t>893805762</t>
        </is>
      </c>
    </row>
    <row r="126">
      <c r="A126" t="inlineStr">
        <is>
          <t>No</t>
        </is>
      </c>
      <c r="B126" t="inlineStr">
        <is>
          <t>BX1396 .A77 1992</t>
        </is>
      </c>
      <c r="C126" t="inlineStr">
        <is>
          <t>0                      BX 1396000A  77          1992</t>
        </is>
      </c>
      <c r="D126" t="inlineStr">
        <is>
          <t>"Church and age unite!" : the modernist impulse in American Catholicism / R. Scott Appleby.</t>
        </is>
      </c>
      <c r="F126" t="inlineStr">
        <is>
          <t>No</t>
        </is>
      </c>
      <c r="G126" t="inlineStr">
        <is>
          <t>1</t>
        </is>
      </c>
      <c r="H126" t="inlineStr">
        <is>
          <t>No</t>
        </is>
      </c>
      <c r="I126" t="inlineStr">
        <is>
          <t>No</t>
        </is>
      </c>
      <c r="J126" t="inlineStr">
        <is>
          <t>0</t>
        </is>
      </c>
      <c r="K126" t="inlineStr">
        <is>
          <t>Appleby, R. Scott, 1956-</t>
        </is>
      </c>
      <c r="L126" t="inlineStr">
        <is>
          <t>Notre Dame : University of Notre Dame Press, c1992.</t>
        </is>
      </c>
      <c r="M126" t="inlineStr">
        <is>
          <t>1992</t>
        </is>
      </c>
      <c r="O126" t="inlineStr">
        <is>
          <t>eng</t>
        </is>
      </c>
      <c r="P126" t="inlineStr">
        <is>
          <t>inu</t>
        </is>
      </c>
      <c r="Q126" t="inlineStr">
        <is>
          <t>Notre Dame studies in American Catholicism</t>
        </is>
      </c>
      <c r="R126" t="inlineStr">
        <is>
          <t xml:space="preserve">BX </t>
        </is>
      </c>
      <c r="S126" t="n">
        <v>2</v>
      </c>
      <c r="T126" t="n">
        <v>2</v>
      </c>
      <c r="U126" t="inlineStr">
        <is>
          <t>1993-05-11</t>
        </is>
      </c>
      <c r="V126" t="inlineStr">
        <is>
          <t>1993-05-11</t>
        </is>
      </c>
      <c r="W126" t="inlineStr">
        <is>
          <t>1993-01-04</t>
        </is>
      </c>
      <c r="X126" t="inlineStr">
        <is>
          <t>1993-01-04</t>
        </is>
      </c>
      <c r="Y126" t="n">
        <v>373</v>
      </c>
      <c r="Z126" t="n">
        <v>337</v>
      </c>
      <c r="AA126" t="n">
        <v>344</v>
      </c>
      <c r="AB126" t="n">
        <v>3</v>
      </c>
      <c r="AC126" t="n">
        <v>3</v>
      </c>
      <c r="AD126" t="n">
        <v>35</v>
      </c>
      <c r="AE126" t="n">
        <v>35</v>
      </c>
      <c r="AF126" t="n">
        <v>15</v>
      </c>
      <c r="AG126" t="n">
        <v>15</v>
      </c>
      <c r="AH126" t="n">
        <v>9</v>
      </c>
      <c r="AI126" t="n">
        <v>9</v>
      </c>
      <c r="AJ126" t="n">
        <v>23</v>
      </c>
      <c r="AK126" t="n">
        <v>23</v>
      </c>
      <c r="AL126" t="n">
        <v>1</v>
      </c>
      <c r="AM126" t="n">
        <v>1</v>
      </c>
      <c r="AN126" t="n">
        <v>0</v>
      </c>
      <c r="AO126" t="n">
        <v>0</v>
      </c>
      <c r="AP126" t="inlineStr">
        <is>
          <t>No</t>
        </is>
      </c>
      <c r="AQ126" t="inlineStr">
        <is>
          <t>Yes</t>
        </is>
      </c>
      <c r="AR126">
        <f>HYPERLINK("http://catalog.hathitrust.org/Record/002554551","HathiTrust Record")</f>
        <v/>
      </c>
      <c r="AS126">
        <f>HYPERLINK("https://creighton-primo.hosted.exlibrisgroup.com/primo-explore/search?tab=default_tab&amp;search_scope=EVERYTHING&amp;vid=01CRU&amp;lang=en_US&amp;offset=0&amp;query=any,contains,991001963399702656","Catalog Record")</f>
        <v/>
      </c>
      <c r="AT126">
        <f>HYPERLINK("http://www.worldcat.org/oclc/24871840","WorldCat Record")</f>
        <v/>
      </c>
      <c r="AU126" t="inlineStr">
        <is>
          <t>26226109:eng</t>
        </is>
      </c>
      <c r="AV126" t="inlineStr">
        <is>
          <t>24871840</t>
        </is>
      </c>
      <c r="AW126" t="inlineStr">
        <is>
          <t>991001963399702656</t>
        </is>
      </c>
      <c r="AX126" t="inlineStr">
        <is>
          <t>991001963399702656</t>
        </is>
      </c>
      <c r="AY126" t="inlineStr">
        <is>
          <t>2262805110002656</t>
        </is>
      </c>
      <c r="AZ126" t="inlineStr">
        <is>
          <t>BOOK</t>
        </is>
      </c>
      <c r="BB126" t="inlineStr">
        <is>
          <t>9780268007829</t>
        </is>
      </c>
      <c r="BC126" t="inlineStr">
        <is>
          <t>32285001403400</t>
        </is>
      </c>
      <c r="BD126" t="inlineStr">
        <is>
          <t>893244595</t>
        </is>
      </c>
    </row>
    <row r="127">
      <c r="A127" t="inlineStr">
        <is>
          <t>No</t>
        </is>
      </c>
      <c r="B127" t="inlineStr">
        <is>
          <t>BX1396 .D34</t>
        </is>
      </c>
      <c r="C127" t="inlineStr">
        <is>
          <t>0                      BX 1396000D  34</t>
        </is>
      </c>
      <c r="D127" t="inlineStr">
        <is>
          <t>Transcendence and immanence : a study in Catholic modernism and integralism / by Gabriel Daly.</t>
        </is>
      </c>
      <c r="F127" t="inlineStr">
        <is>
          <t>No</t>
        </is>
      </c>
      <c r="G127" t="inlineStr">
        <is>
          <t>1</t>
        </is>
      </c>
      <c r="H127" t="inlineStr">
        <is>
          <t>No</t>
        </is>
      </c>
      <c r="I127" t="inlineStr">
        <is>
          <t>No</t>
        </is>
      </c>
      <c r="J127" t="inlineStr">
        <is>
          <t>0</t>
        </is>
      </c>
      <c r="K127" t="inlineStr">
        <is>
          <t>Daly, Gabriel.</t>
        </is>
      </c>
      <c r="L127" t="inlineStr">
        <is>
          <t>Oxford : Clarendon Press ; New York : Oxford University Press, 1980.</t>
        </is>
      </c>
      <c r="M127" t="inlineStr">
        <is>
          <t>1980</t>
        </is>
      </c>
      <c r="O127" t="inlineStr">
        <is>
          <t>eng</t>
        </is>
      </c>
      <c r="P127" t="inlineStr">
        <is>
          <t>enk</t>
        </is>
      </c>
      <c r="R127" t="inlineStr">
        <is>
          <t xml:space="preserve">BX </t>
        </is>
      </c>
      <c r="S127" t="n">
        <v>3</v>
      </c>
      <c r="T127" t="n">
        <v>3</v>
      </c>
      <c r="U127" t="inlineStr">
        <is>
          <t>2004-04-28</t>
        </is>
      </c>
      <c r="V127" t="inlineStr">
        <is>
          <t>2004-04-28</t>
        </is>
      </c>
      <c r="W127" t="inlineStr">
        <is>
          <t>1991-02-11</t>
        </is>
      </c>
      <c r="X127" t="inlineStr">
        <is>
          <t>1991-02-11</t>
        </is>
      </c>
      <c r="Y127" t="n">
        <v>481</v>
      </c>
      <c r="Z127" t="n">
        <v>378</v>
      </c>
      <c r="AA127" t="n">
        <v>380</v>
      </c>
      <c r="AB127" t="n">
        <v>4</v>
      </c>
      <c r="AC127" t="n">
        <v>4</v>
      </c>
      <c r="AD127" t="n">
        <v>30</v>
      </c>
      <c r="AE127" t="n">
        <v>30</v>
      </c>
      <c r="AF127" t="n">
        <v>10</v>
      </c>
      <c r="AG127" t="n">
        <v>10</v>
      </c>
      <c r="AH127" t="n">
        <v>8</v>
      </c>
      <c r="AI127" t="n">
        <v>8</v>
      </c>
      <c r="AJ127" t="n">
        <v>20</v>
      </c>
      <c r="AK127" t="n">
        <v>20</v>
      </c>
      <c r="AL127" t="n">
        <v>2</v>
      </c>
      <c r="AM127" t="n">
        <v>2</v>
      </c>
      <c r="AN127" t="n">
        <v>0</v>
      </c>
      <c r="AO127" t="n">
        <v>0</v>
      </c>
      <c r="AP127" t="inlineStr">
        <is>
          <t>No</t>
        </is>
      </c>
      <c r="AQ127" t="inlineStr">
        <is>
          <t>Yes</t>
        </is>
      </c>
      <c r="AR127">
        <f>HYPERLINK("http://catalog.hathitrust.org/Record/000682608","HathiTrust Record")</f>
        <v/>
      </c>
      <c r="AS127">
        <f>HYPERLINK("https://creighton-primo.hosted.exlibrisgroup.com/primo-explore/search?tab=default_tab&amp;search_scope=EVERYTHING&amp;vid=01CRU&amp;lang=en_US&amp;offset=0&amp;query=any,contains,991004935189702656","Catalog Record")</f>
        <v/>
      </c>
      <c r="AT127">
        <f>HYPERLINK("http://www.worldcat.org/oclc/6142546","WorldCat Record")</f>
        <v/>
      </c>
      <c r="AU127" t="inlineStr">
        <is>
          <t>198896730:eng</t>
        </is>
      </c>
      <c r="AV127" t="inlineStr">
        <is>
          <t>6142546</t>
        </is>
      </c>
      <c r="AW127" t="inlineStr">
        <is>
          <t>991004935189702656</t>
        </is>
      </c>
      <c r="AX127" t="inlineStr">
        <is>
          <t>991004935189702656</t>
        </is>
      </c>
      <c r="AY127" t="inlineStr">
        <is>
          <t>2261540850002656</t>
        </is>
      </c>
      <c r="AZ127" t="inlineStr">
        <is>
          <t>BOOK</t>
        </is>
      </c>
      <c r="BB127" t="inlineStr">
        <is>
          <t>9780198266525</t>
        </is>
      </c>
      <c r="BC127" t="inlineStr">
        <is>
          <t>32285000505528</t>
        </is>
      </c>
      <c r="BD127" t="inlineStr">
        <is>
          <t>893501109</t>
        </is>
      </c>
    </row>
    <row r="128">
      <c r="A128" t="inlineStr">
        <is>
          <t>No</t>
        </is>
      </c>
      <c r="B128" t="inlineStr">
        <is>
          <t>BX1396 .H4 1968</t>
        </is>
      </c>
      <c r="C128" t="inlineStr">
        <is>
          <t>0                      BX 1396000H  4           1968</t>
        </is>
      </c>
      <c r="D128" t="inlineStr">
        <is>
          <t>The modernist crisis, von Hügel / by John J. Heaney.</t>
        </is>
      </c>
      <c r="F128" t="inlineStr">
        <is>
          <t>No</t>
        </is>
      </c>
      <c r="G128" t="inlineStr">
        <is>
          <t>1</t>
        </is>
      </c>
      <c r="H128" t="inlineStr">
        <is>
          <t>No</t>
        </is>
      </c>
      <c r="I128" t="inlineStr">
        <is>
          <t>No</t>
        </is>
      </c>
      <c r="J128" t="inlineStr">
        <is>
          <t>0</t>
        </is>
      </c>
      <c r="K128" t="inlineStr">
        <is>
          <t>Heaney, John J.</t>
        </is>
      </c>
      <c r="L128" t="inlineStr">
        <is>
          <t>Washington : Corpus Books, [1968]</t>
        </is>
      </c>
      <c r="M128" t="inlineStr">
        <is>
          <t>1968</t>
        </is>
      </c>
      <c r="O128" t="inlineStr">
        <is>
          <t>eng</t>
        </is>
      </c>
      <c r="P128" t="inlineStr">
        <is>
          <t>dcu</t>
        </is>
      </c>
      <c r="R128" t="inlineStr">
        <is>
          <t xml:space="preserve">BX </t>
        </is>
      </c>
      <c r="S128" t="n">
        <v>5</v>
      </c>
      <c r="T128" t="n">
        <v>5</v>
      </c>
      <c r="U128" t="inlineStr">
        <is>
          <t>2010-04-12</t>
        </is>
      </c>
      <c r="V128" t="inlineStr">
        <is>
          <t>2010-04-12</t>
        </is>
      </c>
      <c r="W128" t="inlineStr">
        <is>
          <t>1991-02-11</t>
        </is>
      </c>
      <c r="X128" t="inlineStr">
        <is>
          <t>1991-02-11</t>
        </is>
      </c>
      <c r="Y128" t="n">
        <v>334</v>
      </c>
      <c r="Z128" t="n">
        <v>298</v>
      </c>
      <c r="AA128" t="n">
        <v>322</v>
      </c>
      <c r="AB128" t="n">
        <v>4</v>
      </c>
      <c r="AC128" t="n">
        <v>4</v>
      </c>
      <c r="AD128" t="n">
        <v>29</v>
      </c>
      <c r="AE128" t="n">
        <v>29</v>
      </c>
      <c r="AF128" t="n">
        <v>9</v>
      </c>
      <c r="AG128" t="n">
        <v>9</v>
      </c>
      <c r="AH128" t="n">
        <v>8</v>
      </c>
      <c r="AI128" t="n">
        <v>8</v>
      </c>
      <c r="AJ128" t="n">
        <v>22</v>
      </c>
      <c r="AK128" t="n">
        <v>22</v>
      </c>
      <c r="AL128" t="n">
        <v>1</v>
      </c>
      <c r="AM128" t="n">
        <v>1</v>
      </c>
      <c r="AN128" t="n">
        <v>0</v>
      </c>
      <c r="AO128" t="n">
        <v>0</v>
      </c>
      <c r="AP128" t="inlineStr">
        <is>
          <t>No</t>
        </is>
      </c>
      <c r="AQ128" t="inlineStr">
        <is>
          <t>Yes</t>
        </is>
      </c>
      <c r="AR128">
        <f>HYPERLINK("http://catalog.hathitrust.org/Record/001925756","HathiTrust Record")</f>
        <v/>
      </c>
      <c r="AS128">
        <f>HYPERLINK("https://creighton-primo.hosted.exlibrisgroup.com/primo-explore/search?tab=default_tab&amp;search_scope=EVERYTHING&amp;vid=01CRU&amp;lang=en_US&amp;offset=0&amp;query=any,contains,991005432119702656","Catalog Record")</f>
        <v/>
      </c>
      <c r="AT128">
        <f>HYPERLINK("http://www.worldcat.org/oclc/951","WorldCat Record")</f>
        <v/>
      </c>
      <c r="AU128" t="inlineStr">
        <is>
          <t>1124329:eng</t>
        </is>
      </c>
      <c r="AV128" t="inlineStr">
        <is>
          <t>951</t>
        </is>
      </c>
      <c r="AW128" t="inlineStr">
        <is>
          <t>991005432119702656</t>
        </is>
      </c>
      <c r="AX128" t="inlineStr">
        <is>
          <t>991005432119702656</t>
        </is>
      </c>
      <c r="AY128" t="inlineStr">
        <is>
          <t>2272593470002656</t>
        </is>
      </c>
      <c r="AZ128" t="inlineStr">
        <is>
          <t>BOOK</t>
        </is>
      </c>
      <c r="BC128" t="inlineStr">
        <is>
          <t>32285000505536</t>
        </is>
      </c>
      <c r="BD128" t="inlineStr">
        <is>
          <t>893695319</t>
        </is>
      </c>
    </row>
    <row r="129">
      <c r="A129" t="inlineStr">
        <is>
          <t>No</t>
        </is>
      </c>
      <c r="B129" t="inlineStr">
        <is>
          <t>BX1396 .L74</t>
        </is>
      </c>
      <c r="C129" t="inlineStr">
        <is>
          <t>0                      BX 1396000L  74</t>
        </is>
      </c>
      <c r="D129" t="inlineStr">
        <is>
          <t>Liberal Catholicism, reform Catholicism, modernism : a contribution to a new orientation in modernist research / Thomas Michael Loome.</t>
        </is>
      </c>
      <c r="F129" t="inlineStr">
        <is>
          <t>No</t>
        </is>
      </c>
      <c r="G129" t="inlineStr">
        <is>
          <t>1</t>
        </is>
      </c>
      <c r="H129" t="inlineStr">
        <is>
          <t>No</t>
        </is>
      </c>
      <c r="I129" t="inlineStr">
        <is>
          <t>No</t>
        </is>
      </c>
      <c r="J129" t="inlineStr">
        <is>
          <t>0</t>
        </is>
      </c>
      <c r="K129" t="inlineStr">
        <is>
          <t>Loome, Thomas Michael, 1935-</t>
        </is>
      </c>
      <c r="L129" t="inlineStr">
        <is>
          <t>Mainz : Matthias-Grünewald-Verlag, 1979.</t>
        </is>
      </c>
      <c r="M129" t="inlineStr">
        <is>
          <t>1979</t>
        </is>
      </c>
      <c r="O129" t="inlineStr">
        <is>
          <t>eng</t>
        </is>
      </c>
      <c r="P129" t="inlineStr">
        <is>
          <t xml:space="preserve">gw </t>
        </is>
      </c>
      <c r="Q129" t="inlineStr">
        <is>
          <t>Tübinger theologische Studien ; Bd. 14</t>
        </is>
      </c>
      <c r="R129" t="inlineStr">
        <is>
          <t xml:space="preserve">BX </t>
        </is>
      </c>
      <c r="S129" t="n">
        <v>5</v>
      </c>
      <c r="T129" t="n">
        <v>5</v>
      </c>
      <c r="U129" t="inlineStr">
        <is>
          <t>2010-10-26</t>
        </is>
      </c>
      <c r="V129" t="inlineStr">
        <is>
          <t>2010-10-26</t>
        </is>
      </c>
      <c r="W129" t="inlineStr">
        <is>
          <t>1991-02-11</t>
        </is>
      </c>
      <c r="X129" t="inlineStr">
        <is>
          <t>1991-02-11</t>
        </is>
      </c>
      <c r="Y129" t="n">
        <v>313</v>
      </c>
      <c r="Z129" t="n">
        <v>220</v>
      </c>
      <c r="AA129" t="n">
        <v>222</v>
      </c>
      <c r="AB129" t="n">
        <v>2</v>
      </c>
      <c r="AC129" t="n">
        <v>2</v>
      </c>
      <c r="AD129" t="n">
        <v>28</v>
      </c>
      <c r="AE129" t="n">
        <v>28</v>
      </c>
      <c r="AF129" t="n">
        <v>8</v>
      </c>
      <c r="AG129" t="n">
        <v>8</v>
      </c>
      <c r="AH129" t="n">
        <v>8</v>
      </c>
      <c r="AI129" t="n">
        <v>8</v>
      </c>
      <c r="AJ129" t="n">
        <v>21</v>
      </c>
      <c r="AK129" t="n">
        <v>21</v>
      </c>
      <c r="AL129" t="n">
        <v>1</v>
      </c>
      <c r="AM129" t="n">
        <v>1</v>
      </c>
      <c r="AN129" t="n">
        <v>0</v>
      </c>
      <c r="AO129" t="n">
        <v>0</v>
      </c>
      <c r="AP129" t="inlineStr">
        <is>
          <t>No</t>
        </is>
      </c>
      <c r="AQ129" t="inlineStr">
        <is>
          <t>Yes</t>
        </is>
      </c>
      <c r="AR129">
        <f>HYPERLINK("http://catalog.hathitrust.org/Record/000690634","HathiTrust Record")</f>
        <v/>
      </c>
      <c r="AS129">
        <f>HYPERLINK("https://creighton-primo.hosted.exlibrisgroup.com/primo-explore/search?tab=default_tab&amp;search_scope=EVERYTHING&amp;vid=01CRU&amp;lang=en_US&amp;offset=0&amp;query=any,contains,991004770549702656","Catalog Record")</f>
        <v/>
      </c>
      <c r="AT129">
        <f>HYPERLINK("http://www.worldcat.org/oclc/5057835","WorldCat Record")</f>
        <v/>
      </c>
      <c r="AU129" t="inlineStr">
        <is>
          <t>375408423:eng</t>
        </is>
      </c>
      <c r="AV129" t="inlineStr">
        <is>
          <t>5057835</t>
        </is>
      </c>
      <c r="AW129" t="inlineStr">
        <is>
          <t>991004770549702656</t>
        </is>
      </c>
      <c r="AX129" t="inlineStr">
        <is>
          <t>991004770549702656</t>
        </is>
      </c>
      <c r="AY129" t="inlineStr">
        <is>
          <t>2257982680002656</t>
        </is>
      </c>
      <c r="AZ129" t="inlineStr">
        <is>
          <t>BOOK</t>
        </is>
      </c>
      <c r="BB129" t="inlineStr">
        <is>
          <t>9783786706601</t>
        </is>
      </c>
      <c r="BC129" t="inlineStr">
        <is>
          <t>32285000505569</t>
        </is>
      </c>
      <c r="BD129" t="inlineStr">
        <is>
          <t>893889264</t>
        </is>
      </c>
    </row>
    <row r="130">
      <c r="A130" t="inlineStr">
        <is>
          <t>No</t>
        </is>
      </c>
      <c r="B130" t="inlineStr">
        <is>
          <t>BX1396 .M5</t>
        </is>
      </c>
      <c r="C130" t="inlineStr">
        <is>
          <t>0                      BX 1396000M  5</t>
        </is>
      </c>
      <c r="D130" t="inlineStr">
        <is>
          <t>Modernism / Cardinal Mercier ; translated from the French by Marian Lindsay.</t>
        </is>
      </c>
      <c r="F130" t="inlineStr">
        <is>
          <t>No</t>
        </is>
      </c>
      <c r="G130" t="inlineStr">
        <is>
          <t>1</t>
        </is>
      </c>
      <c r="H130" t="inlineStr">
        <is>
          <t>No</t>
        </is>
      </c>
      <c r="I130" t="inlineStr">
        <is>
          <t>No</t>
        </is>
      </c>
      <c r="J130" t="inlineStr">
        <is>
          <t>0</t>
        </is>
      </c>
      <c r="K130" t="inlineStr">
        <is>
          <t>Mercier, Désiré, 1851-1926.</t>
        </is>
      </c>
      <c r="L130" t="inlineStr">
        <is>
          <t>London : Burns &amp; Oates ; St. Louis, Mo. : B. Herder, 1910.</t>
        </is>
      </c>
      <c r="M130" t="inlineStr">
        <is>
          <t>1910</t>
        </is>
      </c>
      <c r="O130" t="inlineStr">
        <is>
          <t>eng</t>
        </is>
      </c>
      <c r="P130" t="inlineStr">
        <is>
          <t>xxu</t>
        </is>
      </c>
      <c r="R130" t="inlineStr">
        <is>
          <t xml:space="preserve">BX </t>
        </is>
      </c>
      <c r="S130" t="n">
        <v>3</v>
      </c>
      <c r="T130" t="n">
        <v>3</v>
      </c>
      <c r="U130" t="inlineStr">
        <is>
          <t>2004-02-25</t>
        </is>
      </c>
      <c r="V130" t="inlineStr">
        <is>
          <t>2004-02-25</t>
        </is>
      </c>
      <c r="W130" t="inlineStr">
        <is>
          <t>1991-02-11</t>
        </is>
      </c>
      <c r="X130" t="inlineStr">
        <is>
          <t>1991-02-11</t>
        </is>
      </c>
      <c r="Y130" t="n">
        <v>73</v>
      </c>
      <c r="Z130" t="n">
        <v>55</v>
      </c>
      <c r="AA130" t="n">
        <v>83</v>
      </c>
      <c r="AB130" t="n">
        <v>2</v>
      </c>
      <c r="AC130" t="n">
        <v>3</v>
      </c>
      <c r="AD130" t="n">
        <v>14</v>
      </c>
      <c r="AE130" t="n">
        <v>17</v>
      </c>
      <c r="AF130" t="n">
        <v>3</v>
      </c>
      <c r="AG130" t="n">
        <v>5</v>
      </c>
      <c r="AH130" t="n">
        <v>4</v>
      </c>
      <c r="AI130" t="n">
        <v>5</v>
      </c>
      <c r="AJ130" t="n">
        <v>10</v>
      </c>
      <c r="AK130" t="n">
        <v>12</v>
      </c>
      <c r="AL130" t="n">
        <v>1</v>
      </c>
      <c r="AM130" t="n">
        <v>1</v>
      </c>
      <c r="AN130" t="n">
        <v>0</v>
      </c>
      <c r="AO130" t="n">
        <v>0</v>
      </c>
      <c r="AP130" t="inlineStr">
        <is>
          <t>No</t>
        </is>
      </c>
      <c r="AQ130" t="inlineStr">
        <is>
          <t>No</t>
        </is>
      </c>
      <c r="AS130">
        <f>HYPERLINK("https://creighton-primo.hosted.exlibrisgroup.com/primo-explore/search?tab=default_tab&amp;search_scope=EVERYTHING&amp;vid=01CRU&amp;lang=en_US&amp;offset=0&amp;query=any,contains,991004518849702656","Catalog Record")</f>
        <v/>
      </c>
      <c r="AT130">
        <f>HYPERLINK("http://www.worldcat.org/oclc/3801730","WorldCat Record")</f>
        <v/>
      </c>
      <c r="AU130" t="inlineStr">
        <is>
          <t>3855420546:eng</t>
        </is>
      </c>
      <c r="AV130" t="inlineStr">
        <is>
          <t>3801730</t>
        </is>
      </c>
      <c r="AW130" t="inlineStr">
        <is>
          <t>991004518849702656</t>
        </is>
      </c>
      <c r="AX130" t="inlineStr">
        <is>
          <t>991004518849702656</t>
        </is>
      </c>
      <c r="AY130" t="inlineStr">
        <is>
          <t>2263262900002656</t>
        </is>
      </c>
      <c r="AZ130" t="inlineStr">
        <is>
          <t>BOOK</t>
        </is>
      </c>
      <c r="BC130" t="inlineStr">
        <is>
          <t>32285000505585</t>
        </is>
      </c>
      <c r="BD130" t="inlineStr">
        <is>
          <t>893350108</t>
        </is>
      </c>
    </row>
    <row r="131">
      <c r="A131" t="inlineStr">
        <is>
          <t>No</t>
        </is>
      </c>
      <c r="B131" t="inlineStr">
        <is>
          <t>BX1396 .N48 1985</t>
        </is>
      </c>
      <c r="C131" t="inlineStr">
        <is>
          <t>0                      BX 1396000N  48          1985</t>
        </is>
      </c>
      <c r="D131" t="inlineStr">
        <is>
          <t>Newman and the modernists / edited by Mary Jo Weaver.</t>
        </is>
      </c>
      <c r="F131" t="inlineStr">
        <is>
          <t>No</t>
        </is>
      </c>
      <c r="G131" t="inlineStr">
        <is>
          <t>1</t>
        </is>
      </c>
      <c r="H131" t="inlineStr">
        <is>
          <t>No</t>
        </is>
      </c>
      <c r="I131" t="inlineStr">
        <is>
          <t>No</t>
        </is>
      </c>
      <c r="J131" t="inlineStr">
        <is>
          <t>0</t>
        </is>
      </c>
      <c r="L131" t="inlineStr">
        <is>
          <t>Lanham, MD : University Press of America ; London : College Theology Society, c1985.</t>
        </is>
      </c>
      <c r="M131" t="inlineStr">
        <is>
          <t>1985</t>
        </is>
      </c>
      <c r="O131" t="inlineStr">
        <is>
          <t>eng</t>
        </is>
      </c>
      <c r="P131" t="inlineStr">
        <is>
          <t>mdu</t>
        </is>
      </c>
      <c r="Q131" t="inlineStr">
        <is>
          <t>Resources in religion ; 1</t>
        </is>
      </c>
      <c r="R131" t="inlineStr">
        <is>
          <t xml:space="preserve">BX </t>
        </is>
      </c>
      <c r="S131" t="n">
        <v>2</v>
      </c>
      <c r="T131" t="n">
        <v>2</v>
      </c>
      <c r="U131" t="inlineStr">
        <is>
          <t>1992-04-08</t>
        </is>
      </c>
      <c r="V131" t="inlineStr">
        <is>
          <t>1992-04-08</t>
        </is>
      </c>
      <c r="W131" t="inlineStr">
        <is>
          <t>1991-02-11</t>
        </is>
      </c>
      <c r="X131" t="inlineStr">
        <is>
          <t>1991-02-11</t>
        </is>
      </c>
      <c r="Y131" t="n">
        <v>208</v>
      </c>
      <c r="Z131" t="n">
        <v>164</v>
      </c>
      <c r="AA131" t="n">
        <v>166</v>
      </c>
      <c r="AB131" t="n">
        <v>2</v>
      </c>
      <c r="AC131" t="n">
        <v>2</v>
      </c>
      <c r="AD131" t="n">
        <v>20</v>
      </c>
      <c r="AE131" t="n">
        <v>20</v>
      </c>
      <c r="AF131" t="n">
        <v>6</v>
      </c>
      <c r="AG131" t="n">
        <v>6</v>
      </c>
      <c r="AH131" t="n">
        <v>5</v>
      </c>
      <c r="AI131" t="n">
        <v>5</v>
      </c>
      <c r="AJ131" t="n">
        <v>14</v>
      </c>
      <c r="AK131" t="n">
        <v>14</v>
      </c>
      <c r="AL131" t="n">
        <v>1</v>
      </c>
      <c r="AM131" t="n">
        <v>1</v>
      </c>
      <c r="AN131" t="n">
        <v>0</v>
      </c>
      <c r="AO131" t="n">
        <v>0</v>
      </c>
      <c r="AP131" t="inlineStr">
        <is>
          <t>No</t>
        </is>
      </c>
      <c r="AQ131" t="inlineStr">
        <is>
          <t>Yes</t>
        </is>
      </c>
      <c r="AR131">
        <f>HYPERLINK("http://catalog.hathitrust.org/Record/000673431","HathiTrust Record")</f>
        <v/>
      </c>
      <c r="AS131">
        <f>HYPERLINK("https://creighton-primo.hosted.exlibrisgroup.com/primo-explore/search?tab=default_tab&amp;search_scope=EVERYTHING&amp;vid=01CRU&amp;lang=en_US&amp;offset=0&amp;query=any,contains,991000725879702656","Catalog Record")</f>
        <v/>
      </c>
      <c r="AT131">
        <f>HYPERLINK("http://www.worldcat.org/oclc/12695558","WorldCat Record")</f>
        <v/>
      </c>
      <c r="AU131" t="inlineStr">
        <is>
          <t>5755489:eng</t>
        </is>
      </c>
      <c r="AV131" t="inlineStr">
        <is>
          <t>12695558</t>
        </is>
      </c>
      <c r="AW131" t="inlineStr">
        <is>
          <t>991000725879702656</t>
        </is>
      </c>
      <c r="AX131" t="inlineStr">
        <is>
          <t>991000725879702656</t>
        </is>
      </c>
      <c r="AY131" t="inlineStr">
        <is>
          <t>2254737050002656</t>
        </is>
      </c>
      <c r="AZ131" t="inlineStr">
        <is>
          <t>BOOK</t>
        </is>
      </c>
      <c r="BB131" t="inlineStr">
        <is>
          <t>9780819146885</t>
        </is>
      </c>
      <c r="BC131" t="inlineStr">
        <is>
          <t>32285000505601</t>
        </is>
      </c>
      <c r="BD131" t="inlineStr">
        <is>
          <t>893413620</t>
        </is>
      </c>
    </row>
    <row r="132">
      <c r="A132" t="inlineStr">
        <is>
          <t>No</t>
        </is>
      </c>
      <c r="B132" t="inlineStr">
        <is>
          <t>BX1396 .R2713 1969b</t>
        </is>
      </c>
      <c r="C132" t="inlineStr">
        <is>
          <t>0                      BX 1396000R  2713        1969b</t>
        </is>
      </c>
      <c r="D132" t="inlineStr">
        <is>
          <t>The Catholic modernists : a study of the religious reform movement, 1864-1907 / translated by Isabel Quigly.</t>
        </is>
      </c>
      <c r="F132" t="inlineStr">
        <is>
          <t>No</t>
        </is>
      </c>
      <c r="G132" t="inlineStr">
        <is>
          <t>1</t>
        </is>
      </c>
      <c r="H132" t="inlineStr">
        <is>
          <t>No</t>
        </is>
      </c>
      <c r="I132" t="inlineStr">
        <is>
          <t>No</t>
        </is>
      </c>
      <c r="J132" t="inlineStr">
        <is>
          <t>0</t>
        </is>
      </c>
      <c r="K132" t="inlineStr">
        <is>
          <t>Ranchetti, Michele.</t>
        </is>
      </c>
      <c r="L132" t="inlineStr">
        <is>
          <t>London ; New York : Oxford University Press, 1969.</t>
        </is>
      </c>
      <c r="M132" t="inlineStr">
        <is>
          <t>1969</t>
        </is>
      </c>
      <c r="O132" t="inlineStr">
        <is>
          <t>eng</t>
        </is>
      </c>
      <c r="P132" t="inlineStr">
        <is>
          <t>enk</t>
        </is>
      </c>
      <c r="R132" t="inlineStr">
        <is>
          <t xml:space="preserve">BX </t>
        </is>
      </c>
      <c r="S132" t="n">
        <v>7</v>
      </c>
      <c r="T132" t="n">
        <v>7</v>
      </c>
      <c r="U132" t="inlineStr">
        <is>
          <t>2010-04-12</t>
        </is>
      </c>
      <c r="V132" t="inlineStr">
        <is>
          <t>2010-04-12</t>
        </is>
      </c>
      <c r="W132" t="inlineStr">
        <is>
          <t>1990-04-10</t>
        </is>
      </c>
      <c r="X132" t="inlineStr">
        <is>
          <t>1990-04-10</t>
        </is>
      </c>
      <c r="Y132" t="n">
        <v>242</v>
      </c>
      <c r="Z132" t="n">
        <v>171</v>
      </c>
      <c r="AA132" t="n">
        <v>295</v>
      </c>
      <c r="AB132" t="n">
        <v>1</v>
      </c>
      <c r="AC132" t="n">
        <v>2</v>
      </c>
      <c r="AD132" t="n">
        <v>12</v>
      </c>
      <c r="AE132" t="n">
        <v>20</v>
      </c>
      <c r="AF132" t="n">
        <v>3</v>
      </c>
      <c r="AG132" t="n">
        <v>4</v>
      </c>
      <c r="AH132" t="n">
        <v>4</v>
      </c>
      <c r="AI132" t="n">
        <v>5</v>
      </c>
      <c r="AJ132" t="n">
        <v>9</v>
      </c>
      <c r="AK132" t="n">
        <v>14</v>
      </c>
      <c r="AL132" t="n">
        <v>0</v>
      </c>
      <c r="AM132" t="n">
        <v>1</v>
      </c>
      <c r="AN132" t="n">
        <v>0</v>
      </c>
      <c r="AO132" t="n">
        <v>0</v>
      </c>
      <c r="AP132" t="inlineStr">
        <is>
          <t>No</t>
        </is>
      </c>
      <c r="AQ132" t="inlineStr">
        <is>
          <t>Yes</t>
        </is>
      </c>
      <c r="AR132">
        <f>HYPERLINK("http://catalog.hathitrust.org/Record/001925872","HathiTrust Record")</f>
        <v/>
      </c>
      <c r="AS132">
        <f>HYPERLINK("https://creighton-primo.hosted.exlibrisgroup.com/primo-explore/search?tab=default_tab&amp;search_scope=EVERYTHING&amp;vid=01CRU&amp;lang=en_US&amp;offset=0&amp;query=any,contains,991000158549702656","Catalog Record")</f>
        <v/>
      </c>
      <c r="AT132">
        <f>HYPERLINK("http://www.worldcat.org/oclc/60760","WorldCat Record")</f>
        <v/>
      </c>
      <c r="AU132" t="inlineStr">
        <is>
          <t>1225921:eng</t>
        </is>
      </c>
      <c r="AV132" t="inlineStr">
        <is>
          <t>60760</t>
        </is>
      </c>
      <c r="AW132" t="inlineStr">
        <is>
          <t>991000158549702656</t>
        </is>
      </c>
      <c r="AX132" t="inlineStr">
        <is>
          <t>991000158549702656</t>
        </is>
      </c>
      <c r="AY132" t="inlineStr">
        <is>
          <t>2271451960002656</t>
        </is>
      </c>
      <c r="AZ132" t="inlineStr">
        <is>
          <t>BOOK</t>
        </is>
      </c>
      <c r="BB132" t="inlineStr">
        <is>
          <t>9780192139443</t>
        </is>
      </c>
      <c r="BC132" t="inlineStr">
        <is>
          <t>32285000114701</t>
        </is>
      </c>
      <c r="BD132" t="inlineStr">
        <is>
          <t>893502296</t>
        </is>
      </c>
    </row>
    <row r="133">
      <c r="A133" t="inlineStr">
        <is>
          <t>No</t>
        </is>
      </c>
      <c r="B133" t="inlineStr">
        <is>
          <t>BX1396 .R3</t>
        </is>
      </c>
      <c r="C133" t="inlineStr">
        <is>
          <t>0                      BX 1396000R  3</t>
        </is>
      </c>
      <c r="D133" t="inlineStr">
        <is>
          <t>Three modernists : Alfred Loisy, George Tyrrell, William L. Sullivan / by John Ratté.</t>
        </is>
      </c>
      <c r="F133" t="inlineStr">
        <is>
          <t>No</t>
        </is>
      </c>
      <c r="G133" t="inlineStr">
        <is>
          <t>1</t>
        </is>
      </c>
      <c r="H133" t="inlineStr">
        <is>
          <t>No</t>
        </is>
      </c>
      <c r="I133" t="inlineStr">
        <is>
          <t>No</t>
        </is>
      </c>
      <c r="J133" t="inlineStr">
        <is>
          <t>0</t>
        </is>
      </c>
      <c r="K133" t="inlineStr">
        <is>
          <t>Ratté, John, 1936-</t>
        </is>
      </c>
      <c r="L133" t="inlineStr">
        <is>
          <t>New York, Sheed and Ward [1967]</t>
        </is>
      </c>
      <c r="M133" t="inlineStr">
        <is>
          <t>1967</t>
        </is>
      </c>
      <c r="O133" t="inlineStr">
        <is>
          <t>eng</t>
        </is>
      </c>
      <c r="P133" t="inlineStr">
        <is>
          <t>nyu</t>
        </is>
      </c>
      <c r="R133" t="inlineStr">
        <is>
          <t xml:space="preserve">BX </t>
        </is>
      </c>
      <c r="S133" t="n">
        <v>7</v>
      </c>
      <c r="T133" t="n">
        <v>7</v>
      </c>
      <c r="U133" t="inlineStr">
        <is>
          <t>2010-04-12</t>
        </is>
      </c>
      <c r="V133" t="inlineStr">
        <is>
          <t>2010-04-12</t>
        </is>
      </c>
      <c r="W133" t="inlineStr">
        <is>
          <t>1991-02-11</t>
        </is>
      </c>
      <c r="X133" t="inlineStr">
        <is>
          <t>1991-02-11</t>
        </is>
      </c>
      <c r="Y133" t="n">
        <v>368</v>
      </c>
      <c r="Z133" t="n">
        <v>337</v>
      </c>
      <c r="AA133" t="n">
        <v>353</v>
      </c>
      <c r="AB133" t="n">
        <v>3</v>
      </c>
      <c r="AC133" t="n">
        <v>3</v>
      </c>
      <c r="AD133" t="n">
        <v>31</v>
      </c>
      <c r="AE133" t="n">
        <v>32</v>
      </c>
      <c r="AF133" t="n">
        <v>10</v>
      </c>
      <c r="AG133" t="n">
        <v>10</v>
      </c>
      <c r="AH133" t="n">
        <v>8</v>
      </c>
      <c r="AI133" t="n">
        <v>9</v>
      </c>
      <c r="AJ133" t="n">
        <v>22</v>
      </c>
      <c r="AK133" t="n">
        <v>23</v>
      </c>
      <c r="AL133" t="n">
        <v>1</v>
      </c>
      <c r="AM133" t="n">
        <v>1</v>
      </c>
      <c r="AN133" t="n">
        <v>0</v>
      </c>
      <c r="AO133" t="n">
        <v>0</v>
      </c>
      <c r="AP133" t="inlineStr">
        <is>
          <t>No</t>
        </is>
      </c>
      <c r="AQ133" t="inlineStr">
        <is>
          <t>No</t>
        </is>
      </c>
      <c r="AS133">
        <f>HYPERLINK("https://creighton-primo.hosted.exlibrisgroup.com/primo-explore/search?tab=default_tab&amp;search_scope=EVERYTHING&amp;vid=01CRU&amp;lang=en_US&amp;offset=0&amp;query=any,contains,991003488139702656","Catalog Record")</f>
        <v/>
      </c>
      <c r="AT133">
        <f>HYPERLINK("http://www.worldcat.org/oclc/1036366","WorldCat Record")</f>
        <v/>
      </c>
      <c r="AU133" t="inlineStr">
        <is>
          <t>227503761:eng</t>
        </is>
      </c>
      <c r="AV133" t="inlineStr">
        <is>
          <t>1036366</t>
        </is>
      </c>
      <c r="AW133" t="inlineStr">
        <is>
          <t>991003488139702656</t>
        </is>
      </c>
      <c r="AX133" t="inlineStr">
        <is>
          <t>991003488139702656</t>
        </is>
      </c>
      <c r="AY133" t="inlineStr">
        <is>
          <t>2265962700002656</t>
        </is>
      </c>
      <c r="AZ133" t="inlineStr">
        <is>
          <t>BOOK</t>
        </is>
      </c>
      <c r="BC133" t="inlineStr">
        <is>
          <t>32285000505627</t>
        </is>
      </c>
      <c r="BD133" t="inlineStr">
        <is>
          <t>893518514</t>
        </is>
      </c>
    </row>
    <row r="134">
      <c r="A134" t="inlineStr">
        <is>
          <t>No</t>
        </is>
      </c>
      <c r="B134" t="inlineStr">
        <is>
          <t>BX1396 .R4 1970</t>
        </is>
      </c>
      <c r="C134" t="inlineStr">
        <is>
          <t>0                      BX 1396000R  4           1970</t>
        </is>
      </c>
      <c r="D134" t="inlineStr">
        <is>
          <t>Roman Catholic modernism / edited and introduced by Bernard M. G. Reardon.</t>
        </is>
      </c>
      <c r="F134" t="inlineStr">
        <is>
          <t>No</t>
        </is>
      </c>
      <c r="G134" t="inlineStr">
        <is>
          <t>1</t>
        </is>
      </c>
      <c r="H134" t="inlineStr">
        <is>
          <t>No</t>
        </is>
      </c>
      <c r="I134" t="inlineStr">
        <is>
          <t>No</t>
        </is>
      </c>
      <c r="J134" t="inlineStr">
        <is>
          <t>0</t>
        </is>
      </c>
      <c r="K134" t="inlineStr">
        <is>
          <t>Reardon, Bernard M. G., compiler.</t>
        </is>
      </c>
      <c r="L134" t="inlineStr">
        <is>
          <t>Stanford, Calif., Stanford University Press [1970]</t>
        </is>
      </c>
      <c r="M134" t="inlineStr">
        <is>
          <t>1970</t>
        </is>
      </c>
      <c r="O134" t="inlineStr">
        <is>
          <t>eng</t>
        </is>
      </c>
      <c r="P134" t="inlineStr">
        <is>
          <t>cau</t>
        </is>
      </c>
      <c r="Q134" t="inlineStr">
        <is>
          <t>A Library of modern religious thought</t>
        </is>
      </c>
      <c r="R134" t="inlineStr">
        <is>
          <t xml:space="preserve">BX </t>
        </is>
      </c>
      <c r="S134" t="n">
        <v>8</v>
      </c>
      <c r="T134" t="n">
        <v>8</v>
      </c>
      <c r="U134" t="inlineStr">
        <is>
          <t>2010-04-12</t>
        </is>
      </c>
      <c r="V134" t="inlineStr">
        <is>
          <t>2010-04-12</t>
        </is>
      </c>
      <c r="W134" t="inlineStr">
        <is>
          <t>1991-02-11</t>
        </is>
      </c>
      <c r="X134" t="inlineStr">
        <is>
          <t>1991-02-11</t>
        </is>
      </c>
      <c r="Y134" t="n">
        <v>367</v>
      </c>
      <c r="Z134" t="n">
        <v>326</v>
      </c>
      <c r="AA134" t="n">
        <v>371</v>
      </c>
      <c r="AB134" t="n">
        <v>3</v>
      </c>
      <c r="AC134" t="n">
        <v>3</v>
      </c>
      <c r="AD134" t="n">
        <v>29</v>
      </c>
      <c r="AE134" t="n">
        <v>31</v>
      </c>
      <c r="AF134" t="n">
        <v>9</v>
      </c>
      <c r="AG134" t="n">
        <v>9</v>
      </c>
      <c r="AH134" t="n">
        <v>7</v>
      </c>
      <c r="AI134" t="n">
        <v>9</v>
      </c>
      <c r="AJ134" t="n">
        <v>21</v>
      </c>
      <c r="AK134" t="n">
        <v>21</v>
      </c>
      <c r="AL134" t="n">
        <v>2</v>
      </c>
      <c r="AM134" t="n">
        <v>2</v>
      </c>
      <c r="AN134" t="n">
        <v>0</v>
      </c>
      <c r="AO134" t="n">
        <v>0</v>
      </c>
      <c r="AP134" t="inlineStr">
        <is>
          <t>No</t>
        </is>
      </c>
      <c r="AQ134" t="inlineStr">
        <is>
          <t>No</t>
        </is>
      </c>
      <c r="AS134">
        <f>HYPERLINK("https://creighton-primo.hosted.exlibrisgroup.com/primo-explore/search?tab=default_tab&amp;search_scope=EVERYTHING&amp;vid=01CRU&amp;lang=en_US&amp;offset=0&amp;query=any,contains,991000673209702656","Catalog Record")</f>
        <v/>
      </c>
      <c r="AT134">
        <f>HYPERLINK("http://www.worldcat.org/oclc/119520","WorldCat Record")</f>
        <v/>
      </c>
      <c r="AU134" t="inlineStr">
        <is>
          <t>459437:eng</t>
        </is>
      </c>
      <c r="AV134" t="inlineStr">
        <is>
          <t>119520</t>
        </is>
      </c>
      <c r="AW134" t="inlineStr">
        <is>
          <t>991000673209702656</t>
        </is>
      </c>
      <c r="AX134" t="inlineStr">
        <is>
          <t>991000673209702656</t>
        </is>
      </c>
      <c r="AY134" t="inlineStr">
        <is>
          <t>2264270320002656</t>
        </is>
      </c>
      <c r="AZ134" t="inlineStr">
        <is>
          <t>BOOK</t>
        </is>
      </c>
      <c r="BB134" t="inlineStr">
        <is>
          <t>9780804707503</t>
        </is>
      </c>
      <c r="BC134" t="inlineStr">
        <is>
          <t>32285000505635</t>
        </is>
      </c>
      <c r="BD134" t="inlineStr">
        <is>
          <t>893708602</t>
        </is>
      </c>
    </row>
    <row r="135">
      <c r="A135" t="inlineStr">
        <is>
          <t>No</t>
        </is>
      </c>
      <c r="B135" t="inlineStr">
        <is>
          <t>BX1396 .T39 1996</t>
        </is>
      </c>
      <c r="C135" t="inlineStr">
        <is>
          <t>0                      BX 1396000T  39          1996</t>
        </is>
      </c>
      <c r="D135" t="inlineStr">
        <is>
          <t>A Catholic modernity? / Charles Taylor.</t>
        </is>
      </c>
      <c r="F135" t="inlineStr">
        <is>
          <t>No</t>
        </is>
      </c>
      <c r="G135" t="inlineStr">
        <is>
          <t>1</t>
        </is>
      </c>
      <c r="H135" t="inlineStr">
        <is>
          <t>No</t>
        </is>
      </c>
      <c r="I135" t="inlineStr">
        <is>
          <t>No</t>
        </is>
      </c>
      <c r="J135" t="inlineStr">
        <is>
          <t>0</t>
        </is>
      </c>
      <c r="K135" t="inlineStr">
        <is>
          <t>Taylor, Charles.</t>
        </is>
      </c>
      <c r="L135" t="inlineStr">
        <is>
          <t>Dayton : The University of Dayton, 1996.</t>
        </is>
      </c>
      <c r="M135" t="inlineStr">
        <is>
          <t>1996</t>
        </is>
      </c>
      <c r="O135" t="inlineStr">
        <is>
          <t>eng</t>
        </is>
      </c>
      <c r="P135" t="inlineStr">
        <is>
          <t>ohu</t>
        </is>
      </c>
      <c r="Q135" t="inlineStr">
        <is>
          <t>Marianist Award lecture ; 1996</t>
        </is>
      </c>
      <c r="R135" t="inlineStr">
        <is>
          <t xml:space="preserve">BX </t>
        </is>
      </c>
      <c r="S135" t="n">
        <v>3</v>
      </c>
      <c r="T135" t="n">
        <v>3</v>
      </c>
      <c r="U135" t="inlineStr">
        <is>
          <t>2000-02-16</t>
        </is>
      </c>
      <c r="V135" t="inlineStr">
        <is>
          <t>2000-02-16</t>
        </is>
      </c>
      <c r="W135" t="inlineStr">
        <is>
          <t>1997-01-23</t>
        </is>
      </c>
      <c r="X135" t="inlineStr">
        <is>
          <t>1997-01-23</t>
        </is>
      </c>
      <c r="Y135" t="n">
        <v>53</v>
      </c>
      <c r="Z135" t="n">
        <v>51</v>
      </c>
      <c r="AA135" t="n">
        <v>51</v>
      </c>
      <c r="AB135" t="n">
        <v>1</v>
      </c>
      <c r="AC135" t="n">
        <v>1</v>
      </c>
      <c r="AD135" t="n">
        <v>10</v>
      </c>
      <c r="AE135" t="n">
        <v>10</v>
      </c>
      <c r="AF135" t="n">
        <v>1</v>
      </c>
      <c r="AG135" t="n">
        <v>1</v>
      </c>
      <c r="AH135" t="n">
        <v>5</v>
      </c>
      <c r="AI135" t="n">
        <v>5</v>
      </c>
      <c r="AJ135" t="n">
        <v>7</v>
      </c>
      <c r="AK135" t="n">
        <v>7</v>
      </c>
      <c r="AL135" t="n">
        <v>0</v>
      </c>
      <c r="AM135" t="n">
        <v>0</v>
      </c>
      <c r="AN135" t="n">
        <v>0</v>
      </c>
      <c r="AO135" t="n">
        <v>0</v>
      </c>
      <c r="AP135" t="inlineStr">
        <is>
          <t>No</t>
        </is>
      </c>
      <c r="AQ135" t="inlineStr">
        <is>
          <t>No</t>
        </is>
      </c>
      <c r="AS135">
        <f>HYPERLINK("https://creighton-primo.hosted.exlibrisgroup.com/primo-explore/search?tab=default_tab&amp;search_scope=EVERYTHING&amp;vid=01CRU&amp;lang=en_US&amp;offset=0&amp;query=any,contains,991002740279702656","Catalog Record")</f>
        <v/>
      </c>
      <c r="AT135">
        <f>HYPERLINK("http://www.worldcat.org/oclc/35986976","WorldCat Record")</f>
        <v/>
      </c>
      <c r="AU135" t="inlineStr">
        <is>
          <t>3857989934:eng</t>
        </is>
      </c>
      <c r="AV135" t="inlineStr">
        <is>
          <t>35986976</t>
        </is>
      </c>
      <c r="AW135" t="inlineStr">
        <is>
          <t>991002740279702656</t>
        </is>
      </c>
      <c r="AX135" t="inlineStr">
        <is>
          <t>991002740279702656</t>
        </is>
      </c>
      <c r="AY135" t="inlineStr">
        <is>
          <t>2268902800002656</t>
        </is>
      </c>
      <c r="AZ135" t="inlineStr">
        <is>
          <t>BOOK</t>
        </is>
      </c>
      <c r="BC135" t="inlineStr">
        <is>
          <t>32285002410909</t>
        </is>
      </c>
      <c r="BD135" t="inlineStr">
        <is>
          <t>893792850</t>
        </is>
      </c>
    </row>
    <row r="136">
      <c r="A136" t="inlineStr">
        <is>
          <t>No</t>
        </is>
      </c>
      <c r="B136" t="inlineStr">
        <is>
          <t>BX1396 .T747</t>
        </is>
      </c>
      <c r="C136" t="inlineStr">
        <is>
          <t>0                      BX 1396000T  747</t>
        </is>
      </c>
      <c r="D136" t="inlineStr">
        <is>
          <t>The condemnation of Alfred Loisy and the historical method / by Francesco Turvasi.</t>
        </is>
      </c>
      <c r="F136" t="inlineStr">
        <is>
          <t>No</t>
        </is>
      </c>
      <c r="G136" t="inlineStr">
        <is>
          <t>1</t>
        </is>
      </c>
      <c r="H136" t="inlineStr">
        <is>
          <t>No</t>
        </is>
      </c>
      <c r="I136" t="inlineStr">
        <is>
          <t>No</t>
        </is>
      </c>
      <c r="J136" t="inlineStr">
        <is>
          <t>0</t>
        </is>
      </c>
      <c r="K136" t="inlineStr">
        <is>
          <t>Turvasi, Francesco.</t>
        </is>
      </c>
      <c r="L136" t="inlineStr">
        <is>
          <t>Roma : Edizioni di storia e letteratura, 1979.</t>
        </is>
      </c>
      <c r="M136" t="inlineStr">
        <is>
          <t>1979</t>
        </is>
      </c>
      <c r="O136" t="inlineStr">
        <is>
          <t>eng</t>
        </is>
      </c>
      <c r="P136" t="inlineStr">
        <is>
          <t xml:space="preserve">it </t>
        </is>
      </c>
      <c r="Q136" t="inlineStr">
        <is>
          <t>Uomini e dottrine ; 24</t>
        </is>
      </c>
      <c r="R136" t="inlineStr">
        <is>
          <t xml:space="preserve">BX </t>
        </is>
      </c>
      <c r="S136" t="n">
        <v>1</v>
      </c>
      <c r="T136" t="n">
        <v>1</v>
      </c>
      <c r="U136" t="inlineStr">
        <is>
          <t>2004-04-28</t>
        </is>
      </c>
      <c r="V136" t="inlineStr">
        <is>
          <t>2004-04-28</t>
        </is>
      </c>
      <c r="W136" t="inlineStr">
        <is>
          <t>1991-02-11</t>
        </is>
      </c>
      <c r="X136" t="inlineStr">
        <is>
          <t>1991-02-11</t>
        </is>
      </c>
      <c r="Y136" t="n">
        <v>125</v>
      </c>
      <c r="Z136" t="n">
        <v>90</v>
      </c>
      <c r="AA136" t="n">
        <v>91</v>
      </c>
      <c r="AB136" t="n">
        <v>1</v>
      </c>
      <c r="AC136" t="n">
        <v>1</v>
      </c>
      <c r="AD136" t="n">
        <v>10</v>
      </c>
      <c r="AE136" t="n">
        <v>10</v>
      </c>
      <c r="AF136" t="n">
        <v>1</v>
      </c>
      <c r="AG136" t="n">
        <v>1</v>
      </c>
      <c r="AH136" t="n">
        <v>3</v>
      </c>
      <c r="AI136" t="n">
        <v>3</v>
      </c>
      <c r="AJ136" t="n">
        <v>7</v>
      </c>
      <c r="AK136" t="n">
        <v>7</v>
      </c>
      <c r="AL136" t="n">
        <v>0</v>
      </c>
      <c r="AM136" t="n">
        <v>0</v>
      </c>
      <c r="AN136" t="n">
        <v>0</v>
      </c>
      <c r="AO136" t="n">
        <v>0</v>
      </c>
      <c r="AP136" t="inlineStr">
        <is>
          <t>No</t>
        </is>
      </c>
      <c r="AQ136" t="inlineStr">
        <is>
          <t>Yes</t>
        </is>
      </c>
      <c r="AR136">
        <f>HYPERLINK("http://catalog.hathitrust.org/Record/000017583","HathiTrust Record")</f>
        <v/>
      </c>
      <c r="AS136">
        <f>HYPERLINK("https://creighton-primo.hosted.exlibrisgroup.com/primo-explore/search?tab=default_tab&amp;search_scope=EVERYTHING&amp;vid=01CRU&amp;lang=en_US&amp;offset=0&amp;query=any,contains,991004809539702656","Catalog Record")</f>
        <v/>
      </c>
      <c r="AT136">
        <f>HYPERLINK("http://www.worldcat.org/oclc/5265580","WorldCat Record")</f>
        <v/>
      </c>
      <c r="AU136" t="inlineStr">
        <is>
          <t>16366285:eng</t>
        </is>
      </c>
      <c r="AV136" t="inlineStr">
        <is>
          <t>5265580</t>
        </is>
      </c>
      <c r="AW136" t="inlineStr">
        <is>
          <t>991004809539702656</t>
        </is>
      </c>
      <c r="AX136" t="inlineStr">
        <is>
          <t>991004809539702656</t>
        </is>
      </c>
      <c r="AY136" t="inlineStr">
        <is>
          <t>2259139250002656</t>
        </is>
      </c>
      <c r="AZ136" t="inlineStr">
        <is>
          <t>BOOK</t>
        </is>
      </c>
      <c r="BC136" t="inlineStr">
        <is>
          <t>32285000505643</t>
        </is>
      </c>
      <c r="BD136" t="inlineStr">
        <is>
          <t>893411978</t>
        </is>
      </c>
    </row>
    <row r="137">
      <c r="A137" t="inlineStr">
        <is>
          <t>No</t>
        </is>
      </c>
      <c r="B137" t="inlineStr">
        <is>
          <t>BX1396 .V52 1970</t>
        </is>
      </c>
      <c r="C137" t="inlineStr">
        <is>
          <t>0                      BX 1396000V  52          1970</t>
        </is>
      </c>
      <c r="D137" t="inlineStr">
        <is>
          <t>A variety of Catholic modernists / by Alex R. Vidler.</t>
        </is>
      </c>
      <c r="F137" t="inlineStr">
        <is>
          <t>No</t>
        </is>
      </c>
      <c r="G137" t="inlineStr">
        <is>
          <t>1</t>
        </is>
      </c>
      <c r="H137" t="inlineStr">
        <is>
          <t>No</t>
        </is>
      </c>
      <c r="I137" t="inlineStr">
        <is>
          <t>No</t>
        </is>
      </c>
      <c r="J137" t="inlineStr">
        <is>
          <t>0</t>
        </is>
      </c>
      <c r="K137" t="inlineStr">
        <is>
          <t>Vidler, Alexander Roper, 1899-1991.</t>
        </is>
      </c>
      <c r="L137" t="inlineStr">
        <is>
          <t>[London] Cambridge University Press, 1970.</t>
        </is>
      </c>
      <c r="M137" t="inlineStr">
        <is>
          <t>1970</t>
        </is>
      </c>
      <c r="O137" t="inlineStr">
        <is>
          <t>eng</t>
        </is>
      </c>
      <c r="P137" t="inlineStr">
        <is>
          <t>enk</t>
        </is>
      </c>
      <c r="Q137" t="inlineStr">
        <is>
          <t>The Sarum lectures, 1968-69</t>
        </is>
      </c>
      <c r="R137" t="inlineStr">
        <is>
          <t xml:space="preserve">BX </t>
        </is>
      </c>
      <c r="S137" t="n">
        <v>3</v>
      </c>
      <c r="T137" t="n">
        <v>3</v>
      </c>
      <c r="U137" t="inlineStr">
        <is>
          <t>2004-04-12</t>
        </is>
      </c>
      <c r="V137" t="inlineStr">
        <is>
          <t>2004-04-12</t>
        </is>
      </c>
      <c r="W137" t="inlineStr">
        <is>
          <t>1991-02-11</t>
        </is>
      </c>
      <c r="X137" t="inlineStr">
        <is>
          <t>1991-02-11</t>
        </is>
      </c>
      <c r="Y137" t="n">
        <v>519</v>
      </c>
      <c r="Z137" t="n">
        <v>404</v>
      </c>
      <c r="AA137" t="n">
        <v>408</v>
      </c>
      <c r="AB137" t="n">
        <v>4</v>
      </c>
      <c r="AC137" t="n">
        <v>4</v>
      </c>
      <c r="AD137" t="n">
        <v>34</v>
      </c>
      <c r="AE137" t="n">
        <v>34</v>
      </c>
      <c r="AF137" t="n">
        <v>11</v>
      </c>
      <c r="AG137" t="n">
        <v>11</v>
      </c>
      <c r="AH137" t="n">
        <v>10</v>
      </c>
      <c r="AI137" t="n">
        <v>10</v>
      </c>
      <c r="AJ137" t="n">
        <v>20</v>
      </c>
      <c r="AK137" t="n">
        <v>20</v>
      </c>
      <c r="AL137" t="n">
        <v>3</v>
      </c>
      <c r="AM137" t="n">
        <v>3</v>
      </c>
      <c r="AN137" t="n">
        <v>0</v>
      </c>
      <c r="AO137" t="n">
        <v>0</v>
      </c>
      <c r="AP137" t="inlineStr">
        <is>
          <t>No</t>
        </is>
      </c>
      <c r="AQ137" t="inlineStr">
        <is>
          <t>No</t>
        </is>
      </c>
      <c r="AS137">
        <f>HYPERLINK("https://creighton-primo.hosted.exlibrisgroup.com/primo-explore/search?tab=default_tab&amp;search_scope=EVERYTHING&amp;vid=01CRU&amp;lang=en_US&amp;offset=0&amp;query=any,contains,991000424539702656","Catalog Record")</f>
        <v/>
      </c>
      <c r="AT137">
        <f>HYPERLINK("http://www.worldcat.org/oclc/74591","WorldCat Record")</f>
        <v/>
      </c>
      <c r="AU137" t="inlineStr">
        <is>
          <t>1246755:eng</t>
        </is>
      </c>
      <c r="AV137" t="inlineStr">
        <is>
          <t>74591</t>
        </is>
      </c>
      <c r="AW137" t="inlineStr">
        <is>
          <t>991000424539702656</t>
        </is>
      </c>
      <c r="AX137" t="inlineStr">
        <is>
          <t>991000424539702656</t>
        </is>
      </c>
      <c r="AY137" t="inlineStr">
        <is>
          <t>2272193570002656</t>
        </is>
      </c>
      <c r="AZ137" t="inlineStr">
        <is>
          <t>BOOK</t>
        </is>
      </c>
      <c r="BC137" t="inlineStr">
        <is>
          <t>32285000505718</t>
        </is>
      </c>
      <c r="BD137" t="inlineStr">
        <is>
          <t>893243229</t>
        </is>
      </c>
    </row>
    <row r="138">
      <c r="A138" t="inlineStr">
        <is>
          <t>No</t>
        </is>
      </c>
      <c r="B138" t="inlineStr">
        <is>
          <t>BX1396.2 .T35 1999</t>
        </is>
      </c>
      <c r="C138" t="inlineStr">
        <is>
          <t>0                      BX 1396200T  35          1999</t>
        </is>
      </c>
      <c r="D138" t="inlineStr">
        <is>
          <t>(Re)reading, reception, and rhetoric : approaches to Roman Catholic modernism / C.J.T. Talar.</t>
        </is>
      </c>
      <c r="F138" t="inlineStr">
        <is>
          <t>No</t>
        </is>
      </c>
      <c r="G138" t="inlineStr">
        <is>
          <t>1</t>
        </is>
      </c>
      <c r="H138" t="inlineStr">
        <is>
          <t>No</t>
        </is>
      </c>
      <c r="I138" t="inlineStr">
        <is>
          <t>No</t>
        </is>
      </c>
      <c r="J138" t="inlineStr">
        <is>
          <t>0</t>
        </is>
      </c>
      <c r="K138" t="inlineStr">
        <is>
          <t>Talar, C. J. T., 1947-</t>
        </is>
      </c>
      <c r="L138" t="inlineStr">
        <is>
          <t>New York : P. Lang, c1999.</t>
        </is>
      </c>
      <c r="M138" t="inlineStr">
        <is>
          <t>1999</t>
        </is>
      </c>
      <c r="O138" t="inlineStr">
        <is>
          <t>eng</t>
        </is>
      </c>
      <c r="P138" t="inlineStr">
        <is>
          <t>nyu</t>
        </is>
      </c>
      <c r="Q138" t="inlineStr">
        <is>
          <t>American university studies. Series VII, Theology and religion, 0740-0446 ; vol. 206</t>
        </is>
      </c>
      <c r="R138" t="inlineStr">
        <is>
          <t xml:space="preserve">BX </t>
        </is>
      </c>
      <c r="S138" t="n">
        <v>1</v>
      </c>
      <c r="T138" t="n">
        <v>1</v>
      </c>
      <c r="U138" t="inlineStr">
        <is>
          <t>2000-10-30</t>
        </is>
      </c>
      <c r="V138" t="inlineStr">
        <is>
          <t>2000-10-30</t>
        </is>
      </c>
      <c r="W138" t="inlineStr">
        <is>
          <t>2000-10-30</t>
        </is>
      </c>
      <c r="X138" t="inlineStr">
        <is>
          <t>2000-10-30</t>
        </is>
      </c>
      <c r="Y138" t="n">
        <v>142</v>
      </c>
      <c r="Z138" t="n">
        <v>110</v>
      </c>
      <c r="AA138" t="n">
        <v>110</v>
      </c>
      <c r="AB138" t="n">
        <v>2</v>
      </c>
      <c r="AC138" t="n">
        <v>2</v>
      </c>
      <c r="AD138" t="n">
        <v>12</v>
      </c>
      <c r="AE138" t="n">
        <v>12</v>
      </c>
      <c r="AF138" t="n">
        <v>1</v>
      </c>
      <c r="AG138" t="n">
        <v>1</v>
      </c>
      <c r="AH138" t="n">
        <v>4</v>
      </c>
      <c r="AI138" t="n">
        <v>4</v>
      </c>
      <c r="AJ138" t="n">
        <v>8</v>
      </c>
      <c r="AK138" t="n">
        <v>8</v>
      </c>
      <c r="AL138" t="n">
        <v>1</v>
      </c>
      <c r="AM138" t="n">
        <v>1</v>
      </c>
      <c r="AN138" t="n">
        <v>0</v>
      </c>
      <c r="AO138" t="n">
        <v>0</v>
      </c>
      <c r="AP138" t="inlineStr">
        <is>
          <t>No</t>
        </is>
      </c>
      <c r="AQ138" t="inlineStr">
        <is>
          <t>No</t>
        </is>
      </c>
      <c r="AS138">
        <f>HYPERLINK("https://creighton-primo.hosted.exlibrisgroup.com/primo-explore/search?tab=default_tab&amp;search_scope=EVERYTHING&amp;vid=01CRU&amp;lang=en_US&amp;offset=0&amp;query=any,contains,991003258139702656","Catalog Record")</f>
        <v/>
      </c>
      <c r="AT138">
        <f>HYPERLINK("http://www.worldcat.org/oclc/39195275","WorldCat Record")</f>
        <v/>
      </c>
      <c r="AU138" t="inlineStr">
        <is>
          <t>890481534:eng</t>
        </is>
      </c>
      <c r="AV138" t="inlineStr">
        <is>
          <t>39195275</t>
        </is>
      </c>
      <c r="AW138" t="inlineStr">
        <is>
          <t>991003258139702656</t>
        </is>
      </c>
      <c r="AX138" t="inlineStr">
        <is>
          <t>991003258139702656</t>
        </is>
      </c>
      <c r="AY138" t="inlineStr">
        <is>
          <t>2267279250002656</t>
        </is>
      </c>
      <c r="AZ138" t="inlineStr">
        <is>
          <t>BOOK</t>
        </is>
      </c>
      <c r="BB138" t="inlineStr">
        <is>
          <t>9780820440644</t>
        </is>
      </c>
      <c r="BC138" t="inlineStr">
        <is>
          <t>32285004261391</t>
        </is>
      </c>
      <c r="BD138" t="inlineStr">
        <is>
          <t>893809907</t>
        </is>
      </c>
    </row>
    <row r="139">
      <c r="A139" t="inlineStr">
        <is>
          <t>No</t>
        </is>
      </c>
      <c r="B139" t="inlineStr">
        <is>
          <t>BX1396.2 .T97 1991</t>
        </is>
      </c>
      <c r="C139" t="inlineStr">
        <is>
          <t>0                      BX 1396200T  97          1991</t>
        </is>
      </c>
      <c r="D139" t="inlineStr">
        <is>
          <t>Tradition and the critical spirit : Catholic modernist writings / George Tyrrell ; selected and introduced by James C. Livingston.</t>
        </is>
      </c>
      <c r="F139" t="inlineStr">
        <is>
          <t>No</t>
        </is>
      </c>
      <c r="G139" t="inlineStr">
        <is>
          <t>1</t>
        </is>
      </c>
      <c r="H139" t="inlineStr">
        <is>
          <t>No</t>
        </is>
      </c>
      <c r="I139" t="inlineStr">
        <is>
          <t>No</t>
        </is>
      </c>
      <c r="J139" t="inlineStr">
        <is>
          <t>0</t>
        </is>
      </c>
      <c r="K139" t="inlineStr">
        <is>
          <t>Tyrrell, George, 1861-1909.</t>
        </is>
      </c>
      <c r="L139" t="inlineStr">
        <is>
          <t>Minneapolis : Fortress Press, c1991.</t>
        </is>
      </c>
      <c r="M139" t="inlineStr">
        <is>
          <t>1991</t>
        </is>
      </c>
      <c r="O139" t="inlineStr">
        <is>
          <t>eng</t>
        </is>
      </c>
      <c r="P139" t="inlineStr">
        <is>
          <t>mnu</t>
        </is>
      </c>
      <c r="Q139" t="inlineStr">
        <is>
          <t>Fortress texts in modern theology</t>
        </is>
      </c>
      <c r="R139" t="inlineStr">
        <is>
          <t xml:space="preserve">BX </t>
        </is>
      </c>
      <c r="S139" t="n">
        <v>3</v>
      </c>
      <c r="T139" t="n">
        <v>3</v>
      </c>
      <c r="U139" t="inlineStr">
        <is>
          <t>1995-08-30</t>
        </is>
      </c>
      <c r="V139" t="inlineStr">
        <is>
          <t>1995-08-30</t>
        </is>
      </c>
      <c r="W139" t="inlineStr">
        <is>
          <t>1992-03-06</t>
        </is>
      </c>
      <c r="X139" t="inlineStr">
        <is>
          <t>1992-03-06</t>
        </is>
      </c>
      <c r="Y139" t="n">
        <v>246</v>
      </c>
      <c r="Z139" t="n">
        <v>211</v>
      </c>
      <c r="AA139" t="n">
        <v>211</v>
      </c>
      <c r="AB139" t="n">
        <v>1</v>
      </c>
      <c r="AC139" t="n">
        <v>1</v>
      </c>
      <c r="AD139" t="n">
        <v>23</v>
      </c>
      <c r="AE139" t="n">
        <v>23</v>
      </c>
      <c r="AF139" t="n">
        <v>8</v>
      </c>
      <c r="AG139" t="n">
        <v>8</v>
      </c>
      <c r="AH139" t="n">
        <v>6</v>
      </c>
      <c r="AI139" t="n">
        <v>6</v>
      </c>
      <c r="AJ139" t="n">
        <v>14</v>
      </c>
      <c r="AK139" t="n">
        <v>14</v>
      </c>
      <c r="AL139" t="n">
        <v>0</v>
      </c>
      <c r="AM139" t="n">
        <v>0</v>
      </c>
      <c r="AN139" t="n">
        <v>0</v>
      </c>
      <c r="AO139" t="n">
        <v>0</v>
      </c>
      <c r="AP139" t="inlineStr">
        <is>
          <t>No</t>
        </is>
      </c>
      <c r="AQ139" t="inlineStr">
        <is>
          <t>No</t>
        </is>
      </c>
      <c r="AS139">
        <f>HYPERLINK("https://creighton-primo.hosted.exlibrisgroup.com/primo-explore/search?tab=default_tab&amp;search_scope=EVERYTHING&amp;vid=01CRU&amp;lang=en_US&amp;offset=0&amp;query=any,contains,991001770149702656","Catalog Record")</f>
        <v/>
      </c>
      <c r="AT139">
        <f>HYPERLINK("http://www.worldcat.org/oclc/22347468","WorldCat Record")</f>
        <v/>
      </c>
      <c r="AU139" t="inlineStr">
        <is>
          <t>808047255:eng</t>
        </is>
      </c>
      <c r="AV139" t="inlineStr">
        <is>
          <t>22347468</t>
        </is>
      </c>
      <c r="AW139" t="inlineStr">
        <is>
          <t>991001770149702656</t>
        </is>
      </c>
      <c r="AX139" t="inlineStr">
        <is>
          <t>991001770149702656</t>
        </is>
      </c>
      <c r="AY139" t="inlineStr">
        <is>
          <t>2261503920002656</t>
        </is>
      </c>
      <c r="AZ139" t="inlineStr">
        <is>
          <t>BOOK</t>
        </is>
      </c>
      <c r="BB139" t="inlineStr">
        <is>
          <t>9780800632106</t>
        </is>
      </c>
      <c r="BC139" t="inlineStr">
        <is>
          <t>32285000906965</t>
        </is>
      </c>
      <c r="BD139" t="inlineStr">
        <is>
          <t>893866469</t>
        </is>
      </c>
    </row>
    <row r="140">
      <c r="A140" t="inlineStr">
        <is>
          <t>No</t>
        </is>
      </c>
      <c r="B140" t="inlineStr">
        <is>
          <t>BX1396.4 .C367 1990</t>
        </is>
      </c>
      <c r="C140" t="inlineStr">
        <is>
          <t>0                      BX 1396400C  367         1990</t>
        </is>
      </c>
      <c r="D140" t="inlineStr">
        <is>
          <t>Catholicism and politics in communist societies / edited by Pedro Ramet.</t>
        </is>
      </c>
      <c r="F140" t="inlineStr">
        <is>
          <t>No</t>
        </is>
      </c>
      <c r="G140" t="inlineStr">
        <is>
          <t>1</t>
        </is>
      </c>
      <c r="H140" t="inlineStr">
        <is>
          <t>No</t>
        </is>
      </c>
      <c r="I140" t="inlineStr">
        <is>
          <t>No</t>
        </is>
      </c>
      <c r="J140" t="inlineStr">
        <is>
          <t>0</t>
        </is>
      </c>
      <c r="L140" t="inlineStr">
        <is>
          <t>Durham, N.C. : Duke University Press, 1990.</t>
        </is>
      </c>
      <c r="M140" t="inlineStr">
        <is>
          <t>1990</t>
        </is>
      </c>
      <c r="O140" t="inlineStr">
        <is>
          <t>eng</t>
        </is>
      </c>
      <c r="P140" t="inlineStr">
        <is>
          <t>ncu</t>
        </is>
      </c>
      <c r="Q140" t="inlineStr">
        <is>
          <t>Christianity under stress ; v . 2</t>
        </is>
      </c>
      <c r="R140" t="inlineStr">
        <is>
          <t xml:space="preserve">BX </t>
        </is>
      </c>
      <c r="S140" t="n">
        <v>4</v>
      </c>
      <c r="T140" t="n">
        <v>4</v>
      </c>
      <c r="U140" t="inlineStr">
        <is>
          <t>2002-11-10</t>
        </is>
      </c>
      <c r="V140" t="inlineStr">
        <is>
          <t>2002-11-10</t>
        </is>
      </c>
      <c r="W140" t="inlineStr">
        <is>
          <t>1999-11-15</t>
        </is>
      </c>
      <c r="X140" t="inlineStr">
        <is>
          <t>1999-11-15</t>
        </is>
      </c>
      <c r="Y140" t="n">
        <v>329</v>
      </c>
      <c r="Z140" t="n">
        <v>256</v>
      </c>
      <c r="AA140" t="n">
        <v>267</v>
      </c>
      <c r="AB140" t="n">
        <v>3</v>
      </c>
      <c r="AC140" t="n">
        <v>4</v>
      </c>
      <c r="AD140" t="n">
        <v>20</v>
      </c>
      <c r="AE140" t="n">
        <v>21</v>
      </c>
      <c r="AF140" t="n">
        <v>5</v>
      </c>
      <c r="AG140" t="n">
        <v>5</v>
      </c>
      <c r="AH140" t="n">
        <v>6</v>
      </c>
      <c r="AI140" t="n">
        <v>6</v>
      </c>
      <c r="AJ140" t="n">
        <v>13</v>
      </c>
      <c r="AK140" t="n">
        <v>13</v>
      </c>
      <c r="AL140" t="n">
        <v>2</v>
      </c>
      <c r="AM140" t="n">
        <v>3</v>
      </c>
      <c r="AN140" t="n">
        <v>0</v>
      </c>
      <c r="AO140" t="n">
        <v>0</v>
      </c>
      <c r="AP140" t="inlineStr">
        <is>
          <t>Yes</t>
        </is>
      </c>
      <c r="AQ140" t="inlineStr">
        <is>
          <t>No</t>
        </is>
      </c>
      <c r="AR140">
        <f>HYPERLINK("http://catalog.hathitrust.org/Record/002224165","HathiTrust Record")</f>
        <v/>
      </c>
      <c r="AS140">
        <f>HYPERLINK("https://creighton-primo.hosted.exlibrisgroup.com/primo-explore/search?tab=default_tab&amp;search_scope=EVERYTHING&amp;vid=01CRU&amp;lang=en_US&amp;offset=0&amp;query=any,contains,991001559819702656","Catalog Record")</f>
        <v/>
      </c>
      <c r="AT140">
        <f>HYPERLINK("http://www.worldcat.org/oclc/20296188","WorldCat Record")</f>
        <v/>
      </c>
      <c r="AU140" t="inlineStr">
        <is>
          <t>22698361:eng</t>
        </is>
      </c>
      <c r="AV140" t="inlineStr">
        <is>
          <t>20296188</t>
        </is>
      </c>
      <c r="AW140" t="inlineStr">
        <is>
          <t>991001559819702656</t>
        </is>
      </c>
      <c r="AX140" t="inlineStr">
        <is>
          <t>991001559819702656</t>
        </is>
      </c>
      <c r="AY140" t="inlineStr">
        <is>
          <t>2260308750002656</t>
        </is>
      </c>
      <c r="AZ140" t="inlineStr">
        <is>
          <t>BOOK</t>
        </is>
      </c>
      <c r="BB140" t="inlineStr">
        <is>
          <t>9780822310105</t>
        </is>
      </c>
      <c r="BC140" t="inlineStr">
        <is>
          <t>32285003622106</t>
        </is>
      </c>
      <c r="BD140" t="inlineStr">
        <is>
          <t>893596544</t>
        </is>
      </c>
    </row>
    <row r="141">
      <c r="A141" t="inlineStr">
        <is>
          <t>No</t>
        </is>
      </c>
      <c r="B141" t="inlineStr">
        <is>
          <t>BX1396.4 .T5713 1987</t>
        </is>
      </c>
      <c r="C141" t="inlineStr">
        <is>
          <t>0                      BX 1396400T  5713        1987</t>
        </is>
      </c>
      <c r="D141" t="inlineStr">
        <is>
          <t>Marxism and Christianity : the quarrel and the dialogue in Poland / Józef Tischner ; translated by Marek B. Zaleski and Benjamin Fiore.</t>
        </is>
      </c>
      <c r="F141" t="inlineStr">
        <is>
          <t>No</t>
        </is>
      </c>
      <c r="G141" t="inlineStr">
        <is>
          <t>1</t>
        </is>
      </c>
      <c r="H141" t="inlineStr">
        <is>
          <t>No</t>
        </is>
      </c>
      <c r="I141" t="inlineStr">
        <is>
          <t>No</t>
        </is>
      </c>
      <c r="J141" t="inlineStr">
        <is>
          <t>0</t>
        </is>
      </c>
      <c r="K141" t="inlineStr">
        <is>
          <t>Tischner, Józef.</t>
        </is>
      </c>
      <c r="L141" t="inlineStr">
        <is>
          <t>Washington, D.C. : Georgetown University Press, c1987.</t>
        </is>
      </c>
      <c r="M141" t="inlineStr">
        <is>
          <t>1987</t>
        </is>
      </c>
      <c r="O141" t="inlineStr">
        <is>
          <t>eng</t>
        </is>
      </c>
      <c r="P141" t="inlineStr">
        <is>
          <t>dcu</t>
        </is>
      </c>
      <c r="R141" t="inlineStr">
        <is>
          <t xml:space="preserve">BX </t>
        </is>
      </c>
      <c r="S141" t="n">
        <v>4</v>
      </c>
      <c r="T141" t="n">
        <v>4</v>
      </c>
      <c r="U141" t="inlineStr">
        <is>
          <t>2010-03-27</t>
        </is>
      </c>
      <c r="V141" t="inlineStr">
        <is>
          <t>2010-03-27</t>
        </is>
      </c>
      <c r="W141" t="inlineStr">
        <is>
          <t>1990-01-15</t>
        </is>
      </c>
      <c r="X141" t="inlineStr">
        <is>
          <t>1990-01-15</t>
        </is>
      </c>
      <c r="Y141" t="n">
        <v>301</v>
      </c>
      <c r="Z141" t="n">
        <v>260</v>
      </c>
      <c r="AA141" t="n">
        <v>261</v>
      </c>
      <c r="AB141" t="n">
        <v>2</v>
      </c>
      <c r="AC141" t="n">
        <v>2</v>
      </c>
      <c r="AD141" t="n">
        <v>19</v>
      </c>
      <c r="AE141" t="n">
        <v>19</v>
      </c>
      <c r="AF141" t="n">
        <v>3</v>
      </c>
      <c r="AG141" t="n">
        <v>3</v>
      </c>
      <c r="AH141" t="n">
        <v>6</v>
      </c>
      <c r="AI141" t="n">
        <v>6</v>
      </c>
      <c r="AJ141" t="n">
        <v>15</v>
      </c>
      <c r="AK141" t="n">
        <v>15</v>
      </c>
      <c r="AL141" t="n">
        <v>0</v>
      </c>
      <c r="AM141" t="n">
        <v>0</v>
      </c>
      <c r="AN141" t="n">
        <v>0</v>
      </c>
      <c r="AO141" t="n">
        <v>0</v>
      </c>
      <c r="AP141" t="inlineStr">
        <is>
          <t>No</t>
        </is>
      </c>
      <c r="AQ141" t="inlineStr">
        <is>
          <t>No</t>
        </is>
      </c>
      <c r="AS141">
        <f>HYPERLINK("https://creighton-primo.hosted.exlibrisgroup.com/primo-explore/search?tab=default_tab&amp;search_scope=EVERYTHING&amp;vid=01CRU&amp;lang=en_US&amp;offset=0&amp;query=any,contains,991001029169702656","Catalog Record")</f>
        <v/>
      </c>
      <c r="AT141">
        <f>HYPERLINK("http://www.worldcat.org/oclc/15489562","WorldCat Record")</f>
        <v/>
      </c>
      <c r="AU141" t="inlineStr">
        <is>
          <t>10559583:eng</t>
        </is>
      </c>
      <c r="AV141" t="inlineStr">
        <is>
          <t>15489562</t>
        </is>
      </c>
      <c r="AW141" t="inlineStr">
        <is>
          <t>991001029169702656</t>
        </is>
      </c>
      <c r="AX141" t="inlineStr">
        <is>
          <t>991001029169702656</t>
        </is>
      </c>
      <c r="AY141" t="inlineStr">
        <is>
          <t>2272504950002656</t>
        </is>
      </c>
      <c r="AZ141" t="inlineStr">
        <is>
          <t>BOOK</t>
        </is>
      </c>
      <c r="BB141" t="inlineStr">
        <is>
          <t>9780878404193</t>
        </is>
      </c>
      <c r="BC141" t="inlineStr">
        <is>
          <t>32285000028257</t>
        </is>
      </c>
      <c r="BD141" t="inlineStr">
        <is>
          <t>893602261</t>
        </is>
      </c>
    </row>
    <row r="142">
      <c r="A142" t="inlineStr">
        <is>
          <t>No</t>
        </is>
      </c>
      <c r="B142" t="inlineStr">
        <is>
          <t>BX1397 .F4713 1993</t>
        </is>
      </c>
      <c r="C142" t="inlineStr">
        <is>
          <t>0                      BX 1397000F  4713        1993</t>
        </is>
      </c>
      <c r="D142" t="inlineStr">
        <is>
          <t>Faith without dogma : the place of religion in postmodern societies / Franco Ferrarotti.</t>
        </is>
      </c>
      <c r="F142" t="inlineStr">
        <is>
          <t>No</t>
        </is>
      </c>
      <c r="G142" t="inlineStr">
        <is>
          <t>1</t>
        </is>
      </c>
      <c r="H142" t="inlineStr">
        <is>
          <t>No</t>
        </is>
      </c>
      <c r="I142" t="inlineStr">
        <is>
          <t>No</t>
        </is>
      </c>
      <c r="J142" t="inlineStr">
        <is>
          <t>0</t>
        </is>
      </c>
      <c r="K142" t="inlineStr">
        <is>
          <t>Ferrarotti, Franco.</t>
        </is>
      </c>
      <c r="L142" t="inlineStr">
        <is>
          <t>New Brunswick, N.J., U.S.A. : Transaction Publishers, c1993.</t>
        </is>
      </c>
      <c r="M142" t="inlineStr">
        <is>
          <t>1993</t>
        </is>
      </c>
      <c r="O142" t="inlineStr">
        <is>
          <t>eng</t>
        </is>
      </c>
      <c r="P142" t="inlineStr">
        <is>
          <t>nju</t>
        </is>
      </c>
      <c r="R142" t="inlineStr">
        <is>
          <t xml:space="preserve">BX </t>
        </is>
      </c>
      <c r="S142" t="n">
        <v>7</v>
      </c>
      <c r="T142" t="n">
        <v>7</v>
      </c>
      <c r="U142" t="inlineStr">
        <is>
          <t>1999-11-12</t>
        </is>
      </c>
      <c r="V142" t="inlineStr">
        <is>
          <t>1999-11-12</t>
        </is>
      </c>
      <c r="W142" t="inlineStr">
        <is>
          <t>1996-01-10</t>
        </is>
      </c>
      <c r="X142" t="inlineStr">
        <is>
          <t>1996-01-10</t>
        </is>
      </c>
      <c r="Y142" t="n">
        <v>228</v>
      </c>
      <c r="Z142" t="n">
        <v>188</v>
      </c>
      <c r="AA142" t="n">
        <v>198</v>
      </c>
      <c r="AB142" t="n">
        <v>2</v>
      </c>
      <c r="AC142" t="n">
        <v>2</v>
      </c>
      <c r="AD142" t="n">
        <v>12</v>
      </c>
      <c r="AE142" t="n">
        <v>12</v>
      </c>
      <c r="AF142" t="n">
        <v>2</v>
      </c>
      <c r="AG142" t="n">
        <v>2</v>
      </c>
      <c r="AH142" t="n">
        <v>3</v>
      </c>
      <c r="AI142" t="n">
        <v>3</v>
      </c>
      <c r="AJ142" t="n">
        <v>8</v>
      </c>
      <c r="AK142" t="n">
        <v>8</v>
      </c>
      <c r="AL142" t="n">
        <v>1</v>
      </c>
      <c r="AM142" t="n">
        <v>1</v>
      </c>
      <c r="AN142" t="n">
        <v>0</v>
      </c>
      <c r="AO142" t="n">
        <v>0</v>
      </c>
      <c r="AP142" t="inlineStr">
        <is>
          <t>No</t>
        </is>
      </c>
      <c r="AQ142" t="inlineStr">
        <is>
          <t>No</t>
        </is>
      </c>
      <c r="AS142">
        <f>HYPERLINK("https://creighton-primo.hosted.exlibrisgroup.com/primo-explore/search?tab=default_tab&amp;search_scope=EVERYTHING&amp;vid=01CRU&amp;lang=en_US&amp;offset=0&amp;query=any,contains,991002036539702656","Catalog Record")</f>
        <v/>
      </c>
      <c r="AT142">
        <f>HYPERLINK("http://www.worldcat.org/oclc/25964777","WorldCat Record")</f>
        <v/>
      </c>
      <c r="AU142" t="inlineStr">
        <is>
          <t>18622540:eng</t>
        </is>
      </c>
      <c r="AV142" t="inlineStr">
        <is>
          <t>25964777</t>
        </is>
      </c>
      <c r="AW142" t="inlineStr">
        <is>
          <t>991002036539702656</t>
        </is>
      </c>
      <c r="AX142" t="inlineStr">
        <is>
          <t>991002036539702656</t>
        </is>
      </c>
      <c r="AY142" t="inlineStr">
        <is>
          <t>2260357850002656</t>
        </is>
      </c>
      <c r="AZ142" t="inlineStr">
        <is>
          <t>BOOK</t>
        </is>
      </c>
      <c r="BB142" t="inlineStr">
        <is>
          <t>9781560000747</t>
        </is>
      </c>
      <c r="BC142" t="inlineStr">
        <is>
          <t>32285002116472</t>
        </is>
      </c>
      <c r="BD142" t="inlineStr">
        <is>
          <t>893529452</t>
        </is>
      </c>
    </row>
    <row r="143">
      <c r="A143" t="inlineStr">
        <is>
          <t>No</t>
        </is>
      </c>
      <c r="B143" t="inlineStr">
        <is>
          <t>BX1397 .G35 1995</t>
        </is>
      </c>
      <c r="C143" t="inlineStr">
        <is>
          <t>0                      BX 1397000G  35          1995</t>
        </is>
      </c>
      <c r="D143" t="inlineStr">
        <is>
          <t>What are they saying about unbelief? / Michael Paul Gallagher.</t>
        </is>
      </c>
      <c r="F143" t="inlineStr">
        <is>
          <t>No</t>
        </is>
      </c>
      <c r="G143" t="inlineStr">
        <is>
          <t>1</t>
        </is>
      </c>
      <c r="H143" t="inlineStr">
        <is>
          <t>No</t>
        </is>
      </c>
      <c r="I143" t="inlineStr">
        <is>
          <t>No</t>
        </is>
      </c>
      <c r="J143" t="inlineStr">
        <is>
          <t>0</t>
        </is>
      </c>
      <c r="K143" t="inlineStr">
        <is>
          <t>Gallagher, Michael Paul.</t>
        </is>
      </c>
      <c r="L143" t="inlineStr">
        <is>
          <t>New York : Paulist Press, c1995.</t>
        </is>
      </c>
      <c r="M143" t="inlineStr">
        <is>
          <t>1995</t>
        </is>
      </c>
      <c r="O143" t="inlineStr">
        <is>
          <t>eng</t>
        </is>
      </c>
      <c r="P143" t="inlineStr">
        <is>
          <t>nyu</t>
        </is>
      </c>
      <c r="R143" t="inlineStr">
        <is>
          <t xml:space="preserve">BX </t>
        </is>
      </c>
      <c r="S143" t="n">
        <v>5</v>
      </c>
      <c r="T143" t="n">
        <v>5</v>
      </c>
      <c r="U143" t="inlineStr">
        <is>
          <t>1999-11-30</t>
        </is>
      </c>
      <c r="V143" t="inlineStr">
        <is>
          <t>1999-11-30</t>
        </is>
      </c>
      <c r="W143" t="inlineStr">
        <is>
          <t>1996-05-14</t>
        </is>
      </c>
      <c r="X143" t="inlineStr">
        <is>
          <t>1996-05-14</t>
        </is>
      </c>
      <c r="Y143" t="n">
        <v>238</v>
      </c>
      <c r="Z143" t="n">
        <v>191</v>
      </c>
      <c r="AA143" t="n">
        <v>191</v>
      </c>
      <c r="AB143" t="n">
        <v>2</v>
      </c>
      <c r="AC143" t="n">
        <v>2</v>
      </c>
      <c r="AD143" t="n">
        <v>24</v>
      </c>
      <c r="AE143" t="n">
        <v>24</v>
      </c>
      <c r="AF143" t="n">
        <v>9</v>
      </c>
      <c r="AG143" t="n">
        <v>9</v>
      </c>
      <c r="AH143" t="n">
        <v>4</v>
      </c>
      <c r="AI143" t="n">
        <v>4</v>
      </c>
      <c r="AJ143" t="n">
        <v>15</v>
      </c>
      <c r="AK143" t="n">
        <v>15</v>
      </c>
      <c r="AL143" t="n">
        <v>1</v>
      </c>
      <c r="AM143" t="n">
        <v>1</v>
      </c>
      <c r="AN143" t="n">
        <v>0</v>
      </c>
      <c r="AO143" t="n">
        <v>0</v>
      </c>
      <c r="AP143" t="inlineStr">
        <is>
          <t>No</t>
        </is>
      </c>
      <c r="AQ143" t="inlineStr">
        <is>
          <t>No</t>
        </is>
      </c>
      <c r="AS143">
        <f>HYPERLINK("https://creighton-primo.hosted.exlibrisgroup.com/primo-explore/search?tab=default_tab&amp;search_scope=EVERYTHING&amp;vid=01CRU&amp;lang=en_US&amp;offset=0&amp;query=any,contains,991002507169702656","Catalog Record")</f>
        <v/>
      </c>
      <c r="AT143">
        <f>HYPERLINK("http://www.worldcat.org/oclc/32590835","WorldCat Record")</f>
        <v/>
      </c>
      <c r="AU143" t="inlineStr">
        <is>
          <t>36871629:eng</t>
        </is>
      </c>
      <c r="AV143" t="inlineStr">
        <is>
          <t>32590835</t>
        </is>
      </c>
      <c r="AW143" t="inlineStr">
        <is>
          <t>991002507169702656</t>
        </is>
      </c>
      <c r="AX143" t="inlineStr">
        <is>
          <t>991002507169702656</t>
        </is>
      </c>
      <c r="AY143" t="inlineStr">
        <is>
          <t>2272088000002656</t>
        </is>
      </c>
      <c r="AZ143" t="inlineStr">
        <is>
          <t>BOOK</t>
        </is>
      </c>
      <c r="BB143" t="inlineStr">
        <is>
          <t>9780809135967</t>
        </is>
      </c>
      <c r="BC143" t="inlineStr">
        <is>
          <t>32285002167707</t>
        </is>
      </c>
      <c r="BD143" t="inlineStr">
        <is>
          <t>893440227</t>
        </is>
      </c>
    </row>
    <row r="144">
      <c r="A144" t="inlineStr">
        <is>
          <t>No</t>
        </is>
      </c>
      <c r="B144" t="inlineStr">
        <is>
          <t>BX1401 .E3 1964</t>
        </is>
      </c>
      <c r="C144" t="inlineStr">
        <is>
          <t>0                      BX 1401000E  3           1964</t>
        </is>
      </c>
      <c r="D144" t="inlineStr">
        <is>
          <t>A survey of American church history / by Newman C. Eberhardt.</t>
        </is>
      </c>
      <c r="F144" t="inlineStr">
        <is>
          <t>No</t>
        </is>
      </c>
      <c r="G144" t="inlineStr">
        <is>
          <t>1</t>
        </is>
      </c>
      <c r="H144" t="inlineStr">
        <is>
          <t>No</t>
        </is>
      </c>
      <c r="I144" t="inlineStr">
        <is>
          <t>No</t>
        </is>
      </c>
      <c r="J144" t="inlineStr">
        <is>
          <t>0</t>
        </is>
      </c>
      <c r="K144" t="inlineStr">
        <is>
          <t>Eberhardt, Newman C., 1912-1995.</t>
        </is>
      </c>
      <c r="L144" t="inlineStr">
        <is>
          <t>St. Louis : Herder, [c1964]</t>
        </is>
      </c>
      <c r="M144" t="inlineStr">
        <is>
          <t>1964</t>
        </is>
      </c>
      <c r="O144" t="inlineStr">
        <is>
          <t>eng</t>
        </is>
      </c>
      <c r="P144" t="inlineStr">
        <is>
          <t>mou</t>
        </is>
      </c>
      <c r="R144" t="inlineStr">
        <is>
          <t xml:space="preserve">BX </t>
        </is>
      </c>
      <c r="S144" t="n">
        <v>1</v>
      </c>
      <c r="T144" t="n">
        <v>1</v>
      </c>
      <c r="U144" t="inlineStr">
        <is>
          <t>2001-04-21</t>
        </is>
      </c>
      <c r="V144" t="inlineStr">
        <is>
          <t>2001-04-21</t>
        </is>
      </c>
      <c r="W144" t="inlineStr">
        <is>
          <t>1995-08-03</t>
        </is>
      </c>
      <c r="X144" t="inlineStr">
        <is>
          <t>1995-08-03</t>
        </is>
      </c>
      <c r="Y144" t="n">
        <v>161</v>
      </c>
      <c r="Z144" t="n">
        <v>148</v>
      </c>
      <c r="AA144" t="n">
        <v>149</v>
      </c>
      <c r="AB144" t="n">
        <v>3</v>
      </c>
      <c r="AC144" t="n">
        <v>3</v>
      </c>
      <c r="AD144" t="n">
        <v>17</v>
      </c>
      <c r="AE144" t="n">
        <v>17</v>
      </c>
      <c r="AF144" t="n">
        <v>4</v>
      </c>
      <c r="AG144" t="n">
        <v>4</v>
      </c>
      <c r="AH144" t="n">
        <v>4</v>
      </c>
      <c r="AI144" t="n">
        <v>4</v>
      </c>
      <c r="AJ144" t="n">
        <v>13</v>
      </c>
      <c r="AK144" t="n">
        <v>13</v>
      </c>
      <c r="AL144" t="n">
        <v>0</v>
      </c>
      <c r="AM144" t="n">
        <v>0</v>
      </c>
      <c r="AN144" t="n">
        <v>0</v>
      </c>
      <c r="AO144" t="n">
        <v>0</v>
      </c>
      <c r="AP144" t="inlineStr">
        <is>
          <t>No</t>
        </is>
      </c>
      <c r="AQ144" t="inlineStr">
        <is>
          <t>Yes</t>
        </is>
      </c>
      <c r="AR144">
        <f>HYPERLINK("http://catalog.hathitrust.org/Record/006921654","HathiTrust Record")</f>
        <v/>
      </c>
      <c r="AS144">
        <f>HYPERLINK("https://creighton-primo.hosted.exlibrisgroup.com/primo-explore/search?tab=default_tab&amp;search_scope=EVERYTHING&amp;vid=01CRU&amp;lang=en_US&amp;offset=0&amp;query=any,contains,991004271679702656","Catalog Record")</f>
        <v/>
      </c>
      <c r="AT144">
        <f>HYPERLINK("http://www.worldcat.org/oclc/2878684","WorldCat Record")</f>
        <v/>
      </c>
      <c r="AU144" t="inlineStr">
        <is>
          <t>6465006:eng</t>
        </is>
      </c>
      <c r="AV144" t="inlineStr">
        <is>
          <t>2878684</t>
        </is>
      </c>
      <c r="AW144" t="inlineStr">
        <is>
          <t>991004271679702656</t>
        </is>
      </c>
      <c r="AX144" t="inlineStr">
        <is>
          <t>991004271679702656</t>
        </is>
      </c>
      <c r="AY144" t="inlineStr">
        <is>
          <t>2261513290002656</t>
        </is>
      </c>
      <c r="AZ144" t="inlineStr">
        <is>
          <t>BOOK</t>
        </is>
      </c>
      <c r="BC144" t="inlineStr">
        <is>
          <t>32285002062015</t>
        </is>
      </c>
      <c r="BD144" t="inlineStr">
        <is>
          <t>893319009</t>
        </is>
      </c>
    </row>
    <row r="145">
      <c r="A145" t="inlineStr">
        <is>
          <t>No</t>
        </is>
      </c>
      <c r="B145" t="inlineStr">
        <is>
          <t>BX1401 .H85 1982</t>
        </is>
      </c>
      <c r="C145" t="inlineStr">
        <is>
          <t>0                      BX 1401000H  85          1982</t>
        </is>
      </c>
      <c r="D145" t="inlineStr">
        <is>
          <t>Human rights in the Americas : the struggle for consensus / edited by Alfred Hennelly and John Langan.</t>
        </is>
      </c>
      <c r="F145" t="inlineStr">
        <is>
          <t>No</t>
        </is>
      </c>
      <c r="G145" t="inlineStr">
        <is>
          <t>1</t>
        </is>
      </c>
      <c r="H145" t="inlineStr">
        <is>
          <t>No</t>
        </is>
      </c>
      <c r="I145" t="inlineStr">
        <is>
          <t>No</t>
        </is>
      </c>
      <c r="J145" t="inlineStr">
        <is>
          <t>0</t>
        </is>
      </c>
      <c r="L145" t="inlineStr">
        <is>
          <t>Washington, D.C. : Georgetown University Press, c1982.</t>
        </is>
      </c>
      <c r="M145" t="inlineStr">
        <is>
          <t>1982</t>
        </is>
      </c>
      <c r="O145" t="inlineStr">
        <is>
          <t>eng</t>
        </is>
      </c>
      <c r="P145" t="inlineStr">
        <is>
          <t>dcu</t>
        </is>
      </c>
      <c r="R145" t="inlineStr">
        <is>
          <t xml:space="preserve">BX </t>
        </is>
      </c>
      <c r="S145" t="n">
        <v>2</v>
      </c>
      <c r="T145" t="n">
        <v>2</v>
      </c>
      <c r="U145" t="inlineStr">
        <is>
          <t>1998-12-09</t>
        </is>
      </c>
      <c r="V145" t="inlineStr">
        <is>
          <t>1998-12-09</t>
        </is>
      </c>
      <c r="W145" t="inlineStr">
        <is>
          <t>1991-02-11</t>
        </is>
      </c>
      <c r="X145" t="inlineStr">
        <is>
          <t>1991-02-11</t>
        </is>
      </c>
      <c r="Y145" t="n">
        <v>642</v>
      </c>
      <c r="Z145" t="n">
        <v>562</v>
      </c>
      <c r="AA145" t="n">
        <v>569</v>
      </c>
      <c r="AB145" t="n">
        <v>3</v>
      </c>
      <c r="AC145" t="n">
        <v>3</v>
      </c>
      <c r="AD145" t="n">
        <v>48</v>
      </c>
      <c r="AE145" t="n">
        <v>48</v>
      </c>
      <c r="AF145" t="n">
        <v>18</v>
      </c>
      <c r="AG145" t="n">
        <v>18</v>
      </c>
      <c r="AH145" t="n">
        <v>9</v>
      </c>
      <c r="AI145" t="n">
        <v>9</v>
      </c>
      <c r="AJ145" t="n">
        <v>25</v>
      </c>
      <c r="AK145" t="n">
        <v>25</v>
      </c>
      <c r="AL145" t="n">
        <v>2</v>
      </c>
      <c r="AM145" t="n">
        <v>2</v>
      </c>
      <c r="AN145" t="n">
        <v>7</v>
      </c>
      <c r="AO145" t="n">
        <v>7</v>
      </c>
      <c r="AP145" t="inlineStr">
        <is>
          <t>No</t>
        </is>
      </c>
      <c r="AQ145" t="inlineStr">
        <is>
          <t>Yes</t>
        </is>
      </c>
      <c r="AR145">
        <f>HYPERLINK("http://catalog.hathitrust.org/Record/000271744","HathiTrust Record")</f>
        <v/>
      </c>
      <c r="AS145">
        <f>HYPERLINK("https://creighton-primo.hosted.exlibrisgroup.com/primo-explore/search?tab=default_tab&amp;search_scope=EVERYTHING&amp;vid=01CRU&amp;lang=en_US&amp;offset=0&amp;query=any,contains,991005226909702656","Catalog Record")</f>
        <v/>
      </c>
      <c r="AT145">
        <f>HYPERLINK("http://www.worldcat.org/oclc/8283420","WorldCat Record")</f>
        <v/>
      </c>
      <c r="AU145" t="inlineStr">
        <is>
          <t>800133817:eng</t>
        </is>
      </c>
      <c r="AV145" t="inlineStr">
        <is>
          <t>8283420</t>
        </is>
      </c>
      <c r="AW145" t="inlineStr">
        <is>
          <t>991005226909702656</t>
        </is>
      </c>
      <c r="AX145" t="inlineStr">
        <is>
          <t>991005226909702656</t>
        </is>
      </c>
      <c r="AY145" t="inlineStr">
        <is>
          <t>2268507520002656</t>
        </is>
      </c>
      <c r="AZ145" t="inlineStr">
        <is>
          <t>BOOK</t>
        </is>
      </c>
      <c r="BB145" t="inlineStr">
        <is>
          <t>9780878404001</t>
        </is>
      </c>
      <c r="BC145" t="inlineStr">
        <is>
          <t>32285000505791</t>
        </is>
      </c>
      <c r="BD145" t="inlineStr">
        <is>
          <t>893902325</t>
        </is>
      </c>
    </row>
    <row r="146">
      <c r="A146" t="inlineStr">
        <is>
          <t>No</t>
        </is>
      </c>
      <c r="B146" t="inlineStr">
        <is>
          <t>BX1401.A1 B3813 1983</t>
        </is>
      </c>
      <c r="C146" t="inlineStr">
        <is>
          <t>0                      BX 1401000A  1                  B  3813        1983</t>
        </is>
      </c>
      <c r="D146" t="inlineStr">
        <is>
          <t>New communities, new ministries : the church resurgent in Asia, Africa and Latin America / Michel Bavarel ; translated from the French by Francis Martin.</t>
        </is>
      </c>
      <c r="F146" t="inlineStr">
        <is>
          <t>No</t>
        </is>
      </c>
      <c r="G146" t="inlineStr">
        <is>
          <t>1</t>
        </is>
      </c>
      <c r="H146" t="inlineStr">
        <is>
          <t>No</t>
        </is>
      </c>
      <c r="I146" t="inlineStr">
        <is>
          <t>No</t>
        </is>
      </c>
      <c r="J146" t="inlineStr">
        <is>
          <t>0</t>
        </is>
      </c>
      <c r="K146" t="inlineStr">
        <is>
          <t>Bavarel, Michel.</t>
        </is>
      </c>
      <c r="L146" t="inlineStr">
        <is>
          <t>Maryknoll, NY : Orbis Books, c1983.</t>
        </is>
      </c>
      <c r="M146" t="inlineStr">
        <is>
          <t>1983</t>
        </is>
      </c>
      <c r="O146" t="inlineStr">
        <is>
          <t>eng</t>
        </is>
      </c>
      <c r="P146" t="inlineStr">
        <is>
          <t>nyu</t>
        </is>
      </c>
      <c r="R146" t="inlineStr">
        <is>
          <t xml:space="preserve">BX </t>
        </is>
      </c>
      <c r="S146" t="n">
        <v>2</v>
      </c>
      <c r="T146" t="n">
        <v>2</v>
      </c>
      <c r="U146" t="inlineStr">
        <is>
          <t>1997-04-20</t>
        </is>
      </c>
      <c r="V146" t="inlineStr">
        <is>
          <t>1997-04-20</t>
        </is>
      </c>
      <c r="W146" t="inlineStr">
        <is>
          <t>1991-02-11</t>
        </is>
      </c>
      <c r="X146" t="inlineStr">
        <is>
          <t>1991-02-11</t>
        </is>
      </c>
      <c r="Y146" t="n">
        <v>310</v>
      </c>
      <c r="Z146" t="n">
        <v>250</v>
      </c>
      <c r="AA146" t="n">
        <v>252</v>
      </c>
      <c r="AB146" t="n">
        <v>2</v>
      </c>
      <c r="AC146" t="n">
        <v>2</v>
      </c>
      <c r="AD146" t="n">
        <v>22</v>
      </c>
      <c r="AE146" t="n">
        <v>22</v>
      </c>
      <c r="AF146" t="n">
        <v>6</v>
      </c>
      <c r="AG146" t="n">
        <v>6</v>
      </c>
      <c r="AH146" t="n">
        <v>6</v>
      </c>
      <c r="AI146" t="n">
        <v>6</v>
      </c>
      <c r="AJ146" t="n">
        <v>16</v>
      </c>
      <c r="AK146" t="n">
        <v>16</v>
      </c>
      <c r="AL146" t="n">
        <v>1</v>
      </c>
      <c r="AM146" t="n">
        <v>1</v>
      </c>
      <c r="AN146" t="n">
        <v>0</v>
      </c>
      <c r="AO146" t="n">
        <v>0</v>
      </c>
      <c r="AP146" t="inlineStr">
        <is>
          <t>No</t>
        </is>
      </c>
      <c r="AQ146" t="inlineStr">
        <is>
          <t>Yes</t>
        </is>
      </c>
      <c r="AR146">
        <f>HYPERLINK("http://catalog.hathitrust.org/Record/000154463","HathiTrust Record")</f>
        <v/>
      </c>
      <c r="AS146">
        <f>HYPERLINK("https://creighton-primo.hosted.exlibrisgroup.com/primo-explore/search?tab=default_tab&amp;search_scope=EVERYTHING&amp;vid=01CRU&amp;lang=en_US&amp;offset=0&amp;query=any,contains,991000106179702656","Catalog Record")</f>
        <v/>
      </c>
      <c r="AT146">
        <f>HYPERLINK("http://www.worldcat.org/oclc/8976021","WorldCat Record")</f>
        <v/>
      </c>
      <c r="AU146" t="inlineStr">
        <is>
          <t>5155218:eng</t>
        </is>
      </c>
      <c r="AV146" t="inlineStr">
        <is>
          <t>8976021</t>
        </is>
      </c>
      <c r="AW146" t="inlineStr">
        <is>
          <t>991000106179702656</t>
        </is>
      </c>
      <c r="AX146" t="inlineStr">
        <is>
          <t>991000106179702656</t>
        </is>
      </c>
      <c r="AY146" t="inlineStr">
        <is>
          <t>2256461510002656</t>
        </is>
      </c>
      <c r="AZ146" t="inlineStr">
        <is>
          <t>BOOK</t>
        </is>
      </c>
      <c r="BB146" t="inlineStr">
        <is>
          <t>9780883443378</t>
        </is>
      </c>
      <c r="BC146" t="inlineStr">
        <is>
          <t>32285000505775</t>
        </is>
      </c>
      <c r="BD146" t="inlineStr">
        <is>
          <t>893339288</t>
        </is>
      </c>
    </row>
    <row r="147">
      <c r="A147" t="inlineStr">
        <is>
          <t>No</t>
        </is>
      </c>
      <c r="B147" t="inlineStr">
        <is>
          <t>BX1401.A1 C37 2004</t>
        </is>
      </c>
      <c r="C147" t="inlineStr">
        <is>
          <t>0                      BX 1401000A  1                  C  37          2004</t>
        </is>
      </c>
      <c r="D147" t="inlineStr">
        <is>
          <t>Doctrinal note on some questions regarding the participation of Catholics in political life / Congregation for the Doctrine of the Faith.</t>
        </is>
      </c>
      <c r="F147" t="inlineStr">
        <is>
          <t>No</t>
        </is>
      </c>
      <c r="G147" t="inlineStr">
        <is>
          <t>1</t>
        </is>
      </c>
      <c r="H147" t="inlineStr">
        <is>
          <t>No</t>
        </is>
      </c>
      <c r="I147" t="inlineStr">
        <is>
          <t>No</t>
        </is>
      </c>
      <c r="J147" t="inlineStr">
        <is>
          <t>0</t>
        </is>
      </c>
      <c r="K147" t="inlineStr">
        <is>
          <t>Catholic Church. Congregatio pro Doctrina Fidei.</t>
        </is>
      </c>
      <c r="L147" t="inlineStr">
        <is>
          <t>Washington, D.C. : United States Conference of Catholic Bishops, 2004.</t>
        </is>
      </c>
      <c r="M147" t="inlineStr">
        <is>
          <t>2004</t>
        </is>
      </c>
      <c r="O147" t="inlineStr">
        <is>
          <t>eng</t>
        </is>
      </c>
      <c r="P147" t="inlineStr">
        <is>
          <t>dcu</t>
        </is>
      </c>
      <c r="Q147" t="inlineStr">
        <is>
          <t>Publication / USCCB Publishing ; no. 5-550.</t>
        </is>
      </c>
      <c r="R147" t="inlineStr">
        <is>
          <t xml:space="preserve">BX </t>
        </is>
      </c>
      <c r="S147" t="n">
        <v>5</v>
      </c>
      <c r="T147" t="n">
        <v>5</v>
      </c>
      <c r="U147" t="inlineStr">
        <is>
          <t>2005-11-06</t>
        </is>
      </c>
      <c r="V147" t="inlineStr">
        <is>
          <t>2005-11-06</t>
        </is>
      </c>
      <c r="W147" t="inlineStr">
        <is>
          <t>2004-06-10</t>
        </is>
      </c>
      <c r="X147" t="inlineStr">
        <is>
          <t>2004-06-10</t>
        </is>
      </c>
      <c r="Y147" t="n">
        <v>53</v>
      </c>
      <c r="Z147" t="n">
        <v>52</v>
      </c>
      <c r="AA147" t="n">
        <v>53</v>
      </c>
      <c r="AB147" t="n">
        <v>1</v>
      </c>
      <c r="AC147" t="n">
        <v>1</v>
      </c>
      <c r="AD147" t="n">
        <v>8</v>
      </c>
      <c r="AE147" t="n">
        <v>9</v>
      </c>
      <c r="AF147" t="n">
        <v>1</v>
      </c>
      <c r="AG147" t="n">
        <v>1</v>
      </c>
      <c r="AH147" t="n">
        <v>2</v>
      </c>
      <c r="AI147" t="n">
        <v>3</v>
      </c>
      <c r="AJ147" t="n">
        <v>7</v>
      </c>
      <c r="AK147" t="n">
        <v>7</v>
      </c>
      <c r="AL147" t="n">
        <v>0</v>
      </c>
      <c r="AM147" t="n">
        <v>0</v>
      </c>
      <c r="AN147" t="n">
        <v>0</v>
      </c>
      <c r="AO147" t="n">
        <v>0</v>
      </c>
      <c r="AP147" t="inlineStr">
        <is>
          <t>No</t>
        </is>
      </c>
      <c r="AQ147" t="inlineStr">
        <is>
          <t>No</t>
        </is>
      </c>
      <c r="AS147">
        <f>HYPERLINK("https://creighton-primo.hosted.exlibrisgroup.com/primo-explore/search?tab=default_tab&amp;search_scope=EVERYTHING&amp;vid=01CRU&amp;lang=en_US&amp;offset=0&amp;query=any,contains,991004311089702656","Catalog Record")</f>
        <v/>
      </c>
      <c r="AT147">
        <f>HYPERLINK("http://www.worldcat.org/oclc/55201632","WorldCat Record")</f>
        <v/>
      </c>
      <c r="AU147" t="inlineStr">
        <is>
          <t>13595977:eng</t>
        </is>
      </c>
      <c r="AV147" t="inlineStr">
        <is>
          <t>55201632</t>
        </is>
      </c>
      <c r="AW147" t="inlineStr">
        <is>
          <t>991004311089702656</t>
        </is>
      </c>
      <c r="AX147" t="inlineStr">
        <is>
          <t>991004311089702656</t>
        </is>
      </c>
      <c r="AY147" t="inlineStr">
        <is>
          <t>2270844750002656</t>
        </is>
      </c>
      <c r="AZ147" t="inlineStr">
        <is>
          <t>BOOK</t>
        </is>
      </c>
      <c r="BB147" t="inlineStr">
        <is>
          <t>9781574555509</t>
        </is>
      </c>
      <c r="BC147" t="inlineStr">
        <is>
          <t>32285004909247</t>
        </is>
      </c>
      <c r="BD147" t="inlineStr">
        <is>
          <t>893446140</t>
        </is>
      </c>
    </row>
    <row r="148">
      <c r="A148" t="inlineStr">
        <is>
          <t>No</t>
        </is>
      </c>
      <c r="B148" t="inlineStr">
        <is>
          <t>BX1401.A1 L89 1999</t>
        </is>
      </c>
      <c r="C148" t="inlineStr">
        <is>
          <t>0                      BX 1401000A  1                  L  89          1999</t>
        </is>
      </c>
      <c r="D148" t="inlineStr">
        <is>
          <t>The Vatican and the red flag : the struggle for the soul of Eastern Europe / Jonathan Luxmoore and Jolanta Babiuch.</t>
        </is>
      </c>
      <c r="F148" t="inlineStr">
        <is>
          <t>No</t>
        </is>
      </c>
      <c r="G148" t="inlineStr">
        <is>
          <t>1</t>
        </is>
      </c>
      <c r="H148" t="inlineStr">
        <is>
          <t>No</t>
        </is>
      </c>
      <c r="I148" t="inlineStr">
        <is>
          <t>No</t>
        </is>
      </c>
      <c r="J148" t="inlineStr">
        <is>
          <t>0</t>
        </is>
      </c>
      <c r="K148" t="inlineStr">
        <is>
          <t>Luxmoore, Jonathan.</t>
        </is>
      </c>
      <c r="L148" t="inlineStr">
        <is>
          <t>London ; New York : G. Chapman, 1999.</t>
        </is>
      </c>
      <c r="M148" t="inlineStr">
        <is>
          <t>1999</t>
        </is>
      </c>
      <c r="O148" t="inlineStr">
        <is>
          <t>eng</t>
        </is>
      </c>
      <c r="P148" t="inlineStr">
        <is>
          <t>enk</t>
        </is>
      </c>
      <c r="R148" t="inlineStr">
        <is>
          <t xml:space="preserve">BX </t>
        </is>
      </c>
      <c r="S148" t="n">
        <v>3</v>
      </c>
      <c r="T148" t="n">
        <v>3</v>
      </c>
      <c r="U148" t="inlineStr">
        <is>
          <t>2004-02-23</t>
        </is>
      </c>
      <c r="V148" t="inlineStr">
        <is>
          <t>2004-02-23</t>
        </is>
      </c>
      <c r="W148" t="inlineStr">
        <is>
          <t>1999-12-07</t>
        </is>
      </c>
      <c r="X148" t="inlineStr">
        <is>
          <t>1999-12-07</t>
        </is>
      </c>
      <c r="Y148" t="n">
        <v>385</v>
      </c>
      <c r="Z148" t="n">
        <v>317</v>
      </c>
      <c r="AA148" t="n">
        <v>332</v>
      </c>
      <c r="AB148" t="n">
        <v>3</v>
      </c>
      <c r="AC148" t="n">
        <v>3</v>
      </c>
      <c r="AD148" t="n">
        <v>24</v>
      </c>
      <c r="AE148" t="n">
        <v>24</v>
      </c>
      <c r="AF148" t="n">
        <v>8</v>
      </c>
      <c r="AG148" t="n">
        <v>8</v>
      </c>
      <c r="AH148" t="n">
        <v>7</v>
      </c>
      <c r="AI148" t="n">
        <v>7</v>
      </c>
      <c r="AJ148" t="n">
        <v>16</v>
      </c>
      <c r="AK148" t="n">
        <v>16</v>
      </c>
      <c r="AL148" t="n">
        <v>2</v>
      </c>
      <c r="AM148" t="n">
        <v>2</v>
      </c>
      <c r="AN148" t="n">
        <v>0</v>
      </c>
      <c r="AO148" t="n">
        <v>0</v>
      </c>
      <c r="AP148" t="inlineStr">
        <is>
          <t>No</t>
        </is>
      </c>
      <c r="AQ148" t="inlineStr">
        <is>
          <t>Yes</t>
        </is>
      </c>
      <c r="AR148">
        <f>HYPERLINK("http://catalog.hathitrust.org/Record/004007548","HathiTrust Record")</f>
        <v/>
      </c>
      <c r="AS148">
        <f>HYPERLINK("https://creighton-primo.hosted.exlibrisgroup.com/primo-explore/search?tab=default_tab&amp;search_scope=EVERYTHING&amp;vid=01CRU&amp;lang=en_US&amp;offset=0&amp;query=any,contains,991003005269702656","Catalog Record")</f>
        <v/>
      </c>
      <c r="AT148">
        <f>HYPERLINK("http://www.worldcat.org/oclc/40726978","WorldCat Record")</f>
        <v/>
      </c>
      <c r="AU148" t="inlineStr">
        <is>
          <t>836960805:eng</t>
        </is>
      </c>
      <c r="AV148" t="inlineStr">
        <is>
          <t>40726978</t>
        </is>
      </c>
      <c r="AW148" t="inlineStr">
        <is>
          <t>991003005269702656</t>
        </is>
      </c>
      <c r="AX148" t="inlineStr">
        <is>
          <t>991003005269702656</t>
        </is>
      </c>
      <c r="AY148" t="inlineStr">
        <is>
          <t>2265861130002656</t>
        </is>
      </c>
      <c r="AZ148" t="inlineStr">
        <is>
          <t>BOOK</t>
        </is>
      </c>
      <c r="BB148" t="inlineStr">
        <is>
          <t>9780225667721</t>
        </is>
      </c>
      <c r="BC148" t="inlineStr">
        <is>
          <t>32285003629499</t>
        </is>
      </c>
      <c r="BD148" t="inlineStr">
        <is>
          <t>893780510</t>
        </is>
      </c>
    </row>
    <row r="149">
      <c r="A149" t="inlineStr">
        <is>
          <t>No</t>
        </is>
      </c>
      <c r="B149" t="inlineStr">
        <is>
          <t>BX1404 .T68</t>
        </is>
      </c>
      <c r="C149" t="inlineStr">
        <is>
          <t>0                      BX 1404000T  68</t>
        </is>
      </c>
      <c r="D149" t="inlineStr">
        <is>
          <t>Toward Vatican III : The work that needs to be done / edited by David Tracy with Hans Küng and Johann B. Metz. --</t>
        </is>
      </c>
      <c r="F149" t="inlineStr">
        <is>
          <t>No</t>
        </is>
      </c>
      <c r="G149" t="inlineStr">
        <is>
          <t>1</t>
        </is>
      </c>
      <c r="H149" t="inlineStr">
        <is>
          <t>No</t>
        </is>
      </c>
      <c r="I149" t="inlineStr">
        <is>
          <t>No</t>
        </is>
      </c>
      <c r="J149" t="inlineStr">
        <is>
          <t>0</t>
        </is>
      </c>
      <c r="L149" t="inlineStr">
        <is>
          <t>Nijmegen, Holland : Concilium ; New York : Seabury Press, 1978.</t>
        </is>
      </c>
      <c r="M149" t="inlineStr">
        <is>
          <t>1978</t>
        </is>
      </c>
      <c r="O149" t="inlineStr">
        <is>
          <t>eng</t>
        </is>
      </c>
      <c r="P149" t="inlineStr">
        <is>
          <t>nyu</t>
        </is>
      </c>
      <c r="R149" t="inlineStr">
        <is>
          <t xml:space="preserve">BX </t>
        </is>
      </c>
      <c r="S149" t="n">
        <v>7</v>
      </c>
      <c r="T149" t="n">
        <v>7</v>
      </c>
      <c r="U149" t="inlineStr">
        <is>
          <t>2000-01-04</t>
        </is>
      </c>
      <c r="V149" t="inlineStr">
        <is>
          <t>2000-01-04</t>
        </is>
      </c>
      <c r="W149" t="inlineStr">
        <is>
          <t>1994-11-29</t>
        </is>
      </c>
      <c r="X149" t="inlineStr">
        <is>
          <t>1994-11-29</t>
        </is>
      </c>
      <c r="Y149" t="n">
        <v>559</v>
      </c>
      <c r="Z149" t="n">
        <v>498</v>
      </c>
      <c r="AA149" t="n">
        <v>515</v>
      </c>
      <c r="AB149" t="n">
        <v>6</v>
      </c>
      <c r="AC149" t="n">
        <v>6</v>
      </c>
      <c r="AD149" t="n">
        <v>39</v>
      </c>
      <c r="AE149" t="n">
        <v>40</v>
      </c>
      <c r="AF149" t="n">
        <v>12</v>
      </c>
      <c r="AG149" t="n">
        <v>13</v>
      </c>
      <c r="AH149" t="n">
        <v>10</v>
      </c>
      <c r="AI149" t="n">
        <v>10</v>
      </c>
      <c r="AJ149" t="n">
        <v>24</v>
      </c>
      <c r="AK149" t="n">
        <v>24</v>
      </c>
      <c r="AL149" t="n">
        <v>5</v>
      </c>
      <c r="AM149" t="n">
        <v>5</v>
      </c>
      <c r="AN149" t="n">
        <v>0</v>
      </c>
      <c r="AO149" t="n">
        <v>0</v>
      </c>
      <c r="AP149" t="inlineStr">
        <is>
          <t>No</t>
        </is>
      </c>
      <c r="AQ149" t="inlineStr">
        <is>
          <t>Yes</t>
        </is>
      </c>
      <c r="AR149">
        <f>HYPERLINK("http://catalog.hathitrust.org/Record/009802091","HathiTrust Record")</f>
        <v/>
      </c>
      <c r="AS149">
        <f>HYPERLINK("https://creighton-primo.hosted.exlibrisgroup.com/primo-explore/search?tab=default_tab&amp;search_scope=EVERYTHING&amp;vid=01CRU&amp;lang=en_US&amp;offset=0&amp;query=any,contains,991004483239702656","Catalog Record")</f>
        <v/>
      </c>
      <c r="AT149">
        <f>HYPERLINK("http://www.worldcat.org/oclc/3630967","WorldCat Record")</f>
        <v/>
      </c>
      <c r="AU149" t="inlineStr">
        <is>
          <t>376198594:eng</t>
        </is>
      </c>
      <c r="AV149" t="inlineStr">
        <is>
          <t>3630967</t>
        </is>
      </c>
      <c r="AW149" t="inlineStr">
        <is>
          <t>991004483239702656</t>
        </is>
      </c>
      <c r="AX149" t="inlineStr">
        <is>
          <t>991004483239702656</t>
        </is>
      </c>
      <c r="AY149" t="inlineStr">
        <is>
          <t>2258609350002656</t>
        </is>
      </c>
      <c r="AZ149" t="inlineStr">
        <is>
          <t>BOOK</t>
        </is>
      </c>
      <c r="BB149" t="inlineStr">
        <is>
          <t>9780816403790</t>
        </is>
      </c>
      <c r="BC149" t="inlineStr">
        <is>
          <t>32285001778496</t>
        </is>
      </c>
      <c r="BD149" t="inlineStr">
        <is>
          <t>893241491</t>
        </is>
      </c>
    </row>
    <row r="150">
      <c r="A150" t="inlineStr">
        <is>
          <t>No</t>
        </is>
      </c>
      <c r="B150" t="inlineStr">
        <is>
          <t>BX1405 .C37 1968</t>
        </is>
      </c>
      <c r="C150" t="inlineStr">
        <is>
          <t>0                      BX 1405000C  37          1968</t>
        </is>
      </c>
      <c r="D150" t="inlineStr">
        <is>
          <t>Human life in our day : a collective pastoral letter of the American Hierarchy issued November 15, 1968.</t>
        </is>
      </c>
      <c r="F150" t="inlineStr">
        <is>
          <t>No</t>
        </is>
      </c>
      <c r="G150" t="inlineStr">
        <is>
          <t>1</t>
        </is>
      </c>
      <c r="H150" t="inlineStr">
        <is>
          <t>No</t>
        </is>
      </c>
      <c r="I150" t="inlineStr">
        <is>
          <t>No</t>
        </is>
      </c>
      <c r="J150" t="inlineStr">
        <is>
          <t>0</t>
        </is>
      </c>
      <c r="K150" t="inlineStr">
        <is>
          <t>Catholic Church. National Conference of Catholic Bishops.</t>
        </is>
      </c>
      <c r="L150" t="inlineStr">
        <is>
          <t>Washington, D.C. : the Conference, c1968.</t>
        </is>
      </c>
      <c r="M150" t="inlineStr">
        <is>
          <t>1968</t>
        </is>
      </c>
      <c r="O150" t="inlineStr">
        <is>
          <t>eng</t>
        </is>
      </c>
      <c r="P150" t="inlineStr">
        <is>
          <t>dcu</t>
        </is>
      </c>
      <c r="R150" t="inlineStr">
        <is>
          <t xml:space="preserve">BX </t>
        </is>
      </c>
      <c r="S150" t="n">
        <v>4</v>
      </c>
      <c r="T150" t="n">
        <v>4</v>
      </c>
      <c r="U150" t="inlineStr">
        <is>
          <t>2002-09-16</t>
        </is>
      </c>
      <c r="V150" t="inlineStr">
        <is>
          <t>2002-09-16</t>
        </is>
      </c>
      <c r="W150" t="inlineStr">
        <is>
          <t>1991-02-11</t>
        </is>
      </c>
      <c r="X150" t="inlineStr">
        <is>
          <t>1991-02-11</t>
        </is>
      </c>
      <c r="Y150" t="n">
        <v>71</v>
      </c>
      <c r="Z150" t="n">
        <v>68</v>
      </c>
      <c r="AA150" t="n">
        <v>69</v>
      </c>
      <c r="AB150" t="n">
        <v>1</v>
      </c>
      <c r="AC150" t="n">
        <v>1</v>
      </c>
      <c r="AD150" t="n">
        <v>10</v>
      </c>
      <c r="AE150" t="n">
        <v>10</v>
      </c>
      <c r="AF150" t="n">
        <v>1</v>
      </c>
      <c r="AG150" t="n">
        <v>1</v>
      </c>
      <c r="AH150" t="n">
        <v>3</v>
      </c>
      <c r="AI150" t="n">
        <v>3</v>
      </c>
      <c r="AJ150" t="n">
        <v>8</v>
      </c>
      <c r="AK150" t="n">
        <v>8</v>
      </c>
      <c r="AL150" t="n">
        <v>0</v>
      </c>
      <c r="AM150" t="n">
        <v>0</v>
      </c>
      <c r="AN150" t="n">
        <v>0</v>
      </c>
      <c r="AO150" t="n">
        <v>0</v>
      </c>
      <c r="AP150" t="inlineStr">
        <is>
          <t>No</t>
        </is>
      </c>
      <c r="AQ150" t="inlineStr">
        <is>
          <t>No</t>
        </is>
      </c>
      <c r="AS150">
        <f>HYPERLINK("https://creighton-primo.hosted.exlibrisgroup.com/primo-explore/search?tab=default_tab&amp;search_scope=EVERYTHING&amp;vid=01CRU&amp;lang=en_US&amp;offset=0&amp;query=any,contains,991004734349702656","Catalog Record")</f>
        <v/>
      </c>
      <c r="AT150">
        <f>HYPERLINK("http://www.worldcat.org/oclc/4846995","WorldCat Record")</f>
        <v/>
      </c>
      <c r="AU150" t="inlineStr">
        <is>
          <t>68552225:eng</t>
        </is>
      </c>
      <c r="AV150" t="inlineStr">
        <is>
          <t>4846995</t>
        </is>
      </c>
      <c r="AW150" t="inlineStr">
        <is>
          <t>991004734349702656</t>
        </is>
      </c>
      <c r="AX150" t="inlineStr">
        <is>
          <t>991004734349702656</t>
        </is>
      </c>
      <c r="AY150" t="inlineStr">
        <is>
          <t>2262758490002656</t>
        </is>
      </c>
      <c r="AZ150" t="inlineStr">
        <is>
          <t>BOOK</t>
        </is>
      </c>
      <c r="BC150" t="inlineStr">
        <is>
          <t>32285000505890</t>
        </is>
      </c>
      <c r="BD150" t="inlineStr">
        <is>
          <t>893424129</t>
        </is>
      </c>
    </row>
    <row r="151">
      <c r="A151" t="inlineStr">
        <is>
          <t>No</t>
        </is>
      </c>
      <c r="B151" t="inlineStr">
        <is>
          <t>BX1405 .P83 1999</t>
        </is>
      </c>
      <c r="C151" t="inlineStr">
        <is>
          <t>0                      BX 1405000P  83          1999</t>
        </is>
      </c>
      <c r="D151" t="inlineStr">
        <is>
          <t>Public voices : Catholics in the American context / Steven M. Avella, Elizabeth McKeown, editors.</t>
        </is>
      </c>
      <c r="F151" t="inlineStr">
        <is>
          <t>No</t>
        </is>
      </c>
      <c r="G151" t="inlineStr">
        <is>
          <t>1</t>
        </is>
      </c>
      <c r="H151" t="inlineStr">
        <is>
          <t>No</t>
        </is>
      </c>
      <c r="I151" t="inlineStr">
        <is>
          <t>No</t>
        </is>
      </c>
      <c r="J151" t="inlineStr">
        <is>
          <t>0</t>
        </is>
      </c>
      <c r="L151" t="inlineStr">
        <is>
          <t>Maryknoll, N.Y. : Orbis Books, c1999.</t>
        </is>
      </c>
      <c r="M151" t="inlineStr">
        <is>
          <t>1999</t>
        </is>
      </c>
      <c r="O151" t="inlineStr">
        <is>
          <t>eng</t>
        </is>
      </c>
      <c r="P151" t="inlineStr">
        <is>
          <t>nyu</t>
        </is>
      </c>
      <c r="Q151" t="inlineStr">
        <is>
          <t>American Catholic identities</t>
        </is>
      </c>
      <c r="R151" t="inlineStr">
        <is>
          <t xml:space="preserve">BX </t>
        </is>
      </c>
      <c r="S151" t="n">
        <v>3</v>
      </c>
      <c r="T151" t="n">
        <v>3</v>
      </c>
      <c r="U151" t="inlineStr">
        <is>
          <t>2006-03-26</t>
        </is>
      </c>
      <c r="V151" t="inlineStr">
        <is>
          <t>2006-03-26</t>
        </is>
      </c>
      <c r="W151" t="inlineStr">
        <is>
          <t>2001-11-15</t>
        </is>
      </c>
      <c r="X151" t="inlineStr">
        <is>
          <t>2001-11-15</t>
        </is>
      </c>
      <c r="Y151" t="n">
        <v>246</v>
      </c>
      <c r="Z151" t="n">
        <v>223</v>
      </c>
      <c r="AA151" t="n">
        <v>225</v>
      </c>
      <c r="AB151" t="n">
        <v>2</v>
      </c>
      <c r="AC151" t="n">
        <v>2</v>
      </c>
      <c r="AD151" t="n">
        <v>32</v>
      </c>
      <c r="AE151" t="n">
        <v>32</v>
      </c>
      <c r="AF151" t="n">
        <v>13</v>
      </c>
      <c r="AG151" t="n">
        <v>13</v>
      </c>
      <c r="AH151" t="n">
        <v>7</v>
      </c>
      <c r="AI151" t="n">
        <v>7</v>
      </c>
      <c r="AJ151" t="n">
        <v>19</v>
      </c>
      <c r="AK151" t="n">
        <v>19</v>
      </c>
      <c r="AL151" t="n">
        <v>1</v>
      </c>
      <c r="AM151" t="n">
        <v>1</v>
      </c>
      <c r="AN151" t="n">
        <v>0</v>
      </c>
      <c r="AO151" t="n">
        <v>0</v>
      </c>
      <c r="AP151" t="inlineStr">
        <is>
          <t>No</t>
        </is>
      </c>
      <c r="AQ151" t="inlineStr">
        <is>
          <t>Yes</t>
        </is>
      </c>
      <c r="AR151">
        <f>HYPERLINK("http://catalog.hathitrust.org/Record/004076330","HathiTrust Record")</f>
        <v/>
      </c>
      <c r="AS151">
        <f>HYPERLINK("https://creighton-primo.hosted.exlibrisgroup.com/primo-explore/search?tab=default_tab&amp;search_scope=EVERYTHING&amp;vid=01CRU&amp;lang=en_US&amp;offset=0&amp;query=any,contains,991003644739702656","Catalog Record")</f>
        <v/>
      </c>
      <c r="AT151">
        <f>HYPERLINK("http://www.worldcat.org/oclc/42463162","WorldCat Record")</f>
        <v/>
      </c>
      <c r="AU151" t="inlineStr">
        <is>
          <t>476453798:eng</t>
        </is>
      </c>
      <c r="AV151" t="inlineStr">
        <is>
          <t>42463162</t>
        </is>
      </c>
      <c r="AW151" t="inlineStr">
        <is>
          <t>991003644739702656</t>
        </is>
      </c>
      <c r="AX151" t="inlineStr">
        <is>
          <t>991003644739702656</t>
        </is>
      </c>
      <c r="AY151" t="inlineStr">
        <is>
          <t>2263173470002656</t>
        </is>
      </c>
      <c r="AZ151" t="inlineStr">
        <is>
          <t>BOOK</t>
        </is>
      </c>
      <c r="BB151" t="inlineStr">
        <is>
          <t>9781570752667</t>
        </is>
      </c>
      <c r="BC151" t="inlineStr">
        <is>
          <t>32285004412028</t>
        </is>
      </c>
      <c r="BD151" t="inlineStr">
        <is>
          <t>893881390</t>
        </is>
      </c>
    </row>
    <row r="152">
      <c r="A152" t="inlineStr">
        <is>
          <t>No</t>
        </is>
      </c>
      <c r="B152" t="inlineStr">
        <is>
          <t>BX1406 .C53 1954</t>
        </is>
      </c>
      <c r="C152" t="inlineStr">
        <is>
          <t>0                      BX 1406000C  53          1954</t>
        </is>
      </c>
      <c r="D152" t="inlineStr">
        <is>
          <t>Catholicism in America : a series of articles from the Commonweal.</t>
        </is>
      </c>
      <c r="F152" t="inlineStr">
        <is>
          <t>No</t>
        </is>
      </c>
      <c r="G152" t="inlineStr">
        <is>
          <t>1</t>
        </is>
      </c>
      <c r="H152" t="inlineStr">
        <is>
          <t>No</t>
        </is>
      </c>
      <c r="I152" t="inlineStr">
        <is>
          <t>No</t>
        </is>
      </c>
      <c r="J152" t="inlineStr">
        <is>
          <t>0</t>
        </is>
      </c>
      <c r="K152" t="inlineStr">
        <is>
          <t>Commonweal.</t>
        </is>
      </c>
      <c r="L152" t="inlineStr">
        <is>
          <t>New York : Harcourt, Brace, [1954]</t>
        </is>
      </c>
      <c r="M152" t="inlineStr">
        <is>
          <t>1954</t>
        </is>
      </c>
      <c r="N152" t="inlineStr">
        <is>
          <t>[1st ed.]</t>
        </is>
      </c>
      <c r="O152" t="inlineStr">
        <is>
          <t>eng</t>
        </is>
      </c>
      <c r="P152" t="inlineStr">
        <is>
          <t>nyu</t>
        </is>
      </c>
      <c r="R152" t="inlineStr">
        <is>
          <t xml:space="preserve">BX </t>
        </is>
      </c>
      <c r="S152" t="n">
        <v>0</v>
      </c>
      <c r="T152" t="n">
        <v>0</v>
      </c>
      <c r="U152" t="inlineStr">
        <is>
          <t>2006-02-13</t>
        </is>
      </c>
      <c r="V152" t="inlineStr">
        <is>
          <t>2006-02-13</t>
        </is>
      </c>
      <c r="W152" t="inlineStr">
        <is>
          <t>1991-02-12</t>
        </is>
      </c>
      <c r="X152" t="inlineStr">
        <is>
          <t>1991-02-12</t>
        </is>
      </c>
      <c r="Y152" t="n">
        <v>419</v>
      </c>
      <c r="Z152" t="n">
        <v>392</v>
      </c>
      <c r="AA152" t="n">
        <v>394</v>
      </c>
      <c r="AB152" t="n">
        <v>4</v>
      </c>
      <c r="AC152" t="n">
        <v>4</v>
      </c>
      <c r="AD152" t="n">
        <v>33</v>
      </c>
      <c r="AE152" t="n">
        <v>33</v>
      </c>
      <c r="AF152" t="n">
        <v>8</v>
      </c>
      <c r="AG152" t="n">
        <v>8</v>
      </c>
      <c r="AH152" t="n">
        <v>8</v>
      </c>
      <c r="AI152" t="n">
        <v>8</v>
      </c>
      <c r="AJ152" t="n">
        <v>25</v>
      </c>
      <c r="AK152" t="n">
        <v>25</v>
      </c>
      <c r="AL152" t="n">
        <v>2</v>
      </c>
      <c r="AM152" t="n">
        <v>2</v>
      </c>
      <c r="AN152" t="n">
        <v>0</v>
      </c>
      <c r="AO152" t="n">
        <v>0</v>
      </c>
      <c r="AP152" t="inlineStr">
        <is>
          <t>No</t>
        </is>
      </c>
      <c r="AQ152" t="inlineStr">
        <is>
          <t>No</t>
        </is>
      </c>
      <c r="AR152">
        <f>HYPERLINK("http://catalog.hathitrust.org/Record/001415969","HathiTrust Record")</f>
        <v/>
      </c>
      <c r="AS152">
        <f>HYPERLINK("https://creighton-primo.hosted.exlibrisgroup.com/primo-explore/search?tab=default_tab&amp;search_scope=EVERYTHING&amp;vid=01CRU&amp;lang=en_US&amp;offset=0&amp;query=any,contains,991003498469702656","Catalog Record")</f>
        <v/>
      </c>
      <c r="AT152">
        <f>HYPERLINK("http://www.worldcat.org/oclc/1050048","WorldCat Record")</f>
        <v/>
      </c>
      <c r="AU152" t="inlineStr">
        <is>
          <t>53963319:eng</t>
        </is>
      </c>
      <c r="AV152" t="inlineStr">
        <is>
          <t>1050048</t>
        </is>
      </c>
      <c r="AW152" t="inlineStr">
        <is>
          <t>991003498469702656</t>
        </is>
      </c>
      <c r="AX152" t="inlineStr">
        <is>
          <t>991003498469702656</t>
        </is>
      </c>
      <c r="AY152" t="inlineStr">
        <is>
          <t>2254837520002656</t>
        </is>
      </c>
      <c r="AZ152" t="inlineStr">
        <is>
          <t>BOOK</t>
        </is>
      </c>
      <c r="BC152" t="inlineStr">
        <is>
          <t>32285000505973</t>
        </is>
      </c>
      <c r="BD152" t="inlineStr">
        <is>
          <t>893598642</t>
        </is>
      </c>
    </row>
    <row r="153">
      <c r="A153" t="inlineStr">
        <is>
          <t>No</t>
        </is>
      </c>
      <c r="B153" t="inlineStr">
        <is>
          <t>BX1406 .D5 1922</t>
        </is>
      </c>
      <c r="C153" t="inlineStr">
        <is>
          <t>0                      BX 1406000D  5           1922</t>
        </is>
      </c>
      <c r="D153" t="inlineStr">
        <is>
          <t>État de l'église catholique ou Diocèse des États-Unis de l'Amérique septentrionale / par Jean Dilhet ; translated and annotated by Rev. Patrick William Browne.</t>
        </is>
      </c>
      <c r="F153" t="inlineStr">
        <is>
          <t>No</t>
        </is>
      </c>
      <c r="G153" t="inlineStr">
        <is>
          <t>1</t>
        </is>
      </c>
      <c r="H153" t="inlineStr">
        <is>
          <t>No</t>
        </is>
      </c>
      <c r="I153" t="inlineStr">
        <is>
          <t>No</t>
        </is>
      </c>
      <c r="J153" t="inlineStr">
        <is>
          <t>0</t>
        </is>
      </c>
      <c r="K153" t="inlineStr">
        <is>
          <t>Dilhet, Jean, 1753-1811.</t>
        </is>
      </c>
      <c r="L153" t="inlineStr">
        <is>
          <t>Washington, D. C. : The Salve Regina press, 1922.</t>
        </is>
      </c>
      <c r="M153" t="inlineStr">
        <is>
          <t>1922</t>
        </is>
      </c>
      <c r="O153" t="inlineStr">
        <is>
          <t>fre</t>
        </is>
      </c>
      <c r="P153" t="inlineStr">
        <is>
          <t xml:space="preserve">xx </t>
        </is>
      </c>
      <c r="Q153" t="inlineStr">
        <is>
          <t>The Catholic university of America. Studies in American church history, vol.I</t>
        </is>
      </c>
      <c r="R153" t="inlineStr">
        <is>
          <t xml:space="preserve">BX </t>
        </is>
      </c>
      <c r="S153" t="n">
        <v>1</v>
      </c>
      <c r="T153" t="n">
        <v>1</v>
      </c>
      <c r="U153" t="inlineStr">
        <is>
          <t>2000-06-29</t>
        </is>
      </c>
      <c r="V153" t="inlineStr">
        <is>
          <t>2000-06-29</t>
        </is>
      </c>
      <c r="W153" t="inlineStr">
        <is>
          <t>1991-02-12</t>
        </is>
      </c>
      <c r="X153" t="inlineStr">
        <is>
          <t>1991-02-12</t>
        </is>
      </c>
      <c r="Y153" t="n">
        <v>94</v>
      </c>
      <c r="Z153" t="n">
        <v>89</v>
      </c>
      <c r="AA153" t="n">
        <v>103</v>
      </c>
      <c r="AB153" t="n">
        <v>1</v>
      </c>
      <c r="AC153" t="n">
        <v>1</v>
      </c>
      <c r="AD153" t="n">
        <v>12</v>
      </c>
      <c r="AE153" t="n">
        <v>12</v>
      </c>
      <c r="AF153" t="n">
        <v>2</v>
      </c>
      <c r="AG153" t="n">
        <v>2</v>
      </c>
      <c r="AH153" t="n">
        <v>4</v>
      </c>
      <c r="AI153" t="n">
        <v>4</v>
      </c>
      <c r="AJ153" t="n">
        <v>8</v>
      </c>
      <c r="AK153" t="n">
        <v>8</v>
      </c>
      <c r="AL153" t="n">
        <v>0</v>
      </c>
      <c r="AM153" t="n">
        <v>0</v>
      </c>
      <c r="AN153" t="n">
        <v>0</v>
      </c>
      <c r="AO153" t="n">
        <v>0</v>
      </c>
      <c r="AP153" t="inlineStr">
        <is>
          <t>Yes</t>
        </is>
      </c>
      <c r="AQ153" t="inlineStr">
        <is>
          <t>No</t>
        </is>
      </c>
      <c r="AR153">
        <f>HYPERLINK("http://catalog.hathitrust.org/Record/001639989","HathiTrust Record")</f>
        <v/>
      </c>
      <c r="AS153">
        <f>HYPERLINK("https://creighton-primo.hosted.exlibrisgroup.com/primo-explore/search?tab=default_tab&amp;search_scope=EVERYTHING&amp;vid=01CRU&amp;lang=en_US&amp;offset=0&amp;query=any,contains,991004418289702656","Catalog Record")</f>
        <v/>
      </c>
      <c r="AT153">
        <f>HYPERLINK("http://www.worldcat.org/oclc/3373370","WorldCat Record")</f>
        <v/>
      </c>
      <c r="AU153" t="inlineStr">
        <is>
          <t>9707052:fre</t>
        </is>
      </c>
      <c r="AV153" t="inlineStr">
        <is>
          <t>3373370</t>
        </is>
      </c>
      <c r="AW153" t="inlineStr">
        <is>
          <t>991004418289702656</t>
        </is>
      </c>
      <c r="AX153" t="inlineStr">
        <is>
          <t>991004418289702656</t>
        </is>
      </c>
      <c r="AY153" t="inlineStr">
        <is>
          <t>2259674810002656</t>
        </is>
      </c>
      <c r="AZ153" t="inlineStr">
        <is>
          <t>BOOK</t>
        </is>
      </c>
      <c r="BC153" t="inlineStr">
        <is>
          <t>32285000506013</t>
        </is>
      </c>
      <c r="BD153" t="inlineStr">
        <is>
          <t>893343811</t>
        </is>
      </c>
    </row>
    <row r="154">
      <c r="A154" t="inlineStr">
        <is>
          <t>No</t>
        </is>
      </c>
      <c r="B154" t="inlineStr">
        <is>
          <t>BX1406 .D8 1960</t>
        </is>
      </c>
      <c r="C154" t="inlineStr">
        <is>
          <t>0                      BX 1406000D  8           1960</t>
        </is>
      </c>
      <c r="D154" t="inlineStr">
        <is>
          <t>Essays in the American Catholic tradition / P. Albert Duhamel.</t>
        </is>
      </c>
      <c r="F154" t="inlineStr">
        <is>
          <t>No</t>
        </is>
      </c>
      <c r="G154" t="inlineStr">
        <is>
          <t>1</t>
        </is>
      </c>
      <c r="H154" t="inlineStr">
        <is>
          <t>No</t>
        </is>
      </c>
      <c r="I154" t="inlineStr">
        <is>
          <t>No</t>
        </is>
      </c>
      <c r="J154" t="inlineStr">
        <is>
          <t>0</t>
        </is>
      </c>
      <c r="K154" t="inlineStr">
        <is>
          <t>Duhamel, P. Albert (Pierre Albert), 1920- editor.</t>
        </is>
      </c>
      <c r="L154" t="inlineStr">
        <is>
          <t>New York : Rinehart, [1960]</t>
        </is>
      </c>
      <c r="M154" t="inlineStr">
        <is>
          <t>1960</t>
        </is>
      </c>
      <c r="O154" t="inlineStr">
        <is>
          <t>eng</t>
        </is>
      </c>
      <c r="P154" t="inlineStr">
        <is>
          <t xml:space="preserve">xx </t>
        </is>
      </c>
      <c r="R154" t="inlineStr">
        <is>
          <t xml:space="preserve">BX </t>
        </is>
      </c>
      <c r="S154" t="n">
        <v>4</v>
      </c>
      <c r="T154" t="n">
        <v>4</v>
      </c>
      <c r="U154" t="inlineStr">
        <is>
          <t>1999-10-15</t>
        </is>
      </c>
      <c r="V154" t="inlineStr">
        <is>
          <t>1999-10-15</t>
        </is>
      </c>
      <c r="W154" t="inlineStr">
        <is>
          <t>1991-02-12</t>
        </is>
      </c>
      <c r="X154" t="inlineStr">
        <is>
          <t>1991-02-12</t>
        </is>
      </c>
      <c r="Y154" t="n">
        <v>149</v>
      </c>
      <c r="Z154" t="n">
        <v>137</v>
      </c>
      <c r="AA154" t="n">
        <v>142</v>
      </c>
      <c r="AB154" t="n">
        <v>2</v>
      </c>
      <c r="AC154" t="n">
        <v>2</v>
      </c>
      <c r="AD154" t="n">
        <v>21</v>
      </c>
      <c r="AE154" t="n">
        <v>21</v>
      </c>
      <c r="AF154" t="n">
        <v>4</v>
      </c>
      <c r="AG154" t="n">
        <v>4</v>
      </c>
      <c r="AH154" t="n">
        <v>6</v>
      </c>
      <c r="AI154" t="n">
        <v>6</v>
      </c>
      <c r="AJ154" t="n">
        <v>16</v>
      </c>
      <c r="AK154" t="n">
        <v>16</v>
      </c>
      <c r="AL154" t="n">
        <v>0</v>
      </c>
      <c r="AM154" t="n">
        <v>0</v>
      </c>
      <c r="AN154" t="n">
        <v>0</v>
      </c>
      <c r="AO154" t="n">
        <v>0</v>
      </c>
      <c r="AP154" t="inlineStr">
        <is>
          <t>No</t>
        </is>
      </c>
      <c r="AQ154" t="inlineStr">
        <is>
          <t>No</t>
        </is>
      </c>
      <c r="AS154">
        <f>HYPERLINK("https://creighton-primo.hosted.exlibrisgroup.com/primo-explore/search?tab=default_tab&amp;search_scope=EVERYTHING&amp;vid=01CRU&amp;lang=en_US&amp;offset=0&amp;query=any,contains,991003476289702656","Catalog Record")</f>
        <v/>
      </c>
      <c r="AT154">
        <f>HYPERLINK("http://www.worldcat.org/oclc/1021152","WorldCat Record")</f>
        <v/>
      </c>
      <c r="AU154" t="inlineStr">
        <is>
          <t>1948724:eng</t>
        </is>
      </c>
      <c r="AV154" t="inlineStr">
        <is>
          <t>1021152</t>
        </is>
      </c>
      <c r="AW154" t="inlineStr">
        <is>
          <t>991003476289702656</t>
        </is>
      </c>
      <c r="AX154" t="inlineStr">
        <is>
          <t>991003476289702656</t>
        </is>
      </c>
      <c r="AY154" t="inlineStr">
        <is>
          <t>2271293010002656</t>
        </is>
      </c>
      <c r="AZ154" t="inlineStr">
        <is>
          <t>BOOK</t>
        </is>
      </c>
      <c r="BC154" t="inlineStr">
        <is>
          <t>32285000506021</t>
        </is>
      </c>
      <c r="BD154" t="inlineStr">
        <is>
          <t>893705255</t>
        </is>
      </c>
    </row>
    <row r="155">
      <c r="A155" t="inlineStr">
        <is>
          <t>No</t>
        </is>
      </c>
      <c r="B155" t="inlineStr">
        <is>
          <t>BX1406 .E4 1969</t>
        </is>
      </c>
      <c r="C155" t="inlineStr">
        <is>
          <t>0                      BX 1406000E  4           1969</t>
        </is>
      </c>
      <c r="D155" t="inlineStr">
        <is>
          <t>American Catholicism.</t>
        </is>
      </c>
      <c r="F155" t="inlineStr">
        <is>
          <t>No</t>
        </is>
      </c>
      <c r="G155" t="inlineStr">
        <is>
          <t>1</t>
        </is>
      </c>
      <c r="H155" t="inlineStr">
        <is>
          <t>No</t>
        </is>
      </c>
      <c r="I155" t="inlineStr">
        <is>
          <t>No</t>
        </is>
      </c>
      <c r="J155" t="inlineStr">
        <is>
          <t>0</t>
        </is>
      </c>
      <c r="K155" t="inlineStr">
        <is>
          <t>Ellis, John Tracy, 1905-1992.</t>
        </is>
      </c>
      <c r="L155" t="inlineStr">
        <is>
          <t>Chicago : University of Chicago Press, [1969]</t>
        </is>
      </c>
      <c r="M155" t="inlineStr">
        <is>
          <t>1969</t>
        </is>
      </c>
      <c r="N155" t="inlineStr">
        <is>
          <t>2d ed., rev.</t>
        </is>
      </c>
      <c r="O155" t="inlineStr">
        <is>
          <t>eng</t>
        </is>
      </c>
      <c r="P155" t="inlineStr">
        <is>
          <t>ilu</t>
        </is>
      </c>
      <c r="Q155" t="inlineStr">
        <is>
          <t>The Chicago history of American civilization</t>
        </is>
      </c>
      <c r="R155" t="inlineStr">
        <is>
          <t xml:space="preserve">BX </t>
        </is>
      </c>
      <c r="S155" t="n">
        <v>6</v>
      </c>
      <c r="T155" t="n">
        <v>6</v>
      </c>
      <c r="U155" t="inlineStr">
        <is>
          <t>2000-06-29</t>
        </is>
      </c>
      <c r="V155" t="inlineStr">
        <is>
          <t>2000-06-29</t>
        </is>
      </c>
      <c r="W155" t="inlineStr">
        <is>
          <t>1990-07-30</t>
        </is>
      </c>
      <c r="X155" t="inlineStr">
        <is>
          <t>1990-07-30</t>
        </is>
      </c>
      <c r="Y155" t="n">
        <v>935</v>
      </c>
      <c r="Z155" t="n">
        <v>835</v>
      </c>
      <c r="AA155" t="n">
        <v>1476</v>
      </c>
      <c r="AB155" t="n">
        <v>9</v>
      </c>
      <c r="AC155" t="n">
        <v>16</v>
      </c>
      <c r="AD155" t="n">
        <v>46</v>
      </c>
      <c r="AE155" t="n">
        <v>63</v>
      </c>
      <c r="AF155" t="n">
        <v>20</v>
      </c>
      <c r="AG155" t="n">
        <v>25</v>
      </c>
      <c r="AH155" t="n">
        <v>9</v>
      </c>
      <c r="AI155" t="n">
        <v>10</v>
      </c>
      <c r="AJ155" t="n">
        <v>24</v>
      </c>
      <c r="AK155" t="n">
        <v>27</v>
      </c>
      <c r="AL155" t="n">
        <v>6</v>
      </c>
      <c r="AM155" t="n">
        <v>12</v>
      </c>
      <c r="AN155" t="n">
        <v>0</v>
      </c>
      <c r="AO155" t="n">
        <v>2</v>
      </c>
      <c r="AP155" t="inlineStr">
        <is>
          <t>No</t>
        </is>
      </c>
      <c r="AQ155" t="inlineStr">
        <is>
          <t>No</t>
        </is>
      </c>
      <c r="AS155">
        <f>HYPERLINK("https://creighton-primo.hosted.exlibrisgroup.com/primo-explore/search?tab=default_tab&amp;search_scope=EVERYTHING&amp;vid=01CRU&amp;lang=en_US&amp;offset=0&amp;query=any,contains,991000118869702656","Catalog Record")</f>
        <v/>
      </c>
      <c r="AT155">
        <f>HYPERLINK("http://www.worldcat.org/oclc/49540","WorldCat Record")</f>
        <v/>
      </c>
      <c r="AU155" t="inlineStr">
        <is>
          <t>114412623:eng</t>
        </is>
      </c>
      <c r="AV155" t="inlineStr">
        <is>
          <t>49540</t>
        </is>
      </c>
      <c r="AW155" t="inlineStr">
        <is>
          <t>991000118869702656</t>
        </is>
      </c>
      <c r="AX155" t="inlineStr">
        <is>
          <t>991000118869702656</t>
        </is>
      </c>
      <c r="AY155" t="inlineStr">
        <is>
          <t>2263734870002656</t>
        </is>
      </c>
      <c r="AZ155" t="inlineStr">
        <is>
          <t>BOOK</t>
        </is>
      </c>
      <c r="BC155" t="inlineStr">
        <is>
          <t>32285000229053</t>
        </is>
      </c>
      <c r="BD155" t="inlineStr">
        <is>
          <t>893884132</t>
        </is>
      </c>
    </row>
    <row r="156">
      <c r="A156" t="inlineStr">
        <is>
          <t>No</t>
        </is>
      </c>
      <c r="B156" t="inlineStr">
        <is>
          <t>BX1406 .L33 1962</t>
        </is>
      </c>
      <c r="C156" t="inlineStr">
        <is>
          <t>0                      BX 1406000L  33          1962</t>
        </is>
      </c>
      <c r="D156" t="inlineStr">
        <is>
          <t>The Catholic Church in a changing America.</t>
        </is>
      </c>
      <c r="F156" t="inlineStr">
        <is>
          <t>No</t>
        </is>
      </c>
      <c r="G156" t="inlineStr">
        <is>
          <t>1</t>
        </is>
      </c>
      <c r="H156" t="inlineStr">
        <is>
          <t>No</t>
        </is>
      </c>
      <c r="I156" t="inlineStr">
        <is>
          <t>No</t>
        </is>
      </c>
      <c r="J156" t="inlineStr">
        <is>
          <t>0</t>
        </is>
      </c>
      <c r="K156" t="inlineStr">
        <is>
          <t>Lally, Francis J. (Francis Joseph), 1918-</t>
        </is>
      </c>
      <c r="L156" t="inlineStr">
        <is>
          <t>Boston : Little, Brown, [1962]</t>
        </is>
      </c>
      <c r="M156" t="inlineStr">
        <is>
          <t>1962</t>
        </is>
      </c>
      <c r="N156" t="inlineStr">
        <is>
          <t>[1st ed.]</t>
        </is>
      </c>
      <c r="O156" t="inlineStr">
        <is>
          <t>eng</t>
        </is>
      </c>
      <c r="P156" t="inlineStr">
        <is>
          <t xml:space="preserve">xx </t>
        </is>
      </c>
      <c r="R156" t="inlineStr">
        <is>
          <t xml:space="preserve">BX </t>
        </is>
      </c>
      <c r="S156" t="n">
        <v>5</v>
      </c>
      <c r="T156" t="n">
        <v>5</v>
      </c>
      <c r="U156" t="inlineStr">
        <is>
          <t>1995-08-03</t>
        </is>
      </c>
      <c r="V156" t="inlineStr">
        <is>
          <t>1995-08-03</t>
        </is>
      </c>
      <c r="W156" t="inlineStr">
        <is>
          <t>1991-02-12</t>
        </is>
      </c>
      <c r="X156" t="inlineStr">
        <is>
          <t>1991-02-12</t>
        </is>
      </c>
      <c r="Y156" t="n">
        <v>365</v>
      </c>
      <c r="Z156" t="n">
        <v>335</v>
      </c>
      <c r="AA156" t="n">
        <v>336</v>
      </c>
      <c r="AB156" t="n">
        <v>3</v>
      </c>
      <c r="AC156" t="n">
        <v>3</v>
      </c>
      <c r="AD156" t="n">
        <v>30</v>
      </c>
      <c r="AE156" t="n">
        <v>30</v>
      </c>
      <c r="AF156" t="n">
        <v>9</v>
      </c>
      <c r="AG156" t="n">
        <v>9</v>
      </c>
      <c r="AH156" t="n">
        <v>8</v>
      </c>
      <c r="AI156" t="n">
        <v>8</v>
      </c>
      <c r="AJ156" t="n">
        <v>22</v>
      </c>
      <c r="AK156" t="n">
        <v>22</v>
      </c>
      <c r="AL156" t="n">
        <v>2</v>
      </c>
      <c r="AM156" t="n">
        <v>2</v>
      </c>
      <c r="AN156" t="n">
        <v>0</v>
      </c>
      <c r="AO156" t="n">
        <v>0</v>
      </c>
      <c r="AP156" t="inlineStr">
        <is>
          <t>No</t>
        </is>
      </c>
      <c r="AQ156" t="inlineStr">
        <is>
          <t>Yes</t>
        </is>
      </c>
      <c r="AR156">
        <f>HYPERLINK("http://catalog.hathitrust.org/Record/001415989","HathiTrust Record")</f>
        <v/>
      </c>
      <c r="AS156">
        <f>HYPERLINK("https://creighton-primo.hosted.exlibrisgroup.com/primo-explore/search?tab=default_tab&amp;search_scope=EVERYTHING&amp;vid=01CRU&amp;lang=en_US&amp;offset=0&amp;query=any,contains,991003686719702656","Catalog Record")</f>
        <v/>
      </c>
      <c r="AT156">
        <f>HYPERLINK("http://www.worldcat.org/oclc/1315026","WorldCat Record")</f>
        <v/>
      </c>
      <c r="AU156" t="inlineStr">
        <is>
          <t>366217384:eng</t>
        </is>
      </c>
      <c r="AV156" t="inlineStr">
        <is>
          <t>1315026</t>
        </is>
      </c>
      <c r="AW156" t="inlineStr">
        <is>
          <t>991003686719702656</t>
        </is>
      </c>
      <c r="AX156" t="inlineStr">
        <is>
          <t>991003686719702656</t>
        </is>
      </c>
      <c r="AY156" t="inlineStr">
        <is>
          <t>2270124350002656</t>
        </is>
      </c>
      <c r="AZ156" t="inlineStr">
        <is>
          <t>BOOK</t>
        </is>
      </c>
      <c r="BC156" t="inlineStr">
        <is>
          <t>32285000506054</t>
        </is>
      </c>
      <c r="BD156" t="inlineStr">
        <is>
          <t>893441595</t>
        </is>
      </c>
    </row>
    <row r="157">
      <c r="A157" t="inlineStr">
        <is>
          <t>No</t>
        </is>
      </c>
      <c r="B157" t="inlineStr">
        <is>
          <t>BX1406 .M2 1960</t>
        </is>
      </c>
      <c r="C157" t="inlineStr">
        <is>
          <t>0                      BX 1406000M  2           1960</t>
        </is>
      </c>
      <c r="D157" t="inlineStr">
        <is>
          <t>Roman Catholicism and the American way of life.</t>
        </is>
      </c>
      <c r="F157" t="inlineStr">
        <is>
          <t>No</t>
        </is>
      </c>
      <c r="G157" t="inlineStr">
        <is>
          <t>1</t>
        </is>
      </c>
      <c r="H157" t="inlineStr">
        <is>
          <t>No</t>
        </is>
      </c>
      <c r="I157" t="inlineStr">
        <is>
          <t>No</t>
        </is>
      </c>
      <c r="J157" t="inlineStr">
        <is>
          <t>0</t>
        </is>
      </c>
      <c r="K157" t="inlineStr">
        <is>
          <t>McAvoy, Thomas Timothy, 1903-1969 editor.</t>
        </is>
      </c>
      <c r="L157" t="inlineStr">
        <is>
          <t>[Notre Dame, Ind.] : University of Notre Dame, 1960.</t>
        </is>
      </c>
      <c r="M157" t="inlineStr">
        <is>
          <t>1960</t>
        </is>
      </c>
      <c r="O157" t="inlineStr">
        <is>
          <t>eng</t>
        </is>
      </c>
      <c r="P157" t="inlineStr">
        <is>
          <t xml:space="preserve">xx </t>
        </is>
      </c>
      <c r="R157" t="inlineStr">
        <is>
          <t xml:space="preserve">BX </t>
        </is>
      </c>
      <c r="S157" t="n">
        <v>5</v>
      </c>
      <c r="T157" t="n">
        <v>5</v>
      </c>
      <c r="U157" t="inlineStr">
        <is>
          <t>2009-10-16</t>
        </is>
      </c>
      <c r="V157" t="inlineStr">
        <is>
          <t>2009-10-16</t>
        </is>
      </c>
      <c r="W157" t="inlineStr">
        <is>
          <t>1991-02-12</t>
        </is>
      </c>
      <c r="X157" t="inlineStr">
        <is>
          <t>1991-02-12</t>
        </is>
      </c>
      <c r="Y157" t="n">
        <v>609</v>
      </c>
      <c r="Z157" t="n">
        <v>556</v>
      </c>
      <c r="AA157" t="n">
        <v>681</v>
      </c>
      <c r="AB157" t="n">
        <v>7</v>
      </c>
      <c r="AC157" t="n">
        <v>9</v>
      </c>
      <c r="AD157" t="n">
        <v>35</v>
      </c>
      <c r="AE157" t="n">
        <v>47</v>
      </c>
      <c r="AF157" t="n">
        <v>11</v>
      </c>
      <c r="AG157" t="n">
        <v>15</v>
      </c>
      <c r="AH157" t="n">
        <v>8</v>
      </c>
      <c r="AI157" t="n">
        <v>11</v>
      </c>
      <c r="AJ157" t="n">
        <v>21</v>
      </c>
      <c r="AK157" t="n">
        <v>23</v>
      </c>
      <c r="AL157" t="n">
        <v>4</v>
      </c>
      <c r="AM157" t="n">
        <v>5</v>
      </c>
      <c r="AN157" t="n">
        <v>1</v>
      </c>
      <c r="AO157" t="n">
        <v>5</v>
      </c>
      <c r="AP157" t="inlineStr">
        <is>
          <t>No</t>
        </is>
      </c>
      <c r="AQ157" t="inlineStr">
        <is>
          <t>No</t>
        </is>
      </c>
      <c r="AR157">
        <f>HYPERLINK("http://catalog.hathitrust.org/Record/005921974","HathiTrust Record")</f>
        <v/>
      </c>
      <c r="AS157">
        <f>HYPERLINK("https://creighton-primo.hosted.exlibrisgroup.com/primo-explore/search?tab=default_tab&amp;search_scope=EVERYTHING&amp;vid=01CRU&amp;lang=en_US&amp;offset=0&amp;query=any,contains,991002890179702656","Catalog Record")</f>
        <v/>
      </c>
      <c r="AT157">
        <f>HYPERLINK("http://www.worldcat.org/oclc/511183","WorldCat Record")</f>
        <v/>
      </c>
      <c r="AU157" t="inlineStr">
        <is>
          <t>1475248:eng</t>
        </is>
      </c>
      <c r="AV157" t="inlineStr">
        <is>
          <t>511183</t>
        </is>
      </c>
      <c r="AW157" t="inlineStr">
        <is>
          <t>991002890179702656</t>
        </is>
      </c>
      <c r="AX157" t="inlineStr">
        <is>
          <t>991002890179702656</t>
        </is>
      </c>
      <c r="AY157" t="inlineStr">
        <is>
          <t>2263893370002656</t>
        </is>
      </c>
      <c r="AZ157" t="inlineStr">
        <is>
          <t>BOOK</t>
        </is>
      </c>
      <c r="BC157" t="inlineStr">
        <is>
          <t>32285000506062</t>
        </is>
      </c>
      <c r="BD157" t="inlineStr">
        <is>
          <t>893799140</t>
        </is>
      </c>
    </row>
    <row r="158">
      <c r="A158" t="inlineStr">
        <is>
          <t>No</t>
        </is>
      </c>
      <c r="B158" t="inlineStr">
        <is>
          <t>BX1406 .M326 1953</t>
        </is>
      </c>
      <c r="C158" t="inlineStr">
        <is>
          <t>0                      BX 1406000M  326         1953</t>
        </is>
      </c>
      <c r="D158" t="inlineStr">
        <is>
          <t>The Catholic Church and the American idea.</t>
        </is>
      </c>
      <c r="F158" t="inlineStr">
        <is>
          <t>No</t>
        </is>
      </c>
      <c r="G158" t="inlineStr">
        <is>
          <t>1</t>
        </is>
      </c>
      <c r="H158" t="inlineStr">
        <is>
          <t>No</t>
        </is>
      </c>
      <c r="I158" t="inlineStr">
        <is>
          <t>No</t>
        </is>
      </c>
      <c r="J158" t="inlineStr">
        <is>
          <t>0</t>
        </is>
      </c>
      <c r="K158" t="inlineStr">
        <is>
          <t>Maynard, Theodore, 1890-1956.</t>
        </is>
      </c>
      <c r="L158" t="inlineStr">
        <is>
          <t>New York : Appleton-Century-Crofts, [1953]</t>
        </is>
      </c>
      <c r="M158" t="inlineStr">
        <is>
          <t>1953</t>
        </is>
      </c>
      <c r="O158" t="inlineStr">
        <is>
          <t>eng</t>
        </is>
      </c>
      <c r="P158" t="inlineStr">
        <is>
          <t>nyu</t>
        </is>
      </c>
      <c r="R158" t="inlineStr">
        <is>
          <t xml:space="preserve">BX </t>
        </is>
      </c>
      <c r="S158" t="n">
        <v>2</v>
      </c>
      <c r="T158" t="n">
        <v>2</v>
      </c>
      <c r="U158" t="inlineStr">
        <is>
          <t>2009-10-16</t>
        </is>
      </c>
      <c r="V158" t="inlineStr">
        <is>
          <t>2009-10-16</t>
        </is>
      </c>
      <c r="W158" t="inlineStr">
        <is>
          <t>1991-02-12</t>
        </is>
      </c>
      <c r="X158" t="inlineStr">
        <is>
          <t>1991-02-12</t>
        </is>
      </c>
      <c r="Y158" t="n">
        <v>458</v>
      </c>
      <c r="Z158" t="n">
        <v>427</v>
      </c>
      <c r="AA158" t="n">
        <v>436</v>
      </c>
      <c r="AB158" t="n">
        <v>6</v>
      </c>
      <c r="AC158" t="n">
        <v>6</v>
      </c>
      <c r="AD158" t="n">
        <v>34</v>
      </c>
      <c r="AE158" t="n">
        <v>34</v>
      </c>
      <c r="AF158" t="n">
        <v>11</v>
      </c>
      <c r="AG158" t="n">
        <v>11</v>
      </c>
      <c r="AH158" t="n">
        <v>9</v>
      </c>
      <c r="AI158" t="n">
        <v>9</v>
      </c>
      <c r="AJ158" t="n">
        <v>24</v>
      </c>
      <c r="AK158" t="n">
        <v>24</v>
      </c>
      <c r="AL158" t="n">
        <v>1</v>
      </c>
      <c r="AM158" t="n">
        <v>1</v>
      </c>
      <c r="AN158" t="n">
        <v>0</v>
      </c>
      <c r="AO158" t="n">
        <v>0</v>
      </c>
      <c r="AP158" t="inlineStr">
        <is>
          <t>No</t>
        </is>
      </c>
      <c r="AQ158" t="inlineStr">
        <is>
          <t>Yes</t>
        </is>
      </c>
      <c r="AR158">
        <f>HYPERLINK("http://catalog.hathitrust.org/Record/006284329","HathiTrust Record")</f>
        <v/>
      </c>
      <c r="AS158">
        <f>HYPERLINK("https://creighton-primo.hosted.exlibrisgroup.com/primo-explore/search?tab=default_tab&amp;search_scope=EVERYTHING&amp;vid=01CRU&amp;lang=en_US&amp;offset=0&amp;query=any,contains,991003425029702656","Catalog Record")</f>
        <v/>
      </c>
      <c r="AT158">
        <f>HYPERLINK("http://www.worldcat.org/oclc/964434","WorldCat Record")</f>
        <v/>
      </c>
      <c r="AU158" t="inlineStr">
        <is>
          <t>1917970:eng</t>
        </is>
      </c>
      <c r="AV158" t="inlineStr">
        <is>
          <t>964434</t>
        </is>
      </c>
      <c r="AW158" t="inlineStr">
        <is>
          <t>991003425029702656</t>
        </is>
      </c>
      <c r="AX158" t="inlineStr">
        <is>
          <t>991003425029702656</t>
        </is>
      </c>
      <c r="AY158" t="inlineStr">
        <is>
          <t>2261820560002656</t>
        </is>
      </c>
      <c r="AZ158" t="inlineStr">
        <is>
          <t>BOOK</t>
        </is>
      </c>
      <c r="BC158" t="inlineStr">
        <is>
          <t>32285000506070</t>
        </is>
      </c>
      <c r="BD158" t="inlineStr">
        <is>
          <t>893781005</t>
        </is>
      </c>
    </row>
    <row r="159">
      <c r="A159" t="inlineStr">
        <is>
          <t>No</t>
        </is>
      </c>
      <c r="B159" t="inlineStr">
        <is>
          <t>BX1406 .M33 1941</t>
        </is>
      </c>
      <c r="C159" t="inlineStr">
        <is>
          <t>0                      BX 1406000M  33          1941</t>
        </is>
      </c>
      <c r="D159" t="inlineStr">
        <is>
          <t>The story of American Catholicism / by Theodore Maynard.</t>
        </is>
      </c>
      <c r="F159" t="inlineStr">
        <is>
          <t>No</t>
        </is>
      </c>
      <c r="G159" t="inlineStr">
        <is>
          <t>1</t>
        </is>
      </c>
      <c r="H159" t="inlineStr">
        <is>
          <t>No</t>
        </is>
      </c>
      <c r="I159" t="inlineStr">
        <is>
          <t>No</t>
        </is>
      </c>
      <c r="J159" t="inlineStr">
        <is>
          <t>0</t>
        </is>
      </c>
      <c r="K159" t="inlineStr">
        <is>
          <t>Maynard, Theodore, 1890-1956.</t>
        </is>
      </c>
      <c r="L159" t="inlineStr">
        <is>
          <t>New York : Macmillan, 1941.</t>
        </is>
      </c>
      <c r="M159" t="inlineStr">
        <is>
          <t>1941</t>
        </is>
      </c>
      <c r="O159" t="inlineStr">
        <is>
          <t>eng</t>
        </is>
      </c>
      <c r="P159" t="inlineStr">
        <is>
          <t>nyu</t>
        </is>
      </c>
      <c r="R159" t="inlineStr">
        <is>
          <t xml:space="preserve">BX </t>
        </is>
      </c>
      <c r="S159" t="n">
        <v>9</v>
      </c>
      <c r="T159" t="n">
        <v>9</v>
      </c>
      <c r="U159" t="inlineStr">
        <is>
          <t>2007-07-10</t>
        </is>
      </c>
      <c r="V159" t="inlineStr">
        <is>
          <t>2007-07-10</t>
        </is>
      </c>
      <c r="W159" t="inlineStr">
        <is>
          <t>1991-02-12</t>
        </is>
      </c>
      <c r="X159" t="inlineStr">
        <is>
          <t>1991-02-12</t>
        </is>
      </c>
      <c r="Y159" t="n">
        <v>600</v>
      </c>
      <c r="Z159" t="n">
        <v>565</v>
      </c>
      <c r="AA159" t="n">
        <v>743</v>
      </c>
      <c r="AB159" t="n">
        <v>6</v>
      </c>
      <c r="AC159" t="n">
        <v>7</v>
      </c>
      <c r="AD159" t="n">
        <v>46</v>
      </c>
      <c r="AE159" t="n">
        <v>48</v>
      </c>
      <c r="AF159" t="n">
        <v>19</v>
      </c>
      <c r="AG159" t="n">
        <v>20</v>
      </c>
      <c r="AH159" t="n">
        <v>9</v>
      </c>
      <c r="AI159" t="n">
        <v>9</v>
      </c>
      <c r="AJ159" t="n">
        <v>25</v>
      </c>
      <c r="AK159" t="n">
        <v>26</v>
      </c>
      <c r="AL159" t="n">
        <v>5</v>
      </c>
      <c r="AM159" t="n">
        <v>5</v>
      </c>
      <c r="AN159" t="n">
        <v>1</v>
      </c>
      <c r="AO159" t="n">
        <v>1</v>
      </c>
      <c r="AP159" t="inlineStr">
        <is>
          <t>No</t>
        </is>
      </c>
      <c r="AQ159" t="inlineStr">
        <is>
          <t>Yes</t>
        </is>
      </c>
      <c r="AR159">
        <f>HYPERLINK("http://catalog.hathitrust.org/Record/001415976","HathiTrust Record")</f>
        <v/>
      </c>
      <c r="AS159">
        <f>HYPERLINK("https://creighton-primo.hosted.exlibrisgroup.com/primo-explore/search?tab=default_tab&amp;search_scope=EVERYTHING&amp;vid=01CRU&amp;lang=en_US&amp;offset=0&amp;query=any,contains,991003654609702656","Catalog Record")</f>
        <v/>
      </c>
      <c r="AT159">
        <f>HYPERLINK("http://www.worldcat.org/oclc/1258339","WorldCat Record")</f>
        <v/>
      </c>
      <c r="AU159" t="inlineStr">
        <is>
          <t>1510494:eng</t>
        </is>
      </c>
      <c r="AV159" t="inlineStr">
        <is>
          <t>1258339</t>
        </is>
      </c>
      <c r="AW159" t="inlineStr">
        <is>
          <t>991003654609702656</t>
        </is>
      </c>
      <c r="AX159" t="inlineStr">
        <is>
          <t>991003654609702656</t>
        </is>
      </c>
      <c r="AY159" t="inlineStr">
        <is>
          <t>2259498540002656</t>
        </is>
      </c>
      <c r="AZ159" t="inlineStr">
        <is>
          <t>BOOK</t>
        </is>
      </c>
      <c r="BC159" t="inlineStr">
        <is>
          <t>32285000506088</t>
        </is>
      </c>
      <c r="BD159" t="inlineStr">
        <is>
          <t>893787590</t>
        </is>
      </c>
    </row>
    <row r="160">
      <c r="A160" t="inlineStr">
        <is>
          <t>No</t>
        </is>
      </c>
      <c r="B160" t="inlineStr">
        <is>
          <t>BX1406 .O53 1957</t>
        </is>
      </c>
      <c r="C160" t="inlineStr">
        <is>
          <t>0                      BX 1406000O  53          1957</t>
        </is>
      </c>
      <c r="D160" t="inlineStr">
        <is>
          <t>Frontiers in American Catholicism : essays on ideology and culture.</t>
        </is>
      </c>
      <c r="F160" t="inlineStr">
        <is>
          <t>No</t>
        </is>
      </c>
      <c r="G160" t="inlineStr">
        <is>
          <t>1</t>
        </is>
      </c>
      <c r="H160" t="inlineStr">
        <is>
          <t>No</t>
        </is>
      </c>
      <c r="I160" t="inlineStr">
        <is>
          <t>No</t>
        </is>
      </c>
      <c r="J160" t="inlineStr">
        <is>
          <t>0</t>
        </is>
      </c>
      <c r="K160" t="inlineStr">
        <is>
          <t>Ong, Walter J.</t>
        </is>
      </c>
      <c r="L160" t="inlineStr">
        <is>
          <t>New York : Macmillan, 1957.</t>
        </is>
      </c>
      <c r="M160" t="inlineStr">
        <is>
          <t>1957</t>
        </is>
      </c>
      <c r="O160" t="inlineStr">
        <is>
          <t>eng</t>
        </is>
      </c>
      <c r="P160" t="inlineStr">
        <is>
          <t xml:space="preserve">xx </t>
        </is>
      </c>
      <c r="R160" t="inlineStr">
        <is>
          <t xml:space="preserve">BX </t>
        </is>
      </c>
      <c r="S160" t="n">
        <v>4</v>
      </c>
      <c r="T160" t="n">
        <v>4</v>
      </c>
      <c r="U160" t="inlineStr">
        <is>
          <t>2007-04-17</t>
        </is>
      </c>
      <c r="V160" t="inlineStr">
        <is>
          <t>2007-04-17</t>
        </is>
      </c>
      <c r="W160" t="inlineStr">
        <is>
          <t>1991-02-12</t>
        </is>
      </c>
      <c r="X160" t="inlineStr">
        <is>
          <t>1991-02-12</t>
        </is>
      </c>
      <c r="Y160" t="n">
        <v>413</v>
      </c>
      <c r="Z160" t="n">
        <v>375</v>
      </c>
      <c r="AA160" t="n">
        <v>413</v>
      </c>
      <c r="AB160" t="n">
        <v>4</v>
      </c>
      <c r="AC160" t="n">
        <v>4</v>
      </c>
      <c r="AD160" t="n">
        <v>38</v>
      </c>
      <c r="AE160" t="n">
        <v>39</v>
      </c>
      <c r="AF160" t="n">
        <v>14</v>
      </c>
      <c r="AG160" t="n">
        <v>15</v>
      </c>
      <c r="AH160" t="n">
        <v>9</v>
      </c>
      <c r="AI160" t="n">
        <v>9</v>
      </c>
      <c r="AJ160" t="n">
        <v>26</v>
      </c>
      <c r="AK160" t="n">
        <v>26</v>
      </c>
      <c r="AL160" t="n">
        <v>2</v>
      </c>
      <c r="AM160" t="n">
        <v>2</v>
      </c>
      <c r="AN160" t="n">
        <v>0</v>
      </c>
      <c r="AO160" t="n">
        <v>0</v>
      </c>
      <c r="AP160" t="inlineStr">
        <is>
          <t>No</t>
        </is>
      </c>
      <c r="AQ160" t="inlineStr">
        <is>
          <t>Yes</t>
        </is>
      </c>
      <c r="AR160">
        <f>HYPERLINK("http://catalog.hathitrust.org/Record/000026041","HathiTrust Record")</f>
        <v/>
      </c>
      <c r="AS160">
        <f>HYPERLINK("https://creighton-primo.hosted.exlibrisgroup.com/primo-explore/search?tab=default_tab&amp;search_scope=EVERYTHING&amp;vid=01CRU&amp;lang=en_US&amp;offset=0&amp;query=any,contains,991003515979702656","Catalog Record")</f>
        <v/>
      </c>
      <c r="AT160">
        <f>HYPERLINK("http://www.worldcat.org/oclc/1073439","WorldCat Record")</f>
        <v/>
      </c>
      <c r="AU160" t="inlineStr">
        <is>
          <t>2030881:eng</t>
        </is>
      </c>
      <c r="AV160" t="inlineStr">
        <is>
          <t>1073439</t>
        </is>
      </c>
      <c r="AW160" t="inlineStr">
        <is>
          <t>991003515979702656</t>
        </is>
      </c>
      <c r="AX160" t="inlineStr">
        <is>
          <t>991003515979702656</t>
        </is>
      </c>
      <c r="AY160" t="inlineStr">
        <is>
          <t>2255009230002656</t>
        </is>
      </c>
      <c r="AZ160" t="inlineStr">
        <is>
          <t>BOOK</t>
        </is>
      </c>
      <c r="BC160" t="inlineStr">
        <is>
          <t>32285000506153</t>
        </is>
      </c>
      <c r="BD160" t="inlineStr">
        <is>
          <t>893262785</t>
        </is>
      </c>
    </row>
    <row r="161">
      <c r="A161" t="inlineStr">
        <is>
          <t>No</t>
        </is>
      </c>
      <c r="B161" t="inlineStr">
        <is>
          <t>BX1406 .P84 1956</t>
        </is>
      </c>
      <c r="C161" t="inlineStr">
        <is>
          <t>0                      BX 1406000P  84          1956</t>
        </is>
      </c>
      <c r="D161" t="inlineStr">
        <is>
          <t>The Catholic Church U. S. A. / Contributors: John J. Wright [and others]</t>
        </is>
      </c>
      <c r="F161" t="inlineStr">
        <is>
          <t>No</t>
        </is>
      </c>
      <c r="G161" t="inlineStr">
        <is>
          <t>1</t>
        </is>
      </c>
      <c r="H161" t="inlineStr">
        <is>
          <t>No</t>
        </is>
      </c>
      <c r="I161" t="inlineStr">
        <is>
          <t>No</t>
        </is>
      </c>
      <c r="J161" t="inlineStr">
        <is>
          <t>0</t>
        </is>
      </c>
      <c r="K161" t="inlineStr">
        <is>
          <t>Putz, Louis J.</t>
        </is>
      </c>
      <c r="L161" t="inlineStr">
        <is>
          <t>Chicago : Fides Publishers Association, [1956]</t>
        </is>
      </c>
      <c r="M161" t="inlineStr">
        <is>
          <t>1956</t>
        </is>
      </c>
      <c r="O161" t="inlineStr">
        <is>
          <t>eng</t>
        </is>
      </c>
      <c r="P161" t="inlineStr">
        <is>
          <t xml:space="preserve">xx </t>
        </is>
      </c>
      <c r="R161" t="inlineStr">
        <is>
          <t xml:space="preserve">BX </t>
        </is>
      </c>
      <c r="S161" t="n">
        <v>2</v>
      </c>
      <c r="T161" t="n">
        <v>2</v>
      </c>
      <c r="U161" t="inlineStr">
        <is>
          <t>1993-09-16</t>
        </is>
      </c>
      <c r="V161" t="inlineStr">
        <is>
          <t>1993-09-16</t>
        </is>
      </c>
      <c r="W161" t="inlineStr">
        <is>
          <t>1991-02-12</t>
        </is>
      </c>
      <c r="X161" t="inlineStr">
        <is>
          <t>1991-02-12</t>
        </is>
      </c>
      <c r="Y161" t="n">
        <v>339</v>
      </c>
      <c r="Z161" t="n">
        <v>318</v>
      </c>
      <c r="AA161" t="n">
        <v>343</v>
      </c>
      <c r="AB161" t="n">
        <v>3</v>
      </c>
      <c r="AC161" t="n">
        <v>4</v>
      </c>
      <c r="AD161" t="n">
        <v>29</v>
      </c>
      <c r="AE161" t="n">
        <v>33</v>
      </c>
      <c r="AF161" t="n">
        <v>7</v>
      </c>
      <c r="AG161" t="n">
        <v>10</v>
      </c>
      <c r="AH161" t="n">
        <v>8</v>
      </c>
      <c r="AI161" t="n">
        <v>8</v>
      </c>
      <c r="AJ161" t="n">
        <v>23</v>
      </c>
      <c r="AK161" t="n">
        <v>24</v>
      </c>
      <c r="AL161" t="n">
        <v>1</v>
      </c>
      <c r="AM161" t="n">
        <v>2</v>
      </c>
      <c r="AN161" t="n">
        <v>0</v>
      </c>
      <c r="AO161" t="n">
        <v>0</v>
      </c>
      <c r="AP161" t="inlineStr">
        <is>
          <t>No</t>
        </is>
      </c>
      <c r="AQ161" t="inlineStr">
        <is>
          <t>No</t>
        </is>
      </c>
      <c r="AR161">
        <f>HYPERLINK("http://catalog.hathitrust.org/Record/001415977","HathiTrust Record")</f>
        <v/>
      </c>
      <c r="AS161">
        <f>HYPERLINK("https://creighton-primo.hosted.exlibrisgroup.com/primo-explore/search?tab=default_tab&amp;search_scope=EVERYTHING&amp;vid=01CRU&amp;lang=en_US&amp;offset=0&amp;query=any,contains,991003447029702656","Catalog Record")</f>
        <v/>
      </c>
      <c r="AT161">
        <f>HYPERLINK("http://www.worldcat.org/oclc/982660","WorldCat Record")</f>
        <v/>
      </c>
      <c r="AU161" t="inlineStr">
        <is>
          <t>6490094:eng</t>
        </is>
      </c>
      <c r="AV161" t="inlineStr">
        <is>
          <t>982660</t>
        </is>
      </c>
      <c r="AW161" t="inlineStr">
        <is>
          <t>991003447029702656</t>
        </is>
      </c>
      <c r="AX161" t="inlineStr">
        <is>
          <t>991003447029702656</t>
        </is>
      </c>
      <c r="AY161" t="inlineStr">
        <is>
          <t>2271957780002656</t>
        </is>
      </c>
      <c r="AZ161" t="inlineStr">
        <is>
          <t>BOOK</t>
        </is>
      </c>
      <c r="BC161" t="inlineStr">
        <is>
          <t>32285000506161</t>
        </is>
      </c>
      <c r="BD161" t="inlineStr">
        <is>
          <t>893330306</t>
        </is>
      </c>
    </row>
    <row r="162">
      <c r="A162" t="inlineStr">
        <is>
          <t>No</t>
        </is>
      </c>
      <c r="B162" t="inlineStr">
        <is>
          <t>BX1406 .R58 1950</t>
        </is>
      </c>
      <c r="C162" t="inlineStr">
        <is>
          <t>0                      BX 1406000R  58          1950</t>
        </is>
      </c>
      <c r="D162" t="inlineStr">
        <is>
          <t>The Catholic Church in the United States.</t>
        </is>
      </c>
      <c r="F162" t="inlineStr">
        <is>
          <t>No</t>
        </is>
      </c>
      <c r="G162" t="inlineStr">
        <is>
          <t>1</t>
        </is>
      </c>
      <c r="H162" t="inlineStr">
        <is>
          <t>No</t>
        </is>
      </c>
      <c r="I162" t="inlineStr">
        <is>
          <t>No</t>
        </is>
      </c>
      <c r="J162" t="inlineStr">
        <is>
          <t>0</t>
        </is>
      </c>
      <c r="K162" t="inlineStr">
        <is>
          <t>Roemer, Theodore, 1889-1953.</t>
        </is>
      </c>
      <c r="L162" t="inlineStr">
        <is>
          <t>St. Louis : Herder, 1950.</t>
        </is>
      </c>
      <c r="M162" t="inlineStr">
        <is>
          <t>1950</t>
        </is>
      </c>
      <c r="O162" t="inlineStr">
        <is>
          <t>eng</t>
        </is>
      </c>
      <c r="P162" t="inlineStr">
        <is>
          <t>mou</t>
        </is>
      </c>
      <c r="R162" t="inlineStr">
        <is>
          <t xml:space="preserve">BX </t>
        </is>
      </c>
      <c r="S162" t="n">
        <v>9</v>
      </c>
      <c r="T162" t="n">
        <v>9</v>
      </c>
      <c r="U162" t="inlineStr">
        <is>
          <t>1999-01-25</t>
        </is>
      </c>
      <c r="V162" t="inlineStr">
        <is>
          <t>1999-01-25</t>
        </is>
      </c>
      <c r="W162" t="inlineStr">
        <is>
          <t>1991-02-12</t>
        </is>
      </c>
      <c r="X162" t="inlineStr">
        <is>
          <t>1991-02-12</t>
        </is>
      </c>
      <c r="Y162" t="n">
        <v>303</v>
      </c>
      <c r="Z162" t="n">
        <v>284</v>
      </c>
      <c r="AA162" t="n">
        <v>312</v>
      </c>
      <c r="AB162" t="n">
        <v>5</v>
      </c>
      <c r="AC162" t="n">
        <v>5</v>
      </c>
      <c r="AD162" t="n">
        <v>37</v>
      </c>
      <c r="AE162" t="n">
        <v>38</v>
      </c>
      <c r="AF162" t="n">
        <v>15</v>
      </c>
      <c r="AG162" t="n">
        <v>15</v>
      </c>
      <c r="AH162" t="n">
        <v>9</v>
      </c>
      <c r="AI162" t="n">
        <v>9</v>
      </c>
      <c r="AJ162" t="n">
        <v>24</v>
      </c>
      <c r="AK162" t="n">
        <v>25</v>
      </c>
      <c r="AL162" t="n">
        <v>2</v>
      </c>
      <c r="AM162" t="n">
        <v>2</v>
      </c>
      <c r="AN162" t="n">
        <v>0</v>
      </c>
      <c r="AO162" t="n">
        <v>0</v>
      </c>
      <c r="AP162" t="inlineStr">
        <is>
          <t>Yes</t>
        </is>
      </c>
      <c r="AQ162" t="inlineStr">
        <is>
          <t>No</t>
        </is>
      </c>
      <c r="AR162">
        <f>HYPERLINK("http://catalog.hathitrust.org/Record/005921978","HathiTrust Record")</f>
        <v/>
      </c>
      <c r="AS162">
        <f>HYPERLINK("https://creighton-primo.hosted.exlibrisgroup.com/primo-explore/search?tab=default_tab&amp;search_scope=EVERYTHING&amp;vid=01CRU&amp;lang=en_US&amp;offset=0&amp;query=any,contains,991004155649702656","Catalog Record")</f>
        <v/>
      </c>
      <c r="AT162">
        <f>HYPERLINK("http://www.worldcat.org/oclc/2540443","WorldCat Record")</f>
        <v/>
      </c>
      <c r="AU162" t="inlineStr">
        <is>
          <t>5602008:eng</t>
        </is>
      </c>
      <c r="AV162" t="inlineStr">
        <is>
          <t>2540443</t>
        </is>
      </c>
      <c r="AW162" t="inlineStr">
        <is>
          <t>991004155649702656</t>
        </is>
      </c>
      <c r="AX162" t="inlineStr">
        <is>
          <t>991004155649702656</t>
        </is>
      </c>
      <c r="AY162" t="inlineStr">
        <is>
          <t>2271393790002656</t>
        </is>
      </c>
      <c r="AZ162" t="inlineStr">
        <is>
          <t>BOOK</t>
        </is>
      </c>
      <c r="BC162" t="inlineStr">
        <is>
          <t>32285000506179</t>
        </is>
      </c>
      <c r="BD162" t="inlineStr">
        <is>
          <t>893605691</t>
        </is>
      </c>
    </row>
    <row r="163">
      <c r="A163" t="inlineStr">
        <is>
          <t>No</t>
        </is>
      </c>
      <c r="B163" t="inlineStr">
        <is>
          <t>BX1406 .S4 1925</t>
        </is>
      </c>
      <c r="C163" t="inlineStr">
        <is>
          <t>0                      BX 1406000S  4           1925</t>
        </is>
      </c>
      <c r="D163" t="inlineStr">
        <is>
          <t>Has the immigrant kept the faith? : a study of immigration and Catholic growth in the United States, 1790-1920 / by Gerald Shaughnessy.</t>
        </is>
      </c>
      <c r="F163" t="inlineStr">
        <is>
          <t>No</t>
        </is>
      </c>
      <c r="G163" t="inlineStr">
        <is>
          <t>1</t>
        </is>
      </c>
      <c r="H163" t="inlineStr">
        <is>
          <t>No</t>
        </is>
      </c>
      <c r="I163" t="inlineStr">
        <is>
          <t>No</t>
        </is>
      </c>
      <c r="J163" t="inlineStr">
        <is>
          <t>0</t>
        </is>
      </c>
      <c r="K163" t="inlineStr">
        <is>
          <t>Shaughnessy, Gerald, 1887-1950.</t>
        </is>
      </c>
      <c r="L163" t="inlineStr">
        <is>
          <t>New York : The Macmillan Company, 1925.</t>
        </is>
      </c>
      <c r="M163" t="inlineStr">
        <is>
          <t>1925</t>
        </is>
      </c>
      <c r="O163" t="inlineStr">
        <is>
          <t>eng</t>
        </is>
      </c>
      <c r="P163" t="inlineStr">
        <is>
          <t>nyu</t>
        </is>
      </c>
      <c r="R163" t="inlineStr">
        <is>
          <t xml:space="preserve">BX </t>
        </is>
      </c>
      <c r="S163" t="n">
        <v>7</v>
      </c>
      <c r="T163" t="n">
        <v>7</v>
      </c>
      <c r="U163" t="inlineStr">
        <is>
          <t>2010-05-02</t>
        </is>
      </c>
      <c r="V163" t="inlineStr">
        <is>
          <t>2010-05-02</t>
        </is>
      </c>
      <c r="W163" t="inlineStr">
        <is>
          <t>1991-02-12</t>
        </is>
      </c>
      <c r="X163" t="inlineStr">
        <is>
          <t>1991-02-12</t>
        </is>
      </c>
      <c r="Y163" t="n">
        <v>195</v>
      </c>
      <c r="Z163" t="n">
        <v>179</v>
      </c>
      <c r="AA163" t="n">
        <v>495</v>
      </c>
      <c r="AB163" t="n">
        <v>2</v>
      </c>
      <c r="AC163" t="n">
        <v>5</v>
      </c>
      <c r="AD163" t="n">
        <v>24</v>
      </c>
      <c r="AE163" t="n">
        <v>45</v>
      </c>
      <c r="AF163" t="n">
        <v>8</v>
      </c>
      <c r="AG163" t="n">
        <v>18</v>
      </c>
      <c r="AH163" t="n">
        <v>4</v>
      </c>
      <c r="AI163" t="n">
        <v>9</v>
      </c>
      <c r="AJ163" t="n">
        <v>18</v>
      </c>
      <c r="AK163" t="n">
        <v>23</v>
      </c>
      <c r="AL163" t="n">
        <v>1</v>
      </c>
      <c r="AM163" t="n">
        <v>3</v>
      </c>
      <c r="AN163" t="n">
        <v>0</v>
      </c>
      <c r="AO163" t="n">
        <v>4</v>
      </c>
      <c r="AP163" t="inlineStr">
        <is>
          <t>No</t>
        </is>
      </c>
      <c r="AQ163" t="inlineStr">
        <is>
          <t>No</t>
        </is>
      </c>
      <c r="AS163">
        <f>HYPERLINK("https://creighton-primo.hosted.exlibrisgroup.com/primo-explore/search?tab=default_tab&amp;search_scope=EVERYTHING&amp;vid=01CRU&amp;lang=en_US&amp;offset=0&amp;query=any,contains,991004152609702656","Catalog Record")</f>
        <v/>
      </c>
      <c r="AT163">
        <f>HYPERLINK("http://www.worldcat.org/oclc/2529174","WorldCat Record")</f>
        <v/>
      </c>
      <c r="AU163" t="inlineStr">
        <is>
          <t>5461759:eng</t>
        </is>
      </c>
      <c r="AV163" t="inlineStr">
        <is>
          <t>2529174</t>
        </is>
      </c>
      <c r="AW163" t="inlineStr">
        <is>
          <t>991004152609702656</t>
        </is>
      </c>
      <c r="AX163" t="inlineStr">
        <is>
          <t>991004152609702656</t>
        </is>
      </c>
      <c r="AY163" t="inlineStr">
        <is>
          <t>2256002910002656</t>
        </is>
      </c>
      <c r="AZ163" t="inlineStr">
        <is>
          <t>BOOK</t>
        </is>
      </c>
      <c r="BC163" t="inlineStr">
        <is>
          <t>32285000506195</t>
        </is>
      </c>
      <c r="BD163" t="inlineStr">
        <is>
          <t>893349673</t>
        </is>
      </c>
    </row>
    <row r="164">
      <c r="A164" t="inlineStr">
        <is>
          <t>No</t>
        </is>
      </c>
      <c r="B164" t="inlineStr">
        <is>
          <t>BX1406 .S5 1886</t>
        </is>
      </c>
      <c r="C164" t="inlineStr">
        <is>
          <t>0                      BX 1406000S  5           1886</t>
        </is>
      </c>
      <c r="D164" t="inlineStr">
        <is>
          <t>A history of the Catholic church within the limits of the United States : from the first attempted colonization to the present time / by John Gilmary Shea.</t>
        </is>
      </c>
      <c r="E164" t="inlineStr">
        <is>
          <t>V.2</t>
        </is>
      </c>
      <c r="F164" t="inlineStr">
        <is>
          <t>Yes</t>
        </is>
      </c>
      <c r="G164" t="inlineStr">
        <is>
          <t>1</t>
        </is>
      </c>
      <c r="H164" t="inlineStr">
        <is>
          <t>Yes</t>
        </is>
      </c>
      <c r="I164" t="inlineStr">
        <is>
          <t>No</t>
        </is>
      </c>
      <c r="J164" t="inlineStr">
        <is>
          <t>0</t>
        </is>
      </c>
      <c r="K164" t="inlineStr">
        <is>
          <t>Shea, John Gilmary, 1824-1892.</t>
        </is>
      </c>
      <c r="L164" t="inlineStr">
        <is>
          <t>New York : J. G. Shea, 1886-92.</t>
        </is>
      </c>
      <c r="M164" t="inlineStr">
        <is>
          <t>1886</t>
        </is>
      </c>
      <c r="O164" t="inlineStr">
        <is>
          <t>eng</t>
        </is>
      </c>
      <c r="P164" t="inlineStr">
        <is>
          <t xml:space="preserve">xx </t>
        </is>
      </c>
      <c r="R164" t="inlineStr">
        <is>
          <t xml:space="preserve">BX </t>
        </is>
      </c>
      <c r="S164" t="n">
        <v>0</v>
      </c>
      <c r="T164" t="n">
        <v>4</v>
      </c>
      <c r="V164" t="inlineStr">
        <is>
          <t>1995-11-16</t>
        </is>
      </c>
      <c r="W164" t="inlineStr">
        <is>
          <t>1991-02-12</t>
        </is>
      </c>
      <c r="X164" t="inlineStr">
        <is>
          <t>2004-04-28</t>
        </is>
      </c>
      <c r="Y164" t="n">
        <v>204</v>
      </c>
      <c r="Z164" t="n">
        <v>188</v>
      </c>
      <c r="AA164" t="n">
        <v>369</v>
      </c>
      <c r="AB164" t="n">
        <v>1</v>
      </c>
      <c r="AC164" t="n">
        <v>3</v>
      </c>
      <c r="AD164" t="n">
        <v>19</v>
      </c>
      <c r="AE164" t="n">
        <v>24</v>
      </c>
      <c r="AF164" t="n">
        <v>8</v>
      </c>
      <c r="AG164" t="n">
        <v>10</v>
      </c>
      <c r="AH164" t="n">
        <v>5</v>
      </c>
      <c r="AI164" t="n">
        <v>5</v>
      </c>
      <c r="AJ164" t="n">
        <v>12</v>
      </c>
      <c r="AK164" t="n">
        <v>13</v>
      </c>
      <c r="AL164" t="n">
        <v>0</v>
      </c>
      <c r="AM164" t="n">
        <v>2</v>
      </c>
      <c r="AN164" t="n">
        <v>0</v>
      </c>
      <c r="AO164" t="n">
        <v>0</v>
      </c>
      <c r="AP164" t="inlineStr">
        <is>
          <t>Yes</t>
        </is>
      </c>
      <c r="AQ164" t="inlineStr">
        <is>
          <t>No</t>
        </is>
      </c>
      <c r="AR164">
        <f>HYPERLINK("http://catalog.hathitrust.org/Record/005921980","HathiTrust Record")</f>
        <v/>
      </c>
      <c r="AS164">
        <f>HYPERLINK("https://creighton-primo.hosted.exlibrisgroup.com/primo-explore/search?tab=default_tab&amp;search_scope=EVERYTHING&amp;vid=01CRU&amp;lang=en_US&amp;offset=0&amp;query=any,contains,991003063309702656","Catalog Record")</f>
        <v/>
      </c>
      <c r="AT164">
        <f>HYPERLINK("http://www.worldcat.org/oclc/2281916","WorldCat Record")</f>
        <v/>
      </c>
      <c r="AU164" t="inlineStr">
        <is>
          <t>4915428291:eng</t>
        </is>
      </c>
      <c r="AV164" t="inlineStr">
        <is>
          <t>2281916</t>
        </is>
      </c>
      <c r="AW164" t="inlineStr">
        <is>
          <t>991003063309702656</t>
        </is>
      </c>
      <c r="AX164" t="inlineStr">
        <is>
          <t>991003063309702656</t>
        </is>
      </c>
      <c r="AY164" t="inlineStr">
        <is>
          <t>2268081660002656</t>
        </is>
      </c>
      <c r="AZ164" t="inlineStr">
        <is>
          <t>BOOK</t>
        </is>
      </c>
      <c r="BC164" t="inlineStr">
        <is>
          <t>32285000506229</t>
        </is>
      </c>
      <c r="BD164" t="inlineStr">
        <is>
          <t>893352672</t>
        </is>
      </c>
    </row>
    <row r="165">
      <c r="A165" t="inlineStr">
        <is>
          <t>No</t>
        </is>
      </c>
      <c r="B165" t="inlineStr">
        <is>
          <t>BX1406 .S5 1886</t>
        </is>
      </c>
      <c r="C165" t="inlineStr">
        <is>
          <t>0                      BX 1406000S  5           1886</t>
        </is>
      </c>
      <c r="D165" t="inlineStr">
        <is>
          <t>A history of the Catholic church within the limits of the United States : from the first attempted colonization to the present time / by John Gilmary Shea.</t>
        </is>
      </c>
      <c r="E165" t="inlineStr">
        <is>
          <t>V.3</t>
        </is>
      </c>
      <c r="F165" t="inlineStr">
        <is>
          <t>Yes</t>
        </is>
      </c>
      <c r="G165" t="inlineStr">
        <is>
          <t>2</t>
        </is>
      </c>
      <c r="H165" t="inlineStr">
        <is>
          <t>Yes</t>
        </is>
      </c>
      <c r="I165" t="inlineStr">
        <is>
          <t>No</t>
        </is>
      </c>
      <c r="J165" t="inlineStr">
        <is>
          <t>0</t>
        </is>
      </c>
      <c r="K165" t="inlineStr">
        <is>
          <t>Shea, John Gilmary, 1824-1892.</t>
        </is>
      </c>
      <c r="L165" t="inlineStr">
        <is>
          <t>New York : J. G. Shea, 1886-92.</t>
        </is>
      </c>
      <c r="M165" t="inlineStr">
        <is>
          <t>1886</t>
        </is>
      </c>
      <c r="O165" t="inlineStr">
        <is>
          <t>eng</t>
        </is>
      </c>
      <c r="P165" t="inlineStr">
        <is>
          <t xml:space="preserve">xx </t>
        </is>
      </c>
      <c r="R165" t="inlineStr">
        <is>
          <t xml:space="preserve">BX </t>
        </is>
      </c>
      <c r="S165" t="n">
        <v>0</v>
      </c>
      <c r="T165" t="n">
        <v>4</v>
      </c>
      <c r="V165" t="inlineStr">
        <is>
          <t>1995-11-16</t>
        </is>
      </c>
      <c r="W165" t="inlineStr">
        <is>
          <t>1991-02-12</t>
        </is>
      </c>
      <c r="X165" t="inlineStr">
        <is>
          <t>2004-04-28</t>
        </is>
      </c>
      <c r="Y165" t="n">
        <v>204</v>
      </c>
      <c r="Z165" t="n">
        <v>188</v>
      </c>
      <c r="AA165" t="n">
        <v>369</v>
      </c>
      <c r="AB165" t="n">
        <v>1</v>
      </c>
      <c r="AC165" t="n">
        <v>3</v>
      </c>
      <c r="AD165" t="n">
        <v>19</v>
      </c>
      <c r="AE165" t="n">
        <v>24</v>
      </c>
      <c r="AF165" t="n">
        <v>8</v>
      </c>
      <c r="AG165" t="n">
        <v>10</v>
      </c>
      <c r="AH165" t="n">
        <v>5</v>
      </c>
      <c r="AI165" t="n">
        <v>5</v>
      </c>
      <c r="AJ165" t="n">
        <v>12</v>
      </c>
      <c r="AK165" t="n">
        <v>13</v>
      </c>
      <c r="AL165" t="n">
        <v>0</v>
      </c>
      <c r="AM165" t="n">
        <v>2</v>
      </c>
      <c r="AN165" t="n">
        <v>0</v>
      </c>
      <c r="AO165" t="n">
        <v>0</v>
      </c>
      <c r="AP165" t="inlineStr">
        <is>
          <t>Yes</t>
        </is>
      </c>
      <c r="AQ165" t="inlineStr">
        <is>
          <t>No</t>
        </is>
      </c>
      <c r="AR165">
        <f>HYPERLINK("http://catalog.hathitrust.org/Record/005921980","HathiTrust Record")</f>
        <v/>
      </c>
      <c r="AS165">
        <f>HYPERLINK("https://creighton-primo.hosted.exlibrisgroup.com/primo-explore/search?tab=default_tab&amp;search_scope=EVERYTHING&amp;vid=01CRU&amp;lang=en_US&amp;offset=0&amp;query=any,contains,991003063309702656","Catalog Record")</f>
        <v/>
      </c>
      <c r="AT165">
        <f>HYPERLINK("http://www.worldcat.org/oclc/2281916","WorldCat Record")</f>
        <v/>
      </c>
      <c r="AU165" t="inlineStr">
        <is>
          <t>4915428291:eng</t>
        </is>
      </c>
      <c r="AV165" t="inlineStr">
        <is>
          <t>2281916</t>
        </is>
      </c>
      <c r="AW165" t="inlineStr">
        <is>
          <t>991003063309702656</t>
        </is>
      </c>
      <c r="AX165" t="inlineStr">
        <is>
          <t>991003063309702656</t>
        </is>
      </c>
      <c r="AY165" t="inlineStr">
        <is>
          <t>2268081660002656</t>
        </is>
      </c>
      <c r="AZ165" t="inlineStr">
        <is>
          <t>BOOK</t>
        </is>
      </c>
      <c r="BC165" t="inlineStr">
        <is>
          <t>32285000506245</t>
        </is>
      </c>
      <c r="BD165" t="inlineStr">
        <is>
          <t>893342207</t>
        </is>
      </c>
    </row>
    <row r="166">
      <c r="A166" t="inlineStr">
        <is>
          <t>No</t>
        </is>
      </c>
      <c r="B166" t="inlineStr">
        <is>
          <t>BX1406 .S5 1886</t>
        </is>
      </c>
      <c r="C166" t="inlineStr">
        <is>
          <t>0                      BX 1406000S  5           1886</t>
        </is>
      </c>
      <c r="D166" t="inlineStr">
        <is>
          <t>A history of the Catholic church within the limits of the United States : from the first attempted colonization to the present time / by John Gilmary Shea.</t>
        </is>
      </c>
      <c r="E166" t="inlineStr">
        <is>
          <t>V.1</t>
        </is>
      </c>
      <c r="F166" t="inlineStr">
        <is>
          <t>Yes</t>
        </is>
      </c>
      <c r="G166" t="inlineStr">
        <is>
          <t>1</t>
        </is>
      </c>
      <c r="H166" t="inlineStr">
        <is>
          <t>Yes</t>
        </is>
      </c>
      <c r="I166" t="inlineStr">
        <is>
          <t>No</t>
        </is>
      </c>
      <c r="J166" t="inlineStr">
        <is>
          <t>0</t>
        </is>
      </c>
      <c r="K166" t="inlineStr">
        <is>
          <t>Shea, John Gilmary, 1824-1892.</t>
        </is>
      </c>
      <c r="L166" t="inlineStr">
        <is>
          <t>New York : J. G. Shea, 1886-92.</t>
        </is>
      </c>
      <c r="M166" t="inlineStr">
        <is>
          <t>1886</t>
        </is>
      </c>
      <c r="O166" t="inlineStr">
        <is>
          <t>eng</t>
        </is>
      </c>
      <c r="P166" t="inlineStr">
        <is>
          <t xml:space="preserve">xx </t>
        </is>
      </c>
      <c r="R166" t="inlineStr">
        <is>
          <t xml:space="preserve">BX </t>
        </is>
      </c>
      <c r="S166" t="n">
        <v>4</v>
      </c>
      <c r="T166" t="n">
        <v>4</v>
      </c>
      <c r="U166" t="inlineStr">
        <is>
          <t>1995-11-16</t>
        </is>
      </c>
      <c r="V166" t="inlineStr">
        <is>
          <t>1995-11-16</t>
        </is>
      </c>
      <c r="W166" t="inlineStr">
        <is>
          <t>1991-02-12</t>
        </is>
      </c>
      <c r="X166" t="inlineStr">
        <is>
          <t>2004-04-28</t>
        </is>
      </c>
      <c r="Y166" t="n">
        <v>204</v>
      </c>
      <c r="Z166" t="n">
        <v>188</v>
      </c>
      <c r="AA166" t="n">
        <v>369</v>
      </c>
      <c r="AB166" t="n">
        <v>1</v>
      </c>
      <c r="AC166" t="n">
        <v>3</v>
      </c>
      <c r="AD166" t="n">
        <v>19</v>
      </c>
      <c r="AE166" t="n">
        <v>24</v>
      </c>
      <c r="AF166" t="n">
        <v>8</v>
      </c>
      <c r="AG166" t="n">
        <v>10</v>
      </c>
      <c r="AH166" t="n">
        <v>5</v>
      </c>
      <c r="AI166" t="n">
        <v>5</v>
      </c>
      <c r="AJ166" t="n">
        <v>12</v>
      </c>
      <c r="AK166" t="n">
        <v>13</v>
      </c>
      <c r="AL166" t="n">
        <v>0</v>
      </c>
      <c r="AM166" t="n">
        <v>2</v>
      </c>
      <c r="AN166" t="n">
        <v>0</v>
      </c>
      <c r="AO166" t="n">
        <v>0</v>
      </c>
      <c r="AP166" t="inlineStr">
        <is>
          <t>Yes</t>
        </is>
      </c>
      <c r="AQ166" t="inlineStr">
        <is>
          <t>No</t>
        </is>
      </c>
      <c r="AR166">
        <f>HYPERLINK("http://catalog.hathitrust.org/Record/005921980","HathiTrust Record")</f>
        <v/>
      </c>
      <c r="AS166">
        <f>HYPERLINK("https://creighton-primo.hosted.exlibrisgroup.com/primo-explore/search?tab=default_tab&amp;search_scope=EVERYTHING&amp;vid=01CRU&amp;lang=en_US&amp;offset=0&amp;query=any,contains,991003063309702656","Catalog Record")</f>
        <v/>
      </c>
      <c r="AT166">
        <f>HYPERLINK("http://www.worldcat.org/oclc/2281916","WorldCat Record")</f>
        <v/>
      </c>
      <c r="AU166" t="inlineStr">
        <is>
          <t>4915428291:eng</t>
        </is>
      </c>
      <c r="AV166" t="inlineStr">
        <is>
          <t>2281916</t>
        </is>
      </c>
      <c r="AW166" t="inlineStr">
        <is>
          <t>991003063309702656</t>
        </is>
      </c>
      <c r="AX166" t="inlineStr">
        <is>
          <t>991003063309702656</t>
        </is>
      </c>
      <c r="AY166" t="inlineStr">
        <is>
          <t>2268081660002656</t>
        </is>
      </c>
      <c r="AZ166" t="inlineStr">
        <is>
          <t>BOOK</t>
        </is>
      </c>
      <c r="BC166" t="inlineStr">
        <is>
          <t>32285000506203</t>
        </is>
      </c>
      <c r="BD166" t="inlineStr">
        <is>
          <t>893323726</t>
        </is>
      </c>
    </row>
    <row r="167">
      <c r="A167" t="inlineStr">
        <is>
          <t>No</t>
        </is>
      </c>
      <c r="B167" t="inlineStr">
        <is>
          <t>BX1406 .S5 1886</t>
        </is>
      </c>
      <c r="C167" t="inlineStr">
        <is>
          <t>0                      BX 1406000S  5           1886</t>
        </is>
      </c>
      <c r="D167" t="inlineStr">
        <is>
          <t>A history of the Catholic church within the limits of the United States : from the first attempted colonization to the present time / by John Gilmary Shea.</t>
        </is>
      </c>
      <c r="E167" t="inlineStr">
        <is>
          <t>V.3</t>
        </is>
      </c>
      <c r="F167" t="inlineStr">
        <is>
          <t>Yes</t>
        </is>
      </c>
      <c r="G167" t="inlineStr">
        <is>
          <t>1</t>
        </is>
      </c>
      <c r="H167" t="inlineStr">
        <is>
          <t>Yes</t>
        </is>
      </c>
      <c r="I167" t="inlineStr">
        <is>
          <t>No</t>
        </is>
      </c>
      <c r="J167" t="inlineStr">
        <is>
          <t>0</t>
        </is>
      </c>
      <c r="K167" t="inlineStr">
        <is>
          <t>Shea, John Gilmary, 1824-1892.</t>
        </is>
      </c>
      <c r="L167" t="inlineStr">
        <is>
          <t>New York : J. G. Shea, 1886-92.</t>
        </is>
      </c>
      <c r="M167" t="inlineStr">
        <is>
          <t>1886</t>
        </is>
      </c>
      <c r="O167" t="inlineStr">
        <is>
          <t>eng</t>
        </is>
      </c>
      <c r="P167" t="inlineStr">
        <is>
          <t xml:space="preserve">xx </t>
        </is>
      </c>
      <c r="R167" t="inlineStr">
        <is>
          <t xml:space="preserve">BX </t>
        </is>
      </c>
      <c r="S167" t="n">
        <v>0</v>
      </c>
      <c r="T167" t="n">
        <v>4</v>
      </c>
      <c r="V167" t="inlineStr">
        <is>
          <t>1995-11-16</t>
        </is>
      </c>
      <c r="W167" t="inlineStr">
        <is>
          <t>1991-02-12</t>
        </is>
      </c>
      <c r="X167" t="inlineStr">
        <is>
          <t>2004-04-28</t>
        </is>
      </c>
      <c r="Y167" t="n">
        <v>204</v>
      </c>
      <c r="Z167" t="n">
        <v>188</v>
      </c>
      <c r="AA167" t="n">
        <v>369</v>
      </c>
      <c r="AB167" t="n">
        <v>1</v>
      </c>
      <c r="AC167" t="n">
        <v>3</v>
      </c>
      <c r="AD167" t="n">
        <v>19</v>
      </c>
      <c r="AE167" t="n">
        <v>24</v>
      </c>
      <c r="AF167" t="n">
        <v>8</v>
      </c>
      <c r="AG167" t="n">
        <v>10</v>
      </c>
      <c r="AH167" t="n">
        <v>5</v>
      </c>
      <c r="AI167" t="n">
        <v>5</v>
      </c>
      <c r="AJ167" t="n">
        <v>12</v>
      </c>
      <c r="AK167" t="n">
        <v>13</v>
      </c>
      <c r="AL167" t="n">
        <v>0</v>
      </c>
      <c r="AM167" t="n">
        <v>2</v>
      </c>
      <c r="AN167" t="n">
        <v>0</v>
      </c>
      <c r="AO167" t="n">
        <v>0</v>
      </c>
      <c r="AP167" t="inlineStr">
        <is>
          <t>Yes</t>
        </is>
      </c>
      <c r="AQ167" t="inlineStr">
        <is>
          <t>No</t>
        </is>
      </c>
      <c r="AR167">
        <f>HYPERLINK("http://catalog.hathitrust.org/Record/005921980","HathiTrust Record")</f>
        <v/>
      </c>
      <c r="AS167">
        <f>HYPERLINK("https://creighton-primo.hosted.exlibrisgroup.com/primo-explore/search?tab=default_tab&amp;search_scope=EVERYTHING&amp;vid=01CRU&amp;lang=en_US&amp;offset=0&amp;query=any,contains,991003063309702656","Catalog Record")</f>
        <v/>
      </c>
      <c r="AT167">
        <f>HYPERLINK("http://www.worldcat.org/oclc/2281916","WorldCat Record")</f>
        <v/>
      </c>
      <c r="AU167" t="inlineStr">
        <is>
          <t>4915428291:eng</t>
        </is>
      </c>
      <c r="AV167" t="inlineStr">
        <is>
          <t>2281916</t>
        </is>
      </c>
      <c r="AW167" t="inlineStr">
        <is>
          <t>991003063309702656</t>
        </is>
      </c>
      <c r="AX167" t="inlineStr">
        <is>
          <t>991003063309702656</t>
        </is>
      </c>
      <c r="AY167" t="inlineStr">
        <is>
          <t>2268081660002656</t>
        </is>
      </c>
      <c r="AZ167" t="inlineStr">
        <is>
          <t>BOOK</t>
        </is>
      </c>
      <c r="BC167" t="inlineStr">
        <is>
          <t>32285000506237</t>
        </is>
      </c>
      <c r="BD167" t="inlineStr">
        <is>
          <t>893352670</t>
        </is>
      </c>
    </row>
    <row r="168">
      <c r="A168" t="inlineStr">
        <is>
          <t>No</t>
        </is>
      </c>
      <c r="B168" t="inlineStr">
        <is>
          <t>BX1406 .S5 1886</t>
        </is>
      </c>
      <c r="C168" t="inlineStr">
        <is>
          <t>0                      BX 1406000S  5           1886</t>
        </is>
      </c>
      <c r="D168" t="inlineStr">
        <is>
          <t>A history of the Catholic church within the limits of the United States : from the first attempted colonization to the present time / by John Gilmary Shea.</t>
        </is>
      </c>
      <c r="E168" t="inlineStr">
        <is>
          <t>V.4</t>
        </is>
      </c>
      <c r="F168" t="inlineStr">
        <is>
          <t>Yes</t>
        </is>
      </c>
      <c r="G168" t="inlineStr">
        <is>
          <t>1</t>
        </is>
      </c>
      <c r="H168" t="inlineStr">
        <is>
          <t>Yes</t>
        </is>
      </c>
      <c r="I168" t="inlineStr">
        <is>
          <t>No</t>
        </is>
      </c>
      <c r="J168" t="inlineStr">
        <is>
          <t>0</t>
        </is>
      </c>
      <c r="K168" t="inlineStr">
        <is>
          <t>Shea, John Gilmary, 1824-1892.</t>
        </is>
      </c>
      <c r="L168" t="inlineStr">
        <is>
          <t>New York : J. G. Shea, 1886-92.</t>
        </is>
      </c>
      <c r="M168" t="inlineStr">
        <is>
          <t>1886</t>
        </is>
      </c>
      <c r="O168" t="inlineStr">
        <is>
          <t>eng</t>
        </is>
      </c>
      <c r="P168" t="inlineStr">
        <is>
          <t xml:space="preserve">xx </t>
        </is>
      </c>
      <c r="R168" t="inlineStr">
        <is>
          <t xml:space="preserve">BX </t>
        </is>
      </c>
      <c r="S168" t="n">
        <v>0</v>
      </c>
      <c r="T168" t="n">
        <v>4</v>
      </c>
      <c r="V168" t="inlineStr">
        <is>
          <t>1995-11-16</t>
        </is>
      </c>
      <c r="W168" t="inlineStr">
        <is>
          <t>1991-02-12</t>
        </is>
      </c>
      <c r="X168" t="inlineStr">
        <is>
          <t>2004-04-28</t>
        </is>
      </c>
      <c r="Y168" t="n">
        <v>204</v>
      </c>
      <c r="Z168" t="n">
        <v>188</v>
      </c>
      <c r="AA168" t="n">
        <v>369</v>
      </c>
      <c r="AB168" t="n">
        <v>1</v>
      </c>
      <c r="AC168" t="n">
        <v>3</v>
      </c>
      <c r="AD168" t="n">
        <v>19</v>
      </c>
      <c r="AE168" t="n">
        <v>24</v>
      </c>
      <c r="AF168" t="n">
        <v>8</v>
      </c>
      <c r="AG168" t="n">
        <v>10</v>
      </c>
      <c r="AH168" t="n">
        <v>5</v>
      </c>
      <c r="AI168" t="n">
        <v>5</v>
      </c>
      <c r="AJ168" t="n">
        <v>12</v>
      </c>
      <c r="AK168" t="n">
        <v>13</v>
      </c>
      <c r="AL168" t="n">
        <v>0</v>
      </c>
      <c r="AM168" t="n">
        <v>2</v>
      </c>
      <c r="AN168" t="n">
        <v>0</v>
      </c>
      <c r="AO168" t="n">
        <v>0</v>
      </c>
      <c r="AP168" t="inlineStr">
        <is>
          <t>Yes</t>
        </is>
      </c>
      <c r="AQ168" t="inlineStr">
        <is>
          <t>No</t>
        </is>
      </c>
      <c r="AR168">
        <f>HYPERLINK("http://catalog.hathitrust.org/Record/005921980","HathiTrust Record")</f>
        <v/>
      </c>
      <c r="AS168">
        <f>HYPERLINK("https://creighton-primo.hosted.exlibrisgroup.com/primo-explore/search?tab=default_tab&amp;search_scope=EVERYTHING&amp;vid=01CRU&amp;lang=en_US&amp;offset=0&amp;query=any,contains,991003063309702656","Catalog Record")</f>
        <v/>
      </c>
      <c r="AT168">
        <f>HYPERLINK("http://www.worldcat.org/oclc/2281916","WorldCat Record")</f>
        <v/>
      </c>
      <c r="AU168" t="inlineStr">
        <is>
          <t>4915428291:eng</t>
        </is>
      </c>
      <c r="AV168" t="inlineStr">
        <is>
          <t>2281916</t>
        </is>
      </c>
      <c r="AW168" t="inlineStr">
        <is>
          <t>991003063309702656</t>
        </is>
      </c>
      <c r="AX168" t="inlineStr">
        <is>
          <t>991003063309702656</t>
        </is>
      </c>
      <c r="AY168" t="inlineStr">
        <is>
          <t>2268081660002656</t>
        </is>
      </c>
      <c r="AZ168" t="inlineStr">
        <is>
          <t>BOOK</t>
        </is>
      </c>
      <c r="BC168" t="inlineStr">
        <is>
          <t>32285000506252</t>
        </is>
      </c>
      <c r="BD168" t="inlineStr">
        <is>
          <t>893342206</t>
        </is>
      </c>
    </row>
    <row r="169">
      <c r="A169" t="inlineStr">
        <is>
          <t>No</t>
        </is>
      </c>
      <c r="B169" t="inlineStr">
        <is>
          <t>BX1406 .S5 1886</t>
        </is>
      </c>
      <c r="C169" t="inlineStr">
        <is>
          <t>0                      BX 1406000S  5           1886</t>
        </is>
      </c>
      <c r="D169" t="inlineStr">
        <is>
          <t>A history of the Catholic church within the limits of the United States : from the first attempted colonization to the present time / by John Gilmary Shea.</t>
        </is>
      </c>
      <c r="E169" t="inlineStr">
        <is>
          <t>V.4</t>
        </is>
      </c>
      <c r="F169" t="inlineStr">
        <is>
          <t>Yes</t>
        </is>
      </c>
      <c r="G169" t="inlineStr">
        <is>
          <t>2</t>
        </is>
      </c>
      <c r="H169" t="inlineStr">
        <is>
          <t>Yes</t>
        </is>
      </c>
      <c r="I169" t="inlineStr">
        <is>
          <t>No</t>
        </is>
      </c>
      <c r="J169" t="inlineStr">
        <is>
          <t>0</t>
        </is>
      </c>
      <c r="K169" t="inlineStr">
        <is>
          <t>Shea, John Gilmary, 1824-1892.</t>
        </is>
      </c>
      <c r="L169" t="inlineStr">
        <is>
          <t>New York : J. G. Shea, 1886-92.</t>
        </is>
      </c>
      <c r="M169" t="inlineStr">
        <is>
          <t>1886</t>
        </is>
      </c>
      <c r="O169" t="inlineStr">
        <is>
          <t>eng</t>
        </is>
      </c>
      <c r="P169" t="inlineStr">
        <is>
          <t xml:space="preserve">xx </t>
        </is>
      </c>
      <c r="R169" t="inlineStr">
        <is>
          <t xml:space="preserve">BX </t>
        </is>
      </c>
      <c r="S169" t="n">
        <v>0</v>
      </c>
      <c r="T169" t="n">
        <v>4</v>
      </c>
      <c r="V169" t="inlineStr">
        <is>
          <t>1995-11-16</t>
        </is>
      </c>
      <c r="W169" t="inlineStr">
        <is>
          <t>1991-02-12</t>
        </is>
      </c>
      <c r="X169" t="inlineStr">
        <is>
          <t>2004-04-28</t>
        </is>
      </c>
      <c r="Y169" t="n">
        <v>204</v>
      </c>
      <c r="Z169" t="n">
        <v>188</v>
      </c>
      <c r="AA169" t="n">
        <v>369</v>
      </c>
      <c r="AB169" t="n">
        <v>1</v>
      </c>
      <c r="AC169" t="n">
        <v>3</v>
      </c>
      <c r="AD169" t="n">
        <v>19</v>
      </c>
      <c r="AE169" t="n">
        <v>24</v>
      </c>
      <c r="AF169" t="n">
        <v>8</v>
      </c>
      <c r="AG169" t="n">
        <v>10</v>
      </c>
      <c r="AH169" t="n">
        <v>5</v>
      </c>
      <c r="AI169" t="n">
        <v>5</v>
      </c>
      <c r="AJ169" t="n">
        <v>12</v>
      </c>
      <c r="AK169" t="n">
        <v>13</v>
      </c>
      <c r="AL169" t="n">
        <v>0</v>
      </c>
      <c r="AM169" t="n">
        <v>2</v>
      </c>
      <c r="AN169" t="n">
        <v>0</v>
      </c>
      <c r="AO169" t="n">
        <v>0</v>
      </c>
      <c r="AP169" t="inlineStr">
        <is>
          <t>Yes</t>
        </is>
      </c>
      <c r="AQ169" t="inlineStr">
        <is>
          <t>No</t>
        </is>
      </c>
      <c r="AR169">
        <f>HYPERLINK("http://catalog.hathitrust.org/Record/005921980","HathiTrust Record")</f>
        <v/>
      </c>
      <c r="AS169">
        <f>HYPERLINK("https://creighton-primo.hosted.exlibrisgroup.com/primo-explore/search?tab=default_tab&amp;search_scope=EVERYTHING&amp;vid=01CRU&amp;lang=en_US&amp;offset=0&amp;query=any,contains,991003063309702656","Catalog Record")</f>
        <v/>
      </c>
      <c r="AT169">
        <f>HYPERLINK("http://www.worldcat.org/oclc/2281916","WorldCat Record")</f>
        <v/>
      </c>
      <c r="AU169" t="inlineStr">
        <is>
          <t>4915428291:eng</t>
        </is>
      </c>
      <c r="AV169" t="inlineStr">
        <is>
          <t>2281916</t>
        </is>
      </c>
      <c r="AW169" t="inlineStr">
        <is>
          <t>991003063309702656</t>
        </is>
      </c>
      <c r="AX169" t="inlineStr">
        <is>
          <t>991003063309702656</t>
        </is>
      </c>
      <c r="AY169" t="inlineStr">
        <is>
          <t>2268081660002656</t>
        </is>
      </c>
      <c r="AZ169" t="inlineStr">
        <is>
          <t>BOOK</t>
        </is>
      </c>
      <c r="BC169" t="inlineStr">
        <is>
          <t>32285000506260</t>
        </is>
      </c>
      <c r="BD169" t="inlineStr">
        <is>
          <t>893342205</t>
        </is>
      </c>
    </row>
    <row r="170">
      <c r="A170" t="inlineStr">
        <is>
          <t>No</t>
        </is>
      </c>
      <c r="B170" t="inlineStr">
        <is>
          <t>BX1406 .S5 1886</t>
        </is>
      </c>
      <c r="C170" t="inlineStr">
        <is>
          <t>0                      BX 1406000S  5           1886</t>
        </is>
      </c>
      <c r="D170" t="inlineStr">
        <is>
          <t>A history of the Catholic church within the limits of the United States : from the first attempted colonization to the present time / by John Gilmary Shea.</t>
        </is>
      </c>
      <c r="E170" t="inlineStr">
        <is>
          <t>V.1</t>
        </is>
      </c>
      <c r="F170" t="inlineStr">
        <is>
          <t>Yes</t>
        </is>
      </c>
      <c r="G170" t="inlineStr">
        <is>
          <t>2</t>
        </is>
      </c>
      <c r="H170" t="inlineStr">
        <is>
          <t>Yes</t>
        </is>
      </c>
      <c r="I170" t="inlineStr">
        <is>
          <t>No</t>
        </is>
      </c>
      <c r="J170" t="inlineStr">
        <is>
          <t>0</t>
        </is>
      </c>
      <c r="K170" t="inlineStr">
        <is>
          <t>Shea, John Gilmary, 1824-1892.</t>
        </is>
      </c>
      <c r="L170" t="inlineStr">
        <is>
          <t>New York : J. G. Shea, 1886-92.</t>
        </is>
      </c>
      <c r="M170" t="inlineStr">
        <is>
          <t>1886</t>
        </is>
      </c>
      <c r="O170" t="inlineStr">
        <is>
          <t>eng</t>
        </is>
      </c>
      <c r="P170" t="inlineStr">
        <is>
          <t xml:space="preserve">xx </t>
        </is>
      </c>
      <c r="R170" t="inlineStr">
        <is>
          <t xml:space="preserve">BX </t>
        </is>
      </c>
      <c r="S170" t="n">
        <v>0</v>
      </c>
      <c r="T170" t="n">
        <v>4</v>
      </c>
      <c r="V170" t="inlineStr">
        <is>
          <t>1995-11-16</t>
        </is>
      </c>
      <c r="W170" t="inlineStr">
        <is>
          <t>1991-02-12</t>
        </is>
      </c>
      <c r="X170" t="inlineStr">
        <is>
          <t>2004-04-28</t>
        </is>
      </c>
      <c r="Y170" t="n">
        <v>204</v>
      </c>
      <c r="Z170" t="n">
        <v>188</v>
      </c>
      <c r="AA170" t="n">
        <v>369</v>
      </c>
      <c r="AB170" t="n">
        <v>1</v>
      </c>
      <c r="AC170" t="n">
        <v>3</v>
      </c>
      <c r="AD170" t="n">
        <v>19</v>
      </c>
      <c r="AE170" t="n">
        <v>24</v>
      </c>
      <c r="AF170" t="n">
        <v>8</v>
      </c>
      <c r="AG170" t="n">
        <v>10</v>
      </c>
      <c r="AH170" t="n">
        <v>5</v>
      </c>
      <c r="AI170" t="n">
        <v>5</v>
      </c>
      <c r="AJ170" t="n">
        <v>12</v>
      </c>
      <c r="AK170" t="n">
        <v>13</v>
      </c>
      <c r="AL170" t="n">
        <v>0</v>
      </c>
      <c r="AM170" t="n">
        <v>2</v>
      </c>
      <c r="AN170" t="n">
        <v>0</v>
      </c>
      <c r="AO170" t="n">
        <v>0</v>
      </c>
      <c r="AP170" t="inlineStr">
        <is>
          <t>Yes</t>
        </is>
      </c>
      <c r="AQ170" t="inlineStr">
        <is>
          <t>No</t>
        </is>
      </c>
      <c r="AR170">
        <f>HYPERLINK("http://catalog.hathitrust.org/Record/005921980","HathiTrust Record")</f>
        <v/>
      </c>
      <c r="AS170">
        <f>HYPERLINK("https://creighton-primo.hosted.exlibrisgroup.com/primo-explore/search?tab=default_tab&amp;search_scope=EVERYTHING&amp;vid=01CRU&amp;lang=en_US&amp;offset=0&amp;query=any,contains,991003063309702656","Catalog Record")</f>
        <v/>
      </c>
      <c r="AT170">
        <f>HYPERLINK("http://www.worldcat.org/oclc/2281916","WorldCat Record")</f>
        <v/>
      </c>
      <c r="AU170" t="inlineStr">
        <is>
          <t>4915428291:eng</t>
        </is>
      </c>
      <c r="AV170" t="inlineStr">
        <is>
          <t>2281916</t>
        </is>
      </c>
      <c r="AW170" t="inlineStr">
        <is>
          <t>991003063309702656</t>
        </is>
      </c>
      <c r="AX170" t="inlineStr">
        <is>
          <t>991003063309702656</t>
        </is>
      </c>
      <c r="AY170" t="inlineStr">
        <is>
          <t>2268081660002656</t>
        </is>
      </c>
      <c r="AZ170" t="inlineStr">
        <is>
          <t>BOOK</t>
        </is>
      </c>
      <c r="BC170" t="inlineStr">
        <is>
          <t>32285000506211</t>
        </is>
      </c>
      <c r="BD170" t="inlineStr">
        <is>
          <t>893352671</t>
        </is>
      </c>
    </row>
    <row r="171">
      <c r="A171" t="inlineStr">
        <is>
          <t>No</t>
        </is>
      </c>
      <c r="B171" t="inlineStr">
        <is>
          <t>BX1406.2 .A36 1988</t>
        </is>
      </c>
      <c r="C171" t="inlineStr">
        <is>
          <t>0                      BX 1406200A  36          1988</t>
        </is>
      </c>
      <c r="D171" t="inlineStr">
        <is>
          <t>The building of an American Catholic church : the episcopacy of John Carroll / Joseph Agonito.</t>
        </is>
      </c>
      <c r="F171" t="inlineStr">
        <is>
          <t>No</t>
        </is>
      </c>
      <c r="G171" t="inlineStr">
        <is>
          <t>1</t>
        </is>
      </c>
      <c r="H171" t="inlineStr">
        <is>
          <t>No</t>
        </is>
      </c>
      <c r="I171" t="inlineStr">
        <is>
          <t>No</t>
        </is>
      </c>
      <c r="J171" t="inlineStr">
        <is>
          <t>0</t>
        </is>
      </c>
      <c r="K171" t="inlineStr">
        <is>
          <t>Agonito, Joseph.</t>
        </is>
      </c>
      <c r="L171" t="inlineStr">
        <is>
          <t>New York : Garland, 1988.</t>
        </is>
      </c>
      <c r="M171" t="inlineStr">
        <is>
          <t>1988</t>
        </is>
      </c>
      <c r="O171" t="inlineStr">
        <is>
          <t>eng</t>
        </is>
      </c>
      <c r="P171" t="inlineStr">
        <is>
          <t>nyu</t>
        </is>
      </c>
      <c r="Q171" t="inlineStr">
        <is>
          <t>The Heritage of American Catholicism</t>
        </is>
      </c>
      <c r="R171" t="inlineStr">
        <is>
          <t xml:space="preserve">BX </t>
        </is>
      </c>
      <c r="S171" t="n">
        <v>7</v>
      </c>
      <c r="T171" t="n">
        <v>7</v>
      </c>
      <c r="U171" t="inlineStr">
        <is>
          <t>1996-09-15</t>
        </is>
      </c>
      <c r="V171" t="inlineStr">
        <is>
          <t>1996-09-15</t>
        </is>
      </c>
      <c r="W171" t="inlineStr">
        <is>
          <t>1991-02-12</t>
        </is>
      </c>
      <c r="X171" t="inlineStr">
        <is>
          <t>1991-02-12</t>
        </is>
      </c>
      <c r="Y171" t="n">
        <v>133</v>
      </c>
      <c r="Z171" t="n">
        <v>122</v>
      </c>
      <c r="AA171" t="n">
        <v>146</v>
      </c>
      <c r="AB171" t="n">
        <v>2</v>
      </c>
      <c r="AC171" t="n">
        <v>2</v>
      </c>
      <c r="AD171" t="n">
        <v>22</v>
      </c>
      <c r="AE171" t="n">
        <v>22</v>
      </c>
      <c r="AF171" t="n">
        <v>8</v>
      </c>
      <c r="AG171" t="n">
        <v>8</v>
      </c>
      <c r="AH171" t="n">
        <v>5</v>
      </c>
      <c r="AI171" t="n">
        <v>5</v>
      </c>
      <c r="AJ171" t="n">
        <v>15</v>
      </c>
      <c r="AK171" t="n">
        <v>15</v>
      </c>
      <c r="AL171" t="n">
        <v>1</v>
      </c>
      <c r="AM171" t="n">
        <v>1</v>
      </c>
      <c r="AN171" t="n">
        <v>0</v>
      </c>
      <c r="AO171" t="n">
        <v>0</v>
      </c>
      <c r="AP171" t="inlineStr">
        <is>
          <t>No</t>
        </is>
      </c>
      <c r="AQ171" t="inlineStr">
        <is>
          <t>No</t>
        </is>
      </c>
      <c r="AS171">
        <f>HYPERLINK("https://creighton-primo.hosted.exlibrisgroup.com/primo-explore/search?tab=default_tab&amp;search_scope=EVERYTHING&amp;vid=01CRU&amp;lang=en_US&amp;offset=0&amp;query=any,contains,991001250399702656","Catalog Record")</f>
        <v/>
      </c>
      <c r="AT171">
        <f>HYPERLINK("http://www.worldcat.org/oclc/17675177","WorldCat Record")</f>
        <v/>
      </c>
      <c r="AU171" t="inlineStr">
        <is>
          <t>909929:eng</t>
        </is>
      </c>
      <c r="AV171" t="inlineStr">
        <is>
          <t>17675177</t>
        </is>
      </c>
      <c r="AW171" t="inlineStr">
        <is>
          <t>991001250399702656</t>
        </is>
      </c>
      <c r="AX171" t="inlineStr">
        <is>
          <t>991001250399702656</t>
        </is>
      </c>
      <c r="AY171" t="inlineStr">
        <is>
          <t>2260094100002656</t>
        </is>
      </c>
      <c r="AZ171" t="inlineStr">
        <is>
          <t>BOOK</t>
        </is>
      </c>
      <c r="BB171" t="inlineStr">
        <is>
          <t>9780824040840</t>
        </is>
      </c>
      <c r="BC171" t="inlineStr">
        <is>
          <t>32285000506385</t>
        </is>
      </c>
      <c r="BD171" t="inlineStr">
        <is>
          <t>893420204</t>
        </is>
      </c>
    </row>
    <row r="172">
      <c r="A172" t="inlineStr">
        <is>
          <t>No</t>
        </is>
      </c>
      <c r="B172" t="inlineStr">
        <is>
          <t>BX1406.2 .A6334 1997</t>
        </is>
      </c>
      <c r="C172" t="inlineStr">
        <is>
          <t>0                      BX 1406200A  6334        1997</t>
        </is>
      </c>
      <c r="D172" t="inlineStr">
        <is>
          <t>American Catholic traditions : resources for renewal / Sandra Yocum Mize, William L. Portier, editors.</t>
        </is>
      </c>
      <c r="F172" t="inlineStr">
        <is>
          <t>No</t>
        </is>
      </c>
      <c r="G172" t="inlineStr">
        <is>
          <t>1</t>
        </is>
      </c>
      <c r="H172" t="inlineStr">
        <is>
          <t>No</t>
        </is>
      </c>
      <c r="I172" t="inlineStr">
        <is>
          <t>No</t>
        </is>
      </c>
      <c r="J172" t="inlineStr">
        <is>
          <t>0</t>
        </is>
      </c>
      <c r="L172" t="inlineStr">
        <is>
          <t>Maryknoll, N.Y. : Orbis Books, c1997.</t>
        </is>
      </c>
      <c r="M172" t="inlineStr">
        <is>
          <t>1997</t>
        </is>
      </c>
      <c r="O172" t="inlineStr">
        <is>
          <t>eng</t>
        </is>
      </c>
      <c r="P172" t="inlineStr">
        <is>
          <t>nyu</t>
        </is>
      </c>
      <c r="Q172" t="inlineStr">
        <is>
          <t>The Annual publication of the College Theology Society ; 1996, v. 42</t>
        </is>
      </c>
      <c r="R172" t="inlineStr">
        <is>
          <t xml:space="preserve">BX </t>
        </is>
      </c>
      <c r="S172" t="n">
        <v>4</v>
      </c>
      <c r="T172" t="n">
        <v>4</v>
      </c>
      <c r="U172" t="inlineStr">
        <is>
          <t>2004-10-28</t>
        </is>
      </c>
      <c r="V172" t="inlineStr">
        <is>
          <t>2004-10-28</t>
        </is>
      </c>
      <c r="W172" t="inlineStr">
        <is>
          <t>1997-08-05</t>
        </is>
      </c>
      <c r="X172" t="inlineStr">
        <is>
          <t>1997-08-05</t>
        </is>
      </c>
      <c r="Y172" t="n">
        <v>212</v>
      </c>
      <c r="Z172" t="n">
        <v>194</v>
      </c>
      <c r="AA172" t="n">
        <v>194</v>
      </c>
      <c r="AB172" t="n">
        <v>2</v>
      </c>
      <c r="AC172" t="n">
        <v>2</v>
      </c>
      <c r="AD172" t="n">
        <v>30</v>
      </c>
      <c r="AE172" t="n">
        <v>30</v>
      </c>
      <c r="AF172" t="n">
        <v>13</v>
      </c>
      <c r="AG172" t="n">
        <v>13</v>
      </c>
      <c r="AH172" t="n">
        <v>8</v>
      </c>
      <c r="AI172" t="n">
        <v>8</v>
      </c>
      <c r="AJ172" t="n">
        <v>20</v>
      </c>
      <c r="AK172" t="n">
        <v>20</v>
      </c>
      <c r="AL172" t="n">
        <v>1</v>
      </c>
      <c r="AM172" t="n">
        <v>1</v>
      </c>
      <c r="AN172" t="n">
        <v>0</v>
      </c>
      <c r="AO172" t="n">
        <v>0</v>
      </c>
      <c r="AP172" t="inlineStr">
        <is>
          <t>No</t>
        </is>
      </c>
      <c r="AQ172" t="inlineStr">
        <is>
          <t>No</t>
        </is>
      </c>
      <c r="AS172">
        <f>HYPERLINK("https://creighton-primo.hosted.exlibrisgroup.com/primo-explore/search?tab=default_tab&amp;search_scope=EVERYTHING&amp;vid=01CRU&amp;lang=en_US&amp;offset=0&amp;query=any,contains,991002790109702656","Catalog Record")</f>
        <v/>
      </c>
      <c r="AT172">
        <f>HYPERLINK("http://www.worldcat.org/oclc/36648510","WorldCat Record")</f>
        <v/>
      </c>
      <c r="AU172" t="inlineStr">
        <is>
          <t>682409:eng</t>
        </is>
      </c>
      <c r="AV172" t="inlineStr">
        <is>
          <t>36648510</t>
        </is>
      </c>
      <c r="AW172" t="inlineStr">
        <is>
          <t>991002790109702656</t>
        </is>
      </c>
      <c r="AX172" t="inlineStr">
        <is>
          <t>991002790109702656</t>
        </is>
      </c>
      <c r="AY172" t="inlineStr">
        <is>
          <t>2266068240002656</t>
        </is>
      </c>
      <c r="AZ172" t="inlineStr">
        <is>
          <t>BOOK</t>
        </is>
      </c>
      <c r="BB172" t="inlineStr">
        <is>
          <t>9781570751097</t>
        </is>
      </c>
      <c r="BC172" t="inlineStr">
        <is>
          <t>32285003000444</t>
        </is>
      </c>
      <c r="BD172" t="inlineStr">
        <is>
          <t>893498539</t>
        </is>
      </c>
    </row>
    <row r="173">
      <c r="A173" t="inlineStr">
        <is>
          <t>No</t>
        </is>
      </c>
      <c r="B173" t="inlineStr">
        <is>
          <t>BX1406.2 .A645 2001</t>
        </is>
      </c>
      <c r="C173" t="inlineStr">
        <is>
          <t>0                      BX 1406200A  645         2001</t>
        </is>
      </c>
      <c r="D173" t="inlineStr">
        <is>
          <t>American Catholics : gender, generation, and commitment / William V. D'Antonio ... [et al.].</t>
        </is>
      </c>
      <c r="F173" t="inlineStr">
        <is>
          <t>No</t>
        </is>
      </c>
      <c r="G173" t="inlineStr">
        <is>
          <t>1</t>
        </is>
      </c>
      <c r="H173" t="inlineStr">
        <is>
          <t>No</t>
        </is>
      </c>
      <c r="I173" t="inlineStr">
        <is>
          <t>No</t>
        </is>
      </c>
      <c r="J173" t="inlineStr">
        <is>
          <t>0</t>
        </is>
      </c>
      <c r="L173" t="inlineStr">
        <is>
          <t>Walnut Creek [CA] : AltaMira Press, c2001.</t>
        </is>
      </c>
      <c r="M173" t="inlineStr">
        <is>
          <t>2001</t>
        </is>
      </c>
      <c r="O173" t="inlineStr">
        <is>
          <t>eng</t>
        </is>
      </c>
      <c r="P173" t="inlineStr">
        <is>
          <t>cau</t>
        </is>
      </c>
      <c r="R173" t="inlineStr">
        <is>
          <t xml:space="preserve">BX </t>
        </is>
      </c>
      <c r="S173" t="n">
        <v>9</v>
      </c>
      <c r="T173" t="n">
        <v>9</v>
      </c>
      <c r="U173" t="inlineStr">
        <is>
          <t>2006-09-27</t>
        </is>
      </c>
      <c r="V173" t="inlineStr">
        <is>
          <t>2006-09-27</t>
        </is>
      </c>
      <c r="W173" t="inlineStr">
        <is>
          <t>2001-11-01</t>
        </is>
      </c>
      <c r="X173" t="inlineStr">
        <is>
          <t>2001-11-01</t>
        </is>
      </c>
      <c r="Y173" t="n">
        <v>255</v>
      </c>
      <c r="Z173" t="n">
        <v>234</v>
      </c>
      <c r="AA173" t="n">
        <v>253</v>
      </c>
      <c r="AB173" t="n">
        <v>3</v>
      </c>
      <c r="AC173" t="n">
        <v>3</v>
      </c>
      <c r="AD173" t="n">
        <v>29</v>
      </c>
      <c r="AE173" t="n">
        <v>30</v>
      </c>
      <c r="AF173" t="n">
        <v>10</v>
      </c>
      <c r="AG173" t="n">
        <v>11</v>
      </c>
      <c r="AH173" t="n">
        <v>8</v>
      </c>
      <c r="AI173" t="n">
        <v>9</v>
      </c>
      <c r="AJ173" t="n">
        <v>18</v>
      </c>
      <c r="AK173" t="n">
        <v>18</v>
      </c>
      <c r="AL173" t="n">
        <v>2</v>
      </c>
      <c r="AM173" t="n">
        <v>2</v>
      </c>
      <c r="AN173" t="n">
        <v>0</v>
      </c>
      <c r="AO173" t="n">
        <v>0</v>
      </c>
      <c r="AP173" t="inlineStr">
        <is>
          <t>No</t>
        </is>
      </c>
      <c r="AQ173" t="inlineStr">
        <is>
          <t>Yes</t>
        </is>
      </c>
      <c r="AR173">
        <f>HYPERLINK("http://catalog.hathitrust.org/Record/004197875","HathiTrust Record")</f>
        <v/>
      </c>
      <c r="AS173">
        <f>HYPERLINK("https://creighton-primo.hosted.exlibrisgroup.com/primo-explore/search?tab=default_tab&amp;search_scope=EVERYTHING&amp;vid=01CRU&amp;lang=en_US&amp;offset=0&amp;query=any,contains,991003647759702656","Catalog Record")</f>
        <v/>
      </c>
      <c r="AT173">
        <f>HYPERLINK("http://www.worldcat.org/oclc/45841617","WorldCat Record")</f>
        <v/>
      </c>
      <c r="AU173" t="inlineStr">
        <is>
          <t>35869400:eng</t>
        </is>
      </c>
      <c r="AV173" t="inlineStr">
        <is>
          <t>45841617</t>
        </is>
      </c>
      <c r="AW173" t="inlineStr">
        <is>
          <t>991003647759702656</t>
        </is>
      </c>
      <c r="AX173" t="inlineStr">
        <is>
          <t>991003647759702656</t>
        </is>
      </c>
      <c r="AY173" t="inlineStr">
        <is>
          <t>2262349590002656</t>
        </is>
      </c>
      <c r="AZ173" t="inlineStr">
        <is>
          <t>BOOK</t>
        </is>
      </c>
      <c r="BB173" t="inlineStr">
        <is>
          <t>9780759100404</t>
        </is>
      </c>
      <c r="BC173" t="inlineStr">
        <is>
          <t>32285004417308</t>
        </is>
      </c>
      <c r="BD173" t="inlineStr">
        <is>
          <t>893627686</t>
        </is>
      </c>
    </row>
    <row r="174">
      <c r="A174" t="inlineStr">
        <is>
          <t>No</t>
        </is>
      </c>
      <c r="B174" t="inlineStr">
        <is>
          <t>BX1406.2 .A647 1992</t>
        </is>
      </c>
      <c r="C174" t="inlineStr">
        <is>
          <t>0                      BX 1406200A  647         1992</t>
        </is>
      </c>
      <c r="D174" t="inlineStr">
        <is>
          <t>The American Catholic heritage : reflections on the growth and influence of the catholic church in the United States.</t>
        </is>
      </c>
      <c r="F174" t="inlineStr">
        <is>
          <t>No</t>
        </is>
      </c>
      <c r="G174" t="inlineStr">
        <is>
          <t>1</t>
        </is>
      </c>
      <c r="H174" t="inlineStr">
        <is>
          <t>No</t>
        </is>
      </c>
      <c r="I174" t="inlineStr">
        <is>
          <t>No</t>
        </is>
      </c>
      <c r="J174" t="inlineStr">
        <is>
          <t>0</t>
        </is>
      </c>
      <c r="L174" t="inlineStr">
        <is>
          <t>Rome (Italy) : Pontifical North American College, c1992.</t>
        </is>
      </c>
      <c r="M174" t="inlineStr">
        <is>
          <t>1992</t>
        </is>
      </c>
      <c r="O174" t="inlineStr">
        <is>
          <t>eng</t>
        </is>
      </c>
      <c r="P174" t="inlineStr">
        <is>
          <t xml:space="preserve">it </t>
        </is>
      </c>
      <c r="Q174" t="inlineStr">
        <is>
          <t>Publication / Office for Publishing and Promotion Services, United States Catholic Conference ; no. 343-4</t>
        </is>
      </c>
      <c r="R174" t="inlineStr">
        <is>
          <t xml:space="preserve">BX </t>
        </is>
      </c>
      <c r="S174" t="n">
        <v>6</v>
      </c>
      <c r="T174" t="n">
        <v>6</v>
      </c>
      <c r="U174" t="inlineStr">
        <is>
          <t>2007-11-13</t>
        </is>
      </c>
      <c r="V174" t="inlineStr">
        <is>
          <t>2007-11-13</t>
        </is>
      </c>
      <c r="W174" t="inlineStr">
        <is>
          <t>1993-02-03</t>
        </is>
      </c>
      <c r="X174" t="inlineStr">
        <is>
          <t>1993-02-03</t>
        </is>
      </c>
      <c r="Y174" t="n">
        <v>170</v>
      </c>
      <c r="Z174" t="n">
        <v>158</v>
      </c>
      <c r="AA174" t="n">
        <v>159</v>
      </c>
      <c r="AB174" t="n">
        <v>3</v>
      </c>
      <c r="AC174" t="n">
        <v>3</v>
      </c>
      <c r="AD174" t="n">
        <v>22</v>
      </c>
      <c r="AE174" t="n">
        <v>22</v>
      </c>
      <c r="AF174" t="n">
        <v>7</v>
      </c>
      <c r="AG174" t="n">
        <v>7</v>
      </c>
      <c r="AH174" t="n">
        <v>6</v>
      </c>
      <c r="AI174" t="n">
        <v>6</v>
      </c>
      <c r="AJ174" t="n">
        <v>16</v>
      </c>
      <c r="AK174" t="n">
        <v>16</v>
      </c>
      <c r="AL174" t="n">
        <v>1</v>
      </c>
      <c r="AM174" t="n">
        <v>1</v>
      </c>
      <c r="AN174" t="n">
        <v>0</v>
      </c>
      <c r="AO174" t="n">
        <v>0</v>
      </c>
      <c r="AP174" t="inlineStr">
        <is>
          <t>No</t>
        </is>
      </c>
      <c r="AQ174" t="inlineStr">
        <is>
          <t>No</t>
        </is>
      </c>
      <c r="AS174">
        <f>HYPERLINK("https://creighton-primo.hosted.exlibrisgroup.com/primo-explore/search?tab=default_tab&amp;search_scope=EVERYTHING&amp;vid=01CRU&amp;lang=en_US&amp;offset=0&amp;query=any,contains,991002126289702656","Catalog Record")</f>
        <v/>
      </c>
      <c r="AT174">
        <f>HYPERLINK("http://www.worldcat.org/oclc/27232358","WorldCat Record")</f>
        <v/>
      </c>
      <c r="AU174" t="inlineStr">
        <is>
          <t>29971935:eng</t>
        </is>
      </c>
      <c r="AV174" t="inlineStr">
        <is>
          <t>27232358</t>
        </is>
      </c>
      <c r="AW174" t="inlineStr">
        <is>
          <t>991002126289702656</t>
        </is>
      </c>
      <c r="AX174" t="inlineStr">
        <is>
          <t>991002126289702656</t>
        </is>
      </c>
      <c r="AY174" t="inlineStr">
        <is>
          <t>2261761950002656</t>
        </is>
      </c>
      <c r="AZ174" t="inlineStr">
        <is>
          <t>BOOK</t>
        </is>
      </c>
      <c r="BB174" t="inlineStr">
        <is>
          <t>9781555865443</t>
        </is>
      </c>
      <c r="BC174" t="inlineStr">
        <is>
          <t>32285001522639</t>
        </is>
      </c>
      <c r="BD174" t="inlineStr">
        <is>
          <t>893408722</t>
        </is>
      </c>
    </row>
    <row r="175">
      <c r="A175" t="inlineStr">
        <is>
          <t>No</t>
        </is>
      </c>
      <c r="B175" t="inlineStr">
        <is>
          <t>BX1406.2 .B75 1992</t>
        </is>
      </c>
      <c r="C175" t="inlineStr">
        <is>
          <t>0                      BX 1406200B  75          1992</t>
        </is>
      </c>
      <c r="D175" t="inlineStr">
        <is>
          <t>Holy Siege : the year that shook Catholic America / Kenneth A. Briggs.</t>
        </is>
      </c>
      <c r="F175" t="inlineStr">
        <is>
          <t>No</t>
        </is>
      </c>
      <c r="G175" t="inlineStr">
        <is>
          <t>1</t>
        </is>
      </c>
      <c r="H175" t="inlineStr">
        <is>
          <t>No</t>
        </is>
      </c>
      <c r="I175" t="inlineStr">
        <is>
          <t>No</t>
        </is>
      </c>
      <c r="J175" t="inlineStr">
        <is>
          <t>0</t>
        </is>
      </c>
      <c r="K175" t="inlineStr">
        <is>
          <t>Briggs, Kenneth A.</t>
        </is>
      </c>
      <c r="L175" t="inlineStr">
        <is>
          <t>[San Francisco, Calif.] : HarperSanFrancisco, c1992.</t>
        </is>
      </c>
      <c r="M175" t="inlineStr">
        <is>
          <t>1992</t>
        </is>
      </c>
      <c r="N175" t="inlineStr">
        <is>
          <t>1st ed.</t>
        </is>
      </c>
      <c r="O175" t="inlineStr">
        <is>
          <t>eng</t>
        </is>
      </c>
      <c r="P175" t="inlineStr">
        <is>
          <t>cau</t>
        </is>
      </c>
      <c r="R175" t="inlineStr">
        <is>
          <t xml:space="preserve">BX </t>
        </is>
      </c>
      <c r="S175" t="n">
        <v>2</v>
      </c>
      <c r="T175" t="n">
        <v>2</v>
      </c>
      <c r="U175" t="inlineStr">
        <is>
          <t>1993-10-25</t>
        </is>
      </c>
      <c r="V175" t="inlineStr">
        <is>
          <t>1993-10-25</t>
        </is>
      </c>
      <c r="W175" t="inlineStr">
        <is>
          <t>1993-09-13</t>
        </is>
      </c>
      <c r="X175" t="inlineStr">
        <is>
          <t>1993-09-13</t>
        </is>
      </c>
      <c r="Y175" t="n">
        <v>563</v>
      </c>
      <c r="Z175" t="n">
        <v>537</v>
      </c>
      <c r="AA175" t="n">
        <v>539</v>
      </c>
      <c r="AB175" t="n">
        <v>5</v>
      </c>
      <c r="AC175" t="n">
        <v>5</v>
      </c>
      <c r="AD175" t="n">
        <v>37</v>
      </c>
      <c r="AE175" t="n">
        <v>37</v>
      </c>
      <c r="AF175" t="n">
        <v>13</v>
      </c>
      <c r="AG175" t="n">
        <v>13</v>
      </c>
      <c r="AH175" t="n">
        <v>9</v>
      </c>
      <c r="AI175" t="n">
        <v>9</v>
      </c>
      <c r="AJ175" t="n">
        <v>22</v>
      </c>
      <c r="AK175" t="n">
        <v>22</v>
      </c>
      <c r="AL175" t="n">
        <v>3</v>
      </c>
      <c r="AM175" t="n">
        <v>3</v>
      </c>
      <c r="AN175" t="n">
        <v>1</v>
      </c>
      <c r="AO175" t="n">
        <v>1</v>
      </c>
      <c r="AP175" t="inlineStr">
        <is>
          <t>No</t>
        </is>
      </c>
      <c r="AQ175" t="inlineStr">
        <is>
          <t>Yes</t>
        </is>
      </c>
      <c r="AR175">
        <f>HYPERLINK("http://catalog.hathitrust.org/Record/002600585","HathiTrust Record")</f>
        <v/>
      </c>
      <c r="AS175">
        <f>HYPERLINK("https://creighton-primo.hosted.exlibrisgroup.com/primo-explore/search?tab=default_tab&amp;search_scope=EVERYTHING&amp;vid=01CRU&amp;lang=en_US&amp;offset=0&amp;query=any,contains,991002012209702656","Catalog Record")</f>
        <v/>
      </c>
      <c r="AT175">
        <f>HYPERLINK("http://www.worldcat.org/oclc/25628152","WorldCat Record")</f>
        <v/>
      </c>
      <c r="AU175" t="inlineStr">
        <is>
          <t>152302630:eng</t>
        </is>
      </c>
      <c r="AV175" t="inlineStr">
        <is>
          <t>25628152</t>
        </is>
      </c>
      <c r="AW175" t="inlineStr">
        <is>
          <t>991002012209702656</t>
        </is>
      </c>
      <c r="AX175" t="inlineStr">
        <is>
          <t>991002012209702656</t>
        </is>
      </c>
      <c r="AY175" t="inlineStr">
        <is>
          <t>2263372960002656</t>
        </is>
      </c>
      <c r="AZ175" t="inlineStr">
        <is>
          <t>BOOK</t>
        </is>
      </c>
      <c r="BB175" t="inlineStr">
        <is>
          <t>9780060610586</t>
        </is>
      </c>
      <c r="BC175" t="inlineStr">
        <is>
          <t>32285001765790</t>
        </is>
      </c>
      <c r="BD175" t="inlineStr">
        <is>
          <t>893414720</t>
        </is>
      </c>
    </row>
    <row r="176">
      <c r="A176" t="inlineStr">
        <is>
          <t>No</t>
        </is>
      </c>
      <c r="B176" t="inlineStr">
        <is>
          <t>BX1406.2 .B86</t>
        </is>
      </c>
      <c r="C176" t="inlineStr">
        <is>
          <t>0                      BX 1406200B  86</t>
        </is>
      </c>
      <c r="D176" t="inlineStr">
        <is>
          <t>Founding of faith : Catholics in the American revolutionary era / by Maggie Bunson.</t>
        </is>
      </c>
      <c r="F176" t="inlineStr">
        <is>
          <t>No</t>
        </is>
      </c>
      <c r="G176" t="inlineStr">
        <is>
          <t>1</t>
        </is>
      </c>
      <c r="H176" t="inlineStr">
        <is>
          <t>No</t>
        </is>
      </c>
      <c r="I176" t="inlineStr">
        <is>
          <t>No</t>
        </is>
      </c>
      <c r="J176" t="inlineStr">
        <is>
          <t>0</t>
        </is>
      </c>
      <c r="K176" t="inlineStr">
        <is>
          <t>Bunson, Maggie.</t>
        </is>
      </c>
      <c r="L176" t="inlineStr">
        <is>
          <t>Boston : St. Paul Editions, c1977.</t>
        </is>
      </c>
      <c r="M176" t="inlineStr">
        <is>
          <t>1977</t>
        </is>
      </c>
      <c r="O176" t="inlineStr">
        <is>
          <t>eng</t>
        </is>
      </c>
      <c r="P176" t="inlineStr">
        <is>
          <t>mau</t>
        </is>
      </c>
      <c r="R176" t="inlineStr">
        <is>
          <t xml:space="preserve">BX </t>
        </is>
      </c>
      <c r="S176" t="n">
        <v>3</v>
      </c>
      <c r="T176" t="n">
        <v>3</v>
      </c>
      <c r="U176" t="inlineStr">
        <is>
          <t>1997-01-21</t>
        </is>
      </c>
      <c r="V176" t="inlineStr">
        <is>
          <t>1997-01-21</t>
        </is>
      </c>
      <c r="W176" t="inlineStr">
        <is>
          <t>1991-02-12</t>
        </is>
      </c>
      <c r="X176" t="inlineStr">
        <is>
          <t>1991-02-12</t>
        </is>
      </c>
      <c r="Y176" t="n">
        <v>78</v>
      </c>
      <c r="Z176" t="n">
        <v>75</v>
      </c>
      <c r="AA176" t="n">
        <v>76</v>
      </c>
      <c r="AB176" t="n">
        <v>2</v>
      </c>
      <c r="AC176" t="n">
        <v>2</v>
      </c>
      <c r="AD176" t="n">
        <v>4</v>
      </c>
      <c r="AE176" t="n">
        <v>4</v>
      </c>
      <c r="AF176" t="n">
        <v>1</v>
      </c>
      <c r="AG176" t="n">
        <v>1</v>
      </c>
      <c r="AH176" t="n">
        <v>1</v>
      </c>
      <c r="AI176" t="n">
        <v>1</v>
      </c>
      <c r="AJ176" t="n">
        <v>2</v>
      </c>
      <c r="AK176" t="n">
        <v>2</v>
      </c>
      <c r="AL176" t="n">
        <v>0</v>
      </c>
      <c r="AM176" t="n">
        <v>0</v>
      </c>
      <c r="AN176" t="n">
        <v>0</v>
      </c>
      <c r="AO176" t="n">
        <v>0</v>
      </c>
      <c r="AP176" t="inlineStr">
        <is>
          <t>No</t>
        </is>
      </c>
      <c r="AQ176" t="inlineStr">
        <is>
          <t>Yes</t>
        </is>
      </c>
      <c r="AR176">
        <f>HYPERLINK("http://catalog.hathitrust.org/Record/006921642","HathiTrust Record")</f>
        <v/>
      </c>
      <c r="AS176">
        <f>HYPERLINK("https://creighton-primo.hosted.exlibrisgroup.com/primo-explore/search?tab=default_tab&amp;search_scope=EVERYTHING&amp;vid=01CRU&amp;lang=en_US&amp;offset=0&amp;query=any,contains,991004268639702656","Catalog Record")</f>
        <v/>
      </c>
      <c r="AT176">
        <f>HYPERLINK("http://www.worldcat.org/oclc/2874039","WorldCat Record")</f>
        <v/>
      </c>
      <c r="AU176" t="inlineStr">
        <is>
          <t>6390700:eng</t>
        </is>
      </c>
      <c r="AV176" t="inlineStr">
        <is>
          <t>2874039</t>
        </is>
      </c>
      <c r="AW176" t="inlineStr">
        <is>
          <t>991004268639702656</t>
        </is>
      </c>
      <c r="AX176" t="inlineStr">
        <is>
          <t>991004268639702656</t>
        </is>
      </c>
      <c r="AY176" t="inlineStr">
        <is>
          <t>2259021450002656</t>
        </is>
      </c>
      <c r="AZ176" t="inlineStr">
        <is>
          <t>BOOK</t>
        </is>
      </c>
      <c r="BC176" t="inlineStr">
        <is>
          <t>32285000506328</t>
        </is>
      </c>
      <c r="BD176" t="inlineStr">
        <is>
          <t>893247375</t>
        </is>
      </c>
    </row>
    <row r="177">
      <c r="A177" t="inlineStr">
        <is>
          <t>No</t>
        </is>
      </c>
      <c r="B177" t="inlineStr">
        <is>
          <t>BX1406.2 .C27 1999</t>
        </is>
      </c>
      <c r="C177" t="inlineStr">
        <is>
          <t>0                      BX 1406200C  27          1999</t>
        </is>
      </c>
      <c r="D177" t="inlineStr">
        <is>
          <t>Encuentro 2000 : many faces in God's house : a Catholic vision for the third millennium / National Conference of Catholic Bishops.</t>
        </is>
      </c>
      <c r="F177" t="inlineStr">
        <is>
          <t>No</t>
        </is>
      </c>
      <c r="G177" t="inlineStr">
        <is>
          <t>1</t>
        </is>
      </c>
      <c r="H177" t="inlineStr">
        <is>
          <t>No</t>
        </is>
      </c>
      <c r="I177" t="inlineStr">
        <is>
          <t>No</t>
        </is>
      </c>
      <c r="J177" t="inlineStr">
        <is>
          <t>0</t>
        </is>
      </c>
      <c r="K177" t="inlineStr">
        <is>
          <t>Catholic Church. National Conference of Catholic Bishops.</t>
        </is>
      </c>
      <c r="L177" t="inlineStr">
        <is>
          <t>Washington, D.C. : United States Catholic Conference, 1999.</t>
        </is>
      </c>
      <c r="M177" t="inlineStr">
        <is>
          <t>1999</t>
        </is>
      </c>
      <c r="O177" t="inlineStr">
        <is>
          <t>eng</t>
        </is>
      </c>
      <c r="P177" t="inlineStr">
        <is>
          <t>dcu</t>
        </is>
      </c>
      <c r="R177" t="inlineStr">
        <is>
          <t xml:space="preserve">BX </t>
        </is>
      </c>
      <c r="S177" t="n">
        <v>1</v>
      </c>
      <c r="T177" t="n">
        <v>1</v>
      </c>
      <c r="U177" t="inlineStr">
        <is>
          <t>2002-10-25</t>
        </is>
      </c>
      <c r="V177" t="inlineStr">
        <is>
          <t>2002-10-25</t>
        </is>
      </c>
      <c r="W177" t="inlineStr">
        <is>
          <t>2001-06-19</t>
        </is>
      </c>
      <c r="X177" t="inlineStr">
        <is>
          <t>2001-06-19</t>
        </is>
      </c>
      <c r="Y177" t="n">
        <v>46</v>
      </c>
      <c r="Z177" t="n">
        <v>46</v>
      </c>
      <c r="AA177" t="n">
        <v>46</v>
      </c>
      <c r="AB177" t="n">
        <v>1</v>
      </c>
      <c r="AC177" t="n">
        <v>1</v>
      </c>
      <c r="AD177" t="n">
        <v>7</v>
      </c>
      <c r="AE177" t="n">
        <v>7</v>
      </c>
      <c r="AF177" t="n">
        <v>1</v>
      </c>
      <c r="AG177" t="n">
        <v>1</v>
      </c>
      <c r="AH177" t="n">
        <v>2</v>
      </c>
      <c r="AI177" t="n">
        <v>2</v>
      </c>
      <c r="AJ177" t="n">
        <v>6</v>
      </c>
      <c r="AK177" t="n">
        <v>6</v>
      </c>
      <c r="AL177" t="n">
        <v>0</v>
      </c>
      <c r="AM177" t="n">
        <v>0</v>
      </c>
      <c r="AN177" t="n">
        <v>0</v>
      </c>
      <c r="AO177" t="n">
        <v>0</v>
      </c>
      <c r="AP177" t="inlineStr">
        <is>
          <t>No</t>
        </is>
      </c>
      <c r="AQ177" t="inlineStr">
        <is>
          <t>No</t>
        </is>
      </c>
      <c r="AS177">
        <f>HYPERLINK("https://creighton-primo.hosted.exlibrisgroup.com/primo-explore/search?tab=default_tab&amp;search_scope=EVERYTHING&amp;vid=01CRU&amp;lang=en_US&amp;offset=0&amp;query=any,contains,991003530049702656","Catalog Record")</f>
        <v/>
      </c>
      <c r="AT177">
        <f>HYPERLINK("http://www.worldcat.org/oclc/46943338","WorldCat Record")</f>
        <v/>
      </c>
      <c r="AU177" t="inlineStr">
        <is>
          <t>36483847:eng</t>
        </is>
      </c>
      <c r="AV177" t="inlineStr">
        <is>
          <t>46943338</t>
        </is>
      </c>
      <c r="AW177" t="inlineStr">
        <is>
          <t>991003530049702656</t>
        </is>
      </c>
      <c r="AX177" t="inlineStr">
        <is>
          <t>991003530049702656</t>
        </is>
      </c>
      <c r="AY177" t="inlineStr">
        <is>
          <t>2256364550002656</t>
        </is>
      </c>
      <c r="AZ177" t="inlineStr">
        <is>
          <t>BOOK</t>
        </is>
      </c>
      <c r="BC177" t="inlineStr">
        <is>
          <t>32285004328778</t>
        </is>
      </c>
      <c r="BD177" t="inlineStr">
        <is>
          <t>893805880</t>
        </is>
      </c>
    </row>
    <row r="178">
      <c r="A178" t="inlineStr">
        <is>
          <t>No</t>
        </is>
      </c>
      <c r="B178" t="inlineStr">
        <is>
          <t>BX1406.2 .C365 1995</t>
        </is>
      </c>
      <c r="C178" t="inlineStr">
        <is>
          <t>0                      BX 1406200C  365         1995</t>
        </is>
      </c>
      <c r="D178" t="inlineStr">
        <is>
          <t>Catholicism, liberalism, and communitarianism : the Catholic intellectual tradition and the moral foundations of democracy / edited by Kenneth L. Grasso, Gerard V. Bradley, and Robert P. Hunt ; with a foreword by Richard John Neuhaus.</t>
        </is>
      </c>
      <c r="F178" t="inlineStr">
        <is>
          <t>No</t>
        </is>
      </c>
      <c r="G178" t="inlineStr">
        <is>
          <t>1</t>
        </is>
      </c>
      <c r="H178" t="inlineStr">
        <is>
          <t>No</t>
        </is>
      </c>
      <c r="I178" t="inlineStr">
        <is>
          <t>No</t>
        </is>
      </c>
      <c r="J178" t="inlineStr">
        <is>
          <t>0</t>
        </is>
      </c>
      <c r="L178" t="inlineStr">
        <is>
          <t>Lanham, Md. : Rowman &amp; Littlefield, c1995.</t>
        </is>
      </c>
      <c r="M178" t="inlineStr">
        <is>
          <t>1995</t>
        </is>
      </c>
      <c r="O178" t="inlineStr">
        <is>
          <t>eng</t>
        </is>
      </c>
      <c r="P178" t="inlineStr">
        <is>
          <t>mdu</t>
        </is>
      </c>
      <c r="R178" t="inlineStr">
        <is>
          <t xml:space="preserve">BX </t>
        </is>
      </c>
      <c r="S178" t="n">
        <v>4</v>
      </c>
      <c r="T178" t="n">
        <v>4</v>
      </c>
      <c r="U178" t="inlineStr">
        <is>
          <t>2006-04-15</t>
        </is>
      </c>
      <c r="V178" t="inlineStr">
        <is>
          <t>2006-04-15</t>
        </is>
      </c>
      <c r="W178" t="inlineStr">
        <is>
          <t>1996-10-11</t>
        </is>
      </c>
      <c r="X178" t="inlineStr">
        <is>
          <t>1996-10-11</t>
        </is>
      </c>
      <c r="Y178" t="n">
        <v>392</v>
      </c>
      <c r="Z178" t="n">
        <v>339</v>
      </c>
      <c r="AA178" t="n">
        <v>344</v>
      </c>
      <c r="AB178" t="n">
        <v>3</v>
      </c>
      <c r="AC178" t="n">
        <v>3</v>
      </c>
      <c r="AD178" t="n">
        <v>35</v>
      </c>
      <c r="AE178" t="n">
        <v>35</v>
      </c>
      <c r="AF178" t="n">
        <v>13</v>
      </c>
      <c r="AG178" t="n">
        <v>13</v>
      </c>
      <c r="AH178" t="n">
        <v>9</v>
      </c>
      <c r="AI178" t="n">
        <v>9</v>
      </c>
      <c r="AJ178" t="n">
        <v>20</v>
      </c>
      <c r="AK178" t="n">
        <v>20</v>
      </c>
      <c r="AL178" t="n">
        <v>2</v>
      </c>
      <c r="AM178" t="n">
        <v>2</v>
      </c>
      <c r="AN178" t="n">
        <v>1</v>
      </c>
      <c r="AO178" t="n">
        <v>1</v>
      </c>
      <c r="AP178" t="inlineStr">
        <is>
          <t>No</t>
        </is>
      </c>
      <c r="AQ178" t="inlineStr">
        <is>
          <t>Yes</t>
        </is>
      </c>
      <c r="AR178">
        <f>HYPERLINK("http://catalog.hathitrust.org/Record/003022513","HathiTrust Record")</f>
        <v/>
      </c>
      <c r="AS178">
        <f>HYPERLINK("https://creighton-primo.hosted.exlibrisgroup.com/primo-explore/search?tab=default_tab&amp;search_scope=EVERYTHING&amp;vid=01CRU&amp;lang=en_US&amp;offset=0&amp;query=any,contains,991002466719702656","Catalog Record")</f>
        <v/>
      </c>
      <c r="AT178">
        <f>HYPERLINK("http://www.worldcat.org/oclc/32132840","WorldCat Record")</f>
        <v/>
      </c>
      <c r="AU178" t="inlineStr">
        <is>
          <t>837035810:eng</t>
        </is>
      </c>
      <c r="AV178" t="inlineStr">
        <is>
          <t>32132840</t>
        </is>
      </c>
      <c r="AW178" t="inlineStr">
        <is>
          <t>991002466719702656</t>
        </is>
      </c>
      <c r="AX178" t="inlineStr">
        <is>
          <t>991002466719702656</t>
        </is>
      </c>
      <c r="AY178" t="inlineStr">
        <is>
          <t>2262164220002656</t>
        </is>
      </c>
      <c r="AZ178" t="inlineStr">
        <is>
          <t>BOOK</t>
        </is>
      </c>
      <c r="BB178" t="inlineStr">
        <is>
          <t>9780847679942</t>
        </is>
      </c>
      <c r="BC178" t="inlineStr">
        <is>
          <t>32285002365558</t>
        </is>
      </c>
      <c r="BD178" t="inlineStr">
        <is>
          <t>893504418</t>
        </is>
      </c>
    </row>
    <row r="179">
      <c r="A179" t="inlineStr">
        <is>
          <t>No</t>
        </is>
      </c>
      <c r="B179" t="inlineStr">
        <is>
          <t>BX1406.2 .C37 1976</t>
        </is>
      </c>
      <c r="C179" t="inlineStr">
        <is>
          <t>0                      BX 1406200C  37          1976</t>
        </is>
      </c>
      <c r="D179" t="inlineStr">
        <is>
          <t>Catholics in America, 1776-1976 / edited by Robert Trisco ; with a foreword by Edward A. McCarthy.</t>
        </is>
      </c>
      <c r="F179" t="inlineStr">
        <is>
          <t>No</t>
        </is>
      </c>
      <c r="G179" t="inlineStr">
        <is>
          <t>1</t>
        </is>
      </c>
      <c r="H179" t="inlineStr">
        <is>
          <t>No</t>
        </is>
      </c>
      <c r="I179" t="inlineStr">
        <is>
          <t>No</t>
        </is>
      </c>
      <c r="J179" t="inlineStr">
        <is>
          <t>0</t>
        </is>
      </c>
      <c r="L179" t="inlineStr">
        <is>
          <t>Washington, D.C. : National Conference of Catholic Bishops, Committee for the Bicentennial, 1976.</t>
        </is>
      </c>
      <c r="M179" t="inlineStr">
        <is>
          <t>1976</t>
        </is>
      </c>
      <c r="O179" t="inlineStr">
        <is>
          <t>eng</t>
        </is>
      </c>
      <c r="P179" t="inlineStr">
        <is>
          <t>dcu</t>
        </is>
      </c>
      <c r="R179" t="inlineStr">
        <is>
          <t xml:space="preserve">BX </t>
        </is>
      </c>
      <c r="S179" t="n">
        <v>4</v>
      </c>
      <c r="T179" t="n">
        <v>4</v>
      </c>
      <c r="U179" t="inlineStr">
        <is>
          <t>2006-04-15</t>
        </is>
      </c>
      <c r="V179" t="inlineStr">
        <is>
          <t>2006-04-15</t>
        </is>
      </c>
      <c r="W179" t="inlineStr">
        <is>
          <t>1990-03-20</t>
        </is>
      </c>
      <c r="X179" t="inlineStr">
        <is>
          <t>1990-03-20</t>
        </is>
      </c>
      <c r="Y179" t="n">
        <v>165</v>
      </c>
      <c r="Z179" t="n">
        <v>158</v>
      </c>
      <c r="AA179" t="n">
        <v>163</v>
      </c>
      <c r="AB179" t="n">
        <v>2</v>
      </c>
      <c r="AC179" t="n">
        <v>2</v>
      </c>
      <c r="AD179" t="n">
        <v>21</v>
      </c>
      <c r="AE179" t="n">
        <v>21</v>
      </c>
      <c r="AF179" t="n">
        <v>7</v>
      </c>
      <c r="AG179" t="n">
        <v>7</v>
      </c>
      <c r="AH179" t="n">
        <v>6</v>
      </c>
      <c r="AI179" t="n">
        <v>6</v>
      </c>
      <c r="AJ179" t="n">
        <v>15</v>
      </c>
      <c r="AK179" t="n">
        <v>15</v>
      </c>
      <c r="AL179" t="n">
        <v>0</v>
      </c>
      <c r="AM179" t="n">
        <v>0</v>
      </c>
      <c r="AN179" t="n">
        <v>0</v>
      </c>
      <c r="AO179" t="n">
        <v>0</v>
      </c>
      <c r="AP179" t="inlineStr">
        <is>
          <t>No</t>
        </is>
      </c>
      <c r="AQ179" t="inlineStr">
        <is>
          <t>Yes</t>
        </is>
      </c>
      <c r="AR179">
        <f>HYPERLINK("http://catalog.hathitrust.org/Record/006921641","HathiTrust Record")</f>
        <v/>
      </c>
      <c r="AS179">
        <f>HYPERLINK("https://creighton-primo.hosted.exlibrisgroup.com/primo-explore/search?tab=default_tab&amp;search_scope=EVERYTHING&amp;vid=01CRU&amp;lang=en_US&amp;offset=0&amp;query=any,contains,991000163369702656","Catalog Record")</f>
        <v/>
      </c>
      <c r="AT179">
        <f>HYPERLINK("http://www.worldcat.org/oclc/9281688","WorldCat Record")</f>
        <v/>
      </c>
      <c r="AU179" t="inlineStr">
        <is>
          <t>43106134:eng</t>
        </is>
      </c>
      <c r="AV179" t="inlineStr">
        <is>
          <t>9281688</t>
        </is>
      </c>
      <c r="AW179" t="inlineStr">
        <is>
          <t>991000163369702656</t>
        </is>
      </c>
      <c r="AX179" t="inlineStr">
        <is>
          <t>991000163369702656</t>
        </is>
      </c>
      <c r="AY179" t="inlineStr">
        <is>
          <t>2260319680002656</t>
        </is>
      </c>
      <c r="AZ179" t="inlineStr">
        <is>
          <t>BOOK</t>
        </is>
      </c>
      <c r="BC179" t="inlineStr">
        <is>
          <t>32285000087345</t>
        </is>
      </c>
      <c r="BD179" t="inlineStr">
        <is>
          <t>893890471</t>
        </is>
      </c>
    </row>
    <row r="180">
      <c r="A180" t="inlineStr">
        <is>
          <t>No</t>
        </is>
      </c>
      <c r="B180" t="inlineStr">
        <is>
          <t>BX1406.2 .C57 1986</t>
        </is>
      </c>
      <c r="C180" t="inlineStr">
        <is>
          <t>0                      BX 1406200C  57          1986</t>
        </is>
      </c>
      <c r="D180" t="inlineStr">
        <is>
          <t>Catholic America / John Cogley, Rodger Van Allen.</t>
        </is>
      </c>
      <c r="F180" t="inlineStr">
        <is>
          <t>No</t>
        </is>
      </c>
      <c r="G180" t="inlineStr">
        <is>
          <t>1</t>
        </is>
      </c>
      <c r="H180" t="inlineStr">
        <is>
          <t>No</t>
        </is>
      </c>
      <c r="I180" t="inlineStr">
        <is>
          <t>Yes</t>
        </is>
      </c>
      <c r="J180" t="inlineStr">
        <is>
          <t>0</t>
        </is>
      </c>
      <c r="K180" t="inlineStr">
        <is>
          <t>Cogley, John.</t>
        </is>
      </c>
      <c r="L180" t="inlineStr">
        <is>
          <t>Kansas City : Sheed &amp; Ward, 1986.</t>
        </is>
      </c>
      <c r="M180" t="inlineStr">
        <is>
          <t>1985</t>
        </is>
      </c>
      <c r="N180" t="inlineStr">
        <is>
          <t>Expanded and updated edition.</t>
        </is>
      </c>
      <c r="O180" t="inlineStr">
        <is>
          <t>eng</t>
        </is>
      </c>
      <c r="P180" t="inlineStr">
        <is>
          <t>mou</t>
        </is>
      </c>
      <c r="R180" t="inlineStr">
        <is>
          <t xml:space="preserve">BX </t>
        </is>
      </c>
      <c r="S180" t="n">
        <v>1</v>
      </c>
      <c r="T180" t="n">
        <v>1</v>
      </c>
      <c r="U180" t="inlineStr">
        <is>
          <t>1997-04-21</t>
        </is>
      </c>
      <c r="V180" t="inlineStr">
        <is>
          <t>1997-04-21</t>
        </is>
      </c>
      <c r="W180" t="inlineStr">
        <is>
          <t>1991-02-12</t>
        </is>
      </c>
      <c r="X180" t="inlineStr">
        <is>
          <t>1991-02-12</t>
        </is>
      </c>
      <c r="Y180" t="n">
        <v>44</v>
      </c>
      <c r="Z180" t="n">
        <v>44</v>
      </c>
      <c r="AA180" t="n">
        <v>762</v>
      </c>
      <c r="AB180" t="n">
        <v>1</v>
      </c>
      <c r="AC180" t="n">
        <v>5</v>
      </c>
      <c r="AD180" t="n">
        <v>5</v>
      </c>
      <c r="AE180" t="n">
        <v>42</v>
      </c>
      <c r="AF180" t="n">
        <v>2</v>
      </c>
      <c r="AG180" t="n">
        <v>16</v>
      </c>
      <c r="AH180" t="n">
        <v>0</v>
      </c>
      <c r="AI180" t="n">
        <v>9</v>
      </c>
      <c r="AJ180" t="n">
        <v>5</v>
      </c>
      <c r="AK180" t="n">
        <v>24</v>
      </c>
      <c r="AL180" t="n">
        <v>0</v>
      </c>
      <c r="AM180" t="n">
        <v>4</v>
      </c>
      <c r="AN180" t="n">
        <v>0</v>
      </c>
      <c r="AO180" t="n">
        <v>0</v>
      </c>
      <c r="AP180" t="inlineStr">
        <is>
          <t>No</t>
        </is>
      </c>
      <c r="AQ180" t="inlineStr">
        <is>
          <t>No</t>
        </is>
      </c>
      <c r="AS180">
        <f>HYPERLINK("https://creighton-primo.hosted.exlibrisgroup.com/primo-explore/search?tab=default_tab&amp;search_scope=EVERYTHING&amp;vid=01CRU&amp;lang=en_US&amp;offset=0&amp;query=any,contains,991000865249702656","Catalog Record")</f>
        <v/>
      </c>
      <c r="AT180">
        <f>HYPERLINK("http://www.worldcat.org/oclc/13738342","WorldCat Record")</f>
        <v/>
      </c>
      <c r="AU180" t="inlineStr">
        <is>
          <t>1563109:eng</t>
        </is>
      </c>
      <c r="AV180" t="inlineStr">
        <is>
          <t>13738342</t>
        </is>
      </c>
      <c r="AW180" t="inlineStr">
        <is>
          <t>991000865249702656</t>
        </is>
      </c>
      <c r="AX180" t="inlineStr">
        <is>
          <t>991000865249702656</t>
        </is>
      </c>
      <c r="AY180" t="inlineStr">
        <is>
          <t>2270774610002656</t>
        </is>
      </c>
      <c r="AZ180" t="inlineStr">
        <is>
          <t>BOOK</t>
        </is>
      </c>
      <c r="BB180" t="inlineStr">
        <is>
          <t>9780934134781</t>
        </is>
      </c>
      <c r="BC180" t="inlineStr">
        <is>
          <t>32285000506336</t>
        </is>
      </c>
      <c r="BD180" t="inlineStr">
        <is>
          <t>893528458</t>
        </is>
      </c>
    </row>
    <row r="181">
      <c r="A181" t="inlineStr">
        <is>
          <t>No</t>
        </is>
      </c>
      <c r="B181" t="inlineStr">
        <is>
          <t>BX1406.2 .C78 2001</t>
        </is>
      </c>
      <c r="C181" t="inlineStr">
        <is>
          <t>0                      BX 1406200C  78          2001</t>
        </is>
      </c>
      <c r="D181" t="inlineStr">
        <is>
          <t>Restless in the promised land : Catholics and the American dream : portraits of a spiritual quest from the time of the Puritans to the present / Jim Cullen.</t>
        </is>
      </c>
      <c r="F181" t="inlineStr">
        <is>
          <t>No</t>
        </is>
      </c>
      <c r="G181" t="inlineStr">
        <is>
          <t>1</t>
        </is>
      </c>
      <c r="H181" t="inlineStr">
        <is>
          <t>No</t>
        </is>
      </c>
      <c r="I181" t="inlineStr">
        <is>
          <t>No</t>
        </is>
      </c>
      <c r="J181" t="inlineStr">
        <is>
          <t>0</t>
        </is>
      </c>
      <c r="K181" t="inlineStr">
        <is>
          <t>Cullen, Jim, 1962-</t>
        </is>
      </c>
      <c r="L181" t="inlineStr">
        <is>
          <t>Franklin, Wis. : Sheed &amp; Ward, 2001.</t>
        </is>
      </c>
      <c r="M181" t="inlineStr">
        <is>
          <t>2001</t>
        </is>
      </c>
      <c r="O181" t="inlineStr">
        <is>
          <t>eng</t>
        </is>
      </c>
      <c r="P181" t="inlineStr">
        <is>
          <t>wiu</t>
        </is>
      </c>
      <c r="R181" t="inlineStr">
        <is>
          <t xml:space="preserve">BX </t>
        </is>
      </c>
      <c r="S181" t="n">
        <v>3</v>
      </c>
      <c r="T181" t="n">
        <v>3</v>
      </c>
      <c r="U181" t="inlineStr">
        <is>
          <t>2002-03-12</t>
        </is>
      </c>
      <c r="V181" t="inlineStr">
        <is>
          <t>2002-03-12</t>
        </is>
      </c>
      <c r="W181" t="inlineStr">
        <is>
          <t>2001-09-11</t>
        </is>
      </c>
      <c r="X181" t="inlineStr">
        <is>
          <t>2001-09-11</t>
        </is>
      </c>
      <c r="Y181" t="n">
        <v>101</v>
      </c>
      <c r="Z181" t="n">
        <v>95</v>
      </c>
      <c r="AA181" t="n">
        <v>100</v>
      </c>
      <c r="AB181" t="n">
        <v>1</v>
      </c>
      <c r="AC181" t="n">
        <v>1</v>
      </c>
      <c r="AD181" t="n">
        <v>15</v>
      </c>
      <c r="AE181" t="n">
        <v>15</v>
      </c>
      <c r="AF181" t="n">
        <v>7</v>
      </c>
      <c r="AG181" t="n">
        <v>7</v>
      </c>
      <c r="AH181" t="n">
        <v>6</v>
      </c>
      <c r="AI181" t="n">
        <v>6</v>
      </c>
      <c r="AJ181" t="n">
        <v>9</v>
      </c>
      <c r="AK181" t="n">
        <v>9</v>
      </c>
      <c r="AL181" t="n">
        <v>0</v>
      </c>
      <c r="AM181" t="n">
        <v>0</v>
      </c>
      <c r="AN181" t="n">
        <v>0</v>
      </c>
      <c r="AO181" t="n">
        <v>0</v>
      </c>
      <c r="AP181" t="inlineStr">
        <is>
          <t>No</t>
        </is>
      </c>
      <c r="AQ181" t="inlineStr">
        <is>
          <t>No</t>
        </is>
      </c>
      <c r="AS181">
        <f>HYPERLINK("https://creighton-primo.hosted.exlibrisgroup.com/primo-explore/search?tab=default_tab&amp;search_scope=EVERYTHING&amp;vid=01CRU&amp;lang=en_US&amp;offset=0&amp;query=any,contains,991003575119702656","Catalog Record")</f>
        <v/>
      </c>
      <c r="AT181">
        <f>HYPERLINK("http://www.worldcat.org/oclc/45862093","WorldCat Record")</f>
        <v/>
      </c>
      <c r="AU181" t="inlineStr">
        <is>
          <t>35304593:eng</t>
        </is>
      </c>
      <c r="AV181" t="inlineStr">
        <is>
          <t>45862093</t>
        </is>
      </c>
      <c r="AW181" t="inlineStr">
        <is>
          <t>991003575119702656</t>
        </is>
      </c>
      <c r="AX181" t="inlineStr">
        <is>
          <t>991003575119702656</t>
        </is>
      </c>
      <c r="AY181" t="inlineStr">
        <is>
          <t>2254745980002656</t>
        </is>
      </c>
      <c r="AZ181" t="inlineStr">
        <is>
          <t>BOOK</t>
        </is>
      </c>
      <c r="BB181" t="inlineStr">
        <is>
          <t>9781580510936</t>
        </is>
      </c>
      <c r="BC181" t="inlineStr">
        <is>
          <t>32285004390257</t>
        </is>
      </c>
      <c r="BD181" t="inlineStr">
        <is>
          <t>893793757</t>
        </is>
      </c>
    </row>
    <row r="182">
      <c r="A182" t="inlineStr">
        <is>
          <t>No</t>
        </is>
      </c>
      <c r="B182" t="inlineStr">
        <is>
          <t>BX1406.2 .D39 1990</t>
        </is>
      </c>
      <c r="C182" t="inlineStr">
        <is>
          <t>0                      BX 1406200D  39          1990</t>
        </is>
      </c>
      <c r="D182" t="inlineStr">
        <is>
          <t>Why Catholics can't sing : the culture of Catholicism and the triumph of bad taste / Thomas Day.</t>
        </is>
      </c>
      <c r="F182" t="inlineStr">
        <is>
          <t>No</t>
        </is>
      </c>
      <c r="G182" t="inlineStr">
        <is>
          <t>1</t>
        </is>
      </c>
      <c r="H182" t="inlineStr">
        <is>
          <t>No</t>
        </is>
      </c>
      <c r="I182" t="inlineStr">
        <is>
          <t>No</t>
        </is>
      </c>
      <c r="J182" t="inlineStr">
        <is>
          <t>0</t>
        </is>
      </c>
      <c r="K182" t="inlineStr">
        <is>
          <t>Day, Thomas.</t>
        </is>
      </c>
      <c r="L182" t="inlineStr">
        <is>
          <t>New York : Crossroad, 1990.</t>
        </is>
      </c>
      <c r="M182" t="inlineStr">
        <is>
          <t>1990</t>
        </is>
      </c>
      <c r="O182" t="inlineStr">
        <is>
          <t>eng</t>
        </is>
      </c>
      <c r="P182" t="inlineStr">
        <is>
          <t>nyu</t>
        </is>
      </c>
      <c r="R182" t="inlineStr">
        <is>
          <t xml:space="preserve">BX </t>
        </is>
      </c>
      <c r="S182" t="n">
        <v>4</v>
      </c>
      <c r="T182" t="n">
        <v>4</v>
      </c>
      <c r="U182" t="inlineStr">
        <is>
          <t>1994-05-02</t>
        </is>
      </c>
      <c r="V182" t="inlineStr">
        <is>
          <t>1994-05-02</t>
        </is>
      </c>
      <c r="W182" t="inlineStr">
        <is>
          <t>1991-01-22</t>
        </is>
      </c>
      <c r="X182" t="inlineStr">
        <is>
          <t>1991-01-22</t>
        </is>
      </c>
      <c r="Y182" t="n">
        <v>473</v>
      </c>
      <c r="Z182" t="n">
        <v>445</v>
      </c>
      <c r="AA182" t="n">
        <v>544</v>
      </c>
      <c r="AB182" t="n">
        <v>3</v>
      </c>
      <c r="AC182" t="n">
        <v>5</v>
      </c>
      <c r="AD182" t="n">
        <v>25</v>
      </c>
      <c r="AE182" t="n">
        <v>30</v>
      </c>
      <c r="AF182" t="n">
        <v>11</v>
      </c>
      <c r="AG182" t="n">
        <v>13</v>
      </c>
      <c r="AH182" t="n">
        <v>5</v>
      </c>
      <c r="AI182" t="n">
        <v>7</v>
      </c>
      <c r="AJ182" t="n">
        <v>18</v>
      </c>
      <c r="AK182" t="n">
        <v>20</v>
      </c>
      <c r="AL182" t="n">
        <v>0</v>
      </c>
      <c r="AM182" t="n">
        <v>1</v>
      </c>
      <c r="AN182" t="n">
        <v>0</v>
      </c>
      <c r="AO182" t="n">
        <v>0</v>
      </c>
      <c r="AP182" t="inlineStr">
        <is>
          <t>No</t>
        </is>
      </c>
      <c r="AQ182" t="inlineStr">
        <is>
          <t>No</t>
        </is>
      </c>
      <c r="AS182">
        <f>HYPERLINK("https://creighton-primo.hosted.exlibrisgroup.com/primo-explore/search?tab=default_tab&amp;search_scope=EVERYTHING&amp;vid=01CRU&amp;lang=en_US&amp;offset=0&amp;query=any,contains,991001700249702656","Catalog Record")</f>
        <v/>
      </c>
      <c r="AT182">
        <f>HYPERLINK("http://www.worldcat.org/oclc/21522598","WorldCat Record")</f>
        <v/>
      </c>
      <c r="AU182" t="inlineStr">
        <is>
          <t>1020764:eng</t>
        </is>
      </c>
      <c r="AV182" t="inlineStr">
        <is>
          <t>21522598</t>
        </is>
      </c>
      <c r="AW182" t="inlineStr">
        <is>
          <t>991001700249702656</t>
        </is>
      </c>
      <c r="AX182" t="inlineStr">
        <is>
          <t>991001700249702656</t>
        </is>
      </c>
      <c r="AY182" t="inlineStr">
        <is>
          <t>2258498240002656</t>
        </is>
      </c>
      <c r="AZ182" t="inlineStr">
        <is>
          <t>BOOK</t>
        </is>
      </c>
      <c r="BB182" t="inlineStr">
        <is>
          <t>9780824510350</t>
        </is>
      </c>
      <c r="BC182" t="inlineStr">
        <is>
          <t>32285000409937</t>
        </is>
      </c>
      <c r="BD182" t="inlineStr">
        <is>
          <t>893334504</t>
        </is>
      </c>
    </row>
    <row r="183">
      <c r="A183" t="inlineStr">
        <is>
          <t>No</t>
        </is>
      </c>
      <c r="B183" t="inlineStr">
        <is>
          <t>BX1406.2 .D53 1999</t>
        </is>
      </c>
      <c r="C183" t="inlineStr">
        <is>
          <t>0                      BX 1406200D  53          1999</t>
        </is>
      </c>
      <c r="D183" t="inlineStr">
        <is>
          <t>Catholic identity : balancing reason, faith, and power / Michele Dillon.</t>
        </is>
      </c>
      <c r="F183" t="inlineStr">
        <is>
          <t>No</t>
        </is>
      </c>
      <c r="G183" t="inlineStr">
        <is>
          <t>1</t>
        </is>
      </c>
      <c r="H183" t="inlineStr">
        <is>
          <t>No</t>
        </is>
      </c>
      <c r="I183" t="inlineStr">
        <is>
          <t>No</t>
        </is>
      </c>
      <c r="J183" t="inlineStr">
        <is>
          <t>0</t>
        </is>
      </c>
      <c r="K183" t="inlineStr">
        <is>
          <t>Dillon, Michele, 1960-</t>
        </is>
      </c>
      <c r="L183" t="inlineStr">
        <is>
          <t>Cambridge ; New York : Cambridge University Press, 1999.</t>
        </is>
      </c>
      <c r="M183" t="inlineStr">
        <is>
          <t>1999</t>
        </is>
      </c>
      <c r="O183" t="inlineStr">
        <is>
          <t>eng</t>
        </is>
      </c>
      <c r="P183" t="inlineStr">
        <is>
          <t>enk</t>
        </is>
      </c>
      <c r="R183" t="inlineStr">
        <is>
          <t xml:space="preserve">BX </t>
        </is>
      </c>
      <c r="S183" t="n">
        <v>9</v>
      </c>
      <c r="T183" t="n">
        <v>9</v>
      </c>
      <c r="U183" t="inlineStr">
        <is>
          <t>2006-08-30</t>
        </is>
      </c>
      <c r="V183" t="inlineStr">
        <is>
          <t>2006-08-30</t>
        </is>
      </c>
      <c r="W183" t="inlineStr">
        <is>
          <t>1999-09-14</t>
        </is>
      </c>
      <c r="X183" t="inlineStr">
        <is>
          <t>1999-09-14</t>
        </is>
      </c>
      <c r="Y183" t="n">
        <v>405</v>
      </c>
      <c r="Z183" t="n">
        <v>334</v>
      </c>
      <c r="AA183" t="n">
        <v>353</v>
      </c>
      <c r="AB183" t="n">
        <v>3</v>
      </c>
      <c r="AC183" t="n">
        <v>3</v>
      </c>
      <c r="AD183" t="n">
        <v>36</v>
      </c>
      <c r="AE183" t="n">
        <v>36</v>
      </c>
      <c r="AF183" t="n">
        <v>16</v>
      </c>
      <c r="AG183" t="n">
        <v>16</v>
      </c>
      <c r="AH183" t="n">
        <v>8</v>
      </c>
      <c r="AI183" t="n">
        <v>8</v>
      </c>
      <c r="AJ183" t="n">
        <v>22</v>
      </c>
      <c r="AK183" t="n">
        <v>22</v>
      </c>
      <c r="AL183" t="n">
        <v>2</v>
      </c>
      <c r="AM183" t="n">
        <v>2</v>
      </c>
      <c r="AN183" t="n">
        <v>0</v>
      </c>
      <c r="AO183" t="n">
        <v>0</v>
      </c>
      <c r="AP183" t="inlineStr">
        <is>
          <t>No</t>
        </is>
      </c>
      <c r="AQ183" t="inlineStr">
        <is>
          <t>No</t>
        </is>
      </c>
      <c r="AS183">
        <f>HYPERLINK("https://creighton-primo.hosted.exlibrisgroup.com/primo-explore/search?tab=default_tab&amp;search_scope=EVERYTHING&amp;vid=01CRU&amp;lang=en_US&amp;offset=0&amp;query=any,contains,991002989339702656","Catalog Record")</f>
        <v/>
      </c>
      <c r="AT183">
        <f>HYPERLINK("http://www.worldcat.org/oclc/40339691","WorldCat Record")</f>
        <v/>
      </c>
      <c r="AU183" t="inlineStr">
        <is>
          <t>837018204:eng</t>
        </is>
      </c>
      <c r="AV183" t="inlineStr">
        <is>
          <t>40339691</t>
        </is>
      </c>
      <c r="AW183" t="inlineStr">
        <is>
          <t>991002989339702656</t>
        </is>
      </c>
      <c r="AX183" t="inlineStr">
        <is>
          <t>991002989339702656</t>
        </is>
      </c>
      <c r="AY183" t="inlineStr">
        <is>
          <t>2262032070002656</t>
        </is>
      </c>
      <c r="AZ183" t="inlineStr">
        <is>
          <t>BOOK</t>
        </is>
      </c>
      <c r="BB183" t="inlineStr">
        <is>
          <t>9780521630443</t>
        </is>
      </c>
      <c r="BC183" t="inlineStr">
        <is>
          <t>32285003588844</t>
        </is>
      </c>
      <c r="BD183" t="inlineStr">
        <is>
          <t>893348206</t>
        </is>
      </c>
    </row>
    <row r="184">
      <c r="A184" t="inlineStr">
        <is>
          <t>No</t>
        </is>
      </c>
      <c r="B184" t="inlineStr">
        <is>
          <t>BX1406.2 .D84 1995</t>
        </is>
      </c>
      <c r="C184" t="inlineStr">
        <is>
          <t>0                      BX 1406200D  84          1995</t>
        </is>
      </c>
      <c r="D184" t="inlineStr">
        <is>
          <t>An American Emmaus : faith and sacrament in the American culture / by Regis A. Duffy.</t>
        </is>
      </c>
      <c r="F184" t="inlineStr">
        <is>
          <t>No</t>
        </is>
      </c>
      <c r="G184" t="inlineStr">
        <is>
          <t>1</t>
        </is>
      </c>
      <c r="H184" t="inlineStr">
        <is>
          <t>No</t>
        </is>
      </c>
      <c r="I184" t="inlineStr">
        <is>
          <t>No</t>
        </is>
      </c>
      <c r="J184" t="inlineStr">
        <is>
          <t>0</t>
        </is>
      </c>
      <c r="K184" t="inlineStr">
        <is>
          <t>Duffy, Regis A.</t>
        </is>
      </c>
      <c r="L184" t="inlineStr">
        <is>
          <t>New York : Crossroad, 1995.</t>
        </is>
      </c>
      <c r="M184" t="inlineStr">
        <is>
          <t>1995</t>
        </is>
      </c>
      <c r="O184" t="inlineStr">
        <is>
          <t>eng</t>
        </is>
      </c>
      <c r="P184" t="inlineStr">
        <is>
          <t>nyu</t>
        </is>
      </c>
      <c r="R184" t="inlineStr">
        <is>
          <t xml:space="preserve">BX </t>
        </is>
      </c>
      <c r="S184" t="n">
        <v>5</v>
      </c>
      <c r="T184" t="n">
        <v>5</v>
      </c>
      <c r="U184" t="inlineStr">
        <is>
          <t>1999-02-02</t>
        </is>
      </c>
      <c r="V184" t="inlineStr">
        <is>
          <t>1999-02-02</t>
        </is>
      </c>
      <c r="W184" t="inlineStr">
        <is>
          <t>1996-05-15</t>
        </is>
      </c>
      <c r="X184" t="inlineStr">
        <is>
          <t>1996-05-15</t>
        </is>
      </c>
      <c r="Y184" t="n">
        <v>192</v>
      </c>
      <c r="Z184" t="n">
        <v>178</v>
      </c>
      <c r="AA184" t="n">
        <v>186</v>
      </c>
      <c r="AB184" t="n">
        <v>2</v>
      </c>
      <c r="AC184" t="n">
        <v>2</v>
      </c>
      <c r="AD184" t="n">
        <v>26</v>
      </c>
      <c r="AE184" t="n">
        <v>27</v>
      </c>
      <c r="AF184" t="n">
        <v>8</v>
      </c>
      <c r="AG184" t="n">
        <v>9</v>
      </c>
      <c r="AH184" t="n">
        <v>5</v>
      </c>
      <c r="AI184" t="n">
        <v>6</v>
      </c>
      <c r="AJ184" t="n">
        <v>18</v>
      </c>
      <c r="AK184" t="n">
        <v>18</v>
      </c>
      <c r="AL184" t="n">
        <v>1</v>
      </c>
      <c r="AM184" t="n">
        <v>1</v>
      </c>
      <c r="AN184" t="n">
        <v>0</v>
      </c>
      <c r="AO184" t="n">
        <v>0</v>
      </c>
      <c r="AP184" t="inlineStr">
        <is>
          <t>No</t>
        </is>
      </c>
      <c r="AQ184" t="inlineStr">
        <is>
          <t>Yes</t>
        </is>
      </c>
      <c r="AR184">
        <f>HYPERLINK("http://catalog.hathitrust.org/Record/003019599","HathiTrust Record")</f>
        <v/>
      </c>
      <c r="AS184">
        <f>HYPERLINK("https://creighton-primo.hosted.exlibrisgroup.com/primo-explore/search?tab=default_tab&amp;search_scope=EVERYTHING&amp;vid=01CRU&amp;lang=en_US&amp;offset=0&amp;query=any,contains,991002507419702656","Catalog Record")</f>
        <v/>
      </c>
      <c r="AT184">
        <f>HYPERLINK("http://www.worldcat.org/oclc/32591165","WorldCat Record")</f>
        <v/>
      </c>
      <c r="AU184" t="inlineStr">
        <is>
          <t>474051884:eng</t>
        </is>
      </c>
      <c r="AV184" t="inlineStr">
        <is>
          <t>32591165</t>
        </is>
      </c>
      <c r="AW184" t="inlineStr">
        <is>
          <t>991002507419702656</t>
        </is>
      </c>
      <c r="AX184" t="inlineStr">
        <is>
          <t>991002507419702656</t>
        </is>
      </c>
      <c r="AY184" t="inlineStr">
        <is>
          <t>2269628890002656</t>
        </is>
      </c>
      <c r="AZ184" t="inlineStr">
        <is>
          <t>BOOK</t>
        </is>
      </c>
      <c r="BB184" t="inlineStr">
        <is>
          <t>9780824515409</t>
        </is>
      </c>
      <c r="BC184" t="inlineStr">
        <is>
          <t>32285002168119</t>
        </is>
      </c>
      <c r="BD184" t="inlineStr">
        <is>
          <t>893903935</t>
        </is>
      </c>
    </row>
    <row r="185">
      <c r="A185" t="inlineStr">
        <is>
          <t>No</t>
        </is>
      </c>
      <c r="B185" t="inlineStr">
        <is>
          <t>BX1406.2 .E23 1988</t>
        </is>
      </c>
      <c r="C185" t="inlineStr">
        <is>
          <t>0                      BX 1406200E  23          1988</t>
        </is>
      </c>
      <c r="D185" t="inlineStr">
        <is>
          <t>Early American Catholicism, 1634-1820 : selected historical essays / edited with an introduction by Timothy Walch.</t>
        </is>
      </c>
      <c r="F185" t="inlineStr">
        <is>
          <t>No</t>
        </is>
      </c>
      <c r="G185" t="inlineStr">
        <is>
          <t>1</t>
        </is>
      </c>
      <c r="H185" t="inlineStr">
        <is>
          <t>No</t>
        </is>
      </c>
      <c r="I185" t="inlineStr">
        <is>
          <t>No</t>
        </is>
      </c>
      <c r="J185" t="inlineStr">
        <is>
          <t>0</t>
        </is>
      </c>
      <c r="L185" t="inlineStr">
        <is>
          <t>New York : Garland, 1988.</t>
        </is>
      </c>
      <c r="M185" t="inlineStr">
        <is>
          <t>1988</t>
        </is>
      </c>
      <c r="O185" t="inlineStr">
        <is>
          <t>eng</t>
        </is>
      </c>
      <c r="P185" t="inlineStr">
        <is>
          <t>nyu</t>
        </is>
      </c>
      <c r="Q185" t="inlineStr">
        <is>
          <t>The Heritage of American Catholicism</t>
        </is>
      </c>
      <c r="R185" t="inlineStr">
        <is>
          <t xml:space="preserve">BX </t>
        </is>
      </c>
      <c r="S185" t="n">
        <v>5</v>
      </c>
      <c r="T185" t="n">
        <v>5</v>
      </c>
      <c r="U185" t="inlineStr">
        <is>
          <t>2008-07-09</t>
        </is>
      </c>
      <c r="V185" t="inlineStr">
        <is>
          <t>2008-07-09</t>
        </is>
      </c>
      <c r="W185" t="inlineStr">
        <is>
          <t>1991-05-24</t>
        </is>
      </c>
      <c r="X185" t="inlineStr">
        <is>
          <t>1991-05-24</t>
        </is>
      </c>
      <c r="Y185" t="n">
        <v>136</v>
      </c>
      <c r="Z185" t="n">
        <v>124</v>
      </c>
      <c r="AA185" t="n">
        <v>124</v>
      </c>
      <c r="AB185" t="n">
        <v>1</v>
      </c>
      <c r="AC185" t="n">
        <v>1</v>
      </c>
      <c r="AD185" t="n">
        <v>17</v>
      </c>
      <c r="AE185" t="n">
        <v>17</v>
      </c>
      <c r="AF185" t="n">
        <v>5</v>
      </c>
      <c r="AG185" t="n">
        <v>5</v>
      </c>
      <c r="AH185" t="n">
        <v>5</v>
      </c>
      <c r="AI185" t="n">
        <v>5</v>
      </c>
      <c r="AJ185" t="n">
        <v>12</v>
      </c>
      <c r="AK185" t="n">
        <v>12</v>
      </c>
      <c r="AL185" t="n">
        <v>0</v>
      </c>
      <c r="AM185" t="n">
        <v>0</v>
      </c>
      <c r="AN185" t="n">
        <v>0</v>
      </c>
      <c r="AO185" t="n">
        <v>0</v>
      </c>
      <c r="AP185" t="inlineStr">
        <is>
          <t>No</t>
        </is>
      </c>
      <c r="AQ185" t="inlineStr">
        <is>
          <t>No</t>
        </is>
      </c>
      <c r="AS185">
        <f>HYPERLINK("https://creighton-primo.hosted.exlibrisgroup.com/primo-explore/search?tab=default_tab&amp;search_scope=EVERYTHING&amp;vid=01CRU&amp;lang=en_US&amp;offset=0&amp;query=any,contains,991001343999702656","Catalog Record")</f>
        <v/>
      </c>
      <c r="AT185">
        <f>HYPERLINK("http://www.worldcat.org/oclc/18411476","WorldCat Record")</f>
        <v/>
      </c>
      <c r="AU185" t="inlineStr">
        <is>
          <t>836719802:eng</t>
        </is>
      </c>
      <c r="AV185" t="inlineStr">
        <is>
          <t>18411476</t>
        </is>
      </c>
      <c r="AW185" t="inlineStr">
        <is>
          <t>991001343999702656</t>
        </is>
      </c>
      <c r="AX185" t="inlineStr">
        <is>
          <t>991001343999702656</t>
        </is>
      </c>
      <c r="AY185" t="inlineStr">
        <is>
          <t>2255203480002656</t>
        </is>
      </c>
      <c r="AZ185" t="inlineStr">
        <is>
          <t>BOOK</t>
        </is>
      </c>
      <c r="BB185" t="inlineStr">
        <is>
          <t>9780824040758</t>
        </is>
      </c>
      <c r="BC185" t="inlineStr">
        <is>
          <t>32285000524933</t>
        </is>
      </c>
      <c r="BD185" t="inlineStr">
        <is>
          <t>893803563</t>
        </is>
      </c>
    </row>
    <row r="186">
      <c r="A186" t="inlineStr">
        <is>
          <t>No</t>
        </is>
      </c>
      <c r="B186" t="inlineStr">
        <is>
          <t>BX1406.2 .F5 1965</t>
        </is>
      </c>
      <c r="C186" t="inlineStr">
        <is>
          <t>0                      BX 1406200F  5           1965</t>
        </is>
      </c>
      <c r="D186" t="inlineStr">
        <is>
          <t>Priest and people / by Joseph H. Fichter.</t>
        </is>
      </c>
      <c r="F186" t="inlineStr">
        <is>
          <t>No</t>
        </is>
      </c>
      <c r="G186" t="inlineStr">
        <is>
          <t>1</t>
        </is>
      </c>
      <c r="H186" t="inlineStr">
        <is>
          <t>No</t>
        </is>
      </c>
      <c r="I186" t="inlineStr">
        <is>
          <t>No</t>
        </is>
      </c>
      <c r="J186" t="inlineStr">
        <is>
          <t>0</t>
        </is>
      </c>
      <c r="K186" t="inlineStr">
        <is>
          <t>Fichter, Joseph Henry, 1908-1994.</t>
        </is>
      </c>
      <c r="L186" t="inlineStr">
        <is>
          <t>New York : Sheed and Ward, [1965]</t>
        </is>
      </c>
      <c r="M186" t="inlineStr">
        <is>
          <t>1965</t>
        </is>
      </c>
      <c r="O186" t="inlineStr">
        <is>
          <t>eng</t>
        </is>
      </c>
      <c r="P186" t="inlineStr">
        <is>
          <t xml:space="preserve">xx </t>
        </is>
      </c>
      <c r="R186" t="inlineStr">
        <is>
          <t xml:space="preserve">BX </t>
        </is>
      </c>
      <c r="S186" t="n">
        <v>2</v>
      </c>
      <c r="T186" t="n">
        <v>2</v>
      </c>
      <c r="U186" t="inlineStr">
        <is>
          <t>1994-02-20</t>
        </is>
      </c>
      <c r="V186" t="inlineStr">
        <is>
          <t>1994-02-20</t>
        </is>
      </c>
      <c r="W186" t="inlineStr">
        <is>
          <t>1991-02-12</t>
        </is>
      </c>
      <c r="X186" t="inlineStr">
        <is>
          <t>1991-02-12</t>
        </is>
      </c>
      <c r="Y186" t="n">
        <v>339</v>
      </c>
      <c r="Z186" t="n">
        <v>282</v>
      </c>
      <c r="AA186" t="n">
        <v>288</v>
      </c>
      <c r="AB186" t="n">
        <v>2</v>
      </c>
      <c r="AC186" t="n">
        <v>2</v>
      </c>
      <c r="AD186" t="n">
        <v>28</v>
      </c>
      <c r="AE186" t="n">
        <v>28</v>
      </c>
      <c r="AF186" t="n">
        <v>10</v>
      </c>
      <c r="AG186" t="n">
        <v>10</v>
      </c>
      <c r="AH186" t="n">
        <v>7</v>
      </c>
      <c r="AI186" t="n">
        <v>7</v>
      </c>
      <c r="AJ186" t="n">
        <v>22</v>
      </c>
      <c r="AK186" t="n">
        <v>22</v>
      </c>
      <c r="AL186" t="n">
        <v>0</v>
      </c>
      <c r="AM186" t="n">
        <v>0</v>
      </c>
      <c r="AN186" t="n">
        <v>0</v>
      </c>
      <c r="AO186" t="n">
        <v>0</v>
      </c>
      <c r="AP186" t="inlineStr">
        <is>
          <t>No</t>
        </is>
      </c>
      <c r="AQ186" t="inlineStr">
        <is>
          <t>No</t>
        </is>
      </c>
      <c r="AS186">
        <f>HYPERLINK("https://creighton-primo.hosted.exlibrisgroup.com/primo-explore/search?tab=default_tab&amp;search_scope=EVERYTHING&amp;vid=01CRU&amp;lang=en_US&amp;offset=0&amp;query=any,contains,991003461859702656","Catalog Record")</f>
        <v/>
      </c>
      <c r="AT186">
        <f>HYPERLINK("http://www.worldcat.org/oclc/1003746","WorldCat Record")</f>
        <v/>
      </c>
      <c r="AU186" t="inlineStr">
        <is>
          <t>1919355:eng</t>
        </is>
      </c>
      <c r="AV186" t="inlineStr">
        <is>
          <t>1003746</t>
        </is>
      </c>
      <c r="AW186" t="inlineStr">
        <is>
          <t>991003461859702656</t>
        </is>
      </c>
      <c r="AX186" t="inlineStr">
        <is>
          <t>991003461859702656</t>
        </is>
      </c>
      <c r="AY186" t="inlineStr">
        <is>
          <t>2255691700002656</t>
        </is>
      </c>
      <c r="AZ186" t="inlineStr">
        <is>
          <t>BOOK</t>
        </is>
      </c>
      <c r="BC186" t="inlineStr">
        <is>
          <t>32285000506401</t>
        </is>
      </c>
      <c r="BD186" t="inlineStr">
        <is>
          <t>893627592</t>
        </is>
      </c>
    </row>
    <row r="187">
      <c r="A187" t="inlineStr">
        <is>
          <t>No</t>
        </is>
      </c>
      <c r="B187" t="inlineStr">
        <is>
          <t>BX1406.2 .F514 1993</t>
        </is>
      </c>
      <c r="C187" t="inlineStr">
        <is>
          <t>0                      BX 1406200F  514         1993</t>
        </is>
      </c>
      <c r="D187" t="inlineStr">
        <is>
          <t>The sociology of good works : research in Catholic America / Joseph H. Fichter ; foreword by Paul M. Roman.</t>
        </is>
      </c>
      <c r="F187" t="inlineStr">
        <is>
          <t>No</t>
        </is>
      </c>
      <c r="G187" t="inlineStr">
        <is>
          <t>1</t>
        </is>
      </c>
      <c r="H187" t="inlineStr">
        <is>
          <t>No</t>
        </is>
      </c>
      <c r="I187" t="inlineStr">
        <is>
          <t>No</t>
        </is>
      </c>
      <c r="J187" t="inlineStr">
        <is>
          <t>0</t>
        </is>
      </c>
      <c r="K187" t="inlineStr">
        <is>
          <t>Fichter, Joseph Henry, 1908-1994.</t>
        </is>
      </c>
      <c r="L187" t="inlineStr">
        <is>
          <t>Chicago : Loyola University Press, c1993.</t>
        </is>
      </c>
      <c r="M187" t="inlineStr">
        <is>
          <t>1993</t>
        </is>
      </c>
      <c r="O187" t="inlineStr">
        <is>
          <t>eng</t>
        </is>
      </c>
      <c r="P187" t="inlineStr">
        <is>
          <t>ilu</t>
        </is>
      </c>
      <c r="R187" t="inlineStr">
        <is>
          <t xml:space="preserve">BX </t>
        </is>
      </c>
      <c r="S187" t="n">
        <v>1</v>
      </c>
      <c r="T187" t="n">
        <v>1</v>
      </c>
      <c r="U187" t="inlineStr">
        <is>
          <t>2004-04-15</t>
        </is>
      </c>
      <c r="V187" t="inlineStr">
        <is>
          <t>2004-04-15</t>
        </is>
      </c>
      <c r="W187" t="inlineStr">
        <is>
          <t>1994-08-08</t>
        </is>
      </c>
      <c r="X187" t="inlineStr">
        <is>
          <t>1994-08-08</t>
        </is>
      </c>
      <c r="Y187" t="n">
        <v>184</v>
      </c>
      <c r="Z187" t="n">
        <v>169</v>
      </c>
      <c r="AA187" t="n">
        <v>176</v>
      </c>
      <c r="AB187" t="n">
        <v>3</v>
      </c>
      <c r="AC187" t="n">
        <v>3</v>
      </c>
      <c r="AD187" t="n">
        <v>21</v>
      </c>
      <c r="AE187" t="n">
        <v>21</v>
      </c>
      <c r="AF187" t="n">
        <v>6</v>
      </c>
      <c r="AG187" t="n">
        <v>6</v>
      </c>
      <c r="AH187" t="n">
        <v>7</v>
      </c>
      <c r="AI187" t="n">
        <v>7</v>
      </c>
      <c r="AJ187" t="n">
        <v>12</v>
      </c>
      <c r="AK187" t="n">
        <v>12</v>
      </c>
      <c r="AL187" t="n">
        <v>2</v>
      </c>
      <c r="AM187" t="n">
        <v>2</v>
      </c>
      <c r="AN187" t="n">
        <v>0</v>
      </c>
      <c r="AO187" t="n">
        <v>0</v>
      </c>
      <c r="AP187" t="inlineStr">
        <is>
          <t>No</t>
        </is>
      </c>
      <c r="AQ187" t="inlineStr">
        <is>
          <t>Yes</t>
        </is>
      </c>
      <c r="AR187">
        <f>HYPERLINK("http://catalog.hathitrust.org/Record/002788147","HathiTrust Record")</f>
        <v/>
      </c>
      <c r="AS187">
        <f>HYPERLINK("https://creighton-primo.hosted.exlibrisgroup.com/primo-explore/search?tab=default_tab&amp;search_scope=EVERYTHING&amp;vid=01CRU&amp;lang=en_US&amp;offset=0&amp;query=any,contains,991002180879702656","Catalog Record")</f>
        <v/>
      </c>
      <c r="AT187">
        <f>HYPERLINK("http://www.worldcat.org/oclc/28067103","WorldCat Record")</f>
        <v/>
      </c>
      <c r="AU187" t="inlineStr">
        <is>
          <t>350566229:eng</t>
        </is>
      </c>
      <c r="AV187" t="inlineStr">
        <is>
          <t>28067103</t>
        </is>
      </c>
      <c r="AW187" t="inlineStr">
        <is>
          <t>991002180879702656</t>
        </is>
      </c>
      <c r="AX187" t="inlineStr">
        <is>
          <t>991002180879702656</t>
        </is>
      </c>
      <c r="AY187" t="inlineStr">
        <is>
          <t>2259400260002656</t>
        </is>
      </c>
      <c r="AZ187" t="inlineStr">
        <is>
          <t>BOOK</t>
        </is>
      </c>
      <c r="BB187" t="inlineStr">
        <is>
          <t>9780829407518</t>
        </is>
      </c>
      <c r="BC187" t="inlineStr">
        <is>
          <t>32285001942001</t>
        </is>
      </c>
      <c r="BD187" t="inlineStr">
        <is>
          <t>893439849</t>
        </is>
      </c>
    </row>
    <row r="188">
      <c r="A188" t="inlineStr">
        <is>
          <t>No</t>
        </is>
      </c>
      <c r="B188" t="inlineStr">
        <is>
          <t>BX1406.2 .F63 1982</t>
        </is>
      </c>
      <c r="C188" t="inlineStr">
        <is>
          <t>0                      BX 1406200F  63          1982</t>
        </is>
      </c>
      <c r="D188" t="inlineStr">
        <is>
          <t>The Vatican and the American hierarchy from 1870 to 1965 / by Gerald P. Fogarty.</t>
        </is>
      </c>
      <c r="F188" t="inlineStr">
        <is>
          <t>No</t>
        </is>
      </c>
      <c r="G188" t="inlineStr">
        <is>
          <t>1</t>
        </is>
      </c>
      <c r="H188" t="inlineStr">
        <is>
          <t>No</t>
        </is>
      </c>
      <c r="I188" t="inlineStr">
        <is>
          <t>No</t>
        </is>
      </c>
      <c r="J188" t="inlineStr">
        <is>
          <t>0</t>
        </is>
      </c>
      <c r="K188" t="inlineStr">
        <is>
          <t>Fogarty, Gerald P.</t>
        </is>
      </c>
      <c r="L188" t="inlineStr">
        <is>
          <t>Stuttgart : Hiersemann, 1982.</t>
        </is>
      </c>
      <c r="M188" t="inlineStr">
        <is>
          <t>1982</t>
        </is>
      </c>
      <c r="O188" t="inlineStr">
        <is>
          <t>eng</t>
        </is>
      </c>
      <c r="P188" t="inlineStr">
        <is>
          <t xml:space="preserve">gw </t>
        </is>
      </c>
      <c r="Q188" t="inlineStr">
        <is>
          <t>Päpste und Papsttum, 0340-7993 ; Bd. 21</t>
        </is>
      </c>
      <c r="R188" t="inlineStr">
        <is>
          <t xml:space="preserve">BX </t>
        </is>
      </c>
      <c r="S188" t="n">
        <v>4</v>
      </c>
      <c r="T188" t="n">
        <v>4</v>
      </c>
      <c r="U188" t="inlineStr">
        <is>
          <t>2010-09-27</t>
        </is>
      </c>
      <c r="V188" t="inlineStr">
        <is>
          <t>2010-09-27</t>
        </is>
      </c>
      <c r="W188" t="inlineStr">
        <is>
          <t>1991-05-24</t>
        </is>
      </c>
      <c r="X188" t="inlineStr">
        <is>
          <t>1991-05-24</t>
        </is>
      </c>
      <c r="Y188" t="n">
        <v>229</v>
      </c>
      <c r="Z188" t="n">
        <v>150</v>
      </c>
      <c r="AA188" t="n">
        <v>197</v>
      </c>
      <c r="AB188" t="n">
        <v>1</v>
      </c>
      <c r="AC188" t="n">
        <v>2</v>
      </c>
      <c r="AD188" t="n">
        <v>20</v>
      </c>
      <c r="AE188" t="n">
        <v>23</v>
      </c>
      <c r="AF188" t="n">
        <v>6</v>
      </c>
      <c r="AG188" t="n">
        <v>8</v>
      </c>
      <c r="AH188" t="n">
        <v>7</v>
      </c>
      <c r="AI188" t="n">
        <v>8</v>
      </c>
      <c r="AJ188" t="n">
        <v>14</v>
      </c>
      <c r="AK188" t="n">
        <v>14</v>
      </c>
      <c r="AL188" t="n">
        <v>0</v>
      </c>
      <c r="AM188" t="n">
        <v>0</v>
      </c>
      <c r="AN188" t="n">
        <v>0</v>
      </c>
      <c r="AO188" t="n">
        <v>0</v>
      </c>
      <c r="AP188" t="inlineStr">
        <is>
          <t>No</t>
        </is>
      </c>
      <c r="AQ188" t="inlineStr">
        <is>
          <t>Yes</t>
        </is>
      </c>
      <c r="AR188">
        <f>HYPERLINK("http://catalog.hathitrust.org/Record/000321918","HathiTrust Record")</f>
        <v/>
      </c>
      <c r="AS188">
        <f>HYPERLINK("https://creighton-primo.hosted.exlibrisgroup.com/primo-explore/search?tab=default_tab&amp;search_scope=EVERYTHING&amp;vid=01CRU&amp;lang=en_US&amp;offset=0&amp;query=any,contains,991000137149702656","Catalog Record")</f>
        <v/>
      </c>
      <c r="AT188">
        <f>HYPERLINK("http://www.worldcat.org/oclc/9138564","WorldCat Record")</f>
        <v/>
      </c>
      <c r="AU188" t="inlineStr">
        <is>
          <t>24180243:eng</t>
        </is>
      </c>
      <c r="AV188" t="inlineStr">
        <is>
          <t>9138564</t>
        </is>
      </c>
      <c r="AW188" t="inlineStr">
        <is>
          <t>991000137149702656</t>
        </is>
      </c>
      <c r="AX188" t="inlineStr">
        <is>
          <t>991000137149702656</t>
        </is>
      </c>
      <c r="AY188" t="inlineStr">
        <is>
          <t>2264532320002656</t>
        </is>
      </c>
      <c r="AZ188" t="inlineStr">
        <is>
          <t>BOOK</t>
        </is>
      </c>
      <c r="BC188" t="inlineStr">
        <is>
          <t>32285000524941</t>
        </is>
      </c>
      <c r="BD188" t="inlineStr">
        <is>
          <t>893777717</t>
        </is>
      </c>
    </row>
    <row r="189">
      <c r="A189" t="inlineStr">
        <is>
          <t>No</t>
        </is>
      </c>
      <c r="B189" t="inlineStr">
        <is>
          <t>BX1406.2 .F76 1999</t>
        </is>
      </c>
      <c r="C189" t="inlineStr">
        <is>
          <t>0                      BX 1406200F  76          1999</t>
        </is>
      </c>
      <c r="D189" t="inlineStr">
        <is>
          <t>The frontiers and Catholic identities / Anne M. Butler, Michael E. Engh, Thomas W. Spalding, editors.</t>
        </is>
      </c>
      <c r="F189" t="inlineStr">
        <is>
          <t>No</t>
        </is>
      </c>
      <c r="G189" t="inlineStr">
        <is>
          <t>1</t>
        </is>
      </c>
      <c r="H189" t="inlineStr">
        <is>
          <t>No</t>
        </is>
      </c>
      <c r="I189" t="inlineStr">
        <is>
          <t>No</t>
        </is>
      </c>
      <c r="J189" t="inlineStr">
        <is>
          <t>0</t>
        </is>
      </c>
      <c r="L189" t="inlineStr">
        <is>
          <t>Maryknoll, N.Y. : Orbis Books, c1999.</t>
        </is>
      </c>
      <c r="M189" t="inlineStr">
        <is>
          <t>1999</t>
        </is>
      </c>
      <c r="O189" t="inlineStr">
        <is>
          <t>eng</t>
        </is>
      </c>
      <c r="P189" t="inlineStr">
        <is>
          <t>nyu</t>
        </is>
      </c>
      <c r="Q189" t="inlineStr">
        <is>
          <t>American Catholic identities</t>
        </is>
      </c>
      <c r="R189" t="inlineStr">
        <is>
          <t xml:space="preserve">BX </t>
        </is>
      </c>
      <c r="S189" t="n">
        <v>2</v>
      </c>
      <c r="T189" t="n">
        <v>2</v>
      </c>
      <c r="U189" t="inlineStr">
        <is>
          <t>2004-10-10</t>
        </is>
      </c>
      <c r="V189" t="inlineStr">
        <is>
          <t>2004-10-10</t>
        </is>
      </c>
      <c r="W189" t="inlineStr">
        <is>
          <t>2001-10-29</t>
        </is>
      </c>
      <c r="X189" t="inlineStr">
        <is>
          <t>2001-10-29</t>
        </is>
      </c>
      <c r="Y189" t="n">
        <v>248</v>
      </c>
      <c r="Z189" t="n">
        <v>228</v>
      </c>
      <c r="AA189" t="n">
        <v>235</v>
      </c>
      <c r="AB189" t="n">
        <v>1</v>
      </c>
      <c r="AC189" t="n">
        <v>1</v>
      </c>
      <c r="AD189" t="n">
        <v>31</v>
      </c>
      <c r="AE189" t="n">
        <v>31</v>
      </c>
      <c r="AF189" t="n">
        <v>13</v>
      </c>
      <c r="AG189" t="n">
        <v>13</v>
      </c>
      <c r="AH189" t="n">
        <v>8</v>
      </c>
      <c r="AI189" t="n">
        <v>8</v>
      </c>
      <c r="AJ189" t="n">
        <v>20</v>
      </c>
      <c r="AK189" t="n">
        <v>20</v>
      </c>
      <c r="AL189" t="n">
        <v>0</v>
      </c>
      <c r="AM189" t="n">
        <v>0</v>
      </c>
      <c r="AN189" t="n">
        <v>0</v>
      </c>
      <c r="AO189" t="n">
        <v>0</v>
      </c>
      <c r="AP189" t="inlineStr">
        <is>
          <t>No</t>
        </is>
      </c>
      <c r="AQ189" t="inlineStr">
        <is>
          <t>Yes</t>
        </is>
      </c>
      <c r="AR189">
        <f>HYPERLINK("http://catalog.hathitrust.org/Record/004079664","HathiTrust Record")</f>
        <v/>
      </c>
      <c r="AS189">
        <f>HYPERLINK("https://creighton-primo.hosted.exlibrisgroup.com/primo-explore/search?tab=default_tab&amp;search_scope=EVERYTHING&amp;vid=01CRU&amp;lang=en_US&amp;offset=0&amp;query=any,contains,991003644709702656","Catalog Record")</f>
        <v/>
      </c>
      <c r="AT189">
        <f>HYPERLINK("http://www.worldcat.org/oclc/42072120","WorldCat Record")</f>
        <v/>
      </c>
      <c r="AU189" t="inlineStr">
        <is>
          <t>3857979289:eng</t>
        </is>
      </c>
      <c r="AV189" t="inlineStr">
        <is>
          <t>42072120</t>
        </is>
      </c>
      <c r="AW189" t="inlineStr">
        <is>
          <t>991003644709702656</t>
        </is>
      </c>
      <c r="AX189" t="inlineStr">
        <is>
          <t>991003644709702656</t>
        </is>
      </c>
      <c r="AY189" t="inlineStr">
        <is>
          <t>2266520190002656</t>
        </is>
      </c>
      <c r="AZ189" t="inlineStr">
        <is>
          <t>BOOK</t>
        </is>
      </c>
      <c r="BB189" t="inlineStr">
        <is>
          <t>9781570752698</t>
        </is>
      </c>
      <c r="BC189" t="inlineStr">
        <is>
          <t>32285004416128</t>
        </is>
      </c>
      <c r="BD189" t="inlineStr">
        <is>
          <t>893234402</t>
        </is>
      </c>
    </row>
    <row r="190">
      <c r="A190" t="inlineStr">
        <is>
          <t>No</t>
        </is>
      </c>
      <c r="B190" t="inlineStr">
        <is>
          <t>BX1406.2 .G35 1987</t>
        </is>
      </c>
      <c r="C190" t="inlineStr">
        <is>
          <t>0                      BX 1406200G  35          1987</t>
        </is>
      </c>
      <c r="D190" t="inlineStr">
        <is>
          <t>The American Catholic people : their beliefs, practices, and values / George Gallup, Jr. and Jim Castelli.</t>
        </is>
      </c>
      <c r="F190" t="inlineStr">
        <is>
          <t>No</t>
        </is>
      </c>
      <c r="G190" t="inlineStr">
        <is>
          <t>1</t>
        </is>
      </c>
      <c r="H190" t="inlineStr">
        <is>
          <t>No</t>
        </is>
      </c>
      <c r="I190" t="inlineStr">
        <is>
          <t>No</t>
        </is>
      </c>
      <c r="J190" t="inlineStr">
        <is>
          <t>0</t>
        </is>
      </c>
      <c r="K190" t="inlineStr">
        <is>
          <t>Gallup, George, 1930-2011.</t>
        </is>
      </c>
      <c r="L190" t="inlineStr">
        <is>
          <t>Garden City, N.Y. : Doubleday, 1987.</t>
        </is>
      </c>
      <c r="M190" t="inlineStr">
        <is>
          <t>1987</t>
        </is>
      </c>
      <c r="N190" t="inlineStr">
        <is>
          <t>1st ed.</t>
        </is>
      </c>
      <c r="O190" t="inlineStr">
        <is>
          <t>eng</t>
        </is>
      </c>
      <c r="P190" t="inlineStr">
        <is>
          <t>nyu</t>
        </is>
      </c>
      <c r="R190" t="inlineStr">
        <is>
          <t xml:space="preserve">BX </t>
        </is>
      </c>
      <c r="S190" t="n">
        <v>7</v>
      </c>
      <c r="T190" t="n">
        <v>7</v>
      </c>
      <c r="U190" t="inlineStr">
        <is>
          <t>1999-10-12</t>
        </is>
      </c>
      <c r="V190" t="inlineStr">
        <is>
          <t>1999-10-12</t>
        </is>
      </c>
      <c r="W190" t="inlineStr">
        <is>
          <t>1992-05-28</t>
        </is>
      </c>
      <c r="X190" t="inlineStr">
        <is>
          <t>1992-05-28</t>
        </is>
      </c>
      <c r="Y190" t="n">
        <v>716</v>
      </c>
      <c r="Z190" t="n">
        <v>673</v>
      </c>
      <c r="AA190" t="n">
        <v>680</v>
      </c>
      <c r="AB190" t="n">
        <v>7</v>
      </c>
      <c r="AC190" t="n">
        <v>7</v>
      </c>
      <c r="AD190" t="n">
        <v>36</v>
      </c>
      <c r="AE190" t="n">
        <v>36</v>
      </c>
      <c r="AF190" t="n">
        <v>13</v>
      </c>
      <c r="AG190" t="n">
        <v>13</v>
      </c>
      <c r="AH190" t="n">
        <v>7</v>
      </c>
      <c r="AI190" t="n">
        <v>7</v>
      </c>
      <c r="AJ190" t="n">
        <v>23</v>
      </c>
      <c r="AK190" t="n">
        <v>23</v>
      </c>
      <c r="AL190" t="n">
        <v>5</v>
      </c>
      <c r="AM190" t="n">
        <v>5</v>
      </c>
      <c r="AN190" t="n">
        <v>0</v>
      </c>
      <c r="AO190" t="n">
        <v>0</v>
      </c>
      <c r="AP190" t="inlineStr">
        <is>
          <t>No</t>
        </is>
      </c>
      <c r="AQ190" t="inlineStr">
        <is>
          <t>Yes</t>
        </is>
      </c>
      <c r="AR190">
        <f>HYPERLINK("http://catalog.hathitrust.org/Record/000596687","HathiTrust Record")</f>
        <v/>
      </c>
      <c r="AS190">
        <f>HYPERLINK("https://creighton-primo.hosted.exlibrisgroup.com/primo-explore/search?tab=default_tab&amp;search_scope=EVERYTHING&amp;vid=01CRU&amp;lang=en_US&amp;offset=0&amp;query=any,contains,991000878679702656","Catalog Record")</f>
        <v/>
      </c>
      <c r="AT190">
        <f>HYPERLINK("http://www.worldcat.org/oclc/13822119","WorldCat Record")</f>
        <v/>
      </c>
      <c r="AU190" t="inlineStr">
        <is>
          <t>7309283:eng</t>
        </is>
      </c>
      <c r="AV190" t="inlineStr">
        <is>
          <t>13822119</t>
        </is>
      </c>
      <c r="AW190" t="inlineStr">
        <is>
          <t>991000878679702656</t>
        </is>
      </c>
      <c r="AX190" t="inlineStr">
        <is>
          <t>991000878679702656</t>
        </is>
      </c>
      <c r="AY190" t="inlineStr">
        <is>
          <t>2266763710002656</t>
        </is>
      </c>
      <c r="AZ190" t="inlineStr">
        <is>
          <t>BOOK</t>
        </is>
      </c>
      <c r="BB190" t="inlineStr">
        <is>
          <t>9780385231220</t>
        </is>
      </c>
      <c r="BC190" t="inlineStr">
        <is>
          <t>32285001114197</t>
        </is>
      </c>
      <c r="BD190" t="inlineStr">
        <is>
          <t>893237685</t>
        </is>
      </c>
    </row>
    <row r="191">
      <c r="A191" t="inlineStr">
        <is>
          <t>No</t>
        </is>
      </c>
      <c r="B191" t="inlineStr">
        <is>
          <t>BX1406.2 .G58 1987</t>
        </is>
      </c>
      <c r="C191" t="inlineStr">
        <is>
          <t>0                      BX 1406200G  58          1987</t>
        </is>
      </c>
      <c r="D191" t="inlineStr">
        <is>
          <t>Keeping the faith / American Catholicism, past and present / Philip Gleason.</t>
        </is>
      </c>
      <c r="F191" t="inlineStr">
        <is>
          <t>No</t>
        </is>
      </c>
      <c r="G191" t="inlineStr">
        <is>
          <t>1</t>
        </is>
      </c>
      <c r="H191" t="inlineStr">
        <is>
          <t>No</t>
        </is>
      </c>
      <c r="I191" t="inlineStr">
        <is>
          <t>No</t>
        </is>
      </c>
      <c r="J191" t="inlineStr">
        <is>
          <t>0</t>
        </is>
      </c>
      <c r="K191" t="inlineStr">
        <is>
          <t>Gleason, Philip.</t>
        </is>
      </c>
      <c r="L191" t="inlineStr">
        <is>
          <t>Notre Dame, Ind. : University of Notre Dame Press, c1987.</t>
        </is>
      </c>
      <c r="M191" t="inlineStr">
        <is>
          <t>1987</t>
        </is>
      </c>
      <c r="O191" t="inlineStr">
        <is>
          <t>eng</t>
        </is>
      </c>
      <c r="P191" t="inlineStr">
        <is>
          <t>inu</t>
        </is>
      </c>
      <c r="R191" t="inlineStr">
        <is>
          <t xml:space="preserve">BX </t>
        </is>
      </c>
      <c r="S191" t="n">
        <v>4</v>
      </c>
      <c r="T191" t="n">
        <v>4</v>
      </c>
      <c r="U191" t="inlineStr">
        <is>
          <t>1997-10-04</t>
        </is>
      </c>
      <c r="V191" t="inlineStr">
        <is>
          <t>1997-10-04</t>
        </is>
      </c>
      <c r="W191" t="inlineStr">
        <is>
          <t>1990-04-20</t>
        </is>
      </c>
      <c r="X191" t="inlineStr">
        <is>
          <t>1990-04-20</t>
        </is>
      </c>
      <c r="Y191" t="n">
        <v>544</v>
      </c>
      <c r="Z191" t="n">
        <v>499</v>
      </c>
      <c r="AA191" t="n">
        <v>522</v>
      </c>
      <c r="AB191" t="n">
        <v>3</v>
      </c>
      <c r="AC191" t="n">
        <v>3</v>
      </c>
      <c r="AD191" t="n">
        <v>39</v>
      </c>
      <c r="AE191" t="n">
        <v>39</v>
      </c>
      <c r="AF191" t="n">
        <v>14</v>
      </c>
      <c r="AG191" t="n">
        <v>14</v>
      </c>
      <c r="AH191" t="n">
        <v>10</v>
      </c>
      <c r="AI191" t="n">
        <v>10</v>
      </c>
      <c r="AJ191" t="n">
        <v>25</v>
      </c>
      <c r="AK191" t="n">
        <v>25</v>
      </c>
      <c r="AL191" t="n">
        <v>2</v>
      </c>
      <c r="AM191" t="n">
        <v>2</v>
      </c>
      <c r="AN191" t="n">
        <v>0</v>
      </c>
      <c r="AO191" t="n">
        <v>0</v>
      </c>
      <c r="AP191" t="inlineStr">
        <is>
          <t>No</t>
        </is>
      </c>
      <c r="AQ191" t="inlineStr">
        <is>
          <t>Yes</t>
        </is>
      </c>
      <c r="AR191">
        <f>HYPERLINK("http://catalog.hathitrust.org/Record/000857076","HathiTrust Record")</f>
        <v/>
      </c>
      <c r="AS191">
        <f>HYPERLINK("https://creighton-primo.hosted.exlibrisgroup.com/primo-explore/search?tab=default_tab&amp;search_scope=EVERYTHING&amp;vid=01CRU&amp;lang=en_US&amp;offset=0&amp;query=any,contains,991001081299702656","Catalog Record")</f>
        <v/>
      </c>
      <c r="AT191">
        <f>HYPERLINK("http://www.worldcat.org/oclc/16088155","WorldCat Record")</f>
        <v/>
      </c>
      <c r="AU191" t="inlineStr">
        <is>
          <t>11693587:eng</t>
        </is>
      </c>
      <c r="AV191" t="inlineStr">
        <is>
          <t>16088155</t>
        </is>
      </c>
      <c r="AW191" t="inlineStr">
        <is>
          <t>991001081299702656</t>
        </is>
      </c>
      <c r="AX191" t="inlineStr">
        <is>
          <t>991001081299702656</t>
        </is>
      </c>
      <c r="AY191" t="inlineStr">
        <is>
          <t>2254773580002656</t>
        </is>
      </c>
      <c r="AZ191" t="inlineStr">
        <is>
          <t>BOOK</t>
        </is>
      </c>
      <c r="BB191" t="inlineStr">
        <is>
          <t>9780268012274</t>
        </is>
      </c>
      <c r="BC191" t="inlineStr">
        <is>
          <t>32285000123934</t>
        </is>
      </c>
      <c r="BD191" t="inlineStr">
        <is>
          <t>893522275</t>
        </is>
      </c>
    </row>
    <row r="192">
      <c r="A192" t="inlineStr">
        <is>
          <t>No</t>
        </is>
      </c>
      <c r="B192" t="inlineStr">
        <is>
          <t>BX1406.2 .G67 1977</t>
        </is>
      </c>
      <c r="C192" t="inlineStr">
        <is>
          <t>0                      BX 1406200G  67          1977</t>
        </is>
      </c>
      <c r="D192" t="inlineStr">
        <is>
          <t>The American Catholic : a social portrait / Andrew M. Greeley.</t>
        </is>
      </c>
      <c r="F192" t="inlineStr">
        <is>
          <t>No</t>
        </is>
      </c>
      <c r="G192" t="inlineStr">
        <is>
          <t>1</t>
        </is>
      </c>
      <c r="H192" t="inlineStr">
        <is>
          <t>No</t>
        </is>
      </c>
      <c r="I192" t="inlineStr">
        <is>
          <t>No</t>
        </is>
      </c>
      <c r="J192" t="inlineStr">
        <is>
          <t>0</t>
        </is>
      </c>
      <c r="K192" t="inlineStr">
        <is>
          <t>Greeley, Andrew M., 1928-2013.</t>
        </is>
      </c>
      <c r="L192" t="inlineStr">
        <is>
          <t>New York : Basic Books, c1977.</t>
        </is>
      </c>
      <c r="M192" t="inlineStr">
        <is>
          <t>1977</t>
        </is>
      </c>
      <c r="O192" t="inlineStr">
        <is>
          <t>eng</t>
        </is>
      </c>
      <c r="P192" t="inlineStr">
        <is>
          <t>nyu</t>
        </is>
      </c>
      <c r="R192" t="inlineStr">
        <is>
          <t xml:space="preserve">BX </t>
        </is>
      </c>
      <c r="S192" t="n">
        <v>3</v>
      </c>
      <c r="T192" t="n">
        <v>3</v>
      </c>
      <c r="U192" t="inlineStr">
        <is>
          <t>2006-03-26</t>
        </is>
      </c>
      <c r="V192" t="inlineStr">
        <is>
          <t>2006-03-26</t>
        </is>
      </c>
      <c r="W192" t="inlineStr">
        <is>
          <t>1991-07-11</t>
        </is>
      </c>
      <c r="X192" t="inlineStr">
        <is>
          <t>1991-07-11</t>
        </is>
      </c>
      <c r="Y192" t="n">
        <v>1228</v>
      </c>
      <c r="Z192" t="n">
        <v>1128</v>
      </c>
      <c r="AA192" t="n">
        <v>1132</v>
      </c>
      <c r="AB192" t="n">
        <v>8</v>
      </c>
      <c r="AC192" t="n">
        <v>8</v>
      </c>
      <c r="AD192" t="n">
        <v>50</v>
      </c>
      <c r="AE192" t="n">
        <v>50</v>
      </c>
      <c r="AF192" t="n">
        <v>22</v>
      </c>
      <c r="AG192" t="n">
        <v>22</v>
      </c>
      <c r="AH192" t="n">
        <v>11</v>
      </c>
      <c r="AI192" t="n">
        <v>11</v>
      </c>
      <c r="AJ192" t="n">
        <v>25</v>
      </c>
      <c r="AK192" t="n">
        <v>25</v>
      </c>
      <c r="AL192" t="n">
        <v>5</v>
      </c>
      <c r="AM192" t="n">
        <v>5</v>
      </c>
      <c r="AN192" t="n">
        <v>0</v>
      </c>
      <c r="AO192" t="n">
        <v>0</v>
      </c>
      <c r="AP192" t="inlineStr">
        <is>
          <t>No</t>
        </is>
      </c>
      <c r="AQ192" t="inlineStr">
        <is>
          <t>No</t>
        </is>
      </c>
      <c r="AS192">
        <f>HYPERLINK("https://creighton-primo.hosted.exlibrisgroup.com/primo-explore/search?tab=default_tab&amp;search_scope=EVERYTHING&amp;vid=01CRU&amp;lang=en_US&amp;offset=0&amp;query=any,contains,991004225309702656","Catalog Record")</f>
        <v/>
      </c>
      <c r="AT192">
        <f>HYPERLINK("http://www.worldcat.org/oclc/2728121","WorldCat Record")</f>
        <v/>
      </c>
      <c r="AU192" t="inlineStr">
        <is>
          <t>909672623:eng</t>
        </is>
      </c>
      <c r="AV192" t="inlineStr">
        <is>
          <t>2728121</t>
        </is>
      </c>
      <c r="AW192" t="inlineStr">
        <is>
          <t>991004225309702656</t>
        </is>
      </c>
      <c r="AX192" t="inlineStr">
        <is>
          <t>991004225309702656</t>
        </is>
      </c>
      <c r="AY192" t="inlineStr">
        <is>
          <t>2270242740002656</t>
        </is>
      </c>
      <c r="AZ192" t="inlineStr">
        <is>
          <t>BOOK</t>
        </is>
      </c>
      <c r="BB192" t="inlineStr">
        <is>
          <t>9780465001293</t>
        </is>
      </c>
      <c r="BC192" t="inlineStr">
        <is>
          <t>32285000638451</t>
        </is>
      </c>
      <c r="BD192" t="inlineStr">
        <is>
          <t>893687500</t>
        </is>
      </c>
    </row>
    <row r="193">
      <c r="A193" t="inlineStr">
        <is>
          <t>No</t>
        </is>
      </c>
      <c r="B193" t="inlineStr">
        <is>
          <t>BX1406.2 .G69</t>
        </is>
      </c>
      <c r="C193" t="inlineStr">
        <is>
          <t>0                      BX 1406200G  69</t>
        </is>
      </c>
      <c r="D193" t="inlineStr">
        <is>
          <t>Come blow your mind with me / [by] Andrew M. Greeley.</t>
        </is>
      </c>
      <c r="F193" t="inlineStr">
        <is>
          <t>No</t>
        </is>
      </c>
      <c r="G193" t="inlineStr">
        <is>
          <t>1</t>
        </is>
      </c>
      <c r="H193" t="inlineStr">
        <is>
          <t>No</t>
        </is>
      </c>
      <c r="I193" t="inlineStr">
        <is>
          <t>No</t>
        </is>
      </c>
      <c r="J193" t="inlineStr">
        <is>
          <t>0</t>
        </is>
      </c>
      <c r="K193" t="inlineStr">
        <is>
          <t>Greeley, Andrew M., 1928-2013.</t>
        </is>
      </c>
      <c r="L193" t="inlineStr">
        <is>
          <t>Garden City, N.Y., Doubleday, 1971.</t>
        </is>
      </c>
      <c r="M193" t="inlineStr">
        <is>
          <t>1971</t>
        </is>
      </c>
      <c r="O193" t="inlineStr">
        <is>
          <t>eng</t>
        </is>
      </c>
      <c r="P193" t="inlineStr">
        <is>
          <t>nyu</t>
        </is>
      </c>
      <c r="R193" t="inlineStr">
        <is>
          <t xml:space="preserve">BX </t>
        </is>
      </c>
      <c r="S193" t="n">
        <v>3</v>
      </c>
      <c r="T193" t="n">
        <v>3</v>
      </c>
      <c r="U193" t="inlineStr">
        <is>
          <t>1994-04-10</t>
        </is>
      </c>
      <c r="V193" t="inlineStr">
        <is>
          <t>1994-04-10</t>
        </is>
      </c>
      <c r="W193" t="inlineStr">
        <is>
          <t>1991-02-12</t>
        </is>
      </c>
      <c r="X193" t="inlineStr">
        <is>
          <t>1991-02-12</t>
        </is>
      </c>
      <c r="Y193" t="n">
        <v>505</v>
      </c>
      <c r="Z193" t="n">
        <v>462</v>
      </c>
      <c r="AA193" t="n">
        <v>468</v>
      </c>
      <c r="AB193" t="n">
        <v>2</v>
      </c>
      <c r="AC193" t="n">
        <v>2</v>
      </c>
      <c r="AD193" t="n">
        <v>32</v>
      </c>
      <c r="AE193" t="n">
        <v>32</v>
      </c>
      <c r="AF193" t="n">
        <v>9</v>
      </c>
      <c r="AG193" t="n">
        <v>9</v>
      </c>
      <c r="AH193" t="n">
        <v>9</v>
      </c>
      <c r="AI193" t="n">
        <v>9</v>
      </c>
      <c r="AJ193" t="n">
        <v>20</v>
      </c>
      <c r="AK193" t="n">
        <v>20</v>
      </c>
      <c r="AL193" t="n">
        <v>1</v>
      </c>
      <c r="AM193" t="n">
        <v>1</v>
      </c>
      <c r="AN193" t="n">
        <v>0</v>
      </c>
      <c r="AO193" t="n">
        <v>0</v>
      </c>
      <c r="AP193" t="inlineStr">
        <is>
          <t>No</t>
        </is>
      </c>
      <c r="AQ193" t="inlineStr">
        <is>
          <t>Yes</t>
        </is>
      </c>
      <c r="AR193">
        <f>HYPERLINK("http://catalog.hathitrust.org/Record/006741940","HathiTrust Record")</f>
        <v/>
      </c>
      <c r="AS193">
        <f>HYPERLINK("https://creighton-primo.hosted.exlibrisgroup.com/primo-explore/search?tab=default_tab&amp;search_scope=EVERYTHING&amp;vid=01CRU&amp;lang=en_US&amp;offset=0&amp;query=any,contains,991000774319702656","Catalog Record")</f>
        <v/>
      </c>
      <c r="AT193">
        <f>HYPERLINK("http://www.worldcat.org/oclc/131861","WorldCat Record")</f>
        <v/>
      </c>
      <c r="AU193" t="inlineStr">
        <is>
          <t>1270227:eng</t>
        </is>
      </c>
      <c r="AV193" t="inlineStr">
        <is>
          <t>131861</t>
        </is>
      </c>
      <c r="AW193" t="inlineStr">
        <is>
          <t>991000774319702656</t>
        </is>
      </c>
      <c r="AX193" t="inlineStr">
        <is>
          <t>991000774319702656</t>
        </is>
      </c>
      <c r="AY193" t="inlineStr">
        <is>
          <t>2256480440002656</t>
        </is>
      </c>
      <c r="AZ193" t="inlineStr">
        <is>
          <t>BOOK</t>
        </is>
      </c>
      <c r="BC193" t="inlineStr">
        <is>
          <t>32285000506435</t>
        </is>
      </c>
      <c r="BD193" t="inlineStr">
        <is>
          <t>893413667</t>
        </is>
      </c>
    </row>
    <row r="194">
      <c r="A194" t="inlineStr">
        <is>
          <t>No</t>
        </is>
      </c>
      <c r="B194" t="inlineStr">
        <is>
          <t>BX1406.2 .G694 1976</t>
        </is>
      </c>
      <c r="C194" t="inlineStr">
        <is>
          <t>0                      BX 1406200G  694         1976</t>
        </is>
      </c>
      <c r="D194" t="inlineStr">
        <is>
          <t>The communal Catholic : a personal manifesto / Andrew M. Greeley.</t>
        </is>
      </c>
      <c r="F194" t="inlineStr">
        <is>
          <t>No</t>
        </is>
      </c>
      <c r="G194" t="inlineStr">
        <is>
          <t>1</t>
        </is>
      </c>
      <c r="H194" t="inlineStr">
        <is>
          <t>No</t>
        </is>
      </c>
      <c r="I194" t="inlineStr">
        <is>
          <t>No</t>
        </is>
      </c>
      <c r="J194" t="inlineStr">
        <is>
          <t>0</t>
        </is>
      </c>
      <c r="K194" t="inlineStr">
        <is>
          <t>Greeley, Andrew M., 1928-2013.</t>
        </is>
      </c>
      <c r="L194" t="inlineStr">
        <is>
          <t>New York : Seabury Press, c1976.</t>
        </is>
      </c>
      <c r="M194" t="inlineStr">
        <is>
          <t>1976</t>
        </is>
      </c>
      <c r="O194" t="inlineStr">
        <is>
          <t>eng</t>
        </is>
      </c>
      <c r="P194" t="inlineStr">
        <is>
          <t>nyu</t>
        </is>
      </c>
      <c r="R194" t="inlineStr">
        <is>
          <t xml:space="preserve">BX </t>
        </is>
      </c>
      <c r="S194" t="n">
        <v>1</v>
      </c>
      <c r="T194" t="n">
        <v>1</v>
      </c>
      <c r="U194" t="inlineStr">
        <is>
          <t>1997-04-21</t>
        </is>
      </c>
      <c r="V194" t="inlineStr">
        <is>
          <t>1997-04-21</t>
        </is>
      </c>
      <c r="W194" t="inlineStr">
        <is>
          <t>1995-08-03</t>
        </is>
      </c>
      <c r="X194" t="inlineStr">
        <is>
          <t>1995-08-03</t>
        </is>
      </c>
      <c r="Y194" t="n">
        <v>426</v>
      </c>
      <c r="Z194" t="n">
        <v>380</v>
      </c>
      <c r="AA194" t="n">
        <v>387</v>
      </c>
      <c r="AB194" t="n">
        <v>3</v>
      </c>
      <c r="AC194" t="n">
        <v>3</v>
      </c>
      <c r="AD194" t="n">
        <v>31</v>
      </c>
      <c r="AE194" t="n">
        <v>31</v>
      </c>
      <c r="AF194" t="n">
        <v>11</v>
      </c>
      <c r="AG194" t="n">
        <v>11</v>
      </c>
      <c r="AH194" t="n">
        <v>7</v>
      </c>
      <c r="AI194" t="n">
        <v>7</v>
      </c>
      <c r="AJ194" t="n">
        <v>20</v>
      </c>
      <c r="AK194" t="n">
        <v>20</v>
      </c>
      <c r="AL194" t="n">
        <v>2</v>
      </c>
      <c r="AM194" t="n">
        <v>2</v>
      </c>
      <c r="AN194" t="n">
        <v>0</v>
      </c>
      <c r="AO194" t="n">
        <v>0</v>
      </c>
      <c r="AP194" t="inlineStr">
        <is>
          <t>No</t>
        </is>
      </c>
      <c r="AQ194" t="inlineStr">
        <is>
          <t>Yes</t>
        </is>
      </c>
      <c r="AR194">
        <f>HYPERLINK("http://catalog.hathitrust.org/Record/006921638","HathiTrust Record")</f>
        <v/>
      </c>
      <c r="AS194">
        <f>HYPERLINK("https://creighton-primo.hosted.exlibrisgroup.com/primo-explore/search?tab=default_tab&amp;search_scope=EVERYTHING&amp;vid=01CRU&amp;lang=en_US&amp;offset=0&amp;query=any,contains,991004054099702656","Catalog Record")</f>
        <v/>
      </c>
      <c r="AT194">
        <f>HYPERLINK("http://www.worldcat.org/oclc/2221241","WorldCat Record")</f>
        <v/>
      </c>
      <c r="AU194" t="inlineStr">
        <is>
          <t>4136940:eng</t>
        </is>
      </c>
      <c r="AV194" t="inlineStr">
        <is>
          <t>2221241</t>
        </is>
      </c>
      <c r="AW194" t="inlineStr">
        <is>
          <t>991004054099702656</t>
        </is>
      </c>
      <c r="AX194" t="inlineStr">
        <is>
          <t>991004054099702656</t>
        </is>
      </c>
      <c r="AY194" t="inlineStr">
        <is>
          <t>2259458220002656</t>
        </is>
      </c>
      <c r="AZ194" t="inlineStr">
        <is>
          <t>BOOK</t>
        </is>
      </c>
      <c r="BB194" t="inlineStr">
        <is>
          <t>9780816402991</t>
        </is>
      </c>
      <c r="BC194" t="inlineStr">
        <is>
          <t>32285000506351</t>
        </is>
      </c>
      <c r="BD194" t="inlineStr">
        <is>
          <t>893343409</t>
        </is>
      </c>
    </row>
    <row r="195">
      <c r="A195" t="inlineStr">
        <is>
          <t>No</t>
        </is>
      </c>
      <c r="B195" t="inlineStr">
        <is>
          <t>BX1406.2 .G696</t>
        </is>
      </c>
      <c r="C195" t="inlineStr">
        <is>
          <t>0                      BX 1406200G  696</t>
        </is>
      </c>
      <c r="D195" t="inlineStr">
        <is>
          <t>Crisis in the church : a study of religion in America / by Andrew M. Greeley.</t>
        </is>
      </c>
      <c r="F195" t="inlineStr">
        <is>
          <t>No</t>
        </is>
      </c>
      <c r="G195" t="inlineStr">
        <is>
          <t>1</t>
        </is>
      </c>
      <c r="H195" t="inlineStr">
        <is>
          <t>No</t>
        </is>
      </c>
      <c r="I195" t="inlineStr">
        <is>
          <t>No</t>
        </is>
      </c>
      <c r="J195" t="inlineStr">
        <is>
          <t>0</t>
        </is>
      </c>
      <c r="K195" t="inlineStr">
        <is>
          <t>Greeley, Andrew M., 1928-2013.</t>
        </is>
      </c>
      <c r="L195" t="inlineStr">
        <is>
          <t>Chicago : Thomas More Press, c1979.</t>
        </is>
      </c>
      <c r="M195" t="inlineStr">
        <is>
          <t>1979</t>
        </is>
      </c>
      <c r="O195" t="inlineStr">
        <is>
          <t>eng</t>
        </is>
      </c>
      <c r="P195" t="inlineStr">
        <is>
          <t>ilu</t>
        </is>
      </c>
      <c r="R195" t="inlineStr">
        <is>
          <t xml:space="preserve">BX </t>
        </is>
      </c>
      <c r="S195" t="n">
        <v>6</v>
      </c>
      <c r="T195" t="n">
        <v>6</v>
      </c>
      <c r="U195" t="inlineStr">
        <is>
          <t>1998-11-12</t>
        </is>
      </c>
      <c r="V195" t="inlineStr">
        <is>
          <t>1998-11-12</t>
        </is>
      </c>
      <c r="W195" t="inlineStr">
        <is>
          <t>1995-02-22</t>
        </is>
      </c>
      <c r="X195" t="inlineStr">
        <is>
          <t>1995-02-22</t>
        </is>
      </c>
      <c r="Y195" t="n">
        <v>339</v>
      </c>
      <c r="Z195" t="n">
        <v>308</v>
      </c>
      <c r="AA195" t="n">
        <v>317</v>
      </c>
      <c r="AB195" t="n">
        <v>4</v>
      </c>
      <c r="AC195" t="n">
        <v>4</v>
      </c>
      <c r="AD195" t="n">
        <v>26</v>
      </c>
      <c r="AE195" t="n">
        <v>26</v>
      </c>
      <c r="AF195" t="n">
        <v>7</v>
      </c>
      <c r="AG195" t="n">
        <v>7</v>
      </c>
      <c r="AH195" t="n">
        <v>7</v>
      </c>
      <c r="AI195" t="n">
        <v>7</v>
      </c>
      <c r="AJ195" t="n">
        <v>15</v>
      </c>
      <c r="AK195" t="n">
        <v>15</v>
      </c>
      <c r="AL195" t="n">
        <v>3</v>
      </c>
      <c r="AM195" t="n">
        <v>3</v>
      </c>
      <c r="AN195" t="n">
        <v>0</v>
      </c>
      <c r="AO195" t="n">
        <v>0</v>
      </c>
      <c r="AP195" t="inlineStr">
        <is>
          <t>No</t>
        </is>
      </c>
      <c r="AQ195" t="inlineStr">
        <is>
          <t>Yes</t>
        </is>
      </c>
      <c r="AR195">
        <f>HYPERLINK("http://catalog.hathitrust.org/Record/000299880","HathiTrust Record")</f>
        <v/>
      </c>
      <c r="AS195">
        <f>HYPERLINK("https://creighton-primo.hosted.exlibrisgroup.com/primo-explore/search?tab=default_tab&amp;search_scope=EVERYTHING&amp;vid=01CRU&amp;lang=en_US&amp;offset=0&amp;query=any,contains,991004740109702656","Catalog Record")</f>
        <v/>
      </c>
      <c r="AT195">
        <f>HYPERLINK("http://www.worldcat.org/oclc/4882783","WorldCat Record")</f>
        <v/>
      </c>
      <c r="AU195" t="inlineStr">
        <is>
          <t>15073433:eng</t>
        </is>
      </c>
      <c r="AV195" t="inlineStr">
        <is>
          <t>4882783</t>
        </is>
      </c>
      <c r="AW195" t="inlineStr">
        <is>
          <t>991004740109702656</t>
        </is>
      </c>
      <c r="AX195" t="inlineStr">
        <is>
          <t>991004740109702656</t>
        </is>
      </c>
      <c r="AY195" t="inlineStr">
        <is>
          <t>2263371640002656</t>
        </is>
      </c>
      <c r="AZ195" t="inlineStr">
        <is>
          <t>BOOK</t>
        </is>
      </c>
      <c r="BB195" t="inlineStr">
        <is>
          <t>9780883471067</t>
        </is>
      </c>
      <c r="BC195" t="inlineStr">
        <is>
          <t>32285001779387</t>
        </is>
      </c>
      <c r="BD195" t="inlineStr">
        <is>
          <t>893600180</t>
        </is>
      </c>
    </row>
    <row r="196">
      <c r="A196" t="inlineStr">
        <is>
          <t>No</t>
        </is>
      </c>
      <c r="B196" t="inlineStr">
        <is>
          <t>BX1406.2 .G725 1984</t>
        </is>
      </c>
      <c r="C196" t="inlineStr">
        <is>
          <t>0                      BX 1406200G  725         1984</t>
        </is>
      </c>
      <c r="D196" t="inlineStr">
        <is>
          <t>How to save the Catholic church / Andrew Greeley and Mary Greeley Durkin ; preface by David Tracy.</t>
        </is>
      </c>
      <c r="F196" t="inlineStr">
        <is>
          <t>No</t>
        </is>
      </c>
      <c r="G196" t="inlineStr">
        <is>
          <t>1</t>
        </is>
      </c>
      <c r="H196" t="inlineStr">
        <is>
          <t>No</t>
        </is>
      </c>
      <c r="I196" t="inlineStr">
        <is>
          <t>No</t>
        </is>
      </c>
      <c r="J196" t="inlineStr">
        <is>
          <t>0</t>
        </is>
      </c>
      <c r="K196" t="inlineStr">
        <is>
          <t>Greeley, Andrew M., 1928-2013.</t>
        </is>
      </c>
      <c r="L196" t="inlineStr">
        <is>
          <t>New York : Viking, 1984.</t>
        </is>
      </c>
      <c r="M196" t="inlineStr">
        <is>
          <t>1984</t>
        </is>
      </c>
      <c r="O196" t="inlineStr">
        <is>
          <t>eng</t>
        </is>
      </c>
      <c r="P196" t="inlineStr">
        <is>
          <t>nyu</t>
        </is>
      </c>
      <c r="R196" t="inlineStr">
        <is>
          <t xml:space="preserve">BX </t>
        </is>
      </c>
      <c r="S196" t="n">
        <v>5</v>
      </c>
      <c r="T196" t="n">
        <v>5</v>
      </c>
      <c r="U196" t="inlineStr">
        <is>
          <t>2007-08-27</t>
        </is>
      </c>
      <c r="V196" t="inlineStr">
        <is>
          <t>2007-08-27</t>
        </is>
      </c>
      <c r="W196" t="inlineStr">
        <is>
          <t>1990-05-24</t>
        </is>
      </c>
      <c r="X196" t="inlineStr">
        <is>
          <t>1990-05-24</t>
        </is>
      </c>
      <c r="Y196" t="n">
        <v>838</v>
      </c>
      <c r="Z196" t="n">
        <v>775</v>
      </c>
      <c r="AA196" t="n">
        <v>781</v>
      </c>
      <c r="AB196" t="n">
        <v>8</v>
      </c>
      <c r="AC196" t="n">
        <v>8</v>
      </c>
      <c r="AD196" t="n">
        <v>38</v>
      </c>
      <c r="AE196" t="n">
        <v>38</v>
      </c>
      <c r="AF196" t="n">
        <v>12</v>
      </c>
      <c r="AG196" t="n">
        <v>12</v>
      </c>
      <c r="AH196" t="n">
        <v>9</v>
      </c>
      <c r="AI196" t="n">
        <v>9</v>
      </c>
      <c r="AJ196" t="n">
        <v>25</v>
      </c>
      <c r="AK196" t="n">
        <v>25</v>
      </c>
      <c r="AL196" t="n">
        <v>3</v>
      </c>
      <c r="AM196" t="n">
        <v>3</v>
      </c>
      <c r="AN196" t="n">
        <v>0</v>
      </c>
      <c r="AO196" t="n">
        <v>0</v>
      </c>
      <c r="AP196" t="inlineStr">
        <is>
          <t>No</t>
        </is>
      </c>
      <c r="AQ196" t="inlineStr">
        <is>
          <t>No</t>
        </is>
      </c>
      <c r="AS196">
        <f>HYPERLINK("https://creighton-primo.hosted.exlibrisgroup.com/primo-explore/search?tab=default_tab&amp;search_scope=EVERYTHING&amp;vid=01CRU&amp;lang=en_US&amp;offset=0&amp;query=any,contains,991000450759702656","Catalog Record")</f>
        <v/>
      </c>
      <c r="AT196">
        <f>HYPERLINK("http://www.worldcat.org/oclc/10878731","WorldCat Record")</f>
        <v/>
      </c>
      <c r="AU196" t="inlineStr">
        <is>
          <t>3450762:eng</t>
        </is>
      </c>
      <c r="AV196" t="inlineStr">
        <is>
          <t>10878731</t>
        </is>
      </c>
      <c r="AW196" t="inlineStr">
        <is>
          <t>991000450759702656</t>
        </is>
      </c>
      <c r="AX196" t="inlineStr">
        <is>
          <t>991000450759702656</t>
        </is>
      </c>
      <c r="AY196" t="inlineStr">
        <is>
          <t>2272696350002656</t>
        </is>
      </c>
      <c r="AZ196" t="inlineStr">
        <is>
          <t>BOOK</t>
        </is>
      </c>
      <c r="BB196" t="inlineStr">
        <is>
          <t>9780670384754</t>
        </is>
      </c>
      <c r="BC196" t="inlineStr">
        <is>
          <t>32285000166420</t>
        </is>
      </c>
      <c r="BD196" t="inlineStr">
        <is>
          <t>893689700</t>
        </is>
      </c>
    </row>
    <row r="197">
      <c r="A197" t="inlineStr">
        <is>
          <t>No</t>
        </is>
      </c>
      <c r="B197" t="inlineStr">
        <is>
          <t>BX1406.2 .H4 1965</t>
        </is>
      </c>
      <c r="C197" t="inlineStr">
        <is>
          <t>0                      BX 1406200H  4           1965</t>
        </is>
      </c>
      <c r="D197" t="inlineStr">
        <is>
          <t>Through other eyes : some impressions of American Catholicism by foreign visitors from 1777 to the present / edited by Dan Herr and Joel Wells.</t>
        </is>
      </c>
      <c r="F197" t="inlineStr">
        <is>
          <t>No</t>
        </is>
      </c>
      <c r="G197" t="inlineStr">
        <is>
          <t>1</t>
        </is>
      </c>
      <c r="H197" t="inlineStr">
        <is>
          <t>No</t>
        </is>
      </c>
      <c r="I197" t="inlineStr">
        <is>
          <t>No</t>
        </is>
      </c>
      <c r="J197" t="inlineStr">
        <is>
          <t>0</t>
        </is>
      </c>
      <c r="K197" t="inlineStr">
        <is>
          <t>Herr, Daniel C., editor.</t>
        </is>
      </c>
      <c r="L197" t="inlineStr">
        <is>
          <t>Westminster, Md. : Newman Press, 1965.</t>
        </is>
      </c>
      <c r="M197" t="inlineStr">
        <is>
          <t>1965</t>
        </is>
      </c>
      <c r="O197" t="inlineStr">
        <is>
          <t>eng</t>
        </is>
      </c>
      <c r="P197" t="inlineStr">
        <is>
          <t>mdu</t>
        </is>
      </c>
      <c r="R197" t="inlineStr">
        <is>
          <t xml:space="preserve">BX </t>
        </is>
      </c>
      <c r="S197" t="n">
        <v>1</v>
      </c>
      <c r="T197" t="n">
        <v>1</v>
      </c>
      <c r="U197" t="inlineStr">
        <is>
          <t>1995-08-16</t>
        </is>
      </c>
      <c r="V197" t="inlineStr">
        <is>
          <t>1995-08-16</t>
        </is>
      </c>
      <c r="W197" t="inlineStr">
        <is>
          <t>1991-02-12</t>
        </is>
      </c>
      <c r="X197" t="inlineStr">
        <is>
          <t>1991-02-12</t>
        </is>
      </c>
      <c r="Y197" t="n">
        <v>177</v>
      </c>
      <c r="Z197" t="n">
        <v>168</v>
      </c>
      <c r="AA197" t="n">
        <v>176</v>
      </c>
      <c r="AB197" t="n">
        <v>1</v>
      </c>
      <c r="AC197" t="n">
        <v>1</v>
      </c>
      <c r="AD197" t="n">
        <v>22</v>
      </c>
      <c r="AE197" t="n">
        <v>22</v>
      </c>
      <c r="AF197" t="n">
        <v>6</v>
      </c>
      <c r="AG197" t="n">
        <v>6</v>
      </c>
      <c r="AH197" t="n">
        <v>6</v>
      </c>
      <c r="AI197" t="n">
        <v>6</v>
      </c>
      <c r="AJ197" t="n">
        <v>19</v>
      </c>
      <c r="AK197" t="n">
        <v>19</v>
      </c>
      <c r="AL197" t="n">
        <v>0</v>
      </c>
      <c r="AM197" t="n">
        <v>0</v>
      </c>
      <c r="AN197" t="n">
        <v>0</v>
      </c>
      <c r="AO197" t="n">
        <v>0</v>
      </c>
      <c r="AP197" t="inlineStr">
        <is>
          <t>No</t>
        </is>
      </c>
      <c r="AQ197" t="inlineStr">
        <is>
          <t>Yes</t>
        </is>
      </c>
      <c r="AR197">
        <f>HYPERLINK("http://catalog.hathitrust.org/Record/006921709","HathiTrust Record")</f>
        <v/>
      </c>
      <c r="AS197">
        <f>HYPERLINK("https://creighton-primo.hosted.exlibrisgroup.com/primo-explore/search?tab=default_tab&amp;search_scope=EVERYTHING&amp;vid=01CRU&amp;lang=en_US&amp;offset=0&amp;query=any,contains,991003979669702656","Catalog Record")</f>
        <v/>
      </c>
      <c r="AT197">
        <f>HYPERLINK("http://www.worldcat.org/oclc/2018335","WorldCat Record")</f>
        <v/>
      </c>
      <c r="AU197" t="inlineStr">
        <is>
          <t>2687700:eng</t>
        </is>
      </c>
      <c r="AV197" t="inlineStr">
        <is>
          <t>2018335</t>
        </is>
      </c>
      <c r="AW197" t="inlineStr">
        <is>
          <t>991003979669702656</t>
        </is>
      </c>
      <c r="AX197" t="inlineStr">
        <is>
          <t>991003979669702656</t>
        </is>
      </c>
      <c r="AY197" t="inlineStr">
        <is>
          <t>2260762960002656</t>
        </is>
      </c>
      <c r="AZ197" t="inlineStr">
        <is>
          <t>BOOK</t>
        </is>
      </c>
      <c r="BC197" t="inlineStr">
        <is>
          <t>32285000506450</t>
        </is>
      </c>
      <c r="BD197" t="inlineStr">
        <is>
          <t>893605486</t>
        </is>
      </c>
    </row>
    <row r="198">
      <c r="A198" t="inlineStr">
        <is>
          <t>No</t>
        </is>
      </c>
      <c r="B198" t="inlineStr">
        <is>
          <t>BX1406.2 .J6 1987</t>
        </is>
      </c>
      <c r="C198" t="inlineStr">
        <is>
          <t>0                      BX 1406200J  6           1987</t>
        </is>
      </c>
      <c r="D198" t="inlineStr">
        <is>
          <t>Unity in the work of service / John Paul II, on the occasion of his second pastoral visit to the United States.</t>
        </is>
      </c>
      <c r="F198" t="inlineStr">
        <is>
          <t>No</t>
        </is>
      </c>
      <c r="G198" t="inlineStr">
        <is>
          <t>1</t>
        </is>
      </c>
      <c r="H198" t="inlineStr">
        <is>
          <t>No</t>
        </is>
      </c>
      <c r="I198" t="inlineStr">
        <is>
          <t>No</t>
        </is>
      </c>
      <c r="J198" t="inlineStr">
        <is>
          <t>0</t>
        </is>
      </c>
      <c r="K198" t="inlineStr">
        <is>
          <t>John Paul II, Pope, 1920-2005.</t>
        </is>
      </c>
      <c r="L198" t="inlineStr">
        <is>
          <t>Washington, D.C. : National Conference of Catholic Bishops, United States Catholic Conferences, c1987.</t>
        </is>
      </c>
      <c r="M198" t="inlineStr">
        <is>
          <t>1987</t>
        </is>
      </c>
      <c r="O198" t="inlineStr">
        <is>
          <t>eng</t>
        </is>
      </c>
      <c r="P198" t="inlineStr">
        <is>
          <t>dcu</t>
        </is>
      </c>
      <c r="Q198" t="inlineStr">
        <is>
          <t>Publication / Office of Publishing and Promotion Services, United States Catholic Conference ; no. 177-6</t>
        </is>
      </c>
      <c r="R198" t="inlineStr">
        <is>
          <t xml:space="preserve">BX </t>
        </is>
      </c>
      <c r="S198" t="n">
        <v>3</v>
      </c>
      <c r="T198" t="n">
        <v>3</v>
      </c>
      <c r="U198" t="inlineStr">
        <is>
          <t>1999-02-21</t>
        </is>
      </c>
      <c r="V198" t="inlineStr">
        <is>
          <t>1999-02-21</t>
        </is>
      </c>
      <c r="W198" t="inlineStr">
        <is>
          <t>1991-02-12</t>
        </is>
      </c>
      <c r="X198" t="inlineStr">
        <is>
          <t>1991-02-12</t>
        </is>
      </c>
      <c r="Y198" t="n">
        <v>171</v>
      </c>
      <c r="Z198" t="n">
        <v>157</v>
      </c>
      <c r="AA198" t="n">
        <v>157</v>
      </c>
      <c r="AB198" t="n">
        <v>3</v>
      </c>
      <c r="AC198" t="n">
        <v>3</v>
      </c>
      <c r="AD198" t="n">
        <v>22</v>
      </c>
      <c r="AE198" t="n">
        <v>22</v>
      </c>
      <c r="AF198" t="n">
        <v>6</v>
      </c>
      <c r="AG198" t="n">
        <v>6</v>
      </c>
      <c r="AH198" t="n">
        <v>6</v>
      </c>
      <c r="AI198" t="n">
        <v>6</v>
      </c>
      <c r="AJ198" t="n">
        <v>17</v>
      </c>
      <c r="AK198" t="n">
        <v>17</v>
      </c>
      <c r="AL198" t="n">
        <v>0</v>
      </c>
      <c r="AM198" t="n">
        <v>0</v>
      </c>
      <c r="AN198" t="n">
        <v>0</v>
      </c>
      <c r="AO198" t="n">
        <v>0</v>
      </c>
      <c r="AP198" t="inlineStr">
        <is>
          <t>No</t>
        </is>
      </c>
      <c r="AQ198" t="inlineStr">
        <is>
          <t>No</t>
        </is>
      </c>
      <c r="AS198">
        <f>HYPERLINK("https://creighton-primo.hosted.exlibrisgroup.com/primo-explore/search?tab=default_tab&amp;search_scope=EVERYTHING&amp;vid=01CRU&amp;lang=en_US&amp;offset=0&amp;query=any,contains,991001195139702656","Catalog Record")</f>
        <v/>
      </c>
      <c r="AT198">
        <f>HYPERLINK("http://www.worldcat.org/oclc/18441525","WorldCat Record")</f>
        <v/>
      </c>
      <c r="AU198" t="inlineStr">
        <is>
          <t>287308351:eng</t>
        </is>
      </c>
      <c r="AV198" t="inlineStr">
        <is>
          <t>18441525</t>
        </is>
      </c>
      <c r="AW198" t="inlineStr">
        <is>
          <t>991001195139702656</t>
        </is>
      </c>
      <c r="AX198" t="inlineStr">
        <is>
          <t>991001195139702656</t>
        </is>
      </c>
      <c r="AY198" t="inlineStr">
        <is>
          <t>2267883670002656</t>
        </is>
      </c>
      <c r="AZ198" t="inlineStr">
        <is>
          <t>BOOK</t>
        </is>
      </c>
      <c r="BB198" t="inlineStr">
        <is>
          <t>9781555861773</t>
        </is>
      </c>
      <c r="BC198" t="inlineStr">
        <is>
          <t>32285000506476</t>
        </is>
      </c>
      <c r="BD198" t="inlineStr">
        <is>
          <t>893791253</t>
        </is>
      </c>
    </row>
    <row r="199">
      <c r="A199" t="inlineStr">
        <is>
          <t>No</t>
        </is>
      </c>
      <c r="B199" t="inlineStr">
        <is>
          <t>BX1406.2 .J65 1987</t>
        </is>
      </c>
      <c r="C199" t="inlineStr">
        <is>
          <t>0                      BX 1406200J  65          1987</t>
        </is>
      </c>
      <c r="D199" t="inlineStr">
        <is>
          <t>John Paul II in America : talks given on the papal tour, September 1987 / compiled and indexed by the Daughters of St. Paul ; text, Press Office of the Holy See.</t>
        </is>
      </c>
      <c r="F199" t="inlineStr">
        <is>
          <t>No</t>
        </is>
      </c>
      <c r="G199" t="inlineStr">
        <is>
          <t>1</t>
        </is>
      </c>
      <c r="H199" t="inlineStr">
        <is>
          <t>No</t>
        </is>
      </c>
      <c r="I199" t="inlineStr">
        <is>
          <t>No</t>
        </is>
      </c>
      <c r="J199" t="inlineStr">
        <is>
          <t>0</t>
        </is>
      </c>
      <c r="K199" t="inlineStr">
        <is>
          <t>John Paul II, Pope, 1920-2005.</t>
        </is>
      </c>
      <c r="L199" t="inlineStr">
        <is>
          <t>Boston : St. Paul Books &amp; Media, 1987.</t>
        </is>
      </c>
      <c r="M199" t="inlineStr">
        <is>
          <t>1987</t>
        </is>
      </c>
      <c r="O199" t="inlineStr">
        <is>
          <t>eng</t>
        </is>
      </c>
      <c r="P199" t="inlineStr">
        <is>
          <t>mau</t>
        </is>
      </c>
      <c r="R199" t="inlineStr">
        <is>
          <t xml:space="preserve">BX </t>
        </is>
      </c>
      <c r="S199" t="n">
        <v>5</v>
      </c>
      <c r="T199" t="n">
        <v>5</v>
      </c>
      <c r="U199" t="inlineStr">
        <is>
          <t>1999-01-06</t>
        </is>
      </c>
      <c r="V199" t="inlineStr">
        <is>
          <t>1999-01-06</t>
        </is>
      </c>
      <c r="W199" t="inlineStr">
        <is>
          <t>1991-08-19</t>
        </is>
      </c>
      <c r="X199" t="inlineStr">
        <is>
          <t>1991-08-19</t>
        </is>
      </c>
      <c r="Y199" t="n">
        <v>146</v>
      </c>
      <c r="Z199" t="n">
        <v>141</v>
      </c>
      <c r="AA199" t="n">
        <v>141</v>
      </c>
      <c r="AB199" t="n">
        <v>3</v>
      </c>
      <c r="AC199" t="n">
        <v>3</v>
      </c>
      <c r="AD199" t="n">
        <v>14</v>
      </c>
      <c r="AE199" t="n">
        <v>14</v>
      </c>
      <c r="AF199" t="n">
        <v>4</v>
      </c>
      <c r="AG199" t="n">
        <v>4</v>
      </c>
      <c r="AH199" t="n">
        <v>3</v>
      </c>
      <c r="AI199" t="n">
        <v>3</v>
      </c>
      <c r="AJ199" t="n">
        <v>10</v>
      </c>
      <c r="AK199" t="n">
        <v>10</v>
      </c>
      <c r="AL199" t="n">
        <v>1</v>
      </c>
      <c r="AM199" t="n">
        <v>1</v>
      </c>
      <c r="AN199" t="n">
        <v>0</v>
      </c>
      <c r="AO199" t="n">
        <v>0</v>
      </c>
      <c r="AP199" t="inlineStr">
        <is>
          <t>No</t>
        </is>
      </c>
      <c r="AQ199" t="inlineStr">
        <is>
          <t>No</t>
        </is>
      </c>
      <c r="AS199">
        <f>HYPERLINK("https://creighton-primo.hosted.exlibrisgroup.com/primo-explore/search?tab=default_tab&amp;search_scope=EVERYTHING&amp;vid=01CRU&amp;lang=en_US&amp;offset=0&amp;query=any,contains,991001201739702656","Catalog Record")</f>
        <v/>
      </c>
      <c r="AT199">
        <f>HYPERLINK("http://www.worldcat.org/oclc/17307428","WorldCat Record")</f>
        <v/>
      </c>
      <c r="AU199" t="inlineStr">
        <is>
          <t>9592853005:eng</t>
        </is>
      </c>
      <c r="AV199" t="inlineStr">
        <is>
          <t>17307428</t>
        </is>
      </c>
      <c r="AW199" t="inlineStr">
        <is>
          <t>991001201739702656</t>
        </is>
      </c>
      <c r="AX199" t="inlineStr">
        <is>
          <t>991001201739702656</t>
        </is>
      </c>
      <c r="AY199" t="inlineStr">
        <is>
          <t>2266216880002656</t>
        </is>
      </c>
      <c r="AZ199" t="inlineStr">
        <is>
          <t>BOOK</t>
        </is>
      </c>
      <c r="BB199" t="inlineStr">
        <is>
          <t>9780819839176</t>
        </is>
      </c>
      <c r="BC199" t="inlineStr">
        <is>
          <t>32285000649342</t>
        </is>
      </c>
      <c r="BD199" t="inlineStr">
        <is>
          <t>893866048</t>
        </is>
      </c>
    </row>
    <row r="200">
      <c r="A200" t="inlineStr">
        <is>
          <t>No</t>
        </is>
      </c>
      <c r="B200" t="inlineStr">
        <is>
          <t>BX1406.2 .J66 2000</t>
        </is>
      </c>
      <c r="C200" t="inlineStr">
        <is>
          <t>0                      BX 1406200J  66          2000</t>
        </is>
      </c>
      <c r="D200" t="inlineStr">
        <is>
          <t>New Catholics for a new century : the U.S. church today and where it's headed / Arthur Jones.</t>
        </is>
      </c>
      <c r="F200" t="inlineStr">
        <is>
          <t>No</t>
        </is>
      </c>
      <c r="G200" t="inlineStr">
        <is>
          <t>1</t>
        </is>
      </c>
      <c r="H200" t="inlineStr">
        <is>
          <t>No</t>
        </is>
      </c>
      <c r="I200" t="inlineStr">
        <is>
          <t>No</t>
        </is>
      </c>
      <c r="J200" t="inlineStr">
        <is>
          <t>0</t>
        </is>
      </c>
      <c r="K200" t="inlineStr">
        <is>
          <t>Jones, Arthur, 1936-</t>
        </is>
      </c>
      <c r="L200" t="inlineStr">
        <is>
          <t>Allen, Texas : Thomas More Pub., c2000.</t>
        </is>
      </c>
      <c r="M200" t="inlineStr">
        <is>
          <t>2000</t>
        </is>
      </c>
      <c r="O200" t="inlineStr">
        <is>
          <t>eng</t>
        </is>
      </c>
      <c r="P200" t="inlineStr">
        <is>
          <t>txu</t>
        </is>
      </c>
      <c r="R200" t="inlineStr">
        <is>
          <t xml:space="preserve">BX </t>
        </is>
      </c>
      <c r="S200" t="n">
        <v>7</v>
      </c>
      <c r="T200" t="n">
        <v>7</v>
      </c>
      <c r="U200" t="inlineStr">
        <is>
          <t>2004-11-09</t>
        </is>
      </c>
      <c r="V200" t="inlineStr">
        <is>
          <t>2004-11-09</t>
        </is>
      </c>
      <c r="W200" t="inlineStr">
        <is>
          <t>2001-01-22</t>
        </is>
      </c>
      <c r="X200" t="inlineStr">
        <is>
          <t>2001-01-22</t>
        </is>
      </c>
      <c r="Y200" t="n">
        <v>106</v>
      </c>
      <c r="Z200" t="n">
        <v>103</v>
      </c>
      <c r="AA200" t="n">
        <v>108</v>
      </c>
      <c r="AB200" t="n">
        <v>1</v>
      </c>
      <c r="AC200" t="n">
        <v>1</v>
      </c>
      <c r="AD200" t="n">
        <v>15</v>
      </c>
      <c r="AE200" t="n">
        <v>15</v>
      </c>
      <c r="AF200" t="n">
        <v>4</v>
      </c>
      <c r="AG200" t="n">
        <v>4</v>
      </c>
      <c r="AH200" t="n">
        <v>5</v>
      </c>
      <c r="AI200" t="n">
        <v>5</v>
      </c>
      <c r="AJ200" t="n">
        <v>9</v>
      </c>
      <c r="AK200" t="n">
        <v>9</v>
      </c>
      <c r="AL200" t="n">
        <v>0</v>
      </c>
      <c r="AM200" t="n">
        <v>0</v>
      </c>
      <c r="AN200" t="n">
        <v>0</v>
      </c>
      <c r="AO200" t="n">
        <v>0</v>
      </c>
      <c r="AP200" t="inlineStr">
        <is>
          <t>No</t>
        </is>
      </c>
      <c r="AQ200" t="inlineStr">
        <is>
          <t>No</t>
        </is>
      </c>
      <c r="AS200">
        <f>HYPERLINK("https://creighton-primo.hosted.exlibrisgroup.com/primo-explore/search?tab=default_tab&amp;search_scope=EVERYTHING&amp;vid=01CRU&amp;lang=en_US&amp;offset=0&amp;query=any,contains,991003362969702656","Catalog Record")</f>
        <v/>
      </c>
      <c r="AT200">
        <f>HYPERLINK("http://www.worldcat.org/oclc/44515521","WorldCat Record")</f>
        <v/>
      </c>
      <c r="AU200" t="inlineStr">
        <is>
          <t>346939717:eng</t>
        </is>
      </c>
      <c r="AV200" t="inlineStr">
        <is>
          <t>44515521</t>
        </is>
      </c>
      <c r="AW200" t="inlineStr">
        <is>
          <t>991003362969702656</t>
        </is>
      </c>
      <c r="AX200" t="inlineStr">
        <is>
          <t>991003362969702656</t>
        </is>
      </c>
      <c r="AY200" t="inlineStr">
        <is>
          <t>2263146450002656</t>
        </is>
      </c>
      <c r="AZ200" t="inlineStr">
        <is>
          <t>BOOK</t>
        </is>
      </c>
      <c r="BB200" t="inlineStr">
        <is>
          <t>9780883474556</t>
        </is>
      </c>
      <c r="BC200" t="inlineStr">
        <is>
          <t>32285004290390</t>
        </is>
      </c>
      <c r="BD200" t="inlineStr">
        <is>
          <t>893441227</t>
        </is>
      </c>
    </row>
    <row r="201">
      <c r="A201" t="inlineStr">
        <is>
          <t>No</t>
        </is>
      </c>
      <c r="B201" t="inlineStr">
        <is>
          <t>BX1406.2 .K43</t>
        </is>
      </c>
      <c r="C201" t="inlineStr">
        <is>
          <t>0                      BX 1406200K  43</t>
        </is>
      </c>
      <c r="D201" t="inlineStr">
        <is>
          <t>The battle for the American church / George A. Kelly.</t>
        </is>
      </c>
      <c r="F201" t="inlineStr">
        <is>
          <t>No</t>
        </is>
      </c>
      <c r="G201" t="inlineStr">
        <is>
          <t>1</t>
        </is>
      </c>
      <c r="H201" t="inlineStr">
        <is>
          <t>No</t>
        </is>
      </c>
      <c r="I201" t="inlineStr">
        <is>
          <t>No</t>
        </is>
      </c>
      <c r="J201" t="inlineStr">
        <is>
          <t>0</t>
        </is>
      </c>
      <c r="K201" t="inlineStr">
        <is>
          <t>Kelly, George Anthony, 1916-2004.</t>
        </is>
      </c>
      <c r="L201" t="inlineStr">
        <is>
          <t>Garden City, N.Y. : Doubleday, 1979.</t>
        </is>
      </c>
      <c r="M201" t="inlineStr">
        <is>
          <t>1979</t>
        </is>
      </c>
      <c r="O201" t="inlineStr">
        <is>
          <t>eng</t>
        </is>
      </c>
      <c r="P201" t="inlineStr">
        <is>
          <t>nyu</t>
        </is>
      </c>
      <c r="R201" t="inlineStr">
        <is>
          <t xml:space="preserve">BX </t>
        </is>
      </c>
      <c r="S201" t="n">
        <v>3</v>
      </c>
      <c r="T201" t="n">
        <v>3</v>
      </c>
      <c r="U201" t="inlineStr">
        <is>
          <t>2003-06-29</t>
        </is>
      </c>
      <c r="V201" t="inlineStr">
        <is>
          <t>2003-06-29</t>
        </is>
      </c>
      <c r="W201" t="inlineStr">
        <is>
          <t>1991-02-12</t>
        </is>
      </c>
      <c r="X201" t="inlineStr">
        <is>
          <t>1991-02-12</t>
        </is>
      </c>
      <c r="Y201" t="n">
        <v>471</v>
      </c>
      <c r="Z201" t="n">
        <v>437</v>
      </c>
      <c r="AA201" t="n">
        <v>541</v>
      </c>
      <c r="AB201" t="n">
        <v>5</v>
      </c>
      <c r="AC201" t="n">
        <v>7</v>
      </c>
      <c r="AD201" t="n">
        <v>32</v>
      </c>
      <c r="AE201" t="n">
        <v>35</v>
      </c>
      <c r="AF201" t="n">
        <v>10</v>
      </c>
      <c r="AG201" t="n">
        <v>11</v>
      </c>
      <c r="AH201" t="n">
        <v>9</v>
      </c>
      <c r="AI201" t="n">
        <v>9</v>
      </c>
      <c r="AJ201" t="n">
        <v>21</v>
      </c>
      <c r="AK201" t="n">
        <v>23</v>
      </c>
      <c r="AL201" t="n">
        <v>3</v>
      </c>
      <c r="AM201" t="n">
        <v>4</v>
      </c>
      <c r="AN201" t="n">
        <v>0</v>
      </c>
      <c r="AO201" t="n">
        <v>0</v>
      </c>
      <c r="AP201" t="inlineStr">
        <is>
          <t>No</t>
        </is>
      </c>
      <c r="AQ201" t="inlineStr">
        <is>
          <t>Yes</t>
        </is>
      </c>
      <c r="AR201">
        <f>HYPERLINK("http://catalog.hathitrust.org/Record/101997047","HathiTrust Record")</f>
        <v/>
      </c>
      <c r="AS201">
        <f>HYPERLINK("https://creighton-primo.hosted.exlibrisgroup.com/primo-explore/search?tab=default_tab&amp;search_scope=EVERYTHING&amp;vid=01CRU&amp;lang=en_US&amp;offset=0&amp;query=any,contains,991004742099702656","Catalog Record")</f>
        <v/>
      </c>
      <c r="AT201">
        <f>HYPERLINK("http://www.worldcat.org/oclc/4884512","WorldCat Record")</f>
        <v/>
      </c>
      <c r="AU201" t="inlineStr">
        <is>
          <t>68948619:eng</t>
        </is>
      </c>
      <c r="AV201" t="inlineStr">
        <is>
          <t>4884512</t>
        </is>
      </c>
      <c r="AW201" t="inlineStr">
        <is>
          <t>991004742099702656</t>
        </is>
      </c>
      <c r="AX201" t="inlineStr">
        <is>
          <t>991004742099702656</t>
        </is>
      </c>
      <c r="AY201" t="inlineStr">
        <is>
          <t>2262250180002656</t>
        </is>
      </c>
      <c r="AZ201" t="inlineStr">
        <is>
          <t>BOOK</t>
        </is>
      </c>
      <c r="BB201" t="inlineStr">
        <is>
          <t>9780385132664</t>
        </is>
      </c>
      <c r="BC201" t="inlineStr">
        <is>
          <t>32285000506484</t>
        </is>
      </c>
      <c r="BD201" t="inlineStr">
        <is>
          <t>893241788</t>
        </is>
      </c>
    </row>
    <row r="202">
      <c r="A202" t="inlineStr">
        <is>
          <t>No</t>
        </is>
      </c>
      <c r="B202" t="inlineStr">
        <is>
          <t>BX1406.2 .K447 1988</t>
        </is>
      </c>
      <c r="C202" t="inlineStr">
        <is>
          <t>0                      BX 1406200K  447         1988</t>
        </is>
      </c>
      <c r="D202" t="inlineStr">
        <is>
          <t>Tomorrow's Catholics, yesterday's church : the two cultures of American Catholicism / Eugene Kennedy.</t>
        </is>
      </c>
      <c r="F202" t="inlineStr">
        <is>
          <t>No</t>
        </is>
      </c>
      <c r="G202" t="inlineStr">
        <is>
          <t>1</t>
        </is>
      </c>
      <c r="H202" t="inlineStr">
        <is>
          <t>No</t>
        </is>
      </c>
      <c r="I202" t="inlineStr">
        <is>
          <t>No</t>
        </is>
      </c>
      <c r="J202" t="inlineStr">
        <is>
          <t>0</t>
        </is>
      </c>
      <c r="K202" t="inlineStr">
        <is>
          <t>Kennedy, Eugene C.</t>
        </is>
      </c>
      <c r="L202" t="inlineStr">
        <is>
          <t>New York : Harper &amp; Row, c1988.</t>
        </is>
      </c>
      <c r="M202" t="inlineStr">
        <is>
          <t>1988</t>
        </is>
      </c>
      <c r="N202" t="inlineStr">
        <is>
          <t>1st ed.</t>
        </is>
      </c>
      <c r="O202" t="inlineStr">
        <is>
          <t>eng</t>
        </is>
      </c>
      <c r="P202" t="inlineStr">
        <is>
          <t>nyu</t>
        </is>
      </c>
      <c r="R202" t="inlineStr">
        <is>
          <t xml:space="preserve">BX </t>
        </is>
      </c>
      <c r="S202" t="n">
        <v>3</v>
      </c>
      <c r="T202" t="n">
        <v>3</v>
      </c>
      <c r="U202" t="inlineStr">
        <is>
          <t>2001-02-01</t>
        </is>
      </c>
      <c r="V202" t="inlineStr">
        <is>
          <t>2001-02-01</t>
        </is>
      </c>
      <c r="W202" t="inlineStr">
        <is>
          <t>1991-02-12</t>
        </is>
      </c>
      <c r="X202" t="inlineStr">
        <is>
          <t>1991-02-12</t>
        </is>
      </c>
      <c r="Y202" t="n">
        <v>628</v>
      </c>
      <c r="Z202" t="n">
        <v>591</v>
      </c>
      <c r="AA202" t="n">
        <v>657</v>
      </c>
      <c r="AB202" t="n">
        <v>5</v>
      </c>
      <c r="AC202" t="n">
        <v>5</v>
      </c>
      <c r="AD202" t="n">
        <v>40</v>
      </c>
      <c r="AE202" t="n">
        <v>45</v>
      </c>
      <c r="AF202" t="n">
        <v>14</v>
      </c>
      <c r="AG202" t="n">
        <v>18</v>
      </c>
      <c r="AH202" t="n">
        <v>10</v>
      </c>
      <c r="AI202" t="n">
        <v>10</v>
      </c>
      <c r="AJ202" t="n">
        <v>24</v>
      </c>
      <c r="AK202" t="n">
        <v>25</v>
      </c>
      <c r="AL202" t="n">
        <v>3</v>
      </c>
      <c r="AM202" t="n">
        <v>3</v>
      </c>
      <c r="AN202" t="n">
        <v>0</v>
      </c>
      <c r="AO202" t="n">
        <v>0</v>
      </c>
      <c r="AP202" t="inlineStr">
        <is>
          <t>No</t>
        </is>
      </c>
      <c r="AQ202" t="inlineStr">
        <is>
          <t>Yes</t>
        </is>
      </c>
      <c r="AR202">
        <f>HYPERLINK("http://catalog.hathitrust.org/Record/001073456","HathiTrust Record")</f>
        <v/>
      </c>
      <c r="AS202">
        <f>HYPERLINK("https://creighton-primo.hosted.exlibrisgroup.com/primo-explore/search?tab=default_tab&amp;search_scope=EVERYTHING&amp;vid=01CRU&amp;lang=en_US&amp;offset=0&amp;query=any,contains,991001241539702656","Catalog Record")</f>
        <v/>
      </c>
      <c r="AT202">
        <f>HYPERLINK("http://www.worldcat.org/oclc/17620112","WorldCat Record")</f>
        <v/>
      </c>
      <c r="AU202" t="inlineStr">
        <is>
          <t>15724660:eng</t>
        </is>
      </c>
      <c r="AV202" t="inlineStr">
        <is>
          <t>17620112</t>
        </is>
      </c>
      <c r="AW202" t="inlineStr">
        <is>
          <t>991001241539702656</t>
        </is>
      </c>
      <c r="AX202" t="inlineStr">
        <is>
          <t>991001241539702656</t>
        </is>
      </c>
      <c r="AY202" t="inlineStr">
        <is>
          <t>2261602800002656</t>
        </is>
      </c>
      <c r="AZ202" t="inlineStr">
        <is>
          <t>BOOK</t>
        </is>
      </c>
      <c r="BB202" t="inlineStr">
        <is>
          <t>9780060159801</t>
        </is>
      </c>
      <c r="BC202" t="inlineStr">
        <is>
          <t>32285000506500</t>
        </is>
      </c>
      <c r="BD202" t="inlineStr">
        <is>
          <t>893715294</t>
        </is>
      </c>
    </row>
    <row r="203">
      <c r="A203" t="inlineStr">
        <is>
          <t>No</t>
        </is>
      </c>
      <c r="B203" t="inlineStr">
        <is>
          <t>BX1406.2 .L53</t>
        </is>
      </c>
      <c r="C203" t="inlineStr">
        <is>
          <t>0                      BX 1406200L  53</t>
        </is>
      </c>
      <c r="D203" t="inlineStr">
        <is>
          <t>Catholics/U.S.A. : perspectives on social change / [by] William T. Liu [and] Nathaniel J. Pallone.</t>
        </is>
      </c>
      <c r="F203" t="inlineStr">
        <is>
          <t>No</t>
        </is>
      </c>
      <c r="G203" t="inlineStr">
        <is>
          <t>1</t>
        </is>
      </c>
      <c r="H203" t="inlineStr">
        <is>
          <t>No</t>
        </is>
      </c>
      <c r="I203" t="inlineStr">
        <is>
          <t>No</t>
        </is>
      </c>
      <c r="J203" t="inlineStr">
        <is>
          <t>0</t>
        </is>
      </c>
      <c r="K203" t="inlineStr">
        <is>
          <t>Liu, William Thomas, 1930-2008 compiler.</t>
        </is>
      </c>
      <c r="L203" t="inlineStr">
        <is>
          <t>New York, Wiley [1970]</t>
        </is>
      </c>
      <c r="M203" t="inlineStr">
        <is>
          <t>1970</t>
        </is>
      </c>
      <c r="O203" t="inlineStr">
        <is>
          <t>eng</t>
        </is>
      </c>
      <c r="P203" t="inlineStr">
        <is>
          <t>nyu</t>
        </is>
      </c>
      <c r="R203" t="inlineStr">
        <is>
          <t xml:space="preserve">BX </t>
        </is>
      </c>
      <c r="S203" t="n">
        <v>2</v>
      </c>
      <c r="T203" t="n">
        <v>2</v>
      </c>
      <c r="U203" t="inlineStr">
        <is>
          <t>1994-03-02</t>
        </is>
      </c>
      <c r="V203" t="inlineStr">
        <is>
          <t>1994-03-02</t>
        </is>
      </c>
      <c r="W203" t="inlineStr">
        <is>
          <t>1991-02-12</t>
        </is>
      </c>
      <c r="X203" t="inlineStr">
        <is>
          <t>1991-02-12</t>
        </is>
      </c>
      <c r="Y203" t="n">
        <v>447</v>
      </c>
      <c r="Z203" t="n">
        <v>390</v>
      </c>
      <c r="AA203" t="n">
        <v>398</v>
      </c>
      <c r="AB203" t="n">
        <v>4</v>
      </c>
      <c r="AC203" t="n">
        <v>4</v>
      </c>
      <c r="AD203" t="n">
        <v>29</v>
      </c>
      <c r="AE203" t="n">
        <v>29</v>
      </c>
      <c r="AF203" t="n">
        <v>7</v>
      </c>
      <c r="AG203" t="n">
        <v>7</v>
      </c>
      <c r="AH203" t="n">
        <v>7</v>
      </c>
      <c r="AI203" t="n">
        <v>7</v>
      </c>
      <c r="AJ203" t="n">
        <v>20</v>
      </c>
      <c r="AK203" t="n">
        <v>20</v>
      </c>
      <c r="AL203" t="n">
        <v>2</v>
      </c>
      <c r="AM203" t="n">
        <v>2</v>
      </c>
      <c r="AN203" t="n">
        <v>0</v>
      </c>
      <c r="AO203" t="n">
        <v>0</v>
      </c>
      <c r="AP203" t="inlineStr">
        <is>
          <t>No</t>
        </is>
      </c>
      <c r="AQ203" t="inlineStr">
        <is>
          <t>Yes</t>
        </is>
      </c>
      <c r="AR203">
        <f>HYPERLINK("http://catalog.hathitrust.org/Record/001415990","HathiTrust Record")</f>
        <v/>
      </c>
      <c r="AS203">
        <f>HYPERLINK("https://creighton-primo.hosted.exlibrisgroup.com/primo-explore/search?tab=default_tab&amp;search_scope=EVERYTHING&amp;vid=01CRU&amp;lang=en_US&amp;offset=0&amp;query=any,contains,991000131939702656","Catalog Record")</f>
        <v/>
      </c>
      <c r="AT203">
        <f>HYPERLINK("http://www.worldcat.org/oclc/54535","WorldCat Record")</f>
        <v/>
      </c>
      <c r="AU203" t="inlineStr">
        <is>
          <t>836640760:eng</t>
        </is>
      </c>
      <c r="AV203" t="inlineStr">
        <is>
          <t>54535</t>
        </is>
      </c>
      <c r="AW203" t="inlineStr">
        <is>
          <t>991000131939702656</t>
        </is>
      </c>
      <c r="AX203" t="inlineStr">
        <is>
          <t>991000131939702656</t>
        </is>
      </c>
      <c r="AY203" t="inlineStr">
        <is>
          <t>2258097910002656</t>
        </is>
      </c>
      <c r="AZ203" t="inlineStr">
        <is>
          <t>BOOK</t>
        </is>
      </c>
      <c r="BB203" t="inlineStr">
        <is>
          <t>9780471541493</t>
        </is>
      </c>
      <c r="BC203" t="inlineStr">
        <is>
          <t>32285000506526</t>
        </is>
      </c>
      <c r="BD203" t="inlineStr">
        <is>
          <t>893796450</t>
        </is>
      </c>
    </row>
    <row r="204">
      <c r="A204" t="inlineStr">
        <is>
          <t>No</t>
        </is>
      </c>
      <c r="B204" t="inlineStr">
        <is>
          <t>BX1406.2 .M377 1995</t>
        </is>
      </c>
      <c r="C204" t="inlineStr">
        <is>
          <t>0                      BX 1406200M  377         1995</t>
        </is>
      </c>
      <c r="D204" t="inlineStr">
        <is>
          <t>A short history of American Catholicism / Martin E. Marty.</t>
        </is>
      </c>
      <c r="F204" t="inlineStr">
        <is>
          <t>No</t>
        </is>
      </c>
      <c r="G204" t="inlineStr">
        <is>
          <t>1</t>
        </is>
      </c>
      <c r="H204" t="inlineStr">
        <is>
          <t>No</t>
        </is>
      </c>
      <c r="I204" t="inlineStr">
        <is>
          <t>No</t>
        </is>
      </c>
      <c r="J204" t="inlineStr">
        <is>
          <t>0</t>
        </is>
      </c>
      <c r="K204" t="inlineStr">
        <is>
          <t>Marty, Martin E., 1928-</t>
        </is>
      </c>
      <c r="L204" t="inlineStr">
        <is>
          <t>Allen, Tex. : Thomas More, c1995.</t>
        </is>
      </c>
      <c r="M204" t="inlineStr">
        <is>
          <t>1995</t>
        </is>
      </c>
      <c r="O204" t="inlineStr">
        <is>
          <t>eng</t>
        </is>
      </c>
      <c r="P204" t="inlineStr">
        <is>
          <t>txu</t>
        </is>
      </c>
      <c r="R204" t="inlineStr">
        <is>
          <t xml:space="preserve">BX </t>
        </is>
      </c>
      <c r="S204" t="n">
        <v>9</v>
      </c>
      <c r="T204" t="n">
        <v>9</v>
      </c>
      <c r="U204" t="inlineStr">
        <is>
          <t>2008-11-17</t>
        </is>
      </c>
      <c r="V204" t="inlineStr">
        <is>
          <t>2008-11-17</t>
        </is>
      </c>
      <c r="W204" t="inlineStr">
        <is>
          <t>1996-09-06</t>
        </is>
      </c>
      <c r="X204" t="inlineStr">
        <is>
          <t>1996-09-06</t>
        </is>
      </c>
      <c r="Y204" t="n">
        <v>484</v>
      </c>
      <c r="Z204" t="n">
        <v>456</v>
      </c>
      <c r="AA204" t="n">
        <v>457</v>
      </c>
      <c r="AB204" t="n">
        <v>4</v>
      </c>
      <c r="AC204" t="n">
        <v>4</v>
      </c>
      <c r="AD204" t="n">
        <v>33</v>
      </c>
      <c r="AE204" t="n">
        <v>33</v>
      </c>
      <c r="AF204" t="n">
        <v>13</v>
      </c>
      <c r="AG204" t="n">
        <v>13</v>
      </c>
      <c r="AH204" t="n">
        <v>7</v>
      </c>
      <c r="AI204" t="n">
        <v>7</v>
      </c>
      <c r="AJ204" t="n">
        <v>20</v>
      </c>
      <c r="AK204" t="n">
        <v>20</v>
      </c>
      <c r="AL204" t="n">
        <v>3</v>
      </c>
      <c r="AM204" t="n">
        <v>3</v>
      </c>
      <c r="AN204" t="n">
        <v>0</v>
      </c>
      <c r="AO204" t="n">
        <v>0</v>
      </c>
      <c r="AP204" t="inlineStr">
        <is>
          <t>No</t>
        </is>
      </c>
      <c r="AQ204" t="inlineStr">
        <is>
          <t>No</t>
        </is>
      </c>
      <c r="AS204">
        <f>HYPERLINK("https://creighton-primo.hosted.exlibrisgroup.com/primo-explore/search?tab=default_tab&amp;search_scope=EVERYTHING&amp;vid=01CRU&amp;lang=en_US&amp;offset=0&amp;query=any,contains,991002569189702656","Catalog Record")</f>
        <v/>
      </c>
      <c r="AT204">
        <f>HYPERLINK("http://www.worldcat.org/oclc/33402955","WorldCat Record")</f>
        <v/>
      </c>
      <c r="AU204" t="inlineStr">
        <is>
          <t>37474519:eng</t>
        </is>
      </c>
      <c r="AV204" t="inlineStr">
        <is>
          <t>33402955</t>
        </is>
      </c>
      <c r="AW204" t="inlineStr">
        <is>
          <t>991002569189702656</t>
        </is>
      </c>
      <c r="AX204" t="inlineStr">
        <is>
          <t>991002569189702656</t>
        </is>
      </c>
      <c r="AY204" t="inlineStr">
        <is>
          <t>2272620560002656</t>
        </is>
      </c>
      <c r="AZ204" t="inlineStr">
        <is>
          <t>BOOK</t>
        </is>
      </c>
      <c r="BB204" t="inlineStr">
        <is>
          <t>9780883473207</t>
        </is>
      </c>
      <c r="BC204" t="inlineStr">
        <is>
          <t>32285002294964</t>
        </is>
      </c>
      <c r="BD204" t="inlineStr">
        <is>
          <t>893415365</t>
        </is>
      </c>
    </row>
    <row r="205">
      <c r="A205" t="inlineStr">
        <is>
          <t>No</t>
        </is>
      </c>
      <c r="B205" t="inlineStr">
        <is>
          <t>BX1406.2 .O22 1989</t>
        </is>
      </c>
      <c r="C205" t="inlineStr">
        <is>
          <t>0                      BX 1406200O  22          1989</t>
        </is>
      </c>
      <c r="D205" t="inlineStr">
        <is>
          <t>Public Catholicism / David O'Brien.</t>
        </is>
      </c>
      <c r="F205" t="inlineStr">
        <is>
          <t>No</t>
        </is>
      </c>
      <c r="G205" t="inlineStr">
        <is>
          <t>1</t>
        </is>
      </c>
      <c r="H205" t="inlineStr">
        <is>
          <t>No</t>
        </is>
      </c>
      <c r="I205" t="inlineStr">
        <is>
          <t>No</t>
        </is>
      </c>
      <c r="J205" t="inlineStr">
        <is>
          <t>0</t>
        </is>
      </c>
      <c r="K205" t="inlineStr">
        <is>
          <t>O'Brien, David J.</t>
        </is>
      </c>
      <c r="L205" t="inlineStr">
        <is>
          <t>New York : Macmillan ; London : Collier Macmillan Publishers, c1989.</t>
        </is>
      </c>
      <c r="M205" t="inlineStr">
        <is>
          <t>1989</t>
        </is>
      </c>
      <c r="O205" t="inlineStr">
        <is>
          <t>eng</t>
        </is>
      </c>
      <c r="P205" t="inlineStr">
        <is>
          <t>nyu</t>
        </is>
      </c>
      <c r="Q205" t="inlineStr">
        <is>
          <t>The Bicentennial history of the Catholic Church in America</t>
        </is>
      </c>
      <c r="R205" t="inlineStr">
        <is>
          <t xml:space="preserve">BX </t>
        </is>
      </c>
      <c r="S205" t="n">
        <v>6</v>
      </c>
      <c r="T205" t="n">
        <v>6</v>
      </c>
      <c r="U205" t="inlineStr">
        <is>
          <t>2007-02-28</t>
        </is>
      </c>
      <c r="V205" t="inlineStr">
        <is>
          <t>2007-02-28</t>
        </is>
      </c>
      <c r="W205" t="inlineStr">
        <is>
          <t>1995-02-22</t>
        </is>
      </c>
      <c r="X205" t="inlineStr">
        <is>
          <t>1995-02-22</t>
        </is>
      </c>
      <c r="Y205" t="n">
        <v>466</v>
      </c>
      <c r="Z205" t="n">
        <v>443</v>
      </c>
      <c r="AA205" t="n">
        <v>485</v>
      </c>
      <c r="AB205" t="n">
        <v>4</v>
      </c>
      <c r="AC205" t="n">
        <v>4</v>
      </c>
      <c r="AD205" t="n">
        <v>38</v>
      </c>
      <c r="AE205" t="n">
        <v>42</v>
      </c>
      <c r="AF205" t="n">
        <v>13</v>
      </c>
      <c r="AG205" t="n">
        <v>17</v>
      </c>
      <c r="AH205" t="n">
        <v>9</v>
      </c>
      <c r="AI205" t="n">
        <v>9</v>
      </c>
      <c r="AJ205" t="n">
        <v>24</v>
      </c>
      <c r="AK205" t="n">
        <v>26</v>
      </c>
      <c r="AL205" t="n">
        <v>2</v>
      </c>
      <c r="AM205" t="n">
        <v>2</v>
      </c>
      <c r="AN205" t="n">
        <v>1</v>
      </c>
      <c r="AO205" t="n">
        <v>1</v>
      </c>
      <c r="AP205" t="inlineStr">
        <is>
          <t>No</t>
        </is>
      </c>
      <c r="AQ205" t="inlineStr">
        <is>
          <t>Yes</t>
        </is>
      </c>
      <c r="AR205">
        <f>HYPERLINK("http://catalog.hathitrust.org/Record/006921704","HathiTrust Record")</f>
        <v/>
      </c>
      <c r="AS205">
        <f>HYPERLINK("https://creighton-primo.hosted.exlibrisgroup.com/primo-explore/search?tab=default_tab&amp;search_scope=EVERYTHING&amp;vid=01CRU&amp;lang=en_US&amp;offset=0&amp;query=any,contains,991001300489702656","Catalog Record")</f>
        <v/>
      </c>
      <c r="AT205">
        <f>HYPERLINK("http://www.worldcat.org/oclc/18069007","WorldCat Record")</f>
        <v/>
      </c>
      <c r="AU205" t="inlineStr">
        <is>
          <t>16631640:eng</t>
        </is>
      </c>
      <c r="AV205" t="inlineStr">
        <is>
          <t>18069007</t>
        </is>
      </c>
      <c r="AW205" t="inlineStr">
        <is>
          <t>991001300489702656</t>
        </is>
      </c>
      <c r="AX205" t="inlineStr">
        <is>
          <t>991001300489702656</t>
        </is>
      </c>
      <c r="AY205" t="inlineStr">
        <is>
          <t>2262626920002656</t>
        </is>
      </c>
      <c r="AZ205" t="inlineStr">
        <is>
          <t>BOOK</t>
        </is>
      </c>
      <c r="BB205" t="inlineStr">
        <is>
          <t>9780029238318</t>
        </is>
      </c>
      <c r="BC205" t="inlineStr">
        <is>
          <t>32285001779379</t>
        </is>
      </c>
      <c r="BD205" t="inlineStr">
        <is>
          <t>893715355</t>
        </is>
      </c>
    </row>
    <row r="206">
      <c r="A206" t="inlineStr">
        <is>
          <t>No</t>
        </is>
      </c>
      <c r="B206" t="inlineStr">
        <is>
          <t>BX1406.2 .O23 1972</t>
        </is>
      </c>
      <c r="C206" t="inlineStr">
        <is>
          <t>0                      BX 1406200O  23          1972</t>
        </is>
      </c>
      <c r="D206" t="inlineStr">
        <is>
          <t>The renewal of American Catholicism / [by] David J. O'Brien.</t>
        </is>
      </c>
      <c r="F206" t="inlineStr">
        <is>
          <t>No</t>
        </is>
      </c>
      <c r="G206" t="inlineStr">
        <is>
          <t>1</t>
        </is>
      </c>
      <c r="H206" t="inlineStr">
        <is>
          <t>No</t>
        </is>
      </c>
      <c r="I206" t="inlineStr">
        <is>
          <t>No</t>
        </is>
      </c>
      <c r="J206" t="inlineStr">
        <is>
          <t>0</t>
        </is>
      </c>
      <c r="K206" t="inlineStr">
        <is>
          <t>O'Brien, David J.</t>
        </is>
      </c>
      <c r="L206" t="inlineStr">
        <is>
          <t>New York : Oxford University Press, 1972.</t>
        </is>
      </c>
      <c r="M206" t="inlineStr">
        <is>
          <t>1972</t>
        </is>
      </c>
      <c r="O206" t="inlineStr">
        <is>
          <t>eng</t>
        </is>
      </c>
      <c r="P206" t="inlineStr">
        <is>
          <t>nyu</t>
        </is>
      </c>
      <c r="R206" t="inlineStr">
        <is>
          <t xml:space="preserve">BX </t>
        </is>
      </c>
      <c r="S206" t="n">
        <v>2</v>
      </c>
      <c r="T206" t="n">
        <v>2</v>
      </c>
      <c r="U206" t="inlineStr">
        <is>
          <t>2007-02-28</t>
        </is>
      </c>
      <c r="V206" t="inlineStr">
        <is>
          <t>2007-02-28</t>
        </is>
      </c>
      <c r="W206" t="inlineStr">
        <is>
          <t>1991-02-12</t>
        </is>
      </c>
      <c r="X206" t="inlineStr">
        <is>
          <t>1991-02-12</t>
        </is>
      </c>
      <c r="Y206" t="n">
        <v>665</v>
      </c>
      <c r="Z206" t="n">
        <v>601</v>
      </c>
      <c r="AA206" t="n">
        <v>630</v>
      </c>
      <c r="AB206" t="n">
        <v>7</v>
      </c>
      <c r="AC206" t="n">
        <v>7</v>
      </c>
      <c r="AD206" t="n">
        <v>41</v>
      </c>
      <c r="AE206" t="n">
        <v>42</v>
      </c>
      <c r="AF206" t="n">
        <v>15</v>
      </c>
      <c r="AG206" t="n">
        <v>15</v>
      </c>
      <c r="AH206" t="n">
        <v>9</v>
      </c>
      <c r="AI206" t="n">
        <v>9</v>
      </c>
      <c r="AJ206" t="n">
        <v>26</v>
      </c>
      <c r="AK206" t="n">
        <v>27</v>
      </c>
      <c r="AL206" t="n">
        <v>4</v>
      </c>
      <c r="AM206" t="n">
        <v>4</v>
      </c>
      <c r="AN206" t="n">
        <v>0</v>
      </c>
      <c r="AO206" t="n">
        <v>0</v>
      </c>
      <c r="AP206" t="inlineStr">
        <is>
          <t>No</t>
        </is>
      </c>
      <c r="AQ206" t="inlineStr">
        <is>
          <t>Yes</t>
        </is>
      </c>
      <c r="AR206">
        <f>HYPERLINK("http://catalog.hathitrust.org/Record/001415992","HathiTrust Record")</f>
        <v/>
      </c>
      <c r="AS206">
        <f>HYPERLINK("https://creighton-primo.hosted.exlibrisgroup.com/primo-explore/search?tab=default_tab&amp;search_scope=EVERYTHING&amp;vid=01CRU&amp;lang=en_US&amp;offset=0&amp;query=any,contains,991002897709702656","Catalog Record")</f>
        <v/>
      </c>
      <c r="AT206">
        <f>HYPERLINK("http://www.worldcat.org/oclc/514827","WorldCat Record")</f>
        <v/>
      </c>
      <c r="AU206" t="inlineStr">
        <is>
          <t>414788:eng</t>
        </is>
      </c>
      <c r="AV206" t="inlineStr">
        <is>
          <t>514827</t>
        </is>
      </c>
      <c r="AW206" t="inlineStr">
        <is>
          <t>991002897709702656</t>
        </is>
      </c>
      <c r="AX206" t="inlineStr">
        <is>
          <t>991002897709702656</t>
        </is>
      </c>
      <c r="AY206" t="inlineStr">
        <is>
          <t>2261993590002656</t>
        </is>
      </c>
      <c r="AZ206" t="inlineStr">
        <is>
          <t>BOOK</t>
        </is>
      </c>
      <c r="BB206" t="inlineStr">
        <is>
          <t>9780195016017</t>
        </is>
      </c>
      <c r="BC206" t="inlineStr">
        <is>
          <t>32285000506609</t>
        </is>
      </c>
      <c r="BD206" t="inlineStr">
        <is>
          <t>893893147</t>
        </is>
      </c>
    </row>
    <row r="207">
      <c r="A207" t="inlineStr">
        <is>
          <t>No</t>
        </is>
      </c>
      <c r="B207" t="inlineStr">
        <is>
          <t>BX1406.2 .P47 1989</t>
        </is>
      </c>
      <c r="C207" t="inlineStr">
        <is>
          <t>0                      BX 1406200P  47          1989</t>
        </is>
      </c>
      <c r="D207" t="inlineStr">
        <is>
          <t>Catholic &amp; American : a popular history / F. Michael Perko.</t>
        </is>
      </c>
      <c r="F207" t="inlineStr">
        <is>
          <t>No</t>
        </is>
      </c>
      <c r="G207" t="inlineStr">
        <is>
          <t>1</t>
        </is>
      </c>
      <c r="H207" t="inlineStr">
        <is>
          <t>No</t>
        </is>
      </c>
      <c r="I207" t="inlineStr">
        <is>
          <t>No</t>
        </is>
      </c>
      <c r="J207" t="inlineStr">
        <is>
          <t>0</t>
        </is>
      </c>
      <c r="K207" t="inlineStr">
        <is>
          <t>Perko, F. Michael (Francis Michael)</t>
        </is>
      </c>
      <c r="L207" t="inlineStr">
        <is>
          <t>Huntington, Ind. : Our Sunday Visitor Pub. Division, c1989.</t>
        </is>
      </c>
      <c r="M207" t="inlineStr">
        <is>
          <t>1989</t>
        </is>
      </c>
      <c r="O207" t="inlineStr">
        <is>
          <t>eng</t>
        </is>
      </c>
      <c r="P207" t="inlineStr">
        <is>
          <t>inu</t>
        </is>
      </c>
      <c r="Q207" t="inlineStr">
        <is>
          <t>OSV ; 490</t>
        </is>
      </c>
      <c r="R207" t="inlineStr">
        <is>
          <t xml:space="preserve">BX </t>
        </is>
      </c>
      <c r="S207" t="n">
        <v>8</v>
      </c>
      <c r="T207" t="n">
        <v>8</v>
      </c>
      <c r="U207" t="inlineStr">
        <is>
          <t>2006-03-26</t>
        </is>
      </c>
      <c r="V207" t="inlineStr">
        <is>
          <t>2006-03-26</t>
        </is>
      </c>
      <c r="W207" t="inlineStr">
        <is>
          <t>1990-04-02</t>
        </is>
      </c>
      <c r="X207" t="inlineStr">
        <is>
          <t>1990-04-02</t>
        </is>
      </c>
      <c r="Y207" t="n">
        <v>169</v>
      </c>
      <c r="Z207" t="n">
        <v>167</v>
      </c>
      <c r="AA207" t="n">
        <v>167</v>
      </c>
      <c r="AB207" t="n">
        <v>2</v>
      </c>
      <c r="AC207" t="n">
        <v>2</v>
      </c>
      <c r="AD207" t="n">
        <v>11</v>
      </c>
      <c r="AE207" t="n">
        <v>11</v>
      </c>
      <c r="AF207" t="n">
        <v>2</v>
      </c>
      <c r="AG207" t="n">
        <v>2</v>
      </c>
      <c r="AH207" t="n">
        <v>2</v>
      </c>
      <c r="AI207" t="n">
        <v>2</v>
      </c>
      <c r="AJ207" t="n">
        <v>10</v>
      </c>
      <c r="AK207" t="n">
        <v>10</v>
      </c>
      <c r="AL207" t="n">
        <v>0</v>
      </c>
      <c r="AM207" t="n">
        <v>0</v>
      </c>
      <c r="AN207" t="n">
        <v>0</v>
      </c>
      <c r="AO207" t="n">
        <v>0</v>
      </c>
      <c r="AP207" t="inlineStr">
        <is>
          <t>No</t>
        </is>
      </c>
      <c r="AQ207" t="inlineStr">
        <is>
          <t>No</t>
        </is>
      </c>
      <c r="AS207">
        <f>HYPERLINK("https://creighton-primo.hosted.exlibrisgroup.com/primo-explore/search?tab=default_tab&amp;search_scope=EVERYTHING&amp;vid=01CRU&amp;lang=en_US&amp;offset=0&amp;query=any,contains,991001490019702656","Catalog Record")</f>
        <v/>
      </c>
      <c r="AT207">
        <f>HYPERLINK("http://www.worldcat.org/oclc/19720954","WorldCat Record")</f>
        <v/>
      </c>
      <c r="AU207" t="inlineStr">
        <is>
          <t>21442559:eng</t>
        </is>
      </c>
      <c r="AV207" t="inlineStr">
        <is>
          <t>19720954</t>
        </is>
      </c>
      <c r="AW207" t="inlineStr">
        <is>
          <t>991001490019702656</t>
        </is>
      </c>
      <c r="AX207" t="inlineStr">
        <is>
          <t>991001490019702656</t>
        </is>
      </c>
      <c r="AY207" t="inlineStr">
        <is>
          <t>2259482090002656</t>
        </is>
      </c>
      <c r="AZ207" t="inlineStr">
        <is>
          <t>BOOK</t>
        </is>
      </c>
      <c r="BB207" t="inlineStr">
        <is>
          <t>9780879734909</t>
        </is>
      </c>
      <c r="BC207" t="inlineStr">
        <is>
          <t>32285000092634</t>
        </is>
      </c>
      <c r="BD207" t="inlineStr">
        <is>
          <t>893715483</t>
        </is>
      </c>
    </row>
    <row r="208">
      <c r="A208" t="inlineStr">
        <is>
          <t>No</t>
        </is>
      </c>
      <c r="B208" t="inlineStr">
        <is>
          <t>BX1406.2 .S25 1999</t>
        </is>
      </c>
      <c r="C208" t="inlineStr">
        <is>
          <t>0                      BX 1406200S  25          1999</t>
        </is>
      </c>
      <c r="D208" t="inlineStr">
        <is>
          <t>Saints and sinners : the American Catholic experience through stories, memoirs, essays, and commentary / edited by Greg Tobin.</t>
        </is>
      </c>
      <c r="F208" t="inlineStr">
        <is>
          <t>No</t>
        </is>
      </c>
      <c r="G208" t="inlineStr">
        <is>
          <t>1</t>
        </is>
      </c>
      <c r="H208" t="inlineStr">
        <is>
          <t>No</t>
        </is>
      </c>
      <c r="I208" t="inlineStr">
        <is>
          <t>No</t>
        </is>
      </c>
      <c r="J208" t="inlineStr">
        <is>
          <t>0</t>
        </is>
      </c>
      <c r="L208" t="inlineStr">
        <is>
          <t>New York : Doubleday, c1999.</t>
        </is>
      </c>
      <c r="M208" t="inlineStr">
        <is>
          <t>1999</t>
        </is>
      </c>
      <c r="N208" t="inlineStr">
        <is>
          <t>1st ed.</t>
        </is>
      </c>
      <c r="O208" t="inlineStr">
        <is>
          <t>eng</t>
        </is>
      </c>
      <c r="P208" t="inlineStr">
        <is>
          <t>nyu</t>
        </is>
      </c>
      <c r="R208" t="inlineStr">
        <is>
          <t xml:space="preserve">BX </t>
        </is>
      </c>
      <c r="S208" t="n">
        <v>2</v>
      </c>
      <c r="T208" t="n">
        <v>2</v>
      </c>
      <c r="U208" t="inlineStr">
        <is>
          <t>2003-06-26</t>
        </is>
      </c>
      <c r="V208" t="inlineStr">
        <is>
          <t>2003-06-26</t>
        </is>
      </c>
      <c r="W208" t="inlineStr">
        <is>
          <t>1999-12-09</t>
        </is>
      </c>
      <c r="X208" t="inlineStr">
        <is>
          <t>1999-12-09</t>
        </is>
      </c>
      <c r="Y208" t="n">
        <v>315</v>
      </c>
      <c r="Z208" t="n">
        <v>295</v>
      </c>
      <c r="AA208" t="n">
        <v>300</v>
      </c>
      <c r="AB208" t="n">
        <v>2</v>
      </c>
      <c r="AC208" t="n">
        <v>2</v>
      </c>
      <c r="AD208" t="n">
        <v>17</v>
      </c>
      <c r="AE208" t="n">
        <v>17</v>
      </c>
      <c r="AF208" t="n">
        <v>6</v>
      </c>
      <c r="AG208" t="n">
        <v>6</v>
      </c>
      <c r="AH208" t="n">
        <v>6</v>
      </c>
      <c r="AI208" t="n">
        <v>6</v>
      </c>
      <c r="AJ208" t="n">
        <v>9</v>
      </c>
      <c r="AK208" t="n">
        <v>9</v>
      </c>
      <c r="AL208" t="n">
        <v>0</v>
      </c>
      <c r="AM208" t="n">
        <v>0</v>
      </c>
      <c r="AN208" t="n">
        <v>0</v>
      </c>
      <c r="AO208" t="n">
        <v>0</v>
      </c>
      <c r="AP208" t="inlineStr">
        <is>
          <t>No</t>
        </is>
      </c>
      <c r="AQ208" t="inlineStr">
        <is>
          <t>No</t>
        </is>
      </c>
      <c r="AS208">
        <f>HYPERLINK("https://creighton-primo.hosted.exlibrisgroup.com/primo-explore/search?tab=default_tab&amp;search_scope=EVERYTHING&amp;vid=01CRU&amp;lang=en_US&amp;offset=0&amp;query=any,contains,991003016139702656","Catalog Record")</f>
        <v/>
      </c>
      <c r="AT208">
        <f>HYPERLINK("http://www.worldcat.org/oclc/41026587","WorldCat Record")</f>
        <v/>
      </c>
      <c r="AU208" t="inlineStr">
        <is>
          <t>26014459:eng</t>
        </is>
      </c>
      <c r="AV208" t="inlineStr">
        <is>
          <t>41026587</t>
        </is>
      </c>
      <c r="AW208" t="inlineStr">
        <is>
          <t>991003016139702656</t>
        </is>
      </c>
      <c r="AX208" t="inlineStr">
        <is>
          <t>991003016139702656</t>
        </is>
      </c>
      <c r="AY208" t="inlineStr">
        <is>
          <t>2257832180002656</t>
        </is>
      </c>
      <c r="AZ208" t="inlineStr">
        <is>
          <t>BOOK</t>
        </is>
      </c>
      <c r="BB208" t="inlineStr">
        <is>
          <t>9780385493314</t>
        </is>
      </c>
      <c r="BC208" t="inlineStr">
        <is>
          <t>32285003631610</t>
        </is>
      </c>
      <c r="BD208" t="inlineStr">
        <is>
          <t>893686099</t>
        </is>
      </c>
    </row>
    <row r="209">
      <c r="A209" t="inlineStr">
        <is>
          <t>No</t>
        </is>
      </c>
      <c r="B209" t="inlineStr">
        <is>
          <t>BX1406.2 .S43 1997</t>
        </is>
      </c>
      <c r="C209" t="inlineStr">
        <is>
          <t>0                      BX 1406200S  43          1997</t>
        </is>
      </c>
      <c r="D209" t="inlineStr">
        <is>
          <t>The search for common ground : what unites and divides American Catholics / James D. Davidson ... [et al.].</t>
        </is>
      </c>
      <c r="F209" t="inlineStr">
        <is>
          <t>No</t>
        </is>
      </c>
      <c r="G209" t="inlineStr">
        <is>
          <t>1</t>
        </is>
      </c>
      <c r="H209" t="inlineStr">
        <is>
          <t>No</t>
        </is>
      </c>
      <c r="I209" t="inlineStr">
        <is>
          <t>No</t>
        </is>
      </c>
      <c r="J209" t="inlineStr">
        <is>
          <t>0</t>
        </is>
      </c>
      <c r="L209" t="inlineStr">
        <is>
          <t>Huntington, Ind. : Our Sunday Visitor, 1997.</t>
        </is>
      </c>
      <c r="M209" t="inlineStr">
        <is>
          <t>1997</t>
        </is>
      </c>
      <c r="O209" t="inlineStr">
        <is>
          <t>eng</t>
        </is>
      </c>
      <c r="P209" t="inlineStr">
        <is>
          <t>inu</t>
        </is>
      </c>
      <c r="R209" t="inlineStr">
        <is>
          <t xml:space="preserve">BX </t>
        </is>
      </c>
      <c r="S209" t="n">
        <v>8</v>
      </c>
      <c r="T209" t="n">
        <v>8</v>
      </c>
      <c r="U209" t="inlineStr">
        <is>
          <t>2006-08-30</t>
        </is>
      </c>
      <c r="V209" t="inlineStr">
        <is>
          <t>2006-08-30</t>
        </is>
      </c>
      <c r="W209" t="inlineStr">
        <is>
          <t>1998-01-30</t>
        </is>
      </c>
      <c r="X209" t="inlineStr">
        <is>
          <t>1998-01-30</t>
        </is>
      </c>
      <c r="Y209" t="n">
        <v>183</v>
      </c>
      <c r="Z209" t="n">
        <v>166</v>
      </c>
      <c r="AA209" t="n">
        <v>173</v>
      </c>
      <c r="AB209" t="n">
        <v>2</v>
      </c>
      <c r="AC209" t="n">
        <v>2</v>
      </c>
      <c r="AD209" t="n">
        <v>22</v>
      </c>
      <c r="AE209" t="n">
        <v>22</v>
      </c>
      <c r="AF209" t="n">
        <v>8</v>
      </c>
      <c r="AG209" t="n">
        <v>8</v>
      </c>
      <c r="AH209" t="n">
        <v>4</v>
      </c>
      <c r="AI209" t="n">
        <v>4</v>
      </c>
      <c r="AJ209" t="n">
        <v>17</v>
      </c>
      <c r="AK209" t="n">
        <v>17</v>
      </c>
      <c r="AL209" t="n">
        <v>1</v>
      </c>
      <c r="AM209" t="n">
        <v>1</v>
      </c>
      <c r="AN209" t="n">
        <v>0</v>
      </c>
      <c r="AO209" t="n">
        <v>0</v>
      </c>
      <c r="AP209" t="inlineStr">
        <is>
          <t>No</t>
        </is>
      </c>
      <c r="AQ209" t="inlineStr">
        <is>
          <t>Yes</t>
        </is>
      </c>
      <c r="AR209">
        <f>HYPERLINK("http://catalog.hathitrust.org/Record/005023585","HathiTrust Record")</f>
        <v/>
      </c>
      <c r="AS209">
        <f>HYPERLINK("https://creighton-primo.hosted.exlibrisgroup.com/primo-explore/search?tab=default_tab&amp;search_scope=EVERYTHING&amp;vid=01CRU&amp;lang=en_US&amp;offset=0&amp;query=any,contains,991002900019702656","Catalog Record")</f>
        <v/>
      </c>
      <c r="AT209">
        <f>HYPERLINK("http://www.worldcat.org/oclc/38236588","WorldCat Record")</f>
        <v/>
      </c>
      <c r="AU209" t="inlineStr">
        <is>
          <t>644755:eng</t>
        </is>
      </c>
      <c r="AV209" t="inlineStr">
        <is>
          <t>38236588</t>
        </is>
      </c>
      <c r="AW209" t="inlineStr">
        <is>
          <t>991002900019702656</t>
        </is>
      </c>
      <c r="AX209" t="inlineStr">
        <is>
          <t>991002900019702656</t>
        </is>
      </c>
      <c r="AY209" t="inlineStr">
        <is>
          <t>2266982120002656</t>
        </is>
      </c>
      <c r="AZ209" t="inlineStr">
        <is>
          <t>BOOK</t>
        </is>
      </c>
      <c r="BB209" t="inlineStr">
        <is>
          <t>9780879739256</t>
        </is>
      </c>
      <c r="BC209" t="inlineStr">
        <is>
          <t>32285003268082</t>
        </is>
      </c>
      <c r="BD209" t="inlineStr">
        <is>
          <t>893886880</t>
        </is>
      </c>
    </row>
    <row r="210">
      <c r="A210" t="inlineStr">
        <is>
          <t>No</t>
        </is>
      </c>
      <c r="B210" t="inlineStr">
        <is>
          <t>BX1406.2 .S53 1986</t>
        </is>
      </c>
      <c r="C210" t="inlineStr">
        <is>
          <t>0                      BX 1406200S  53          1986</t>
        </is>
      </c>
      <c r="D210" t="inlineStr">
        <is>
          <t>Shepherds speak : American bishops confront the social and moral issues that challenge Christians today / edited by Dennis M. Corrado and James F. Hinchey.</t>
        </is>
      </c>
      <c r="F210" t="inlineStr">
        <is>
          <t>No</t>
        </is>
      </c>
      <c r="G210" t="inlineStr">
        <is>
          <t>1</t>
        </is>
      </c>
      <c r="H210" t="inlineStr">
        <is>
          <t>No</t>
        </is>
      </c>
      <c r="I210" t="inlineStr">
        <is>
          <t>No</t>
        </is>
      </c>
      <c r="J210" t="inlineStr">
        <is>
          <t>0</t>
        </is>
      </c>
      <c r="L210" t="inlineStr">
        <is>
          <t>New York : Crossroad, c1986.</t>
        </is>
      </c>
      <c r="M210" t="inlineStr">
        <is>
          <t>1986</t>
        </is>
      </c>
      <c r="O210" t="inlineStr">
        <is>
          <t>eng</t>
        </is>
      </c>
      <c r="P210" t="inlineStr">
        <is>
          <t>nyu</t>
        </is>
      </c>
      <c r="R210" t="inlineStr">
        <is>
          <t xml:space="preserve">BX </t>
        </is>
      </c>
      <c r="S210" t="n">
        <v>5</v>
      </c>
      <c r="T210" t="n">
        <v>5</v>
      </c>
      <c r="U210" t="inlineStr">
        <is>
          <t>1999-08-17</t>
        </is>
      </c>
      <c r="V210" t="inlineStr">
        <is>
          <t>1999-08-17</t>
        </is>
      </c>
      <c r="W210" t="inlineStr">
        <is>
          <t>1991-02-12</t>
        </is>
      </c>
      <c r="X210" t="inlineStr">
        <is>
          <t>1991-02-12</t>
        </is>
      </c>
      <c r="Y210" t="n">
        <v>433</v>
      </c>
      <c r="Z210" t="n">
        <v>406</v>
      </c>
      <c r="AA210" t="n">
        <v>414</v>
      </c>
      <c r="AB210" t="n">
        <v>2</v>
      </c>
      <c r="AC210" t="n">
        <v>2</v>
      </c>
      <c r="AD210" t="n">
        <v>27</v>
      </c>
      <c r="AE210" t="n">
        <v>27</v>
      </c>
      <c r="AF210" t="n">
        <v>7</v>
      </c>
      <c r="AG210" t="n">
        <v>7</v>
      </c>
      <c r="AH210" t="n">
        <v>8</v>
      </c>
      <c r="AI210" t="n">
        <v>8</v>
      </c>
      <c r="AJ210" t="n">
        <v>20</v>
      </c>
      <c r="AK210" t="n">
        <v>20</v>
      </c>
      <c r="AL210" t="n">
        <v>1</v>
      </c>
      <c r="AM210" t="n">
        <v>1</v>
      </c>
      <c r="AN210" t="n">
        <v>0</v>
      </c>
      <c r="AO210" t="n">
        <v>0</v>
      </c>
      <c r="AP210" t="inlineStr">
        <is>
          <t>No</t>
        </is>
      </c>
      <c r="AQ210" t="inlineStr">
        <is>
          <t>Yes</t>
        </is>
      </c>
      <c r="AR210">
        <f>HYPERLINK("http://catalog.hathitrust.org/Record/000435840","HathiTrust Record")</f>
        <v/>
      </c>
      <c r="AS210">
        <f>HYPERLINK("https://creighton-primo.hosted.exlibrisgroup.com/primo-explore/search?tab=default_tab&amp;search_scope=EVERYTHING&amp;vid=01CRU&amp;lang=en_US&amp;offset=0&amp;query=any,contains,991000831389702656","Catalog Record")</f>
        <v/>
      </c>
      <c r="AT210">
        <f>HYPERLINK("http://www.worldcat.org/oclc/13455576","WorldCat Record")</f>
        <v/>
      </c>
      <c r="AU210" t="inlineStr">
        <is>
          <t>890184348:eng</t>
        </is>
      </c>
      <c r="AV210" t="inlineStr">
        <is>
          <t>13455576</t>
        </is>
      </c>
      <c r="AW210" t="inlineStr">
        <is>
          <t>991000831389702656</t>
        </is>
      </c>
      <c r="AX210" t="inlineStr">
        <is>
          <t>991000831389702656</t>
        </is>
      </c>
      <c r="AY210" t="inlineStr">
        <is>
          <t>2263614750002656</t>
        </is>
      </c>
      <c r="AZ210" t="inlineStr">
        <is>
          <t>BOOK</t>
        </is>
      </c>
      <c r="BB210" t="inlineStr">
        <is>
          <t>9780824507374</t>
        </is>
      </c>
      <c r="BC210" t="inlineStr">
        <is>
          <t>32285000506625</t>
        </is>
      </c>
      <c r="BD210" t="inlineStr">
        <is>
          <t>893865727</t>
        </is>
      </c>
    </row>
    <row r="211">
      <c r="A211" t="inlineStr">
        <is>
          <t>No</t>
        </is>
      </c>
      <c r="B211" t="inlineStr">
        <is>
          <t>BX1406.2 .T765 1995</t>
        </is>
      </c>
      <c r="C211" t="inlineStr">
        <is>
          <t>0                      BX 1406200T  765         1995</t>
        </is>
      </c>
      <c r="D211" t="inlineStr">
        <is>
          <t>The Catholic ethic in American society : an exploration of values / John E. Tropman ; foreword by Rembert G. Weakland.</t>
        </is>
      </c>
      <c r="F211" t="inlineStr">
        <is>
          <t>No</t>
        </is>
      </c>
      <c r="G211" t="inlineStr">
        <is>
          <t>1</t>
        </is>
      </c>
      <c r="H211" t="inlineStr">
        <is>
          <t>No</t>
        </is>
      </c>
      <c r="I211" t="inlineStr">
        <is>
          <t>No</t>
        </is>
      </c>
      <c r="J211" t="inlineStr">
        <is>
          <t>0</t>
        </is>
      </c>
      <c r="K211" t="inlineStr">
        <is>
          <t>Tropman, John E.</t>
        </is>
      </c>
      <c r="L211" t="inlineStr">
        <is>
          <t>San Francisco : Jossey-Bass, c1995.</t>
        </is>
      </c>
      <c r="M211" t="inlineStr">
        <is>
          <t>1995</t>
        </is>
      </c>
      <c r="N211" t="inlineStr">
        <is>
          <t>1st ed.</t>
        </is>
      </c>
      <c r="O211" t="inlineStr">
        <is>
          <t>eng</t>
        </is>
      </c>
      <c r="P211" t="inlineStr">
        <is>
          <t>cau</t>
        </is>
      </c>
      <c r="R211" t="inlineStr">
        <is>
          <t xml:space="preserve">BX </t>
        </is>
      </c>
      <c r="S211" t="n">
        <v>2</v>
      </c>
      <c r="T211" t="n">
        <v>2</v>
      </c>
      <c r="U211" t="inlineStr">
        <is>
          <t>2000-04-26</t>
        </is>
      </c>
      <c r="V211" t="inlineStr">
        <is>
          <t>2000-04-26</t>
        </is>
      </c>
      <c r="W211" t="inlineStr">
        <is>
          <t>1996-01-16</t>
        </is>
      </c>
      <c r="X211" t="inlineStr">
        <is>
          <t>1996-01-16</t>
        </is>
      </c>
      <c r="Y211" t="n">
        <v>714</v>
      </c>
      <c r="Z211" t="n">
        <v>665</v>
      </c>
      <c r="AA211" t="n">
        <v>667</v>
      </c>
      <c r="AB211" t="n">
        <v>5</v>
      </c>
      <c r="AC211" t="n">
        <v>5</v>
      </c>
      <c r="AD211" t="n">
        <v>44</v>
      </c>
      <c r="AE211" t="n">
        <v>44</v>
      </c>
      <c r="AF211" t="n">
        <v>20</v>
      </c>
      <c r="AG211" t="n">
        <v>20</v>
      </c>
      <c r="AH211" t="n">
        <v>8</v>
      </c>
      <c r="AI211" t="n">
        <v>8</v>
      </c>
      <c r="AJ211" t="n">
        <v>24</v>
      </c>
      <c r="AK211" t="n">
        <v>24</v>
      </c>
      <c r="AL211" t="n">
        <v>4</v>
      </c>
      <c r="AM211" t="n">
        <v>4</v>
      </c>
      <c r="AN211" t="n">
        <v>0</v>
      </c>
      <c r="AO211" t="n">
        <v>0</v>
      </c>
      <c r="AP211" t="inlineStr">
        <is>
          <t>No</t>
        </is>
      </c>
      <c r="AQ211" t="inlineStr">
        <is>
          <t>Yes</t>
        </is>
      </c>
      <c r="AR211">
        <f>HYPERLINK("http://catalog.hathitrust.org/Record/003004240","HathiTrust Record")</f>
        <v/>
      </c>
      <c r="AS211">
        <f>HYPERLINK("https://creighton-primo.hosted.exlibrisgroup.com/primo-explore/search?tab=default_tab&amp;search_scope=EVERYTHING&amp;vid=01CRU&amp;lang=en_US&amp;offset=0&amp;query=any,contains,991002497209702656","Catalog Record")</f>
        <v/>
      </c>
      <c r="AT211">
        <f>HYPERLINK("http://www.worldcat.org/oclc/32469568","WorldCat Record")</f>
        <v/>
      </c>
      <c r="AU211" t="inlineStr">
        <is>
          <t>34452455:eng</t>
        </is>
      </c>
      <c r="AV211" t="inlineStr">
        <is>
          <t>32469568</t>
        </is>
      </c>
      <c r="AW211" t="inlineStr">
        <is>
          <t>991002497209702656</t>
        </is>
      </c>
      <c r="AX211" t="inlineStr">
        <is>
          <t>991002497209702656</t>
        </is>
      </c>
      <c r="AY211" t="inlineStr">
        <is>
          <t>2264345850002656</t>
        </is>
      </c>
      <c r="AZ211" t="inlineStr">
        <is>
          <t>BOOK</t>
        </is>
      </c>
      <c r="BB211" t="inlineStr">
        <is>
          <t>9780787901233</t>
        </is>
      </c>
      <c r="BC211" t="inlineStr">
        <is>
          <t>32285002117330</t>
        </is>
      </c>
      <c r="BD211" t="inlineStr">
        <is>
          <t>893421447</t>
        </is>
      </c>
    </row>
    <row r="212">
      <c r="A212" t="inlineStr">
        <is>
          <t>No</t>
        </is>
      </c>
      <c r="B212" t="inlineStr">
        <is>
          <t>BX1406.2 .V365 2000</t>
        </is>
      </c>
      <c r="C212" t="inlineStr">
        <is>
          <t>0                      BX 1406200V  365         2000</t>
        </is>
      </c>
      <c r="D212" t="inlineStr">
        <is>
          <t>Bright promise, failed community : Catholics and the American public order / Joseph A. Varacalli.</t>
        </is>
      </c>
      <c r="F212" t="inlineStr">
        <is>
          <t>No</t>
        </is>
      </c>
      <c r="G212" t="inlineStr">
        <is>
          <t>1</t>
        </is>
      </c>
      <c r="H212" t="inlineStr">
        <is>
          <t>No</t>
        </is>
      </c>
      <c r="I212" t="inlineStr">
        <is>
          <t>No</t>
        </is>
      </c>
      <c r="J212" t="inlineStr">
        <is>
          <t>0</t>
        </is>
      </c>
      <c r="K212" t="inlineStr">
        <is>
          <t>Varacalli, Joseph A.</t>
        </is>
      </c>
      <c r="L212" t="inlineStr">
        <is>
          <t>Lanham, Md. : Lexington Books, c2000.</t>
        </is>
      </c>
      <c r="M212" t="inlineStr">
        <is>
          <t>2000</t>
        </is>
      </c>
      <c r="O212" t="inlineStr">
        <is>
          <t>eng</t>
        </is>
      </c>
      <c r="P212" t="inlineStr">
        <is>
          <t>mdu</t>
        </is>
      </c>
      <c r="R212" t="inlineStr">
        <is>
          <t xml:space="preserve">BX </t>
        </is>
      </c>
      <c r="S212" t="n">
        <v>1</v>
      </c>
      <c r="T212" t="n">
        <v>1</v>
      </c>
      <c r="U212" t="inlineStr">
        <is>
          <t>2000-10-23</t>
        </is>
      </c>
      <c r="V212" t="inlineStr">
        <is>
          <t>2000-10-23</t>
        </is>
      </c>
      <c r="W212" t="inlineStr">
        <is>
          <t>2000-10-23</t>
        </is>
      </c>
      <c r="X212" t="inlineStr">
        <is>
          <t>2000-10-23</t>
        </is>
      </c>
      <c r="Y212" t="n">
        <v>251</v>
      </c>
      <c r="Z212" t="n">
        <v>222</v>
      </c>
      <c r="AA212" t="n">
        <v>280</v>
      </c>
      <c r="AB212" t="n">
        <v>3</v>
      </c>
      <c r="AC212" t="n">
        <v>4</v>
      </c>
      <c r="AD212" t="n">
        <v>26</v>
      </c>
      <c r="AE212" t="n">
        <v>31</v>
      </c>
      <c r="AF212" t="n">
        <v>8</v>
      </c>
      <c r="AG212" t="n">
        <v>10</v>
      </c>
      <c r="AH212" t="n">
        <v>8</v>
      </c>
      <c r="AI212" t="n">
        <v>8</v>
      </c>
      <c r="AJ212" t="n">
        <v>17</v>
      </c>
      <c r="AK212" t="n">
        <v>19</v>
      </c>
      <c r="AL212" t="n">
        <v>2</v>
      </c>
      <c r="AM212" t="n">
        <v>3</v>
      </c>
      <c r="AN212" t="n">
        <v>0</v>
      </c>
      <c r="AO212" t="n">
        <v>0</v>
      </c>
      <c r="AP212" t="inlineStr">
        <is>
          <t>No</t>
        </is>
      </c>
      <c r="AQ212" t="inlineStr">
        <is>
          <t>Yes</t>
        </is>
      </c>
      <c r="AR212">
        <f>HYPERLINK("http://catalog.hathitrust.org/Record/004076741","HathiTrust Record")</f>
        <v/>
      </c>
      <c r="AS212">
        <f>HYPERLINK("https://creighton-primo.hosted.exlibrisgroup.com/primo-explore/search?tab=default_tab&amp;search_scope=EVERYTHING&amp;vid=01CRU&amp;lang=en_US&amp;offset=0&amp;query=any,contains,991003238309702656","Catalog Record")</f>
        <v/>
      </c>
      <c r="AT212">
        <f>HYPERLINK("http://www.worldcat.org/oclc/42708109","WorldCat Record")</f>
        <v/>
      </c>
      <c r="AU212" t="inlineStr">
        <is>
          <t>2714299:eng</t>
        </is>
      </c>
      <c r="AV212" t="inlineStr">
        <is>
          <t>42708109</t>
        </is>
      </c>
      <c r="AW212" t="inlineStr">
        <is>
          <t>991003238309702656</t>
        </is>
      </c>
      <c r="AX212" t="inlineStr">
        <is>
          <t>991003238309702656</t>
        </is>
      </c>
      <c r="AY212" t="inlineStr">
        <is>
          <t>2260734940002656</t>
        </is>
      </c>
      <c r="AZ212" t="inlineStr">
        <is>
          <t>BOOK</t>
        </is>
      </c>
      <c r="BB212" t="inlineStr">
        <is>
          <t>9780739100868</t>
        </is>
      </c>
      <c r="BC212" t="inlineStr">
        <is>
          <t>32285003769451</t>
        </is>
      </c>
      <c r="BD212" t="inlineStr">
        <is>
          <t>893787098</t>
        </is>
      </c>
    </row>
    <row r="213">
      <c r="A213" t="inlineStr">
        <is>
          <t>No</t>
        </is>
      </c>
      <c r="B213" t="inlineStr">
        <is>
          <t>BX1406.2 .V65 1963</t>
        </is>
      </c>
      <c r="C213" t="inlineStr">
        <is>
          <t>0                      BX 1406200V  65          1963</t>
        </is>
      </c>
      <c r="D213" t="inlineStr">
        <is>
          <t>The Catholic Church in America : an historical bibliography. --</t>
        </is>
      </c>
      <c r="F213" t="inlineStr">
        <is>
          <t>No</t>
        </is>
      </c>
      <c r="G213" t="inlineStr">
        <is>
          <t>1</t>
        </is>
      </c>
      <c r="H213" t="inlineStr">
        <is>
          <t>No</t>
        </is>
      </c>
      <c r="I213" t="inlineStr">
        <is>
          <t>No</t>
        </is>
      </c>
      <c r="J213" t="inlineStr">
        <is>
          <t>0</t>
        </is>
      </c>
      <c r="K213" t="inlineStr">
        <is>
          <t>Vollmar, Edward R.</t>
        </is>
      </c>
      <c r="L213" t="inlineStr">
        <is>
          <t>New York : Scarecrow Press, 1963.</t>
        </is>
      </c>
      <c r="M213" t="inlineStr">
        <is>
          <t>1963</t>
        </is>
      </c>
      <c r="N213" t="inlineStr">
        <is>
          <t>2d ed. --</t>
        </is>
      </c>
      <c r="O213" t="inlineStr">
        <is>
          <t>eng</t>
        </is>
      </c>
      <c r="P213" t="inlineStr">
        <is>
          <t>|||</t>
        </is>
      </c>
      <c r="R213" t="inlineStr">
        <is>
          <t xml:space="preserve">BX </t>
        </is>
      </c>
      <c r="S213" t="n">
        <v>3</v>
      </c>
      <c r="T213" t="n">
        <v>3</v>
      </c>
      <c r="U213" t="inlineStr">
        <is>
          <t>1999-04-29</t>
        </is>
      </c>
      <c r="V213" t="inlineStr">
        <is>
          <t>1999-04-29</t>
        </is>
      </c>
      <c r="W213" t="inlineStr">
        <is>
          <t>1991-02-12</t>
        </is>
      </c>
      <c r="X213" t="inlineStr">
        <is>
          <t>1991-02-12</t>
        </is>
      </c>
      <c r="Y213" t="n">
        <v>410</v>
      </c>
      <c r="Z213" t="n">
        <v>367</v>
      </c>
      <c r="AA213" t="n">
        <v>498</v>
      </c>
      <c r="AB213" t="n">
        <v>3</v>
      </c>
      <c r="AC213" t="n">
        <v>3</v>
      </c>
      <c r="AD213" t="n">
        <v>35</v>
      </c>
      <c r="AE213" t="n">
        <v>39</v>
      </c>
      <c r="AF213" t="n">
        <v>13</v>
      </c>
      <c r="AG213" t="n">
        <v>15</v>
      </c>
      <c r="AH213" t="n">
        <v>10</v>
      </c>
      <c r="AI213" t="n">
        <v>10</v>
      </c>
      <c r="AJ213" t="n">
        <v>19</v>
      </c>
      <c r="AK213" t="n">
        <v>23</v>
      </c>
      <c r="AL213" t="n">
        <v>2</v>
      </c>
      <c r="AM213" t="n">
        <v>2</v>
      </c>
      <c r="AN213" t="n">
        <v>1</v>
      </c>
      <c r="AO213" t="n">
        <v>1</v>
      </c>
      <c r="AP213" t="inlineStr">
        <is>
          <t>Yes</t>
        </is>
      </c>
      <c r="AQ213" t="inlineStr">
        <is>
          <t>No</t>
        </is>
      </c>
      <c r="AR213">
        <f>HYPERLINK("http://catalog.hathitrust.org/Record/001179807","HathiTrust Record")</f>
        <v/>
      </c>
      <c r="AS213">
        <f>HYPERLINK("https://creighton-primo.hosted.exlibrisgroup.com/primo-explore/search?tab=default_tab&amp;search_scope=EVERYTHING&amp;vid=01CRU&amp;lang=en_US&amp;offset=0&amp;query=any,contains,991003015479702656","Catalog Record")</f>
        <v/>
      </c>
      <c r="AT213">
        <f>HYPERLINK("http://www.worldcat.org/oclc/580780","WorldCat Record")</f>
        <v/>
      </c>
      <c r="AU213" t="inlineStr">
        <is>
          <t>1729713:eng</t>
        </is>
      </c>
      <c r="AV213" t="inlineStr">
        <is>
          <t>580780</t>
        </is>
      </c>
      <c r="AW213" t="inlineStr">
        <is>
          <t>991003015479702656</t>
        </is>
      </c>
      <c r="AX213" t="inlineStr">
        <is>
          <t>991003015479702656</t>
        </is>
      </c>
      <c r="AY213" t="inlineStr">
        <is>
          <t>2272405830002656</t>
        </is>
      </c>
      <c r="AZ213" t="inlineStr">
        <is>
          <t>BOOK</t>
        </is>
      </c>
      <c r="BC213" t="inlineStr">
        <is>
          <t>32285000506641</t>
        </is>
      </c>
      <c r="BD213" t="inlineStr">
        <is>
          <t>893686098</t>
        </is>
      </c>
    </row>
    <row r="214">
      <c r="A214" t="inlineStr">
        <is>
          <t>No</t>
        </is>
      </c>
      <c r="B214" t="inlineStr">
        <is>
          <t>BX1406.2 .W454 2002</t>
        </is>
      </c>
      <c r="C214" t="inlineStr">
        <is>
          <t>0                      BX 1406200W  454         2002</t>
        </is>
      </c>
      <c r="D214" t="inlineStr">
        <is>
          <t>The courage to be Catholic : crisis, reform, and the future of the Church / George Weigel.</t>
        </is>
      </c>
      <c r="F214" t="inlineStr">
        <is>
          <t>No</t>
        </is>
      </c>
      <c r="G214" t="inlineStr">
        <is>
          <t>1</t>
        </is>
      </c>
      <c r="H214" t="inlineStr">
        <is>
          <t>No</t>
        </is>
      </c>
      <c r="I214" t="inlineStr">
        <is>
          <t>No</t>
        </is>
      </c>
      <c r="J214" t="inlineStr">
        <is>
          <t>0</t>
        </is>
      </c>
      <c r="K214" t="inlineStr">
        <is>
          <t>Weigel, George, 1951-</t>
        </is>
      </c>
      <c r="L214" t="inlineStr">
        <is>
          <t>New York : Basic Books, c2002.</t>
        </is>
      </c>
      <c r="M214" t="inlineStr">
        <is>
          <t>2002</t>
        </is>
      </c>
      <c r="O214" t="inlineStr">
        <is>
          <t>eng</t>
        </is>
      </c>
      <c r="P214" t="inlineStr">
        <is>
          <t>nyu</t>
        </is>
      </c>
      <c r="R214" t="inlineStr">
        <is>
          <t xml:space="preserve">BX </t>
        </is>
      </c>
      <c r="S214" t="n">
        <v>9</v>
      </c>
      <c r="T214" t="n">
        <v>9</v>
      </c>
      <c r="U214" t="inlineStr">
        <is>
          <t>2010-12-16</t>
        </is>
      </c>
      <c r="V214" t="inlineStr">
        <is>
          <t>2010-12-16</t>
        </is>
      </c>
      <c r="W214" t="inlineStr">
        <is>
          <t>2002-09-11</t>
        </is>
      </c>
      <c r="X214" t="inlineStr">
        <is>
          <t>2002-09-11</t>
        </is>
      </c>
      <c r="Y214" t="n">
        <v>616</v>
      </c>
      <c r="Z214" t="n">
        <v>566</v>
      </c>
      <c r="AA214" t="n">
        <v>1186</v>
      </c>
      <c r="AB214" t="n">
        <v>8</v>
      </c>
      <c r="AC214" t="n">
        <v>36</v>
      </c>
      <c r="AD214" t="n">
        <v>32</v>
      </c>
      <c r="AE214" t="n">
        <v>48</v>
      </c>
      <c r="AF214" t="n">
        <v>11</v>
      </c>
      <c r="AG214" t="n">
        <v>15</v>
      </c>
      <c r="AH214" t="n">
        <v>8</v>
      </c>
      <c r="AI214" t="n">
        <v>8</v>
      </c>
      <c r="AJ214" t="n">
        <v>19</v>
      </c>
      <c r="AK214" t="n">
        <v>22</v>
      </c>
      <c r="AL214" t="n">
        <v>3</v>
      </c>
      <c r="AM214" t="n">
        <v>13</v>
      </c>
      <c r="AN214" t="n">
        <v>0</v>
      </c>
      <c r="AO214" t="n">
        <v>0</v>
      </c>
      <c r="AP214" t="inlineStr">
        <is>
          <t>No</t>
        </is>
      </c>
      <c r="AQ214" t="inlineStr">
        <is>
          <t>Yes</t>
        </is>
      </c>
      <c r="AR214">
        <f>HYPERLINK("http://catalog.hathitrust.org/Record/004276711","HathiTrust Record")</f>
        <v/>
      </c>
      <c r="AS214">
        <f>HYPERLINK("https://creighton-primo.hosted.exlibrisgroup.com/primo-explore/search?tab=default_tab&amp;search_scope=EVERYTHING&amp;vid=01CRU&amp;lang=en_US&amp;offset=0&amp;query=any,contains,991003885909702656","Catalog Record")</f>
        <v/>
      </c>
      <c r="AT214">
        <f>HYPERLINK("http://www.worldcat.org/oclc/50491588","WorldCat Record")</f>
        <v/>
      </c>
      <c r="AU214" t="inlineStr">
        <is>
          <t>702487:eng</t>
        </is>
      </c>
      <c r="AV214" t="inlineStr">
        <is>
          <t>50491588</t>
        </is>
      </c>
      <c r="AW214" t="inlineStr">
        <is>
          <t>991003885909702656</t>
        </is>
      </c>
      <c r="AX214" t="inlineStr">
        <is>
          <t>991003885909702656</t>
        </is>
      </c>
      <c r="AY214" t="inlineStr">
        <is>
          <t>2265658480002656</t>
        </is>
      </c>
      <c r="AZ214" t="inlineStr">
        <is>
          <t>BOOK</t>
        </is>
      </c>
      <c r="BB214" t="inlineStr">
        <is>
          <t>9780465092604</t>
        </is>
      </c>
      <c r="BC214" t="inlineStr">
        <is>
          <t>32285004648738</t>
        </is>
      </c>
      <c r="BD214" t="inlineStr">
        <is>
          <t>893875328</t>
        </is>
      </c>
    </row>
    <row r="215">
      <c r="A215" t="inlineStr">
        <is>
          <t>No</t>
        </is>
      </c>
      <c r="B215" t="inlineStr">
        <is>
          <t>BX1406.2 .W46 1991</t>
        </is>
      </c>
      <c r="C215" t="inlineStr">
        <is>
          <t>0                      BX 1406200W  46          1991</t>
        </is>
      </c>
      <c r="D215" t="inlineStr">
        <is>
          <t>Freedom and its discontents : Catholicism confronts modernity / George Weigel.</t>
        </is>
      </c>
      <c r="F215" t="inlineStr">
        <is>
          <t>No</t>
        </is>
      </c>
      <c r="G215" t="inlineStr">
        <is>
          <t>1</t>
        </is>
      </c>
      <c r="H215" t="inlineStr">
        <is>
          <t>No</t>
        </is>
      </c>
      <c r="I215" t="inlineStr">
        <is>
          <t>No</t>
        </is>
      </c>
      <c r="J215" t="inlineStr">
        <is>
          <t>0</t>
        </is>
      </c>
      <c r="K215" t="inlineStr">
        <is>
          <t>Weigel, George, 1951-</t>
        </is>
      </c>
      <c r="L215" t="inlineStr">
        <is>
          <t>Washington, DC : Ethics and Public Policy Center, c1991.</t>
        </is>
      </c>
      <c r="M215" t="inlineStr">
        <is>
          <t>1991</t>
        </is>
      </c>
      <c r="O215" t="inlineStr">
        <is>
          <t>eng</t>
        </is>
      </c>
      <c r="P215" t="inlineStr">
        <is>
          <t>dcu</t>
        </is>
      </c>
      <c r="R215" t="inlineStr">
        <is>
          <t xml:space="preserve">BX </t>
        </is>
      </c>
      <c r="S215" t="n">
        <v>8</v>
      </c>
      <c r="T215" t="n">
        <v>8</v>
      </c>
      <c r="U215" t="inlineStr">
        <is>
          <t>2008-06-15</t>
        </is>
      </c>
      <c r="V215" t="inlineStr">
        <is>
          <t>2008-06-15</t>
        </is>
      </c>
      <c r="W215" t="inlineStr">
        <is>
          <t>1994-02-08</t>
        </is>
      </c>
      <c r="X215" t="inlineStr">
        <is>
          <t>1994-02-08</t>
        </is>
      </c>
      <c r="Y215" t="n">
        <v>276</v>
      </c>
      <c r="Z215" t="n">
        <v>257</v>
      </c>
      <c r="AA215" t="n">
        <v>264</v>
      </c>
      <c r="AB215" t="n">
        <v>2</v>
      </c>
      <c r="AC215" t="n">
        <v>2</v>
      </c>
      <c r="AD215" t="n">
        <v>25</v>
      </c>
      <c r="AE215" t="n">
        <v>25</v>
      </c>
      <c r="AF215" t="n">
        <v>10</v>
      </c>
      <c r="AG215" t="n">
        <v>10</v>
      </c>
      <c r="AH215" t="n">
        <v>5</v>
      </c>
      <c r="AI215" t="n">
        <v>5</v>
      </c>
      <c r="AJ215" t="n">
        <v>16</v>
      </c>
      <c r="AK215" t="n">
        <v>16</v>
      </c>
      <c r="AL215" t="n">
        <v>1</v>
      </c>
      <c r="AM215" t="n">
        <v>1</v>
      </c>
      <c r="AN215" t="n">
        <v>0</v>
      </c>
      <c r="AO215" t="n">
        <v>0</v>
      </c>
      <c r="AP215" t="inlineStr">
        <is>
          <t>No</t>
        </is>
      </c>
      <c r="AQ215" t="inlineStr">
        <is>
          <t>Yes</t>
        </is>
      </c>
      <c r="AR215">
        <f>HYPERLINK("http://catalog.hathitrust.org/Record/002507042","HathiTrust Record")</f>
        <v/>
      </c>
      <c r="AS215">
        <f>HYPERLINK("https://creighton-primo.hosted.exlibrisgroup.com/primo-explore/search?tab=default_tab&amp;search_scope=EVERYTHING&amp;vid=01CRU&amp;lang=en_US&amp;offset=0&amp;query=any,contains,991005413299702656","Catalog Record")</f>
        <v/>
      </c>
      <c r="AT215">
        <f>HYPERLINK("http://www.worldcat.org/oclc/23382574","WorldCat Record")</f>
        <v/>
      </c>
      <c r="AU215" t="inlineStr">
        <is>
          <t>25287279:eng</t>
        </is>
      </c>
      <c r="AV215" t="inlineStr">
        <is>
          <t>23382574</t>
        </is>
      </c>
      <c r="AW215" t="inlineStr">
        <is>
          <t>991005413299702656</t>
        </is>
      </c>
      <c r="AX215" t="inlineStr">
        <is>
          <t>991005413299702656</t>
        </is>
      </c>
      <c r="AY215" t="inlineStr">
        <is>
          <t>2268800630002656</t>
        </is>
      </c>
      <c r="AZ215" t="inlineStr">
        <is>
          <t>BOOK</t>
        </is>
      </c>
      <c r="BB215" t="inlineStr">
        <is>
          <t>9780896331587</t>
        </is>
      </c>
      <c r="BC215" t="inlineStr">
        <is>
          <t>32285001840742</t>
        </is>
      </c>
      <c r="BD215" t="inlineStr">
        <is>
          <t>893896423</t>
        </is>
      </c>
    </row>
    <row r="216">
      <c r="A216" t="inlineStr">
        <is>
          <t>No</t>
        </is>
      </c>
      <c r="B216" t="inlineStr">
        <is>
          <t>BX1406.2 .W47 1988</t>
        </is>
      </c>
      <c r="C216" t="inlineStr">
        <is>
          <t>0                      BX 1406200W  47          1988</t>
        </is>
      </c>
      <c r="D216" t="inlineStr">
        <is>
          <t>A theology of presence : the search for meaning in the American Catholic experience / Dick Westley.</t>
        </is>
      </c>
      <c r="F216" t="inlineStr">
        <is>
          <t>No</t>
        </is>
      </c>
      <c r="G216" t="inlineStr">
        <is>
          <t>1</t>
        </is>
      </c>
      <c r="H216" t="inlineStr">
        <is>
          <t>No</t>
        </is>
      </c>
      <c r="I216" t="inlineStr">
        <is>
          <t>No</t>
        </is>
      </c>
      <c r="J216" t="inlineStr">
        <is>
          <t>0</t>
        </is>
      </c>
      <c r="K216" t="inlineStr">
        <is>
          <t>Westley, Dick.</t>
        </is>
      </c>
      <c r="L216" t="inlineStr">
        <is>
          <t>Mystic, CT : Twenty-Third Publications, 1988.</t>
        </is>
      </c>
      <c r="M216" t="inlineStr">
        <is>
          <t>1988</t>
        </is>
      </c>
      <c r="O216" t="inlineStr">
        <is>
          <t>eng</t>
        </is>
      </c>
      <c r="P216" t="inlineStr">
        <is>
          <t>ctu</t>
        </is>
      </c>
      <c r="R216" t="inlineStr">
        <is>
          <t xml:space="preserve">BX </t>
        </is>
      </c>
      <c r="S216" t="n">
        <v>3</v>
      </c>
      <c r="T216" t="n">
        <v>3</v>
      </c>
      <c r="U216" t="inlineStr">
        <is>
          <t>2003-02-22</t>
        </is>
      </c>
      <c r="V216" t="inlineStr">
        <is>
          <t>2003-02-22</t>
        </is>
      </c>
      <c r="W216" t="inlineStr">
        <is>
          <t>1990-03-27</t>
        </is>
      </c>
      <c r="X216" t="inlineStr">
        <is>
          <t>1990-03-27</t>
        </is>
      </c>
      <c r="Y216" t="n">
        <v>144</v>
      </c>
      <c r="Z216" t="n">
        <v>126</v>
      </c>
      <c r="AA216" t="n">
        <v>130</v>
      </c>
      <c r="AB216" t="n">
        <v>2</v>
      </c>
      <c r="AC216" t="n">
        <v>2</v>
      </c>
      <c r="AD216" t="n">
        <v>16</v>
      </c>
      <c r="AE216" t="n">
        <v>16</v>
      </c>
      <c r="AF216" t="n">
        <v>3</v>
      </c>
      <c r="AG216" t="n">
        <v>3</v>
      </c>
      <c r="AH216" t="n">
        <v>4</v>
      </c>
      <c r="AI216" t="n">
        <v>4</v>
      </c>
      <c r="AJ216" t="n">
        <v>12</v>
      </c>
      <c r="AK216" t="n">
        <v>12</v>
      </c>
      <c r="AL216" t="n">
        <v>1</v>
      </c>
      <c r="AM216" t="n">
        <v>1</v>
      </c>
      <c r="AN216" t="n">
        <v>0</v>
      </c>
      <c r="AO216" t="n">
        <v>0</v>
      </c>
      <c r="AP216" t="inlineStr">
        <is>
          <t>No</t>
        </is>
      </c>
      <c r="AQ216" t="inlineStr">
        <is>
          <t>Yes</t>
        </is>
      </c>
      <c r="AR216">
        <f>HYPERLINK("http://catalog.hathitrust.org/Record/011230295","HathiTrust Record")</f>
        <v/>
      </c>
      <c r="AS216">
        <f>HYPERLINK("https://creighton-primo.hosted.exlibrisgroup.com/primo-explore/search?tab=default_tab&amp;search_scope=EVERYTHING&amp;vid=01CRU&amp;lang=en_US&amp;offset=0&amp;query=any,contains,991001396589702656","Catalog Record")</f>
        <v/>
      </c>
      <c r="AT216">
        <f>HYPERLINK("http://www.worldcat.org/oclc/18799812","WorldCat Record")</f>
        <v/>
      </c>
      <c r="AU216" t="inlineStr">
        <is>
          <t>971647915:eng</t>
        </is>
      </c>
      <c r="AV216" t="inlineStr">
        <is>
          <t>18799812</t>
        </is>
      </c>
      <c r="AW216" t="inlineStr">
        <is>
          <t>991001396589702656</t>
        </is>
      </c>
      <c r="AX216" t="inlineStr">
        <is>
          <t>991001396589702656</t>
        </is>
      </c>
      <c r="AY216" t="inlineStr">
        <is>
          <t>2264117490002656</t>
        </is>
      </c>
      <c r="AZ216" t="inlineStr">
        <is>
          <t>BOOK</t>
        </is>
      </c>
      <c r="BB216" t="inlineStr">
        <is>
          <t>9780896223738</t>
        </is>
      </c>
      <c r="BC216" t="inlineStr">
        <is>
          <t>32285000090711</t>
        </is>
      </c>
      <c r="BD216" t="inlineStr">
        <is>
          <t>893797551</t>
        </is>
      </c>
    </row>
    <row r="217">
      <c r="A217" t="inlineStr">
        <is>
          <t>No</t>
        </is>
      </c>
      <c r="B217" t="inlineStr">
        <is>
          <t>BX1406.2 .W55 1996</t>
        </is>
      </c>
      <c r="C217" t="inlineStr">
        <is>
          <t>0                      BX 1406200W  55          1996</t>
        </is>
      </c>
      <c r="D217" t="inlineStr">
        <is>
          <t>The good enough Catholic : a guide for the perplexed / Paul Wilkes.</t>
        </is>
      </c>
      <c r="F217" t="inlineStr">
        <is>
          <t>No</t>
        </is>
      </c>
      <c r="G217" t="inlineStr">
        <is>
          <t>1</t>
        </is>
      </c>
      <c r="H217" t="inlineStr">
        <is>
          <t>No</t>
        </is>
      </c>
      <c r="I217" t="inlineStr">
        <is>
          <t>No</t>
        </is>
      </c>
      <c r="J217" t="inlineStr">
        <is>
          <t>0</t>
        </is>
      </c>
      <c r="K217" t="inlineStr">
        <is>
          <t>Wilkes, Paul, 1938-</t>
        </is>
      </c>
      <c r="L217" t="inlineStr">
        <is>
          <t>New York : Ballantine Books, 1996.</t>
        </is>
      </c>
      <c r="M217" t="inlineStr">
        <is>
          <t>1996</t>
        </is>
      </c>
      <c r="N217" t="inlineStr">
        <is>
          <t>1st ed.</t>
        </is>
      </c>
      <c r="O217" t="inlineStr">
        <is>
          <t>eng</t>
        </is>
      </c>
      <c r="P217" t="inlineStr">
        <is>
          <t>nyu</t>
        </is>
      </c>
      <c r="R217" t="inlineStr">
        <is>
          <t xml:space="preserve">BX </t>
        </is>
      </c>
      <c r="S217" t="n">
        <v>3</v>
      </c>
      <c r="T217" t="n">
        <v>3</v>
      </c>
      <c r="U217" t="inlineStr">
        <is>
          <t>1997-02-01</t>
        </is>
      </c>
      <c r="V217" t="inlineStr">
        <is>
          <t>1997-02-01</t>
        </is>
      </c>
      <c r="W217" t="inlineStr">
        <is>
          <t>1997-01-08</t>
        </is>
      </c>
      <c r="X217" t="inlineStr">
        <is>
          <t>1997-01-08</t>
        </is>
      </c>
      <c r="Y217" t="n">
        <v>366</v>
      </c>
      <c r="Z217" t="n">
        <v>332</v>
      </c>
      <c r="AA217" t="n">
        <v>387</v>
      </c>
      <c r="AB217" t="n">
        <v>4</v>
      </c>
      <c r="AC217" t="n">
        <v>4</v>
      </c>
      <c r="AD217" t="n">
        <v>16</v>
      </c>
      <c r="AE217" t="n">
        <v>17</v>
      </c>
      <c r="AF217" t="n">
        <v>3</v>
      </c>
      <c r="AG217" t="n">
        <v>4</v>
      </c>
      <c r="AH217" t="n">
        <v>3</v>
      </c>
      <c r="AI217" t="n">
        <v>3</v>
      </c>
      <c r="AJ217" t="n">
        <v>13</v>
      </c>
      <c r="AK217" t="n">
        <v>13</v>
      </c>
      <c r="AL217" t="n">
        <v>1</v>
      </c>
      <c r="AM217" t="n">
        <v>1</v>
      </c>
      <c r="AN217" t="n">
        <v>0</v>
      </c>
      <c r="AO217" t="n">
        <v>0</v>
      </c>
      <c r="AP217" t="inlineStr">
        <is>
          <t>No</t>
        </is>
      </c>
      <c r="AQ217" t="inlineStr">
        <is>
          <t>No</t>
        </is>
      </c>
      <c r="AS217">
        <f>HYPERLINK("https://creighton-primo.hosted.exlibrisgroup.com/primo-explore/search?tab=default_tab&amp;search_scope=EVERYTHING&amp;vid=01CRU&amp;lang=en_US&amp;offset=0&amp;query=any,contains,991002705569702656","Catalog Record")</f>
        <v/>
      </c>
      <c r="AT217">
        <f>HYPERLINK("http://www.worldcat.org/oclc/35318772","WorldCat Record")</f>
        <v/>
      </c>
      <c r="AU217" t="inlineStr">
        <is>
          <t>891303771:eng</t>
        </is>
      </c>
      <c r="AV217" t="inlineStr">
        <is>
          <t>35318772</t>
        </is>
      </c>
      <c r="AW217" t="inlineStr">
        <is>
          <t>991002705569702656</t>
        </is>
      </c>
      <c r="AX217" t="inlineStr">
        <is>
          <t>991002705569702656</t>
        </is>
      </c>
      <c r="AY217" t="inlineStr">
        <is>
          <t>2256851670002656</t>
        </is>
      </c>
      <c r="AZ217" t="inlineStr">
        <is>
          <t>BOOK</t>
        </is>
      </c>
      <c r="BB217" t="inlineStr">
        <is>
          <t>9780345395436</t>
        </is>
      </c>
      <c r="BC217" t="inlineStr">
        <is>
          <t>32285002405529</t>
        </is>
      </c>
      <c r="BD217" t="inlineStr">
        <is>
          <t>893804920</t>
        </is>
      </c>
    </row>
    <row r="218">
      <c r="A218" t="inlineStr">
        <is>
          <t>No</t>
        </is>
      </c>
      <c r="B218" t="inlineStr">
        <is>
          <t>BX1406.2 .Y68 2001</t>
        </is>
      </c>
      <c r="C218" t="inlineStr">
        <is>
          <t>0                      BX 1406200Y  68          2001</t>
        </is>
      </c>
      <c r="D218" t="inlineStr">
        <is>
          <t>Young adult Catholics : religion in the culture of choice / Dean R. Hoge ... [et al.].</t>
        </is>
      </c>
      <c r="F218" t="inlineStr">
        <is>
          <t>No</t>
        </is>
      </c>
      <c r="G218" t="inlineStr">
        <is>
          <t>1</t>
        </is>
      </c>
      <c r="H218" t="inlineStr">
        <is>
          <t>No</t>
        </is>
      </c>
      <c r="I218" t="inlineStr">
        <is>
          <t>No</t>
        </is>
      </c>
      <c r="J218" t="inlineStr">
        <is>
          <t>0</t>
        </is>
      </c>
      <c r="L218" t="inlineStr">
        <is>
          <t>Notre Dame, Ind. : University of Notre Dame Press, c2001.</t>
        </is>
      </c>
      <c r="M218" t="inlineStr">
        <is>
          <t>2001</t>
        </is>
      </c>
      <c r="O218" t="inlineStr">
        <is>
          <t>eng</t>
        </is>
      </c>
      <c r="P218" t="inlineStr">
        <is>
          <t>inu</t>
        </is>
      </c>
      <c r="R218" t="inlineStr">
        <is>
          <t xml:space="preserve">BX </t>
        </is>
      </c>
      <c r="S218" t="n">
        <v>6</v>
      </c>
      <c r="T218" t="n">
        <v>6</v>
      </c>
      <c r="U218" t="inlineStr">
        <is>
          <t>2008-02-06</t>
        </is>
      </c>
      <c r="V218" t="inlineStr">
        <is>
          <t>2008-02-06</t>
        </is>
      </c>
      <c r="W218" t="inlineStr">
        <is>
          <t>2001-11-08</t>
        </is>
      </c>
      <c r="X218" t="inlineStr">
        <is>
          <t>2001-11-08</t>
        </is>
      </c>
      <c r="Y218" t="n">
        <v>307</v>
      </c>
      <c r="Z218" t="n">
        <v>278</v>
      </c>
      <c r="AA218" t="n">
        <v>284</v>
      </c>
      <c r="AB218" t="n">
        <v>4</v>
      </c>
      <c r="AC218" t="n">
        <v>4</v>
      </c>
      <c r="AD218" t="n">
        <v>36</v>
      </c>
      <c r="AE218" t="n">
        <v>36</v>
      </c>
      <c r="AF218" t="n">
        <v>12</v>
      </c>
      <c r="AG218" t="n">
        <v>12</v>
      </c>
      <c r="AH218" t="n">
        <v>9</v>
      </c>
      <c r="AI218" t="n">
        <v>9</v>
      </c>
      <c r="AJ218" t="n">
        <v>25</v>
      </c>
      <c r="AK218" t="n">
        <v>25</v>
      </c>
      <c r="AL218" t="n">
        <v>3</v>
      </c>
      <c r="AM218" t="n">
        <v>3</v>
      </c>
      <c r="AN218" t="n">
        <v>0</v>
      </c>
      <c r="AO218" t="n">
        <v>0</v>
      </c>
      <c r="AP218" t="inlineStr">
        <is>
          <t>No</t>
        </is>
      </c>
      <c r="AQ218" t="inlineStr">
        <is>
          <t>Yes</t>
        </is>
      </c>
      <c r="AR218">
        <f>HYPERLINK("http://catalog.hathitrust.org/Record/004198763","HathiTrust Record")</f>
        <v/>
      </c>
      <c r="AS218">
        <f>HYPERLINK("https://creighton-primo.hosted.exlibrisgroup.com/primo-explore/search?tab=default_tab&amp;search_scope=EVERYTHING&amp;vid=01CRU&amp;lang=en_US&amp;offset=0&amp;query=any,contains,991003628939702656","Catalog Record")</f>
        <v/>
      </c>
      <c r="AT218">
        <f>HYPERLINK("http://www.worldcat.org/oclc/45835439","WorldCat Record")</f>
        <v/>
      </c>
      <c r="AU218" t="inlineStr">
        <is>
          <t>837024188:eng</t>
        </is>
      </c>
      <c r="AV218" t="inlineStr">
        <is>
          <t>45835439</t>
        </is>
      </c>
      <c r="AW218" t="inlineStr">
        <is>
          <t>991003628939702656</t>
        </is>
      </c>
      <c r="AX218" t="inlineStr">
        <is>
          <t>991003628939702656</t>
        </is>
      </c>
      <c r="AY218" t="inlineStr">
        <is>
          <t>2268283520002656</t>
        </is>
      </c>
      <c r="AZ218" t="inlineStr">
        <is>
          <t>BOOK</t>
        </is>
      </c>
      <c r="BB218" t="inlineStr">
        <is>
          <t>9780268044756</t>
        </is>
      </c>
      <c r="BC218" t="inlineStr">
        <is>
          <t>32285004419700</t>
        </is>
      </c>
      <c r="BD218" t="inlineStr">
        <is>
          <t>893904443</t>
        </is>
      </c>
    </row>
    <row r="219">
      <c r="A219" t="inlineStr">
        <is>
          <t>No</t>
        </is>
      </c>
      <c r="B219" t="inlineStr">
        <is>
          <t>BX1406.2 .Z6513 1999</t>
        </is>
      </c>
      <c r="C219" t="inlineStr">
        <is>
          <t>0                      BX 1406200Z  6513        1999</t>
        </is>
      </c>
      <c r="D219" t="inlineStr">
        <is>
          <t>Washington and Rome : Catholicism in American culture / Michael Zöller ; translated by Steven Rendall and Albert Wimmer.</t>
        </is>
      </c>
      <c r="F219" t="inlineStr">
        <is>
          <t>No</t>
        </is>
      </c>
      <c r="G219" t="inlineStr">
        <is>
          <t>1</t>
        </is>
      </c>
      <c r="H219" t="inlineStr">
        <is>
          <t>No</t>
        </is>
      </c>
      <c r="I219" t="inlineStr">
        <is>
          <t>No</t>
        </is>
      </c>
      <c r="J219" t="inlineStr">
        <is>
          <t>0</t>
        </is>
      </c>
      <c r="K219" t="inlineStr">
        <is>
          <t>Zöller, Michael, 1946-</t>
        </is>
      </c>
      <c r="L219" t="inlineStr">
        <is>
          <t>Notre Dame, Ind. : University of Notre Dame Press, c1999.</t>
        </is>
      </c>
      <c r="M219" t="inlineStr">
        <is>
          <t>1999</t>
        </is>
      </c>
      <c r="O219" t="inlineStr">
        <is>
          <t>eng</t>
        </is>
      </c>
      <c r="P219" t="inlineStr">
        <is>
          <t>inu</t>
        </is>
      </c>
      <c r="R219" t="inlineStr">
        <is>
          <t xml:space="preserve">BX </t>
        </is>
      </c>
      <c r="S219" t="n">
        <v>1</v>
      </c>
      <c r="T219" t="n">
        <v>1</v>
      </c>
      <c r="U219" t="inlineStr">
        <is>
          <t>2001-12-08</t>
        </is>
      </c>
      <c r="V219" t="inlineStr">
        <is>
          <t>2001-12-08</t>
        </is>
      </c>
      <c r="W219" t="inlineStr">
        <is>
          <t>1999-10-04</t>
        </is>
      </c>
      <c r="X219" t="inlineStr">
        <is>
          <t>1999-10-04</t>
        </is>
      </c>
      <c r="Y219" t="n">
        <v>360</v>
      </c>
      <c r="Z219" t="n">
        <v>342</v>
      </c>
      <c r="AA219" t="n">
        <v>545</v>
      </c>
      <c r="AB219" t="n">
        <v>4</v>
      </c>
      <c r="AC219" t="n">
        <v>4</v>
      </c>
      <c r="AD219" t="n">
        <v>27</v>
      </c>
      <c r="AE219" t="n">
        <v>34</v>
      </c>
      <c r="AF219" t="n">
        <v>10</v>
      </c>
      <c r="AG219" t="n">
        <v>15</v>
      </c>
      <c r="AH219" t="n">
        <v>5</v>
      </c>
      <c r="AI219" t="n">
        <v>8</v>
      </c>
      <c r="AJ219" t="n">
        <v>15</v>
      </c>
      <c r="AK219" t="n">
        <v>18</v>
      </c>
      <c r="AL219" t="n">
        <v>2</v>
      </c>
      <c r="AM219" t="n">
        <v>2</v>
      </c>
      <c r="AN219" t="n">
        <v>1</v>
      </c>
      <c r="AO219" t="n">
        <v>1</v>
      </c>
      <c r="AP219" t="inlineStr">
        <is>
          <t>No</t>
        </is>
      </c>
      <c r="AQ219" t="inlineStr">
        <is>
          <t>Yes</t>
        </is>
      </c>
      <c r="AR219">
        <f>HYPERLINK("http://catalog.hathitrust.org/Record/004042140","HathiTrust Record")</f>
        <v/>
      </c>
      <c r="AS219">
        <f>HYPERLINK("https://creighton-primo.hosted.exlibrisgroup.com/primo-explore/search?tab=default_tab&amp;search_scope=EVERYTHING&amp;vid=01CRU&amp;lang=en_US&amp;offset=0&amp;query=any,contains,991002910539702656","Catalog Record")</f>
        <v/>
      </c>
      <c r="AT219">
        <f>HYPERLINK("http://www.worldcat.org/oclc/38485799","WorldCat Record")</f>
        <v/>
      </c>
      <c r="AU219" t="inlineStr">
        <is>
          <t>42325344:eng</t>
        </is>
      </c>
      <c r="AV219" t="inlineStr">
        <is>
          <t>38485799</t>
        </is>
      </c>
      <c r="AW219" t="inlineStr">
        <is>
          <t>991002910539702656</t>
        </is>
      </c>
      <c r="AX219" t="inlineStr">
        <is>
          <t>991002910539702656</t>
        </is>
      </c>
      <c r="AY219" t="inlineStr">
        <is>
          <t>2269777090002656</t>
        </is>
      </c>
      <c r="AZ219" t="inlineStr">
        <is>
          <t>BOOK</t>
        </is>
      </c>
      <c r="BB219" t="inlineStr">
        <is>
          <t>9780268019525</t>
        </is>
      </c>
      <c r="BC219" t="inlineStr">
        <is>
          <t>32285003592192</t>
        </is>
      </c>
      <c r="BD219" t="inlineStr">
        <is>
          <t>893809726</t>
        </is>
      </c>
    </row>
    <row r="220">
      <c r="A220" t="inlineStr">
        <is>
          <t>No</t>
        </is>
      </c>
      <c r="B220" t="inlineStr">
        <is>
          <t>BX1406.3 .C38 2001</t>
        </is>
      </c>
      <c r="C220" t="inlineStr">
        <is>
          <t>0                      BX 1406300C  38          2001</t>
        </is>
      </c>
      <c r="D220" t="inlineStr">
        <is>
          <t>The Catholic Church, morality, and politics / edited by Charles E. Curran and Leslie Griffin.</t>
        </is>
      </c>
      <c r="F220" t="inlineStr">
        <is>
          <t>No</t>
        </is>
      </c>
      <c r="G220" t="inlineStr">
        <is>
          <t>1</t>
        </is>
      </c>
      <c r="H220" t="inlineStr">
        <is>
          <t>No</t>
        </is>
      </c>
      <c r="I220" t="inlineStr">
        <is>
          <t>No</t>
        </is>
      </c>
      <c r="J220" t="inlineStr">
        <is>
          <t>0</t>
        </is>
      </c>
      <c r="L220" t="inlineStr">
        <is>
          <t>New York : Paulist Press, c2001.</t>
        </is>
      </c>
      <c r="M220" t="inlineStr">
        <is>
          <t>2001</t>
        </is>
      </c>
      <c r="O220" t="inlineStr">
        <is>
          <t>eng</t>
        </is>
      </c>
      <c r="P220" t="inlineStr">
        <is>
          <t>nyu</t>
        </is>
      </c>
      <c r="Q220" t="inlineStr">
        <is>
          <t>Readings in moral theology ; no. 12</t>
        </is>
      </c>
      <c r="R220" t="inlineStr">
        <is>
          <t xml:space="preserve">BX </t>
        </is>
      </c>
      <c r="S220" t="n">
        <v>5</v>
      </c>
      <c r="T220" t="n">
        <v>5</v>
      </c>
      <c r="U220" t="inlineStr">
        <is>
          <t>2009-11-24</t>
        </is>
      </c>
      <c r="V220" t="inlineStr">
        <is>
          <t>2009-11-24</t>
        </is>
      </c>
      <c r="W220" t="inlineStr">
        <is>
          <t>2002-11-07</t>
        </is>
      </c>
      <c r="X220" t="inlineStr">
        <is>
          <t>2002-11-07</t>
        </is>
      </c>
      <c r="Y220" t="n">
        <v>233</v>
      </c>
      <c r="Z220" t="n">
        <v>193</v>
      </c>
      <c r="AA220" t="n">
        <v>193</v>
      </c>
      <c r="AB220" t="n">
        <v>3</v>
      </c>
      <c r="AC220" t="n">
        <v>3</v>
      </c>
      <c r="AD220" t="n">
        <v>30</v>
      </c>
      <c r="AE220" t="n">
        <v>30</v>
      </c>
      <c r="AF220" t="n">
        <v>10</v>
      </c>
      <c r="AG220" t="n">
        <v>10</v>
      </c>
      <c r="AH220" t="n">
        <v>8</v>
      </c>
      <c r="AI220" t="n">
        <v>8</v>
      </c>
      <c r="AJ220" t="n">
        <v>20</v>
      </c>
      <c r="AK220" t="n">
        <v>20</v>
      </c>
      <c r="AL220" t="n">
        <v>2</v>
      </c>
      <c r="AM220" t="n">
        <v>2</v>
      </c>
      <c r="AN220" t="n">
        <v>0</v>
      </c>
      <c r="AO220" t="n">
        <v>0</v>
      </c>
      <c r="AP220" t="inlineStr">
        <is>
          <t>No</t>
        </is>
      </c>
      <c r="AQ220" t="inlineStr">
        <is>
          <t>No</t>
        </is>
      </c>
      <c r="AS220">
        <f>HYPERLINK("https://creighton-primo.hosted.exlibrisgroup.com/primo-explore/search?tab=default_tab&amp;search_scope=EVERYTHING&amp;vid=01CRU&amp;lang=en_US&amp;offset=0&amp;query=any,contains,991003917889702656","Catalog Record")</f>
        <v/>
      </c>
      <c r="AT220">
        <f>HYPERLINK("http://www.worldcat.org/oclc/46678419","WorldCat Record")</f>
        <v/>
      </c>
      <c r="AU220" t="inlineStr">
        <is>
          <t>351695431:eng</t>
        </is>
      </c>
      <c r="AV220" t="inlineStr">
        <is>
          <t>46678419</t>
        </is>
      </c>
      <c r="AW220" t="inlineStr">
        <is>
          <t>991003917889702656</t>
        </is>
      </c>
      <c r="AX220" t="inlineStr">
        <is>
          <t>991003917889702656</t>
        </is>
      </c>
      <c r="AY220" t="inlineStr">
        <is>
          <t>2269941300002656</t>
        </is>
      </c>
      <c r="AZ220" t="inlineStr">
        <is>
          <t>BOOK</t>
        </is>
      </c>
      <c r="BB220" t="inlineStr">
        <is>
          <t>9780809140404</t>
        </is>
      </c>
      <c r="BC220" t="inlineStr">
        <is>
          <t>32285004661814</t>
        </is>
      </c>
      <c r="BD220" t="inlineStr">
        <is>
          <t>893499886</t>
        </is>
      </c>
    </row>
    <row r="221">
      <c r="A221" t="inlineStr">
        <is>
          <t>No</t>
        </is>
      </c>
      <c r="B221" t="inlineStr">
        <is>
          <t>BX1406.3 .H33 2004</t>
        </is>
      </c>
      <c r="C221" t="inlineStr">
        <is>
          <t>0                      BX 1406300H  33          2004</t>
        </is>
      </c>
      <c r="D221" t="inlineStr">
        <is>
          <t>Habits of devotion : Catholic religious practice in twentieth-century America / edited by James M. O'Toole.</t>
        </is>
      </c>
      <c r="F221" t="inlineStr">
        <is>
          <t>No</t>
        </is>
      </c>
      <c r="G221" t="inlineStr">
        <is>
          <t>1</t>
        </is>
      </c>
      <c r="H221" t="inlineStr">
        <is>
          <t>No</t>
        </is>
      </c>
      <c r="I221" t="inlineStr">
        <is>
          <t>No</t>
        </is>
      </c>
      <c r="J221" t="inlineStr">
        <is>
          <t>0</t>
        </is>
      </c>
      <c r="L221" t="inlineStr">
        <is>
          <t>Ithaca : Cornell University Press, 2004.</t>
        </is>
      </c>
      <c r="M221" t="inlineStr">
        <is>
          <t>2004</t>
        </is>
      </c>
      <c r="O221" t="inlineStr">
        <is>
          <t>eng</t>
        </is>
      </c>
      <c r="P221" t="inlineStr">
        <is>
          <t>nyu</t>
        </is>
      </c>
      <c r="Q221" t="inlineStr">
        <is>
          <t>Cushwa Center studies of Catholicism in twentieth-century America</t>
        </is>
      </c>
      <c r="R221" t="inlineStr">
        <is>
          <t xml:space="preserve">BX </t>
        </is>
      </c>
      <c r="S221" t="n">
        <v>5</v>
      </c>
      <c r="T221" t="n">
        <v>5</v>
      </c>
      <c r="U221" t="inlineStr">
        <is>
          <t>2006-03-15</t>
        </is>
      </c>
      <c r="V221" t="inlineStr">
        <is>
          <t>2006-03-15</t>
        </is>
      </c>
      <c r="W221" t="inlineStr">
        <is>
          <t>2005-05-19</t>
        </is>
      </c>
      <c r="X221" t="inlineStr">
        <is>
          <t>2005-05-19</t>
        </is>
      </c>
      <c r="Y221" t="n">
        <v>402</v>
      </c>
      <c r="Z221" t="n">
        <v>360</v>
      </c>
      <c r="AA221" t="n">
        <v>587</v>
      </c>
      <c r="AB221" t="n">
        <v>3</v>
      </c>
      <c r="AC221" t="n">
        <v>4</v>
      </c>
      <c r="AD221" t="n">
        <v>35</v>
      </c>
      <c r="AE221" t="n">
        <v>41</v>
      </c>
      <c r="AF221" t="n">
        <v>14</v>
      </c>
      <c r="AG221" t="n">
        <v>18</v>
      </c>
      <c r="AH221" t="n">
        <v>8</v>
      </c>
      <c r="AI221" t="n">
        <v>9</v>
      </c>
      <c r="AJ221" t="n">
        <v>22</v>
      </c>
      <c r="AK221" t="n">
        <v>23</v>
      </c>
      <c r="AL221" t="n">
        <v>2</v>
      </c>
      <c r="AM221" t="n">
        <v>3</v>
      </c>
      <c r="AN221" t="n">
        <v>0</v>
      </c>
      <c r="AO221" t="n">
        <v>0</v>
      </c>
      <c r="AP221" t="inlineStr">
        <is>
          <t>No</t>
        </is>
      </c>
      <c r="AQ221" t="inlineStr">
        <is>
          <t>Yes</t>
        </is>
      </c>
      <c r="AR221">
        <f>HYPERLINK("http://catalog.hathitrust.org/Record/004753527","HathiTrust Record")</f>
        <v/>
      </c>
      <c r="AS221">
        <f>HYPERLINK("https://creighton-primo.hosted.exlibrisgroup.com/primo-explore/search?tab=default_tab&amp;search_scope=EVERYTHING&amp;vid=01CRU&amp;lang=en_US&amp;offset=0&amp;query=any,contains,991004548109702656","Catalog Record")</f>
        <v/>
      </c>
      <c r="AT221">
        <f>HYPERLINK("http://www.worldcat.org/oclc/54691671","WorldCat Record")</f>
        <v/>
      </c>
      <c r="AU221" t="inlineStr">
        <is>
          <t>57031604:eng</t>
        </is>
      </c>
      <c r="AV221" t="inlineStr">
        <is>
          <t>54691671</t>
        </is>
      </c>
      <c r="AW221" t="inlineStr">
        <is>
          <t>991004548109702656</t>
        </is>
      </c>
      <c r="AX221" t="inlineStr">
        <is>
          <t>991004548109702656</t>
        </is>
      </c>
      <c r="AY221" t="inlineStr">
        <is>
          <t>2258383840002656</t>
        </is>
      </c>
      <c r="AZ221" t="inlineStr">
        <is>
          <t>BOOK</t>
        </is>
      </c>
      <c r="BB221" t="inlineStr">
        <is>
          <t>9780801442568</t>
        </is>
      </c>
      <c r="BC221" t="inlineStr">
        <is>
          <t>32285005038830</t>
        </is>
      </c>
      <c r="BD221" t="inlineStr">
        <is>
          <t>893895137</t>
        </is>
      </c>
    </row>
    <row r="222">
      <c r="A222" t="inlineStr">
        <is>
          <t>No</t>
        </is>
      </c>
      <c r="B222" t="inlineStr">
        <is>
          <t>BX1406.3 .I67 2004</t>
        </is>
      </c>
      <c r="C222" t="inlineStr">
        <is>
          <t>0                      BX 1406300I  67          2004</t>
        </is>
      </c>
      <c r="D222" t="inlineStr">
        <is>
          <t>In the footsteps of Jesus : resource manual on Catholic social teaching.</t>
        </is>
      </c>
      <c r="F222" t="inlineStr">
        <is>
          <t>No</t>
        </is>
      </c>
      <c r="G222" t="inlineStr">
        <is>
          <t>1</t>
        </is>
      </c>
      <c r="H222" t="inlineStr">
        <is>
          <t>No</t>
        </is>
      </c>
      <c r="I222" t="inlineStr">
        <is>
          <t>No</t>
        </is>
      </c>
      <c r="J222" t="inlineStr">
        <is>
          <t>0</t>
        </is>
      </c>
      <c r="L222" t="inlineStr">
        <is>
          <t>Washington, D.C. : United States Conference of Catholic Bishops, 2004.</t>
        </is>
      </c>
      <c r="M222" t="inlineStr">
        <is>
          <t>2004</t>
        </is>
      </c>
      <c r="O222" t="inlineStr">
        <is>
          <t>eng</t>
        </is>
      </c>
      <c r="P222" t="inlineStr">
        <is>
          <t>dcu</t>
        </is>
      </c>
      <c r="R222" t="inlineStr">
        <is>
          <t xml:space="preserve">BX </t>
        </is>
      </c>
      <c r="S222" t="n">
        <v>8</v>
      </c>
      <c r="T222" t="n">
        <v>8</v>
      </c>
      <c r="U222" t="inlineStr">
        <is>
          <t>2009-11-14</t>
        </is>
      </c>
      <c r="V222" t="inlineStr">
        <is>
          <t>2009-11-14</t>
        </is>
      </c>
      <c r="W222" t="inlineStr">
        <is>
          <t>2004-09-22</t>
        </is>
      </c>
      <c r="X222" t="inlineStr">
        <is>
          <t>2004-09-22</t>
        </is>
      </c>
      <c r="Y222" t="n">
        <v>53</v>
      </c>
      <c r="Z222" t="n">
        <v>51</v>
      </c>
      <c r="AA222" t="n">
        <v>51</v>
      </c>
      <c r="AB222" t="n">
        <v>1</v>
      </c>
      <c r="AC222" t="n">
        <v>1</v>
      </c>
      <c r="AD222" t="n">
        <v>6</v>
      </c>
      <c r="AE222" t="n">
        <v>6</v>
      </c>
      <c r="AF222" t="n">
        <v>1</v>
      </c>
      <c r="AG222" t="n">
        <v>1</v>
      </c>
      <c r="AH222" t="n">
        <v>2</v>
      </c>
      <c r="AI222" t="n">
        <v>2</v>
      </c>
      <c r="AJ222" t="n">
        <v>5</v>
      </c>
      <c r="AK222" t="n">
        <v>5</v>
      </c>
      <c r="AL222" t="n">
        <v>0</v>
      </c>
      <c r="AM222" t="n">
        <v>0</v>
      </c>
      <c r="AN222" t="n">
        <v>0</v>
      </c>
      <c r="AO222" t="n">
        <v>0</v>
      </c>
      <c r="AP222" t="inlineStr">
        <is>
          <t>No</t>
        </is>
      </c>
      <c r="AQ222" t="inlineStr">
        <is>
          <t>No</t>
        </is>
      </c>
      <c r="AS222">
        <f>HYPERLINK("https://creighton-primo.hosted.exlibrisgroup.com/primo-explore/search?tab=default_tab&amp;search_scope=EVERYTHING&amp;vid=01CRU&amp;lang=en_US&amp;offset=0&amp;query=any,contains,991004381499702656","Catalog Record")</f>
        <v/>
      </c>
      <c r="AT222">
        <f>HYPERLINK("http://www.worldcat.org/oclc/56518742","WorldCat Record")</f>
        <v/>
      </c>
      <c r="AU222" t="inlineStr">
        <is>
          <t>17170503:eng</t>
        </is>
      </c>
      <c r="AV222" t="inlineStr">
        <is>
          <t>56518742</t>
        </is>
      </c>
      <c r="AW222" t="inlineStr">
        <is>
          <t>991004381499702656</t>
        </is>
      </c>
      <c r="AX222" t="inlineStr">
        <is>
          <t>991004381499702656</t>
        </is>
      </c>
      <c r="AY222" t="inlineStr">
        <is>
          <t>2271766010002656</t>
        </is>
      </c>
      <c r="AZ222" t="inlineStr">
        <is>
          <t>BOOK</t>
        </is>
      </c>
      <c r="BB222" t="inlineStr">
        <is>
          <t>9781574554991</t>
        </is>
      </c>
      <c r="BC222" t="inlineStr">
        <is>
          <t>32285004986716</t>
        </is>
      </c>
      <c r="BD222" t="inlineStr">
        <is>
          <t>893429999</t>
        </is>
      </c>
    </row>
    <row r="223">
      <c r="A223" t="inlineStr">
        <is>
          <t>No</t>
        </is>
      </c>
      <c r="B223" t="inlineStr">
        <is>
          <t>BX1407.A5 M186 1963</t>
        </is>
      </c>
      <c r="C223" t="inlineStr">
        <is>
          <t>0                      BX 1407000A  5                  M  186         1963</t>
        </is>
      </c>
      <c r="D223" t="inlineStr">
        <is>
          <t>The Americanist heresy in Roman Catholicism, 1895-1900.</t>
        </is>
      </c>
      <c r="F223" t="inlineStr">
        <is>
          <t>No</t>
        </is>
      </c>
      <c r="G223" t="inlineStr">
        <is>
          <t>1</t>
        </is>
      </c>
      <c r="H223" t="inlineStr">
        <is>
          <t>No</t>
        </is>
      </c>
      <c r="I223" t="inlineStr">
        <is>
          <t>No</t>
        </is>
      </c>
      <c r="J223" t="inlineStr">
        <is>
          <t>0</t>
        </is>
      </c>
      <c r="K223" t="inlineStr">
        <is>
          <t>McAvoy, Thomas Timothy, 1903-1969.</t>
        </is>
      </c>
      <c r="L223" t="inlineStr">
        <is>
          <t>[Notre Dame, Ind.] : University of Notre Dame Press, 1963.</t>
        </is>
      </c>
      <c r="M223" t="inlineStr">
        <is>
          <t>1963</t>
        </is>
      </c>
      <c r="O223" t="inlineStr">
        <is>
          <t>eng</t>
        </is>
      </c>
      <c r="P223" t="inlineStr">
        <is>
          <t xml:space="preserve">xx </t>
        </is>
      </c>
      <c r="R223" t="inlineStr">
        <is>
          <t xml:space="preserve">BX </t>
        </is>
      </c>
      <c r="S223" t="n">
        <v>5</v>
      </c>
      <c r="T223" t="n">
        <v>5</v>
      </c>
      <c r="U223" t="inlineStr">
        <is>
          <t>2000-03-19</t>
        </is>
      </c>
      <c r="V223" t="inlineStr">
        <is>
          <t>2000-03-19</t>
        </is>
      </c>
      <c r="W223" t="inlineStr">
        <is>
          <t>1995-02-22</t>
        </is>
      </c>
      <c r="X223" t="inlineStr">
        <is>
          <t>1995-02-22</t>
        </is>
      </c>
      <c r="Y223" t="n">
        <v>472</v>
      </c>
      <c r="Z223" t="n">
        <v>427</v>
      </c>
      <c r="AA223" t="n">
        <v>442</v>
      </c>
      <c r="AB223" t="n">
        <v>8</v>
      </c>
      <c r="AC223" t="n">
        <v>8</v>
      </c>
      <c r="AD223" t="n">
        <v>38</v>
      </c>
      <c r="AE223" t="n">
        <v>39</v>
      </c>
      <c r="AF223" t="n">
        <v>13</v>
      </c>
      <c r="AG223" t="n">
        <v>14</v>
      </c>
      <c r="AH223" t="n">
        <v>10</v>
      </c>
      <c r="AI223" t="n">
        <v>11</v>
      </c>
      <c r="AJ223" t="n">
        <v>20</v>
      </c>
      <c r="AK223" t="n">
        <v>20</v>
      </c>
      <c r="AL223" t="n">
        <v>6</v>
      </c>
      <c r="AM223" t="n">
        <v>6</v>
      </c>
      <c r="AN223" t="n">
        <v>0</v>
      </c>
      <c r="AO223" t="n">
        <v>0</v>
      </c>
      <c r="AP223" t="inlineStr">
        <is>
          <t>Yes</t>
        </is>
      </c>
      <c r="AQ223" t="inlineStr">
        <is>
          <t>No</t>
        </is>
      </c>
      <c r="AR223">
        <f>HYPERLINK("http://catalog.hathitrust.org/Record/001401256","HathiTrust Record")</f>
        <v/>
      </c>
      <c r="AS223">
        <f>HYPERLINK("https://creighton-primo.hosted.exlibrisgroup.com/primo-explore/search?tab=default_tab&amp;search_scope=EVERYTHING&amp;vid=01CRU&amp;lang=en_US&amp;offset=0&amp;query=any,contains,991002984839702656","Catalog Record")</f>
        <v/>
      </c>
      <c r="AT223">
        <f>HYPERLINK("http://www.worldcat.org/oclc/557066","WorldCat Record")</f>
        <v/>
      </c>
      <c r="AU223" t="inlineStr">
        <is>
          <t>1621114:eng</t>
        </is>
      </c>
      <c r="AV223" t="inlineStr">
        <is>
          <t>557066</t>
        </is>
      </c>
      <c r="AW223" t="inlineStr">
        <is>
          <t>991002984839702656</t>
        </is>
      </c>
      <c r="AX223" t="inlineStr">
        <is>
          <t>991002984839702656</t>
        </is>
      </c>
      <c r="AY223" t="inlineStr">
        <is>
          <t>2261295960002656</t>
        </is>
      </c>
      <c r="AZ223" t="inlineStr">
        <is>
          <t>BOOK</t>
        </is>
      </c>
      <c r="BC223" t="inlineStr">
        <is>
          <t>32285001779346</t>
        </is>
      </c>
      <c r="BD223" t="inlineStr">
        <is>
          <t>893717182</t>
        </is>
      </c>
    </row>
    <row r="224">
      <c r="A224" t="inlineStr">
        <is>
          <t>No</t>
        </is>
      </c>
      <c r="B224" t="inlineStr">
        <is>
          <t>BX1407.A5 P47 1989</t>
        </is>
      </c>
      <c r="C224" t="inlineStr">
        <is>
          <t>0                      BX 1407000A  5                  P  47          1989</t>
        </is>
      </c>
      <c r="D224" t="inlineStr">
        <is>
          <t>Perspectives on the American Catholic Church, 1789-1989 / edited by Stephen J. Vicchio and Virgina Geiger.</t>
        </is>
      </c>
      <c r="F224" t="inlineStr">
        <is>
          <t>No</t>
        </is>
      </c>
      <c r="G224" t="inlineStr">
        <is>
          <t>1</t>
        </is>
      </c>
      <c r="H224" t="inlineStr">
        <is>
          <t>No</t>
        </is>
      </c>
      <c r="I224" t="inlineStr">
        <is>
          <t>No</t>
        </is>
      </c>
      <c r="J224" t="inlineStr">
        <is>
          <t>0</t>
        </is>
      </c>
      <c r="L224" t="inlineStr">
        <is>
          <t>Westminster, Md. : Christian Classics, 1989.</t>
        </is>
      </c>
      <c r="M224" t="inlineStr">
        <is>
          <t>1989</t>
        </is>
      </c>
      <c r="O224" t="inlineStr">
        <is>
          <t>eng</t>
        </is>
      </c>
      <c r="P224" t="inlineStr">
        <is>
          <t>mdu</t>
        </is>
      </c>
      <c r="R224" t="inlineStr">
        <is>
          <t xml:space="preserve">BX </t>
        </is>
      </c>
      <c r="S224" t="n">
        <v>7</v>
      </c>
      <c r="T224" t="n">
        <v>7</v>
      </c>
      <c r="U224" t="inlineStr">
        <is>
          <t>1997-03-10</t>
        </is>
      </c>
      <c r="V224" t="inlineStr">
        <is>
          <t>1997-03-10</t>
        </is>
      </c>
      <c r="W224" t="inlineStr">
        <is>
          <t>1990-10-01</t>
        </is>
      </c>
      <c r="X224" t="inlineStr">
        <is>
          <t>1990-10-01</t>
        </is>
      </c>
      <c r="Y224" t="n">
        <v>204</v>
      </c>
      <c r="Z224" t="n">
        <v>182</v>
      </c>
      <c r="AA224" t="n">
        <v>189</v>
      </c>
      <c r="AB224" t="n">
        <v>1</v>
      </c>
      <c r="AC224" t="n">
        <v>1</v>
      </c>
      <c r="AD224" t="n">
        <v>26</v>
      </c>
      <c r="AE224" t="n">
        <v>26</v>
      </c>
      <c r="AF224" t="n">
        <v>9</v>
      </c>
      <c r="AG224" t="n">
        <v>9</v>
      </c>
      <c r="AH224" t="n">
        <v>7</v>
      </c>
      <c r="AI224" t="n">
        <v>7</v>
      </c>
      <c r="AJ224" t="n">
        <v>16</v>
      </c>
      <c r="AK224" t="n">
        <v>16</v>
      </c>
      <c r="AL224" t="n">
        <v>0</v>
      </c>
      <c r="AM224" t="n">
        <v>0</v>
      </c>
      <c r="AN224" t="n">
        <v>1</v>
      </c>
      <c r="AO224" t="n">
        <v>1</v>
      </c>
      <c r="AP224" t="inlineStr">
        <is>
          <t>No</t>
        </is>
      </c>
      <c r="AQ224" t="inlineStr">
        <is>
          <t>Yes</t>
        </is>
      </c>
      <c r="AR224">
        <f>HYPERLINK("http://catalog.hathitrust.org/Record/002224521","HathiTrust Record")</f>
        <v/>
      </c>
      <c r="AS224">
        <f>HYPERLINK("https://creighton-primo.hosted.exlibrisgroup.com/primo-explore/search?tab=default_tab&amp;search_scope=EVERYTHING&amp;vid=01CRU&amp;lang=en_US&amp;offset=0&amp;query=any,contains,991001611459702656","Catalog Record")</f>
        <v/>
      </c>
      <c r="AT224">
        <f>HYPERLINK("http://www.worldcat.org/oclc/20729823","WorldCat Record")</f>
        <v/>
      </c>
      <c r="AU224" t="inlineStr">
        <is>
          <t>22483503:eng</t>
        </is>
      </c>
      <c r="AV224" t="inlineStr">
        <is>
          <t>20729823</t>
        </is>
      </c>
      <c r="AW224" t="inlineStr">
        <is>
          <t>991001611459702656</t>
        </is>
      </c>
      <c r="AX224" t="inlineStr">
        <is>
          <t>991001611459702656</t>
        </is>
      </c>
      <c r="AY224" t="inlineStr">
        <is>
          <t>2269171480002656</t>
        </is>
      </c>
      <c r="AZ224" t="inlineStr">
        <is>
          <t>BOOK</t>
        </is>
      </c>
      <c r="BB224" t="inlineStr">
        <is>
          <t>9780870611711</t>
        </is>
      </c>
      <c r="BC224" t="inlineStr">
        <is>
          <t>32285000278498</t>
        </is>
      </c>
      <c r="BD224" t="inlineStr">
        <is>
          <t>893322080</t>
        </is>
      </c>
    </row>
    <row r="225">
      <c r="A225" t="inlineStr">
        <is>
          <t>No</t>
        </is>
      </c>
      <c r="B225" t="inlineStr">
        <is>
          <t>BX1407.A85 F53 1989</t>
        </is>
      </c>
      <c r="C225" t="inlineStr">
        <is>
          <t>0                      BX 1407000A  85                 F  53          1989</t>
        </is>
      </c>
      <c r="D225" t="inlineStr">
        <is>
          <t>The pastoral provisions : married Catholic priests / Joseph H. Fichter.</t>
        </is>
      </c>
      <c r="F225" t="inlineStr">
        <is>
          <t>No</t>
        </is>
      </c>
      <c r="G225" t="inlineStr">
        <is>
          <t>1</t>
        </is>
      </c>
      <c r="H225" t="inlineStr">
        <is>
          <t>No</t>
        </is>
      </c>
      <c r="I225" t="inlineStr">
        <is>
          <t>No</t>
        </is>
      </c>
      <c r="J225" t="inlineStr">
        <is>
          <t>0</t>
        </is>
      </c>
      <c r="K225" t="inlineStr">
        <is>
          <t>Fichter, Joseph Henry, 1908-1994.</t>
        </is>
      </c>
      <c r="L225" t="inlineStr">
        <is>
          <t>Kansas City, MO : Sheed &amp; Ward, c1989.</t>
        </is>
      </c>
      <c r="M225" t="inlineStr">
        <is>
          <t>1989</t>
        </is>
      </c>
      <c r="O225" t="inlineStr">
        <is>
          <t>eng</t>
        </is>
      </c>
      <c r="P225" t="inlineStr">
        <is>
          <t>mou</t>
        </is>
      </c>
      <c r="R225" t="inlineStr">
        <is>
          <t xml:space="preserve">BX </t>
        </is>
      </c>
      <c r="S225" t="n">
        <v>5</v>
      </c>
      <c r="T225" t="n">
        <v>5</v>
      </c>
      <c r="U225" t="inlineStr">
        <is>
          <t>2007-04-16</t>
        </is>
      </c>
      <c r="V225" t="inlineStr">
        <is>
          <t>2007-04-16</t>
        </is>
      </c>
      <c r="W225" t="inlineStr">
        <is>
          <t>1990-12-17</t>
        </is>
      </c>
      <c r="X225" t="inlineStr">
        <is>
          <t>1990-12-17</t>
        </is>
      </c>
      <c r="Y225" t="n">
        <v>132</v>
      </c>
      <c r="Z225" t="n">
        <v>115</v>
      </c>
      <c r="AA225" t="n">
        <v>117</v>
      </c>
      <c r="AB225" t="n">
        <v>1</v>
      </c>
      <c r="AC225" t="n">
        <v>1</v>
      </c>
      <c r="AD225" t="n">
        <v>15</v>
      </c>
      <c r="AE225" t="n">
        <v>15</v>
      </c>
      <c r="AF225" t="n">
        <v>3</v>
      </c>
      <c r="AG225" t="n">
        <v>3</v>
      </c>
      <c r="AH225" t="n">
        <v>5</v>
      </c>
      <c r="AI225" t="n">
        <v>5</v>
      </c>
      <c r="AJ225" t="n">
        <v>11</v>
      </c>
      <c r="AK225" t="n">
        <v>11</v>
      </c>
      <c r="AL225" t="n">
        <v>0</v>
      </c>
      <c r="AM225" t="n">
        <v>0</v>
      </c>
      <c r="AN225" t="n">
        <v>0</v>
      </c>
      <c r="AO225" t="n">
        <v>0</v>
      </c>
      <c r="AP225" t="inlineStr">
        <is>
          <t>No</t>
        </is>
      </c>
      <c r="AQ225" t="inlineStr">
        <is>
          <t>Yes</t>
        </is>
      </c>
      <c r="AR225">
        <f>HYPERLINK("http://catalog.hathitrust.org/Record/002884098","HathiTrust Record")</f>
        <v/>
      </c>
      <c r="AS225">
        <f>HYPERLINK("https://creighton-primo.hosted.exlibrisgroup.com/primo-explore/search?tab=default_tab&amp;search_scope=EVERYTHING&amp;vid=01CRU&amp;lang=en_US&amp;offset=0&amp;query=any,contains,991001665059702656","Catalog Record")</f>
        <v/>
      </c>
      <c r="AT225">
        <f>HYPERLINK("http://www.worldcat.org/oclc/21211999","WorldCat Record")</f>
        <v/>
      </c>
      <c r="AU225" t="inlineStr">
        <is>
          <t>368139206:eng</t>
        </is>
      </c>
      <c r="AV225" t="inlineStr">
        <is>
          <t>21211999</t>
        </is>
      </c>
      <c r="AW225" t="inlineStr">
        <is>
          <t>991001665059702656</t>
        </is>
      </c>
      <c r="AX225" t="inlineStr">
        <is>
          <t>991001665059702656</t>
        </is>
      </c>
      <c r="AY225" t="inlineStr">
        <is>
          <t>2271807490002656</t>
        </is>
      </c>
      <c r="AZ225" t="inlineStr">
        <is>
          <t>BOOK</t>
        </is>
      </c>
      <c r="BB225" t="inlineStr">
        <is>
          <t>9781556123061</t>
        </is>
      </c>
      <c r="BC225" t="inlineStr">
        <is>
          <t>32285000359637</t>
        </is>
      </c>
      <c r="BD225" t="inlineStr">
        <is>
          <t>893602781</t>
        </is>
      </c>
    </row>
    <row r="226">
      <c r="A226" t="inlineStr">
        <is>
          <t>No</t>
        </is>
      </c>
      <c r="B226" t="inlineStr">
        <is>
          <t>BX1407.B57 B85 1991</t>
        </is>
      </c>
      <c r="C226" t="inlineStr">
        <is>
          <t>0                      BX 1407000B  57                 B  85          1991</t>
        </is>
      </c>
      <c r="D226" t="inlineStr">
        <is>
          <t>Catholic bishops in American politics / Timothy A. Byrnes.</t>
        </is>
      </c>
      <c r="F226" t="inlineStr">
        <is>
          <t>No</t>
        </is>
      </c>
      <c r="G226" t="inlineStr">
        <is>
          <t>1</t>
        </is>
      </c>
      <c r="H226" t="inlineStr">
        <is>
          <t>No</t>
        </is>
      </c>
      <c r="I226" t="inlineStr">
        <is>
          <t>No</t>
        </is>
      </c>
      <c r="J226" t="inlineStr">
        <is>
          <t>0</t>
        </is>
      </c>
      <c r="K226" t="inlineStr">
        <is>
          <t>Byrnes, Timothy A., 1958-</t>
        </is>
      </c>
      <c r="L226" t="inlineStr">
        <is>
          <t>Princeton, N.J. : Princeton University Press, c1991.</t>
        </is>
      </c>
      <c r="M226" t="inlineStr">
        <is>
          <t>1991</t>
        </is>
      </c>
      <c r="O226" t="inlineStr">
        <is>
          <t>eng</t>
        </is>
      </c>
      <c r="P226" t="inlineStr">
        <is>
          <t>nju</t>
        </is>
      </c>
      <c r="R226" t="inlineStr">
        <is>
          <t xml:space="preserve">BX </t>
        </is>
      </c>
      <c r="S226" t="n">
        <v>5</v>
      </c>
      <c r="T226" t="n">
        <v>5</v>
      </c>
      <c r="U226" t="inlineStr">
        <is>
          <t>2002-11-08</t>
        </is>
      </c>
      <c r="V226" t="inlineStr">
        <is>
          <t>2002-11-08</t>
        </is>
      </c>
      <c r="W226" t="inlineStr">
        <is>
          <t>1991-12-13</t>
        </is>
      </c>
      <c r="X226" t="inlineStr">
        <is>
          <t>1991-12-13</t>
        </is>
      </c>
      <c r="Y226" t="n">
        <v>494</v>
      </c>
      <c r="Z226" t="n">
        <v>448</v>
      </c>
      <c r="AA226" t="n">
        <v>696</v>
      </c>
      <c r="AB226" t="n">
        <v>4</v>
      </c>
      <c r="AC226" t="n">
        <v>6</v>
      </c>
      <c r="AD226" t="n">
        <v>48</v>
      </c>
      <c r="AE226" t="n">
        <v>51</v>
      </c>
      <c r="AF226" t="n">
        <v>21</v>
      </c>
      <c r="AG226" t="n">
        <v>23</v>
      </c>
      <c r="AH226" t="n">
        <v>10</v>
      </c>
      <c r="AI226" t="n">
        <v>11</v>
      </c>
      <c r="AJ226" t="n">
        <v>23</v>
      </c>
      <c r="AK226" t="n">
        <v>23</v>
      </c>
      <c r="AL226" t="n">
        <v>3</v>
      </c>
      <c r="AM226" t="n">
        <v>4</v>
      </c>
      <c r="AN226" t="n">
        <v>3</v>
      </c>
      <c r="AO226" t="n">
        <v>3</v>
      </c>
      <c r="AP226" t="inlineStr">
        <is>
          <t>No</t>
        </is>
      </c>
      <c r="AQ226" t="inlineStr">
        <is>
          <t>No</t>
        </is>
      </c>
      <c r="AS226">
        <f>HYPERLINK("https://creighton-primo.hosted.exlibrisgroup.com/primo-explore/search?tab=default_tab&amp;search_scope=EVERYTHING&amp;vid=01CRU&amp;lang=en_US&amp;offset=0&amp;query=any,contains,991001805299702656","Catalog Record")</f>
        <v/>
      </c>
      <c r="AT226">
        <f>HYPERLINK("http://www.worldcat.org/oclc/22704150","WorldCat Record")</f>
        <v/>
      </c>
      <c r="AU226" t="inlineStr">
        <is>
          <t>23957370:eng</t>
        </is>
      </c>
      <c r="AV226" t="inlineStr">
        <is>
          <t>22704150</t>
        </is>
      </c>
      <c r="AW226" t="inlineStr">
        <is>
          <t>991001805299702656</t>
        </is>
      </c>
      <c r="AX226" t="inlineStr">
        <is>
          <t>991001805299702656</t>
        </is>
      </c>
      <c r="AY226" t="inlineStr">
        <is>
          <t>2254792780002656</t>
        </is>
      </c>
      <c r="AZ226" t="inlineStr">
        <is>
          <t>BOOK</t>
        </is>
      </c>
      <c r="BB226" t="inlineStr">
        <is>
          <t>9780691078762</t>
        </is>
      </c>
      <c r="BC226" t="inlineStr">
        <is>
          <t>32285000819234</t>
        </is>
      </c>
      <c r="BD226" t="inlineStr">
        <is>
          <t>893866499</t>
        </is>
      </c>
    </row>
    <row r="227">
      <c r="A227" t="inlineStr">
        <is>
          <t>No</t>
        </is>
      </c>
      <c r="B227" t="inlineStr">
        <is>
          <t>BX1407.B57 G74 1992</t>
        </is>
      </c>
      <c r="C227" t="inlineStr">
        <is>
          <t>0                      BX 1407000B  57                 G  74          1992</t>
        </is>
      </c>
      <c r="D227" t="inlineStr">
        <is>
          <t>A manual for bishops : rights and responsibilities of diocesan bishops in the revised code of canon law / [Thomas J. Green].</t>
        </is>
      </c>
      <c r="F227" t="inlineStr">
        <is>
          <t>No</t>
        </is>
      </c>
      <c r="G227" t="inlineStr">
        <is>
          <t>1</t>
        </is>
      </c>
      <c r="H227" t="inlineStr">
        <is>
          <t>No</t>
        </is>
      </c>
      <c r="I227" t="inlineStr">
        <is>
          <t>No</t>
        </is>
      </c>
      <c r="J227" t="inlineStr">
        <is>
          <t>0</t>
        </is>
      </c>
      <c r="K227" t="inlineStr">
        <is>
          <t>Green, Thomas J. (Thomas Joseph), 1938-2018.</t>
        </is>
      </c>
      <c r="L227" t="inlineStr">
        <is>
          <t>Washington D.C. : United States Catholic Conference, 1992.</t>
        </is>
      </c>
      <c r="M227" t="inlineStr">
        <is>
          <t>1992</t>
        </is>
      </c>
      <c r="N227" t="inlineStr">
        <is>
          <t>Rev. ed.</t>
        </is>
      </c>
      <c r="O227" t="inlineStr">
        <is>
          <t>eng</t>
        </is>
      </c>
      <c r="P227" t="inlineStr">
        <is>
          <t>dcu</t>
        </is>
      </c>
      <c r="Q227" t="inlineStr">
        <is>
          <t>Publication / Office for Publishing and Promotion Services, United States Catholic Conference ; no. 496-1</t>
        </is>
      </c>
      <c r="R227" t="inlineStr">
        <is>
          <t xml:space="preserve">BX </t>
        </is>
      </c>
      <c r="S227" t="n">
        <v>3</v>
      </c>
      <c r="T227" t="n">
        <v>3</v>
      </c>
      <c r="U227" t="inlineStr">
        <is>
          <t>2005-10-19</t>
        </is>
      </c>
      <c r="V227" t="inlineStr">
        <is>
          <t>2005-10-19</t>
        </is>
      </c>
      <c r="W227" t="inlineStr">
        <is>
          <t>1992-07-08</t>
        </is>
      </c>
      <c r="X227" t="inlineStr">
        <is>
          <t>1992-07-08</t>
        </is>
      </c>
      <c r="Y227" t="n">
        <v>69</v>
      </c>
      <c r="Z227" t="n">
        <v>65</v>
      </c>
      <c r="AA227" t="n">
        <v>75</v>
      </c>
      <c r="AB227" t="n">
        <v>2</v>
      </c>
      <c r="AC227" t="n">
        <v>2</v>
      </c>
      <c r="AD227" t="n">
        <v>7</v>
      </c>
      <c r="AE227" t="n">
        <v>8</v>
      </c>
      <c r="AF227" t="n">
        <v>2</v>
      </c>
      <c r="AG227" t="n">
        <v>2</v>
      </c>
      <c r="AH227" t="n">
        <v>2</v>
      </c>
      <c r="AI227" t="n">
        <v>2</v>
      </c>
      <c r="AJ227" t="n">
        <v>6</v>
      </c>
      <c r="AK227" t="n">
        <v>7</v>
      </c>
      <c r="AL227" t="n">
        <v>0</v>
      </c>
      <c r="AM227" t="n">
        <v>0</v>
      </c>
      <c r="AN227" t="n">
        <v>0</v>
      </c>
      <c r="AO227" t="n">
        <v>0</v>
      </c>
      <c r="AP227" t="inlineStr">
        <is>
          <t>No</t>
        </is>
      </c>
      <c r="AQ227" t="inlineStr">
        <is>
          <t>No</t>
        </is>
      </c>
      <c r="AS227">
        <f>HYPERLINK("https://creighton-primo.hosted.exlibrisgroup.com/primo-explore/search?tab=default_tab&amp;search_scope=EVERYTHING&amp;vid=01CRU&amp;lang=en_US&amp;offset=0&amp;query=any,contains,991002042909702656","Catalog Record")</f>
        <v/>
      </c>
      <c r="AT227">
        <f>HYPERLINK("http://www.worldcat.org/oclc/26057473","WorldCat Record")</f>
        <v/>
      </c>
      <c r="AU227" t="inlineStr">
        <is>
          <t>28496380:eng</t>
        </is>
      </c>
      <c r="AV227" t="inlineStr">
        <is>
          <t>26057473</t>
        </is>
      </c>
      <c r="AW227" t="inlineStr">
        <is>
          <t>991002042909702656</t>
        </is>
      </c>
      <c r="AX227" t="inlineStr">
        <is>
          <t>991002042909702656</t>
        </is>
      </c>
      <c r="AY227" t="inlineStr">
        <is>
          <t>2260353380002656</t>
        </is>
      </c>
      <c r="AZ227" t="inlineStr">
        <is>
          <t>BOOK</t>
        </is>
      </c>
      <c r="BB227" t="inlineStr">
        <is>
          <t>9781555864965</t>
        </is>
      </c>
      <c r="BC227" t="inlineStr">
        <is>
          <t>32285001168870</t>
        </is>
      </c>
      <c r="BD227" t="inlineStr">
        <is>
          <t>893898314</t>
        </is>
      </c>
    </row>
    <row r="228">
      <c r="A228" t="inlineStr">
        <is>
          <t>No</t>
        </is>
      </c>
      <c r="B228" t="inlineStr">
        <is>
          <t>BX1407.B57 P47 1989</t>
        </is>
      </c>
      <c r="C228" t="inlineStr">
        <is>
          <t>0                      BX 1407000B  57                 P  47          1989</t>
        </is>
      </c>
      <c r="D228" t="inlineStr">
        <is>
          <t>The Papacy and the Church in the United States / Bernard Cooke, editor.</t>
        </is>
      </c>
      <c r="F228" t="inlineStr">
        <is>
          <t>No</t>
        </is>
      </c>
      <c r="G228" t="inlineStr">
        <is>
          <t>1</t>
        </is>
      </c>
      <c r="H228" t="inlineStr">
        <is>
          <t>No</t>
        </is>
      </c>
      <c r="I228" t="inlineStr">
        <is>
          <t>No</t>
        </is>
      </c>
      <c r="J228" t="inlineStr">
        <is>
          <t>0</t>
        </is>
      </c>
      <c r="L228" t="inlineStr">
        <is>
          <t>New York : Paulist Press, c1989.</t>
        </is>
      </c>
      <c r="M228" t="inlineStr">
        <is>
          <t>1989</t>
        </is>
      </c>
      <c r="O228" t="inlineStr">
        <is>
          <t>eng</t>
        </is>
      </c>
      <c r="P228" t="inlineStr">
        <is>
          <t>nyu</t>
        </is>
      </c>
      <c r="R228" t="inlineStr">
        <is>
          <t xml:space="preserve">BX </t>
        </is>
      </c>
      <c r="S228" t="n">
        <v>4</v>
      </c>
      <c r="T228" t="n">
        <v>4</v>
      </c>
      <c r="U228" t="inlineStr">
        <is>
          <t>1996-02-10</t>
        </is>
      </c>
      <c r="V228" t="inlineStr">
        <is>
          <t>1996-02-10</t>
        </is>
      </c>
      <c r="W228" t="inlineStr">
        <is>
          <t>1990-03-30</t>
        </is>
      </c>
      <c r="X228" t="inlineStr">
        <is>
          <t>1990-03-30</t>
        </is>
      </c>
      <c r="Y228" t="n">
        <v>282</v>
      </c>
      <c r="Z228" t="n">
        <v>256</v>
      </c>
      <c r="AA228" t="n">
        <v>263</v>
      </c>
      <c r="AB228" t="n">
        <v>3</v>
      </c>
      <c r="AC228" t="n">
        <v>3</v>
      </c>
      <c r="AD228" t="n">
        <v>32</v>
      </c>
      <c r="AE228" t="n">
        <v>32</v>
      </c>
      <c r="AF228" t="n">
        <v>11</v>
      </c>
      <c r="AG228" t="n">
        <v>11</v>
      </c>
      <c r="AH228" t="n">
        <v>8</v>
      </c>
      <c r="AI228" t="n">
        <v>8</v>
      </c>
      <c r="AJ228" t="n">
        <v>23</v>
      </c>
      <c r="AK228" t="n">
        <v>23</v>
      </c>
      <c r="AL228" t="n">
        <v>1</v>
      </c>
      <c r="AM228" t="n">
        <v>1</v>
      </c>
      <c r="AN228" t="n">
        <v>0</v>
      </c>
      <c r="AO228" t="n">
        <v>0</v>
      </c>
      <c r="AP228" t="inlineStr">
        <is>
          <t>No</t>
        </is>
      </c>
      <c r="AQ228" t="inlineStr">
        <is>
          <t>Yes</t>
        </is>
      </c>
      <c r="AR228">
        <f>HYPERLINK("http://catalog.hathitrust.org/Record/001823867","HathiTrust Record")</f>
        <v/>
      </c>
      <c r="AS228">
        <f>HYPERLINK("https://creighton-primo.hosted.exlibrisgroup.com/primo-explore/search?tab=default_tab&amp;search_scope=EVERYTHING&amp;vid=01CRU&amp;lang=en_US&amp;offset=0&amp;query=any,contains,991001504759702656","Catalog Record")</f>
        <v/>
      </c>
      <c r="AT228">
        <f>HYPERLINK("http://www.worldcat.org/oclc/19815505","WorldCat Record")</f>
        <v/>
      </c>
      <c r="AU228" t="inlineStr">
        <is>
          <t>427160464:eng</t>
        </is>
      </c>
      <c r="AV228" t="inlineStr">
        <is>
          <t>19815505</t>
        </is>
      </c>
      <c r="AW228" t="inlineStr">
        <is>
          <t>991001504759702656</t>
        </is>
      </c>
      <c r="AX228" t="inlineStr">
        <is>
          <t>991001504759702656</t>
        </is>
      </c>
      <c r="AY228" t="inlineStr">
        <is>
          <t>2265427710002656</t>
        </is>
      </c>
      <c r="AZ228" t="inlineStr">
        <is>
          <t>BOOK</t>
        </is>
      </c>
      <c r="BB228" t="inlineStr">
        <is>
          <t>9780809130702</t>
        </is>
      </c>
      <c r="BC228" t="inlineStr">
        <is>
          <t>32285000084961</t>
        </is>
      </c>
      <c r="BD228" t="inlineStr">
        <is>
          <t>893684369</t>
        </is>
      </c>
    </row>
    <row r="229">
      <c r="A229" t="inlineStr">
        <is>
          <t>No</t>
        </is>
      </c>
      <c r="B229" t="inlineStr">
        <is>
          <t>BX1407.C6 C37 2004</t>
        </is>
      </c>
      <c r="C229" t="inlineStr">
        <is>
          <t>0                      BX 1407000C  6                  C  37          2004</t>
        </is>
      </c>
      <c r="D229" t="inlineStr">
        <is>
          <t>Mutuae relations and excerpts from two post-synodal apostolic exhortations of Pope John Paul II Vita consecrata and Pastores gregis / Sacred Congregation for Religious and Secular Institutes ; Sacred Congregation for Bishops.</t>
        </is>
      </c>
      <c r="F229" t="inlineStr">
        <is>
          <t>No</t>
        </is>
      </c>
      <c r="G229" t="inlineStr">
        <is>
          <t>1</t>
        </is>
      </c>
      <c r="H229" t="inlineStr">
        <is>
          <t>No</t>
        </is>
      </c>
      <c r="I229" t="inlineStr">
        <is>
          <t>No</t>
        </is>
      </c>
      <c r="J229" t="inlineStr">
        <is>
          <t>0</t>
        </is>
      </c>
      <c r="K229" t="inlineStr">
        <is>
          <t>Catholic Church. Congregatio pro Religiosis et Institutis Saecularibus.</t>
        </is>
      </c>
      <c r="L229" t="inlineStr">
        <is>
          <t>Washington, D.C. : United States Catholic Conferece, c2004.</t>
        </is>
      </c>
      <c r="M229" t="inlineStr">
        <is>
          <t>2004</t>
        </is>
      </c>
      <c r="O229" t="inlineStr">
        <is>
          <t>eng</t>
        </is>
      </c>
      <c r="P229" t="inlineStr">
        <is>
          <t>dcu</t>
        </is>
      </c>
      <c r="R229" t="inlineStr">
        <is>
          <t xml:space="preserve">BX </t>
        </is>
      </c>
      <c r="S229" t="n">
        <v>1</v>
      </c>
      <c r="T229" t="n">
        <v>1</v>
      </c>
      <c r="U229" t="inlineStr">
        <is>
          <t>2004-07-21</t>
        </is>
      </c>
      <c r="V229" t="inlineStr">
        <is>
          <t>2004-07-21</t>
        </is>
      </c>
      <c r="W229" t="inlineStr">
        <is>
          <t>2004-07-21</t>
        </is>
      </c>
      <c r="X229" t="inlineStr">
        <is>
          <t>2004-07-21</t>
        </is>
      </c>
      <c r="Y229" t="n">
        <v>63</v>
      </c>
      <c r="Z229" t="n">
        <v>59</v>
      </c>
      <c r="AA229" t="n">
        <v>59</v>
      </c>
      <c r="AB229" t="n">
        <v>2</v>
      </c>
      <c r="AC229" t="n">
        <v>2</v>
      </c>
      <c r="AD229" t="n">
        <v>8</v>
      </c>
      <c r="AE229" t="n">
        <v>8</v>
      </c>
      <c r="AF229" t="n">
        <v>1</v>
      </c>
      <c r="AG229" t="n">
        <v>1</v>
      </c>
      <c r="AH229" t="n">
        <v>2</v>
      </c>
      <c r="AI229" t="n">
        <v>2</v>
      </c>
      <c r="AJ229" t="n">
        <v>6</v>
      </c>
      <c r="AK229" t="n">
        <v>6</v>
      </c>
      <c r="AL229" t="n">
        <v>1</v>
      </c>
      <c r="AM229" t="n">
        <v>1</v>
      </c>
      <c r="AN229" t="n">
        <v>0</v>
      </c>
      <c r="AO229" t="n">
        <v>0</v>
      </c>
      <c r="AP229" t="inlineStr">
        <is>
          <t>No</t>
        </is>
      </c>
      <c r="AQ229" t="inlineStr">
        <is>
          <t>No</t>
        </is>
      </c>
      <c r="AS229">
        <f>HYPERLINK("https://creighton-primo.hosted.exlibrisgroup.com/primo-explore/search?tab=default_tab&amp;search_scope=EVERYTHING&amp;vid=01CRU&amp;lang=en_US&amp;offset=0&amp;query=any,contains,991004327889702656","Catalog Record")</f>
        <v/>
      </c>
      <c r="AT229">
        <f>HYPERLINK("http://www.worldcat.org/oclc/55951104","WorldCat Record")</f>
        <v/>
      </c>
      <c r="AU229" t="inlineStr">
        <is>
          <t>15295168:eng</t>
        </is>
      </c>
      <c r="AV229" t="inlineStr">
        <is>
          <t>55951104</t>
        </is>
      </c>
      <c r="AW229" t="inlineStr">
        <is>
          <t>991004327889702656</t>
        </is>
      </c>
      <c r="AX229" t="inlineStr">
        <is>
          <t>991004327889702656</t>
        </is>
      </c>
      <c r="AY229" t="inlineStr">
        <is>
          <t>2270603250002656</t>
        </is>
      </c>
      <c r="AZ229" t="inlineStr">
        <is>
          <t>BOOK</t>
        </is>
      </c>
      <c r="BB229" t="inlineStr">
        <is>
          <t>9781574556346</t>
        </is>
      </c>
      <c r="BC229" t="inlineStr">
        <is>
          <t>32285004923156</t>
        </is>
      </c>
      <c r="BD229" t="inlineStr">
        <is>
          <t>893253560</t>
        </is>
      </c>
    </row>
    <row r="230">
      <c r="A230" t="inlineStr">
        <is>
          <t>No</t>
        </is>
      </c>
      <c r="B230" t="inlineStr">
        <is>
          <t>BX1407.C6 S38 1989</t>
        </is>
      </c>
      <c r="C230" t="inlineStr">
        <is>
          <t>0                      BX 1407000C  6                  S  38          1989</t>
        </is>
      </c>
      <c r="D230" t="inlineStr">
        <is>
          <t>Servant leaders of the people of God : an ecclesial spirituality for American priests / Robert M. Schwartz.</t>
        </is>
      </c>
      <c r="F230" t="inlineStr">
        <is>
          <t>No</t>
        </is>
      </c>
      <c r="G230" t="inlineStr">
        <is>
          <t>1</t>
        </is>
      </c>
      <c r="H230" t="inlineStr">
        <is>
          <t>No</t>
        </is>
      </c>
      <c r="I230" t="inlineStr">
        <is>
          <t>No</t>
        </is>
      </c>
      <c r="J230" t="inlineStr">
        <is>
          <t>0</t>
        </is>
      </c>
      <c r="K230" t="inlineStr">
        <is>
          <t>Schwartz, Robert M. (Robert Morris), 1941-</t>
        </is>
      </c>
      <c r="L230" t="inlineStr">
        <is>
          <t>New York : Paulist Press, c1989.</t>
        </is>
      </c>
      <c r="M230" t="inlineStr">
        <is>
          <t>1989</t>
        </is>
      </c>
      <c r="O230" t="inlineStr">
        <is>
          <t>eng</t>
        </is>
      </c>
      <c r="P230" t="inlineStr">
        <is>
          <t>nyu</t>
        </is>
      </c>
      <c r="R230" t="inlineStr">
        <is>
          <t xml:space="preserve">BX </t>
        </is>
      </c>
      <c r="S230" t="n">
        <v>3</v>
      </c>
      <c r="T230" t="n">
        <v>3</v>
      </c>
      <c r="U230" t="inlineStr">
        <is>
          <t>2006-06-16</t>
        </is>
      </c>
      <c r="V230" t="inlineStr">
        <is>
          <t>2006-06-16</t>
        </is>
      </c>
      <c r="W230" t="inlineStr">
        <is>
          <t>1990-12-06</t>
        </is>
      </c>
      <c r="X230" t="inlineStr">
        <is>
          <t>1990-12-06</t>
        </is>
      </c>
      <c r="Y230" t="n">
        <v>169</v>
      </c>
      <c r="Z230" t="n">
        <v>148</v>
      </c>
      <c r="AA230" t="n">
        <v>153</v>
      </c>
      <c r="AB230" t="n">
        <v>3</v>
      </c>
      <c r="AC230" t="n">
        <v>3</v>
      </c>
      <c r="AD230" t="n">
        <v>13</v>
      </c>
      <c r="AE230" t="n">
        <v>13</v>
      </c>
      <c r="AF230" t="n">
        <v>2</v>
      </c>
      <c r="AG230" t="n">
        <v>2</v>
      </c>
      <c r="AH230" t="n">
        <v>4</v>
      </c>
      <c r="AI230" t="n">
        <v>4</v>
      </c>
      <c r="AJ230" t="n">
        <v>9</v>
      </c>
      <c r="AK230" t="n">
        <v>9</v>
      </c>
      <c r="AL230" t="n">
        <v>0</v>
      </c>
      <c r="AM230" t="n">
        <v>0</v>
      </c>
      <c r="AN230" t="n">
        <v>0</v>
      </c>
      <c r="AO230" t="n">
        <v>0</v>
      </c>
      <c r="AP230" t="inlineStr">
        <is>
          <t>No</t>
        </is>
      </c>
      <c r="AQ230" t="inlineStr">
        <is>
          <t>No</t>
        </is>
      </c>
      <c r="AS230">
        <f>HYPERLINK("https://creighton-primo.hosted.exlibrisgroup.com/primo-explore/search?tab=default_tab&amp;search_scope=EVERYTHING&amp;vid=01CRU&amp;lang=en_US&amp;offset=0&amp;query=any,contains,991001534469702656","Catalog Record")</f>
        <v/>
      </c>
      <c r="AT230">
        <f>HYPERLINK("http://www.worldcat.org/oclc/20057233","WorldCat Record")</f>
        <v/>
      </c>
      <c r="AU230" t="inlineStr">
        <is>
          <t>1779744225:eng</t>
        </is>
      </c>
      <c r="AV230" t="inlineStr">
        <is>
          <t>20057233</t>
        </is>
      </c>
      <c r="AW230" t="inlineStr">
        <is>
          <t>991001534469702656</t>
        </is>
      </c>
      <c r="AX230" t="inlineStr">
        <is>
          <t>991001534469702656</t>
        </is>
      </c>
      <c r="AY230" t="inlineStr">
        <is>
          <t>2269985160002656</t>
        </is>
      </c>
      <c r="AZ230" t="inlineStr">
        <is>
          <t>BOOK</t>
        </is>
      </c>
      <c r="BB230" t="inlineStr">
        <is>
          <t>9780809131068</t>
        </is>
      </c>
      <c r="BC230" t="inlineStr">
        <is>
          <t>32285000358910</t>
        </is>
      </c>
      <c r="BD230" t="inlineStr">
        <is>
          <t>893340500</t>
        </is>
      </c>
    </row>
    <row r="231">
      <c r="A231" t="inlineStr">
        <is>
          <t>No</t>
        </is>
      </c>
      <c r="B231" t="inlineStr">
        <is>
          <t>BX1407.C76 C86 1997</t>
        </is>
      </c>
      <c r="C231" t="inlineStr">
        <is>
          <t>0                      BX 1407000C  76                 C  86          1997</t>
        </is>
      </c>
      <c r="D231" t="inlineStr">
        <is>
          <t>The smoke of Satan : conservative and traditionalist dissent in contemporary American Catholicism / Michael W. Cuneo.</t>
        </is>
      </c>
      <c r="F231" t="inlineStr">
        <is>
          <t>No</t>
        </is>
      </c>
      <c r="G231" t="inlineStr">
        <is>
          <t>1</t>
        </is>
      </c>
      <c r="H231" t="inlineStr">
        <is>
          <t>No</t>
        </is>
      </c>
      <c r="I231" t="inlineStr">
        <is>
          <t>No</t>
        </is>
      </c>
      <c r="J231" t="inlineStr">
        <is>
          <t>0</t>
        </is>
      </c>
      <c r="K231" t="inlineStr">
        <is>
          <t>Cuneo, Michael W.</t>
        </is>
      </c>
      <c r="L231" t="inlineStr">
        <is>
          <t>New York : Oxford University Press, 1997.</t>
        </is>
      </c>
      <c r="M231" t="inlineStr">
        <is>
          <t>1997</t>
        </is>
      </c>
      <c r="O231" t="inlineStr">
        <is>
          <t>eng</t>
        </is>
      </c>
      <c r="P231" t="inlineStr">
        <is>
          <t>nyu</t>
        </is>
      </c>
      <c r="R231" t="inlineStr">
        <is>
          <t xml:space="preserve">BX </t>
        </is>
      </c>
      <c r="S231" t="n">
        <v>3</v>
      </c>
      <c r="T231" t="n">
        <v>3</v>
      </c>
      <c r="U231" t="inlineStr">
        <is>
          <t>2009-06-25</t>
        </is>
      </c>
      <c r="V231" t="inlineStr">
        <is>
          <t>2009-06-25</t>
        </is>
      </c>
      <c r="W231" t="inlineStr">
        <is>
          <t>1998-02-11</t>
        </is>
      </c>
      <c r="X231" t="inlineStr">
        <is>
          <t>1998-02-11</t>
        </is>
      </c>
      <c r="Y231" t="n">
        <v>454</v>
      </c>
      <c r="Z231" t="n">
        <v>399</v>
      </c>
      <c r="AA231" t="n">
        <v>471</v>
      </c>
      <c r="AB231" t="n">
        <v>5</v>
      </c>
      <c r="AC231" t="n">
        <v>6</v>
      </c>
      <c r="AD231" t="n">
        <v>34</v>
      </c>
      <c r="AE231" t="n">
        <v>40</v>
      </c>
      <c r="AF231" t="n">
        <v>12</v>
      </c>
      <c r="AG231" t="n">
        <v>15</v>
      </c>
      <c r="AH231" t="n">
        <v>8</v>
      </c>
      <c r="AI231" t="n">
        <v>8</v>
      </c>
      <c r="AJ231" t="n">
        <v>21</v>
      </c>
      <c r="AK231" t="n">
        <v>25</v>
      </c>
      <c r="AL231" t="n">
        <v>2</v>
      </c>
      <c r="AM231" t="n">
        <v>3</v>
      </c>
      <c r="AN231" t="n">
        <v>0</v>
      </c>
      <c r="AO231" t="n">
        <v>0</v>
      </c>
      <c r="AP231" t="inlineStr">
        <is>
          <t>No</t>
        </is>
      </c>
      <c r="AQ231" t="inlineStr">
        <is>
          <t>Yes</t>
        </is>
      </c>
      <c r="AR231">
        <f>HYPERLINK("http://catalog.hathitrust.org/Record/003182707","HathiTrust Record")</f>
        <v/>
      </c>
      <c r="AS231">
        <f>HYPERLINK("https://creighton-primo.hosted.exlibrisgroup.com/primo-explore/search?tab=default_tab&amp;search_scope=EVERYTHING&amp;vid=01CRU&amp;lang=en_US&amp;offset=0&amp;query=any,contains,991002700549702656","Catalog Record")</f>
        <v/>
      </c>
      <c r="AT231">
        <f>HYPERLINK("http://www.worldcat.org/oclc/35262352","WorldCat Record")</f>
        <v/>
      </c>
      <c r="AU231" t="inlineStr">
        <is>
          <t>809485223:eng</t>
        </is>
      </c>
      <c r="AV231" t="inlineStr">
        <is>
          <t>35262352</t>
        </is>
      </c>
      <c r="AW231" t="inlineStr">
        <is>
          <t>991002700549702656</t>
        </is>
      </c>
      <c r="AX231" t="inlineStr">
        <is>
          <t>991002700549702656</t>
        </is>
      </c>
      <c r="AY231" t="inlineStr">
        <is>
          <t>2264307870002656</t>
        </is>
      </c>
      <c r="AZ231" t="inlineStr">
        <is>
          <t>BOOK</t>
        </is>
      </c>
      <c r="BB231" t="inlineStr">
        <is>
          <t>9780195113501</t>
        </is>
      </c>
      <c r="BC231" t="inlineStr">
        <is>
          <t>32285003313672</t>
        </is>
      </c>
      <c r="BD231" t="inlineStr">
        <is>
          <t>893409428</t>
        </is>
      </c>
    </row>
    <row r="232">
      <c r="A232" t="inlineStr">
        <is>
          <t>No</t>
        </is>
      </c>
      <c r="B232" t="inlineStr">
        <is>
          <t>BX1407.D54 R44 1989</t>
        </is>
      </c>
      <c r="C232" t="inlineStr">
        <is>
          <t>0                      BX 1407000D  54                 R  44          1989</t>
        </is>
      </c>
      <c r="D232" t="inlineStr">
        <is>
          <t>Archbishop : inside the power structure of the American Catholic Church / Thomas J. Reese, S.J.</t>
        </is>
      </c>
      <c r="F232" t="inlineStr">
        <is>
          <t>No</t>
        </is>
      </c>
      <c r="G232" t="inlineStr">
        <is>
          <t>1</t>
        </is>
      </c>
      <c r="H232" t="inlineStr">
        <is>
          <t>No</t>
        </is>
      </c>
      <c r="I232" t="inlineStr">
        <is>
          <t>No</t>
        </is>
      </c>
      <c r="J232" t="inlineStr">
        <is>
          <t>0</t>
        </is>
      </c>
      <c r="K232" t="inlineStr">
        <is>
          <t>Reese, Thomas J., 1945-</t>
        </is>
      </c>
      <c r="L232" t="inlineStr">
        <is>
          <t>San Francisco : Harper &amp; Row, c1989.</t>
        </is>
      </c>
      <c r="M232" t="inlineStr">
        <is>
          <t>1989</t>
        </is>
      </c>
      <c r="N232" t="inlineStr">
        <is>
          <t>1st ed.</t>
        </is>
      </c>
      <c r="O232" t="inlineStr">
        <is>
          <t>eng</t>
        </is>
      </c>
      <c r="P232" t="inlineStr">
        <is>
          <t>cau</t>
        </is>
      </c>
      <c r="R232" t="inlineStr">
        <is>
          <t xml:space="preserve">BX </t>
        </is>
      </c>
      <c r="S232" t="n">
        <v>6</v>
      </c>
      <c r="T232" t="n">
        <v>6</v>
      </c>
      <c r="U232" t="inlineStr">
        <is>
          <t>1998-08-17</t>
        </is>
      </c>
      <c r="V232" t="inlineStr">
        <is>
          <t>1998-08-17</t>
        </is>
      </c>
      <c r="W232" t="inlineStr">
        <is>
          <t>1990-02-20</t>
        </is>
      </c>
      <c r="X232" t="inlineStr">
        <is>
          <t>1990-02-20</t>
        </is>
      </c>
      <c r="Y232" t="n">
        <v>529</v>
      </c>
      <c r="Z232" t="n">
        <v>492</v>
      </c>
      <c r="AA232" t="n">
        <v>497</v>
      </c>
      <c r="AB232" t="n">
        <v>4</v>
      </c>
      <c r="AC232" t="n">
        <v>4</v>
      </c>
      <c r="AD232" t="n">
        <v>37</v>
      </c>
      <c r="AE232" t="n">
        <v>37</v>
      </c>
      <c r="AF232" t="n">
        <v>14</v>
      </c>
      <c r="AG232" t="n">
        <v>14</v>
      </c>
      <c r="AH232" t="n">
        <v>9</v>
      </c>
      <c r="AI232" t="n">
        <v>9</v>
      </c>
      <c r="AJ232" t="n">
        <v>24</v>
      </c>
      <c r="AK232" t="n">
        <v>24</v>
      </c>
      <c r="AL232" t="n">
        <v>1</v>
      </c>
      <c r="AM232" t="n">
        <v>1</v>
      </c>
      <c r="AN232" t="n">
        <v>1</v>
      </c>
      <c r="AO232" t="n">
        <v>1</v>
      </c>
      <c r="AP232" t="inlineStr">
        <is>
          <t>No</t>
        </is>
      </c>
      <c r="AQ232" t="inlineStr">
        <is>
          <t>No</t>
        </is>
      </c>
      <c r="AS232">
        <f>HYPERLINK("https://creighton-primo.hosted.exlibrisgroup.com/primo-explore/search?tab=default_tab&amp;search_scope=EVERYTHING&amp;vid=01CRU&amp;lang=en_US&amp;offset=0&amp;query=any,contains,991001372689702656","Catalog Record")</f>
        <v/>
      </c>
      <c r="AT232">
        <f>HYPERLINK("http://www.worldcat.org/oclc/18588748","WorldCat Record")</f>
        <v/>
      </c>
      <c r="AU232" t="inlineStr">
        <is>
          <t>17998008:eng</t>
        </is>
      </c>
      <c r="AV232" t="inlineStr">
        <is>
          <t>18588748</t>
        </is>
      </c>
      <c r="AW232" t="inlineStr">
        <is>
          <t>991001372689702656</t>
        </is>
      </c>
      <c r="AX232" t="inlineStr">
        <is>
          <t>991001372689702656</t>
        </is>
      </c>
      <c r="AY232" t="inlineStr">
        <is>
          <t>2266159770002656</t>
        </is>
      </c>
      <c r="AZ232" t="inlineStr">
        <is>
          <t>BOOK</t>
        </is>
      </c>
      <c r="BB232" t="inlineStr">
        <is>
          <t>9780060668365</t>
        </is>
      </c>
      <c r="BC232" t="inlineStr">
        <is>
          <t>32285000055748</t>
        </is>
      </c>
      <c r="BD232" t="inlineStr">
        <is>
          <t>893878840</t>
        </is>
      </c>
    </row>
    <row r="233">
      <c r="A233" t="inlineStr">
        <is>
          <t>No</t>
        </is>
      </c>
      <c r="B233" t="inlineStr">
        <is>
          <t>BX1407.H55 E87 1997</t>
        </is>
      </c>
      <c r="C233" t="inlineStr">
        <is>
          <t>0                      BX 1407000H  55                 E  87          1997</t>
        </is>
      </c>
      <c r="D233" t="inlineStr">
        <is>
          <t>The faith of the people : theological reflections on popular Catholicism / Orlando O. Espín.</t>
        </is>
      </c>
      <c r="F233" t="inlineStr">
        <is>
          <t>No</t>
        </is>
      </c>
      <c r="G233" t="inlineStr">
        <is>
          <t>1</t>
        </is>
      </c>
      <c r="H233" t="inlineStr">
        <is>
          <t>No</t>
        </is>
      </c>
      <c r="I233" t="inlineStr">
        <is>
          <t>No</t>
        </is>
      </c>
      <c r="J233" t="inlineStr">
        <is>
          <t>0</t>
        </is>
      </c>
      <c r="K233" t="inlineStr">
        <is>
          <t>Espín, Orlando O.</t>
        </is>
      </c>
      <c r="L233" t="inlineStr">
        <is>
          <t>Maryknoll, N.Y. : Orbis Books, c1997.</t>
        </is>
      </c>
      <c r="M233" t="inlineStr">
        <is>
          <t>1997</t>
        </is>
      </c>
      <c r="O233" t="inlineStr">
        <is>
          <t>eng</t>
        </is>
      </c>
      <c r="P233" t="inlineStr">
        <is>
          <t>nyu</t>
        </is>
      </c>
      <c r="R233" t="inlineStr">
        <is>
          <t xml:space="preserve">BX </t>
        </is>
      </c>
      <c r="S233" t="n">
        <v>6</v>
      </c>
      <c r="T233" t="n">
        <v>6</v>
      </c>
      <c r="U233" t="inlineStr">
        <is>
          <t>2007-07-23</t>
        </is>
      </c>
      <c r="V233" t="inlineStr">
        <is>
          <t>2007-07-23</t>
        </is>
      </c>
      <c r="W233" t="inlineStr">
        <is>
          <t>1998-08-26</t>
        </is>
      </c>
      <c r="X233" t="inlineStr">
        <is>
          <t>1998-08-26</t>
        </is>
      </c>
      <c r="Y233" t="n">
        <v>246</v>
      </c>
      <c r="Z233" t="n">
        <v>219</v>
      </c>
      <c r="AA233" t="n">
        <v>232</v>
      </c>
      <c r="AB233" t="n">
        <v>1</v>
      </c>
      <c r="AC233" t="n">
        <v>1</v>
      </c>
      <c r="AD233" t="n">
        <v>21</v>
      </c>
      <c r="AE233" t="n">
        <v>21</v>
      </c>
      <c r="AF233" t="n">
        <v>5</v>
      </c>
      <c r="AG233" t="n">
        <v>5</v>
      </c>
      <c r="AH233" t="n">
        <v>4</v>
      </c>
      <c r="AI233" t="n">
        <v>4</v>
      </c>
      <c r="AJ233" t="n">
        <v>16</v>
      </c>
      <c r="AK233" t="n">
        <v>16</v>
      </c>
      <c r="AL233" t="n">
        <v>0</v>
      </c>
      <c r="AM233" t="n">
        <v>0</v>
      </c>
      <c r="AN233" t="n">
        <v>0</v>
      </c>
      <c r="AO233" t="n">
        <v>0</v>
      </c>
      <c r="AP233" t="inlineStr">
        <is>
          <t>No</t>
        </is>
      </c>
      <c r="AQ233" t="inlineStr">
        <is>
          <t>Yes</t>
        </is>
      </c>
      <c r="AR233">
        <f>HYPERLINK("http://catalog.hathitrust.org/Record/003159494","HathiTrust Record")</f>
        <v/>
      </c>
      <c r="AS233">
        <f>HYPERLINK("https://creighton-primo.hosted.exlibrisgroup.com/primo-explore/search?tab=default_tab&amp;search_scope=EVERYTHING&amp;vid=01CRU&amp;lang=en_US&amp;offset=0&amp;query=any,contains,991002762589702656","Catalog Record")</f>
        <v/>
      </c>
      <c r="AT233">
        <f>HYPERLINK("http://www.worldcat.org/oclc/36241775","WorldCat Record")</f>
        <v/>
      </c>
      <c r="AU233" t="inlineStr">
        <is>
          <t>107955585:eng</t>
        </is>
      </c>
      <c r="AV233" t="inlineStr">
        <is>
          <t>36241775</t>
        </is>
      </c>
      <c r="AW233" t="inlineStr">
        <is>
          <t>991002762589702656</t>
        </is>
      </c>
      <c r="AX233" t="inlineStr">
        <is>
          <t>991002762589702656</t>
        </is>
      </c>
      <c r="AY233" t="inlineStr">
        <is>
          <t>2258377320002656</t>
        </is>
      </c>
      <c r="AZ233" t="inlineStr">
        <is>
          <t>BOOK</t>
        </is>
      </c>
      <c r="BB233" t="inlineStr">
        <is>
          <t>9781570751110</t>
        </is>
      </c>
      <c r="BC233" t="inlineStr">
        <is>
          <t>32285003462750</t>
        </is>
      </c>
      <c r="BD233" t="inlineStr">
        <is>
          <t>893341814</t>
        </is>
      </c>
    </row>
    <row r="234">
      <c r="A234" t="inlineStr">
        <is>
          <t>No</t>
        </is>
      </c>
      <c r="B234" t="inlineStr">
        <is>
          <t>BX1407.H55 L82</t>
        </is>
      </c>
      <c r="C234" t="inlineStr">
        <is>
          <t>0                      BX 1407000H  55                 L  82</t>
        </is>
      </c>
      <c r="D234" t="inlineStr">
        <is>
          <t>The browning of America : the Hispanic revolution in the American church / Isidro Lucas.</t>
        </is>
      </c>
      <c r="F234" t="inlineStr">
        <is>
          <t>No</t>
        </is>
      </c>
      <c r="G234" t="inlineStr">
        <is>
          <t>1</t>
        </is>
      </c>
      <c r="H234" t="inlineStr">
        <is>
          <t>No</t>
        </is>
      </c>
      <c r="I234" t="inlineStr">
        <is>
          <t>No</t>
        </is>
      </c>
      <c r="J234" t="inlineStr">
        <is>
          <t>0</t>
        </is>
      </c>
      <c r="K234" t="inlineStr">
        <is>
          <t>Lucas, Isidro.</t>
        </is>
      </c>
      <c r="L234" t="inlineStr">
        <is>
          <t>South Bend, IN : Fides/Claretian, 1981.</t>
        </is>
      </c>
      <c r="M234" t="inlineStr">
        <is>
          <t>1981</t>
        </is>
      </c>
      <c r="O234" t="inlineStr">
        <is>
          <t>eng</t>
        </is>
      </c>
      <c r="P234" t="inlineStr">
        <is>
          <t>inu</t>
        </is>
      </c>
      <c r="R234" t="inlineStr">
        <is>
          <t xml:space="preserve">BX </t>
        </is>
      </c>
      <c r="S234" t="n">
        <v>5</v>
      </c>
      <c r="T234" t="n">
        <v>5</v>
      </c>
      <c r="U234" t="inlineStr">
        <is>
          <t>1997-02-25</t>
        </is>
      </c>
      <c r="V234" t="inlineStr">
        <is>
          <t>1997-02-25</t>
        </is>
      </c>
      <c r="W234" t="inlineStr">
        <is>
          <t>1991-02-12</t>
        </is>
      </c>
      <c r="X234" t="inlineStr">
        <is>
          <t>1991-02-12</t>
        </is>
      </c>
      <c r="Y234" t="n">
        <v>254</v>
      </c>
      <c r="Z234" t="n">
        <v>241</v>
      </c>
      <c r="AA234" t="n">
        <v>243</v>
      </c>
      <c r="AB234" t="n">
        <v>1</v>
      </c>
      <c r="AC234" t="n">
        <v>1</v>
      </c>
      <c r="AD234" t="n">
        <v>20</v>
      </c>
      <c r="AE234" t="n">
        <v>20</v>
      </c>
      <c r="AF234" t="n">
        <v>4</v>
      </c>
      <c r="AG234" t="n">
        <v>4</v>
      </c>
      <c r="AH234" t="n">
        <v>7</v>
      </c>
      <c r="AI234" t="n">
        <v>7</v>
      </c>
      <c r="AJ234" t="n">
        <v>17</v>
      </c>
      <c r="AK234" t="n">
        <v>17</v>
      </c>
      <c r="AL234" t="n">
        <v>0</v>
      </c>
      <c r="AM234" t="n">
        <v>0</v>
      </c>
      <c r="AN234" t="n">
        <v>0</v>
      </c>
      <c r="AO234" t="n">
        <v>0</v>
      </c>
      <c r="AP234" t="inlineStr">
        <is>
          <t>No</t>
        </is>
      </c>
      <c r="AQ234" t="inlineStr">
        <is>
          <t>Yes</t>
        </is>
      </c>
      <c r="AR234">
        <f>HYPERLINK("http://catalog.hathitrust.org/Record/000308355","HathiTrust Record")</f>
        <v/>
      </c>
      <c r="AS234">
        <f>HYPERLINK("https://creighton-primo.hosted.exlibrisgroup.com/primo-explore/search?tab=default_tab&amp;search_scope=EVERYTHING&amp;vid=01CRU&amp;lang=en_US&amp;offset=0&amp;query=any,contains,991005124679702656","Catalog Record")</f>
        <v/>
      </c>
      <c r="AT234">
        <f>HYPERLINK("http://www.worldcat.org/oclc/7552551","WorldCat Record")</f>
        <v/>
      </c>
      <c r="AU234" t="inlineStr">
        <is>
          <t>20994026:eng</t>
        </is>
      </c>
      <c r="AV234" t="inlineStr">
        <is>
          <t>7552551</t>
        </is>
      </c>
      <c r="AW234" t="inlineStr">
        <is>
          <t>991005124679702656</t>
        </is>
      </c>
      <c r="AX234" t="inlineStr">
        <is>
          <t>991005124679702656</t>
        </is>
      </c>
      <c r="AY234" t="inlineStr">
        <is>
          <t>2262960890002656</t>
        </is>
      </c>
      <c r="AZ234" t="inlineStr">
        <is>
          <t>BOOK</t>
        </is>
      </c>
      <c r="BB234" t="inlineStr">
        <is>
          <t>9780819006424</t>
        </is>
      </c>
      <c r="BC234" t="inlineStr">
        <is>
          <t>32285000506708</t>
        </is>
      </c>
      <c r="BD234" t="inlineStr">
        <is>
          <t>893707300</t>
        </is>
      </c>
    </row>
    <row r="235">
      <c r="A235" t="inlineStr">
        <is>
          <t>No</t>
        </is>
      </c>
      <c r="B235" t="inlineStr">
        <is>
          <t>BX1407.I45 K44 2000</t>
        </is>
      </c>
      <c r="C235" t="inlineStr">
        <is>
          <t>0                      BX 1407000I  45                 K  44          2000</t>
        </is>
      </c>
      <c r="D235" t="inlineStr">
        <is>
          <t>Keeping faith : European and Asian Catholic immigrants / Jeffrey M. Burns, Ellen Skerrett, Joseph M. White, editors.</t>
        </is>
      </c>
      <c r="F235" t="inlineStr">
        <is>
          <t>No</t>
        </is>
      </c>
      <c r="G235" t="inlineStr">
        <is>
          <t>1</t>
        </is>
      </c>
      <c r="H235" t="inlineStr">
        <is>
          <t>No</t>
        </is>
      </c>
      <c r="I235" t="inlineStr">
        <is>
          <t>No</t>
        </is>
      </c>
      <c r="J235" t="inlineStr">
        <is>
          <t>0</t>
        </is>
      </c>
      <c r="L235" t="inlineStr">
        <is>
          <t>Maryknoll, N.Y. : Orbis Books, c2000.</t>
        </is>
      </c>
      <c r="M235" t="inlineStr">
        <is>
          <t>2000</t>
        </is>
      </c>
      <c r="O235" t="inlineStr">
        <is>
          <t>eng</t>
        </is>
      </c>
      <c r="P235" t="inlineStr">
        <is>
          <t>nyu</t>
        </is>
      </c>
      <c r="Q235" t="inlineStr">
        <is>
          <t>American Catholic identities</t>
        </is>
      </c>
      <c r="R235" t="inlineStr">
        <is>
          <t xml:space="preserve">BX </t>
        </is>
      </c>
      <c r="S235" t="n">
        <v>1</v>
      </c>
      <c r="T235" t="n">
        <v>1</v>
      </c>
      <c r="U235" t="inlineStr">
        <is>
          <t>2001-11-15</t>
        </is>
      </c>
      <c r="V235" t="inlineStr">
        <is>
          <t>2001-11-15</t>
        </is>
      </c>
      <c r="W235" t="inlineStr">
        <is>
          <t>2001-11-15</t>
        </is>
      </c>
      <c r="X235" t="inlineStr">
        <is>
          <t>2001-11-15</t>
        </is>
      </c>
      <c r="Y235" t="n">
        <v>240</v>
      </c>
      <c r="Z235" t="n">
        <v>226</v>
      </c>
      <c r="AA235" t="n">
        <v>236</v>
      </c>
      <c r="AB235" t="n">
        <v>2</v>
      </c>
      <c r="AC235" t="n">
        <v>2</v>
      </c>
      <c r="AD235" t="n">
        <v>26</v>
      </c>
      <c r="AE235" t="n">
        <v>26</v>
      </c>
      <c r="AF235" t="n">
        <v>7</v>
      </c>
      <c r="AG235" t="n">
        <v>7</v>
      </c>
      <c r="AH235" t="n">
        <v>6</v>
      </c>
      <c r="AI235" t="n">
        <v>6</v>
      </c>
      <c r="AJ235" t="n">
        <v>17</v>
      </c>
      <c r="AK235" t="n">
        <v>17</v>
      </c>
      <c r="AL235" t="n">
        <v>1</v>
      </c>
      <c r="AM235" t="n">
        <v>1</v>
      </c>
      <c r="AN235" t="n">
        <v>0</v>
      </c>
      <c r="AO235" t="n">
        <v>0</v>
      </c>
      <c r="AP235" t="inlineStr">
        <is>
          <t>No</t>
        </is>
      </c>
      <c r="AQ235" t="inlineStr">
        <is>
          <t>Yes</t>
        </is>
      </c>
      <c r="AR235">
        <f>HYPERLINK("http://catalog.hathitrust.org/Record/004124329","HathiTrust Record")</f>
        <v/>
      </c>
      <c r="AS235">
        <f>HYPERLINK("https://creighton-primo.hosted.exlibrisgroup.com/primo-explore/search?tab=default_tab&amp;search_scope=EVERYTHING&amp;vid=01CRU&amp;lang=en_US&amp;offset=0&amp;query=any,contains,991003645679702656","Catalog Record")</f>
        <v/>
      </c>
      <c r="AT235">
        <f>HYPERLINK("http://www.worldcat.org/oclc/43978204","WorldCat Record")</f>
        <v/>
      </c>
      <c r="AU235" t="inlineStr">
        <is>
          <t>865661022:eng</t>
        </is>
      </c>
      <c r="AV235" t="inlineStr">
        <is>
          <t>43978204</t>
        </is>
      </c>
      <c r="AW235" t="inlineStr">
        <is>
          <t>991003645679702656</t>
        </is>
      </c>
      <c r="AX235" t="inlineStr">
        <is>
          <t>991003645679702656</t>
        </is>
      </c>
      <c r="AY235" t="inlineStr">
        <is>
          <t>2254713410002656</t>
        </is>
      </c>
      <c r="AZ235" t="inlineStr">
        <is>
          <t>BOOK</t>
        </is>
      </c>
      <c r="BB235" t="inlineStr">
        <is>
          <t>9781570752971</t>
        </is>
      </c>
      <c r="BC235" t="inlineStr">
        <is>
          <t>32285004411707</t>
        </is>
      </c>
      <c r="BD235" t="inlineStr">
        <is>
          <t>893518715</t>
        </is>
      </c>
    </row>
    <row r="236">
      <c r="A236" t="inlineStr">
        <is>
          <t>No</t>
        </is>
      </c>
      <c r="B236" t="inlineStr">
        <is>
          <t>BX1407.I45 L57 1989</t>
        </is>
      </c>
      <c r="C236" t="inlineStr">
        <is>
          <t>0                      BX 1407000I  45                 L  57          1989</t>
        </is>
      </c>
      <c r="D236" t="inlineStr">
        <is>
          <t>Immigrants and their church / Dolores Liptak.</t>
        </is>
      </c>
      <c r="F236" t="inlineStr">
        <is>
          <t>No</t>
        </is>
      </c>
      <c r="G236" t="inlineStr">
        <is>
          <t>1</t>
        </is>
      </c>
      <c r="H236" t="inlineStr">
        <is>
          <t>No</t>
        </is>
      </c>
      <c r="I236" t="inlineStr">
        <is>
          <t>No</t>
        </is>
      </c>
      <c r="J236" t="inlineStr">
        <is>
          <t>0</t>
        </is>
      </c>
      <c r="K236" t="inlineStr">
        <is>
          <t>Liptak, Dolores Ann.</t>
        </is>
      </c>
      <c r="L236" t="inlineStr">
        <is>
          <t>New York : Macmillan ; London : Collier Macmillan Publishers, c1989.</t>
        </is>
      </c>
      <c r="M236" t="inlineStr">
        <is>
          <t>1989</t>
        </is>
      </c>
      <c r="O236" t="inlineStr">
        <is>
          <t>eng</t>
        </is>
      </c>
      <c r="P236" t="inlineStr">
        <is>
          <t>nyu</t>
        </is>
      </c>
      <c r="Q236" t="inlineStr">
        <is>
          <t>The Bicentennial history of the Catholic Church in America</t>
        </is>
      </c>
      <c r="R236" t="inlineStr">
        <is>
          <t xml:space="preserve">BX </t>
        </is>
      </c>
      <c r="S236" t="n">
        <v>4</v>
      </c>
      <c r="T236" t="n">
        <v>4</v>
      </c>
      <c r="U236" t="inlineStr">
        <is>
          <t>2008-03-11</t>
        </is>
      </c>
      <c r="V236" t="inlineStr">
        <is>
          <t>2008-03-11</t>
        </is>
      </c>
      <c r="W236" t="inlineStr">
        <is>
          <t>1990-04-20</t>
        </is>
      </c>
      <c r="X236" t="inlineStr">
        <is>
          <t>1990-04-20</t>
        </is>
      </c>
      <c r="Y236" t="n">
        <v>517</v>
      </c>
      <c r="Z236" t="n">
        <v>487</v>
      </c>
      <c r="AA236" t="n">
        <v>499</v>
      </c>
      <c r="AB236" t="n">
        <v>4</v>
      </c>
      <c r="AC236" t="n">
        <v>4</v>
      </c>
      <c r="AD236" t="n">
        <v>38</v>
      </c>
      <c r="AE236" t="n">
        <v>39</v>
      </c>
      <c r="AF236" t="n">
        <v>13</v>
      </c>
      <c r="AG236" t="n">
        <v>14</v>
      </c>
      <c r="AH236" t="n">
        <v>10</v>
      </c>
      <c r="AI236" t="n">
        <v>10</v>
      </c>
      <c r="AJ236" t="n">
        <v>23</v>
      </c>
      <c r="AK236" t="n">
        <v>24</v>
      </c>
      <c r="AL236" t="n">
        <v>2</v>
      </c>
      <c r="AM236" t="n">
        <v>2</v>
      </c>
      <c r="AN236" t="n">
        <v>0</v>
      </c>
      <c r="AO236" t="n">
        <v>0</v>
      </c>
      <c r="AP236" t="inlineStr">
        <is>
          <t>No</t>
        </is>
      </c>
      <c r="AQ236" t="inlineStr">
        <is>
          <t>Yes</t>
        </is>
      </c>
      <c r="AR236">
        <f>HYPERLINK("http://catalog.hathitrust.org/Record/006921673","HathiTrust Record")</f>
        <v/>
      </c>
      <c r="AS236">
        <f>HYPERLINK("https://creighton-primo.hosted.exlibrisgroup.com/primo-explore/search?tab=default_tab&amp;search_scope=EVERYTHING&amp;vid=01CRU&amp;lang=en_US&amp;offset=0&amp;query=any,contains,991001300589702656","Catalog Record")</f>
        <v/>
      </c>
      <c r="AT236">
        <f>HYPERLINK("http://www.worldcat.org/oclc/18069013","WorldCat Record")</f>
        <v/>
      </c>
      <c r="AU236" t="inlineStr">
        <is>
          <t>16631734:eng</t>
        </is>
      </c>
      <c r="AV236" t="inlineStr">
        <is>
          <t>18069013</t>
        </is>
      </c>
      <c r="AW236" t="inlineStr">
        <is>
          <t>991001300589702656</t>
        </is>
      </c>
      <c r="AX236" t="inlineStr">
        <is>
          <t>991001300589702656</t>
        </is>
      </c>
      <c r="AY236" t="inlineStr">
        <is>
          <t>2262639080002656</t>
        </is>
      </c>
      <c r="AZ236" t="inlineStr">
        <is>
          <t>BOOK</t>
        </is>
      </c>
      <c r="BB236" t="inlineStr">
        <is>
          <t>9780029192313</t>
        </is>
      </c>
      <c r="BC236" t="inlineStr">
        <is>
          <t>32285000123942</t>
        </is>
      </c>
      <c r="BD236" t="inlineStr">
        <is>
          <t>893891478</t>
        </is>
      </c>
    </row>
    <row r="237">
      <c r="A237" t="inlineStr">
        <is>
          <t>No</t>
        </is>
      </c>
      <c r="B237" t="inlineStr">
        <is>
          <t>BX1407.I5 C5 1961</t>
        </is>
      </c>
      <c r="C237" t="inlineStr">
        <is>
          <t>0                      BX 1407000I  5                  C  5           1961</t>
        </is>
      </c>
      <c r="D237" t="inlineStr">
        <is>
          <t>American Catholicism and the intellectual ideal / edited by Frank L. Christ and Gerard E. Sherry.</t>
        </is>
      </c>
      <c r="F237" t="inlineStr">
        <is>
          <t>No</t>
        </is>
      </c>
      <c r="G237" t="inlineStr">
        <is>
          <t>1</t>
        </is>
      </c>
      <c r="H237" t="inlineStr">
        <is>
          <t>No</t>
        </is>
      </c>
      <c r="I237" t="inlineStr">
        <is>
          <t>No</t>
        </is>
      </c>
      <c r="J237" t="inlineStr">
        <is>
          <t>0</t>
        </is>
      </c>
      <c r="K237" t="inlineStr">
        <is>
          <t>Christ, Frank L., editor.</t>
        </is>
      </c>
      <c r="L237" t="inlineStr">
        <is>
          <t>New York : Appleton-Century-Crofts, [1961]</t>
        </is>
      </c>
      <c r="M237" t="inlineStr">
        <is>
          <t>1961</t>
        </is>
      </c>
      <c r="O237" t="inlineStr">
        <is>
          <t>eng</t>
        </is>
      </c>
      <c r="P237" t="inlineStr">
        <is>
          <t>nyu</t>
        </is>
      </c>
      <c r="R237" t="inlineStr">
        <is>
          <t xml:space="preserve">BX </t>
        </is>
      </c>
      <c r="S237" t="n">
        <v>5</v>
      </c>
      <c r="T237" t="n">
        <v>5</v>
      </c>
      <c r="U237" t="inlineStr">
        <is>
          <t>1995-11-12</t>
        </is>
      </c>
      <c r="V237" t="inlineStr">
        <is>
          <t>1995-11-12</t>
        </is>
      </c>
      <c r="W237" t="inlineStr">
        <is>
          <t>1991-02-12</t>
        </is>
      </c>
      <c r="X237" t="inlineStr">
        <is>
          <t>1991-02-12</t>
        </is>
      </c>
      <c r="Y237" t="n">
        <v>271</v>
      </c>
      <c r="Z237" t="n">
        <v>249</v>
      </c>
      <c r="AA237" t="n">
        <v>262</v>
      </c>
      <c r="AB237" t="n">
        <v>1</v>
      </c>
      <c r="AC237" t="n">
        <v>1</v>
      </c>
      <c r="AD237" t="n">
        <v>32</v>
      </c>
      <c r="AE237" t="n">
        <v>33</v>
      </c>
      <c r="AF237" t="n">
        <v>12</v>
      </c>
      <c r="AG237" t="n">
        <v>12</v>
      </c>
      <c r="AH237" t="n">
        <v>9</v>
      </c>
      <c r="AI237" t="n">
        <v>9</v>
      </c>
      <c r="AJ237" t="n">
        <v>22</v>
      </c>
      <c r="AK237" t="n">
        <v>23</v>
      </c>
      <c r="AL237" t="n">
        <v>0</v>
      </c>
      <c r="AM237" t="n">
        <v>0</v>
      </c>
      <c r="AN237" t="n">
        <v>0</v>
      </c>
      <c r="AO237" t="n">
        <v>0</v>
      </c>
      <c r="AP237" t="inlineStr">
        <is>
          <t>No</t>
        </is>
      </c>
      <c r="AQ237" t="inlineStr">
        <is>
          <t>No</t>
        </is>
      </c>
      <c r="AR237">
        <f>HYPERLINK("http://catalog.hathitrust.org/Record/006159498","HathiTrust Record")</f>
        <v/>
      </c>
      <c r="AS237">
        <f>HYPERLINK("https://creighton-primo.hosted.exlibrisgroup.com/primo-explore/search?tab=default_tab&amp;search_scope=EVERYTHING&amp;vid=01CRU&amp;lang=en_US&amp;offset=0&amp;query=any,contains,991003481179702656","Catalog Record")</f>
        <v/>
      </c>
      <c r="AT237">
        <f>HYPERLINK("http://www.worldcat.org/oclc/1028943","WorldCat Record")</f>
        <v/>
      </c>
      <c r="AU237" t="inlineStr">
        <is>
          <t>1968671:eng</t>
        </is>
      </c>
      <c r="AV237" t="inlineStr">
        <is>
          <t>1028943</t>
        </is>
      </c>
      <c r="AW237" t="inlineStr">
        <is>
          <t>991003481179702656</t>
        </is>
      </c>
      <c r="AX237" t="inlineStr">
        <is>
          <t>991003481179702656</t>
        </is>
      </c>
      <c r="AY237" t="inlineStr">
        <is>
          <t>2254702340002656</t>
        </is>
      </c>
      <c r="AZ237" t="inlineStr">
        <is>
          <t>BOOK</t>
        </is>
      </c>
      <c r="BC237" t="inlineStr">
        <is>
          <t>32285000506716</t>
        </is>
      </c>
      <c r="BD237" t="inlineStr">
        <is>
          <t>893505624</t>
        </is>
      </c>
    </row>
    <row r="238">
      <c r="A238" t="inlineStr">
        <is>
          <t>No</t>
        </is>
      </c>
      <c r="B238" t="inlineStr">
        <is>
          <t>BX1407.I5 C74 2004</t>
        </is>
      </c>
      <c r="C238" t="inlineStr">
        <is>
          <t>0                      BX 1407000I  5                  C  74          2004</t>
        </is>
      </c>
      <c r="D238" t="inlineStr">
        <is>
          <t>Creative fidelity : American Catholic intellectual traditions / R. Scott Appleby, Patricia Byrne, William L. Portier, editors.</t>
        </is>
      </c>
      <c r="F238" t="inlineStr">
        <is>
          <t>No</t>
        </is>
      </c>
      <c r="G238" t="inlineStr">
        <is>
          <t>1</t>
        </is>
      </c>
      <c r="H238" t="inlineStr">
        <is>
          <t>No</t>
        </is>
      </c>
      <c r="I238" t="inlineStr">
        <is>
          <t>No</t>
        </is>
      </c>
      <c r="J238" t="inlineStr">
        <is>
          <t>0</t>
        </is>
      </c>
      <c r="L238" t="inlineStr">
        <is>
          <t>Maryknoll, N.Y. : Orbis Books, c2004.</t>
        </is>
      </c>
      <c r="M238" t="inlineStr">
        <is>
          <t>2004</t>
        </is>
      </c>
      <c r="O238" t="inlineStr">
        <is>
          <t>eng</t>
        </is>
      </c>
      <c r="P238" t="inlineStr">
        <is>
          <t>nyu</t>
        </is>
      </c>
      <c r="Q238" t="inlineStr">
        <is>
          <t>American Catholic identities</t>
        </is>
      </c>
      <c r="R238" t="inlineStr">
        <is>
          <t xml:space="preserve">BX </t>
        </is>
      </c>
      <c r="S238" t="n">
        <v>9</v>
      </c>
      <c r="T238" t="n">
        <v>9</v>
      </c>
      <c r="U238" t="inlineStr">
        <is>
          <t>2009-09-02</t>
        </is>
      </c>
      <c r="V238" t="inlineStr">
        <is>
          <t>2009-09-02</t>
        </is>
      </c>
      <c r="W238" t="inlineStr">
        <is>
          <t>2004-06-29</t>
        </is>
      </c>
      <c r="X238" t="inlineStr">
        <is>
          <t>2004-06-29</t>
        </is>
      </c>
      <c r="Y238" t="n">
        <v>252</v>
      </c>
      <c r="Z238" t="n">
        <v>219</v>
      </c>
      <c r="AA238" t="n">
        <v>222</v>
      </c>
      <c r="AB238" t="n">
        <v>2</v>
      </c>
      <c r="AC238" t="n">
        <v>2</v>
      </c>
      <c r="AD238" t="n">
        <v>32</v>
      </c>
      <c r="AE238" t="n">
        <v>32</v>
      </c>
      <c r="AF238" t="n">
        <v>13</v>
      </c>
      <c r="AG238" t="n">
        <v>13</v>
      </c>
      <c r="AH238" t="n">
        <v>8</v>
      </c>
      <c r="AI238" t="n">
        <v>8</v>
      </c>
      <c r="AJ238" t="n">
        <v>20</v>
      </c>
      <c r="AK238" t="n">
        <v>20</v>
      </c>
      <c r="AL238" t="n">
        <v>1</v>
      </c>
      <c r="AM238" t="n">
        <v>1</v>
      </c>
      <c r="AN238" t="n">
        <v>0</v>
      </c>
      <c r="AO238" t="n">
        <v>0</v>
      </c>
      <c r="AP238" t="inlineStr">
        <is>
          <t>No</t>
        </is>
      </c>
      <c r="AQ238" t="inlineStr">
        <is>
          <t>Yes</t>
        </is>
      </c>
      <c r="AR238">
        <f>HYPERLINK("http://catalog.hathitrust.org/Record/004377979","HathiTrust Record")</f>
        <v/>
      </c>
      <c r="AS238">
        <f>HYPERLINK("https://creighton-primo.hosted.exlibrisgroup.com/primo-explore/search?tab=default_tab&amp;search_scope=EVERYTHING&amp;vid=01CRU&amp;lang=en_US&amp;offset=0&amp;query=any,contains,991004303939702656","Catalog Record")</f>
        <v/>
      </c>
      <c r="AT238">
        <f>HYPERLINK("http://www.worldcat.org/oclc/52942722","WorldCat Record")</f>
        <v/>
      </c>
      <c r="AU238" t="inlineStr">
        <is>
          <t>837190647:eng</t>
        </is>
      </c>
      <c r="AV238" t="inlineStr">
        <is>
          <t>52942722</t>
        </is>
      </c>
      <c r="AW238" t="inlineStr">
        <is>
          <t>991004303939702656</t>
        </is>
      </c>
      <c r="AX238" t="inlineStr">
        <is>
          <t>991004303939702656</t>
        </is>
      </c>
      <c r="AY238" t="inlineStr">
        <is>
          <t>2270562280002656</t>
        </is>
      </c>
      <c r="AZ238" t="inlineStr">
        <is>
          <t>BOOK</t>
        </is>
      </c>
      <c r="BB238" t="inlineStr">
        <is>
          <t>9781570753497</t>
        </is>
      </c>
      <c r="BC238" t="inlineStr">
        <is>
          <t>32285004921853</t>
        </is>
      </c>
      <c r="BD238" t="inlineStr">
        <is>
          <t>893875938</t>
        </is>
      </c>
    </row>
    <row r="239">
      <c r="A239" t="inlineStr">
        <is>
          <t>No</t>
        </is>
      </c>
      <c r="B239" t="inlineStr">
        <is>
          <t>BX1407.I5 E4 1956</t>
        </is>
      </c>
      <c r="C239" t="inlineStr">
        <is>
          <t>0                      BX 1407000I  5                  E  4           1956</t>
        </is>
      </c>
      <c r="D239" t="inlineStr">
        <is>
          <t>American Catholics and the intellectual life.</t>
        </is>
      </c>
      <c r="F239" t="inlineStr">
        <is>
          <t>No</t>
        </is>
      </c>
      <c r="G239" t="inlineStr">
        <is>
          <t>1</t>
        </is>
      </c>
      <c r="H239" t="inlineStr">
        <is>
          <t>No</t>
        </is>
      </c>
      <c r="I239" t="inlineStr">
        <is>
          <t>No</t>
        </is>
      </c>
      <c r="J239" t="inlineStr">
        <is>
          <t>0</t>
        </is>
      </c>
      <c r="K239" t="inlineStr">
        <is>
          <t>Ellis, John Tracy, 1905-1992.</t>
        </is>
      </c>
      <c r="L239" t="inlineStr">
        <is>
          <t>Chicago : Heritage Foundation, [1956]</t>
        </is>
      </c>
      <c r="M239" t="inlineStr">
        <is>
          <t>1956</t>
        </is>
      </c>
      <c r="N239" t="inlineStr">
        <is>
          <t>[1st ed.]</t>
        </is>
      </c>
      <c r="O239" t="inlineStr">
        <is>
          <t>eng</t>
        </is>
      </c>
      <c r="P239" t="inlineStr">
        <is>
          <t>ilu</t>
        </is>
      </c>
      <c r="R239" t="inlineStr">
        <is>
          <t xml:space="preserve">BX </t>
        </is>
      </c>
      <c r="S239" t="n">
        <v>5</v>
      </c>
      <c r="T239" t="n">
        <v>5</v>
      </c>
      <c r="U239" t="inlineStr">
        <is>
          <t>2005-09-19</t>
        </is>
      </c>
      <c r="V239" t="inlineStr">
        <is>
          <t>2005-09-19</t>
        </is>
      </c>
      <c r="W239" t="inlineStr">
        <is>
          <t>1991-02-12</t>
        </is>
      </c>
      <c r="X239" t="inlineStr">
        <is>
          <t>1991-02-12</t>
        </is>
      </c>
      <c r="Y239" t="n">
        <v>273</v>
      </c>
      <c r="Z239" t="n">
        <v>250</v>
      </c>
      <c r="AA239" t="n">
        <v>257</v>
      </c>
      <c r="AB239" t="n">
        <v>3</v>
      </c>
      <c r="AC239" t="n">
        <v>3</v>
      </c>
      <c r="AD239" t="n">
        <v>30</v>
      </c>
      <c r="AE239" t="n">
        <v>30</v>
      </c>
      <c r="AF239" t="n">
        <v>11</v>
      </c>
      <c r="AG239" t="n">
        <v>11</v>
      </c>
      <c r="AH239" t="n">
        <v>7</v>
      </c>
      <c r="AI239" t="n">
        <v>7</v>
      </c>
      <c r="AJ239" t="n">
        <v>21</v>
      </c>
      <c r="AK239" t="n">
        <v>21</v>
      </c>
      <c r="AL239" t="n">
        <v>1</v>
      </c>
      <c r="AM239" t="n">
        <v>1</v>
      </c>
      <c r="AN239" t="n">
        <v>0</v>
      </c>
      <c r="AO239" t="n">
        <v>0</v>
      </c>
      <c r="AP239" t="inlineStr">
        <is>
          <t>No</t>
        </is>
      </c>
      <c r="AQ239" t="inlineStr">
        <is>
          <t>No</t>
        </is>
      </c>
      <c r="AR239">
        <f>HYPERLINK("http://catalog.hathitrust.org/Record/007844483","HathiTrust Record")</f>
        <v/>
      </c>
      <c r="AS239">
        <f>HYPERLINK("https://creighton-primo.hosted.exlibrisgroup.com/primo-explore/search?tab=default_tab&amp;search_scope=EVERYTHING&amp;vid=01CRU&amp;lang=en_US&amp;offset=0&amp;query=any,contains,991003191499702656","Catalog Record")</f>
        <v/>
      </c>
      <c r="AT239">
        <f>HYPERLINK("http://www.worldcat.org/oclc/716757","WorldCat Record")</f>
        <v/>
      </c>
      <c r="AU239" t="inlineStr">
        <is>
          <t>114412625:eng</t>
        </is>
      </c>
      <c r="AV239" t="inlineStr">
        <is>
          <t>716757</t>
        </is>
      </c>
      <c r="AW239" t="inlineStr">
        <is>
          <t>991003191499702656</t>
        </is>
      </c>
      <c r="AX239" t="inlineStr">
        <is>
          <t>991003191499702656</t>
        </is>
      </c>
      <c r="AY239" t="inlineStr">
        <is>
          <t>2259307380002656</t>
        </is>
      </c>
      <c r="AZ239" t="inlineStr">
        <is>
          <t>BOOK</t>
        </is>
      </c>
      <c r="BC239" t="inlineStr">
        <is>
          <t>32285000506724</t>
        </is>
      </c>
      <c r="BD239" t="inlineStr">
        <is>
          <t>893416139</t>
        </is>
      </c>
    </row>
    <row r="240">
      <c r="A240" t="inlineStr">
        <is>
          <t>No</t>
        </is>
      </c>
      <c r="B240" t="inlineStr">
        <is>
          <t>BX1407.I5 R44 1989</t>
        </is>
      </c>
      <c r="C240" t="inlineStr">
        <is>
          <t>0                      BX 1407000I  5                  R  44          1989</t>
        </is>
      </c>
      <c r="D240" t="inlineStr">
        <is>
          <t>Catholic intellectual life in America : a historical study of persons and movements / Margaret Mary Reher.</t>
        </is>
      </c>
      <c r="F240" t="inlineStr">
        <is>
          <t>No</t>
        </is>
      </c>
      <c r="G240" t="inlineStr">
        <is>
          <t>1</t>
        </is>
      </c>
      <c r="H240" t="inlineStr">
        <is>
          <t>No</t>
        </is>
      </c>
      <c r="I240" t="inlineStr">
        <is>
          <t>No</t>
        </is>
      </c>
      <c r="J240" t="inlineStr">
        <is>
          <t>0</t>
        </is>
      </c>
      <c r="K240" t="inlineStr">
        <is>
          <t>Reher, Margaret Mary, 1930-</t>
        </is>
      </c>
      <c r="L240" t="inlineStr">
        <is>
          <t>New York : Macmillan ; London : Collier Macmillan Publishers, c1989.</t>
        </is>
      </c>
      <c r="M240" t="inlineStr">
        <is>
          <t>1989</t>
        </is>
      </c>
      <c r="O240" t="inlineStr">
        <is>
          <t>eng</t>
        </is>
      </c>
      <c r="P240" t="inlineStr">
        <is>
          <t>nyu</t>
        </is>
      </c>
      <c r="Q240" t="inlineStr">
        <is>
          <t>The Bicentennial history of the Catholic Church in America</t>
        </is>
      </c>
      <c r="R240" t="inlineStr">
        <is>
          <t xml:space="preserve">BX </t>
        </is>
      </c>
      <c r="S240" t="n">
        <v>4</v>
      </c>
      <c r="T240" t="n">
        <v>4</v>
      </c>
      <c r="U240" t="inlineStr">
        <is>
          <t>1995-04-24</t>
        </is>
      </c>
      <c r="V240" t="inlineStr">
        <is>
          <t>1995-04-24</t>
        </is>
      </c>
      <c r="W240" t="inlineStr">
        <is>
          <t>1990-05-17</t>
        </is>
      </c>
      <c r="X240" t="inlineStr">
        <is>
          <t>1990-05-17</t>
        </is>
      </c>
      <c r="Y240" t="n">
        <v>505</v>
      </c>
      <c r="Z240" t="n">
        <v>480</v>
      </c>
      <c r="AA240" t="n">
        <v>487</v>
      </c>
      <c r="AB240" t="n">
        <v>4</v>
      </c>
      <c r="AC240" t="n">
        <v>4</v>
      </c>
      <c r="AD240" t="n">
        <v>40</v>
      </c>
      <c r="AE240" t="n">
        <v>40</v>
      </c>
      <c r="AF240" t="n">
        <v>16</v>
      </c>
      <c r="AG240" t="n">
        <v>16</v>
      </c>
      <c r="AH240" t="n">
        <v>9</v>
      </c>
      <c r="AI240" t="n">
        <v>9</v>
      </c>
      <c r="AJ240" t="n">
        <v>25</v>
      </c>
      <c r="AK240" t="n">
        <v>25</v>
      </c>
      <c r="AL240" t="n">
        <v>2</v>
      </c>
      <c r="AM240" t="n">
        <v>2</v>
      </c>
      <c r="AN240" t="n">
        <v>0</v>
      </c>
      <c r="AO240" t="n">
        <v>0</v>
      </c>
      <c r="AP240" t="inlineStr">
        <is>
          <t>No</t>
        </is>
      </c>
      <c r="AQ240" t="inlineStr">
        <is>
          <t>Yes</t>
        </is>
      </c>
      <c r="AR240">
        <f>HYPERLINK("http://catalog.hathitrust.org/Record/006921672","HathiTrust Record")</f>
        <v/>
      </c>
      <c r="AS240">
        <f>HYPERLINK("https://creighton-primo.hosted.exlibrisgroup.com/primo-explore/search?tab=default_tab&amp;search_scope=EVERYTHING&amp;vid=01CRU&amp;lang=en_US&amp;offset=0&amp;query=any,contains,991001300459702656","Catalog Record")</f>
        <v/>
      </c>
      <c r="AT240">
        <f>HYPERLINK("http://www.worldcat.org/oclc/18069003","WorldCat Record")</f>
        <v/>
      </c>
      <c r="AU240" t="inlineStr">
        <is>
          <t>312045065:eng</t>
        </is>
      </c>
      <c r="AV240" t="inlineStr">
        <is>
          <t>18069003</t>
        </is>
      </c>
      <c r="AW240" t="inlineStr">
        <is>
          <t>991001300459702656</t>
        </is>
      </c>
      <c r="AX240" t="inlineStr">
        <is>
          <t>991001300459702656</t>
        </is>
      </c>
      <c r="AY240" t="inlineStr">
        <is>
          <t>2262627330002656</t>
        </is>
      </c>
      <c r="AZ240" t="inlineStr">
        <is>
          <t>BOOK</t>
        </is>
      </c>
      <c r="BB240" t="inlineStr">
        <is>
          <t>9780029259023</t>
        </is>
      </c>
      <c r="BC240" t="inlineStr">
        <is>
          <t>32285000152362</t>
        </is>
      </c>
      <c r="BD240" t="inlineStr">
        <is>
          <t>893626649</t>
        </is>
      </c>
    </row>
    <row r="241">
      <c r="A241" t="inlineStr">
        <is>
          <t>No</t>
        </is>
      </c>
      <c r="B241" t="inlineStr">
        <is>
          <t>BX1407.I5 S25 1988</t>
        </is>
      </c>
      <c r="C241" t="inlineStr">
        <is>
          <t>0                      BX 1407000I  5                  S  25          1988</t>
        </is>
      </c>
      <c r="D241" t="inlineStr">
        <is>
          <t>American Catholicism and the intellectual life, 1880-1950 / David L. Salvaterra.</t>
        </is>
      </c>
      <c r="F241" t="inlineStr">
        <is>
          <t>No</t>
        </is>
      </c>
      <c r="G241" t="inlineStr">
        <is>
          <t>1</t>
        </is>
      </c>
      <c r="H241" t="inlineStr">
        <is>
          <t>No</t>
        </is>
      </c>
      <c r="I241" t="inlineStr">
        <is>
          <t>No</t>
        </is>
      </c>
      <c r="J241" t="inlineStr">
        <is>
          <t>0</t>
        </is>
      </c>
      <c r="K241" t="inlineStr">
        <is>
          <t>Salvaterra, David L.</t>
        </is>
      </c>
      <c r="L241" t="inlineStr">
        <is>
          <t>New York : Garland, 1988.</t>
        </is>
      </c>
      <c r="M241" t="inlineStr">
        <is>
          <t>1988</t>
        </is>
      </c>
      <c r="O241" t="inlineStr">
        <is>
          <t>eng</t>
        </is>
      </c>
      <c r="P241" t="inlineStr">
        <is>
          <t>nyu</t>
        </is>
      </c>
      <c r="Q241" t="inlineStr">
        <is>
          <t>The Heritage of American Catholicism</t>
        </is>
      </c>
      <c r="R241" t="inlineStr">
        <is>
          <t xml:space="preserve">BX </t>
        </is>
      </c>
      <c r="S241" t="n">
        <v>1</v>
      </c>
      <c r="T241" t="n">
        <v>1</v>
      </c>
      <c r="U241" t="inlineStr">
        <is>
          <t>2009-06-10</t>
        </is>
      </c>
      <c r="V241" t="inlineStr">
        <is>
          <t>2009-06-10</t>
        </is>
      </c>
      <c r="W241" t="inlineStr">
        <is>
          <t>1991-02-12</t>
        </is>
      </c>
      <c r="X241" t="inlineStr">
        <is>
          <t>1991-02-12</t>
        </is>
      </c>
      <c r="Y241" t="n">
        <v>140</v>
      </c>
      <c r="Z241" t="n">
        <v>123</v>
      </c>
      <c r="AA241" t="n">
        <v>128</v>
      </c>
      <c r="AB241" t="n">
        <v>2</v>
      </c>
      <c r="AC241" t="n">
        <v>2</v>
      </c>
      <c r="AD241" t="n">
        <v>20</v>
      </c>
      <c r="AE241" t="n">
        <v>20</v>
      </c>
      <c r="AF241" t="n">
        <v>6</v>
      </c>
      <c r="AG241" t="n">
        <v>6</v>
      </c>
      <c r="AH241" t="n">
        <v>4</v>
      </c>
      <c r="AI241" t="n">
        <v>4</v>
      </c>
      <c r="AJ241" t="n">
        <v>14</v>
      </c>
      <c r="AK241" t="n">
        <v>14</v>
      </c>
      <c r="AL241" t="n">
        <v>1</v>
      </c>
      <c r="AM241" t="n">
        <v>1</v>
      </c>
      <c r="AN241" t="n">
        <v>0</v>
      </c>
      <c r="AO241" t="n">
        <v>0</v>
      </c>
      <c r="AP241" t="inlineStr">
        <is>
          <t>No</t>
        </is>
      </c>
      <c r="AQ241" t="inlineStr">
        <is>
          <t>No</t>
        </is>
      </c>
      <c r="AS241">
        <f>HYPERLINK("https://creighton-primo.hosted.exlibrisgroup.com/primo-explore/search?tab=default_tab&amp;search_scope=EVERYTHING&amp;vid=01CRU&amp;lang=en_US&amp;offset=0&amp;query=any,contains,991001280449702656","Catalog Record")</f>
        <v/>
      </c>
      <c r="AT241">
        <f>HYPERLINK("http://www.worldcat.org/oclc/17917147","WorldCat Record")</f>
        <v/>
      </c>
      <c r="AU241" t="inlineStr">
        <is>
          <t>138616416:eng</t>
        </is>
      </c>
      <c r="AV241" t="inlineStr">
        <is>
          <t>17917147</t>
        </is>
      </c>
      <c r="AW241" t="inlineStr">
        <is>
          <t>991001280449702656</t>
        </is>
      </c>
      <c r="AX241" t="inlineStr">
        <is>
          <t>991001280449702656</t>
        </is>
      </c>
      <c r="AY241" t="inlineStr">
        <is>
          <t>2270015910002656</t>
        </is>
      </c>
      <c r="AZ241" t="inlineStr">
        <is>
          <t>BOOK</t>
        </is>
      </c>
      <c r="BB241" t="inlineStr">
        <is>
          <t>9780824040994</t>
        </is>
      </c>
      <c r="BC241" t="inlineStr">
        <is>
          <t>32285000506740</t>
        </is>
      </c>
      <c r="BD241" t="inlineStr">
        <is>
          <t>893897674</t>
        </is>
      </c>
    </row>
    <row r="242">
      <c r="A242" t="inlineStr">
        <is>
          <t>No</t>
        </is>
      </c>
      <c r="B242" t="inlineStr">
        <is>
          <t>BX1407.I8 S35 1999</t>
        </is>
      </c>
      <c r="C242" t="inlineStr">
        <is>
          <t>0                      BX 1407000I  8                  S  35          1999</t>
        </is>
      </c>
      <c r="D242" t="inlineStr">
        <is>
          <t>The saints in the lives of Italian-Americans : an interdisciplinary investigation / co-edited by Joseph A. Varacalli ... [et al.] ; foreword by Mario B. Mignone.</t>
        </is>
      </c>
      <c r="F242" t="inlineStr">
        <is>
          <t>No</t>
        </is>
      </c>
      <c r="G242" t="inlineStr">
        <is>
          <t>1</t>
        </is>
      </c>
      <c r="H242" t="inlineStr">
        <is>
          <t>No</t>
        </is>
      </c>
      <c r="I242" t="inlineStr">
        <is>
          <t>No</t>
        </is>
      </c>
      <c r="J242" t="inlineStr">
        <is>
          <t>0</t>
        </is>
      </c>
      <c r="L242" t="inlineStr">
        <is>
          <t>Stony Brook, N.Y. : Forum Italicum, c1999.</t>
        </is>
      </c>
      <c r="M242" t="inlineStr">
        <is>
          <t>1999</t>
        </is>
      </c>
      <c r="O242" t="inlineStr">
        <is>
          <t>eng</t>
        </is>
      </c>
      <c r="P242" t="inlineStr">
        <is>
          <t>nyu</t>
        </is>
      </c>
      <c r="Q242" t="inlineStr">
        <is>
          <t>Filibrary series ; 14</t>
        </is>
      </c>
      <c r="R242" t="inlineStr">
        <is>
          <t xml:space="preserve">BX </t>
        </is>
      </c>
      <c r="S242" t="n">
        <v>1</v>
      </c>
      <c r="T242" t="n">
        <v>1</v>
      </c>
      <c r="U242" t="inlineStr">
        <is>
          <t>2001-11-01</t>
        </is>
      </c>
      <c r="V242" t="inlineStr">
        <is>
          <t>2001-11-01</t>
        </is>
      </c>
      <c r="W242" t="inlineStr">
        <is>
          <t>2001-10-31</t>
        </is>
      </c>
      <c r="X242" t="inlineStr">
        <is>
          <t>2001-10-31</t>
        </is>
      </c>
      <c r="Y242" t="n">
        <v>219</v>
      </c>
      <c r="Z242" t="n">
        <v>173</v>
      </c>
      <c r="AA242" t="n">
        <v>180</v>
      </c>
      <c r="AB242" t="n">
        <v>2</v>
      </c>
      <c r="AC242" t="n">
        <v>2</v>
      </c>
      <c r="AD242" t="n">
        <v>18</v>
      </c>
      <c r="AE242" t="n">
        <v>18</v>
      </c>
      <c r="AF242" t="n">
        <v>5</v>
      </c>
      <c r="AG242" t="n">
        <v>5</v>
      </c>
      <c r="AH242" t="n">
        <v>6</v>
      </c>
      <c r="AI242" t="n">
        <v>6</v>
      </c>
      <c r="AJ242" t="n">
        <v>11</v>
      </c>
      <c r="AK242" t="n">
        <v>11</v>
      </c>
      <c r="AL242" t="n">
        <v>1</v>
      </c>
      <c r="AM242" t="n">
        <v>1</v>
      </c>
      <c r="AN242" t="n">
        <v>0</v>
      </c>
      <c r="AO242" t="n">
        <v>0</v>
      </c>
      <c r="AP242" t="inlineStr">
        <is>
          <t>No</t>
        </is>
      </c>
      <c r="AQ242" t="inlineStr">
        <is>
          <t>Yes</t>
        </is>
      </c>
      <c r="AR242">
        <f>HYPERLINK("http://catalog.hathitrust.org/Record/003353053","HathiTrust Record")</f>
        <v/>
      </c>
      <c r="AS242">
        <f>HYPERLINK("https://creighton-primo.hosted.exlibrisgroup.com/primo-explore/search?tab=default_tab&amp;search_scope=EVERYTHING&amp;vid=01CRU&amp;lang=en_US&amp;offset=0&amp;query=any,contains,991003650859702656","Catalog Record")</f>
        <v/>
      </c>
      <c r="AT242">
        <f>HYPERLINK("http://www.worldcat.org/oclc/41357204","WorldCat Record")</f>
        <v/>
      </c>
      <c r="AU242" t="inlineStr">
        <is>
          <t>26581824:eng</t>
        </is>
      </c>
      <c r="AV242" t="inlineStr">
        <is>
          <t>41357204</t>
        </is>
      </c>
      <c r="AW242" t="inlineStr">
        <is>
          <t>991003650859702656</t>
        </is>
      </c>
      <c r="AX242" t="inlineStr">
        <is>
          <t>991003650859702656</t>
        </is>
      </c>
      <c r="AY242" t="inlineStr">
        <is>
          <t>2262678500002656</t>
        </is>
      </c>
      <c r="AZ242" t="inlineStr">
        <is>
          <t>BOOK</t>
        </is>
      </c>
      <c r="BB242" t="inlineStr">
        <is>
          <t>9781893127142</t>
        </is>
      </c>
      <c r="BC242" t="inlineStr">
        <is>
          <t>32285004417407</t>
        </is>
      </c>
      <c r="BD242" t="inlineStr">
        <is>
          <t>893342818</t>
        </is>
      </c>
    </row>
    <row r="243">
      <c r="A243" t="inlineStr">
        <is>
          <t>No</t>
        </is>
      </c>
      <c r="B243" t="inlineStr">
        <is>
          <t>BX1407.L5 W65 1991</t>
        </is>
      </c>
      <c r="C243" t="inlineStr">
        <is>
          <t>0                      BX 1407000L  5                  W  65          1991</t>
        </is>
      </c>
      <c r="D243" t="inlineStr">
        <is>
          <t>Lithuanian religious life in America : a compendium of 150 Roman Catholic parishes and institutions / William Wolkovich-Valkavičius.</t>
        </is>
      </c>
      <c r="E243" t="inlineStr">
        <is>
          <t>V.3</t>
        </is>
      </c>
      <c r="F243" t="inlineStr">
        <is>
          <t>Yes</t>
        </is>
      </c>
      <c r="G243" t="inlineStr">
        <is>
          <t>1</t>
        </is>
      </c>
      <c r="H243" t="inlineStr">
        <is>
          <t>No</t>
        </is>
      </c>
      <c r="I243" t="inlineStr">
        <is>
          <t>No</t>
        </is>
      </c>
      <c r="J243" t="inlineStr">
        <is>
          <t>0</t>
        </is>
      </c>
      <c r="K243" t="inlineStr">
        <is>
          <t>Wolkovich-Valkavičius, William, 1929-2005.</t>
        </is>
      </c>
      <c r="L243" t="inlineStr">
        <is>
          <t>Norwood, Mass. (36 St. George Ave., Norwood 02062-4420) : Lithuanian Religious Life in America ; W. Bridgewater, MA : Sole distributor, Corporate Fulfillment Systems, c1991-c1998.</t>
        </is>
      </c>
      <c r="M243" t="inlineStr">
        <is>
          <t>1991</t>
        </is>
      </c>
      <c r="O243" t="inlineStr">
        <is>
          <t>eng</t>
        </is>
      </c>
      <c r="P243" t="inlineStr">
        <is>
          <t>mau</t>
        </is>
      </c>
      <c r="R243" t="inlineStr">
        <is>
          <t xml:space="preserve">BX </t>
        </is>
      </c>
      <c r="S243" t="n">
        <v>1</v>
      </c>
      <c r="T243" t="n">
        <v>4</v>
      </c>
      <c r="U243" t="inlineStr">
        <is>
          <t>2001-04-17</t>
        </is>
      </c>
      <c r="V243" t="inlineStr">
        <is>
          <t>2001-05-16</t>
        </is>
      </c>
      <c r="W243" t="inlineStr">
        <is>
          <t>2001-04-16</t>
        </is>
      </c>
      <c r="X243" t="inlineStr">
        <is>
          <t>2001-04-16</t>
        </is>
      </c>
      <c r="Y243" t="n">
        <v>199</v>
      </c>
      <c r="Z243" t="n">
        <v>193</v>
      </c>
      <c r="AA243" t="n">
        <v>195</v>
      </c>
      <c r="AB243" t="n">
        <v>4</v>
      </c>
      <c r="AC243" t="n">
        <v>4</v>
      </c>
      <c r="AD243" t="n">
        <v>26</v>
      </c>
      <c r="AE243" t="n">
        <v>26</v>
      </c>
      <c r="AF243" t="n">
        <v>7</v>
      </c>
      <c r="AG243" t="n">
        <v>7</v>
      </c>
      <c r="AH243" t="n">
        <v>8</v>
      </c>
      <c r="AI243" t="n">
        <v>8</v>
      </c>
      <c r="AJ243" t="n">
        <v>18</v>
      </c>
      <c r="AK243" t="n">
        <v>18</v>
      </c>
      <c r="AL243" t="n">
        <v>1</v>
      </c>
      <c r="AM243" t="n">
        <v>1</v>
      </c>
      <c r="AN243" t="n">
        <v>0</v>
      </c>
      <c r="AO243" t="n">
        <v>0</v>
      </c>
      <c r="AP243" t="inlineStr">
        <is>
          <t>No</t>
        </is>
      </c>
      <c r="AQ243" t="inlineStr">
        <is>
          <t>Yes</t>
        </is>
      </c>
      <c r="AR243">
        <f>HYPERLINK("http://catalog.hathitrust.org/Record/006921671","HathiTrust Record")</f>
        <v/>
      </c>
      <c r="AS243">
        <f>HYPERLINK("https://creighton-primo.hosted.exlibrisgroup.com/primo-explore/search?tab=default_tab&amp;search_scope=EVERYTHING&amp;vid=01CRU&amp;lang=en_US&amp;offset=0&amp;query=any,contains,991003523669702656","Catalog Record")</f>
        <v/>
      </c>
      <c r="AT243">
        <f>HYPERLINK("http://www.worldcat.org/oclc/28423178","WorldCat Record")</f>
        <v/>
      </c>
      <c r="AU243" t="inlineStr">
        <is>
          <t>9415464805:eng</t>
        </is>
      </c>
      <c r="AV243" t="inlineStr">
        <is>
          <t>28423178</t>
        </is>
      </c>
      <c r="AW243" t="inlineStr">
        <is>
          <t>991003523669702656</t>
        </is>
      </c>
      <c r="AX243" t="inlineStr">
        <is>
          <t>991003523669702656</t>
        </is>
      </c>
      <c r="AY243" t="inlineStr">
        <is>
          <t>2265438920002656</t>
        </is>
      </c>
      <c r="AZ243" t="inlineStr">
        <is>
          <t>BOOK</t>
        </is>
      </c>
      <c r="BC243" t="inlineStr">
        <is>
          <t>32285004312301</t>
        </is>
      </c>
      <c r="BD243" t="inlineStr">
        <is>
          <t>893774834</t>
        </is>
      </c>
    </row>
    <row r="244">
      <c r="A244" t="inlineStr">
        <is>
          <t>No</t>
        </is>
      </c>
      <c r="B244" t="inlineStr">
        <is>
          <t>BX1407.L5 W65 1991</t>
        </is>
      </c>
      <c r="C244" t="inlineStr">
        <is>
          <t>0                      BX 1407000L  5                  W  65          1991</t>
        </is>
      </c>
      <c r="D244" t="inlineStr">
        <is>
          <t>Lithuanian religious life in America : a compendium of 150 Roman Catholic parishes and institutions / William Wolkovich-Valkavičius.</t>
        </is>
      </c>
      <c r="E244" t="inlineStr">
        <is>
          <t>V.1</t>
        </is>
      </c>
      <c r="F244" t="inlineStr">
        <is>
          <t>Yes</t>
        </is>
      </c>
      <c r="G244" t="inlineStr">
        <is>
          <t>1</t>
        </is>
      </c>
      <c r="H244" t="inlineStr">
        <is>
          <t>No</t>
        </is>
      </c>
      <c r="I244" t="inlineStr">
        <is>
          <t>No</t>
        </is>
      </c>
      <c r="J244" t="inlineStr">
        <is>
          <t>0</t>
        </is>
      </c>
      <c r="K244" t="inlineStr">
        <is>
          <t>Wolkovich-Valkavičius, William, 1929-2005.</t>
        </is>
      </c>
      <c r="L244" t="inlineStr">
        <is>
          <t>Norwood, Mass. (36 St. George Ave., Norwood 02062-4420) : Lithuanian Religious Life in America ; W. Bridgewater, MA : Sole distributor, Corporate Fulfillment Systems, c1991-c1998.</t>
        </is>
      </c>
      <c r="M244" t="inlineStr">
        <is>
          <t>1991</t>
        </is>
      </c>
      <c r="O244" t="inlineStr">
        <is>
          <t>eng</t>
        </is>
      </c>
      <c r="P244" t="inlineStr">
        <is>
          <t>mau</t>
        </is>
      </c>
      <c r="R244" t="inlineStr">
        <is>
          <t xml:space="preserve">BX </t>
        </is>
      </c>
      <c r="S244" t="n">
        <v>2</v>
      </c>
      <c r="T244" t="n">
        <v>4</v>
      </c>
      <c r="U244" t="inlineStr">
        <is>
          <t>2001-05-16</t>
        </is>
      </c>
      <c r="V244" t="inlineStr">
        <is>
          <t>2001-05-16</t>
        </is>
      </c>
      <c r="W244" t="inlineStr">
        <is>
          <t>2001-04-16</t>
        </is>
      </c>
      <c r="X244" t="inlineStr">
        <is>
          <t>2001-04-16</t>
        </is>
      </c>
      <c r="Y244" t="n">
        <v>199</v>
      </c>
      <c r="Z244" t="n">
        <v>193</v>
      </c>
      <c r="AA244" t="n">
        <v>195</v>
      </c>
      <c r="AB244" t="n">
        <v>4</v>
      </c>
      <c r="AC244" t="n">
        <v>4</v>
      </c>
      <c r="AD244" t="n">
        <v>26</v>
      </c>
      <c r="AE244" t="n">
        <v>26</v>
      </c>
      <c r="AF244" t="n">
        <v>7</v>
      </c>
      <c r="AG244" t="n">
        <v>7</v>
      </c>
      <c r="AH244" t="n">
        <v>8</v>
      </c>
      <c r="AI244" t="n">
        <v>8</v>
      </c>
      <c r="AJ244" t="n">
        <v>18</v>
      </c>
      <c r="AK244" t="n">
        <v>18</v>
      </c>
      <c r="AL244" t="n">
        <v>1</v>
      </c>
      <c r="AM244" t="n">
        <v>1</v>
      </c>
      <c r="AN244" t="n">
        <v>0</v>
      </c>
      <c r="AO244" t="n">
        <v>0</v>
      </c>
      <c r="AP244" t="inlineStr">
        <is>
          <t>No</t>
        </is>
      </c>
      <c r="AQ244" t="inlineStr">
        <is>
          <t>Yes</t>
        </is>
      </c>
      <c r="AR244">
        <f>HYPERLINK("http://catalog.hathitrust.org/Record/006921671","HathiTrust Record")</f>
        <v/>
      </c>
      <c r="AS244">
        <f>HYPERLINK("https://creighton-primo.hosted.exlibrisgroup.com/primo-explore/search?tab=default_tab&amp;search_scope=EVERYTHING&amp;vid=01CRU&amp;lang=en_US&amp;offset=0&amp;query=any,contains,991003523669702656","Catalog Record")</f>
        <v/>
      </c>
      <c r="AT244">
        <f>HYPERLINK("http://www.worldcat.org/oclc/28423178","WorldCat Record")</f>
        <v/>
      </c>
      <c r="AU244" t="inlineStr">
        <is>
          <t>9415464805:eng</t>
        </is>
      </c>
      <c r="AV244" t="inlineStr">
        <is>
          <t>28423178</t>
        </is>
      </c>
      <c r="AW244" t="inlineStr">
        <is>
          <t>991003523669702656</t>
        </is>
      </c>
      <c r="AX244" t="inlineStr">
        <is>
          <t>991003523669702656</t>
        </is>
      </c>
      <c r="AY244" t="inlineStr">
        <is>
          <t>2265438920002656</t>
        </is>
      </c>
      <c r="AZ244" t="inlineStr">
        <is>
          <t>BOOK</t>
        </is>
      </c>
      <c r="BC244" t="inlineStr">
        <is>
          <t>32285004312285</t>
        </is>
      </c>
      <c r="BD244" t="inlineStr">
        <is>
          <t>893793696</t>
        </is>
      </c>
    </row>
    <row r="245">
      <c r="A245" t="inlineStr">
        <is>
          <t>No</t>
        </is>
      </c>
      <c r="B245" t="inlineStr">
        <is>
          <t>BX1407.L5 W65 1991</t>
        </is>
      </c>
      <c r="C245" t="inlineStr">
        <is>
          <t>0                      BX 1407000L  5                  W  65          1991</t>
        </is>
      </c>
      <c r="D245" t="inlineStr">
        <is>
          <t>Lithuanian religious life in America : a compendium of 150 Roman Catholic parishes and institutions / William Wolkovich-Valkavičius.</t>
        </is>
      </c>
      <c r="E245" t="inlineStr">
        <is>
          <t>V.2</t>
        </is>
      </c>
      <c r="F245" t="inlineStr">
        <is>
          <t>Yes</t>
        </is>
      </c>
      <c r="G245" t="inlineStr">
        <is>
          <t>1</t>
        </is>
      </c>
      <c r="H245" t="inlineStr">
        <is>
          <t>No</t>
        </is>
      </c>
      <c r="I245" t="inlineStr">
        <is>
          <t>No</t>
        </is>
      </c>
      <c r="J245" t="inlineStr">
        <is>
          <t>0</t>
        </is>
      </c>
      <c r="K245" t="inlineStr">
        <is>
          <t>Wolkovich-Valkavičius, William, 1929-2005.</t>
        </is>
      </c>
      <c r="L245" t="inlineStr">
        <is>
          <t>Norwood, Mass. (36 St. George Ave., Norwood 02062-4420) : Lithuanian Religious Life in America ; W. Bridgewater, MA : Sole distributor, Corporate Fulfillment Systems, c1991-c1998.</t>
        </is>
      </c>
      <c r="M245" t="inlineStr">
        <is>
          <t>1991</t>
        </is>
      </c>
      <c r="O245" t="inlineStr">
        <is>
          <t>eng</t>
        </is>
      </c>
      <c r="P245" t="inlineStr">
        <is>
          <t>mau</t>
        </is>
      </c>
      <c r="R245" t="inlineStr">
        <is>
          <t xml:space="preserve">BX </t>
        </is>
      </c>
      <c r="S245" t="n">
        <v>1</v>
      </c>
      <c r="T245" t="n">
        <v>4</v>
      </c>
      <c r="U245" t="inlineStr">
        <is>
          <t>2001-04-17</t>
        </is>
      </c>
      <c r="V245" t="inlineStr">
        <is>
          <t>2001-05-16</t>
        </is>
      </c>
      <c r="W245" t="inlineStr">
        <is>
          <t>2001-04-16</t>
        </is>
      </c>
      <c r="X245" t="inlineStr">
        <is>
          <t>2001-04-16</t>
        </is>
      </c>
      <c r="Y245" t="n">
        <v>199</v>
      </c>
      <c r="Z245" t="n">
        <v>193</v>
      </c>
      <c r="AA245" t="n">
        <v>195</v>
      </c>
      <c r="AB245" t="n">
        <v>4</v>
      </c>
      <c r="AC245" t="n">
        <v>4</v>
      </c>
      <c r="AD245" t="n">
        <v>26</v>
      </c>
      <c r="AE245" t="n">
        <v>26</v>
      </c>
      <c r="AF245" t="n">
        <v>7</v>
      </c>
      <c r="AG245" t="n">
        <v>7</v>
      </c>
      <c r="AH245" t="n">
        <v>8</v>
      </c>
      <c r="AI245" t="n">
        <v>8</v>
      </c>
      <c r="AJ245" t="n">
        <v>18</v>
      </c>
      <c r="AK245" t="n">
        <v>18</v>
      </c>
      <c r="AL245" t="n">
        <v>1</v>
      </c>
      <c r="AM245" t="n">
        <v>1</v>
      </c>
      <c r="AN245" t="n">
        <v>0</v>
      </c>
      <c r="AO245" t="n">
        <v>0</v>
      </c>
      <c r="AP245" t="inlineStr">
        <is>
          <t>No</t>
        </is>
      </c>
      <c r="AQ245" t="inlineStr">
        <is>
          <t>Yes</t>
        </is>
      </c>
      <c r="AR245">
        <f>HYPERLINK("http://catalog.hathitrust.org/Record/006921671","HathiTrust Record")</f>
        <v/>
      </c>
      <c r="AS245">
        <f>HYPERLINK("https://creighton-primo.hosted.exlibrisgroup.com/primo-explore/search?tab=default_tab&amp;search_scope=EVERYTHING&amp;vid=01CRU&amp;lang=en_US&amp;offset=0&amp;query=any,contains,991003523669702656","Catalog Record")</f>
        <v/>
      </c>
      <c r="AT245">
        <f>HYPERLINK("http://www.worldcat.org/oclc/28423178","WorldCat Record")</f>
        <v/>
      </c>
      <c r="AU245" t="inlineStr">
        <is>
          <t>9415464805:eng</t>
        </is>
      </c>
      <c r="AV245" t="inlineStr">
        <is>
          <t>28423178</t>
        </is>
      </c>
      <c r="AW245" t="inlineStr">
        <is>
          <t>991003523669702656</t>
        </is>
      </c>
      <c r="AX245" t="inlineStr">
        <is>
          <t>991003523669702656</t>
        </is>
      </c>
      <c r="AY245" t="inlineStr">
        <is>
          <t>2265438920002656</t>
        </is>
      </c>
      <c r="AZ245" t="inlineStr">
        <is>
          <t>BOOK</t>
        </is>
      </c>
      <c r="BC245" t="inlineStr">
        <is>
          <t>32285004312293</t>
        </is>
      </c>
      <c r="BD245" t="inlineStr">
        <is>
          <t>893774835</t>
        </is>
      </c>
    </row>
    <row r="246">
      <c r="A246" t="inlineStr">
        <is>
          <t>No</t>
        </is>
      </c>
      <c r="B246" t="inlineStr">
        <is>
          <t>BX1407.M68 S55 1993</t>
        </is>
      </c>
      <c r="C246" t="inlineStr">
        <is>
          <t>0                      BX 1407000M  68                 S  55          1993</t>
        </is>
      </c>
      <c r="D246" t="inlineStr">
        <is>
          <t>The cross and the cinema : the Legion of Decency and the National Catholic Office for Motion Pictures, 1933-1970 / James M. Skinner.</t>
        </is>
      </c>
      <c r="F246" t="inlineStr">
        <is>
          <t>No</t>
        </is>
      </c>
      <c r="G246" t="inlineStr">
        <is>
          <t>1</t>
        </is>
      </c>
      <c r="H246" t="inlineStr">
        <is>
          <t>No</t>
        </is>
      </c>
      <c r="I246" t="inlineStr">
        <is>
          <t>No</t>
        </is>
      </c>
      <c r="J246" t="inlineStr">
        <is>
          <t>0</t>
        </is>
      </c>
      <c r="K246" t="inlineStr">
        <is>
          <t>Skinner, James M., 1933-</t>
        </is>
      </c>
      <c r="L246" t="inlineStr">
        <is>
          <t>Westport, Conn. : Praeger, 1993.</t>
        </is>
      </c>
      <c r="M246" t="inlineStr">
        <is>
          <t>1993</t>
        </is>
      </c>
      <c r="O246" t="inlineStr">
        <is>
          <t>eng</t>
        </is>
      </c>
      <c r="P246" t="inlineStr">
        <is>
          <t>ctu</t>
        </is>
      </c>
      <c r="R246" t="inlineStr">
        <is>
          <t xml:space="preserve">BX </t>
        </is>
      </c>
      <c r="S246" t="n">
        <v>4</v>
      </c>
      <c r="T246" t="n">
        <v>4</v>
      </c>
      <c r="U246" t="inlineStr">
        <is>
          <t>1996-04-08</t>
        </is>
      </c>
      <c r="V246" t="inlineStr">
        <is>
          <t>1996-04-08</t>
        </is>
      </c>
      <c r="W246" t="inlineStr">
        <is>
          <t>1993-10-28</t>
        </is>
      </c>
      <c r="X246" t="inlineStr">
        <is>
          <t>1993-10-28</t>
        </is>
      </c>
      <c r="Y246" t="n">
        <v>459</v>
      </c>
      <c r="Z246" t="n">
        <v>394</v>
      </c>
      <c r="AA246" t="n">
        <v>396</v>
      </c>
      <c r="AB246" t="n">
        <v>2</v>
      </c>
      <c r="AC246" t="n">
        <v>2</v>
      </c>
      <c r="AD246" t="n">
        <v>28</v>
      </c>
      <c r="AE246" t="n">
        <v>28</v>
      </c>
      <c r="AF246" t="n">
        <v>11</v>
      </c>
      <c r="AG246" t="n">
        <v>11</v>
      </c>
      <c r="AH246" t="n">
        <v>6</v>
      </c>
      <c r="AI246" t="n">
        <v>6</v>
      </c>
      <c r="AJ246" t="n">
        <v>19</v>
      </c>
      <c r="AK246" t="n">
        <v>19</v>
      </c>
      <c r="AL246" t="n">
        <v>1</v>
      </c>
      <c r="AM246" t="n">
        <v>1</v>
      </c>
      <c r="AN246" t="n">
        <v>0</v>
      </c>
      <c r="AO246" t="n">
        <v>0</v>
      </c>
      <c r="AP246" t="inlineStr">
        <is>
          <t>No</t>
        </is>
      </c>
      <c r="AQ246" t="inlineStr">
        <is>
          <t>Yes</t>
        </is>
      </c>
      <c r="AR246">
        <f>HYPERLINK("http://catalog.hathitrust.org/Record/002730117","HathiTrust Record")</f>
        <v/>
      </c>
      <c r="AS246">
        <f>HYPERLINK("https://creighton-primo.hosted.exlibrisgroup.com/primo-explore/search?tab=default_tab&amp;search_scope=EVERYTHING&amp;vid=01CRU&amp;lang=en_US&amp;offset=0&amp;query=any,contains,991002124999702656","Catalog Record")</f>
        <v/>
      </c>
      <c r="AT246">
        <f>HYPERLINK("http://www.worldcat.org/oclc/27222884","WorldCat Record")</f>
        <v/>
      </c>
      <c r="AU246" t="inlineStr">
        <is>
          <t>329506:eng</t>
        </is>
      </c>
      <c r="AV246" t="inlineStr">
        <is>
          <t>27222884</t>
        </is>
      </c>
      <c r="AW246" t="inlineStr">
        <is>
          <t>991002124999702656</t>
        </is>
      </c>
      <c r="AX246" t="inlineStr">
        <is>
          <t>991002124999702656</t>
        </is>
      </c>
      <c r="AY246" t="inlineStr">
        <is>
          <t>2268123790002656</t>
        </is>
      </c>
      <c r="AZ246" t="inlineStr">
        <is>
          <t>BOOK</t>
        </is>
      </c>
      <c r="BB246" t="inlineStr">
        <is>
          <t>9780275941932</t>
        </is>
      </c>
      <c r="BC246" t="inlineStr">
        <is>
          <t>32285001789220</t>
        </is>
      </c>
      <c r="BD246" t="inlineStr">
        <is>
          <t>893341058</t>
        </is>
      </c>
    </row>
    <row r="247">
      <c r="A247" t="inlineStr">
        <is>
          <t>No</t>
        </is>
      </c>
      <c r="B247" t="inlineStr">
        <is>
          <t>BX1407.M84 M84 1996</t>
        </is>
      </c>
      <c r="C247" t="inlineStr">
        <is>
          <t>0                      BX 1407000M  84                 M  84          1996</t>
        </is>
      </c>
      <c r="D247" t="inlineStr">
        <is>
          <t>The multicultural church : a new landscape in U.S. theologies / William Cenkner, editor.</t>
        </is>
      </c>
      <c r="F247" t="inlineStr">
        <is>
          <t>No</t>
        </is>
      </c>
      <c r="G247" t="inlineStr">
        <is>
          <t>1</t>
        </is>
      </c>
      <c r="H247" t="inlineStr">
        <is>
          <t>No</t>
        </is>
      </c>
      <c r="I247" t="inlineStr">
        <is>
          <t>No</t>
        </is>
      </c>
      <c r="J247" t="inlineStr">
        <is>
          <t>0</t>
        </is>
      </c>
      <c r="L247" t="inlineStr">
        <is>
          <t>New York : Paulist Press, c1996.</t>
        </is>
      </c>
      <c r="M247" t="inlineStr">
        <is>
          <t>1996</t>
        </is>
      </c>
      <c r="O247" t="inlineStr">
        <is>
          <t>eng</t>
        </is>
      </c>
      <c r="P247" t="inlineStr">
        <is>
          <t>nyu</t>
        </is>
      </c>
      <c r="R247" t="inlineStr">
        <is>
          <t xml:space="preserve">BX </t>
        </is>
      </c>
      <c r="S247" t="n">
        <v>2</v>
      </c>
      <c r="T247" t="n">
        <v>2</v>
      </c>
      <c r="U247" t="inlineStr">
        <is>
          <t>2004-10-26</t>
        </is>
      </c>
      <c r="V247" t="inlineStr">
        <is>
          <t>2004-10-26</t>
        </is>
      </c>
      <c r="W247" t="inlineStr">
        <is>
          <t>1997-11-04</t>
        </is>
      </c>
      <c r="X247" t="inlineStr">
        <is>
          <t>1997-11-04</t>
        </is>
      </c>
      <c r="Y247" t="n">
        <v>259</v>
      </c>
      <c r="Z247" t="n">
        <v>233</v>
      </c>
      <c r="AA247" t="n">
        <v>244</v>
      </c>
      <c r="AB247" t="n">
        <v>2</v>
      </c>
      <c r="AC247" t="n">
        <v>2</v>
      </c>
      <c r="AD247" t="n">
        <v>27</v>
      </c>
      <c r="AE247" t="n">
        <v>27</v>
      </c>
      <c r="AF247" t="n">
        <v>8</v>
      </c>
      <c r="AG247" t="n">
        <v>8</v>
      </c>
      <c r="AH247" t="n">
        <v>7</v>
      </c>
      <c r="AI247" t="n">
        <v>7</v>
      </c>
      <c r="AJ247" t="n">
        <v>18</v>
      </c>
      <c r="AK247" t="n">
        <v>18</v>
      </c>
      <c r="AL247" t="n">
        <v>1</v>
      </c>
      <c r="AM247" t="n">
        <v>1</v>
      </c>
      <c r="AN247" t="n">
        <v>0</v>
      </c>
      <c r="AO247" t="n">
        <v>0</v>
      </c>
      <c r="AP247" t="inlineStr">
        <is>
          <t>No</t>
        </is>
      </c>
      <c r="AQ247" t="inlineStr">
        <is>
          <t>Yes</t>
        </is>
      </c>
      <c r="AR247">
        <f>HYPERLINK("http://catalog.hathitrust.org/Record/003048988","HathiTrust Record")</f>
        <v/>
      </c>
      <c r="AS247">
        <f>HYPERLINK("https://creighton-primo.hosted.exlibrisgroup.com/primo-explore/search?tab=default_tab&amp;search_scope=EVERYTHING&amp;vid=01CRU&amp;lang=en_US&amp;offset=0&amp;query=any,contains,991002535889702656","Catalog Record")</f>
        <v/>
      </c>
      <c r="AT247">
        <f>HYPERLINK("http://www.worldcat.org/oclc/32968908","WorldCat Record")</f>
        <v/>
      </c>
      <c r="AU247" t="inlineStr">
        <is>
          <t>889922147:eng</t>
        </is>
      </c>
      <c r="AV247" t="inlineStr">
        <is>
          <t>32968908</t>
        </is>
      </c>
      <c r="AW247" t="inlineStr">
        <is>
          <t>991002535889702656</t>
        </is>
      </c>
      <c r="AX247" t="inlineStr">
        <is>
          <t>991002535889702656</t>
        </is>
      </c>
      <c r="AY247" t="inlineStr">
        <is>
          <t>2262742680002656</t>
        </is>
      </c>
      <c r="AZ247" t="inlineStr">
        <is>
          <t>BOOK</t>
        </is>
      </c>
      <c r="BB247" t="inlineStr">
        <is>
          <t>9780809136070</t>
        </is>
      </c>
      <c r="BC247" t="inlineStr">
        <is>
          <t>32285003275541</t>
        </is>
      </c>
      <c r="BD247" t="inlineStr">
        <is>
          <t>893530125</t>
        </is>
      </c>
    </row>
    <row r="248">
      <c r="A248" t="inlineStr">
        <is>
          <t>No</t>
        </is>
      </c>
      <c r="B248" t="inlineStr">
        <is>
          <t>BX1407.N4 G5 1930</t>
        </is>
      </c>
      <c r="C248" t="inlineStr">
        <is>
          <t>0                      BX 1407000N  4                  G  5           1930</t>
        </is>
      </c>
      <c r="D248" t="inlineStr">
        <is>
          <t>The Catholic church and the American negro : being an investigation of the past and present activities of the Catholic church in behalf of the 12,000,000 negroes in the United States, with an examination of the difficulties which affect the work of the colored missions / by John T. Gillard, S.S.J.</t>
        </is>
      </c>
      <c r="F248" t="inlineStr">
        <is>
          <t>No</t>
        </is>
      </c>
      <c r="G248" t="inlineStr">
        <is>
          <t>1</t>
        </is>
      </c>
      <c r="H248" t="inlineStr">
        <is>
          <t>No</t>
        </is>
      </c>
      <c r="I248" t="inlineStr">
        <is>
          <t>No</t>
        </is>
      </c>
      <c r="J248" t="inlineStr">
        <is>
          <t>0</t>
        </is>
      </c>
      <c r="K248" t="inlineStr">
        <is>
          <t>Gillard, John Thomas, 1900-1942.</t>
        </is>
      </c>
      <c r="L248" t="inlineStr">
        <is>
          <t>Baltimore : St. Joseph's society press, 1929 [i.e. 1930]</t>
        </is>
      </c>
      <c r="M248" t="inlineStr">
        <is>
          <t>1930</t>
        </is>
      </c>
      <c r="O248" t="inlineStr">
        <is>
          <t>eng</t>
        </is>
      </c>
      <c r="P248" t="inlineStr">
        <is>
          <t>mdu</t>
        </is>
      </c>
      <c r="R248" t="inlineStr">
        <is>
          <t xml:space="preserve">BX </t>
        </is>
      </c>
      <c r="S248" t="n">
        <v>4</v>
      </c>
      <c r="T248" t="n">
        <v>4</v>
      </c>
      <c r="U248" t="inlineStr">
        <is>
          <t>1992-05-14</t>
        </is>
      </c>
      <c r="V248" t="inlineStr">
        <is>
          <t>1992-05-14</t>
        </is>
      </c>
      <c r="W248" t="inlineStr">
        <is>
          <t>1990-03-02</t>
        </is>
      </c>
      <c r="X248" t="inlineStr">
        <is>
          <t>1990-03-02</t>
        </is>
      </c>
      <c r="Y248" t="n">
        <v>199</v>
      </c>
      <c r="Z248" t="n">
        <v>193</v>
      </c>
      <c r="AA248" t="n">
        <v>465</v>
      </c>
      <c r="AB248" t="n">
        <v>2</v>
      </c>
      <c r="AC248" t="n">
        <v>6</v>
      </c>
      <c r="AD248" t="n">
        <v>19</v>
      </c>
      <c r="AE248" t="n">
        <v>36</v>
      </c>
      <c r="AF248" t="n">
        <v>7</v>
      </c>
      <c r="AG248" t="n">
        <v>14</v>
      </c>
      <c r="AH248" t="n">
        <v>5</v>
      </c>
      <c r="AI248" t="n">
        <v>9</v>
      </c>
      <c r="AJ248" t="n">
        <v>11</v>
      </c>
      <c r="AK248" t="n">
        <v>19</v>
      </c>
      <c r="AL248" t="n">
        <v>1</v>
      </c>
      <c r="AM248" t="n">
        <v>4</v>
      </c>
      <c r="AN248" t="n">
        <v>0</v>
      </c>
      <c r="AO248" t="n">
        <v>0</v>
      </c>
      <c r="AP248" t="inlineStr">
        <is>
          <t>Yes</t>
        </is>
      </c>
      <c r="AQ248" t="inlineStr">
        <is>
          <t>No</t>
        </is>
      </c>
      <c r="AR248">
        <f>HYPERLINK("http://catalog.hathitrust.org/Record/001926049","HathiTrust Record")</f>
        <v/>
      </c>
      <c r="AS248">
        <f>HYPERLINK("https://creighton-primo.hosted.exlibrisgroup.com/primo-explore/search?tab=default_tab&amp;search_scope=EVERYTHING&amp;vid=01CRU&amp;lang=en_US&amp;offset=0&amp;query=any,contains,991004167319702656","Catalog Record")</f>
        <v/>
      </c>
      <c r="AT248">
        <f>HYPERLINK("http://www.worldcat.org/oclc/2571278","WorldCat Record")</f>
        <v/>
      </c>
      <c r="AU248" t="inlineStr">
        <is>
          <t>1347334:eng</t>
        </is>
      </c>
      <c r="AV248" t="inlineStr">
        <is>
          <t>2571278</t>
        </is>
      </c>
      <c r="AW248" t="inlineStr">
        <is>
          <t>991004167319702656</t>
        </is>
      </c>
      <c r="AX248" t="inlineStr">
        <is>
          <t>991004167319702656</t>
        </is>
      </c>
      <c r="AY248" t="inlineStr">
        <is>
          <t>2263289380002656</t>
        </is>
      </c>
      <c r="AZ248" t="inlineStr">
        <is>
          <t>BOOK</t>
        </is>
      </c>
      <c r="BC248" t="inlineStr">
        <is>
          <t>32285000074301</t>
        </is>
      </c>
      <c r="BD248" t="inlineStr">
        <is>
          <t>893429737</t>
        </is>
      </c>
    </row>
    <row r="249">
      <c r="A249" t="inlineStr">
        <is>
          <t>No</t>
        </is>
      </c>
      <c r="B249" t="inlineStr">
        <is>
          <t>BX1407.N4 R5 1996</t>
        </is>
      </c>
      <c r="C249" t="inlineStr">
        <is>
          <t>0                      BX 1407000N  4                  R  5           1996</t>
        </is>
      </c>
      <c r="D249" t="inlineStr">
        <is>
          <t>Rise 'n' shine : Catholic education and the African American community / Mary Alice Chineworth, editor.</t>
        </is>
      </c>
      <c r="F249" t="inlineStr">
        <is>
          <t>No</t>
        </is>
      </c>
      <c r="G249" t="inlineStr">
        <is>
          <t>1</t>
        </is>
      </c>
      <c r="H249" t="inlineStr">
        <is>
          <t>No</t>
        </is>
      </c>
      <c r="I249" t="inlineStr">
        <is>
          <t>No</t>
        </is>
      </c>
      <c r="J249" t="inlineStr">
        <is>
          <t>0</t>
        </is>
      </c>
      <c r="L249" t="inlineStr">
        <is>
          <t>Washington, DC : National Catholic Educational Association, c1996.</t>
        </is>
      </c>
      <c r="M249" t="inlineStr">
        <is>
          <t>1996</t>
        </is>
      </c>
      <c r="O249" t="inlineStr">
        <is>
          <t>eng</t>
        </is>
      </c>
      <c r="P249" t="inlineStr">
        <is>
          <t>dcu</t>
        </is>
      </c>
      <c r="R249" t="inlineStr">
        <is>
          <t xml:space="preserve">BX </t>
        </is>
      </c>
      <c r="S249" t="n">
        <v>8</v>
      </c>
      <c r="T249" t="n">
        <v>8</v>
      </c>
      <c r="U249" t="inlineStr">
        <is>
          <t>2003-10-24</t>
        </is>
      </c>
      <c r="V249" t="inlineStr">
        <is>
          <t>2003-10-24</t>
        </is>
      </c>
      <c r="W249" t="inlineStr">
        <is>
          <t>1997-02-06</t>
        </is>
      </c>
      <c r="X249" t="inlineStr">
        <is>
          <t>1997-02-06</t>
        </is>
      </c>
      <c r="Y249" t="n">
        <v>65</v>
      </c>
      <c r="Z249" t="n">
        <v>64</v>
      </c>
      <c r="AA249" t="n">
        <v>66</v>
      </c>
      <c r="AB249" t="n">
        <v>1</v>
      </c>
      <c r="AC249" t="n">
        <v>1</v>
      </c>
      <c r="AD249" t="n">
        <v>13</v>
      </c>
      <c r="AE249" t="n">
        <v>13</v>
      </c>
      <c r="AF249" t="n">
        <v>2</v>
      </c>
      <c r="AG249" t="n">
        <v>2</v>
      </c>
      <c r="AH249" t="n">
        <v>6</v>
      </c>
      <c r="AI249" t="n">
        <v>6</v>
      </c>
      <c r="AJ249" t="n">
        <v>9</v>
      </c>
      <c r="AK249" t="n">
        <v>9</v>
      </c>
      <c r="AL249" t="n">
        <v>0</v>
      </c>
      <c r="AM249" t="n">
        <v>0</v>
      </c>
      <c r="AN249" t="n">
        <v>0</v>
      </c>
      <c r="AO249" t="n">
        <v>0</v>
      </c>
      <c r="AP249" t="inlineStr">
        <is>
          <t>No</t>
        </is>
      </c>
      <c r="AQ249" t="inlineStr">
        <is>
          <t>No</t>
        </is>
      </c>
      <c r="AS249">
        <f>HYPERLINK("https://creighton-primo.hosted.exlibrisgroup.com/primo-explore/search?tab=default_tab&amp;search_scope=EVERYTHING&amp;vid=01CRU&amp;lang=en_US&amp;offset=0&amp;query=any,contains,991002649689702656","Catalog Record")</f>
        <v/>
      </c>
      <c r="AT249">
        <f>HYPERLINK("http://www.worldcat.org/oclc/34666505","WorldCat Record")</f>
        <v/>
      </c>
      <c r="AU249" t="inlineStr">
        <is>
          <t>39900021:eng</t>
        </is>
      </c>
      <c r="AV249" t="inlineStr">
        <is>
          <t>34666505</t>
        </is>
      </c>
      <c r="AW249" t="inlineStr">
        <is>
          <t>991002649689702656</t>
        </is>
      </c>
      <c r="AX249" t="inlineStr">
        <is>
          <t>991002649689702656</t>
        </is>
      </c>
      <c r="AY249" t="inlineStr">
        <is>
          <t>2272124180002656</t>
        </is>
      </c>
      <c r="AZ249" t="inlineStr">
        <is>
          <t>BOOK</t>
        </is>
      </c>
      <c r="BB249" t="inlineStr">
        <is>
          <t>9781558331778</t>
        </is>
      </c>
      <c r="BC249" t="inlineStr">
        <is>
          <t>32285002414661</t>
        </is>
      </c>
      <c r="BD249" t="inlineStr">
        <is>
          <t>893792717</t>
        </is>
      </c>
    </row>
    <row r="250">
      <c r="A250" t="inlineStr">
        <is>
          <t>No</t>
        </is>
      </c>
      <c r="B250" t="inlineStr">
        <is>
          <t>BX1407.N4 W37 2002</t>
        </is>
      </c>
      <c r="C250" t="inlineStr">
        <is>
          <t>0                      BX 1407000N  4                  W  37          2002</t>
        </is>
      </c>
      <c r="D250" t="inlineStr">
        <is>
          <t>A mission for justice : the history of the first African American Catholic church in Newark, New Jersey / Mary A. Ward.</t>
        </is>
      </c>
      <c r="F250" t="inlineStr">
        <is>
          <t>No</t>
        </is>
      </c>
      <c r="G250" t="inlineStr">
        <is>
          <t>1</t>
        </is>
      </c>
      <c r="H250" t="inlineStr">
        <is>
          <t>No</t>
        </is>
      </c>
      <c r="I250" t="inlineStr">
        <is>
          <t>No</t>
        </is>
      </c>
      <c r="J250" t="inlineStr">
        <is>
          <t>0</t>
        </is>
      </c>
      <c r="K250" t="inlineStr">
        <is>
          <t>Ward, Mary A., 1947-</t>
        </is>
      </c>
      <c r="L250" t="inlineStr">
        <is>
          <t>Knoxville : University of Tennessee Press, c2002.</t>
        </is>
      </c>
      <c r="M250" t="inlineStr">
        <is>
          <t>2002</t>
        </is>
      </c>
      <c r="N250" t="inlineStr">
        <is>
          <t>1st ed.</t>
        </is>
      </c>
      <c r="O250" t="inlineStr">
        <is>
          <t>eng</t>
        </is>
      </c>
      <c r="P250" t="inlineStr">
        <is>
          <t>tnu</t>
        </is>
      </c>
      <c r="R250" t="inlineStr">
        <is>
          <t xml:space="preserve">BX </t>
        </is>
      </c>
      <c r="S250" t="n">
        <v>3</v>
      </c>
      <c r="T250" t="n">
        <v>3</v>
      </c>
      <c r="U250" t="inlineStr">
        <is>
          <t>2008-04-13</t>
        </is>
      </c>
      <c r="V250" t="inlineStr">
        <is>
          <t>2008-04-13</t>
        </is>
      </c>
      <c r="W250" t="inlineStr">
        <is>
          <t>2005-11-07</t>
        </is>
      </c>
      <c r="X250" t="inlineStr">
        <is>
          <t>2005-11-07</t>
        </is>
      </c>
      <c r="Y250" t="n">
        <v>209</v>
      </c>
      <c r="Z250" t="n">
        <v>200</v>
      </c>
      <c r="AA250" t="n">
        <v>200</v>
      </c>
      <c r="AB250" t="n">
        <v>1</v>
      </c>
      <c r="AC250" t="n">
        <v>1</v>
      </c>
      <c r="AD250" t="n">
        <v>18</v>
      </c>
      <c r="AE250" t="n">
        <v>18</v>
      </c>
      <c r="AF250" t="n">
        <v>6</v>
      </c>
      <c r="AG250" t="n">
        <v>6</v>
      </c>
      <c r="AH250" t="n">
        <v>5</v>
      </c>
      <c r="AI250" t="n">
        <v>5</v>
      </c>
      <c r="AJ250" t="n">
        <v>11</v>
      </c>
      <c r="AK250" t="n">
        <v>11</v>
      </c>
      <c r="AL250" t="n">
        <v>0</v>
      </c>
      <c r="AM250" t="n">
        <v>0</v>
      </c>
      <c r="AN250" t="n">
        <v>1</v>
      </c>
      <c r="AO250" t="n">
        <v>1</v>
      </c>
      <c r="AP250" t="inlineStr">
        <is>
          <t>No</t>
        </is>
      </c>
      <c r="AQ250" t="inlineStr">
        <is>
          <t>No</t>
        </is>
      </c>
      <c r="AS250">
        <f>HYPERLINK("https://creighton-primo.hosted.exlibrisgroup.com/primo-explore/search?tab=default_tab&amp;search_scope=EVERYTHING&amp;vid=01CRU&amp;lang=en_US&amp;offset=0&amp;query=any,contains,991004683629702656","Catalog Record")</f>
        <v/>
      </c>
      <c r="AT250">
        <f>HYPERLINK("http://www.worldcat.org/oclc/48507568","WorldCat Record")</f>
        <v/>
      </c>
      <c r="AU250" t="inlineStr">
        <is>
          <t>919196966:eng</t>
        </is>
      </c>
      <c r="AV250" t="inlineStr">
        <is>
          <t>48507568</t>
        </is>
      </c>
      <c r="AW250" t="inlineStr">
        <is>
          <t>991004683629702656</t>
        </is>
      </c>
      <c r="AX250" t="inlineStr">
        <is>
          <t>991004683629702656</t>
        </is>
      </c>
      <c r="AY250" t="inlineStr">
        <is>
          <t>2267800530002656</t>
        </is>
      </c>
      <c r="AZ250" t="inlineStr">
        <is>
          <t>BOOK</t>
        </is>
      </c>
      <c r="BB250" t="inlineStr">
        <is>
          <t>9781572331907</t>
        </is>
      </c>
      <c r="BC250" t="inlineStr">
        <is>
          <t>32285005144646</t>
        </is>
      </c>
      <c r="BD250" t="inlineStr">
        <is>
          <t>893235815</t>
        </is>
      </c>
    </row>
    <row r="251">
      <c r="A251" t="inlineStr">
        <is>
          <t>No</t>
        </is>
      </c>
      <c r="B251" t="inlineStr">
        <is>
          <t>BX1407.P3 T7 1989</t>
        </is>
      </c>
      <c r="C251" t="inlineStr">
        <is>
          <t>0                      BX 1407000P  3                  T  7           1989</t>
        </is>
      </c>
      <c r="D251" t="inlineStr">
        <is>
          <t>Transforming parish ministry : the changing roles of Catholic clergy, laity, and women religious / Jay P. Dolan ... [et al.]</t>
        </is>
      </c>
      <c r="F251" t="inlineStr">
        <is>
          <t>No</t>
        </is>
      </c>
      <c r="G251" t="inlineStr">
        <is>
          <t>1</t>
        </is>
      </c>
      <c r="H251" t="inlineStr">
        <is>
          <t>No</t>
        </is>
      </c>
      <c r="I251" t="inlineStr">
        <is>
          <t>No</t>
        </is>
      </c>
      <c r="J251" t="inlineStr">
        <is>
          <t>0</t>
        </is>
      </c>
      <c r="L251" t="inlineStr">
        <is>
          <t>New York : Crossroad, 1989.</t>
        </is>
      </c>
      <c r="M251" t="inlineStr">
        <is>
          <t>1989</t>
        </is>
      </c>
      <c r="O251" t="inlineStr">
        <is>
          <t>eng</t>
        </is>
      </c>
      <c r="P251" t="inlineStr">
        <is>
          <t>nyu</t>
        </is>
      </c>
      <c r="R251" t="inlineStr">
        <is>
          <t xml:space="preserve">BX </t>
        </is>
      </c>
      <c r="S251" t="n">
        <v>1</v>
      </c>
      <c r="T251" t="n">
        <v>1</v>
      </c>
      <c r="U251" t="inlineStr">
        <is>
          <t>2002-04-11</t>
        </is>
      </c>
      <c r="V251" t="inlineStr">
        <is>
          <t>2002-04-11</t>
        </is>
      </c>
      <c r="W251" t="inlineStr">
        <is>
          <t>1989-10-23</t>
        </is>
      </c>
      <c r="X251" t="inlineStr">
        <is>
          <t>1989-10-23</t>
        </is>
      </c>
      <c r="Y251" t="n">
        <v>319</v>
      </c>
      <c r="Z251" t="n">
        <v>278</v>
      </c>
      <c r="AA251" t="n">
        <v>290</v>
      </c>
      <c r="AB251" t="n">
        <v>4</v>
      </c>
      <c r="AC251" t="n">
        <v>4</v>
      </c>
      <c r="AD251" t="n">
        <v>30</v>
      </c>
      <c r="AE251" t="n">
        <v>31</v>
      </c>
      <c r="AF251" t="n">
        <v>8</v>
      </c>
      <c r="AG251" t="n">
        <v>9</v>
      </c>
      <c r="AH251" t="n">
        <v>9</v>
      </c>
      <c r="AI251" t="n">
        <v>9</v>
      </c>
      <c r="AJ251" t="n">
        <v>19</v>
      </c>
      <c r="AK251" t="n">
        <v>20</v>
      </c>
      <c r="AL251" t="n">
        <v>3</v>
      </c>
      <c r="AM251" t="n">
        <v>3</v>
      </c>
      <c r="AN251" t="n">
        <v>0</v>
      </c>
      <c r="AO251" t="n">
        <v>0</v>
      </c>
      <c r="AP251" t="inlineStr">
        <is>
          <t>No</t>
        </is>
      </c>
      <c r="AQ251" t="inlineStr">
        <is>
          <t>Yes</t>
        </is>
      </c>
      <c r="AR251">
        <f>HYPERLINK("http://catalog.hathitrust.org/Record/001540649","HathiTrust Record")</f>
        <v/>
      </c>
      <c r="AS251">
        <f>HYPERLINK("https://creighton-primo.hosted.exlibrisgroup.com/primo-explore/search?tab=default_tab&amp;search_scope=EVERYTHING&amp;vid=01CRU&amp;lang=en_US&amp;offset=0&amp;query=any,contains,991001457649702656","Catalog Record")</f>
        <v/>
      </c>
      <c r="AT251">
        <f>HYPERLINK("http://www.worldcat.org/oclc/19390492","WorldCat Record")</f>
        <v/>
      </c>
      <c r="AU251" t="inlineStr">
        <is>
          <t>961054277:eng</t>
        </is>
      </c>
      <c r="AV251" t="inlineStr">
        <is>
          <t>19390492</t>
        </is>
      </c>
      <c r="AW251" t="inlineStr">
        <is>
          <t>991001457649702656</t>
        </is>
      </c>
      <c r="AX251" t="inlineStr">
        <is>
          <t>991001457649702656</t>
        </is>
      </c>
      <c r="AY251" t="inlineStr">
        <is>
          <t>2257478540002656</t>
        </is>
      </c>
      <c r="AZ251" t="inlineStr">
        <is>
          <t>BOOK</t>
        </is>
      </c>
      <c r="BB251" t="inlineStr">
        <is>
          <t>9780824509316</t>
        </is>
      </c>
      <c r="BC251" t="inlineStr">
        <is>
          <t>32285000001965</t>
        </is>
      </c>
      <c r="BD251" t="inlineStr">
        <is>
          <t>893244153</t>
        </is>
      </c>
    </row>
    <row r="252">
      <c r="A252" t="inlineStr">
        <is>
          <t>No</t>
        </is>
      </c>
      <c r="B252" t="inlineStr">
        <is>
          <t>BX1407.P3 W55 2001</t>
        </is>
      </c>
      <c r="C252" t="inlineStr">
        <is>
          <t>0                      BX 1407000P  3                  W  55          2001</t>
        </is>
      </c>
      <c r="D252" t="inlineStr">
        <is>
          <t>Excellent Catholic parishes : the guide to best places and practices / Paul Wilkes.</t>
        </is>
      </c>
      <c r="F252" t="inlineStr">
        <is>
          <t>No</t>
        </is>
      </c>
      <c r="G252" t="inlineStr">
        <is>
          <t>1</t>
        </is>
      </c>
      <c r="H252" t="inlineStr">
        <is>
          <t>No</t>
        </is>
      </c>
      <c r="I252" t="inlineStr">
        <is>
          <t>No</t>
        </is>
      </c>
      <c r="J252" t="inlineStr">
        <is>
          <t>0</t>
        </is>
      </c>
      <c r="K252" t="inlineStr">
        <is>
          <t>Wilkes, Paul, 1938-</t>
        </is>
      </c>
      <c r="L252" t="inlineStr">
        <is>
          <t>New York : Paulist Press, c2001.</t>
        </is>
      </c>
      <c r="M252" t="inlineStr">
        <is>
          <t>2001</t>
        </is>
      </c>
      <c r="O252" t="inlineStr">
        <is>
          <t>eng</t>
        </is>
      </c>
      <c r="P252" t="inlineStr">
        <is>
          <t>nyu</t>
        </is>
      </c>
      <c r="R252" t="inlineStr">
        <is>
          <t xml:space="preserve">BX </t>
        </is>
      </c>
      <c r="S252" t="n">
        <v>4</v>
      </c>
      <c r="T252" t="n">
        <v>4</v>
      </c>
      <c r="U252" t="inlineStr">
        <is>
          <t>2001-08-28</t>
        </is>
      </c>
      <c r="V252" t="inlineStr">
        <is>
          <t>2001-08-28</t>
        </is>
      </c>
      <c r="W252" t="inlineStr">
        <is>
          <t>2001-08-27</t>
        </is>
      </c>
      <c r="X252" t="inlineStr">
        <is>
          <t>2001-08-27</t>
        </is>
      </c>
      <c r="Y252" t="n">
        <v>189</v>
      </c>
      <c r="Z252" t="n">
        <v>179</v>
      </c>
      <c r="AA252" t="n">
        <v>179</v>
      </c>
      <c r="AB252" t="n">
        <v>1</v>
      </c>
      <c r="AC252" t="n">
        <v>1</v>
      </c>
      <c r="AD252" t="n">
        <v>16</v>
      </c>
      <c r="AE252" t="n">
        <v>16</v>
      </c>
      <c r="AF252" t="n">
        <v>4</v>
      </c>
      <c r="AG252" t="n">
        <v>4</v>
      </c>
      <c r="AH252" t="n">
        <v>4</v>
      </c>
      <c r="AI252" t="n">
        <v>4</v>
      </c>
      <c r="AJ252" t="n">
        <v>13</v>
      </c>
      <c r="AK252" t="n">
        <v>13</v>
      </c>
      <c r="AL252" t="n">
        <v>0</v>
      </c>
      <c r="AM252" t="n">
        <v>0</v>
      </c>
      <c r="AN252" t="n">
        <v>0</v>
      </c>
      <c r="AO252" t="n">
        <v>0</v>
      </c>
      <c r="AP252" t="inlineStr">
        <is>
          <t>No</t>
        </is>
      </c>
      <c r="AQ252" t="inlineStr">
        <is>
          <t>No</t>
        </is>
      </c>
      <c r="AS252">
        <f>HYPERLINK("https://creighton-primo.hosted.exlibrisgroup.com/primo-explore/search?tab=default_tab&amp;search_scope=EVERYTHING&amp;vid=01CRU&amp;lang=en_US&amp;offset=0&amp;query=any,contains,991003577219702656","Catalog Record")</f>
        <v/>
      </c>
      <c r="AT252">
        <f>HYPERLINK("http://www.worldcat.org/oclc/45172754","WorldCat Record")</f>
        <v/>
      </c>
      <c r="AU252" t="inlineStr">
        <is>
          <t>3755154633:eng</t>
        </is>
      </c>
      <c r="AV252" t="inlineStr">
        <is>
          <t>45172754</t>
        </is>
      </c>
      <c r="AW252" t="inlineStr">
        <is>
          <t>991003577219702656</t>
        </is>
      </c>
      <c r="AX252" t="inlineStr">
        <is>
          <t>991003577219702656</t>
        </is>
      </c>
      <c r="AY252" t="inlineStr">
        <is>
          <t>2258954900002656</t>
        </is>
      </c>
      <c r="AZ252" t="inlineStr">
        <is>
          <t>BOOK</t>
        </is>
      </c>
      <c r="BB252" t="inlineStr">
        <is>
          <t>9780809105298</t>
        </is>
      </c>
      <c r="BC252" t="inlineStr">
        <is>
          <t>32285004381140</t>
        </is>
      </c>
      <c r="BD252" t="inlineStr">
        <is>
          <t>893518637</t>
        </is>
      </c>
    </row>
    <row r="253">
      <c r="A253" t="inlineStr">
        <is>
          <t>No</t>
        </is>
      </c>
      <c r="B253" t="inlineStr">
        <is>
          <t>BX1407.P63 B48 1985</t>
        </is>
      </c>
      <c r="C253" t="inlineStr">
        <is>
          <t>0                      BX 1407000P  63                 B  48          1985</t>
        </is>
      </c>
      <c r="D253" t="inlineStr">
        <is>
          <t>Between God and Caesar : priests, sisters, and political office in the United States / Madonna Kolbenschlag, editor.</t>
        </is>
      </c>
      <c r="F253" t="inlineStr">
        <is>
          <t>No</t>
        </is>
      </c>
      <c r="G253" t="inlineStr">
        <is>
          <t>1</t>
        </is>
      </c>
      <c r="H253" t="inlineStr">
        <is>
          <t>No</t>
        </is>
      </c>
      <c r="I253" t="inlineStr">
        <is>
          <t>No</t>
        </is>
      </c>
      <c r="J253" t="inlineStr">
        <is>
          <t>0</t>
        </is>
      </c>
      <c r="L253" t="inlineStr">
        <is>
          <t>New York : Paulist Press, c1985.</t>
        </is>
      </c>
      <c r="M253" t="inlineStr">
        <is>
          <t>1985</t>
        </is>
      </c>
      <c r="O253" t="inlineStr">
        <is>
          <t>eng</t>
        </is>
      </c>
      <c r="P253" t="inlineStr">
        <is>
          <t>nyu</t>
        </is>
      </c>
      <c r="Q253" t="inlineStr">
        <is>
          <t>Woodstock studies ; 8</t>
        </is>
      </c>
      <c r="R253" t="inlineStr">
        <is>
          <t xml:space="preserve">BX </t>
        </is>
      </c>
      <c r="S253" t="n">
        <v>4</v>
      </c>
      <c r="T253" t="n">
        <v>4</v>
      </c>
      <c r="U253" t="inlineStr">
        <is>
          <t>1999-11-07</t>
        </is>
      </c>
      <c r="V253" t="inlineStr">
        <is>
          <t>1999-11-07</t>
        </is>
      </c>
      <c r="W253" t="inlineStr">
        <is>
          <t>1991-02-13</t>
        </is>
      </c>
      <c r="X253" t="inlineStr">
        <is>
          <t>1991-02-13</t>
        </is>
      </c>
      <c r="Y253" t="n">
        <v>328</v>
      </c>
      <c r="Z253" t="n">
        <v>295</v>
      </c>
      <c r="AA253" t="n">
        <v>298</v>
      </c>
      <c r="AB253" t="n">
        <v>2</v>
      </c>
      <c r="AC253" t="n">
        <v>2</v>
      </c>
      <c r="AD253" t="n">
        <v>30</v>
      </c>
      <c r="AE253" t="n">
        <v>30</v>
      </c>
      <c r="AF253" t="n">
        <v>9</v>
      </c>
      <c r="AG253" t="n">
        <v>9</v>
      </c>
      <c r="AH253" t="n">
        <v>7</v>
      </c>
      <c r="AI253" t="n">
        <v>7</v>
      </c>
      <c r="AJ253" t="n">
        <v>21</v>
      </c>
      <c r="AK253" t="n">
        <v>21</v>
      </c>
      <c r="AL253" t="n">
        <v>1</v>
      </c>
      <c r="AM253" t="n">
        <v>1</v>
      </c>
      <c r="AN253" t="n">
        <v>2</v>
      </c>
      <c r="AO253" t="n">
        <v>2</v>
      </c>
      <c r="AP253" t="inlineStr">
        <is>
          <t>No</t>
        </is>
      </c>
      <c r="AQ253" t="inlineStr">
        <is>
          <t>Yes</t>
        </is>
      </c>
      <c r="AR253">
        <f>HYPERLINK("http://catalog.hathitrust.org/Record/000472172","HathiTrust Record")</f>
        <v/>
      </c>
      <c r="AS253">
        <f>HYPERLINK("https://creighton-primo.hosted.exlibrisgroup.com/primo-explore/search?tab=default_tab&amp;search_scope=EVERYTHING&amp;vid=01CRU&amp;lang=en_US&amp;offset=0&amp;query=any,contains,991000690459702656","Catalog Record")</f>
        <v/>
      </c>
      <c r="AT253">
        <f>HYPERLINK("http://www.worldcat.org/oclc/12460382","WorldCat Record")</f>
        <v/>
      </c>
      <c r="AU253" t="inlineStr">
        <is>
          <t>4884968:eng</t>
        </is>
      </c>
      <c r="AV253" t="inlineStr">
        <is>
          <t>12460382</t>
        </is>
      </c>
      <c r="AW253" t="inlineStr">
        <is>
          <t>991000690459702656</t>
        </is>
      </c>
      <c r="AX253" t="inlineStr">
        <is>
          <t>991000690459702656</t>
        </is>
      </c>
      <c r="AY253" t="inlineStr">
        <is>
          <t>2261046450002656</t>
        </is>
      </c>
      <c r="AZ253" t="inlineStr">
        <is>
          <t>BOOK</t>
        </is>
      </c>
      <c r="BB253" t="inlineStr">
        <is>
          <t>9780809126989</t>
        </is>
      </c>
      <c r="BC253" t="inlineStr">
        <is>
          <t>32285000506807</t>
        </is>
      </c>
      <c r="BD253" t="inlineStr">
        <is>
          <t>893614411</t>
        </is>
      </c>
    </row>
    <row r="254">
      <c r="A254" t="inlineStr">
        <is>
          <t>No</t>
        </is>
      </c>
      <c r="B254" t="inlineStr">
        <is>
          <t>BX1407.P63 F66 1988</t>
        </is>
      </c>
      <c r="C254" t="inlineStr">
        <is>
          <t>0                      BX 1407000P  63                 F  66          1988</t>
        </is>
      </c>
      <c r="D254" t="inlineStr">
        <is>
          <t>The Catholic Church and human rights : its role in the formulation of U.S. policy, 1945-1980 / Jo Renee Formicola.</t>
        </is>
      </c>
      <c r="F254" t="inlineStr">
        <is>
          <t>No</t>
        </is>
      </c>
      <c r="G254" t="inlineStr">
        <is>
          <t>1</t>
        </is>
      </c>
      <c r="H254" t="inlineStr">
        <is>
          <t>No</t>
        </is>
      </c>
      <c r="I254" t="inlineStr">
        <is>
          <t>No</t>
        </is>
      </c>
      <c r="J254" t="inlineStr">
        <is>
          <t>0</t>
        </is>
      </c>
      <c r="K254" t="inlineStr">
        <is>
          <t>Formicola, Jo Renee, 1941-</t>
        </is>
      </c>
      <c r="L254" t="inlineStr">
        <is>
          <t>New York : Garland Pub., 1988.</t>
        </is>
      </c>
      <c r="M254" t="inlineStr">
        <is>
          <t>1988</t>
        </is>
      </c>
      <c r="O254" t="inlineStr">
        <is>
          <t>eng</t>
        </is>
      </c>
      <c r="P254" t="inlineStr">
        <is>
          <t>nyu</t>
        </is>
      </c>
      <c r="Q254" t="inlineStr">
        <is>
          <t>The Heritage of American Catholicism</t>
        </is>
      </c>
      <c r="R254" t="inlineStr">
        <is>
          <t xml:space="preserve">BX </t>
        </is>
      </c>
      <c r="S254" t="n">
        <v>3</v>
      </c>
      <c r="T254" t="n">
        <v>3</v>
      </c>
      <c r="U254" t="inlineStr">
        <is>
          <t>2002-11-08</t>
        </is>
      </c>
      <c r="V254" t="inlineStr">
        <is>
          <t>2002-11-08</t>
        </is>
      </c>
      <c r="W254" t="inlineStr">
        <is>
          <t>1991-02-13</t>
        </is>
      </c>
      <c r="X254" t="inlineStr">
        <is>
          <t>1991-02-13</t>
        </is>
      </c>
      <c r="Y254" t="n">
        <v>124</v>
      </c>
      <c r="Z254" t="n">
        <v>107</v>
      </c>
      <c r="AA254" t="n">
        <v>112</v>
      </c>
      <c r="AB254" t="n">
        <v>1</v>
      </c>
      <c r="AC254" t="n">
        <v>1</v>
      </c>
      <c r="AD254" t="n">
        <v>16</v>
      </c>
      <c r="AE254" t="n">
        <v>16</v>
      </c>
      <c r="AF254" t="n">
        <v>6</v>
      </c>
      <c r="AG254" t="n">
        <v>6</v>
      </c>
      <c r="AH254" t="n">
        <v>4</v>
      </c>
      <c r="AI254" t="n">
        <v>4</v>
      </c>
      <c r="AJ254" t="n">
        <v>10</v>
      </c>
      <c r="AK254" t="n">
        <v>10</v>
      </c>
      <c r="AL254" t="n">
        <v>0</v>
      </c>
      <c r="AM254" t="n">
        <v>0</v>
      </c>
      <c r="AN254" t="n">
        <v>0</v>
      </c>
      <c r="AO254" t="n">
        <v>0</v>
      </c>
      <c r="AP254" t="inlineStr">
        <is>
          <t>No</t>
        </is>
      </c>
      <c r="AQ254" t="inlineStr">
        <is>
          <t>No</t>
        </is>
      </c>
      <c r="AS254">
        <f>HYPERLINK("https://creighton-primo.hosted.exlibrisgroup.com/primo-explore/search?tab=default_tab&amp;search_scope=EVERYTHING&amp;vid=01CRU&amp;lang=en_US&amp;offset=0&amp;query=any,contains,991001359359702656","Catalog Record")</f>
        <v/>
      </c>
      <c r="AT254">
        <f>HYPERLINK("http://www.worldcat.org/oclc/18519860","WorldCat Record")</f>
        <v/>
      </c>
      <c r="AU254" t="inlineStr">
        <is>
          <t>836726513:eng</t>
        </is>
      </c>
      <c r="AV254" t="inlineStr">
        <is>
          <t>18519860</t>
        </is>
      </c>
      <c r="AW254" t="inlineStr">
        <is>
          <t>991001359359702656</t>
        </is>
      </c>
      <c r="AX254" t="inlineStr">
        <is>
          <t>991001359359702656</t>
        </is>
      </c>
      <c r="AY254" t="inlineStr">
        <is>
          <t>2255813220002656</t>
        </is>
      </c>
      <c r="AZ254" t="inlineStr">
        <is>
          <t>BOOK</t>
        </is>
      </c>
      <c r="BB254" t="inlineStr">
        <is>
          <t>9780824040901</t>
        </is>
      </c>
      <c r="BC254" t="inlineStr">
        <is>
          <t>32285000506815</t>
        </is>
      </c>
      <c r="BD254" t="inlineStr">
        <is>
          <t>893715385</t>
        </is>
      </c>
    </row>
    <row r="255">
      <c r="A255" t="inlineStr">
        <is>
          <t>No</t>
        </is>
      </c>
      <c r="B255" t="inlineStr">
        <is>
          <t>BX1407.P63 G45 1994</t>
        </is>
      </c>
      <c r="C255" t="inlineStr">
        <is>
          <t>0                      BX 1407000P  63                 G  45          1994</t>
        </is>
      </c>
      <c r="D255" t="inlineStr">
        <is>
          <t>Politics and religious authority : American Catholics since the Second Vatican Council / Richard J. Gelm.</t>
        </is>
      </c>
      <c r="F255" t="inlineStr">
        <is>
          <t>No</t>
        </is>
      </c>
      <c r="G255" t="inlineStr">
        <is>
          <t>1</t>
        </is>
      </c>
      <c r="H255" t="inlineStr">
        <is>
          <t>No</t>
        </is>
      </c>
      <c r="I255" t="inlineStr">
        <is>
          <t>No</t>
        </is>
      </c>
      <c r="J255" t="inlineStr">
        <is>
          <t>0</t>
        </is>
      </c>
      <c r="K255" t="inlineStr">
        <is>
          <t>Gelm, Richard J.</t>
        </is>
      </c>
      <c r="L255" t="inlineStr">
        <is>
          <t>Westport, Conn. : Greenwood Press, 1994.</t>
        </is>
      </c>
      <c r="M255" t="inlineStr">
        <is>
          <t>1994</t>
        </is>
      </c>
      <c r="O255" t="inlineStr">
        <is>
          <t>eng</t>
        </is>
      </c>
      <c r="P255" t="inlineStr">
        <is>
          <t>ctu</t>
        </is>
      </c>
      <c r="Q255" t="inlineStr">
        <is>
          <t>Contributions to the study of religion, 0196-7053 ; no. 36</t>
        </is>
      </c>
      <c r="R255" t="inlineStr">
        <is>
          <t xml:space="preserve">BX </t>
        </is>
      </c>
      <c r="S255" t="n">
        <v>9</v>
      </c>
      <c r="T255" t="n">
        <v>9</v>
      </c>
      <c r="U255" t="inlineStr">
        <is>
          <t>2005-11-06</t>
        </is>
      </c>
      <c r="V255" t="inlineStr">
        <is>
          <t>2005-11-06</t>
        </is>
      </c>
      <c r="W255" t="inlineStr">
        <is>
          <t>1994-06-02</t>
        </is>
      </c>
      <c r="X255" t="inlineStr">
        <is>
          <t>1994-06-02</t>
        </is>
      </c>
      <c r="Y255" t="n">
        <v>324</v>
      </c>
      <c r="Z255" t="n">
        <v>283</v>
      </c>
      <c r="AA255" t="n">
        <v>285</v>
      </c>
      <c r="AB255" t="n">
        <v>2</v>
      </c>
      <c r="AC255" t="n">
        <v>2</v>
      </c>
      <c r="AD255" t="n">
        <v>28</v>
      </c>
      <c r="AE255" t="n">
        <v>28</v>
      </c>
      <c r="AF255" t="n">
        <v>10</v>
      </c>
      <c r="AG255" t="n">
        <v>10</v>
      </c>
      <c r="AH255" t="n">
        <v>8</v>
      </c>
      <c r="AI255" t="n">
        <v>8</v>
      </c>
      <c r="AJ255" t="n">
        <v>19</v>
      </c>
      <c r="AK255" t="n">
        <v>19</v>
      </c>
      <c r="AL255" t="n">
        <v>1</v>
      </c>
      <c r="AM255" t="n">
        <v>1</v>
      </c>
      <c r="AN255" t="n">
        <v>0</v>
      </c>
      <c r="AO255" t="n">
        <v>0</v>
      </c>
      <c r="AP255" t="inlineStr">
        <is>
          <t>No</t>
        </is>
      </c>
      <c r="AQ255" t="inlineStr">
        <is>
          <t>Yes</t>
        </is>
      </c>
      <c r="AR255">
        <f>HYPERLINK("http://catalog.hathitrust.org/Record/002797762","HathiTrust Record")</f>
        <v/>
      </c>
      <c r="AS255">
        <f>HYPERLINK("https://creighton-primo.hosted.exlibrisgroup.com/primo-explore/search?tab=default_tab&amp;search_scope=EVERYTHING&amp;vid=01CRU&amp;lang=en_US&amp;offset=0&amp;query=any,contains,991002175609702656","Catalog Record")</f>
        <v/>
      </c>
      <c r="AT255">
        <f>HYPERLINK("http://www.worldcat.org/oclc/28016150","WorldCat Record")</f>
        <v/>
      </c>
      <c r="AU255" t="inlineStr">
        <is>
          <t>836742146:eng</t>
        </is>
      </c>
      <c r="AV255" t="inlineStr">
        <is>
          <t>28016150</t>
        </is>
      </c>
      <c r="AW255" t="inlineStr">
        <is>
          <t>991002175609702656</t>
        </is>
      </c>
      <c r="AX255" t="inlineStr">
        <is>
          <t>991002175609702656</t>
        </is>
      </c>
      <c r="AY255" t="inlineStr">
        <is>
          <t>2255567810002656</t>
        </is>
      </c>
      <c r="AZ255" t="inlineStr">
        <is>
          <t>BOOK</t>
        </is>
      </c>
      <c r="BB255" t="inlineStr">
        <is>
          <t>9780313289033</t>
        </is>
      </c>
      <c r="BC255" t="inlineStr">
        <is>
          <t>32285001920684</t>
        </is>
      </c>
      <c r="BD255" t="inlineStr">
        <is>
          <t>893798268</t>
        </is>
      </c>
    </row>
    <row r="256">
      <c r="A256" t="inlineStr">
        <is>
          <t>No</t>
        </is>
      </c>
      <c r="B256" t="inlineStr">
        <is>
          <t>BX1407.R8 W5 1948</t>
        </is>
      </c>
      <c r="C256" t="inlineStr">
        <is>
          <t>0                      BX 1407000R  8                  W  5           1948</t>
        </is>
      </c>
      <c r="D256" t="inlineStr">
        <is>
          <t>Twenty-five years of crusading : a history of the National Catholic Rural Life Conference / by Raymond Philip Witte.</t>
        </is>
      </c>
      <c r="F256" t="inlineStr">
        <is>
          <t>No</t>
        </is>
      </c>
      <c r="G256" t="inlineStr">
        <is>
          <t>1</t>
        </is>
      </c>
      <c r="H256" t="inlineStr">
        <is>
          <t>No</t>
        </is>
      </c>
      <c r="I256" t="inlineStr">
        <is>
          <t>No</t>
        </is>
      </c>
      <c r="J256" t="inlineStr">
        <is>
          <t>0</t>
        </is>
      </c>
      <c r="K256" t="inlineStr">
        <is>
          <t>Witte, Raymond Philip, 1911-1989.</t>
        </is>
      </c>
      <c r="L256" t="inlineStr">
        <is>
          <t>Des Moines : National Catholic Rural Life Conference, 1948.</t>
        </is>
      </c>
      <c r="M256" t="inlineStr">
        <is>
          <t>1948</t>
        </is>
      </c>
      <c r="O256" t="inlineStr">
        <is>
          <t>eng</t>
        </is>
      </c>
      <c r="P256" t="inlineStr">
        <is>
          <t>iau</t>
        </is>
      </c>
      <c r="R256" t="inlineStr">
        <is>
          <t xml:space="preserve">BX </t>
        </is>
      </c>
      <c r="S256" t="n">
        <v>4</v>
      </c>
      <c r="T256" t="n">
        <v>4</v>
      </c>
      <c r="U256" t="inlineStr">
        <is>
          <t>1997-09-22</t>
        </is>
      </c>
      <c r="V256" t="inlineStr">
        <is>
          <t>1997-09-22</t>
        </is>
      </c>
      <c r="W256" t="inlineStr">
        <is>
          <t>1991-02-13</t>
        </is>
      </c>
      <c r="X256" t="inlineStr">
        <is>
          <t>1991-02-13</t>
        </is>
      </c>
      <c r="Y256" t="n">
        <v>114</v>
      </c>
      <c r="Z256" t="n">
        <v>109</v>
      </c>
      <c r="AA256" t="n">
        <v>116</v>
      </c>
      <c r="AB256" t="n">
        <v>1</v>
      </c>
      <c r="AC256" t="n">
        <v>1</v>
      </c>
      <c r="AD256" t="n">
        <v>22</v>
      </c>
      <c r="AE256" t="n">
        <v>22</v>
      </c>
      <c r="AF256" t="n">
        <v>6</v>
      </c>
      <c r="AG256" t="n">
        <v>6</v>
      </c>
      <c r="AH256" t="n">
        <v>5</v>
      </c>
      <c r="AI256" t="n">
        <v>5</v>
      </c>
      <c r="AJ256" t="n">
        <v>18</v>
      </c>
      <c r="AK256" t="n">
        <v>18</v>
      </c>
      <c r="AL256" t="n">
        <v>0</v>
      </c>
      <c r="AM256" t="n">
        <v>0</v>
      </c>
      <c r="AN256" t="n">
        <v>0</v>
      </c>
      <c r="AO256" t="n">
        <v>0</v>
      </c>
      <c r="AP256" t="inlineStr">
        <is>
          <t>Yes</t>
        </is>
      </c>
      <c r="AQ256" t="inlineStr">
        <is>
          <t>No</t>
        </is>
      </c>
      <c r="AR256">
        <f>HYPERLINK("http://catalog.hathitrust.org/Record/005921959","HathiTrust Record")</f>
        <v/>
      </c>
      <c r="AS256">
        <f>HYPERLINK("https://creighton-primo.hosted.exlibrisgroup.com/primo-explore/search?tab=default_tab&amp;search_scope=EVERYTHING&amp;vid=01CRU&amp;lang=en_US&amp;offset=0&amp;query=any,contains,991004587409702656","Catalog Record")</f>
        <v/>
      </c>
      <c r="AT256">
        <f>HYPERLINK("http://www.worldcat.org/oclc/4097157","WorldCat Record")</f>
        <v/>
      </c>
      <c r="AU256" t="inlineStr">
        <is>
          <t>14380743:eng</t>
        </is>
      </c>
      <c r="AV256" t="inlineStr">
        <is>
          <t>4097157</t>
        </is>
      </c>
      <c r="AW256" t="inlineStr">
        <is>
          <t>991004587409702656</t>
        </is>
      </c>
      <c r="AX256" t="inlineStr">
        <is>
          <t>991004587409702656</t>
        </is>
      </c>
      <c r="AY256" t="inlineStr">
        <is>
          <t>2256463340002656</t>
        </is>
      </c>
      <c r="AZ256" t="inlineStr">
        <is>
          <t>BOOK</t>
        </is>
      </c>
      <c r="BC256" t="inlineStr">
        <is>
          <t>32285000506831</t>
        </is>
      </c>
      <c r="BD256" t="inlineStr">
        <is>
          <t>893612523</t>
        </is>
      </c>
    </row>
    <row r="257">
      <c r="A257" t="inlineStr">
        <is>
          <t>No</t>
        </is>
      </c>
      <c r="B257" t="inlineStr">
        <is>
          <t>BX1407.S66 C47 1989</t>
        </is>
      </c>
      <c r="C257" t="inlineStr">
        <is>
          <t>0                      BX 1407000S  66                 C  47          1989</t>
        </is>
      </c>
      <c r="D257" t="inlineStr">
        <is>
          <t>Living stones : the history and structure of Catholic spiritual life in the United States / Joseph P. Chinnici.</t>
        </is>
      </c>
      <c r="F257" t="inlineStr">
        <is>
          <t>No</t>
        </is>
      </c>
      <c r="G257" t="inlineStr">
        <is>
          <t>1</t>
        </is>
      </c>
      <c r="H257" t="inlineStr">
        <is>
          <t>No</t>
        </is>
      </c>
      <c r="I257" t="inlineStr">
        <is>
          <t>No</t>
        </is>
      </c>
      <c r="J257" t="inlineStr">
        <is>
          <t>0</t>
        </is>
      </c>
      <c r="K257" t="inlineStr">
        <is>
          <t>Chinnici, Joseph P.</t>
        </is>
      </c>
      <c r="L257" t="inlineStr">
        <is>
          <t>New York : Macmillan ; London : Collier Macmillan, c1989.</t>
        </is>
      </c>
      <c r="M257" t="inlineStr">
        <is>
          <t>1989</t>
        </is>
      </c>
      <c r="O257" t="inlineStr">
        <is>
          <t>eng</t>
        </is>
      </c>
      <c r="P257" t="inlineStr">
        <is>
          <t>nyu</t>
        </is>
      </c>
      <c r="Q257" t="inlineStr">
        <is>
          <t>The Bicentennial history of the Catholic Church in America</t>
        </is>
      </c>
      <c r="R257" t="inlineStr">
        <is>
          <t xml:space="preserve">BX </t>
        </is>
      </c>
      <c r="S257" t="n">
        <v>7</v>
      </c>
      <c r="T257" t="n">
        <v>7</v>
      </c>
      <c r="U257" t="inlineStr">
        <is>
          <t>2002-08-30</t>
        </is>
      </c>
      <c r="V257" t="inlineStr">
        <is>
          <t>2002-08-30</t>
        </is>
      </c>
      <c r="W257" t="inlineStr">
        <is>
          <t>1995-02-22</t>
        </is>
      </c>
      <c r="X257" t="inlineStr">
        <is>
          <t>1995-02-22</t>
        </is>
      </c>
      <c r="Y257" t="n">
        <v>470</v>
      </c>
      <c r="Z257" t="n">
        <v>439</v>
      </c>
      <c r="AA257" t="n">
        <v>483</v>
      </c>
      <c r="AB257" t="n">
        <v>5</v>
      </c>
      <c r="AC257" t="n">
        <v>5</v>
      </c>
      <c r="AD257" t="n">
        <v>38</v>
      </c>
      <c r="AE257" t="n">
        <v>40</v>
      </c>
      <c r="AF257" t="n">
        <v>13</v>
      </c>
      <c r="AG257" t="n">
        <v>15</v>
      </c>
      <c r="AH257" t="n">
        <v>9</v>
      </c>
      <c r="AI257" t="n">
        <v>9</v>
      </c>
      <c r="AJ257" t="n">
        <v>23</v>
      </c>
      <c r="AK257" t="n">
        <v>25</v>
      </c>
      <c r="AL257" t="n">
        <v>3</v>
      </c>
      <c r="AM257" t="n">
        <v>3</v>
      </c>
      <c r="AN257" t="n">
        <v>0</v>
      </c>
      <c r="AO257" t="n">
        <v>0</v>
      </c>
      <c r="AP257" t="inlineStr">
        <is>
          <t>No</t>
        </is>
      </c>
      <c r="AQ257" t="inlineStr">
        <is>
          <t>Yes</t>
        </is>
      </c>
      <c r="AR257">
        <f>HYPERLINK("http://catalog.hathitrust.org/Record/006921666","HathiTrust Record")</f>
        <v/>
      </c>
      <c r="AS257">
        <f>HYPERLINK("https://creighton-primo.hosted.exlibrisgroup.com/primo-explore/search?tab=default_tab&amp;search_scope=EVERYTHING&amp;vid=01CRU&amp;lang=en_US&amp;offset=0&amp;query=any,contains,991005409399702656","Catalog Record")</f>
        <v/>
      </c>
      <c r="AT257">
        <f>HYPERLINK("http://www.worldcat.org/oclc/18070773","WorldCat Record")</f>
        <v/>
      </c>
      <c r="AU257" t="inlineStr">
        <is>
          <t>16657459:eng</t>
        </is>
      </c>
      <c r="AV257" t="inlineStr">
        <is>
          <t>18070773</t>
        </is>
      </c>
      <c r="AW257" t="inlineStr">
        <is>
          <t>991005409399702656</t>
        </is>
      </c>
      <c r="AX257" t="inlineStr">
        <is>
          <t>991005409399702656</t>
        </is>
      </c>
      <c r="AY257" t="inlineStr">
        <is>
          <t>2270373500002656</t>
        </is>
      </c>
      <c r="AZ257" t="inlineStr">
        <is>
          <t>BOOK</t>
        </is>
      </c>
      <c r="BB257" t="inlineStr">
        <is>
          <t>9780029054758</t>
        </is>
      </c>
      <c r="BC257" t="inlineStr">
        <is>
          <t>32285001779338</t>
        </is>
      </c>
      <c r="BD257" t="inlineStr">
        <is>
          <t>893811085</t>
        </is>
      </c>
    </row>
    <row r="258">
      <c r="A258" t="inlineStr">
        <is>
          <t>No</t>
        </is>
      </c>
      <c r="B258" t="inlineStr">
        <is>
          <t>BX1407.S66 P73 2000</t>
        </is>
      </c>
      <c r="C258" t="inlineStr">
        <is>
          <t>0                      BX 1407000S  66                 P  73          2000</t>
        </is>
      </c>
      <c r="D258" t="inlineStr">
        <is>
          <t>Prayer and practice in the American Catholic community / Joseph P. Chinnici, Angelyn Dries, editors.</t>
        </is>
      </c>
      <c r="F258" t="inlineStr">
        <is>
          <t>No</t>
        </is>
      </c>
      <c r="G258" t="inlineStr">
        <is>
          <t>1</t>
        </is>
      </c>
      <c r="H258" t="inlineStr">
        <is>
          <t>No</t>
        </is>
      </c>
      <c r="I258" t="inlineStr">
        <is>
          <t>No</t>
        </is>
      </c>
      <c r="J258" t="inlineStr">
        <is>
          <t>0</t>
        </is>
      </c>
      <c r="L258" t="inlineStr">
        <is>
          <t>Maryknoll, N.Y. : Orbis Books, c2000.</t>
        </is>
      </c>
      <c r="M258" t="inlineStr">
        <is>
          <t>2000</t>
        </is>
      </c>
      <c r="O258" t="inlineStr">
        <is>
          <t>eng</t>
        </is>
      </c>
      <c r="P258" t="inlineStr">
        <is>
          <t>nyu</t>
        </is>
      </c>
      <c r="Q258" t="inlineStr">
        <is>
          <t>American Catholic identities</t>
        </is>
      </c>
      <c r="R258" t="inlineStr">
        <is>
          <t xml:space="preserve">BX </t>
        </is>
      </c>
      <c r="S258" t="n">
        <v>1</v>
      </c>
      <c r="T258" t="n">
        <v>1</v>
      </c>
      <c r="U258" t="inlineStr">
        <is>
          <t>2009-12-01</t>
        </is>
      </c>
      <c r="V258" t="inlineStr">
        <is>
          <t>2009-12-01</t>
        </is>
      </c>
      <c r="W258" t="inlineStr">
        <is>
          <t>2009-12-01</t>
        </is>
      </c>
      <c r="X258" t="inlineStr">
        <is>
          <t>2009-12-01</t>
        </is>
      </c>
      <c r="Y258" t="n">
        <v>189</v>
      </c>
      <c r="Z258" t="n">
        <v>176</v>
      </c>
      <c r="AA258" t="n">
        <v>178</v>
      </c>
      <c r="AB258" t="n">
        <v>1</v>
      </c>
      <c r="AC258" t="n">
        <v>1</v>
      </c>
      <c r="AD258" t="n">
        <v>26</v>
      </c>
      <c r="AE258" t="n">
        <v>26</v>
      </c>
      <c r="AF258" t="n">
        <v>12</v>
      </c>
      <c r="AG258" t="n">
        <v>12</v>
      </c>
      <c r="AH258" t="n">
        <v>8</v>
      </c>
      <c r="AI258" t="n">
        <v>8</v>
      </c>
      <c r="AJ258" t="n">
        <v>15</v>
      </c>
      <c r="AK258" t="n">
        <v>15</v>
      </c>
      <c r="AL258" t="n">
        <v>0</v>
      </c>
      <c r="AM258" t="n">
        <v>0</v>
      </c>
      <c r="AN258" t="n">
        <v>0</v>
      </c>
      <c r="AO258" t="n">
        <v>0</v>
      </c>
      <c r="AP258" t="inlineStr">
        <is>
          <t>No</t>
        </is>
      </c>
      <c r="AQ258" t="inlineStr">
        <is>
          <t>Yes</t>
        </is>
      </c>
      <c r="AR258">
        <f>HYPERLINK("http://catalog.hathitrust.org/Record/004146656","HathiTrust Record")</f>
        <v/>
      </c>
      <c r="AS258">
        <f>HYPERLINK("https://creighton-primo.hosted.exlibrisgroup.com/primo-explore/search?tab=default_tab&amp;search_scope=EVERYTHING&amp;vid=01CRU&amp;lang=en_US&amp;offset=0&amp;query=any,contains,991005341179702656","Catalog Record")</f>
        <v/>
      </c>
      <c r="AT258">
        <f>HYPERLINK("http://www.worldcat.org/oclc/44592604","WorldCat Record")</f>
        <v/>
      </c>
      <c r="AU258" t="inlineStr">
        <is>
          <t>475873205:eng</t>
        </is>
      </c>
      <c r="AV258" t="inlineStr">
        <is>
          <t>44592604</t>
        </is>
      </c>
      <c r="AW258" t="inlineStr">
        <is>
          <t>991005341179702656</t>
        </is>
      </c>
      <c r="AX258" t="inlineStr">
        <is>
          <t>991005341179702656</t>
        </is>
      </c>
      <c r="AY258" t="inlineStr">
        <is>
          <t>2268887290002656</t>
        </is>
      </c>
      <c r="AZ258" t="inlineStr">
        <is>
          <t>BOOK</t>
        </is>
      </c>
      <c r="BB258" t="inlineStr">
        <is>
          <t>9781570753428</t>
        </is>
      </c>
      <c r="BC258" t="inlineStr">
        <is>
          <t>32285005552780</t>
        </is>
      </c>
      <c r="BD258" t="inlineStr">
        <is>
          <t>893870912</t>
        </is>
      </c>
    </row>
    <row r="259">
      <c r="A259" t="inlineStr">
        <is>
          <t>No</t>
        </is>
      </c>
      <c r="B259" t="inlineStr">
        <is>
          <t>BX1407.T4 L44 1995</t>
        </is>
      </c>
      <c r="C259" t="inlineStr">
        <is>
          <t>0                      BX 1407000T  4                  L  44          1995</t>
        </is>
      </c>
      <c r="D259" t="inlineStr">
        <is>
          <t>The future church of 140 BCE : a hidden revolution / Bernard J. Lee ; with "Two kinds of power" by Bernard M. Loomer.</t>
        </is>
      </c>
      <c r="F259" t="inlineStr">
        <is>
          <t>No</t>
        </is>
      </c>
      <c r="G259" t="inlineStr">
        <is>
          <t>1</t>
        </is>
      </c>
      <c r="H259" t="inlineStr">
        <is>
          <t>No</t>
        </is>
      </c>
      <c r="I259" t="inlineStr">
        <is>
          <t>No</t>
        </is>
      </c>
      <c r="J259" t="inlineStr">
        <is>
          <t>0</t>
        </is>
      </c>
      <c r="K259" t="inlineStr">
        <is>
          <t>Lee, Bernard J., 1932-</t>
        </is>
      </c>
      <c r="L259" t="inlineStr">
        <is>
          <t>New York : Crossroad, 1995.</t>
        </is>
      </c>
      <c r="M259" t="inlineStr">
        <is>
          <t>1995</t>
        </is>
      </c>
      <c r="O259" t="inlineStr">
        <is>
          <t>eng</t>
        </is>
      </c>
      <c r="P259" t="inlineStr">
        <is>
          <t>nyu</t>
        </is>
      </c>
      <c r="R259" t="inlineStr">
        <is>
          <t xml:space="preserve">BX </t>
        </is>
      </c>
      <c r="S259" t="n">
        <v>6</v>
      </c>
      <c r="T259" t="n">
        <v>6</v>
      </c>
      <c r="U259" t="inlineStr">
        <is>
          <t>2002-02-23</t>
        </is>
      </c>
      <c r="V259" t="inlineStr">
        <is>
          <t>2002-02-23</t>
        </is>
      </c>
      <c r="W259" t="inlineStr">
        <is>
          <t>1997-02-25</t>
        </is>
      </c>
      <c r="X259" t="inlineStr">
        <is>
          <t>1997-02-25</t>
        </is>
      </c>
      <c r="Y259" t="n">
        <v>191</v>
      </c>
      <c r="Z259" t="n">
        <v>165</v>
      </c>
      <c r="AA259" t="n">
        <v>172</v>
      </c>
      <c r="AB259" t="n">
        <v>2</v>
      </c>
      <c r="AC259" t="n">
        <v>2</v>
      </c>
      <c r="AD259" t="n">
        <v>17</v>
      </c>
      <c r="AE259" t="n">
        <v>17</v>
      </c>
      <c r="AF259" t="n">
        <v>4</v>
      </c>
      <c r="AG259" t="n">
        <v>4</v>
      </c>
      <c r="AH259" t="n">
        <v>6</v>
      </c>
      <c r="AI259" t="n">
        <v>6</v>
      </c>
      <c r="AJ259" t="n">
        <v>11</v>
      </c>
      <c r="AK259" t="n">
        <v>11</v>
      </c>
      <c r="AL259" t="n">
        <v>1</v>
      </c>
      <c r="AM259" t="n">
        <v>1</v>
      </c>
      <c r="AN259" t="n">
        <v>0</v>
      </c>
      <c r="AO259" t="n">
        <v>0</v>
      </c>
      <c r="AP259" t="inlineStr">
        <is>
          <t>No</t>
        </is>
      </c>
      <c r="AQ259" t="inlineStr">
        <is>
          <t>Yes</t>
        </is>
      </c>
      <c r="AR259">
        <f>HYPERLINK("http://catalog.hathitrust.org/Record/003030578","HathiTrust Record")</f>
        <v/>
      </c>
      <c r="AS259">
        <f>HYPERLINK("https://creighton-primo.hosted.exlibrisgroup.com/primo-explore/search?tab=default_tab&amp;search_scope=EVERYTHING&amp;vid=01CRU&amp;lang=en_US&amp;offset=0&amp;query=any,contains,991002512609702656","Catalog Record")</f>
        <v/>
      </c>
      <c r="AT259">
        <f>HYPERLINK("http://www.worldcat.org/oclc/32665967","WorldCat Record")</f>
        <v/>
      </c>
      <c r="AU259" t="inlineStr">
        <is>
          <t>20478753:eng</t>
        </is>
      </c>
      <c r="AV259" t="inlineStr">
        <is>
          <t>32665967</t>
        </is>
      </c>
      <c r="AW259" t="inlineStr">
        <is>
          <t>991002512609702656</t>
        </is>
      </c>
      <c r="AX259" t="inlineStr">
        <is>
          <t>991002512609702656</t>
        </is>
      </c>
      <c r="AY259" t="inlineStr">
        <is>
          <t>2264396270002656</t>
        </is>
      </c>
      <c r="AZ259" t="inlineStr">
        <is>
          <t>BOOK</t>
        </is>
      </c>
      <c r="BB259" t="inlineStr">
        <is>
          <t>9780824515294</t>
        </is>
      </c>
      <c r="BC259" t="inlineStr">
        <is>
          <t>32285002432978</t>
        </is>
      </c>
      <c r="BD259" t="inlineStr">
        <is>
          <t>893329186</t>
        </is>
      </c>
    </row>
    <row r="260">
      <c r="A260" t="inlineStr">
        <is>
          <t>No</t>
        </is>
      </c>
      <c r="B260" t="inlineStr">
        <is>
          <t>BX1407.W65 G73 1984</t>
        </is>
      </c>
      <c r="C260" t="inlineStr">
        <is>
          <t>0                      BX 1407000W  65                 G  73          1984</t>
        </is>
      </c>
      <c r="D260" t="inlineStr">
        <is>
          <t>Angry Catholic women / a sociological investigation, Andrew M. Greeley ; a theological reflection, Mary G. Durkin.</t>
        </is>
      </c>
      <c r="F260" t="inlineStr">
        <is>
          <t>No</t>
        </is>
      </c>
      <c r="G260" t="inlineStr">
        <is>
          <t>1</t>
        </is>
      </c>
      <c r="H260" t="inlineStr">
        <is>
          <t>No</t>
        </is>
      </c>
      <c r="I260" t="inlineStr">
        <is>
          <t>No</t>
        </is>
      </c>
      <c r="J260" t="inlineStr">
        <is>
          <t>0</t>
        </is>
      </c>
      <c r="K260" t="inlineStr">
        <is>
          <t>Greeley, Andrew M., 1928-2013.</t>
        </is>
      </c>
      <c r="L260" t="inlineStr">
        <is>
          <t>Chicago, Ill. : Thomas More Press, c1984.</t>
        </is>
      </c>
      <c r="M260" t="inlineStr">
        <is>
          <t>1984</t>
        </is>
      </c>
      <c r="O260" t="inlineStr">
        <is>
          <t>eng</t>
        </is>
      </c>
      <c r="P260" t="inlineStr">
        <is>
          <t>ilu</t>
        </is>
      </c>
      <c r="R260" t="inlineStr">
        <is>
          <t xml:space="preserve">BX </t>
        </is>
      </c>
      <c r="S260" t="n">
        <v>4</v>
      </c>
      <c r="T260" t="n">
        <v>4</v>
      </c>
      <c r="U260" t="inlineStr">
        <is>
          <t>2004-08-25</t>
        </is>
      </c>
      <c r="V260" t="inlineStr">
        <is>
          <t>2004-08-25</t>
        </is>
      </c>
      <c r="W260" t="inlineStr">
        <is>
          <t>1990-04-20</t>
        </is>
      </c>
      <c r="X260" t="inlineStr">
        <is>
          <t>1990-04-20</t>
        </is>
      </c>
      <c r="Y260" t="n">
        <v>224</v>
      </c>
      <c r="Z260" t="n">
        <v>188</v>
      </c>
      <c r="AA260" t="n">
        <v>193</v>
      </c>
      <c r="AB260" t="n">
        <v>4</v>
      </c>
      <c r="AC260" t="n">
        <v>4</v>
      </c>
      <c r="AD260" t="n">
        <v>17</v>
      </c>
      <c r="AE260" t="n">
        <v>17</v>
      </c>
      <c r="AF260" t="n">
        <v>3</v>
      </c>
      <c r="AG260" t="n">
        <v>3</v>
      </c>
      <c r="AH260" t="n">
        <v>5</v>
      </c>
      <c r="AI260" t="n">
        <v>5</v>
      </c>
      <c r="AJ260" t="n">
        <v>13</v>
      </c>
      <c r="AK260" t="n">
        <v>13</v>
      </c>
      <c r="AL260" t="n">
        <v>2</v>
      </c>
      <c r="AM260" t="n">
        <v>2</v>
      </c>
      <c r="AN260" t="n">
        <v>0</v>
      </c>
      <c r="AO260" t="n">
        <v>0</v>
      </c>
      <c r="AP260" t="inlineStr">
        <is>
          <t>No</t>
        </is>
      </c>
      <c r="AQ260" t="inlineStr">
        <is>
          <t>No</t>
        </is>
      </c>
      <c r="AS260">
        <f>HYPERLINK("https://creighton-primo.hosted.exlibrisgroup.com/primo-explore/search?tab=default_tab&amp;search_scope=EVERYTHING&amp;vid=01CRU&amp;lang=en_US&amp;offset=0&amp;query=any,contains,991000445249702656","Catalog Record")</f>
        <v/>
      </c>
      <c r="AT260">
        <f>HYPERLINK("http://www.worldcat.org/oclc/10850244","WorldCat Record")</f>
        <v/>
      </c>
      <c r="AU260" t="inlineStr">
        <is>
          <t>2816518:eng</t>
        </is>
      </c>
      <c r="AV260" t="inlineStr">
        <is>
          <t>10850244</t>
        </is>
      </c>
      <c r="AW260" t="inlineStr">
        <is>
          <t>991000445249702656</t>
        </is>
      </c>
      <c r="AX260" t="inlineStr">
        <is>
          <t>991000445249702656</t>
        </is>
      </c>
      <c r="AY260" t="inlineStr">
        <is>
          <t>2268840290002656</t>
        </is>
      </c>
      <c r="AZ260" t="inlineStr">
        <is>
          <t>BOOK</t>
        </is>
      </c>
      <c r="BB260" t="inlineStr">
        <is>
          <t>9780883471654</t>
        </is>
      </c>
      <c r="BC260" t="inlineStr">
        <is>
          <t>32285000123009</t>
        </is>
      </c>
      <c r="BD260" t="inlineStr">
        <is>
          <t>893607912</t>
        </is>
      </c>
    </row>
    <row r="261">
      <c r="A261" t="inlineStr">
        <is>
          <t>No</t>
        </is>
      </c>
      <c r="B261" t="inlineStr">
        <is>
          <t>BX1407.W65 K43 1990</t>
        </is>
      </c>
      <c r="C261" t="inlineStr">
        <is>
          <t>0                      BX 1407000W  65                 K  43          1990</t>
        </is>
      </c>
      <c r="D261" t="inlineStr">
        <is>
          <t>The history of American Catholic women / James J. Kenneally.</t>
        </is>
      </c>
      <c r="F261" t="inlineStr">
        <is>
          <t>No</t>
        </is>
      </c>
      <c r="G261" t="inlineStr">
        <is>
          <t>1</t>
        </is>
      </c>
      <c r="H261" t="inlineStr">
        <is>
          <t>No</t>
        </is>
      </c>
      <c r="I261" t="inlineStr">
        <is>
          <t>No</t>
        </is>
      </c>
      <c r="J261" t="inlineStr">
        <is>
          <t>0</t>
        </is>
      </c>
      <c r="K261" t="inlineStr">
        <is>
          <t>Kenneally, James J. (James Joseph), 1929-</t>
        </is>
      </c>
      <c r="L261" t="inlineStr">
        <is>
          <t>New York : Crossroad, 1990.</t>
        </is>
      </c>
      <c r="M261" t="inlineStr">
        <is>
          <t>1990</t>
        </is>
      </c>
      <c r="O261" t="inlineStr">
        <is>
          <t>eng</t>
        </is>
      </c>
      <c r="P261" t="inlineStr">
        <is>
          <t>nyu</t>
        </is>
      </c>
      <c r="R261" t="inlineStr">
        <is>
          <t xml:space="preserve">BX </t>
        </is>
      </c>
      <c r="S261" t="n">
        <v>7</v>
      </c>
      <c r="T261" t="n">
        <v>7</v>
      </c>
      <c r="U261" t="inlineStr">
        <is>
          <t>2004-11-19</t>
        </is>
      </c>
      <c r="V261" t="inlineStr">
        <is>
          <t>2004-11-19</t>
        </is>
      </c>
      <c r="W261" t="inlineStr">
        <is>
          <t>1990-11-05</t>
        </is>
      </c>
      <c r="X261" t="inlineStr">
        <is>
          <t>1990-11-05</t>
        </is>
      </c>
      <c r="Y261" t="n">
        <v>726</v>
      </c>
      <c r="Z261" t="n">
        <v>675</v>
      </c>
      <c r="AA261" t="n">
        <v>681</v>
      </c>
      <c r="AB261" t="n">
        <v>6</v>
      </c>
      <c r="AC261" t="n">
        <v>6</v>
      </c>
      <c r="AD261" t="n">
        <v>47</v>
      </c>
      <c r="AE261" t="n">
        <v>47</v>
      </c>
      <c r="AF261" t="n">
        <v>21</v>
      </c>
      <c r="AG261" t="n">
        <v>21</v>
      </c>
      <c r="AH261" t="n">
        <v>9</v>
      </c>
      <c r="AI261" t="n">
        <v>9</v>
      </c>
      <c r="AJ261" t="n">
        <v>25</v>
      </c>
      <c r="AK261" t="n">
        <v>25</v>
      </c>
      <c r="AL261" t="n">
        <v>4</v>
      </c>
      <c r="AM261" t="n">
        <v>4</v>
      </c>
      <c r="AN261" t="n">
        <v>1</v>
      </c>
      <c r="AO261" t="n">
        <v>1</v>
      </c>
      <c r="AP261" t="inlineStr">
        <is>
          <t>No</t>
        </is>
      </c>
      <c r="AQ261" t="inlineStr">
        <is>
          <t>Yes</t>
        </is>
      </c>
      <c r="AR261">
        <f>HYPERLINK("http://catalog.hathitrust.org/Record/002214667","HathiTrust Record")</f>
        <v/>
      </c>
      <c r="AS261">
        <f>HYPERLINK("https://creighton-primo.hosted.exlibrisgroup.com/primo-explore/search?tab=default_tab&amp;search_scope=EVERYTHING&amp;vid=01CRU&amp;lang=en_US&amp;offset=0&amp;query=any,contains,991001634309702656","Catalog Record")</f>
        <v/>
      </c>
      <c r="AT261">
        <f>HYPERLINK("http://www.worldcat.org/oclc/20935036","WorldCat Record")</f>
        <v/>
      </c>
      <c r="AU261" t="inlineStr">
        <is>
          <t>22589072:eng</t>
        </is>
      </c>
      <c r="AV261" t="inlineStr">
        <is>
          <t>20935036</t>
        </is>
      </c>
      <c r="AW261" t="inlineStr">
        <is>
          <t>991001634309702656</t>
        </is>
      </c>
      <c r="AX261" t="inlineStr">
        <is>
          <t>991001634309702656</t>
        </is>
      </c>
      <c r="AY261" t="inlineStr">
        <is>
          <t>2264347770002656</t>
        </is>
      </c>
      <c r="AZ261" t="inlineStr">
        <is>
          <t>BOOK</t>
        </is>
      </c>
      <c r="BB261" t="inlineStr">
        <is>
          <t>9780824510091</t>
        </is>
      </c>
      <c r="BC261" t="inlineStr">
        <is>
          <t>32285000313212</t>
        </is>
      </c>
      <c r="BD261" t="inlineStr">
        <is>
          <t>893885428</t>
        </is>
      </c>
    </row>
    <row r="262">
      <c r="A262" t="inlineStr">
        <is>
          <t>No</t>
        </is>
      </c>
      <c r="B262" t="inlineStr">
        <is>
          <t>BX1407.W65 M44 1995</t>
        </is>
      </c>
      <c r="C262" t="inlineStr">
        <is>
          <t>0                      BX 1407000W  65                 M  44          1995</t>
        </is>
      </c>
      <c r="D262" t="inlineStr">
        <is>
          <t>The recovering Catholic : personal journeys of women who left the church / Joanne H. Meehl.</t>
        </is>
      </c>
      <c r="F262" t="inlineStr">
        <is>
          <t>No</t>
        </is>
      </c>
      <c r="G262" t="inlineStr">
        <is>
          <t>1</t>
        </is>
      </c>
      <c r="H262" t="inlineStr">
        <is>
          <t>No</t>
        </is>
      </c>
      <c r="I262" t="inlineStr">
        <is>
          <t>No</t>
        </is>
      </c>
      <c r="J262" t="inlineStr">
        <is>
          <t>0</t>
        </is>
      </c>
      <c r="K262" t="inlineStr">
        <is>
          <t>Meehl, Joanne H.</t>
        </is>
      </c>
      <c r="L262" t="inlineStr">
        <is>
          <t>Amherst, N.Y. : Prometheus Books, 1995.</t>
        </is>
      </c>
      <c r="M262" t="inlineStr">
        <is>
          <t>1995</t>
        </is>
      </c>
      <c r="O262" t="inlineStr">
        <is>
          <t>eng</t>
        </is>
      </c>
      <c r="P262" t="inlineStr">
        <is>
          <t>nyu</t>
        </is>
      </c>
      <c r="R262" t="inlineStr">
        <is>
          <t xml:space="preserve">BX </t>
        </is>
      </c>
      <c r="S262" t="n">
        <v>6</v>
      </c>
      <c r="T262" t="n">
        <v>6</v>
      </c>
      <c r="U262" t="inlineStr">
        <is>
          <t>2001-03-23</t>
        </is>
      </c>
      <c r="V262" t="inlineStr">
        <is>
          <t>2001-03-23</t>
        </is>
      </c>
      <c r="W262" t="inlineStr">
        <is>
          <t>1996-05-21</t>
        </is>
      </c>
      <c r="X262" t="inlineStr">
        <is>
          <t>1996-05-21</t>
        </is>
      </c>
      <c r="Y262" t="n">
        <v>178</v>
      </c>
      <c r="Z262" t="n">
        <v>163</v>
      </c>
      <c r="AA262" t="n">
        <v>166</v>
      </c>
      <c r="AB262" t="n">
        <v>2</v>
      </c>
      <c r="AC262" t="n">
        <v>2</v>
      </c>
      <c r="AD262" t="n">
        <v>8</v>
      </c>
      <c r="AE262" t="n">
        <v>8</v>
      </c>
      <c r="AF262" t="n">
        <v>1</v>
      </c>
      <c r="AG262" t="n">
        <v>1</v>
      </c>
      <c r="AH262" t="n">
        <v>3</v>
      </c>
      <c r="AI262" t="n">
        <v>3</v>
      </c>
      <c r="AJ262" t="n">
        <v>4</v>
      </c>
      <c r="AK262" t="n">
        <v>4</v>
      </c>
      <c r="AL262" t="n">
        <v>1</v>
      </c>
      <c r="AM262" t="n">
        <v>1</v>
      </c>
      <c r="AN262" t="n">
        <v>0</v>
      </c>
      <c r="AO262" t="n">
        <v>0</v>
      </c>
      <c r="AP262" t="inlineStr">
        <is>
          <t>No</t>
        </is>
      </c>
      <c r="AQ262" t="inlineStr">
        <is>
          <t>No</t>
        </is>
      </c>
      <c r="AS262">
        <f>HYPERLINK("https://creighton-primo.hosted.exlibrisgroup.com/primo-explore/search?tab=default_tab&amp;search_scope=EVERYTHING&amp;vid=01CRU&amp;lang=en_US&amp;offset=0&amp;query=any,contains,991002374459702656","Catalog Record")</f>
        <v/>
      </c>
      <c r="AT262">
        <f>HYPERLINK("http://www.worldcat.org/oclc/30892957","WorldCat Record")</f>
        <v/>
      </c>
      <c r="AU262" t="inlineStr">
        <is>
          <t>865290781:eng</t>
        </is>
      </c>
      <c r="AV262" t="inlineStr">
        <is>
          <t>30892957</t>
        </is>
      </c>
      <c r="AW262" t="inlineStr">
        <is>
          <t>991002374459702656</t>
        </is>
      </c>
      <c r="AX262" t="inlineStr">
        <is>
          <t>991002374459702656</t>
        </is>
      </c>
      <c r="AY262" t="inlineStr">
        <is>
          <t>2270201150002656</t>
        </is>
      </c>
      <c r="AZ262" t="inlineStr">
        <is>
          <t>BOOK</t>
        </is>
      </c>
      <c r="BB262" t="inlineStr">
        <is>
          <t>9780879759278</t>
        </is>
      </c>
      <c r="BC262" t="inlineStr">
        <is>
          <t>32285002175924</t>
        </is>
      </c>
      <c r="BD262" t="inlineStr">
        <is>
          <t>893879840</t>
        </is>
      </c>
    </row>
    <row r="263">
      <c r="A263" t="inlineStr">
        <is>
          <t>No</t>
        </is>
      </c>
      <c r="B263" t="inlineStr">
        <is>
          <t>BX1407.W65 P54 1993</t>
        </is>
      </c>
      <c r="C263" t="inlineStr">
        <is>
          <t>0                      BX 1407000W  65                 P  54          1993</t>
        </is>
      </c>
      <c r="D263" t="inlineStr">
        <is>
          <t>The Catholic woman : difficult choices in a modern world / Jeanne Pieper.</t>
        </is>
      </c>
      <c r="F263" t="inlineStr">
        <is>
          <t>No</t>
        </is>
      </c>
      <c r="G263" t="inlineStr">
        <is>
          <t>1</t>
        </is>
      </c>
      <c r="H263" t="inlineStr">
        <is>
          <t>No</t>
        </is>
      </c>
      <c r="I263" t="inlineStr">
        <is>
          <t>No</t>
        </is>
      </c>
      <c r="J263" t="inlineStr">
        <is>
          <t>0</t>
        </is>
      </c>
      <c r="K263" t="inlineStr">
        <is>
          <t>Pieper, Jeanne.</t>
        </is>
      </c>
      <c r="L263" t="inlineStr">
        <is>
          <t>Los Angeles : Lowell House ; Chicago : Contemporary Books, c1993.</t>
        </is>
      </c>
      <c r="M263" t="inlineStr">
        <is>
          <t>1993</t>
        </is>
      </c>
      <c r="O263" t="inlineStr">
        <is>
          <t>eng</t>
        </is>
      </c>
      <c r="P263" t="inlineStr">
        <is>
          <t>cau</t>
        </is>
      </c>
      <c r="R263" t="inlineStr">
        <is>
          <t xml:space="preserve">BX </t>
        </is>
      </c>
      <c r="S263" t="n">
        <v>8</v>
      </c>
      <c r="T263" t="n">
        <v>8</v>
      </c>
      <c r="U263" t="inlineStr">
        <is>
          <t>2001-03-23</t>
        </is>
      </c>
      <c r="V263" t="inlineStr">
        <is>
          <t>2001-03-23</t>
        </is>
      </c>
      <c r="W263" t="inlineStr">
        <is>
          <t>1994-01-24</t>
        </is>
      </c>
      <c r="X263" t="inlineStr">
        <is>
          <t>1994-01-24</t>
        </is>
      </c>
      <c r="Y263" t="n">
        <v>163</v>
      </c>
      <c r="Z263" t="n">
        <v>153</v>
      </c>
      <c r="AA263" t="n">
        <v>160</v>
      </c>
      <c r="AB263" t="n">
        <v>3</v>
      </c>
      <c r="AC263" t="n">
        <v>3</v>
      </c>
      <c r="AD263" t="n">
        <v>8</v>
      </c>
      <c r="AE263" t="n">
        <v>8</v>
      </c>
      <c r="AF263" t="n">
        <v>4</v>
      </c>
      <c r="AG263" t="n">
        <v>4</v>
      </c>
      <c r="AH263" t="n">
        <v>2</v>
      </c>
      <c r="AI263" t="n">
        <v>2</v>
      </c>
      <c r="AJ263" t="n">
        <v>5</v>
      </c>
      <c r="AK263" t="n">
        <v>5</v>
      </c>
      <c r="AL263" t="n">
        <v>1</v>
      </c>
      <c r="AM263" t="n">
        <v>1</v>
      </c>
      <c r="AN263" t="n">
        <v>0</v>
      </c>
      <c r="AO263" t="n">
        <v>0</v>
      </c>
      <c r="AP263" t="inlineStr">
        <is>
          <t>No</t>
        </is>
      </c>
      <c r="AQ263" t="inlineStr">
        <is>
          <t>No</t>
        </is>
      </c>
      <c r="AS263">
        <f>HYPERLINK("https://creighton-primo.hosted.exlibrisgroup.com/primo-explore/search?tab=default_tab&amp;search_scope=EVERYTHING&amp;vid=01CRU&amp;lang=en_US&amp;offset=0&amp;query=any,contains,991002216579702656","Catalog Record")</f>
        <v/>
      </c>
      <c r="AT263">
        <f>HYPERLINK("http://www.worldcat.org/oclc/28547908","WorldCat Record")</f>
        <v/>
      </c>
      <c r="AU263" t="inlineStr">
        <is>
          <t>31054571:eng</t>
        </is>
      </c>
      <c r="AV263" t="inlineStr">
        <is>
          <t>28547908</t>
        </is>
      </c>
      <c r="AW263" t="inlineStr">
        <is>
          <t>991002216579702656</t>
        </is>
      </c>
      <c r="AX263" t="inlineStr">
        <is>
          <t>991002216579702656</t>
        </is>
      </c>
      <c r="AY263" t="inlineStr">
        <is>
          <t>2257741110002656</t>
        </is>
      </c>
      <c r="AZ263" t="inlineStr">
        <is>
          <t>BOOK</t>
        </is>
      </c>
      <c r="BB263" t="inlineStr">
        <is>
          <t>9781565650817</t>
        </is>
      </c>
      <c r="BC263" t="inlineStr">
        <is>
          <t>32285001833341</t>
        </is>
      </c>
      <c r="BD263" t="inlineStr">
        <is>
          <t>893347246</t>
        </is>
      </c>
    </row>
    <row r="264">
      <c r="A264" t="inlineStr">
        <is>
          <t>No</t>
        </is>
      </c>
      <c r="B264" t="inlineStr">
        <is>
          <t>BX1415.K4 W4 1884</t>
        </is>
      </c>
      <c r="C264" t="inlineStr">
        <is>
          <t>0                      BX 1415000K  4                  W  4           1884</t>
        </is>
      </c>
      <c r="D264" t="inlineStr">
        <is>
          <t>The centenary of Catholicity in Kentucky / by Ben. J. Webb. In addition to the history of the church in Kentucky for the century of its existence just closing, the volume contains the details of Catholic emigration to the state from 1785 to 1814, with life sketches of the more prominent among the colonists, as well as of the early missionary priests of the state and very many of their successors.</t>
        </is>
      </c>
      <c r="F264" t="inlineStr">
        <is>
          <t>No</t>
        </is>
      </c>
      <c r="G264" t="inlineStr">
        <is>
          <t>1</t>
        </is>
      </c>
      <c r="H264" t="inlineStr">
        <is>
          <t>No</t>
        </is>
      </c>
      <c r="I264" t="inlineStr">
        <is>
          <t>No</t>
        </is>
      </c>
      <c r="J264" t="inlineStr">
        <is>
          <t>0</t>
        </is>
      </c>
      <c r="K264" t="inlineStr">
        <is>
          <t>Webb, Benedict Joseph, 1814-1897.</t>
        </is>
      </c>
      <c r="L264" t="inlineStr">
        <is>
          <t>Louisville [Ky.] C. A. Rogers, 1884.</t>
        </is>
      </c>
      <c r="M264" t="inlineStr">
        <is>
          <t>1884</t>
        </is>
      </c>
      <c r="O264" t="inlineStr">
        <is>
          <t>eng</t>
        </is>
      </c>
      <c r="P264" t="inlineStr">
        <is>
          <t>kyu</t>
        </is>
      </c>
      <c r="R264" t="inlineStr">
        <is>
          <t xml:space="preserve">BX </t>
        </is>
      </c>
      <c r="S264" t="n">
        <v>6</v>
      </c>
      <c r="T264" t="n">
        <v>6</v>
      </c>
      <c r="U264" t="inlineStr">
        <is>
          <t>2009-06-21</t>
        </is>
      </c>
      <c r="V264" t="inlineStr">
        <is>
          <t>2009-06-21</t>
        </is>
      </c>
      <c r="W264" t="inlineStr">
        <is>
          <t>1991-02-13</t>
        </is>
      </c>
      <c r="X264" t="inlineStr">
        <is>
          <t>1991-02-13</t>
        </is>
      </c>
      <c r="Y264" t="n">
        <v>135</v>
      </c>
      <c r="Z264" t="n">
        <v>133</v>
      </c>
      <c r="AA264" t="n">
        <v>257</v>
      </c>
      <c r="AB264" t="n">
        <v>2</v>
      </c>
      <c r="AC264" t="n">
        <v>4</v>
      </c>
      <c r="AD264" t="n">
        <v>22</v>
      </c>
      <c r="AE264" t="n">
        <v>26</v>
      </c>
      <c r="AF264" t="n">
        <v>6</v>
      </c>
      <c r="AG264" t="n">
        <v>7</v>
      </c>
      <c r="AH264" t="n">
        <v>7</v>
      </c>
      <c r="AI264" t="n">
        <v>7</v>
      </c>
      <c r="AJ264" t="n">
        <v>17</v>
      </c>
      <c r="AK264" t="n">
        <v>18</v>
      </c>
      <c r="AL264" t="n">
        <v>0</v>
      </c>
      <c r="AM264" t="n">
        <v>2</v>
      </c>
      <c r="AN264" t="n">
        <v>0</v>
      </c>
      <c r="AO264" t="n">
        <v>0</v>
      </c>
      <c r="AP264" t="inlineStr">
        <is>
          <t>Yes</t>
        </is>
      </c>
      <c r="AQ264" t="inlineStr">
        <is>
          <t>No</t>
        </is>
      </c>
      <c r="AR264">
        <f>HYPERLINK("http://catalog.hathitrust.org/Record/008437792","HathiTrust Record")</f>
        <v/>
      </c>
      <c r="AS264">
        <f>HYPERLINK("https://creighton-primo.hosted.exlibrisgroup.com/primo-explore/search?tab=default_tab&amp;search_scope=EVERYTHING&amp;vid=01CRU&amp;lang=en_US&amp;offset=0&amp;query=any,contains,991004401209702656","Catalog Record")</f>
        <v/>
      </c>
      <c r="AT264">
        <f>HYPERLINK("http://www.worldcat.org/oclc/3301396","WorldCat Record")</f>
        <v/>
      </c>
      <c r="AU264" t="inlineStr">
        <is>
          <t>1150901083:eng</t>
        </is>
      </c>
      <c r="AV264" t="inlineStr">
        <is>
          <t>3301396</t>
        </is>
      </c>
      <c r="AW264" t="inlineStr">
        <is>
          <t>991004401209702656</t>
        </is>
      </c>
      <c r="AX264" t="inlineStr">
        <is>
          <t>991004401209702656</t>
        </is>
      </c>
      <c r="AY264" t="inlineStr">
        <is>
          <t>2264501700002656</t>
        </is>
      </c>
      <c r="AZ264" t="inlineStr">
        <is>
          <t>BOOK</t>
        </is>
      </c>
      <c r="BC264" t="inlineStr">
        <is>
          <t>32285000506948</t>
        </is>
      </c>
      <c r="BD264" t="inlineStr">
        <is>
          <t>893263255</t>
        </is>
      </c>
    </row>
    <row r="265">
      <c r="A265" t="inlineStr">
        <is>
          <t>No</t>
        </is>
      </c>
      <c r="B265" t="inlineStr">
        <is>
          <t>BX1415.L9 B3 1972</t>
        </is>
      </c>
      <c r="C265" t="inlineStr">
        <is>
          <t>0                      BX 1415000L  9                  B  3           1972</t>
        </is>
      </c>
      <c r="D265" t="inlineStr">
        <is>
          <t>The Catholic Church in Louisiana / by Roger Baudier.</t>
        </is>
      </c>
      <c r="F265" t="inlineStr">
        <is>
          <t>No</t>
        </is>
      </c>
      <c r="G265" t="inlineStr">
        <is>
          <t>1</t>
        </is>
      </c>
      <c r="H265" t="inlineStr">
        <is>
          <t>No</t>
        </is>
      </c>
      <c r="I265" t="inlineStr">
        <is>
          <t>No</t>
        </is>
      </c>
      <c r="J265" t="inlineStr">
        <is>
          <t>0</t>
        </is>
      </c>
      <c r="K265" t="inlineStr">
        <is>
          <t>Baudier, Roger, 1893-1960.</t>
        </is>
      </c>
      <c r="L265" t="inlineStr">
        <is>
          <t>[New Orleans?] : Louisiana Library Association Public Library Section, 1972.</t>
        </is>
      </c>
      <c r="M265" t="inlineStr">
        <is>
          <t>1972</t>
        </is>
      </c>
      <c r="O265" t="inlineStr">
        <is>
          <t>eng</t>
        </is>
      </c>
      <c r="P265" t="inlineStr">
        <is>
          <t>lau</t>
        </is>
      </c>
      <c r="R265" t="inlineStr">
        <is>
          <t xml:space="preserve">BX </t>
        </is>
      </c>
      <c r="S265" t="n">
        <v>2</v>
      </c>
      <c r="T265" t="n">
        <v>2</v>
      </c>
      <c r="U265" t="inlineStr">
        <is>
          <t>1998-09-01</t>
        </is>
      </c>
      <c r="V265" t="inlineStr">
        <is>
          <t>1998-09-01</t>
        </is>
      </c>
      <c r="W265" t="inlineStr">
        <is>
          <t>1991-02-13</t>
        </is>
      </c>
      <c r="X265" t="inlineStr">
        <is>
          <t>1991-02-13</t>
        </is>
      </c>
      <c r="Y265" t="n">
        <v>45</v>
      </c>
      <c r="Z265" t="n">
        <v>45</v>
      </c>
      <c r="AA265" t="n">
        <v>127</v>
      </c>
      <c r="AB265" t="n">
        <v>2</v>
      </c>
      <c r="AC265" t="n">
        <v>2</v>
      </c>
      <c r="AD265" t="n">
        <v>4</v>
      </c>
      <c r="AE265" t="n">
        <v>13</v>
      </c>
      <c r="AF265" t="n">
        <v>2</v>
      </c>
      <c r="AG265" t="n">
        <v>5</v>
      </c>
      <c r="AH265" t="n">
        <v>1</v>
      </c>
      <c r="AI265" t="n">
        <v>4</v>
      </c>
      <c r="AJ265" t="n">
        <v>4</v>
      </c>
      <c r="AK265" t="n">
        <v>10</v>
      </c>
      <c r="AL265" t="n">
        <v>0</v>
      </c>
      <c r="AM265" t="n">
        <v>0</v>
      </c>
      <c r="AN265" t="n">
        <v>0</v>
      </c>
      <c r="AO265" t="n">
        <v>0</v>
      </c>
      <c r="AP265" t="inlineStr">
        <is>
          <t>No</t>
        </is>
      </c>
      <c r="AQ265" t="inlineStr">
        <is>
          <t>No</t>
        </is>
      </c>
      <c r="AS265">
        <f>HYPERLINK("https://creighton-primo.hosted.exlibrisgroup.com/primo-explore/search?tab=default_tab&amp;search_scope=EVERYTHING&amp;vid=01CRU&amp;lang=en_US&amp;offset=0&amp;query=any,contains,991004435609702656","Catalog Record")</f>
        <v/>
      </c>
      <c r="AT265">
        <f>HYPERLINK("http://www.worldcat.org/oclc/3441244","WorldCat Record")</f>
        <v/>
      </c>
      <c r="AU265" t="inlineStr">
        <is>
          <t>4606559:eng</t>
        </is>
      </c>
      <c r="AV265" t="inlineStr">
        <is>
          <t>3441244</t>
        </is>
      </c>
      <c r="AW265" t="inlineStr">
        <is>
          <t>991004435609702656</t>
        </is>
      </c>
      <c r="AX265" t="inlineStr">
        <is>
          <t>991004435609702656</t>
        </is>
      </c>
      <c r="AY265" t="inlineStr">
        <is>
          <t>2269327030002656</t>
        </is>
      </c>
      <c r="AZ265" t="inlineStr">
        <is>
          <t>BOOK</t>
        </is>
      </c>
      <c r="BC265" t="inlineStr">
        <is>
          <t>32285000506955</t>
        </is>
      </c>
      <c r="BD265" t="inlineStr">
        <is>
          <t>893235493</t>
        </is>
      </c>
    </row>
    <row r="266">
      <c r="A266" t="inlineStr">
        <is>
          <t>No</t>
        </is>
      </c>
      <c r="B266" t="inlineStr">
        <is>
          <t>BX1415.L9 L3 1978</t>
        </is>
      </c>
      <c r="C266" t="inlineStr">
        <is>
          <t>0                      BX 1415000L  9                  L  3           1978</t>
        </is>
      </c>
      <c r="D266" t="inlineStr">
        <is>
          <t>Jim Crow comes to church : the establishment of segregated Catholic parishes in South Louisiana / Dolores Egger Labbé.</t>
        </is>
      </c>
      <c r="F266" t="inlineStr">
        <is>
          <t>No</t>
        </is>
      </c>
      <c r="G266" t="inlineStr">
        <is>
          <t>1</t>
        </is>
      </c>
      <c r="H266" t="inlineStr">
        <is>
          <t>No</t>
        </is>
      </c>
      <c r="I266" t="inlineStr">
        <is>
          <t>No</t>
        </is>
      </c>
      <c r="J266" t="inlineStr">
        <is>
          <t>0</t>
        </is>
      </c>
      <c r="K266" t="inlineStr">
        <is>
          <t>Labbé, Dolores Egger.</t>
        </is>
      </c>
      <c r="L266" t="inlineStr">
        <is>
          <t>New York : Arno Press, 1978 [c1971]</t>
        </is>
      </c>
      <c r="M266" t="inlineStr">
        <is>
          <t>1978</t>
        </is>
      </c>
      <c r="O266" t="inlineStr">
        <is>
          <t>eng</t>
        </is>
      </c>
      <c r="P266" t="inlineStr">
        <is>
          <t>nyu</t>
        </is>
      </c>
      <c r="Q266" t="inlineStr">
        <is>
          <t>The American Catholic tradition</t>
        </is>
      </c>
      <c r="R266" t="inlineStr">
        <is>
          <t xml:space="preserve">BX </t>
        </is>
      </c>
      <c r="S266" t="n">
        <v>2</v>
      </c>
      <c r="T266" t="n">
        <v>2</v>
      </c>
      <c r="U266" t="inlineStr">
        <is>
          <t>2000-05-16</t>
        </is>
      </c>
      <c r="V266" t="inlineStr">
        <is>
          <t>2000-05-16</t>
        </is>
      </c>
      <c r="W266" t="inlineStr">
        <is>
          <t>1992-05-14</t>
        </is>
      </c>
      <c r="X266" t="inlineStr">
        <is>
          <t>1992-05-14</t>
        </is>
      </c>
      <c r="Y266" t="n">
        <v>210</v>
      </c>
      <c r="Z266" t="n">
        <v>203</v>
      </c>
      <c r="AA266" t="n">
        <v>248</v>
      </c>
      <c r="AB266" t="n">
        <v>1</v>
      </c>
      <c r="AC266" t="n">
        <v>1</v>
      </c>
      <c r="AD266" t="n">
        <v>19</v>
      </c>
      <c r="AE266" t="n">
        <v>20</v>
      </c>
      <c r="AF266" t="n">
        <v>6</v>
      </c>
      <c r="AG266" t="n">
        <v>7</v>
      </c>
      <c r="AH266" t="n">
        <v>6</v>
      </c>
      <c r="AI266" t="n">
        <v>6</v>
      </c>
      <c r="AJ266" t="n">
        <v>12</v>
      </c>
      <c r="AK266" t="n">
        <v>13</v>
      </c>
      <c r="AL266" t="n">
        <v>0</v>
      </c>
      <c r="AM266" t="n">
        <v>0</v>
      </c>
      <c r="AN266" t="n">
        <v>0</v>
      </c>
      <c r="AO266" t="n">
        <v>0</v>
      </c>
      <c r="AP266" t="inlineStr">
        <is>
          <t>No</t>
        </is>
      </c>
      <c r="AQ266" t="inlineStr">
        <is>
          <t>Yes</t>
        </is>
      </c>
      <c r="AR266">
        <f>HYPERLINK("http://catalog.hathitrust.org/Record/006922236","HathiTrust Record")</f>
        <v/>
      </c>
      <c r="AS266">
        <f>HYPERLINK("https://creighton-primo.hosted.exlibrisgroup.com/primo-explore/search?tab=default_tab&amp;search_scope=EVERYTHING&amp;vid=01CRU&amp;lang=en_US&amp;offset=0&amp;query=any,contains,991005371389702656","Catalog Record")</f>
        <v/>
      </c>
      <c r="AT266">
        <f>HYPERLINK("http://www.worldcat.org/oclc/3631454","WorldCat Record")</f>
        <v/>
      </c>
      <c r="AU266" t="inlineStr">
        <is>
          <t>1714400:eng</t>
        </is>
      </c>
      <c r="AV266" t="inlineStr">
        <is>
          <t>3631454</t>
        </is>
      </c>
      <c r="AW266" t="inlineStr">
        <is>
          <t>991005371389702656</t>
        </is>
      </c>
      <c r="AX266" t="inlineStr">
        <is>
          <t>991005371389702656</t>
        </is>
      </c>
      <c r="AY266" t="inlineStr">
        <is>
          <t>2259397100002656</t>
        </is>
      </c>
      <c r="AZ266" t="inlineStr">
        <is>
          <t>BOOK</t>
        </is>
      </c>
      <c r="BB266" t="inlineStr">
        <is>
          <t>9780405108389</t>
        </is>
      </c>
      <c r="BC266" t="inlineStr">
        <is>
          <t>32285001110898</t>
        </is>
      </c>
      <c r="BD266" t="inlineStr">
        <is>
          <t>893508152</t>
        </is>
      </c>
    </row>
    <row r="267">
      <c r="A267" t="inlineStr">
        <is>
          <t>No</t>
        </is>
      </c>
      <c r="B267" t="inlineStr">
        <is>
          <t>BX1415.M6 Y99 1961</t>
        </is>
      </c>
      <c r="C267" t="inlineStr">
        <is>
          <t>0                      BX 1415000M  6                  Y  99          1961</t>
        </is>
      </c>
      <c r="D267" t="inlineStr">
        <is>
          <t>Catholic origins of Minnesota / edited by Rev. Vincent A. Yzermans</t>
        </is>
      </c>
      <c r="F267" t="inlineStr">
        <is>
          <t>No</t>
        </is>
      </c>
      <c r="G267" t="inlineStr">
        <is>
          <t>1</t>
        </is>
      </c>
      <c r="H267" t="inlineStr">
        <is>
          <t>No</t>
        </is>
      </c>
      <c r="I267" t="inlineStr">
        <is>
          <t>No</t>
        </is>
      </c>
      <c r="J267" t="inlineStr">
        <is>
          <t>0</t>
        </is>
      </c>
      <c r="K267" t="inlineStr">
        <is>
          <t>Yzermans, Vincent A. (Vincent Arthur), 1925- editor.</t>
        </is>
      </c>
      <c r="L267" t="inlineStr">
        <is>
          <t>[St. Paul] : Minnesota Fourth Degree Knights of Columbus, [c1961]</t>
        </is>
      </c>
      <c r="M267" t="inlineStr">
        <is>
          <t>1961</t>
        </is>
      </c>
      <c r="O267" t="inlineStr">
        <is>
          <t>eng</t>
        </is>
      </c>
      <c r="P267" t="inlineStr">
        <is>
          <t xml:space="preserve">xx </t>
        </is>
      </c>
      <c r="R267" t="inlineStr">
        <is>
          <t xml:space="preserve">BX </t>
        </is>
      </c>
      <c r="S267" t="n">
        <v>2</v>
      </c>
      <c r="T267" t="n">
        <v>2</v>
      </c>
      <c r="U267" t="inlineStr">
        <is>
          <t>1992-12-08</t>
        </is>
      </c>
      <c r="V267" t="inlineStr">
        <is>
          <t>1992-12-08</t>
        </is>
      </c>
      <c r="W267" t="inlineStr">
        <is>
          <t>1991-02-13</t>
        </is>
      </c>
      <c r="X267" t="inlineStr">
        <is>
          <t>1991-02-13</t>
        </is>
      </c>
      <c r="Y267" t="n">
        <v>72</v>
      </c>
      <c r="Z267" t="n">
        <v>69</v>
      </c>
      <c r="AA267" t="n">
        <v>75</v>
      </c>
      <c r="AB267" t="n">
        <v>2</v>
      </c>
      <c r="AC267" t="n">
        <v>2</v>
      </c>
      <c r="AD267" t="n">
        <v>9</v>
      </c>
      <c r="AE267" t="n">
        <v>9</v>
      </c>
      <c r="AF267" t="n">
        <v>1</v>
      </c>
      <c r="AG267" t="n">
        <v>1</v>
      </c>
      <c r="AH267" t="n">
        <v>2</v>
      </c>
      <c r="AI267" t="n">
        <v>2</v>
      </c>
      <c r="AJ267" t="n">
        <v>8</v>
      </c>
      <c r="AK267" t="n">
        <v>8</v>
      </c>
      <c r="AL267" t="n">
        <v>0</v>
      </c>
      <c r="AM267" t="n">
        <v>0</v>
      </c>
      <c r="AN267" t="n">
        <v>0</v>
      </c>
      <c r="AO267" t="n">
        <v>0</v>
      </c>
      <c r="AP267" t="inlineStr">
        <is>
          <t>No</t>
        </is>
      </c>
      <c r="AQ267" t="inlineStr">
        <is>
          <t>No</t>
        </is>
      </c>
      <c r="AR267">
        <f>HYPERLINK("http://catalog.hathitrust.org/Record/005947572","HathiTrust Record")</f>
        <v/>
      </c>
      <c r="AS267">
        <f>HYPERLINK("https://creighton-primo.hosted.exlibrisgroup.com/primo-explore/search?tab=default_tab&amp;search_scope=EVERYTHING&amp;vid=01CRU&amp;lang=en_US&amp;offset=0&amp;query=any,contains,991001094599702656","Catalog Record")</f>
        <v/>
      </c>
      <c r="AT267">
        <f>HYPERLINK("http://www.worldcat.org/oclc/182595","WorldCat Record")</f>
        <v/>
      </c>
      <c r="AU267" t="inlineStr">
        <is>
          <t>1326974:eng</t>
        </is>
      </c>
      <c r="AV267" t="inlineStr">
        <is>
          <t>182595</t>
        </is>
      </c>
      <c r="AW267" t="inlineStr">
        <is>
          <t>991001094599702656</t>
        </is>
      </c>
      <c r="AX267" t="inlineStr">
        <is>
          <t>991001094599702656</t>
        </is>
      </c>
      <c r="AY267" t="inlineStr">
        <is>
          <t>2271398320002656</t>
        </is>
      </c>
      <c r="AZ267" t="inlineStr">
        <is>
          <t>BOOK</t>
        </is>
      </c>
      <c r="BC267" t="inlineStr">
        <is>
          <t>32285000506963</t>
        </is>
      </c>
      <c r="BD267" t="inlineStr">
        <is>
          <t>893891297</t>
        </is>
      </c>
    </row>
    <row r="268">
      <c r="A268" t="inlineStr">
        <is>
          <t>No</t>
        </is>
      </c>
      <c r="B268" t="inlineStr">
        <is>
          <t>BX1415.R5 C6 1976</t>
        </is>
      </c>
      <c r="C268" t="inlineStr">
        <is>
          <t>0                      BX 1415000R  5                  C  6           1976</t>
        </is>
      </c>
      <c r="D268" t="inlineStr">
        <is>
          <t>Catholicism in Rhode Island : the formative era / Patrick T. Conley, Matthew J. Smith.</t>
        </is>
      </c>
      <c r="F268" t="inlineStr">
        <is>
          <t>No</t>
        </is>
      </c>
      <c r="G268" t="inlineStr">
        <is>
          <t>1</t>
        </is>
      </c>
      <c r="H268" t="inlineStr">
        <is>
          <t>No</t>
        </is>
      </c>
      <c r="I268" t="inlineStr">
        <is>
          <t>No</t>
        </is>
      </c>
      <c r="J268" t="inlineStr">
        <is>
          <t>0</t>
        </is>
      </c>
      <c r="K268" t="inlineStr">
        <is>
          <t>Conley, Patrick T.</t>
        </is>
      </c>
      <c r="L268" t="inlineStr">
        <is>
          <t>[Providence] : Diocese of Providence, 1976.</t>
        </is>
      </c>
      <c r="M268" t="inlineStr">
        <is>
          <t>1976</t>
        </is>
      </c>
      <c r="O268" t="inlineStr">
        <is>
          <t>eng</t>
        </is>
      </c>
      <c r="P268" t="inlineStr">
        <is>
          <t>riu</t>
        </is>
      </c>
      <c r="R268" t="inlineStr">
        <is>
          <t xml:space="preserve">BX </t>
        </is>
      </c>
      <c r="S268" t="n">
        <v>1</v>
      </c>
      <c r="T268" t="n">
        <v>1</v>
      </c>
      <c r="U268" t="inlineStr">
        <is>
          <t>1994-02-13</t>
        </is>
      </c>
      <c r="V268" t="inlineStr">
        <is>
          <t>1994-02-13</t>
        </is>
      </c>
      <c r="W268" t="inlineStr">
        <is>
          <t>1990-11-05</t>
        </is>
      </c>
      <c r="X268" t="inlineStr">
        <is>
          <t>1990-11-05</t>
        </is>
      </c>
      <c r="Y268" t="n">
        <v>121</v>
      </c>
      <c r="Z268" t="n">
        <v>116</v>
      </c>
      <c r="AA268" t="n">
        <v>118</v>
      </c>
      <c r="AB268" t="n">
        <v>1</v>
      </c>
      <c r="AC268" t="n">
        <v>1</v>
      </c>
      <c r="AD268" t="n">
        <v>15</v>
      </c>
      <c r="AE268" t="n">
        <v>15</v>
      </c>
      <c r="AF268" t="n">
        <v>3</v>
      </c>
      <c r="AG268" t="n">
        <v>3</v>
      </c>
      <c r="AH268" t="n">
        <v>7</v>
      </c>
      <c r="AI268" t="n">
        <v>7</v>
      </c>
      <c r="AJ268" t="n">
        <v>9</v>
      </c>
      <c r="AK268" t="n">
        <v>9</v>
      </c>
      <c r="AL268" t="n">
        <v>0</v>
      </c>
      <c r="AM268" t="n">
        <v>0</v>
      </c>
      <c r="AN268" t="n">
        <v>0</v>
      </c>
      <c r="AO268" t="n">
        <v>0</v>
      </c>
      <c r="AP268" t="inlineStr">
        <is>
          <t>No</t>
        </is>
      </c>
      <c r="AQ268" t="inlineStr">
        <is>
          <t>Yes</t>
        </is>
      </c>
      <c r="AR268">
        <f>HYPERLINK("http://catalog.hathitrust.org/Record/002227271","HathiTrust Record")</f>
        <v/>
      </c>
      <c r="AS268">
        <f>HYPERLINK("https://creighton-primo.hosted.exlibrisgroup.com/primo-explore/search?tab=default_tab&amp;search_scope=EVERYTHING&amp;vid=01CRU&amp;lang=en_US&amp;offset=0&amp;query=any,contains,991004272189702656","Catalog Record")</f>
        <v/>
      </c>
      <c r="AT268">
        <f>HYPERLINK("http://www.worldcat.org/oclc/2881313","WorldCat Record")</f>
        <v/>
      </c>
      <c r="AU268" t="inlineStr">
        <is>
          <t>422899225:eng</t>
        </is>
      </c>
      <c r="AV268" t="inlineStr">
        <is>
          <t>2881313</t>
        </is>
      </c>
      <c r="AW268" t="inlineStr">
        <is>
          <t>991004272189702656</t>
        </is>
      </c>
      <c r="AX268" t="inlineStr">
        <is>
          <t>991004272189702656</t>
        </is>
      </c>
      <c r="AY268" t="inlineStr">
        <is>
          <t>2269811540002656</t>
        </is>
      </c>
      <c r="AZ268" t="inlineStr">
        <is>
          <t>BOOK</t>
        </is>
      </c>
      <c r="BC268" t="inlineStr">
        <is>
          <t>32285000296755</t>
        </is>
      </c>
      <c r="BD268" t="inlineStr">
        <is>
          <t>893875900</t>
        </is>
      </c>
    </row>
    <row r="269">
      <c r="A269" t="inlineStr">
        <is>
          <t>No</t>
        </is>
      </c>
      <c r="B269" t="inlineStr">
        <is>
          <t>BX1417.B6 L6 1944</t>
        </is>
      </c>
      <c r="C269" t="inlineStr">
        <is>
          <t>0                      BX 1417000B  6                  L  6           1944</t>
        </is>
      </c>
      <c r="D269" t="inlineStr">
        <is>
          <t>History of the archdiocese of Boston in the various stages of its development, 1604 to 1943 / by Robert H. Lord, John E. Sexton [and] Edward T. Harrington ; with a foreword by His Eminence William cardinal O'Connell, archbishop of Boston.</t>
        </is>
      </c>
      <c r="E269" t="inlineStr">
        <is>
          <t>V.2</t>
        </is>
      </c>
      <c r="F269" t="inlineStr">
        <is>
          <t>Yes</t>
        </is>
      </c>
      <c r="G269" t="inlineStr">
        <is>
          <t>1</t>
        </is>
      </c>
      <c r="H269" t="inlineStr">
        <is>
          <t>No</t>
        </is>
      </c>
      <c r="I269" t="inlineStr">
        <is>
          <t>No</t>
        </is>
      </c>
      <c r="J269" t="inlineStr">
        <is>
          <t>0</t>
        </is>
      </c>
      <c r="K269" t="inlineStr">
        <is>
          <t>Lord, Robert Howard, 1885-1954.</t>
        </is>
      </c>
      <c r="L269" t="inlineStr">
        <is>
          <t>New York : Sheed &amp; Ward, 1944.</t>
        </is>
      </c>
      <c r="M269" t="inlineStr">
        <is>
          <t>1944</t>
        </is>
      </c>
      <c r="O269" t="inlineStr">
        <is>
          <t>eng</t>
        </is>
      </c>
      <c r="P269" t="inlineStr">
        <is>
          <t>nyu</t>
        </is>
      </c>
      <c r="R269" t="inlineStr">
        <is>
          <t xml:space="preserve">BX </t>
        </is>
      </c>
      <c r="S269" t="n">
        <v>0</v>
      </c>
      <c r="T269" t="n">
        <v>0</v>
      </c>
      <c r="U269" t="inlineStr">
        <is>
          <t>2000-11-15</t>
        </is>
      </c>
      <c r="V269" t="inlineStr">
        <is>
          <t>2000-11-15</t>
        </is>
      </c>
      <c r="W269" t="inlineStr">
        <is>
          <t>1990-10-01</t>
        </is>
      </c>
      <c r="X269" t="inlineStr">
        <is>
          <t>1990-10-01</t>
        </is>
      </c>
      <c r="Y269" t="n">
        <v>190</v>
      </c>
      <c r="Z269" t="n">
        <v>176</v>
      </c>
      <c r="AA269" t="n">
        <v>226</v>
      </c>
      <c r="AB269" t="n">
        <v>2</v>
      </c>
      <c r="AC269" t="n">
        <v>2</v>
      </c>
      <c r="AD269" t="n">
        <v>27</v>
      </c>
      <c r="AE269" t="n">
        <v>29</v>
      </c>
      <c r="AF269" t="n">
        <v>8</v>
      </c>
      <c r="AG269" t="n">
        <v>10</v>
      </c>
      <c r="AH269" t="n">
        <v>9</v>
      </c>
      <c r="AI269" t="n">
        <v>9</v>
      </c>
      <c r="AJ269" t="n">
        <v>18</v>
      </c>
      <c r="AK269" t="n">
        <v>20</v>
      </c>
      <c r="AL269" t="n">
        <v>0</v>
      </c>
      <c r="AM269" t="n">
        <v>0</v>
      </c>
      <c r="AN269" t="n">
        <v>0</v>
      </c>
      <c r="AO269" t="n">
        <v>0</v>
      </c>
      <c r="AP269" t="inlineStr">
        <is>
          <t>Yes</t>
        </is>
      </c>
      <c r="AQ269" t="inlineStr">
        <is>
          <t>No</t>
        </is>
      </c>
      <c r="AR269">
        <f>HYPERLINK("http://catalog.hathitrust.org/Record/001416014","HathiTrust Record")</f>
        <v/>
      </c>
      <c r="AS269">
        <f>HYPERLINK("https://creighton-primo.hosted.exlibrisgroup.com/primo-explore/search?tab=default_tab&amp;search_scope=EVERYTHING&amp;vid=01CRU&amp;lang=en_US&amp;offset=0&amp;query=any,contains,991002967149702656","Catalog Record")</f>
        <v/>
      </c>
      <c r="AT269">
        <f>HYPERLINK("http://www.worldcat.org/oclc/1047531586","WorldCat Record")</f>
        <v/>
      </c>
      <c r="AU269" t="inlineStr">
        <is>
          <t>9827045491:eng</t>
        </is>
      </c>
      <c r="AV269" t="inlineStr">
        <is>
          <t>1047531586</t>
        </is>
      </c>
      <c r="AW269" t="inlineStr">
        <is>
          <t>991002967149702656</t>
        </is>
      </c>
      <c r="AX269" t="inlineStr">
        <is>
          <t>991002967149702656</t>
        </is>
      </c>
      <c r="AY269" t="inlineStr">
        <is>
          <t>2265106820002656</t>
        </is>
      </c>
      <c r="AZ269" t="inlineStr">
        <is>
          <t>BOOK</t>
        </is>
      </c>
      <c r="BC269" t="inlineStr">
        <is>
          <t>32285000278688</t>
        </is>
      </c>
      <c r="BD269" t="inlineStr">
        <is>
          <t>893717160</t>
        </is>
      </c>
    </row>
    <row r="270">
      <c r="A270" t="inlineStr">
        <is>
          <t>No</t>
        </is>
      </c>
      <c r="B270" t="inlineStr">
        <is>
          <t>BX1417.B6 L6 1944</t>
        </is>
      </c>
      <c r="C270" t="inlineStr">
        <is>
          <t>0                      BX 1417000B  6                  L  6           1944</t>
        </is>
      </c>
      <c r="D270" t="inlineStr">
        <is>
          <t>History of the archdiocese of Boston in the various stages of its development, 1604 to 1943 / by Robert H. Lord, John E. Sexton [and] Edward T. Harrington ; with a foreword by His Eminence William cardinal O'Connell, archbishop of Boston.</t>
        </is>
      </c>
      <c r="E270" t="inlineStr">
        <is>
          <t>V.3</t>
        </is>
      </c>
      <c r="F270" t="inlineStr">
        <is>
          <t>Yes</t>
        </is>
      </c>
      <c r="G270" t="inlineStr">
        <is>
          <t>1</t>
        </is>
      </c>
      <c r="H270" t="inlineStr">
        <is>
          <t>No</t>
        </is>
      </c>
      <c r="I270" t="inlineStr">
        <is>
          <t>No</t>
        </is>
      </c>
      <c r="J270" t="inlineStr">
        <is>
          <t>0</t>
        </is>
      </c>
      <c r="K270" t="inlineStr">
        <is>
          <t>Lord, Robert Howard, 1885-1954.</t>
        </is>
      </c>
      <c r="L270" t="inlineStr">
        <is>
          <t>New York : Sheed &amp; Ward, 1944.</t>
        </is>
      </c>
      <c r="M270" t="inlineStr">
        <is>
          <t>1944</t>
        </is>
      </c>
      <c r="O270" t="inlineStr">
        <is>
          <t>eng</t>
        </is>
      </c>
      <c r="P270" t="inlineStr">
        <is>
          <t>nyu</t>
        </is>
      </c>
      <c r="R270" t="inlineStr">
        <is>
          <t xml:space="preserve">BX </t>
        </is>
      </c>
      <c r="S270" t="n">
        <v>0</v>
      </c>
      <c r="T270" t="n">
        <v>0</v>
      </c>
      <c r="U270" t="inlineStr">
        <is>
          <t>2000-11-15</t>
        </is>
      </c>
      <c r="V270" t="inlineStr">
        <is>
          <t>2000-11-15</t>
        </is>
      </c>
      <c r="W270" t="inlineStr">
        <is>
          <t>1990-10-01</t>
        </is>
      </c>
      <c r="X270" t="inlineStr">
        <is>
          <t>1990-10-01</t>
        </is>
      </c>
      <c r="Y270" t="n">
        <v>190</v>
      </c>
      <c r="Z270" t="n">
        <v>176</v>
      </c>
      <c r="AA270" t="n">
        <v>226</v>
      </c>
      <c r="AB270" t="n">
        <v>2</v>
      </c>
      <c r="AC270" t="n">
        <v>2</v>
      </c>
      <c r="AD270" t="n">
        <v>27</v>
      </c>
      <c r="AE270" t="n">
        <v>29</v>
      </c>
      <c r="AF270" t="n">
        <v>8</v>
      </c>
      <c r="AG270" t="n">
        <v>10</v>
      </c>
      <c r="AH270" t="n">
        <v>9</v>
      </c>
      <c r="AI270" t="n">
        <v>9</v>
      </c>
      <c r="AJ270" t="n">
        <v>18</v>
      </c>
      <c r="AK270" t="n">
        <v>20</v>
      </c>
      <c r="AL270" t="n">
        <v>0</v>
      </c>
      <c r="AM270" t="n">
        <v>0</v>
      </c>
      <c r="AN270" t="n">
        <v>0</v>
      </c>
      <c r="AO270" t="n">
        <v>0</v>
      </c>
      <c r="AP270" t="inlineStr">
        <is>
          <t>Yes</t>
        </is>
      </c>
      <c r="AQ270" t="inlineStr">
        <is>
          <t>No</t>
        </is>
      </c>
      <c r="AR270">
        <f>HYPERLINK("http://catalog.hathitrust.org/Record/001416014","HathiTrust Record")</f>
        <v/>
      </c>
      <c r="AS270">
        <f>HYPERLINK("https://creighton-primo.hosted.exlibrisgroup.com/primo-explore/search?tab=default_tab&amp;search_scope=EVERYTHING&amp;vid=01CRU&amp;lang=en_US&amp;offset=0&amp;query=any,contains,991002967149702656","Catalog Record")</f>
        <v/>
      </c>
      <c r="AT270">
        <f>HYPERLINK("http://www.worldcat.org/oclc/1047531586","WorldCat Record")</f>
        <v/>
      </c>
      <c r="AU270" t="inlineStr">
        <is>
          <t>9827045491:eng</t>
        </is>
      </c>
      <c r="AV270" t="inlineStr">
        <is>
          <t>1047531586</t>
        </is>
      </c>
      <c r="AW270" t="inlineStr">
        <is>
          <t>991002967149702656</t>
        </is>
      </c>
      <c r="AX270" t="inlineStr">
        <is>
          <t>991002967149702656</t>
        </is>
      </c>
      <c r="AY270" t="inlineStr">
        <is>
          <t>2265106820002656</t>
        </is>
      </c>
      <c r="AZ270" t="inlineStr">
        <is>
          <t>BOOK</t>
        </is>
      </c>
      <c r="BC270" t="inlineStr">
        <is>
          <t>32285000278696</t>
        </is>
      </c>
      <c r="BD270" t="inlineStr">
        <is>
          <t>893717159</t>
        </is>
      </c>
    </row>
    <row r="271">
      <c r="A271" t="inlineStr">
        <is>
          <t>No</t>
        </is>
      </c>
      <c r="B271" t="inlineStr">
        <is>
          <t>BX1417.B6 L6 1944</t>
        </is>
      </c>
      <c r="C271" t="inlineStr">
        <is>
          <t>0                      BX 1417000B  6                  L  6           1944</t>
        </is>
      </c>
      <c r="D271" t="inlineStr">
        <is>
          <t>History of the archdiocese of Boston in the various stages of its development, 1604 to 1943 / by Robert H. Lord, John E. Sexton [and] Edward T. Harrington ; with a foreword by His Eminence William cardinal O'Connell, archbishop of Boston.</t>
        </is>
      </c>
      <c r="E271" t="inlineStr">
        <is>
          <t>V.1</t>
        </is>
      </c>
      <c r="F271" t="inlineStr">
        <is>
          <t>Yes</t>
        </is>
      </c>
      <c r="G271" t="inlineStr">
        <is>
          <t>1</t>
        </is>
      </c>
      <c r="H271" t="inlineStr">
        <is>
          <t>No</t>
        </is>
      </c>
      <c r="I271" t="inlineStr">
        <is>
          <t>No</t>
        </is>
      </c>
      <c r="J271" t="inlineStr">
        <is>
          <t>0</t>
        </is>
      </c>
      <c r="K271" t="inlineStr">
        <is>
          <t>Lord, Robert Howard, 1885-1954.</t>
        </is>
      </c>
      <c r="L271" t="inlineStr">
        <is>
          <t>New York : Sheed &amp; Ward, 1944.</t>
        </is>
      </c>
      <c r="M271" t="inlineStr">
        <is>
          <t>1944</t>
        </is>
      </c>
      <c r="O271" t="inlineStr">
        <is>
          <t>eng</t>
        </is>
      </c>
      <c r="P271" t="inlineStr">
        <is>
          <t>nyu</t>
        </is>
      </c>
      <c r="R271" t="inlineStr">
        <is>
          <t xml:space="preserve">BX </t>
        </is>
      </c>
      <c r="S271" t="n">
        <v>0</v>
      </c>
      <c r="T271" t="n">
        <v>0</v>
      </c>
      <c r="U271" t="inlineStr">
        <is>
          <t>2000-11-15</t>
        </is>
      </c>
      <c r="V271" t="inlineStr">
        <is>
          <t>2000-11-15</t>
        </is>
      </c>
      <c r="W271" t="inlineStr">
        <is>
          <t>1990-10-01</t>
        </is>
      </c>
      <c r="X271" t="inlineStr">
        <is>
          <t>1990-10-01</t>
        </is>
      </c>
      <c r="Y271" t="n">
        <v>190</v>
      </c>
      <c r="Z271" t="n">
        <v>176</v>
      </c>
      <c r="AA271" t="n">
        <v>226</v>
      </c>
      <c r="AB271" t="n">
        <v>2</v>
      </c>
      <c r="AC271" t="n">
        <v>2</v>
      </c>
      <c r="AD271" t="n">
        <v>27</v>
      </c>
      <c r="AE271" t="n">
        <v>29</v>
      </c>
      <c r="AF271" t="n">
        <v>8</v>
      </c>
      <c r="AG271" t="n">
        <v>10</v>
      </c>
      <c r="AH271" t="n">
        <v>9</v>
      </c>
      <c r="AI271" t="n">
        <v>9</v>
      </c>
      <c r="AJ271" t="n">
        <v>18</v>
      </c>
      <c r="AK271" t="n">
        <v>20</v>
      </c>
      <c r="AL271" t="n">
        <v>0</v>
      </c>
      <c r="AM271" t="n">
        <v>0</v>
      </c>
      <c r="AN271" t="n">
        <v>0</v>
      </c>
      <c r="AO271" t="n">
        <v>0</v>
      </c>
      <c r="AP271" t="inlineStr">
        <is>
          <t>Yes</t>
        </is>
      </c>
      <c r="AQ271" t="inlineStr">
        <is>
          <t>No</t>
        </is>
      </c>
      <c r="AR271">
        <f>HYPERLINK("http://catalog.hathitrust.org/Record/001416014","HathiTrust Record")</f>
        <v/>
      </c>
      <c r="AS271">
        <f>HYPERLINK("https://creighton-primo.hosted.exlibrisgroup.com/primo-explore/search?tab=default_tab&amp;search_scope=EVERYTHING&amp;vid=01CRU&amp;lang=en_US&amp;offset=0&amp;query=any,contains,991002967149702656","Catalog Record")</f>
        <v/>
      </c>
      <c r="AT271">
        <f>HYPERLINK("http://www.worldcat.org/oclc/1047531586","WorldCat Record")</f>
        <v/>
      </c>
      <c r="AU271" t="inlineStr">
        <is>
          <t>9827045491:eng</t>
        </is>
      </c>
      <c r="AV271" t="inlineStr">
        <is>
          <t>1047531586</t>
        </is>
      </c>
      <c r="AW271" t="inlineStr">
        <is>
          <t>991002967149702656</t>
        </is>
      </c>
      <c r="AX271" t="inlineStr">
        <is>
          <t>991002967149702656</t>
        </is>
      </c>
      <c r="AY271" t="inlineStr">
        <is>
          <t>2265106820002656</t>
        </is>
      </c>
      <c r="AZ271" t="inlineStr">
        <is>
          <t>BOOK</t>
        </is>
      </c>
      <c r="BC271" t="inlineStr">
        <is>
          <t>32285000278670</t>
        </is>
      </c>
      <c r="BD271" t="inlineStr">
        <is>
          <t>893717161</t>
        </is>
      </c>
    </row>
    <row r="272">
      <c r="A272" t="inlineStr">
        <is>
          <t>No</t>
        </is>
      </c>
      <c r="B272" t="inlineStr">
        <is>
          <t>BX1417.B6 O36 1998</t>
        </is>
      </c>
      <c r="C272" t="inlineStr">
        <is>
          <t>0                      BX 1417000B  6                  O  36          1998</t>
        </is>
      </c>
      <c r="D272" t="inlineStr">
        <is>
          <t>Boston Catholics : a history of the church and its people / Thomas H. O'Connor.</t>
        </is>
      </c>
      <c r="F272" t="inlineStr">
        <is>
          <t>No</t>
        </is>
      </c>
      <c r="G272" t="inlineStr">
        <is>
          <t>1</t>
        </is>
      </c>
      <c r="H272" t="inlineStr">
        <is>
          <t>No</t>
        </is>
      </c>
      <c r="I272" t="inlineStr">
        <is>
          <t>No</t>
        </is>
      </c>
      <c r="J272" t="inlineStr">
        <is>
          <t>0</t>
        </is>
      </c>
      <c r="K272" t="inlineStr">
        <is>
          <t>O'Connor, Thomas H., 1922-2012.</t>
        </is>
      </c>
      <c r="L272" t="inlineStr">
        <is>
          <t>Boston : Northeastern University Press, c1998.</t>
        </is>
      </c>
      <c r="M272" t="inlineStr">
        <is>
          <t>1998</t>
        </is>
      </c>
      <c r="O272" t="inlineStr">
        <is>
          <t>eng</t>
        </is>
      </c>
      <c r="P272" t="inlineStr">
        <is>
          <t>mau</t>
        </is>
      </c>
      <c r="R272" t="inlineStr">
        <is>
          <t xml:space="preserve">BX </t>
        </is>
      </c>
      <c r="S272" t="n">
        <v>3</v>
      </c>
      <c r="T272" t="n">
        <v>3</v>
      </c>
      <c r="U272" t="inlineStr">
        <is>
          <t>2010-04-25</t>
        </is>
      </c>
      <c r="V272" t="inlineStr">
        <is>
          <t>2010-04-25</t>
        </is>
      </c>
      <c r="W272" t="inlineStr">
        <is>
          <t>1999-09-02</t>
        </is>
      </c>
      <c r="X272" t="inlineStr">
        <is>
          <t>1999-09-02</t>
        </is>
      </c>
      <c r="Y272" t="n">
        <v>342</v>
      </c>
      <c r="Z272" t="n">
        <v>321</v>
      </c>
      <c r="AA272" t="n">
        <v>438</v>
      </c>
      <c r="AB272" t="n">
        <v>3</v>
      </c>
      <c r="AC272" t="n">
        <v>5</v>
      </c>
      <c r="AD272" t="n">
        <v>25</v>
      </c>
      <c r="AE272" t="n">
        <v>30</v>
      </c>
      <c r="AF272" t="n">
        <v>11</v>
      </c>
      <c r="AG272" t="n">
        <v>14</v>
      </c>
      <c r="AH272" t="n">
        <v>6</v>
      </c>
      <c r="AI272" t="n">
        <v>7</v>
      </c>
      <c r="AJ272" t="n">
        <v>16</v>
      </c>
      <c r="AK272" t="n">
        <v>16</v>
      </c>
      <c r="AL272" t="n">
        <v>1</v>
      </c>
      <c r="AM272" t="n">
        <v>3</v>
      </c>
      <c r="AN272" t="n">
        <v>0</v>
      </c>
      <c r="AO272" t="n">
        <v>0</v>
      </c>
      <c r="AP272" t="inlineStr">
        <is>
          <t>No</t>
        </is>
      </c>
      <c r="AQ272" t="inlineStr">
        <is>
          <t>No</t>
        </is>
      </c>
      <c r="AS272">
        <f>HYPERLINK("https://creighton-primo.hosted.exlibrisgroup.com/primo-explore/search?tab=default_tab&amp;search_scope=EVERYTHING&amp;vid=01CRU&amp;lang=en_US&amp;offset=0&amp;query=any,contains,991002938209702656","Catalog Record")</f>
        <v/>
      </c>
      <c r="AT272">
        <f>HYPERLINK("http://www.worldcat.org/oclc/39085342","WorldCat Record")</f>
        <v/>
      </c>
      <c r="AU272" t="inlineStr">
        <is>
          <t>371465711:eng</t>
        </is>
      </c>
      <c r="AV272" t="inlineStr">
        <is>
          <t>39085342</t>
        </is>
      </c>
      <c r="AW272" t="inlineStr">
        <is>
          <t>991002938209702656</t>
        </is>
      </c>
      <c r="AX272" t="inlineStr">
        <is>
          <t>991002938209702656</t>
        </is>
      </c>
      <c r="AY272" t="inlineStr">
        <is>
          <t>2256977430002656</t>
        </is>
      </c>
      <c r="AZ272" t="inlineStr">
        <is>
          <t>BOOK</t>
        </is>
      </c>
      <c r="BB272" t="inlineStr">
        <is>
          <t>9781555533595</t>
        </is>
      </c>
      <c r="BC272" t="inlineStr">
        <is>
          <t>32285003586129</t>
        </is>
      </c>
      <c r="BD272" t="inlineStr">
        <is>
          <t>893342046</t>
        </is>
      </c>
    </row>
    <row r="273">
      <c r="A273" t="inlineStr">
        <is>
          <t>No</t>
        </is>
      </c>
      <c r="B273" t="inlineStr">
        <is>
          <t>BX1417.C46 A83 1992</t>
        </is>
      </c>
      <c r="C273" t="inlineStr">
        <is>
          <t>0                      BX 1417000C  46                 A  83          1992</t>
        </is>
      </c>
      <c r="D273" t="inlineStr">
        <is>
          <t>This confident church : Catholic leadership and life in Chicago, 1940-1965 / Steven M. Avella.</t>
        </is>
      </c>
      <c r="F273" t="inlineStr">
        <is>
          <t>No</t>
        </is>
      </c>
      <c r="G273" t="inlineStr">
        <is>
          <t>1</t>
        </is>
      </c>
      <c r="H273" t="inlineStr">
        <is>
          <t>No</t>
        </is>
      </c>
      <c r="I273" t="inlineStr">
        <is>
          <t>No</t>
        </is>
      </c>
      <c r="J273" t="inlineStr">
        <is>
          <t>0</t>
        </is>
      </c>
      <c r="K273" t="inlineStr">
        <is>
          <t>Avella, Steven M.</t>
        </is>
      </c>
      <c r="L273" t="inlineStr">
        <is>
          <t>Notre Dame : University of Notre Dame Press, c1992.</t>
        </is>
      </c>
      <c r="M273" t="inlineStr">
        <is>
          <t>1992</t>
        </is>
      </c>
      <c r="O273" t="inlineStr">
        <is>
          <t>eng</t>
        </is>
      </c>
      <c r="P273" t="inlineStr">
        <is>
          <t>inu</t>
        </is>
      </c>
      <c r="R273" t="inlineStr">
        <is>
          <t xml:space="preserve">BX </t>
        </is>
      </c>
      <c r="S273" t="n">
        <v>2</v>
      </c>
      <c r="T273" t="n">
        <v>2</v>
      </c>
      <c r="U273" t="inlineStr">
        <is>
          <t>1994-10-18</t>
        </is>
      </c>
      <c r="V273" t="inlineStr">
        <is>
          <t>1994-10-18</t>
        </is>
      </c>
      <c r="W273" t="inlineStr">
        <is>
          <t>1994-09-21</t>
        </is>
      </c>
      <c r="X273" t="inlineStr">
        <is>
          <t>1994-09-21</t>
        </is>
      </c>
      <c r="Y273" t="n">
        <v>254</v>
      </c>
      <c r="Z273" t="n">
        <v>243</v>
      </c>
      <c r="AA273" t="n">
        <v>245</v>
      </c>
      <c r="AB273" t="n">
        <v>3</v>
      </c>
      <c r="AC273" t="n">
        <v>3</v>
      </c>
      <c r="AD273" t="n">
        <v>29</v>
      </c>
      <c r="AE273" t="n">
        <v>29</v>
      </c>
      <c r="AF273" t="n">
        <v>10</v>
      </c>
      <c r="AG273" t="n">
        <v>10</v>
      </c>
      <c r="AH273" t="n">
        <v>9</v>
      </c>
      <c r="AI273" t="n">
        <v>9</v>
      </c>
      <c r="AJ273" t="n">
        <v>19</v>
      </c>
      <c r="AK273" t="n">
        <v>19</v>
      </c>
      <c r="AL273" t="n">
        <v>1</v>
      </c>
      <c r="AM273" t="n">
        <v>1</v>
      </c>
      <c r="AN273" t="n">
        <v>0</v>
      </c>
      <c r="AO273" t="n">
        <v>0</v>
      </c>
      <c r="AP273" t="inlineStr">
        <is>
          <t>No</t>
        </is>
      </c>
      <c r="AQ273" t="inlineStr">
        <is>
          <t>Yes</t>
        </is>
      </c>
      <c r="AR273">
        <f>HYPERLINK("http://catalog.hathitrust.org/Record/002612099","HathiTrust Record")</f>
        <v/>
      </c>
      <c r="AS273">
        <f>HYPERLINK("https://creighton-primo.hosted.exlibrisgroup.com/primo-explore/search?tab=default_tab&amp;search_scope=EVERYTHING&amp;vid=01CRU&amp;lang=en_US&amp;offset=0&amp;query=any,contains,991002034179702656","Catalog Record")</f>
        <v/>
      </c>
      <c r="AT273">
        <f>HYPERLINK("http://www.worldcat.org/oclc/25914622","WorldCat Record")</f>
        <v/>
      </c>
      <c r="AU273" t="inlineStr">
        <is>
          <t>28532475:eng</t>
        </is>
      </c>
      <c r="AV273" t="inlineStr">
        <is>
          <t>25914622</t>
        </is>
      </c>
      <c r="AW273" t="inlineStr">
        <is>
          <t>991002034179702656</t>
        </is>
      </c>
      <c r="AX273" t="inlineStr">
        <is>
          <t>991002034179702656</t>
        </is>
      </c>
      <c r="AY273" t="inlineStr">
        <is>
          <t>2272175590002656</t>
        </is>
      </c>
      <c r="AZ273" t="inlineStr">
        <is>
          <t>BOOK</t>
        </is>
      </c>
      <c r="BB273" t="inlineStr">
        <is>
          <t>9780268018795</t>
        </is>
      </c>
      <c r="BC273" t="inlineStr">
        <is>
          <t>32285001946408</t>
        </is>
      </c>
      <c r="BD273" t="inlineStr">
        <is>
          <t>893809279</t>
        </is>
      </c>
    </row>
    <row r="274">
      <c r="A274" t="inlineStr">
        <is>
          <t>No</t>
        </is>
      </c>
      <c r="B274" t="inlineStr">
        <is>
          <t>BX1417.D8 H6 1938</t>
        </is>
      </c>
      <c r="C274" t="inlineStr">
        <is>
          <t>0                      BX 1417000D  8                  H  6           1938</t>
        </is>
      </c>
      <c r="D274" t="inlineStr">
        <is>
          <t>Centennial history of the archdiocese of Dubuque / compiled and edited by Rev. M. M. Hoffmann.</t>
        </is>
      </c>
      <c r="F274" t="inlineStr">
        <is>
          <t>No</t>
        </is>
      </c>
      <c r="G274" t="inlineStr">
        <is>
          <t>1</t>
        </is>
      </c>
      <c r="H274" t="inlineStr">
        <is>
          <t>No</t>
        </is>
      </c>
      <c r="I274" t="inlineStr">
        <is>
          <t>No</t>
        </is>
      </c>
      <c r="J274" t="inlineStr">
        <is>
          <t>0</t>
        </is>
      </c>
      <c r="K274" t="inlineStr">
        <is>
          <t>Hoffmann, M. M. (Mathias Martin), 1889-1961 compiler.</t>
        </is>
      </c>
      <c r="L274" t="inlineStr">
        <is>
          <t>Dubuque, Ia. : Columbia college press, [1938]</t>
        </is>
      </c>
      <c r="M274" t="inlineStr">
        <is>
          <t>1938</t>
        </is>
      </c>
      <c r="O274" t="inlineStr">
        <is>
          <t>eng</t>
        </is>
      </c>
      <c r="P274" t="inlineStr">
        <is>
          <t>iau</t>
        </is>
      </c>
      <c r="R274" t="inlineStr">
        <is>
          <t xml:space="preserve">BX </t>
        </is>
      </c>
      <c r="S274" t="n">
        <v>5</v>
      </c>
      <c r="T274" t="n">
        <v>5</v>
      </c>
      <c r="U274" t="inlineStr">
        <is>
          <t>2001-06-17</t>
        </is>
      </c>
      <c r="V274" t="inlineStr">
        <is>
          <t>2001-06-17</t>
        </is>
      </c>
      <c r="W274" t="inlineStr">
        <is>
          <t>1991-02-13</t>
        </is>
      </c>
      <c r="X274" t="inlineStr">
        <is>
          <t>1991-02-13</t>
        </is>
      </c>
      <c r="Y274" t="n">
        <v>74</v>
      </c>
      <c r="Z274" t="n">
        <v>72</v>
      </c>
      <c r="AA274" t="n">
        <v>75</v>
      </c>
      <c r="AB274" t="n">
        <v>2</v>
      </c>
      <c r="AC274" t="n">
        <v>2</v>
      </c>
      <c r="AD274" t="n">
        <v>7</v>
      </c>
      <c r="AE274" t="n">
        <v>7</v>
      </c>
      <c r="AF274" t="n">
        <v>0</v>
      </c>
      <c r="AG274" t="n">
        <v>0</v>
      </c>
      <c r="AH274" t="n">
        <v>3</v>
      </c>
      <c r="AI274" t="n">
        <v>3</v>
      </c>
      <c r="AJ274" t="n">
        <v>5</v>
      </c>
      <c r="AK274" t="n">
        <v>5</v>
      </c>
      <c r="AL274" t="n">
        <v>0</v>
      </c>
      <c r="AM274" t="n">
        <v>0</v>
      </c>
      <c r="AN274" t="n">
        <v>0</v>
      </c>
      <c r="AO274" t="n">
        <v>0</v>
      </c>
      <c r="AP274" t="inlineStr">
        <is>
          <t>No</t>
        </is>
      </c>
      <c r="AQ274" t="inlineStr">
        <is>
          <t>No</t>
        </is>
      </c>
      <c r="AS274">
        <f>HYPERLINK("https://creighton-primo.hosted.exlibrisgroup.com/primo-explore/search?tab=default_tab&amp;search_scope=EVERYTHING&amp;vid=01CRU&amp;lang=en_US&amp;offset=0&amp;query=any,contains,991005013809702656","Catalog Record")</f>
        <v/>
      </c>
      <c r="AT274">
        <f>HYPERLINK("http://www.worldcat.org/oclc/6611931","WorldCat Record")</f>
        <v/>
      </c>
      <c r="AU274" t="inlineStr">
        <is>
          <t>22846222:eng</t>
        </is>
      </c>
      <c r="AV274" t="inlineStr">
        <is>
          <t>6611931</t>
        </is>
      </c>
      <c r="AW274" t="inlineStr">
        <is>
          <t>991005013809702656</t>
        </is>
      </c>
      <c r="AX274" t="inlineStr">
        <is>
          <t>991005013809702656</t>
        </is>
      </c>
      <c r="AY274" t="inlineStr">
        <is>
          <t>2254838470002656</t>
        </is>
      </c>
      <c r="AZ274" t="inlineStr">
        <is>
          <t>BOOK</t>
        </is>
      </c>
      <c r="BC274" t="inlineStr">
        <is>
          <t>32285000507169</t>
        </is>
      </c>
      <c r="BD274" t="inlineStr">
        <is>
          <t>893694626</t>
        </is>
      </c>
    </row>
    <row r="275">
      <c r="A275" t="inlineStr">
        <is>
          <t>No</t>
        </is>
      </c>
      <c r="B275" t="inlineStr">
        <is>
          <t>BX1417.I5 A62 1883</t>
        </is>
      </c>
      <c r="C275" t="inlineStr">
        <is>
          <t>0                      BX 1417000I  5                  A  62          1883</t>
        </is>
      </c>
      <c r="D275" t="inlineStr">
        <is>
          <t>A history of the Catholic church in the diocese of Vincennes / by Rev. H. Alerding.</t>
        </is>
      </c>
      <c r="F275" t="inlineStr">
        <is>
          <t>No</t>
        </is>
      </c>
      <c r="G275" t="inlineStr">
        <is>
          <t>1</t>
        </is>
      </c>
      <c r="H275" t="inlineStr">
        <is>
          <t>No</t>
        </is>
      </c>
      <c r="I275" t="inlineStr">
        <is>
          <t>No</t>
        </is>
      </c>
      <c r="J275" t="inlineStr">
        <is>
          <t>0</t>
        </is>
      </c>
      <c r="K275" t="inlineStr">
        <is>
          <t>Alerding, Herman Joseph, 1845-1924.</t>
        </is>
      </c>
      <c r="L275" t="inlineStr">
        <is>
          <t>Indianapolis : Printed for the author by Carlon &amp; Hollenbeck, 1883.</t>
        </is>
      </c>
      <c r="M275" t="inlineStr">
        <is>
          <t>1883</t>
        </is>
      </c>
      <c r="O275" t="inlineStr">
        <is>
          <t>eng</t>
        </is>
      </c>
      <c r="P275" t="inlineStr">
        <is>
          <t xml:space="preserve">xx </t>
        </is>
      </c>
      <c r="R275" t="inlineStr">
        <is>
          <t xml:space="preserve">BX </t>
        </is>
      </c>
      <c r="S275" t="n">
        <v>1</v>
      </c>
      <c r="T275" t="n">
        <v>1</v>
      </c>
      <c r="U275" t="inlineStr">
        <is>
          <t>2005-01-19</t>
        </is>
      </c>
      <c r="V275" t="inlineStr">
        <is>
          <t>2005-01-19</t>
        </is>
      </c>
      <c r="W275" t="inlineStr">
        <is>
          <t>1991-02-13</t>
        </is>
      </c>
      <c r="X275" t="inlineStr">
        <is>
          <t>1991-02-13</t>
        </is>
      </c>
      <c r="Y275" t="n">
        <v>63</v>
      </c>
      <c r="Z275" t="n">
        <v>61</v>
      </c>
      <c r="AA275" t="n">
        <v>98</v>
      </c>
      <c r="AB275" t="n">
        <v>1</v>
      </c>
      <c r="AC275" t="n">
        <v>1</v>
      </c>
      <c r="AD275" t="n">
        <v>10</v>
      </c>
      <c r="AE275" t="n">
        <v>10</v>
      </c>
      <c r="AF275" t="n">
        <v>1</v>
      </c>
      <c r="AG275" t="n">
        <v>1</v>
      </c>
      <c r="AH275" t="n">
        <v>5</v>
      </c>
      <c r="AI275" t="n">
        <v>5</v>
      </c>
      <c r="AJ275" t="n">
        <v>7</v>
      </c>
      <c r="AK275" t="n">
        <v>7</v>
      </c>
      <c r="AL275" t="n">
        <v>0</v>
      </c>
      <c r="AM275" t="n">
        <v>0</v>
      </c>
      <c r="AN275" t="n">
        <v>0</v>
      </c>
      <c r="AO275" t="n">
        <v>0</v>
      </c>
      <c r="AP275" t="inlineStr">
        <is>
          <t>Yes</t>
        </is>
      </c>
      <c r="AQ275" t="inlineStr">
        <is>
          <t>No</t>
        </is>
      </c>
      <c r="AR275">
        <f>HYPERLINK("http://catalog.hathitrust.org/Record/005922103","HathiTrust Record")</f>
        <v/>
      </c>
      <c r="AS275">
        <f>HYPERLINK("https://creighton-primo.hosted.exlibrisgroup.com/primo-explore/search?tab=default_tab&amp;search_scope=EVERYTHING&amp;vid=01CRU&amp;lang=en_US&amp;offset=0&amp;query=any,contains,991003134509702656","Catalog Record")</f>
        <v/>
      </c>
      <c r="AT275">
        <f>HYPERLINK("http://www.worldcat.org/oclc/676625","WorldCat Record")</f>
        <v/>
      </c>
      <c r="AU275" t="inlineStr">
        <is>
          <t>1731869:eng</t>
        </is>
      </c>
      <c r="AV275" t="inlineStr">
        <is>
          <t>676625</t>
        </is>
      </c>
      <c r="AW275" t="inlineStr">
        <is>
          <t>991003134509702656</t>
        </is>
      </c>
      <c r="AX275" t="inlineStr">
        <is>
          <t>991003134509702656</t>
        </is>
      </c>
      <c r="AY275" t="inlineStr">
        <is>
          <t>2270355990002656</t>
        </is>
      </c>
      <c r="AZ275" t="inlineStr">
        <is>
          <t>BOOK</t>
        </is>
      </c>
      <c r="BC275" t="inlineStr">
        <is>
          <t>32285000507177</t>
        </is>
      </c>
      <c r="BD275" t="inlineStr">
        <is>
          <t>893799415</t>
        </is>
      </c>
    </row>
    <row r="276">
      <c r="A276" t="inlineStr">
        <is>
          <t>No</t>
        </is>
      </c>
      <c r="B276" t="inlineStr">
        <is>
          <t>BX1417.R5 F64 2001</t>
        </is>
      </c>
      <c r="C276" t="inlineStr">
        <is>
          <t>0                      BX 1417000R  5                  F  64          2001</t>
        </is>
      </c>
      <c r="D276" t="inlineStr">
        <is>
          <t>Commonwealth Catholicism : a history of the Catholic Church in Virginia / Gerald P. Fogarty.</t>
        </is>
      </c>
      <c r="F276" t="inlineStr">
        <is>
          <t>No</t>
        </is>
      </c>
      <c r="G276" t="inlineStr">
        <is>
          <t>1</t>
        </is>
      </c>
      <c r="H276" t="inlineStr">
        <is>
          <t>No</t>
        </is>
      </c>
      <c r="I276" t="inlineStr">
        <is>
          <t>No</t>
        </is>
      </c>
      <c r="J276" t="inlineStr">
        <is>
          <t>0</t>
        </is>
      </c>
      <c r="K276" t="inlineStr">
        <is>
          <t>Fogarty, Gerald P.</t>
        </is>
      </c>
      <c r="L276" t="inlineStr">
        <is>
          <t>Notre Dame, Ind. : University of Notre Dame Press, c2001.</t>
        </is>
      </c>
      <c r="M276" t="inlineStr">
        <is>
          <t>2001</t>
        </is>
      </c>
      <c r="O276" t="inlineStr">
        <is>
          <t>eng</t>
        </is>
      </c>
      <c r="P276" t="inlineStr">
        <is>
          <t>inu</t>
        </is>
      </c>
      <c r="R276" t="inlineStr">
        <is>
          <t xml:space="preserve">BX </t>
        </is>
      </c>
      <c r="S276" t="n">
        <v>2</v>
      </c>
      <c r="T276" t="n">
        <v>2</v>
      </c>
      <c r="U276" t="inlineStr">
        <is>
          <t>2001-09-18</t>
        </is>
      </c>
      <c r="V276" t="inlineStr">
        <is>
          <t>2001-09-18</t>
        </is>
      </c>
      <c r="W276" t="inlineStr">
        <is>
          <t>2001-09-17</t>
        </is>
      </c>
      <c r="X276" t="inlineStr">
        <is>
          <t>2001-09-17</t>
        </is>
      </c>
      <c r="Y276" t="n">
        <v>239</v>
      </c>
      <c r="Z276" t="n">
        <v>225</v>
      </c>
      <c r="AA276" t="n">
        <v>447</v>
      </c>
      <c r="AB276" t="n">
        <v>2</v>
      </c>
      <c r="AC276" t="n">
        <v>3</v>
      </c>
      <c r="AD276" t="n">
        <v>23</v>
      </c>
      <c r="AE276" t="n">
        <v>33</v>
      </c>
      <c r="AF276" t="n">
        <v>8</v>
      </c>
      <c r="AG276" t="n">
        <v>12</v>
      </c>
      <c r="AH276" t="n">
        <v>4</v>
      </c>
      <c r="AI276" t="n">
        <v>8</v>
      </c>
      <c r="AJ276" t="n">
        <v>18</v>
      </c>
      <c r="AK276" t="n">
        <v>21</v>
      </c>
      <c r="AL276" t="n">
        <v>1</v>
      </c>
      <c r="AM276" t="n">
        <v>2</v>
      </c>
      <c r="AN276" t="n">
        <v>0</v>
      </c>
      <c r="AO276" t="n">
        <v>0</v>
      </c>
      <c r="AP276" t="inlineStr">
        <is>
          <t>No</t>
        </is>
      </c>
      <c r="AQ276" t="inlineStr">
        <is>
          <t>Yes</t>
        </is>
      </c>
      <c r="AR276">
        <f>HYPERLINK("http://catalog.hathitrust.org/Record/004198768","HathiTrust Record")</f>
        <v/>
      </c>
      <c r="AS276">
        <f>HYPERLINK("https://creighton-primo.hosted.exlibrisgroup.com/primo-explore/search?tab=default_tab&amp;search_scope=EVERYTHING&amp;vid=01CRU&amp;lang=en_US&amp;offset=0&amp;query=any,contains,991003627559702656","Catalog Record")</f>
        <v/>
      </c>
      <c r="AT276">
        <f>HYPERLINK("http://www.worldcat.org/oclc/45166596","WorldCat Record")</f>
        <v/>
      </c>
      <c r="AU276" t="inlineStr">
        <is>
          <t>197660100:eng</t>
        </is>
      </c>
      <c r="AV276" t="inlineStr">
        <is>
          <t>45166596</t>
        </is>
      </c>
      <c r="AW276" t="inlineStr">
        <is>
          <t>991003627559702656</t>
        </is>
      </c>
      <c r="AX276" t="inlineStr">
        <is>
          <t>991003627559702656</t>
        </is>
      </c>
      <c r="AY276" t="inlineStr">
        <is>
          <t>2271914180002656</t>
        </is>
      </c>
      <c r="AZ276" t="inlineStr">
        <is>
          <t>BOOK</t>
        </is>
      </c>
      <c r="BB276" t="inlineStr">
        <is>
          <t>9780268022648</t>
        </is>
      </c>
      <c r="BC276" t="inlineStr">
        <is>
          <t>32285004391685</t>
        </is>
      </c>
      <c r="BD276" t="inlineStr">
        <is>
          <t>893592703</t>
        </is>
      </c>
    </row>
    <row r="277">
      <c r="A277" t="inlineStr">
        <is>
          <t>No</t>
        </is>
      </c>
      <c r="B277" t="inlineStr">
        <is>
          <t>BX1417.S16 K4 1946</t>
        </is>
      </c>
      <c r="C277" t="inlineStr">
        <is>
          <t>0                      BX 1417000S  16                 K  4           1946</t>
        </is>
      </c>
      <c r="D277" t="inlineStr">
        <is>
          <t>Catholics and the practice of faith : a census study of the diocese of Saint Augustine / by George A. Kelly.</t>
        </is>
      </c>
      <c r="F277" t="inlineStr">
        <is>
          <t>No</t>
        </is>
      </c>
      <c r="G277" t="inlineStr">
        <is>
          <t>1</t>
        </is>
      </c>
      <c r="H277" t="inlineStr">
        <is>
          <t>No</t>
        </is>
      </c>
      <c r="I277" t="inlineStr">
        <is>
          <t>No</t>
        </is>
      </c>
      <c r="J277" t="inlineStr">
        <is>
          <t>0</t>
        </is>
      </c>
      <c r="K277" t="inlineStr">
        <is>
          <t>Kelly, George Anthony, 1916-2004.</t>
        </is>
      </c>
      <c r="L277" t="inlineStr">
        <is>
          <t>Washington, D.C. : The Catholic university of America press, 1946.</t>
        </is>
      </c>
      <c r="M277" t="inlineStr">
        <is>
          <t>1946</t>
        </is>
      </c>
      <c r="O277" t="inlineStr">
        <is>
          <t>eng</t>
        </is>
      </c>
      <c r="P277" t="inlineStr">
        <is>
          <t>dcu</t>
        </is>
      </c>
      <c r="R277" t="inlineStr">
        <is>
          <t xml:space="preserve">BX </t>
        </is>
      </c>
      <c r="S277" t="n">
        <v>3</v>
      </c>
      <c r="T277" t="n">
        <v>3</v>
      </c>
      <c r="U277" t="inlineStr">
        <is>
          <t>2004-03-20</t>
        </is>
      </c>
      <c r="V277" t="inlineStr">
        <is>
          <t>2004-03-20</t>
        </is>
      </c>
      <c r="W277" t="inlineStr">
        <is>
          <t>1990-10-09</t>
        </is>
      </c>
      <c r="X277" t="inlineStr">
        <is>
          <t>1990-10-09</t>
        </is>
      </c>
      <c r="Y277" t="n">
        <v>73</v>
      </c>
      <c r="Z277" t="n">
        <v>71</v>
      </c>
      <c r="AA277" t="n">
        <v>86</v>
      </c>
      <c r="AB277" t="n">
        <v>1</v>
      </c>
      <c r="AC277" t="n">
        <v>1</v>
      </c>
      <c r="AD277" t="n">
        <v>13</v>
      </c>
      <c r="AE277" t="n">
        <v>13</v>
      </c>
      <c r="AF277" t="n">
        <v>3</v>
      </c>
      <c r="AG277" t="n">
        <v>3</v>
      </c>
      <c r="AH277" t="n">
        <v>4</v>
      </c>
      <c r="AI277" t="n">
        <v>4</v>
      </c>
      <c r="AJ277" t="n">
        <v>9</v>
      </c>
      <c r="AK277" t="n">
        <v>9</v>
      </c>
      <c r="AL277" t="n">
        <v>0</v>
      </c>
      <c r="AM277" t="n">
        <v>0</v>
      </c>
      <c r="AN277" t="n">
        <v>0</v>
      </c>
      <c r="AO277" t="n">
        <v>0</v>
      </c>
      <c r="AP277" t="inlineStr">
        <is>
          <t>No</t>
        </is>
      </c>
      <c r="AQ277" t="inlineStr">
        <is>
          <t>No</t>
        </is>
      </c>
      <c r="AS277">
        <f>HYPERLINK("https://creighton-primo.hosted.exlibrisgroup.com/primo-explore/search?tab=default_tab&amp;search_scope=EVERYTHING&amp;vid=01CRU&amp;lang=en_US&amp;offset=0&amp;query=any,contains,991003907819702656","Catalog Record")</f>
        <v/>
      </c>
      <c r="AT277">
        <f>HYPERLINK("http://www.worldcat.org/oclc/1844218","WorldCat Record")</f>
        <v/>
      </c>
      <c r="AU277" t="inlineStr">
        <is>
          <t>1807117542:eng</t>
        </is>
      </c>
      <c r="AV277" t="inlineStr">
        <is>
          <t>1844218</t>
        </is>
      </c>
      <c r="AW277" t="inlineStr">
        <is>
          <t>991003907819702656</t>
        </is>
      </c>
      <c r="AX277" t="inlineStr">
        <is>
          <t>991003907819702656</t>
        </is>
      </c>
      <c r="AY277" t="inlineStr">
        <is>
          <t>2261806250002656</t>
        </is>
      </c>
      <c r="AZ277" t="inlineStr">
        <is>
          <t>BOOK</t>
        </is>
      </c>
      <c r="BC277" t="inlineStr">
        <is>
          <t>32285000279967</t>
        </is>
      </c>
      <c r="BD277" t="inlineStr">
        <is>
          <t>893531762</t>
        </is>
      </c>
    </row>
    <row r="278">
      <c r="A278" t="inlineStr">
        <is>
          <t>No</t>
        </is>
      </c>
      <c r="B278" t="inlineStr">
        <is>
          <t>BX1417.S3 R4 1952</t>
        </is>
      </c>
      <c r="C278" t="inlineStr">
        <is>
          <t>0                      BX 1417000S  3                  R  4           1952</t>
        </is>
      </c>
      <c r="D278" t="inlineStr">
        <is>
          <t>The Catholic Church in the Diocese of St. Paul : from earliest origin to centennial achievement / a factual narrative by James Michael Reardon, P.A. of the Archdiocese of St. Paul</t>
        </is>
      </c>
      <c r="F278" t="inlineStr">
        <is>
          <t>No</t>
        </is>
      </c>
      <c r="G278" t="inlineStr">
        <is>
          <t>1</t>
        </is>
      </c>
      <c r="H278" t="inlineStr">
        <is>
          <t>No</t>
        </is>
      </c>
      <c r="I278" t="inlineStr">
        <is>
          <t>No</t>
        </is>
      </c>
      <c r="J278" t="inlineStr">
        <is>
          <t>0</t>
        </is>
      </c>
      <c r="K278" t="inlineStr">
        <is>
          <t>Reardon, James Michael, 1872-1963.</t>
        </is>
      </c>
      <c r="L278" t="inlineStr">
        <is>
          <t>St. Paul, Minnesota : The North Central Publishing Co., 1952</t>
        </is>
      </c>
      <c r="M278" t="inlineStr">
        <is>
          <t>1952</t>
        </is>
      </c>
      <c r="O278" t="inlineStr">
        <is>
          <t>eng</t>
        </is>
      </c>
      <c r="P278" t="inlineStr">
        <is>
          <t xml:space="preserve">xx </t>
        </is>
      </c>
      <c r="R278" t="inlineStr">
        <is>
          <t xml:space="preserve">BX </t>
        </is>
      </c>
      <c r="S278" t="n">
        <v>1</v>
      </c>
      <c r="T278" t="n">
        <v>1</v>
      </c>
      <c r="U278" t="inlineStr">
        <is>
          <t>2001-06-17</t>
        </is>
      </c>
      <c r="V278" t="inlineStr">
        <is>
          <t>2001-06-17</t>
        </is>
      </c>
      <c r="W278" t="inlineStr">
        <is>
          <t>1991-02-13</t>
        </is>
      </c>
      <c r="X278" t="inlineStr">
        <is>
          <t>1991-02-13</t>
        </is>
      </c>
      <c r="Y278" t="n">
        <v>136</v>
      </c>
      <c r="Z278" t="n">
        <v>125</v>
      </c>
      <c r="AA278" t="n">
        <v>146</v>
      </c>
      <c r="AB278" t="n">
        <v>4</v>
      </c>
      <c r="AC278" t="n">
        <v>4</v>
      </c>
      <c r="AD278" t="n">
        <v>15</v>
      </c>
      <c r="AE278" t="n">
        <v>16</v>
      </c>
      <c r="AF278" t="n">
        <v>2</v>
      </c>
      <c r="AG278" t="n">
        <v>3</v>
      </c>
      <c r="AH278" t="n">
        <v>5</v>
      </c>
      <c r="AI278" t="n">
        <v>5</v>
      </c>
      <c r="AJ278" t="n">
        <v>10</v>
      </c>
      <c r="AK278" t="n">
        <v>11</v>
      </c>
      <c r="AL278" t="n">
        <v>1</v>
      </c>
      <c r="AM278" t="n">
        <v>1</v>
      </c>
      <c r="AN278" t="n">
        <v>0</v>
      </c>
      <c r="AO278" t="n">
        <v>0</v>
      </c>
      <c r="AP278" t="inlineStr">
        <is>
          <t>Yes</t>
        </is>
      </c>
      <c r="AQ278" t="inlineStr">
        <is>
          <t>No</t>
        </is>
      </c>
      <c r="AR278">
        <f>HYPERLINK("http://catalog.hathitrust.org/Record/005922107","HathiTrust Record")</f>
        <v/>
      </c>
      <c r="AS278">
        <f>HYPERLINK("https://creighton-primo.hosted.exlibrisgroup.com/primo-explore/search?tab=default_tab&amp;search_scope=EVERYTHING&amp;vid=01CRU&amp;lang=en_US&amp;offset=0&amp;query=any,contains,991004221389702656","Catalog Record")</f>
        <v/>
      </c>
      <c r="AT278">
        <f>HYPERLINK("http://www.worldcat.org/oclc/1115719","WorldCat Record")</f>
        <v/>
      </c>
      <c r="AU278" t="inlineStr">
        <is>
          <t>2008294:eng</t>
        </is>
      </c>
      <c r="AV278" t="inlineStr">
        <is>
          <t>1115719</t>
        </is>
      </c>
      <c r="AW278" t="inlineStr">
        <is>
          <t>991004221389702656</t>
        </is>
      </c>
      <c r="AX278" t="inlineStr">
        <is>
          <t>991004221389702656</t>
        </is>
      </c>
      <c r="AY278" t="inlineStr">
        <is>
          <t>2269538000002656</t>
        </is>
      </c>
      <c r="AZ278" t="inlineStr">
        <is>
          <t>BOOK</t>
        </is>
      </c>
      <c r="BC278" t="inlineStr">
        <is>
          <t>32285000507219</t>
        </is>
      </c>
      <c r="BD278" t="inlineStr">
        <is>
          <t>893253411</t>
        </is>
      </c>
    </row>
    <row r="279">
      <c r="A279" t="inlineStr">
        <is>
          <t>No</t>
        </is>
      </c>
      <c r="B279" t="inlineStr">
        <is>
          <t>BX1417.S32 A7 1964</t>
        </is>
      </c>
      <c r="C279" t="inlineStr">
        <is>
          <t>0                      BX 1417000S  32                 A  7           1964</t>
        </is>
      </c>
      <c r="D279" t="inlineStr">
        <is>
          <t>Catholic heritage in Minnesota, North Dakota, South Dakota : diamond jubilee observance of the Province of Saint Paul and of the suffragan Dioceses of Saint Cloud, Duluth, Winona, Sioux Falls and Fargo / edited by Patrick H. Ahern.</t>
        </is>
      </c>
      <c r="F279" t="inlineStr">
        <is>
          <t>No</t>
        </is>
      </c>
      <c r="G279" t="inlineStr">
        <is>
          <t>1</t>
        </is>
      </c>
      <c r="H279" t="inlineStr">
        <is>
          <t>No</t>
        </is>
      </c>
      <c r="I279" t="inlineStr">
        <is>
          <t>No</t>
        </is>
      </c>
      <c r="J279" t="inlineStr">
        <is>
          <t>0</t>
        </is>
      </c>
      <c r="K279" t="inlineStr">
        <is>
          <t>Ahern, Patrick H. (Patrick Henry), 1916-1965, editor.</t>
        </is>
      </c>
      <c r="L279" t="inlineStr">
        <is>
          <t>[St. Paul] : Archbishop and Bishops of the Province of Saint Paul, [1964]</t>
        </is>
      </c>
      <c r="M279" t="inlineStr">
        <is>
          <t>1964</t>
        </is>
      </c>
      <c r="O279" t="inlineStr">
        <is>
          <t>eng</t>
        </is>
      </c>
      <c r="P279" t="inlineStr">
        <is>
          <t>mnu</t>
        </is>
      </c>
      <c r="R279" t="inlineStr">
        <is>
          <t xml:space="preserve">BX </t>
        </is>
      </c>
      <c r="S279" t="n">
        <v>3</v>
      </c>
      <c r="T279" t="n">
        <v>3</v>
      </c>
      <c r="U279" t="inlineStr">
        <is>
          <t>1992-12-08</t>
        </is>
      </c>
      <c r="V279" t="inlineStr">
        <is>
          <t>1992-12-08</t>
        </is>
      </c>
      <c r="W279" t="inlineStr">
        <is>
          <t>1990-11-05</t>
        </is>
      </c>
      <c r="X279" t="inlineStr">
        <is>
          <t>1990-11-05</t>
        </is>
      </c>
      <c r="Y279" t="n">
        <v>112</v>
      </c>
      <c r="Z279" t="n">
        <v>111</v>
      </c>
      <c r="AA279" t="n">
        <v>112</v>
      </c>
      <c r="AB279" t="n">
        <v>3</v>
      </c>
      <c r="AC279" t="n">
        <v>3</v>
      </c>
      <c r="AD279" t="n">
        <v>9</v>
      </c>
      <c r="AE279" t="n">
        <v>9</v>
      </c>
      <c r="AF279" t="n">
        <v>1</v>
      </c>
      <c r="AG279" t="n">
        <v>1</v>
      </c>
      <c r="AH279" t="n">
        <v>2</v>
      </c>
      <c r="AI279" t="n">
        <v>2</v>
      </c>
      <c r="AJ279" t="n">
        <v>7</v>
      </c>
      <c r="AK279" t="n">
        <v>7</v>
      </c>
      <c r="AL279" t="n">
        <v>0</v>
      </c>
      <c r="AM279" t="n">
        <v>0</v>
      </c>
      <c r="AN279" t="n">
        <v>0</v>
      </c>
      <c r="AO279" t="n">
        <v>0</v>
      </c>
      <c r="AP279" t="inlineStr">
        <is>
          <t>No</t>
        </is>
      </c>
      <c r="AQ279" t="inlineStr">
        <is>
          <t>Yes</t>
        </is>
      </c>
      <c r="AR279">
        <f>HYPERLINK("http://catalog.hathitrust.org/Record/006922221","HathiTrust Record")</f>
        <v/>
      </c>
      <c r="AS279">
        <f>HYPERLINK("https://creighton-primo.hosted.exlibrisgroup.com/primo-explore/search?tab=default_tab&amp;search_scope=EVERYTHING&amp;vid=01CRU&amp;lang=en_US&amp;offset=0&amp;query=any,contains,991004366459702656","Catalog Record")</f>
        <v/>
      </c>
      <c r="AT279">
        <f>HYPERLINK("http://www.worldcat.org/oclc/3170110","WorldCat Record")</f>
        <v/>
      </c>
      <c r="AU279" t="inlineStr">
        <is>
          <t>8206773:eng</t>
        </is>
      </c>
      <c r="AV279" t="inlineStr">
        <is>
          <t>3170110</t>
        </is>
      </c>
      <c r="AW279" t="inlineStr">
        <is>
          <t>991004366459702656</t>
        </is>
      </c>
      <c r="AX279" t="inlineStr">
        <is>
          <t>991004366459702656</t>
        </is>
      </c>
      <c r="AY279" t="inlineStr">
        <is>
          <t>2265856430002656</t>
        </is>
      </c>
      <c r="AZ279" t="inlineStr">
        <is>
          <t>BOOK</t>
        </is>
      </c>
      <c r="BC279" t="inlineStr">
        <is>
          <t>32285000296730</t>
        </is>
      </c>
      <c r="BD279" t="inlineStr">
        <is>
          <t>893687643</t>
        </is>
      </c>
    </row>
    <row r="280">
      <c r="A280" t="inlineStr">
        <is>
          <t>No</t>
        </is>
      </c>
      <c r="B280" t="inlineStr">
        <is>
          <t>BX1418.B7 C38 1985</t>
        </is>
      </c>
      <c r="C280" t="inlineStr">
        <is>
          <t>0                      BX 1418000B  7                  C  38          1985</t>
        </is>
      </c>
      <c r="D280" t="inlineStr">
        <is>
          <t>Catholic Boston : studies in religion and community 1870-1970 / edited by Robert E. Sullivan and James M. O'Toole.</t>
        </is>
      </c>
      <c r="F280" t="inlineStr">
        <is>
          <t>No</t>
        </is>
      </c>
      <c r="G280" t="inlineStr">
        <is>
          <t>1</t>
        </is>
      </c>
      <c r="H280" t="inlineStr">
        <is>
          <t>No</t>
        </is>
      </c>
      <c r="I280" t="inlineStr">
        <is>
          <t>No</t>
        </is>
      </c>
      <c r="J280" t="inlineStr">
        <is>
          <t>0</t>
        </is>
      </c>
      <c r="L280" t="inlineStr">
        <is>
          <t>Boston : [s.n.], 1985.</t>
        </is>
      </c>
      <c r="M280" t="inlineStr">
        <is>
          <t>1985</t>
        </is>
      </c>
      <c r="O280" t="inlineStr">
        <is>
          <t>eng</t>
        </is>
      </c>
      <c r="P280" t="inlineStr">
        <is>
          <t>mau</t>
        </is>
      </c>
      <c r="R280" t="inlineStr">
        <is>
          <t xml:space="preserve">BX </t>
        </is>
      </c>
      <c r="S280" t="n">
        <v>3</v>
      </c>
      <c r="T280" t="n">
        <v>3</v>
      </c>
      <c r="U280" t="inlineStr">
        <is>
          <t>2005-01-04</t>
        </is>
      </c>
      <c r="V280" t="inlineStr">
        <is>
          <t>2005-01-04</t>
        </is>
      </c>
      <c r="W280" t="inlineStr">
        <is>
          <t>1991-02-13</t>
        </is>
      </c>
      <c r="X280" t="inlineStr">
        <is>
          <t>1991-02-13</t>
        </is>
      </c>
      <c r="Y280" t="n">
        <v>109</v>
      </c>
      <c r="Z280" t="n">
        <v>96</v>
      </c>
      <c r="AA280" t="n">
        <v>98</v>
      </c>
      <c r="AB280" t="n">
        <v>1</v>
      </c>
      <c r="AC280" t="n">
        <v>1</v>
      </c>
      <c r="AD280" t="n">
        <v>12</v>
      </c>
      <c r="AE280" t="n">
        <v>12</v>
      </c>
      <c r="AF280" t="n">
        <v>2</v>
      </c>
      <c r="AG280" t="n">
        <v>2</v>
      </c>
      <c r="AH280" t="n">
        <v>4</v>
      </c>
      <c r="AI280" t="n">
        <v>4</v>
      </c>
      <c r="AJ280" t="n">
        <v>10</v>
      </c>
      <c r="AK280" t="n">
        <v>10</v>
      </c>
      <c r="AL280" t="n">
        <v>0</v>
      </c>
      <c r="AM280" t="n">
        <v>0</v>
      </c>
      <c r="AN280" t="n">
        <v>0</v>
      </c>
      <c r="AO280" t="n">
        <v>0</v>
      </c>
      <c r="AP280" t="inlineStr">
        <is>
          <t>No</t>
        </is>
      </c>
      <c r="AQ280" t="inlineStr">
        <is>
          <t>Yes</t>
        </is>
      </c>
      <c r="AR280">
        <f>HYPERLINK("http://catalog.hathitrust.org/Record/002165939","HathiTrust Record")</f>
        <v/>
      </c>
      <c r="AS280">
        <f>HYPERLINK("https://creighton-primo.hosted.exlibrisgroup.com/primo-explore/search?tab=default_tab&amp;search_scope=EVERYTHING&amp;vid=01CRU&amp;lang=en_US&amp;offset=0&amp;query=any,contains,991000797579702656","Catalog Record")</f>
        <v/>
      </c>
      <c r="AT280">
        <f>HYPERLINK("http://www.worldcat.org/oclc/13207216","WorldCat Record")</f>
        <v/>
      </c>
      <c r="AU280" t="inlineStr">
        <is>
          <t>909293172:eng</t>
        </is>
      </c>
      <c r="AV280" t="inlineStr">
        <is>
          <t>13207216</t>
        </is>
      </c>
      <c r="AW280" t="inlineStr">
        <is>
          <t>991000797579702656</t>
        </is>
      </c>
      <c r="AX280" t="inlineStr">
        <is>
          <t>991000797579702656</t>
        </is>
      </c>
      <c r="AY280" t="inlineStr">
        <is>
          <t>2257466040002656</t>
        </is>
      </c>
      <c r="AZ280" t="inlineStr">
        <is>
          <t>BOOK</t>
        </is>
      </c>
      <c r="BB280" t="inlineStr">
        <is>
          <t>9780961438418</t>
        </is>
      </c>
      <c r="BC280" t="inlineStr">
        <is>
          <t>32285000507243</t>
        </is>
      </c>
      <c r="BD280" t="inlineStr">
        <is>
          <t>893231421</t>
        </is>
      </c>
    </row>
    <row r="281">
      <c r="A281" t="inlineStr">
        <is>
          <t>No</t>
        </is>
      </c>
      <c r="B281" t="inlineStr">
        <is>
          <t>BX1418.B7 M43</t>
        </is>
      </c>
      <c r="C281" t="inlineStr">
        <is>
          <t>0                      BX 1418000B  7                  M  43</t>
        </is>
      </c>
      <c r="D281" t="inlineStr">
        <is>
          <t>Boston priests, 1848-1910 : a study of social and intellectual change / Donna Merwick.</t>
        </is>
      </c>
      <c r="F281" t="inlineStr">
        <is>
          <t>No</t>
        </is>
      </c>
      <c r="G281" t="inlineStr">
        <is>
          <t>1</t>
        </is>
      </c>
      <c r="H281" t="inlineStr">
        <is>
          <t>No</t>
        </is>
      </c>
      <c r="I281" t="inlineStr">
        <is>
          <t>No</t>
        </is>
      </c>
      <c r="J281" t="inlineStr">
        <is>
          <t>0</t>
        </is>
      </c>
      <c r="K281" t="inlineStr">
        <is>
          <t>Merwick, Donna.</t>
        </is>
      </c>
      <c r="L281" t="inlineStr">
        <is>
          <t>Cambridge, Mass., Harvard University Press, 1973.</t>
        </is>
      </c>
      <c r="M281" t="inlineStr">
        <is>
          <t>1973</t>
        </is>
      </c>
      <c r="O281" t="inlineStr">
        <is>
          <t>eng</t>
        </is>
      </c>
      <c r="P281" t="inlineStr">
        <is>
          <t>mau</t>
        </is>
      </c>
      <c r="R281" t="inlineStr">
        <is>
          <t xml:space="preserve">BX </t>
        </is>
      </c>
      <c r="S281" t="n">
        <v>1</v>
      </c>
      <c r="T281" t="n">
        <v>1</v>
      </c>
      <c r="U281" t="inlineStr">
        <is>
          <t>1993-02-18</t>
        </is>
      </c>
      <c r="V281" t="inlineStr">
        <is>
          <t>1993-02-18</t>
        </is>
      </c>
      <c r="W281" t="inlineStr">
        <is>
          <t>1991-02-13</t>
        </is>
      </c>
      <c r="X281" t="inlineStr">
        <is>
          <t>1991-02-13</t>
        </is>
      </c>
      <c r="Y281" t="n">
        <v>519</v>
      </c>
      <c r="Z281" t="n">
        <v>460</v>
      </c>
      <c r="AA281" t="n">
        <v>469</v>
      </c>
      <c r="AB281" t="n">
        <v>3</v>
      </c>
      <c r="AC281" t="n">
        <v>3</v>
      </c>
      <c r="AD281" t="n">
        <v>27</v>
      </c>
      <c r="AE281" t="n">
        <v>27</v>
      </c>
      <c r="AF281" t="n">
        <v>7</v>
      </c>
      <c r="AG281" t="n">
        <v>7</v>
      </c>
      <c r="AH281" t="n">
        <v>9</v>
      </c>
      <c r="AI281" t="n">
        <v>9</v>
      </c>
      <c r="AJ281" t="n">
        <v>17</v>
      </c>
      <c r="AK281" t="n">
        <v>17</v>
      </c>
      <c r="AL281" t="n">
        <v>2</v>
      </c>
      <c r="AM281" t="n">
        <v>2</v>
      </c>
      <c r="AN281" t="n">
        <v>0</v>
      </c>
      <c r="AO281" t="n">
        <v>0</v>
      </c>
      <c r="AP281" t="inlineStr">
        <is>
          <t>No</t>
        </is>
      </c>
      <c r="AQ281" t="inlineStr">
        <is>
          <t>Yes</t>
        </is>
      </c>
      <c r="AR281">
        <f>HYPERLINK("http://catalog.hathitrust.org/Record/001416019","HathiTrust Record")</f>
        <v/>
      </c>
      <c r="AS281">
        <f>HYPERLINK("https://creighton-primo.hosted.exlibrisgroup.com/primo-explore/search?tab=default_tab&amp;search_scope=EVERYTHING&amp;vid=01CRU&amp;lang=en_US&amp;offset=0&amp;query=any,contains,991003049039702656","Catalog Record")</f>
        <v/>
      </c>
      <c r="AT281">
        <f>HYPERLINK("http://www.worldcat.org/oclc/609277","WorldCat Record")</f>
        <v/>
      </c>
      <c r="AU281" t="inlineStr">
        <is>
          <t>1635585:eng</t>
        </is>
      </c>
      <c r="AV281" t="inlineStr">
        <is>
          <t>609277</t>
        </is>
      </c>
      <c r="AW281" t="inlineStr">
        <is>
          <t>991003049039702656</t>
        </is>
      </c>
      <c r="AX281" t="inlineStr">
        <is>
          <t>991003049039702656</t>
        </is>
      </c>
      <c r="AY281" t="inlineStr">
        <is>
          <t>2254781960002656</t>
        </is>
      </c>
      <c r="AZ281" t="inlineStr">
        <is>
          <t>BOOK</t>
        </is>
      </c>
      <c r="BB281" t="inlineStr">
        <is>
          <t>9780674079755</t>
        </is>
      </c>
      <c r="BC281" t="inlineStr">
        <is>
          <t>32285000507250</t>
        </is>
      </c>
      <c r="BD281" t="inlineStr">
        <is>
          <t>893686143</t>
        </is>
      </c>
    </row>
    <row r="282">
      <c r="A282" t="inlineStr">
        <is>
          <t>No</t>
        </is>
      </c>
      <c r="B282" t="inlineStr">
        <is>
          <t>BX1418.C4 B68 1994</t>
        </is>
      </c>
      <c r="C282" t="inlineStr">
        <is>
          <t>0                      BX 1418000C  4                  B  68          1994</t>
        </is>
      </c>
      <c r="D282" t="inlineStr">
        <is>
          <t>Bending the rules : what American priests tell American Catholics / Jim Bowman ; introduction by Andrew M. Greeley.</t>
        </is>
      </c>
      <c r="F282" t="inlineStr">
        <is>
          <t>No</t>
        </is>
      </c>
      <c r="G282" t="inlineStr">
        <is>
          <t>1</t>
        </is>
      </c>
      <c r="H282" t="inlineStr">
        <is>
          <t>No</t>
        </is>
      </c>
      <c r="I282" t="inlineStr">
        <is>
          <t>No</t>
        </is>
      </c>
      <c r="J282" t="inlineStr">
        <is>
          <t>0</t>
        </is>
      </c>
      <c r="K282" t="inlineStr">
        <is>
          <t>Bowman, Jim, 1931-</t>
        </is>
      </c>
      <c r="L282" t="inlineStr">
        <is>
          <t>New York : Crossroad, c1994.</t>
        </is>
      </c>
      <c r="M282" t="inlineStr">
        <is>
          <t>1994</t>
        </is>
      </c>
      <c r="O282" t="inlineStr">
        <is>
          <t>eng</t>
        </is>
      </c>
      <c r="P282" t="inlineStr">
        <is>
          <t>nyu</t>
        </is>
      </c>
      <c r="R282" t="inlineStr">
        <is>
          <t xml:space="preserve">BX </t>
        </is>
      </c>
      <c r="S282" t="n">
        <v>3</v>
      </c>
      <c r="T282" t="n">
        <v>3</v>
      </c>
      <c r="U282" t="inlineStr">
        <is>
          <t>1998-03-10</t>
        </is>
      </c>
      <c r="V282" t="inlineStr">
        <is>
          <t>1998-03-10</t>
        </is>
      </c>
      <c r="W282" t="inlineStr">
        <is>
          <t>1996-05-22</t>
        </is>
      </c>
      <c r="X282" t="inlineStr">
        <is>
          <t>1996-05-22</t>
        </is>
      </c>
      <c r="Y282" t="n">
        <v>196</v>
      </c>
      <c r="Z282" t="n">
        <v>175</v>
      </c>
      <c r="AA282" t="n">
        <v>177</v>
      </c>
      <c r="AB282" t="n">
        <v>2</v>
      </c>
      <c r="AC282" t="n">
        <v>2</v>
      </c>
      <c r="AD282" t="n">
        <v>12</v>
      </c>
      <c r="AE282" t="n">
        <v>12</v>
      </c>
      <c r="AF282" t="n">
        <v>2</v>
      </c>
      <c r="AG282" t="n">
        <v>2</v>
      </c>
      <c r="AH282" t="n">
        <v>5</v>
      </c>
      <c r="AI282" t="n">
        <v>5</v>
      </c>
      <c r="AJ282" t="n">
        <v>8</v>
      </c>
      <c r="AK282" t="n">
        <v>8</v>
      </c>
      <c r="AL282" t="n">
        <v>1</v>
      </c>
      <c r="AM282" t="n">
        <v>1</v>
      </c>
      <c r="AN282" t="n">
        <v>0</v>
      </c>
      <c r="AO282" t="n">
        <v>0</v>
      </c>
      <c r="AP282" t="inlineStr">
        <is>
          <t>No</t>
        </is>
      </c>
      <c r="AQ282" t="inlineStr">
        <is>
          <t>Yes</t>
        </is>
      </c>
      <c r="AR282">
        <f>HYPERLINK("http://catalog.hathitrust.org/Record/002886894","HathiTrust Record")</f>
        <v/>
      </c>
      <c r="AS282">
        <f>HYPERLINK("https://creighton-primo.hosted.exlibrisgroup.com/primo-explore/search?tab=default_tab&amp;search_scope=EVERYTHING&amp;vid=01CRU&amp;lang=en_US&amp;offset=0&amp;query=any,contains,991002299409702656","Catalog Record")</f>
        <v/>
      </c>
      <c r="AT282">
        <f>HYPERLINK("http://www.worldcat.org/oclc/29844613","WorldCat Record")</f>
        <v/>
      </c>
      <c r="AU282" t="inlineStr">
        <is>
          <t>32424443:eng</t>
        </is>
      </c>
      <c r="AV282" t="inlineStr">
        <is>
          <t>29844613</t>
        </is>
      </c>
      <c r="AW282" t="inlineStr">
        <is>
          <t>991002299409702656</t>
        </is>
      </c>
      <c r="AX282" t="inlineStr">
        <is>
          <t>991002299409702656</t>
        </is>
      </c>
      <c r="AY282" t="inlineStr">
        <is>
          <t>2265060510002656</t>
        </is>
      </c>
      <c r="AZ282" t="inlineStr">
        <is>
          <t>BOOK</t>
        </is>
      </c>
      <c r="BB282" t="inlineStr">
        <is>
          <t>9780824513603</t>
        </is>
      </c>
      <c r="BC282" t="inlineStr">
        <is>
          <t>32285002176922</t>
        </is>
      </c>
      <c r="BD282" t="inlineStr">
        <is>
          <t>893773453</t>
        </is>
      </c>
    </row>
    <row r="283">
      <c r="A283" t="inlineStr">
        <is>
          <t>No</t>
        </is>
      </c>
      <c r="B283" t="inlineStr">
        <is>
          <t>BX1418.F7 R7 1917</t>
        </is>
      </c>
      <c r="C283" t="inlineStr">
        <is>
          <t>0                      BX 1418000F  7                  R  7           1917</t>
        </is>
      </c>
      <c r="D283" t="inlineStr">
        <is>
          <t>Chronicles of an old Missouri parish : historical sketches of St. Michael's church, Fredericktown, Madison County, Mo. / By Rev. John Rothensteiner. Published under the auspices of the Knights of Columbus of Fredericktown, Mo.</t>
        </is>
      </c>
      <c r="F283" t="inlineStr">
        <is>
          <t>No</t>
        </is>
      </c>
      <c r="G283" t="inlineStr">
        <is>
          <t>1</t>
        </is>
      </c>
      <c r="H283" t="inlineStr">
        <is>
          <t>No</t>
        </is>
      </c>
      <c r="I283" t="inlineStr">
        <is>
          <t>No</t>
        </is>
      </c>
      <c r="J283" t="inlineStr">
        <is>
          <t>0</t>
        </is>
      </c>
      <c r="K283" t="inlineStr">
        <is>
          <t>Rothensteiner, John E. (John Ernest), 1860-1936.</t>
        </is>
      </c>
      <c r="L283" t="inlineStr">
        <is>
          <t>St. Louis, Mo. : "Amerika" print, 1917.</t>
        </is>
      </c>
      <c r="M283" t="inlineStr">
        <is>
          <t>1917</t>
        </is>
      </c>
      <c r="O283" t="inlineStr">
        <is>
          <t>eng</t>
        </is>
      </c>
      <c r="P283" t="inlineStr">
        <is>
          <t>mou</t>
        </is>
      </c>
      <c r="R283" t="inlineStr">
        <is>
          <t xml:space="preserve">BX </t>
        </is>
      </c>
      <c r="S283" t="n">
        <v>1</v>
      </c>
      <c r="T283" t="n">
        <v>1</v>
      </c>
      <c r="U283" t="inlineStr">
        <is>
          <t>2000-07-23</t>
        </is>
      </c>
      <c r="V283" t="inlineStr">
        <is>
          <t>2000-07-23</t>
        </is>
      </c>
      <c r="W283" t="inlineStr">
        <is>
          <t>1991-02-13</t>
        </is>
      </c>
      <c r="X283" t="inlineStr">
        <is>
          <t>1991-02-13</t>
        </is>
      </c>
      <c r="Y283" t="n">
        <v>31</v>
      </c>
      <c r="Z283" t="n">
        <v>31</v>
      </c>
      <c r="AA283" t="n">
        <v>62</v>
      </c>
      <c r="AB283" t="n">
        <v>1</v>
      </c>
      <c r="AC283" t="n">
        <v>1</v>
      </c>
      <c r="AD283" t="n">
        <v>1</v>
      </c>
      <c r="AE283" t="n">
        <v>4</v>
      </c>
      <c r="AF283" t="n">
        <v>0</v>
      </c>
      <c r="AG283" t="n">
        <v>0</v>
      </c>
      <c r="AH283" t="n">
        <v>1</v>
      </c>
      <c r="AI283" t="n">
        <v>2</v>
      </c>
      <c r="AJ283" t="n">
        <v>0</v>
      </c>
      <c r="AK283" t="n">
        <v>3</v>
      </c>
      <c r="AL283" t="n">
        <v>0</v>
      </c>
      <c r="AM283" t="n">
        <v>0</v>
      </c>
      <c r="AN283" t="n">
        <v>0</v>
      </c>
      <c r="AO283" t="n">
        <v>0</v>
      </c>
      <c r="AP283" t="inlineStr">
        <is>
          <t>Yes</t>
        </is>
      </c>
      <c r="AQ283" t="inlineStr">
        <is>
          <t>No</t>
        </is>
      </c>
      <c r="AR283">
        <f>HYPERLINK("http://catalog.hathitrust.org/Record/005922123","HathiTrust Record")</f>
        <v/>
      </c>
      <c r="AS283">
        <f>HYPERLINK("https://creighton-primo.hosted.exlibrisgroup.com/primo-explore/search?tab=default_tab&amp;search_scope=EVERYTHING&amp;vid=01CRU&amp;lang=en_US&amp;offset=0&amp;query=any,contains,991004397739702656","Catalog Record")</f>
        <v/>
      </c>
      <c r="AT283">
        <f>HYPERLINK("http://www.worldcat.org/oclc/3287632","WorldCat Record")</f>
        <v/>
      </c>
      <c r="AU283" t="inlineStr">
        <is>
          <t>1812794577:eng</t>
        </is>
      </c>
      <c r="AV283" t="inlineStr">
        <is>
          <t>3287632</t>
        </is>
      </c>
      <c r="AW283" t="inlineStr">
        <is>
          <t>991004397739702656</t>
        </is>
      </c>
      <c r="AX283" t="inlineStr">
        <is>
          <t>991004397739702656</t>
        </is>
      </c>
      <c r="AY283" t="inlineStr">
        <is>
          <t>2256246600002656</t>
        </is>
      </c>
      <c r="AZ283" t="inlineStr">
        <is>
          <t>BOOK</t>
        </is>
      </c>
      <c r="BC283" t="inlineStr">
        <is>
          <t>32285000507318</t>
        </is>
      </c>
      <c r="BD283" t="inlineStr">
        <is>
          <t>893775974</t>
        </is>
      </c>
    </row>
    <row r="284">
      <c r="A284" t="inlineStr">
        <is>
          <t>No</t>
        </is>
      </c>
      <c r="B284" t="inlineStr">
        <is>
          <t>BX1418.K2 G3 1920</t>
        </is>
      </c>
      <c r="C284" t="inlineStr">
        <is>
          <t>0                      BX 1418000K  2                  G  3           1920</t>
        </is>
      </c>
      <c r="D284" t="inlineStr">
        <is>
          <t>Catholic beginnings in Kansas City, Missouri : an historical sketch / by Gilbert J. Garraghan, S. J.</t>
        </is>
      </c>
      <c r="F284" t="inlineStr">
        <is>
          <t>No</t>
        </is>
      </c>
      <c r="G284" t="inlineStr">
        <is>
          <t>1</t>
        </is>
      </c>
      <c r="H284" t="inlineStr">
        <is>
          <t>No</t>
        </is>
      </c>
      <c r="I284" t="inlineStr">
        <is>
          <t>No</t>
        </is>
      </c>
      <c r="J284" t="inlineStr">
        <is>
          <t>0</t>
        </is>
      </c>
      <c r="K284" t="inlineStr">
        <is>
          <t>Garraghan, Gilbert J. (Gilbert Joseph), 1871-1942.</t>
        </is>
      </c>
      <c r="L284" t="inlineStr">
        <is>
          <t>Chicago, Ill. : Loyola University Press, 1920.</t>
        </is>
      </c>
      <c r="M284" t="inlineStr">
        <is>
          <t>1920</t>
        </is>
      </c>
      <c r="O284" t="inlineStr">
        <is>
          <t>eng</t>
        </is>
      </c>
      <c r="P284" t="inlineStr">
        <is>
          <t>ilu</t>
        </is>
      </c>
      <c r="R284" t="inlineStr">
        <is>
          <t xml:space="preserve">BX </t>
        </is>
      </c>
      <c r="S284" t="n">
        <v>1</v>
      </c>
      <c r="T284" t="n">
        <v>1</v>
      </c>
      <c r="U284" t="inlineStr">
        <is>
          <t>2000-07-23</t>
        </is>
      </c>
      <c r="V284" t="inlineStr">
        <is>
          <t>2000-07-23</t>
        </is>
      </c>
      <c r="W284" t="inlineStr">
        <is>
          <t>1991-02-13</t>
        </is>
      </c>
      <c r="X284" t="inlineStr">
        <is>
          <t>1991-02-13</t>
        </is>
      </c>
      <c r="Y284" t="n">
        <v>72</v>
      </c>
      <c r="Z284" t="n">
        <v>69</v>
      </c>
      <c r="AA284" t="n">
        <v>87</v>
      </c>
      <c r="AB284" t="n">
        <v>1</v>
      </c>
      <c r="AC284" t="n">
        <v>1</v>
      </c>
      <c r="AD284" t="n">
        <v>11</v>
      </c>
      <c r="AE284" t="n">
        <v>11</v>
      </c>
      <c r="AF284" t="n">
        <v>3</v>
      </c>
      <c r="AG284" t="n">
        <v>3</v>
      </c>
      <c r="AH284" t="n">
        <v>3</v>
      </c>
      <c r="AI284" t="n">
        <v>3</v>
      </c>
      <c r="AJ284" t="n">
        <v>9</v>
      </c>
      <c r="AK284" t="n">
        <v>9</v>
      </c>
      <c r="AL284" t="n">
        <v>0</v>
      </c>
      <c r="AM284" t="n">
        <v>0</v>
      </c>
      <c r="AN284" t="n">
        <v>0</v>
      </c>
      <c r="AO284" t="n">
        <v>0</v>
      </c>
      <c r="AP284" t="inlineStr">
        <is>
          <t>No</t>
        </is>
      </c>
      <c r="AQ284" t="inlineStr">
        <is>
          <t>No</t>
        </is>
      </c>
      <c r="AS284">
        <f>HYPERLINK("https://creighton-primo.hosted.exlibrisgroup.com/primo-explore/search?tab=default_tab&amp;search_scope=EVERYTHING&amp;vid=01CRU&amp;lang=en_US&amp;offset=0&amp;query=any,contains,991004733079702656","Catalog Record")</f>
        <v/>
      </c>
      <c r="AT284">
        <f>HYPERLINK("http://www.worldcat.org/oclc/4837769","WorldCat Record")</f>
        <v/>
      </c>
      <c r="AU284" t="inlineStr">
        <is>
          <t>15079737:eng</t>
        </is>
      </c>
      <c r="AV284" t="inlineStr">
        <is>
          <t>4837769</t>
        </is>
      </c>
      <c r="AW284" t="inlineStr">
        <is>
          <t>991004733079702656</t>
        </is>
      </c>
      <c r="AX284" t="inlineStr">
        <is>
          <t>991004733079702656</t>
        </is>
      </c>
      <c r="AY284" t="inlineStr">
        <is>
          <t>2263465300002656</t>
        </is>
      </c>
      <c r="AZ284" t="inlineStr">
        <is>
          <t>BOOK</t>
        </is>
      </c>
      <c r="BC284" t="inlineStr">
        <is>
          <t>32285000507326</t>
        </is>
      </c>
      <c r="BD284" t="inlineStr">
        <is>
          <t>893706766</t>
        </is>
      </c>
    </row>
    <row r="285">
      <c r="A285" t="inlineStr">
        <is>
          <t>No</t>
        </is>
      </c>
      <c r="B285" t="inlineStr">
        <is>
          <t>BX1421 .S35 1940</t>
        </is>
      </c>
      <c r="C285" t="inlineStr">
        <is>
          <t>0                      BX 1421000S  35          1940</t>
        </is>
      </c>
      <c r="D285" t="inlineStr">
        <is>
          <t>The flying priest over the Arctic : a story of everlasting ice and of everlasting love / by Father Paul Schulte, O.M.I.</t>
        </is>
      </c>
      <c r="F285" t="inlineStr">
        <is>
          <t>No</t>
        </is>
      </c>
      <c r="G285" t="inlineStr">
        <is>
          <t>1</t>
        </is>
      </c>
      <c r="H285" t="inlineStr">
        <is>
          <t>No</t>
        </is>
      </c>
      <c r="I285" t="inlineStr">
        <is>
          <t>No</t>
        </is>
      </c>
      <c r="J285" t="inlineStr">
        <is>
          <t>0</t>
        </is>
      </c>
      <c r="K285" t="inlineStr">
        <is>
          <t>Schulte, Paul, 1896-</t>
        </is>
      </c>
      <c r="L285" t="inlineStr">
        <is>
          <t>New York ; London : Harper &amp; Bros., [c1940]</t>
        </is>
      </c>
      <c r="M285" t="inlineStr">
        <is>
          <t>1940</t>
        </is>
      </c>
      <c r="O285" t="inlineStr">
        <is>
          <t>eng</t>
        </is>
      </c>
      <c r="P285" t="inlineStr">
        <is>
          <t>nyu</t>
        </is>
      </c>
      <c r="R285" t="inlineStr">
        <is>
          <t xml:space="preserve">BX </t>
        </is>
      </c>
      <c r="S285" t="n">
        <v>1</v>
      </c>
      <c r="T285" t="n">
        <v>1</v>
      </c>
      <c r="U285" t="inlineStr">
        <is>
          <t>1998-02-10</t>
        </is>
      </c>
      <c r="V285" t="inlineStr">
        <is>
          <t>1998-02-10</t>
        </is>
      </c>
      <c r="W285" t="inlineStr">
        <is>
          <t>1991-02-13</t>
        </is>
      </c>
      <c r="X285" t="inlineStr">
        <is>
          <t>1991-02-13</t>
        </is>
      </c>
      <c r="Y285" t="n">
        <v>188</v>
      </c>
      <c r="Z285" t="n">
        <v>159</v>
      </c>
      <c r="AA285" t="n">
        <v>167</v>
      </c>
      <c r="AB285" t="n">
        <v>3</v>
      </c>
      <c r="AC285" t="n">
        <v>3</v>
      </c>
      <c r="AD285" t="n">
        <v>13</v>
      </c>
      <c r="AE285" t="n">
        <v>13</v>
      </c>
      <c r="AF285" t="n">
        <v>1</v>
      </c>
      <c r="AG285" t="n">
        <v>1</v>
      </c>
      <c r="AH285" t="n">
        <v>4</v>
      </c>
      <c r="AI285" t="n">
        <v>4</v>
      </c>
      <c r="AJ285" t="n">
        <v>10</v>
      </c>
      <c r="AK285" t="n">
        <v>10</v>
      </c>
      <c r="AL285" t="n">
        <v>0</v>
      </c>
      <c r="AM285" t="n">
        <v>0</v>
      </c>
      <c r="AN285" t="n">
        <v>0</v>
      </c>
      <c r="AO285" t="n">
        <v>0</v>
      </c>
      <c r="AP285" t="inlineStr">
        <is>
          <t>No</t>
        </is>
      </c>
      <c r="AQ285" t="inlineStr">
        <is>
          <t>Yes</t>
        </is>
      </c>
      <c r="AR285">
        <f>HYPERLINK("http://catalog.hathitrust.org/Record/005922128","HathiTrust Record")</f>
        <v/>
      </c>
      <c r="AS285">
        <f>HYPERLINK("https://creighton-primo.hosted.exlibrisgroup.com/primo-explore/search?tab=default_tab&amp;search_scope=EVERYTHING&amp;vid=01CRU&amp;lang=en_US&amp;offset=0&amp;query=any,contains,991003768389702656","Catalog Record")</f>
        <v/>
      </c>
      <c r="AT285">
        <f>HYPERLINK("http://www.worldcat.org/oclc/1463669","WorldCat Record")</f>
        <v/>
      </c>
      <c r="AU285" t="inlineStr">
        <is>
          <t>347348370:eng</t>
        </is>
      </c>
      <c r="AV285" t="inlineStr">
        <is>
          <t>1463669</t>
        </is>
      </c>
      <c r="AW285" t="inlineStr">
        <is>
          <t>991003768389702656</t>
        </is>
      </c>
      <c r="AX285" t="inlineStr">
        <is>
          <t>991003768389702656</t>
        </is>
      </c>
      <c r="AY285" t="inlineStr">
        <is>
          <t>2259124380002656</t>
        </is>
      </c>
      <c r="AZ285" t="inlineStr">
        <is>
          <t>BOOK</t>
        </is>
      </c>
      <c r="BC285" t="inlineStr">
        <is>
          <t>32285000507359</t>
        </is>
      </c>
      <c r="BD285" t="inlineStr">
        <is>
          <t>893422934</t>
        </is>
      </c>
    </row>
    <row r="286">
      <c r="A286" t="inlineStr">
        <is>
          <t>No</t>
        </is>
      </c>
      <c r="B286" t="inlineStr">
        <is>
          <t>BX1425.A1 C64 1993</t>
        </is>
      </c>
      <c r="C286" t="inlineStr">
        <is>
          <t>0                      BX 1425000A  1                  C  64          1993</t>
        </is>
      </c>
      <c r="D286" t="inlineStr">
        <is>
          <t>Santo Domingo and beyond : documents and commentaries from the Fourth General Conference of Latin American Bishops / edited by Alfred T. Hennelly.</t>
        </is>
      </c>
      <c r="F286" t="inlineStr">
        <is>
          <t>No</t>
        </is>
      </c>
      <c r="G286" t="inlineStr">
        <is>
          <t>1</t>
        </is>
      </c>
      <c r="H286" t="inlineStr">
        <is>
          <t>No</t>
        </is>
      </c>
      <c r="I286" t="inlineStr">
        <is>
          <t>No</t>
        </is>
      </c>
      <c r="J286" t="inlineStr">
        <is>
          <t>0</t>
        </is>
      </c>
      <c r="K286" t="inlineStr">
        <is>
          <t>Conferencia General del Episcopado Latinoamericano (4th : 1992 : Santo Domingo, Dominican Republic)</t>
        </is>
      </c>
      <c r="L286" t="inlineStr">
        <is>
          <t>Maryknoll, N.Y. : Orbis Books, c1993.</t>
        </is>
      </c>
      <c r="M286" t="inlineStr">
        <is>
          <t>1993</t>
        </is>
      </c>
      <c r="O286" t="inlineStr">
        <is>
          <t>eng</t>
        </is>
      </c>
      <c r="P286" t="inlineStr">
        <is>
          <t>nyu</t>
        </is>
      </c>
      <c r="R286" t="inlineStr">
        <is>
          <t xml:space="preserve">BX </t>
        </is>
      </c>
      <c r="S286" t="n">
        <v>9</v>
      </c>
      <c r="T286" t="n">
        <v>9</v>
      </c>
      <c r="U286" t="inlineStr">
        <is>
          <t>2006-02-13</t>
        </is>
      </c>
      <c r="V286" t="inlineStr">
        <is>
          <t>2006-02-13</t>
        </is>
      </c>
      <c r="W286" t="inlineStr">
        <is>
          <t>1996-01-19</t>
        </is>
      </c>
      <c r="X286" t="inlineStr">
        <is>
          <t>1996-01-19</t>
        </is>
      </c>
      <c r="Y286" t="n">
        <v>221</v>
      </c>
      <c r="Z286" t="n">
        <v>188</v>
      </c>
      <c r="AA286" t="n">
        <v>190</v>
      </c>
      <c r="AB286" t="n">
        <v>2</v>
      </c>
      <c r="AC286" t="n">
        <v>2</v>
      </c>
      <c r="AD286" t="n">
        <v>20</v>
      </c>
      <c r="AE286" t="n">
        <v>20</v>
      </c>
      <c r="AF286" t="n">
        <v>4</v>
      </c>
      <c r="AG286" t="n">
        <v>4</v>
      </c>
      <c r="AH286" t="n">
        <v>4</v>
      </c>
      <c r="AI286" t="n">
        <v>4</v>
      </c>
      <c r="AJ286" t="n">
        <v>14</v>
      </c>
      <c r="AK286" t="n">
        <v>14</v>
      </c>
      <c r="AL286" t="n">
        <v>1</v>
      </c>
      <c r="AM286" t="n">
        <v>1</v>
      </c>
      <c r="AN286" t="n">
        <v>0</v>
      </c>
      <c r="AO286" t="n">
        <v>0</v>
      </c>
      <c r="AP286" t="inlineStr">
        <is>
          <t>No</t>
        </is>
      </c>
      <c r="AQ286" t="inlineStr">
        <is>
          <t>Yes</t>
        </is>
      </c>
      <c r="AR286">
        <f>HYPERLINK("http://catalog.hathitrust.org/Record/002856086","HathiTrust Record")</f>
        <v/>
      </c>
      <c r="AS286">
        <f>HYPERLINK("https://creighton-primo.hosted.exlibrisgroup.com/primo-explore/search?tab=default_tab&amp;search_scope=EVERYTHING&amp;vid=01CRU&amp;lang=en_US&amp;offset=0&amp;query=any,contains,991002240289702656","Catalog Record")</f>
        <v/>
      </c>
      <c r="AT286">
        <f>HYPERLINK("http://www.worldcat.org/oclc/28890604","WorldCat Record")</f>
        <v/>
      </c>
      <c r="AU286" t="inlineStr">
        <is>
          <t>138755917:eng</t>
        </is>
      </c>
      <c r="AV286" t="inlineStr">
        <is>
          <t>28890604</t>
        </is>
      </c>
      <c r="AW286" t="inlineStr">
        <is>
          <t>991002240289702656</t>
        </is>
      </c>
      <c r="AX286" t="inlineStr">
        <is>
          <t>991002240289702656</t>
        </is>
      </c>
      <c r="AY286" t="inlineStr">
        <is>
          <t>2262852480002656</t>
        </is>
      </c>
      <c r="AZ286" t="inlineStr">
        <is>
          <t>BOOK</t>
        </is>
      </c>
      <c r="BB286" t="inlineStr">
        <is>
          <t>9780883449202</t>
        </is>
      </c>
      <c r="BC286" t="inlineStr">
        <is>
          <t>32285002119880</t>
        </is>
      </c>
      <c r="BD286" t="inlineStr">
        <is>
          <t>893497877</t>
        </is>
      </c>
    </row>
    <row r="287">
      <c r="A287" t="inlineStr">
        <is>
          <t>No</t>
        </is>
      </c>
      <c r="B287" t="inlineStr">
        <is>
          <t>BX1426.2 .C6 1967</t>
        </is>
      </c>
      <c r="C287" t="inlineStr">
        <is>
          <t>0                      BX 1426200C  6           1967</t>
        </is>
      </c>
      <c r="D287" t="inlineStr">
        <is>
          <t>The religious dimension in the new Latin America / edited by John J. Considine.</t>
        </is>
      </c>
      <c r="F287" t="inlineStr">
        <is>
          <t>No</t>
        </is>
      </c>
      <c r="G287" t="inlineStr">
        <is>
          <t>1</t>
        </is>
      </c>
      <c r="H287" t="inlineStr">
        <is>
          <t>No</t>
        </is>
      </c>
      <c r="I287" t="inlineStr">
        <is>
          <t>No</t>
        </is>
      </c>
      <c r="J287" t="inlineStr">
        <is>
          <t>0</t>
        </is>
      </c>
      <c r="K287" t="inlineStr">
        <is>
          <t>Considine, John Joseph, 1897-1982, editor.</t>
        </is>
      </c>
      <c r="L287" t="inlineStr">
        <is>
          <t>Notre Dame, Ind. : Fides Publishers, [1967, c1966]</t>
        </is>
      </c>
      <c r="M287" t="inlineStr">
        <is>
          <t>1967</t>
        </is>
      </c>
      <c r="O287" t="inlineStr">
        <is>
          <t>eng</t>
        </is>
      </c>
      <c r="P287" t="inlineStr">
        <is>
          <t>inu</t>
        </is>
      </c>
      <c r="Q287" t="inlineStr">
        <is>
          <t>A Fides paperback textbook</t>
        </is>
      </c>
      <c r="R287" t="inlineStr">
        <is>
          <t xml:space="preserve">BX </t>
        </is>
      </c>
      <c r="S287" t="n">
        <v>9</v>
      </c>
      <c r="T287" t="n">
        <v>9</v>
      </c>
      <c r="U287" t="inlineStr">
        <is>
          <t>1998-11-19</t>
        </is>
      </c>
      <c r="V287" t="inlineStr">
        <is>
          <t>1998-11-19</t>
        </is>
      </c>
      <c r="W287" t="inlineStr">
        <is>
          <t>1991-02-13</t>
        </is>
      </c>
      <c r="X287" t="inlineStr">
        <is>
          <t>1991-02-13</t>
        </is>
      </c>
      <c r="Y287" t="n">
        <v>185</v>
      </c>
      <c r="Z287" t="n">
        <v>180</v>
      </c>
      <c r="AA287" t="n">
        <v>201</v>
      </c>
      <c r="AB287" t="n">
        <v>1</v>
      </c>
      <c r="AC287" t="n">
        <v>1</v>
      </c>
      <c r="AD287" t="n">
        <v>18</v>
      </c>
      <c r="AE287" t="n">
        <v>19</v>
      </c>
      <c r="AF287" t="n">
        <v>4</v>
      </c>
      <c r="AG287" t="n">
        <v>4</v>
      </c>
      <c r="AH287" t="n">
        <v>7</v>
      </c>
      <c r="AI287" t="n">
        <v>7</v>
      </c>
      <c r="AJ287" t="n">
        <v>14</v>
      </c>
      <c r="AK287" t="n">
        <v>15</v>
      </c>
      <c r="AL287" t="n">
        <v>0</v>
      </c>
      <c r="AM287" t="n">
        <v>0</v>
      </c>
      <c r="AN287" t="n">
        <v>0</v>
      </c>
      <c r="AO287" t="n">
        <v>0</v>
      </c>
      <c r="AP287" t="inlineStr">
        <is>
          <t>No</t>
        </is>
      </c>
      <c r="AQ287" t="inlineStr">
        <is>
          <t>Yes</t>
        </is>
      </c>
      <c r="AR287">
        <f>HYPERLINK("http://catalog.hathitrust.org/Record/101520658","HathiTrust Record")</f>
        <v/>
      </c>
      <c r="AS287">
        <f>HYPERLINK("https://creighton-primo.hosted.exlibrisgroup.com/primo-explore/search?tab=default_tab&amp;search_scope=EVERYTHING&amp;vid=01CRU&amp;lang=en_US&amp;offset=0&amp;query=any,contains,991003372289702656","Catalog Record")</f>
        <v/>
      </c>
      <c r="AT287">
        <f>HYPERLINK("http://www.worldcat.org/oclc/908377","WorldCat Record")</f>
        <v/>
      </c>
      <c r="AU287" t="inlineStr">
        <is>
          <t>43237057:eng</t>
        </is>
      </c>
      <c r="AV287" t="inlineStr">
        <is>
          <t>908377</t>
        </is>
      </c>
      <c r="AW287" t="inlineStr">
        <is>
          <t>991003372289702656</t>
        </is>
      </c>
      <c r="AX287" t="inlineStr">
        <is>
          <t>991003372289702656</t>
        </is>
      </c>
      <c r="AY287" t="inlineStr">
        <is>
          <t>2261395900002656</t>
        </is>
      </c>
      <c r="AZ287" t="inlineStr">
        <is>
          <t>BOOK</t>
        </is>
      </c>
      <c r="BC287" t="inlineStr">
        <is>
          <t>32285000507425</t>
        </is>
      </c>
      <c r="BD287" t="inlineStr">
        <is>
          <t>893874708</t>
        </is>
      </c>
    </row>
    <row r="288">
      <c r="A288" t="inlineStr">
        <is>
          <t>No</t>
        </is>
      </c>
      <c r="B288" t="inlineStr">
        <is>
          <t>BX1426.2 .G73 1977</t>
        </is>
      </c>
      <c r="C288" t="inlineStr">
        <is>
          <t>0                      BX 1426200G  73          1977</t>
        </is>
      </c>
      <c r="D288" t="inlineStr">
        <is>
          <t>The Roman Catholic Church in colonial Latin America / edited with an introduction by Richard E. Greenleaf.</t>
        </is>
      </c>
      <c r="F288" t="inlineStr">
        <is>
          <t>No</t>
        </is>
      </c>
      <c r="G288" t="inlineStr">
        <is>
          <t>1</t>
        </is>
      </c>
      <c r="H288" t="inlineStr">
        <is>
          <t>No</t>
        </is>
      </c>
      <c r="I288" t="inlineStr">
        <is>
          <t>No</t>
        </is>
      </c>
      <c r="J288" t="inlineStr">
        <is>
          <t>0</t>
        </is>
      </c>
      <c r="K288" t="inlineStr">
        <is>
          <t>Greenleaf, Richard E., compiler.</t>
        </is>
      </c>
      <c r="L288" t="inlineStr">
        <is>
          <t>Tempe, Arizona : Center for Latin American Studies, Arizona State University, 1977.</t>
        </is>
      </c>
      <c r="M288" t="inlineStr">
        <is>
          <t>1977</t>
        </is>
      </c>
      <c r="O288" t="inlineStr">
        <is>
          <t>eng</t>
        </is>
      </c>
      <c r="P288" t="inlineStr">
        <is>
          <t xml:space="preserve">xx </t>
        </is>
      </c>
      <c r="R288" t="inlineStr">
        <is>
          <t xml:space="preserve">BX </t>
        </is>
      </c>
      <c r="S288" t="n">
        <v>1</v>
      </c>
      <c r="T288" t="n">
        <v>1</v>
      </c>
      <c r="U288" t="inlineStr">
        <is>
          <t>2008-12-09</t>
        </is>
      </c>
      <c r="V288" t="inlineStr">
        <is>
          <t>2008-12-09</t>
        </is>
      </c>
      <c r="W288" t="inlineStr">
        <is>
          <t>1990-04-12</t>
        </is>
      </c>
      <c r="X288" t="inlineStr">
        <is>
          <t>1990-04-12</t>
        </is>
      </c>
      <c r="Y288" t="n">
        <v>57</v>
      </c>
      <c r="Z288" t="n">
        <v>52</v>
      </c>
      <c r="AA288" t="n">
        <v>633</v>
      </c>
      <c r="AB288" t="n">
        <v>1</v>
      </c>
      <c r="AC288" t="n">
        <v>7</v>
      </c>
      <c r="AD288" t="n">
        <v>0</v>
      </c>
      <c r="AE288" t="n">
        <v>33</v>
      </c>
      <c r="AF288" t="n">
        <v>0</v>
      </c>
      <c r="AG288" t="n">
        <v>10</v>
      </c>
      <c r="AH288" t="n">
        <v>0</v>
      </c>
      <c r="AI288" t="n">
        <v>8</v>
      </c>
      <c r="AJ288" t="n">
        <v>0</v>
      </c>
      <c r="AK288" t="n">
        <v>20</v>
      </c>
      <c r="AL288" t="n">
        <v>0</v>
      </c>
      <c r="AM288" t="n">
        <v>6</v>
      </c>
      <c r="AN288" t="n">
        <v>0</v>
      </c>
      <c r="AO288" t="n">
        <v>0</v>
      </c>
      <c r="AP288" t="inlineStr">
        <is>
          <t>No</t>
        </is>
      </c>
      <c r="AQ288" t="inlineStr">
        <is>
          <t>Yes</t>
        </is>
      </c>
      <c r="AR288">
        <f>HYPERLINK("http://catalog.hathitrust.org/Record/000173939","HathiTrust Record")</f>
        <v/>
      </c>
      <c r="AS288">
        <f>HYPERLINK("https://creighton-primo.hosted.exlibrisgroup.com/primo-explore/search?tab=default_tab&amp;search_scope=EVERYTHING&amp;vid=01CRU&amp;lang=en_US&amp;offset=0&amp;query=any,contains,991004543889702656","Catalog Record")</f>
        <v/>
      </c>
      <c r="AT288">
        <f>HYPERLINK("http://www.worldcat.org/oclc/3911110","WorldCat Record")</f>
        <v/>
      </c>
      <c r="AU288" t="inlineStr">
        <is>
          <t>1241344:eng</t>
        </is>
      </c>
      <c r="AV288" t="inlineStr">
        <is>
          <t>3911110</t>
        </is>
      </c>
      <c r="AW288" t="inlineStr">
        <is>
          <t>991004543889702656</t>
        </is>
      </c>
      <c r="AX288" t="inlineStr">
        <is>
          <t>991004543889702656</t>
        </is>
      </c>
      <c r="AY288" t="inlineStr">
        <is>
          <t>2259705390002656</t>
        </is>
      </c>
      <c r="AZ288" t="inlineStr">
        <is>
          <t>BOOK</t>
        </is>
      </c>
      <c r="BB288" t="inlineStr">
        <is>
          <t>9780879180348</t>
        </is>
      </c>
      <c r="BC288" t="inlineStr">
        <is>
          <t>32285000121722</t>
        </is>
      </c>
      <c r="BD288" t="inlineStr">
        <is>
          <t>893247702</t>
        </is>
      </c>
    </row>
    <row r="289">
      <c r="A289" t="inlineStr">
        <is>
          <t>No</t>
        </is>
      </c>
      <c r="B289" t="inlineStr">
        <is>
          <t>BX1426.2 .H57 1992</t>
        </is>
      </c>
      <c r="C289" t="inlineStr">
        <is>
          <t>0                      BX 1426200H  57          1992</t>
        </is>
      </c>
      <c r="D289" t="inlineStr">
        <is>
          <t>Historia de la Iglesia en Hispanoamérica y Filipinas (siglos XV-XIX) / obra dirigida por Pedro Borges.</t>
        </is>
      </c>
      <c r="E289" t="inlineStr">
        <is>
          <t>V.2</t>
        </is>
      </c>
      <c r="F289" t="inlineStr">
        <is>
          <t>Yes</t>
        </is>
      </c>
      <c r="G289" t="inlineStr">
        <is>
          <t>1</t>
        </is>
      </c>
      <c r="H289" t="inlineStr">
        <is>
          <t>No</t>
        </is>
      </c>
      <c r="I289" t="inlineStr">
        <is>
          <t>No</t>
        </is>
      </c>
      <c r="J289" t="inlineStr">
        <is>
          <t>0</t>
        </is>
      </c>
      <c r="L289" t="inlineStr">
        <is>
          <t>Madrid : Biblioteca de Autores Cristianos, 1992-</t>
        </is>
      </c>
      <c r="M289" t="inlineStr">
        <is>
          <t>1992</t>
        </is>
      </c>
      <c r="O289" t="inlineStr">
        <is>
          <t>spa</t>
        </is>
      </c>
      <c r="P289" t="inlineStr">
        <is>
          <t xml:space="preserve">sp </t>
        </is>
      </c>
      <c r="Q289" t="inlineStr">
        <is>
          <t>Biblioteca de autores cristianos. Maior ; 37, 42</t>
        </is>
      </c>
      <c r="R289" t="inlineStr">
        <is>
          <t xml:space="preserve">BX </t>
        </is>
      </c>
      <c r="S289" t="n">
        <v>0</v>
      </c>
      <c r="T289" t="n">
        <v>0</v>
      </c>
      <c r="U289" t="inlineStr">
        <is>
          <t>2004-09-23</t>
        </is>
      </c>
      <c r="V289" t="inlineStr">
        <is>
          <t>2004-09-23</t>
        </is>
      </c>
      <c r="W289" t="inlineStr">
        <is>
          <t>1996-04-08</t>
        </is>
      </c>
      <c r="X289" t="inlineStr">
        <is>
          <t>1996-04-08</t>
        </is>
      </c>
      <c r="Y289" t="n">
        <v>72</v>
      </c>
      <c r="Z289" t="n">
        <v>56</v>
      </c>
      <c r="AA289" t="n">
        <v>58</v>
      </c>
      <c r="AB289" t="n">
        <v>1</v>
      </c>
      <c r="AC289" t="n">
        <v>1</v>
      </c>
      <c r="AD289" t="n">
        <v>5</v>
      </c>
      <c r="AE289" t="n">
        <v>5</v>
      </c>
      <c r="AF289" t="n">
        <v>0</v>
      </c>
      <c r="AG289" t="n">
        <v>0</v>
      </c>
      <c r="AH289" t="n">
        <v>2</v>
      </c>
      <c r="AI289" t="n">
        <v>2</v>
      </c>
      <c r="AJ289" t="n">
        <v>4</v>
      </c>
      <c r="AK289" t="n">
        <v>4</v>
      </c>
      <c r="AL289" t="n">
        <v>0</v>
      </c>
      <c r="AM289" t="n">
        <v>0</v>
      </c>
      <c r="AN289" t="n">
        <v>0</v>
      </c>
      <c r="AO289" t="n">
        <v>0</v>
      </c>
      <c r="AP289" t="inlineStr">
        <is>
          <t>No</t>
        </is>
      </c>
      <c r="AQ289" t="inlineStr">
        <is>
          <t>Yes</t>
        </is>
      </c>
      <c r="AR289">
        <f>HYPERLINK("http://catalog.hathitrust.org/Record/003600848","HathiTrust Record")</f>
        <v/>
      </c>
      <c r="AS289">
        <f>HYPERLINK("https://creighton-primo.hosted.exlibrisgroup.com/primo-explore/search?tab=default_tab&amp;search_scope=EVERYTHING&amp;vid=01CRU&amp;lang=en_US&amp;offset=0&amp;query=any,contains,991002094949702656","Catalog Record")</f>
        <v/>
      </c>
      <c r="AT289">
        <f>HYPERLINK("http://www.worldcat.org/oclc/26856768","WorldCat Record")</f>
        <v/>
      </c>
      <c r="AU289" t="inlineStr">
        <is>
          <t>5611425313:spa</t>
        </is>
      </c>
      <c r="AV289" t="inlineStr">
        <is>
          <t>26856768</t>
        </is>
      </c>
      <c r="AW289" t="inlineStr">
        <is>
          <t>991002094949702656</t>
        </is>
      </c>
      <c r="AX289" t="inlineStr">
        <is>
          <t>991002094949702656</t>
        </is>
      </c>
      <c r="AY289" t="inlineStr">
        <is>
          <t>2266845660002656</t>
        </is>
      </c>
      <c r="AZ289" t="inlineStr">
        <is>
          <t>BOOK</t>
        </is>
      </c>
      <c r="BB289" t="inlineStr">
        <is>
          <t>9788479140533</t>
        </is>
      </c>
      <c r="BC289" t="inlineStr">
        <is>
          <t>32285002151008</t>
        </is>
      </c>
      <c r="BD289" t="inlineStr">
        <is>
          <t>893716042</t>
        </is>
      </c>
    </row>
    <row r="290">
      <c r="A290" t="inlineStr">
        <is>
          <t>No</t>
        </is>
      </c>
      <c r="B290" t="inlineStr">
        <is>
          <t>BX1426.2 .H57 1992</t>
        </is>
      </c>
      <c r="C290" t="inlineStr">
        <is>
          <t>0                      BX 1426200H  57          1992</t>
        </is>
      </c>
      <c r="D290" t="inlineStr">
        <is>
          <t>Historia de la Iglesia en Hispanoamérica y Filipinas (siglos XV-XIX) / obra dirigida por Pedro Borges.</t>
        </is>
      </c>
      <c r="E290" t="inlineStr">
        <is>
          <t>V.1</t>
        </is>
      </c>
      <c r="F290" t="inlineStr">
        <is>
          <t>Yes</t>
        </is>
      </c>
      <c r="G290" t="inlineStr">
        <is>
          <t>1</t>
        </is>
      </c>
      <c r="H290" t="inlineStr">
        <is>
          <t>No</t>
        </is>
      </c>
      <c r="I290" t="inlineStr">
        <is>
          <t>No</t>
        </is>
      </c>
      <c r="J290" t="inlineStr">
        <is>
          <t>0</t>
        </is>
      </c>
      <c r="L290" t="inlineStr">
        <is>
          <t>Madrid : Biblioteca de Autores Cristianos, 1992-</t>
        </is>
      </c>
      <c r="M290" t="inlineStr">
        <is>
          <t>1992</t>
        </is>
      </c>
      <c r="O290" t="inlineStr">
        <is>
          <t>spa</t>
        </is>
      </c>
      <c r="P290" t="inlineStr">
        <is>
          <t xml:space="preserve">sp </t>
        </is>
      </c>
      <c r="Q290" t="inlineStr">
        <is>
          <t>Biblioteca de autores cristianos. Maior ; 37, 42</t>
        </is>
      </c>
      <c r="R290" t="inlineStr">
        <is>
          <t xml:space="preserve">BX </t>
        </is>
      </c>
      <c r="S290" t="n">
        <v>0</v>
      </c>
      <c r="T290" t="n">
        <v>0</v>
      </c>
      <c r="U290" t="inlineStr">
        <is>
          <t>2004-09-23</t>
        </is>
      </c>
      <c r="V290" t="inlineStr">
        <is>
          <t>2004-09-23</t>
        </is>
      </c>
      <c r="W290" t="inlineStr">
        <is>
          <t>1996-03-29</t>
        </is>
      </c>
      <c r="X290" t="inlineStr">
        <is>
          <t>1996-04-08</t>
        </is>
      </c>
      <c r="Y290" t="n">
        <v>72</v>
      </c>
      <c r="Z290" t="n">
        <v>56</v>
      </c>
      <c r="AA290" t="n">
        <v>58</v>
      </c>
      <c r="AB290" t="n">
        <v>1</v>
      </c>
      <c r="AC290" t="n">
        <v>1</v>
      </c>
      <c r="AD290" t="n">
        <v>5</v>
      </c>
      <c r="AE290" t="n">
        <v>5</v>
      </c>
      <c r="AF290" t="n">
        <v>0</v>
      </c>
      <c r="AG290" t="n">
        <v>0</v>
      </c>
      <c r="AH290" t="n">
        <v>2</v>
      </c>
      <c r="AI290" t="n">
        <v>2</v>
      </c>
      <c r="AJ290" t="n">
        <v>4</v>
      </c>
      <c r="AK290" t="n">
        <v>4</v>
      </c>
      <c r="AL290" t="n">
        <v>0</v>
      </c>
      <c r="AM290" t="n">
        <v>0</v>
      </c>
      <c r="AN290" t="n">
        <v>0</v>
      </c>
      <c r="AO290" t="n">
        <v>0</v>
      </c>
      <c r="AP290" t="inlineStr">
        <is>
          <t>No</t>
        </is>
      </c>
      <c r="AQ290" t="inlineStr">
        <is>
          <t>Yes</t>
        </is>
      </c>
      <c r="AR290">
        <f>HYPERLINK("http://catalog.hathitrust.org/Record/003600848","HathiTrust Record")</f>
        <v/>
      </c>
      <c r="AS290">
        <f>HYPERLINK("https://creighton-primo.hosted.exlibrisgroup.com/primo-explore/search?tab=default_tab&amp;search_scope=EVERYTHING&amp;vid=01CRU&amp;lang=en_US&amp;offset=0&amp;query=any,contains,991002094949702656","Catalog Record")</f>
        <v/>
      </c>
      <c r="AT290">
        <f>HYPERLINK("http://www.worldcat.org/oclc/26856768","WorldCat Record")</f>
        <v/>
      </c>
      <c r="AU290" t="inlineStr">
        <is>
          <t>5611425313:spa</t>
        </is>
      </c>
      <c r="AV290" t="inlineStr">
        <is>
          <t>26856768</t>
        </is>
      </c>
      <c r="AW290" t="inlineStr">
        <is>
          <t>991002094949702656</t>
        </is>
      </c>
      <c r="AX290" t="inlineStr">
        <is>
          <t>991002094949702656</t>
        </is>
      </c>
      <c r="AY290" t="inlineStr">
        <is>
          <t>2266845660002656</t>
        </is>
      </c>
      <c r="AZ290" t="inlineStr">
        <is>
          <t>BOOK</t>
        </is>
      </c>
      <c r="BB290" t="inlineStr">
        <is>
          <t>9788479140533</t>
        </is>
      </c>
      <c r="BC290" t="inlineStr">
        <is>
          <t>32285002148277</t>
        </is>
      </c>
      <c r="BD290" t="inlineStr">
        <is>
          <t>893697333</t>
        </is>
      </c>
    </row>
    <row r="291">
      <c r="A291" t="inlineStr">
        <is>
          <t>No</t>
        </is>
      </c>
      <c r="B291" t="inlineStr">
        <is>
          <t>BX1426.2 .R5313 1987</t>
        </is>
      </c>
      <c r="C291" t="inlineStr">
        <is>
          <t>0                      BX 1426200R  5313        1987</t>
        </is>
      </c>
      <c r="D291" t="inlineStr">
        <is>
          <t>Death of christendoms, birth of the church : historical analysis and theological interpretation of the church in Latin America / Pablo Richard ; translated from the French and Spanish by Phillip Berryman.</t>
        </is>
      </c>
      <c r="F291" t="inlineStr">
        <is>
          <t>No</t>
        </is>
      </c>
      <c r="G291" t="inlineStr">
        <is>
          <t>1</t>
        </is>
      </c>
      <c r="H291" t="inlineStr">
        <is>
          <t>No</t>
        </is>
      </c>
      <c r="I291" t="inlineStr">
        <is>
          <t>No</t>
        </is>
      </c>
      <c r="J291" t="inlineStr">
        <is>
          <t>0</t>
        </is>
      </c>
      <c r="K291" t="inlineStr">
        <is>
          <t>Richard, Pablo.</t>
        </is>
      </c>
      <c r="L291" t="inlineStr">
        <is>
          <t>Maryknoll, NY : Orbis Books, c1987.</t>
        </is>
      </c>
      <c r="M291" t="inlineStr">
        <is>
          <t>1987</t>
        </is>
      </c>
      <c r="O291" t="inlineStr">
        <is>
          <t>eng</t>
        </is>
      </c>
      <c r="P291" t="inlineStr">
        <is>
          <t>nyu</t>
        </is>
      </c>
      <c r="R291" t="inlineStr">
        <is>
          <t xml:space="preserve">BX </t>
        </is>
      </c>
      <c r="S291" t="n">
        <v>7</v>
      </c>
      <c r="T291" t="n">
        <v>7</v>
      </c>
      <c r="U291" t="inlineStr">
        <is>
          <t>2009-04-24</t>
        </is>
      </c>
      <c r="V291" t="inlineStr">
        <is>
          <t>2009-04-24</t>
        </is>
      </c>
      <c r="W291" t="inlineStr">
        <is>
          <t>1990-04-20</t>
        </is>
      </c>
      <c r="X291" t="inlineStr">
        <is>
          <t>1990-04-20</t>
        </is>
      </c>
      <c r="Y291" t="n">
        <v>297</v>
      </c>
      <c r="Z291" t="n">
        <v>243</v>
      </c>
      <c r="AA291" t="n">
        <v>246</v>
      </c>
      <c r="AB291" t="n">
        <v>2</v>
      </c>
      <c r="AC291" t="n">
        <v>2</v>
      </c>
      <c r="AD291" t="n">
        <v>20</v>
      </c>
      <c r="AE291" t="n">
        <v>20</v>
      </c>
      <c r="AF291" t="n">
        <v>5</v>
      </c>
      <c r="AG291" t="n">
        <v>5</v>
      </c>
      <c r="AH291" t="n">
        <v>7</v>
      </c>
      <c r="AI291" t="n">
        <v>7</v>
      </c>
      <c r="AJ291" t="n">
        <v>14</v>
      </c>
      <c r="AK291" t="n">
        <v>14</v>
      </c>
      <c r="AL291" t="n">
        <v>1</v>
      </c>
      <c r="AM291" t="n">
        <v>1</v>
      </c>
      <c r="AN291" t="n">
        <v>0</v>
      </c>
      <c r="AO291" t="n">
        <v>0</v>
      </c>
      <c r="AP291" t="inlineStr">
        <is>
          <t>No</t>
        </is>
      </c>
      <c r="AQ291" t="inlineStr">
        <is>
          <t>Yes</t>
        </is>
      </c>
      <c r="AR291">
        <f>HYPERLINK("http://catalog.hathitrust.org/Record/000843624","HathiTrust Record")</f>
        <v/>
      </c>
      <c r="AS291">
        <f>HYPERLINK("https://creighton-primo.hosted.exlibrisgroup.com/primo-explore/search?tab=default_tab&amp;search_scope=EVERYTHING&amp;vid=01CRU&amp;lang=en_US&amp;offset=0&amp;query=any,contains,991001074359702656","Catalog Record")</f>
        <v/>
      </c>
      <c r="AT291">
        <f>HYPERLINK("http://www.worldcat.org/oclc/16004916","WorldCat Record")</f>
        <v/>
      </c>
      <c r="AU291" t="inlineStr">
        <is>
          <t>111957360:eng</t>
        </is>
      </c>
      <c r="AV291" t="inlineStr">
        <is>
          <t>16004916</t>
        </is>
      </c>
      <c r="AW291" t="inlineStr">
        <is>
          <t>991001074359702656</t>
        </is>
      </c>
      <c r="AX291" t="inlineStr">
        <is>
          <t>991001074359702656</t>
        </is>
      </c>
      <c r="AY291" t="inlineStr">
        <is>
          <t>2271439020002656</t>
        </is>
      </c>
      <c r="AZ291" t="inlineStr">
        <is>
          <t>BOOK</t>
        </is>
      </c>
      <c r="BB291" t="inlineStr">
        <is>
          <t>9780883445563</t>
        </is>
      </c>
      <c r="BC291" t="inlineStr">
        <is>
          <t>32285000123033</t>
        </is>
      </c>
      <c r="BD291" t="inlineStr">
        <is>
          <t>893327856</t>
        </is>
      </c>
    </row>
    <row r="292">
      <c r="A292" t="inlineStr">
        <is>
          <t>No</t>
        </is>
      </c>
      <c r="B292" t="inlineStr">
        <is>
          <t>BX1426.2 .U53 1987</t>
        </is>
      </c>
      <c r="C292" t="inlineStr">
        <is>
          <t>0                      BX 1426200U  53          1987</t>
        </is>
      </c>
      <c r="D292" t="inlineStr">
        <is>
          <t>Statement on Central America / November 19, 1987, United States Catholic Conference.</t>
        </is>
      </c>
      <c r="F292" t="inlineStr">
        <is>
          <t>No</t>
        </is>
      </c>
      <c r="G292" t="inlineStr">
        <is>
          <t>1</t>
        </is>
      </c>
      <c r="H292" t="inlineStr">
        <is>
          <t>No</t>
        </is>
      </c>
      <c r="I292" t="inlineStr">
        <is>
          <t>No</t>
        </is>
      </c>
      <c r="J292" t="inlineStr">
        <is>
          <t>0</t>
        </is>
      </c>
      <c r="K292" t="inlineStr">
        <is>
          <t>United States Catholic Conference.</t>
        </is>
      </c>
      <c r="L292" t="inlineStr">
        <is>
          <t>Washington, D.C. : United States Catholic Conference, 1987.</t>
        </is>
      </c>
      <c r="M292" t="inlineStr">
        <is>
          <t>1987</t>
        </is>
      </c>
      <c r="N292" t="inlineStr">
        <is>
          <t>Edición Bilingüe.</t>
        </is>
      </c>
      <c r="O292" t="inlineStr">
        <is>
          <t>eng</t>
        </is>
      </c>
      <c r="P292" t="inlineStr">
        <is>
          <t>dcu</t>
        </is>
      </c>
      <c r="Q292" t="inlineStr">
        <is>
          <t>Publication / Office of Publishing and Promotion Services, United States Catholic Conference. ; no. 192-X</t>
        </is>
      </c>
      <c r="R292" t="inlineStr">
        <is>
          <t xml:space="preserve">BX </t>
        </is>
      </c>
      <c r="S292" t="n">
        <v>2</v>
      </c>
      <c r="T292" t="n">
        <v>2</v>
      </c>
      <c r="U292" t="inlineStr">
        <is>
          <t>2002-11-10</t>
        </is>
      </c>
      <c r="V292" t="inlineStr">
        <is>
          <t>2002-11-10</t>
        </is>
      </c>
      <c r="W292" t="inlineStr">
        <is>
          <t>1990-04-10</t>
        </is>
      </c>
      <c r="X292" t="inlineStr">
        <is>
          <t>1990-04-10</t>
        </is>
      </c>
      <c r="Y292" t="n">
        <v>99</v>
      </c>
      <c r="Z292" t="n">
        <v>96</v>
      </c>
      <c r="AA292" t="n">
        <v>98</v>
      </c>
      <c r="AB292" t="n">
        <v>1</v>
      </c>
      <c r="AC292" t="n">
        <v>1</v>
      </c>
      <c r="AD292" t="n">
        <v>14</v>
      </c>
      <c r="AE292" t="n">
        <v>14</v>
      </c>
      <c r="AF292" t="n">
        <v>3</v>
      </c>
      <c r="AG292" t="n">
        <v>3</v>
      </c>
      <c r="AH292" t="n">
        <v>4</v>
      </c>
      <c r="AI292" t="n">
        <v>4</v>
      </c>
      <c r="AJ292" t="n">
        <v>11</v>
      </c>
      <c r="AK292" t="n">
        <v>11</v>
      </c>
      <c r="AL292" t="n">
        <v>0</v>
      </c>
      <c r="AM292" t="n">
        <v>0</v>
      </c>
      <c r="AN292" t="n">
        <v>0</v>
      </c>
      <c r="AO292" t="n">
        <v>0</v>
      </c>
      <c r="AP292" t="inlineStr">
        <is>
          <t>No</t>
        </is>
      </c>
      <c r="AQ292" t="inlineStr">
        <is>
          <t>Yes</t>
        </is>
      </c>
      <c r="AR292">
        <f>HYPERLINK("http://catalog.hathitrust.org/Record/002483302","HathiTrust Record")</f>
        <v/>
      </c>
      <c r="AS292">
        <f>HYPERLINK("https://creighton-primo.hosted.exlibrisgroup.com/primo-explore/search?tab=default_tab&amp;search_scope=EVERYTHING&amp;vid=01CRU&amp;lang=en_US&amp;offset=0&amp;query=any,contains,991001253029702656","Catalog Record")</f>
        <v/>
      </c>
      <c r="AT292">
        <f>HYPERLINK("http://www.worldcat.org/oclc/18627596","WorldCat Record")</f>
        <v/>
      </c>
      <c r="AU292" t="inlineStr">
        <is>
          <t>17766456:eng</t>
        </is>
      </c>
      <c r="AV292" t="inlineStr">
        <is>
          <t>18627596</t>
        </is>
      </c>
      <c r="AW292" t="inlineStr">
        <is>
          <t>991001253029702656</t>
        </is>
      </c>
      <c r="AX292" t="inlineStr">
        <is>
          <t>991001253029702656</t>
        </is>
      </c>
      <c r="AY292" t="inlineStr">
        <is>
          <t>2265805210002656</t>
        </is>
      </c>
      <c r="AZ292" t="inlineStr">
        <is>
          <t>BOOK</t>
        </is>
      </c>
      <c r="BB292" t="inlineStr">
        <is>
          <t>9781555861926</t>
        </is>
      </c>
      <c r="BC292" t="inlineStr">
        <is>
          <t>32285000114735</t>
        </is>
      </c>
      <c r="BD292" t="inlineStr">
        <is>
          <t>893903356</t>
        </is>
      </c>
    </row>
    <row r="293">
      <c r="A293" t="inlineStr">
        <is>
          <t>No</t>
        </is>
      </c>
      <c r="B293" t="inlineStr">
        <is>
          <t>BX1426.2 .V4</t>
        </is>
      </c>
      <c r="C293" t="inlineStr">
        <is>
          <t>0                      BX 1426200V  4</t>
        </is>
      </c>
      <c r="D293" t="inlineStr">
        <is>
          <t>Catholicism, social control, and modernization in Latin America / Ivan Vallier.</t>
        </is>
      </c>
      <c r="F293" t="inlineStr">
        <is>
          <t>No</t>
        </is>
      </c>
      <c r="G293" t="inlineStr">
        <is>
          <t>1</t>
        </is>
      </c>
      <c r="H293" t="inlineStr">
        <is>
          <t>No</t>
        </is>
      </c>
      <c r="I293" t="inlineStr">
        <is>
          <t>No</t>
        </is>
      </c>
      <c r="J293" t="inlineStr">
        <is>
          <t>0</t>
        </is>
      </c>
      <c r="K293" t="inlineStr">
        <is>
          <t>Vallier, Ivan.</t>
        </is>
      </c>
      <c r="L293" t="inlineStr">
        <is>
          <t>Englewood Cliffs, N.J., Prentice-Hall [1970]</t>
        </is>
      </c>
      <c r="M293" t="inlineStr">
        <is>
          <t>1970</t>
        </is>
      </c>
      <c r="O293" t="inlineStr">
        <is>
          <t>eng</t>
        </is>
      </c>
      <c r="P293" t="inlineStr">
        <is>
          <t>nju</t>
        </is>
      </c>
      <c r="Q293" t="inlineStr">
        <is>
          <t>Modernization of traditional societies series</t>
        </is>
      </c>
      <c r="R293" t="inlineStr">
        <is>
          <t xml:space="preserve">BX </t>
        </is>
      </c>
      <c r="S293" t="n">
        <v>7</v>
      </c>
      <c r="T293" t="n">
        <v>7</v>
      </c>
      <c r="U293" t="inlineStr">
        <is>
          <t>2009-11-18</t>
        </is>
      </c>
      <c r="V293" t="inlineStr">
        <is>
          <t>2009-11-18</t>
        </is>
      </c>
      <c r="W293" t="inlineStr">
        <is>
          <t>1991-02-13</t>
        </is>
      </c>
      <c r="X293" t="inlineStr">
        <is>
          <t>1991-02-13</t>
        </is>
      </c>
      <c r="Y293" t="n">
        <v>687</v>
      </c>
      <c r="Z293" t="n">
        <v>556</v>
      </c>
      <c r="AA293" t="n">
        <v>581</v>
      </c>
      <c r="AB293" t="n">
        <v>5</v>
      </c>
      <c r="AC293" t="n">
        <v>5</v>
      </c>
      <c r="AD293" t="n">
        <v>34</v>
      </c>
      <c r="AE293" t="n">
        <v>36</v>
      </c>
      <c r="AF293" t="n">
        <v>13</v>
      </c>
      <c r="AG293" t="n">
        <v>15</v>
      </c>
      <c r="AH293" t="n">
        <v>9</v>
      </c>
      <c r="AI293" t="n">
        <v>9</v>
      </c>
      <c r="AJ293" t="n">
        <v>21</v>
      </c>
      <c r="AK293" t="n">
        <v>21</v>
      </c>
      <c r="AL293" t="n">
        <v>4</v>
      </c>
      <c r="AM293" t="n">
        <v>4</v>
      </c>
      <c r="AN293" t="n">
        <v>0</v>
      </c>
      <c r="AO293" t="n">
        <v>0</v>
      </c>
      <c r="AP293" t="inlineStr">
        <is>
          <t>No</t>
        </is>
      </c>
      <c r="AQ293" t="inlineStr">
        <is>
          <t>Yes</t>
        </is>
      </c>
      <c r="AR293">
        <f>HYPERLINK("http://catalog.hathitrust.org/Record/001416074","HathiTrust Record")</f>
        <v/>
      </c>
      <c r="AS293">
        <f>HYPERLINK("https://creighton-primo.hosted.exlibrisgroup.com/primo-explore/search?tab=default_tab&amp;search_scope=EVERYTHING&amp;vid=01CRU&amp;lang=en_US&amp;offset=0&amp;query=any,contains,991000195589702656","Catalog Record")</f>
        <v/>
      </c>
      <c r="AT293">
        <f>HYPERLINK("http://www.worldcat.org/oclc/64235","WorldCat Record")</f>
        <v/>
      </c>
      <c r="AU293" t="inlineStr">
        <is>
          <t>1228211:eng</t>
        </is>
      </c>
      <c r="AV293" t="inlineStr">
        <is>
          <t>64235</t>
        </is>
      </c>
      <c r="AW293" t="inlineStr">
        <is>
          <t>991000195589702656</t>
        </is>
      </c>
      <c r="AX293" t="inlineStr">
        <is>
          <t>991000195589702656</t>
        </is>
      </c>
      <c r="AY293" t="inlineStr">
        <is>
          <t>2256903440002656</t>
        </is>
      </c>
      <c r="AZ293" t="inlineStr">
        <is>
          <t>BOOK</t>
        </is>
      </c>
      <c r="BB293" t="inlineStr">
        <is>
          <t>9780131210790</t>
        </is>
      </c>
      <c r="BC293" t="inlineStr">
        <is>
          <t>32285000507458</t>
        </is>
      </c>
      <c r="BD293" t="inlineStr">
        <is>
          <t>893601568</t>
        </is>
      </c>
    </row>
    <row r="294">
      <c r="A294" t="inlineStr">
        <is>
          <t>No</t>
        </is>
      </c>
      <c r="B294" t="inlineStr">
        <is>
          <t>BX1428 .P3 1936</t>
        </is>
      </c>
      <c r="C294" t="inlineStr">
        <is>
          <t>0                      BX 1428000P  3           1936</t>
        </is>
      </c>
      <c r="D294" t="inlineStr">
        <is>
          <t>Mexican martyrdom / by Wilfrid Parsons, S.J.</t>
        </is>
      </c>
      <c r="F294" t="inlineStr">
        <is>
          <t>No</t>
        </is>
      </c>
      <c r="G294" t="inlineStr">
        <is>
          <t>1</t>
        </is>
      </c>
      <c r="H294" t="inlineStr">
        <is>
          <t>No</t>
        </is>
      </c>
      <c r="I294" t="inlineStr">
        <is>
          <t>No</t>
        </is>
      </c>
      <c r="J294" t="inlineStr">
        <is>
          <t>0</t>
        </is>
      </c>
      <c r="K294" t="inlineStr">
        <is>
          <t>Parsons, Wilfrid, 1887-1958.</t>
        </is>
      </c>
      <c r="L294" t="inlineStr">
        <is>
          <t>New York : The Macmillan company, 1936.</t>
        </is>
      </c>
      <c r="M294" t="inlineStr">
        <is>
          <t>1936</t>
        </is>
      </c>
      <c r="O294" t="inlineStr">
        <is>
          <t>eng</t>
        </is>
      </c>
      <c r="P294" t="inlineStr">
        <is>
          <t xml:space="preserve">xx </t>
        </is>
      </c>
      <c r="R294" t="inlineStr">
        <is>
          <t xml:space="preserve">BX </t>
        </is>
      </c>
      <c r="S294" t="n">
        <v>2</v>
      </c>
      <c r="T294" t="n">
        <v>2</v>
      </c>
      <c r="U294" t="inlineStr">
        <is>
          <t>2010-07-30</t>
        </is>
      </c>
      <c r="V294" t="inlineStr">
        <is>
          <t>2010-07-30</t>
        </is>
      </c>
      <c r="W294" t="inlineStr">
        <is>
          <t>1991-02-13</t>
        </is>
      </c>
      <c r="X294" t="inlineStr">
        <is>
          <t>1991-02-13</t>
        </is>
      </c>
      <c r="Y294" t="n">
        <v>267</v>
      </c>
      <c r="Z294" t="n">
        <v>245</v>
      </c>
      <c r="AA294" t="n">
        <v>371</v>
      </c>
      <c r="AB294" t="n">
        <v>4</v>
      </c>
      <c r="AC294" t="n">
        <v>5</v>
      </c>
      <c r="AD294" t="n">
        <v>24</v>
      </c>
      <c r="AE294" t="n">
        <v>31</v>
      </c>
      <c r="AF294" t="n">
        <v>5</v>
      </c>
      <c r="AG294" t="n">
        <v>8</v>
      </c>
      <c r="AH294" t="n">
        <v>8</v>
      </c>
      <c r="AI294" t="n">
        <v>9</v>
      </c>
      <c r="AJ294" t="n">
        <v>18</v>
      </c>
      <c r="AK294" t="n">
        <v>19</v>
      </c>
      <c r="AL294" t="n">
        <v>1</v>
      </c>
      <c r="AM294" t="n">
        <v>2</v>
      </c>
      <c r="AN294" t="n">
        <v>0</v>
      </c>
      <c r="AO294" t="n">
        <v>2</v>
      </c>
      <c r="AP294" t="inlineStr">
        <is>
          <t>Yes</t>
        </is>
      </c>
      <c r="AQ294" t="inlineStr">
        <is>
          <t>No</t>
        </is>
      </c>
      <c r="AR294">
        <f>HYPERLINK("http://catalog.hathitrust.org/Record/005789925","HathiTrust Record")</f>
        <v/>
      </c>
      <c r="AS294">
        <f>HYPERLINK("https://creighton-primo.hosted.exlibrisgroup.com/primo-explore/search?tab=default_tab&amp;search_scope=EVERYTHING&amp;vid=01CRU&amp;lang=en_US&amp;offset=0&amp;query=any,contains,991003700709702656","Catalog Record")</f>
        <v/>
      </c>
      <c r="AT294">
        <f>HYPERLINK("http://www.worldcat.org/oclc/1336675","WorldCat Record")</f>
        <v/>
      </c>
      <c r="AU294" t="inlineStr">
        <is>
          <t>2224575:eng</t>
        </is>
      </c>
      <c r="AV294" t="inlineStr">
        <is>
          <t>1336675</t>
        </is>
      </c>
      <c r="AW294" t="inlineStr">
        <is>
          <t>991003700709702656</t>
        </is>
      </c>
      <c r="AX294" t="inlineStr">
        <is>
          <t>991003700709702656</t>
        </is>
      </c>
      <c r="AY294" t="inlineStr">
        <is>
          <t>2257527590002656</t>
        </is>
      </c>
      <c r="AZ294" t="inlineStr">
        <is>
          <t>BOOK</t>
        </is>
      </c>
      <c r="BC294" t="inlineStr">
        <is>
          <t>32285000507516</t>
        </is>
      </c>
      <c r="BD294" t="inlineStr">
        <is>
          <t>893617655</t>
        </is>
      </c>
    </row>
    <row r="295">
      <c r="A295" t="inlineStr">
        <is>
          <t>No</t>
        </is>
      </c>
      <c r="B295" t="inlineStr">
        <is>
          <t>BX1428.2 .B38</t>
        </is>
      </c>
      <c r="C295" t="inlineStr">
        <is>
          <t>0                      BX 1428200B  38</t>
        </is>
      </c>
      <c r="D295" t="inlineStr">
        <is>
          <t>Alienation of church wealth in Mexico; social and economic aspects of the liberal revolution, 1856-1875 / by Jan Bazant. Edited and translated by Michael P. Costeloe.</t>
        </is>
      </c>
      <c r="F295" t="inlineStr">
        <is>
          <t>No</t>
        </is>
      </c>
      <c r="G295" t="inlineStr">
        <is>
          <t>1</t>
        </is>
      </c>
      <c r="H295" t="inlineStr">
        <is>
          <t>No</t>
        </is>
      </c>
      <c r="I295" t="inlineStr">
        <is>
          <t>No</t>
        </is>
      </c>
      <c r="J295" t="inlineStr">
        <is>
          <t>0</t>
        </is>
      </c>
      <c r="K295" t="inlineStr">
        <is>
          <t>Bazant S., Jan.</t>
        </is>
      </c>
      <c r="L295" t="inlineStr">
        <is>
          <t>Cambridge, [Eng.] University Press, 1971 [i.e. 1970]</t>
        </is>
      </c>
      <c r="M295" t="inlineStr">
        <is>
          <t>1970</t>
        </is>
      </c>
      <c r="O295" t="inlineStr">
        <is>
          <t>eng</t>
        </is>
      </c>
      <c r="P295" t="inlineStr">
        <is>
          <t>enk</t>
        </is>
      </c>
      <c r="Q295" t="inlineStr">
        <is>
          <t>Cambridge Latin American studies ; v. 11</t>
        </is>
      </c>
      <c r="R295" t="inlineStr">
        <is>
          <t xml:space="preserve">BX </t>
        </is>
      </c>
      <c r="S295" t="n">
        <v>5</v>
      </c>
      <c r="T295" t="n">
        <v>5</v>
      </c>
      <c r="U295" t="inlineStr">
        <is>
          <t>1998-11-03</t>
        </is>
      </c>
      <c r="V295" t="inlineStr">
        <is>
          <t>1998-11-03</t>
        </is>
      </c>
      <c r="W295" t="inlineStr">
        <is>
          <t>1991-02-13</t>
        </is>
      </c>
      <c r="X295" t="inlineStr">
        <is>
          <t>1991-02-13</t>
        </is>
      </c>
      <c r="Y295" t="n">
        <v>595</v>
      </c>
      <c r="Z295" t="n">
        <v>501</v>
      </c>
      <c r="AA295" t="n">
        <v>510</v>
      </c>
      <c r="AB295" t="n">
        <v>4</v>
      </c>
      <c r="AC295" t="n">
        <v>4</v>
      </c>
      <c r="AD295" t="n">
        <v>28</v>
      </c>
      <c r="AE295" t="n">
        <v>29</v>
      </c>
      <c r="AF295" t="n">
        <v>8</v>
      </c>
      <c r="AG295" t="n">
        <v>9</v>
      </c>
      <c r="AH295" t="n">
        <v>8</v>
      </c>
      <c r="AI295" t="n">
        <v>8</v>
      </c>
      <c r="AJ295" t="n">
        <v>18</v>
      </c>
      <c r="AK295" t="n">
        <v>18</v>
      </c>
      <c r="AL295" t="n">
        <v>3</v>
      </c>
      <c r="AM295" t="n">
        <v>3</v>
      </c>
      <c r="AN295" t="n">
        <v>0</v>
      </c>
      <c r="AO295" t="n">
        <v>0</v>
      </c>
      <c r="AP295" t="inlineStr">
        <is>
          <t>No</t>
        </is>
      </c>
      <c r="AQ295" t="inlineStr">
        <is>
          <t>No</t>
        </is>
      </c>
      <c r="AS295">
        <f>HYPERLINK("https://creighton-primo.hosted.exlibrisgroup.com/primo-explore/search?tab=default_tab&amp;search_scope=EVERYTHING&amp;vid=01CRU&amp;lang=en_US&amp;offset=0&amp;query=any,contains,991000650929702656","Catalog Record")</f>
        <v/>
      </c>
      <c r="AT295">
        <f>HYPERLINK("http://www.worldcat.org/oclc/113164","WorldCat Record")</f>
        <v/>
      </c>
      <c r="AU295" t="inlineStr">
        <is>
          <t>10792170291:eng</t>
        </is>
      </c>
      <c r="AV295" t="inlineStr">
        <is>
          <t>113164</t>
        </is>
      </c>
      <c r="AW295" t="inlineStr">
        <is>
          <t>991000650929702656</t>
        </is>
      </c>
      <c r="AX295" t="inlineStr">
        <is>
          <t>991000650929702656</t>
        </is>
      </c>
      <c r="AY295" t="inlineStr">
        <is>
          <t>2267630860002656</t>
        </is>
      </c>
      <c r="AZ295" t="inlineStr">
        <is>
          <t>BOOK</t>
        </is>
      </c>
      <c r="BB295" t="inlineStr">
        <is>
          <t>9780521078726</t>
        </is>
      </c>
      <c r="BC295" t="inlineStr">
        <is>
          <t>32285000507540</t>
        </is>
      </c>
      <c r="BD295" t="inlineStr">
        <is>
          <t>893796867</t>
        </is>
      </c>
    </row>
    <row r="296">
      <c r="A296" t="inlineStr">
        <is>
          <t>No</t>
        </is>
      </c>
      <c r="B296" t="inlineStr">
        <is>
          <t>BX1428.2 .C6</t>
        </is>
      </c>
      <c r="C296" t="inlineStr">
        <is>
          <t>0                      BX 1428200C  6</t>
        </is>
      </c>
      <c r="D296" t="inlineStr">
        <is>
          <t>Church wealth in Mexico : a study of the 'Juzgado de Capellanias' in the archbishopric of Mexico 1800-1856 / by Michael P. Costeloe.</t>
        </is>
      </c>
      <c r="F296" t="inlineStr">
        <is>
          <t>No</t>
        </is>
      </c>
      <c r="G296" t="inlineStr">
        <is>
          <t>1</t>
        </is>
      </c>
      <c r="H296" t="inlineStr">
        <is>
          <t>No</t>
        </is>
      </c>
      <c r="I296" t="inlineStr">
        <is>
          <t>No</t>
        </is>
      </c>
      <c r="J296" t="inlineStr">
        <is>
          <t>0</t>
        </is>
      </c>
      <c r="K296" t="inlineStr">
        <is>
          <t>Costeloe, Michael P.</t>
        </is>
      </c>
      <c r="L296" t="inlineStr">
        <is>
          <t>London, Cambridge U.P., 1967</t>
        </is>
      </c>
      <c r="M296" t="inlineStr">
        <is>
          <t>1967</t>
        </is>
      </c>
      <c r="O296" t="inlineStr">
        <is>
          <t>eng</t>
        </is>
      </c>
      <c r="P296" t="inlineStr">
        <is>
          <t>enk</t>
        </is>
      </c>
      <c r="Q296" t="inlineStr">
        <is>
          <t>Cambridge Latin American studies, no. 2</t>
        </is>
      </c>
      <c r="R296" t="inlineStr">
        <is>
          <t xml:space="preserve">BX </t>
        </is>
      </c>
      <c r="S296" t="n">
        <v>2</v>
      </c>
      <c r="T296" t="n">
        <v>2</v>
      </c>
      <c r="U296" t="inlineStr">
        <is>
          <t>1997-04-21</t>
        </is>
      </c>
      <c r="V296" t="inlineStr">
        <is>
          <t>1997-04-21</t>
        </is>
      </c>
      <c r="W296" t="inlineStr">
        <is>
          <t>1991-02-13</t>
        </is>
      </c>
      <c r="X296" t="inlineStr">
        <is>
          <t>1991-02-13</t>
        </is>
      </c>
      <c r="Y296" t="n">
        <v>682</v>
      </c>
      <c r="Z296" t="n">
        <v>599</v>
      </c>
      <c r="AA296" t="n">
        <v>645</v>
      </c>
      <c r="AB296" t="n">
        <v>5</v>
      </c>
      <c r="AC296" t="n">
        <v>5</v>
      </c>
      <c r="AD296" t="n">
        <v>33</v>
      </c>
      <c r="AE296" t="n">
        <v>37</v>
      </c>
      <c r="AF296" t="n">
        <v>11</v>
      </c>
      <c r="AG296" t="n">
        <v>12</v>
      </c>
      <c r="AH296" t="n">
        <v>9</v>
      </c>
      <c r="AI296" t="n">
        <v>9</v>
      </c>
      <c r="AJ296" t="n">
        <v>19</v>
      </c>
      <c r="AK296" t="n">
        <v>22</v>
      </c>
      <c r="AL296" t="n">
        <v>4</v>
      </c>
      <c r="AM296" t="n">
        <v>4</v>
      </c>
      <c r="AN296" t="n">
        <v>0</v>
      </c>
      <c r="AO296" t="n">
        <v>0</v>
      </c>
      <c r="AP296" t="inlineStr">
        <is>
          <t>No</t>
        </is>
      </c>
      <c r="AQ296" t="inlineStr">
        <is>
          <t>No</t>
        </is>
      </c>
      <c r="AS296">
        <f>HYPERLINK("https://creighton-primo.hosted.exlibrisgroup.com/primo-explore/search?tab=default_tab&amp;search_scope=EVERYTHING&amp;vid=01CRU&amp;lang=en_US&amp;offset=0&amp;query=any,contains,991002647539702656","Catalog Record")</f>
        <v/>
      </c>
      <c r="AT296">
        <f>HYPERLINK("http://www.worldcat.org/oclc/386192","WorldCat Record")</f>
        <v/>
      </c>
      <c r="AU296" t="inlineStr">
        <is>
          <t>1408787:eng</t>
        </is>
      </c>
      <c r="AV296" t="inlineStr">
        <is>
          <t>386192</t>
        </is>
      </c>
      <c r="AW296" t="inlineStr">
        <is>
          <t>991002647539702656</t>
        </is>
      </c>
      <c r="AX296" t="inlineStr">
        <is>
          <t>991002647539702656</t>
        </is>
      </c>
      <c r="AY296" t="inlineStr">
        <is>
          <t>2257592490002656</t>
        </is>
      </c>
      <c r="AZ296" t="inlineStr">
        <is>
          <t>BOOK</t>
        </is>
      </c>
      <c r="BB296" t="inlineStr">
        <is>
          <t>9780521047296</t>
        </is>
      </c>
      <c r="BC296" t="inlineStr">
        <is>
          <t>32285000507557</t>
        </is>
      </c>
      <c r="BD296" t="inlineStr">
        <is>
          <t>893886532</t>
        </is>
      </c>
    </row>
    <row r="297">
      <c r="A297" t="inlineStr">
        <is>
          <t>No</t>
        </is>
      </c>
      <c r="B297" t="inlineStr">
        <is>
          <t>BX1428.2 .J64</t>
        </is>
      </c>
      <c r="C297" t="inlineStr">
        <is>
          <t>0                      BX 1428200J  64</t>
        </is>
      </c>
      <c r="D297" t="inlineStr">
        <is>
          <t>Pope John Paul II in Mexico : addresses and homilies.</t>
        </is>
      </c>
      <c r="F297" t="inlineStr">
        <is>
          <t>No</t>
        </is>
      </c>
      <c r="G297" t="inlineStr">
        <is>
          <t>1</t>
        </is>
      </c>
      <c r="H297" t="inlineStr">
        <is>
          <t>No</t>
        </is>
      </c>
      <c r="I297" t="inlineStr">
        <is>
          <t>No</t>
        </is>
      </c>
      <c r="J297" t="inlineStr">
        <is>
          <t>0</t>
        </is>
      </c>
      <c r="K297" t="inlineStr">
        <is>
          <t>John Paul II, Pope, 1920-2005.</t>
        </is>
      </c>
      <c r="L297" t="inlineStr">
        <is>
          <t>Washington : United States Catholic Conference, 1979.</t>
        </is>
      </c>
      <c r="M297" t="inlineStr">
        <is>
          <t>1979</t>
        </is>
      </c>
      <c r="O297" t="inlineStr">
        <is>
          <t>eng</t>
        </is>
      </c>
      <c r="P297" t="inlineStr">
        <is>
          <t>dcu</t>
        </is>
      </c>
      <c r="R297" t="inlineStr">
        <is>
          <t xml:space="preserve">BX </t>
        </is>
      </c>
      <c r="S297" t="n">
        <v>9</v>
      </c>
      <c r="T297" t="n">
        <v>9</v>
      </c>
      <c r="U297" t="inlineStr">
        <is>
          <t>2008-12-23</t>
        </is>
      </c>
      <c r="V297" t="inlineStr">
        <is>
          <t>2008-12-23</t>
        </is>
      </c>
      <c r="W297" t="inlineStr">
        <is>
          <t>1991-02-13</t>
        </is>
      </c>
      <c r="X297" t="inlineStr">
        <is>
          <t>1991-02-13</t>
        </is>
      </c>
      <c r="Y297" t="n">
        <v>71</v>
      </c>
      <c r="Z297" t="n">
        <v>68</v>
      </c>
      <c r="AA297" t="n">
        <v>71</v>
      </c>
      <c r="AB297" t="n">
        <v>1</v>
      </c>
      <c r="AC297" t="n">
        <v>1</v>
      </c>
      <c r="AD297" t="n">
        <v>14</v>
      </c>
      <c r="AE297" t="n">
        <v>14</v>
      </c>
      <c r="AF297" t="n">
        <v>4</v>
      </c>
      <c r="AG297" t="n">
        <v>4</v>
      </c>
      <c r="AH297" t="n">
        <v>5</v>
      </c>
      <c r="AI297" t="n">
        <v>5</v>
      </c>
      <c r="AJ297" t="n">
        <v>11</v>
      </c>
      <c r="AK297" t="n">
        <v>11</v>
      </c>
      <c r="AL297" t="n">
        <v>0</v>
      </c>
      <c r="AM297" t="n">
        <v>0</v>
      </c>
      <c r="AN297" t="n">
        <v>0</v>
      </c>
      <c r="AO297" t="n">
        <v>0</v>
      </c>
      <c r="AP297" t="inlineStr">
        <is>
          <t>No</t>
        </is>
      </c>
      <c r="AQ297" t="inlineStr">
        <is>
          <t>Yes</t>
        </is>
      </c>
      <c r="AR297">
        <f>HYPERLINK("http://catalog.hathitrust.org/Record/101541055","HathiTrust Record")</f>
        <v/>
      </c>
      <c r="AS297">
        <f>HYPERLINK("https://creighton-primo.hosted.exlibrisgroup.com/primo-explore/search?tab=default_tab&amp;search_scope=EVERYTHING&amp;vid=01CRU&amp;lang=en_US&amp;offset=0&amp;query=any,contains,991004881229702656","Catalog Record")</f>
        <v/>
      </c>
      <c r="AT297">
        <f>HYPERLINK("http://www.worldcat.org/oclc/5818857","WorldCat Record")</f>
        <v/>
      </c>
      <c r="AU297" t="inlineStr">
        <is>
          <t>117768956:eng</t>
        </is>
      </c>
      <c r="AV297" t="inlineStr">
        <is>
          <t>5818857</t>
        </is>
      </c>
      <c r="AW297" t="inlineStr">
        <is>
          <t>991004881229702656</t>
        </is>
      </c>
      <c r="AX297" t="inlineStr">
        <is>
          <t>991004881229702656</t>
        </is>
      </c>
      <c r="AY297" t="inlineStr">
        <is>
          <t>2260682810002656</t>
        </is>
      </c>
      <c r="AZ297" t="inlineStr">
        <is>
          <t>BOOK</t>
        </is>
      </c>
      <c r="BC297" t="inlineStr">
        <is>
          <t>32285000507565</t>
        </is>
      </c>
      <c r="BD297" t="inlineStr">
        <is>
          <t>893338232</t>
        </is>
      </c>
    </row>
    <row r="298">
      <c r="A298" t="inlineStr">
        <is>
          <t>No</t>
        </is>
      </c>
      <c r="B298" t="inlineStr">
        <is>
          <t>BX1428.2 .T36 1995</t>
        </is>
      </c>
      <c r="C298" t="inlineStr">
        <is>
          <t>0                      BX 1428200T  36          1995</t>
        </is>
      </c>
      <c r="D298" t="inlineStr">
        <is>
          <t>Mexico at the crossroads : politics, the Church, and the poor / Michael Tangeman.</t>
        </is>
      </c>
      <c r="F298" t="inlineStr">
        <is>
          <t>No</t>
        </is>
      </c>
      <c r="G298" t="inlineStr">
        <is>
          <t>1</t>
        </is>
      </c>
      <c r="H298" t="inlineStr">
        <is>
          <t>No</t>
        </is>
      </c>
      <c r="I298" t="inlineStr">
        <is>
          <t>No</t>
        </is>
      </c>
      <c r="J298" t="inlineStr">
        <is>
          <t>0</t>
        </is>
      </c>
      <c r="K298" t="inlineStr">
        <is>
          <t>Tangeman, Michael.</t>
        </is>
      </c>
      <c r="L298" t="inlineStr">
        <is>
          <t>Maryknoll, N.Y. : Orbis Books, c1995.</t>
        </is>
      </c>
      <c r="M298" t="inlineStr">
        <is>
          <t>1995</t>
        </is>
      </c>
      <c r="O298" t="inlineStr">
        <is>
          <t>eng</t>
        </is>
      </c>
      <c r="P298" t="inlineStr">
        <is>
          <t>nyu</t>
        </is>
      </c>
      <c r="R298" t="inlineStr">
        <is>
          <t xml:space="preserve">BX </t>
        </is>
      </c>
      <c r="S298" t="n">
        <v>8</v>
      </c>
      <c r="T298" t="n">
        <v>8</v>
      </c>
      <c r="U298" t="inlineStr">
        <is>
          <t>2008-12-23</t>
        </is>
      </c>
      <c r="V298" t="inlineStr">
        <is>
          <t>2008-12-23</t>
        </is>
      </c>
      <c r="W298" t="inlineStr">
        <is>
          <t>1996-02-13</t>
        </is>
      </c>
      <c r="X298" t="inlineStr">
        <is>
          <t>1996-02-13</t>
        </is>
      </c>
      <c r="Y298" t="n">
        <v>372</v>
      </c>
      <c r="Z298" t="n">
        <v>332</v>
      </c>
      <c r="AA298" t="n">
        <v>334</v>
      </c>
      <c r="AB298" t="n">
        <v>2</v>
      </c>
      <c r="AC298" t="n">
        <v>2</v>
      </c>
      <c r="AD298" t="n">
        <v>23</v>
      </c>
      <c r="AE298" t="n">
        <v>23</v>
      </c>
      <c r="AF298" t="n">
        <v>6</v>
      </c>
      <c r="AG298" t="n">
        <v>6</v>
      </c>
      <c r="AH298" t="n">
        <v>6</v>
      </c>
      <c r="AI298" t="n">
        <v>6</v>
      </c>
      <c r="AJ298" t="n">
        <v>17</v>
      </c>
      <c r="AK298" t="n">
        <v>17</v>
      </c>
      <c r="AL298" t="n">
        <v>1</v>
      </c>
      <c r="AM298" t="n">
        <v>1</v>
      </c>
      <c r="AN298" t="n">
        <v>0</v>
      </c>
      <c r="AO298" t="n">
        <v>0</v>
      </c>
      <c r="AP298" t="inlineStr">
        <is>
          <t>No</t>
        </is>
      </c>
      <c r="AQ298" t="inlineStr">
        <is>
          <t>Yes</t>
        </is>
      </c>
      <c r="AR298">
        <f>HYPERLINK("http://catalog.hathitrust.org/Record/002974574","HathiTrust Record")</f>
        <v/>
      </c>
      <c r="AS298">
        <f>HYPERLINK("https://creighton-primo.hosted.exlibrisgroup.com/primo-explore/search?tab=default_tab&amp;search_scope=EVERYTHING&amp;vid=01CRU&amp;lang=en_US&amp;offset=0&amp;query=any,contains,991002450979702656","Catalog Record")</f>
        <v/>
      </c>
      <c r="AT298">
        <f>HYPERLINK("http://www.worldcat.org/oclc/31969800","WorldCat Record")</f>
        <v/>
      </c>
      <c r="AU298" t="inlineStr">
        <is>
          <t>335030520:eng</t>
        </is>
      </c>
      <c r="AV298" t="inlineStr">
        <is>
          <t>31969800</t>
        </is>
      </c>
      <c r="AW298" t="inlineStr">
        <is>
          <t>991002450979702656</t>
        </is>
      </c>
      <c r="AX298" t="inlineStr">
        <is>
          <t>991002450979702656</t>
        </is>
      </c>
      <c r="AY298" t="inlineStr">
        <is>
          <t>2260863710002656</t>
        </is>
      </c>
      <c r="AZ298" t="inlineStr">
        <is>
          <t>BOOK</t>
        </is>
      </c>
      <c r="BB298" t="inlineStr">
        <is>
          <t>9781570750182</t>
        </is>
      </c>
      <c r="BC298" t="inlineStr">
        <is>
          <t>32285002129566</t>
        </is>
      </c>
      <c r="BD298" t="inlineStr">
        <is>
          <t>893440160</t>
        </is>
      </c>
    </row>
    <row r="299">
      <c r="A299" t="inlineStr">
        <is>
          <t>No</t>
        </is>
      </c>
      <c r="B299" t="inlineStr">
        <is>
          <t>BX1430 .M53 B73 2002</t>
        </is>
      </c>
      <c r="C299" t="inlineStr">
        <is>
          <t>0                      BX 1430000M  53                 B  73          2002</t>
        </is>
      </c>
      <c r="D299" t="inlineStr">
        <is>
          <t>Church and state in Bourbon Mexico : the Diocese of Michoacán, 1749-1810 / D.A. Brading.</t>
        </is>
      </c>
      <c r="F299" t="inlineStr">
        <is>
          <t>No</t>
        </is>
      </c>
      <c r="G299" t="inlineStr">
        <is>
          <t>1</t>
        </is>
      </c>
      <c r="H299" t="inlineStr">
        <is>
          <t>No</t>
        </is>
      </c>
      <c r="I299" t="inlineStr">
        <is>
          <t>No</t>
        </is>
      </c>
      <c r="J299" t="inlineStr">
        <is>
          <t>0</t>
        </is>
      </c>
      <c r="K299" t="inlineStr">
        <is>
          <t>Brading, D. A.</t>
        </is>
      </c>
      <c r="L299" t="inlineStr">
        <is>
          <t>Cambridge : Cambridge University Press, 2002.</t>
        </is>
      </c>
      <c r="M299" t="inlineStr">
        <is>
          <t>2002</t>
        </is>
      </c>
      <c r="N299" t="inlineStr">
        <is>
          <t>1st pbk. ed.</t>
        </is>
      </c>
      <c r="O299" t="inlineStr">
        <is>
          <t>eng</t>
        </is>
      </c>
      <c r="P299" t="inlineStr">
        <is>
          <t>enk</t>
        </is>
      </c>
      <c r="R299" t="inlineStr">
        <is>
          <t xml:space="preserve">BX </t>
        </is>
      </c>
      <c r="S299" t="n">
        <v>2</v>
      </c>
      <c r="T299" t="n">
        <v>2</v>
      </c>
      <c r="U299" t="inlineStr">
        <is>
          <t>2008-12-07</t>
        </is>
      </c>
      <c r="V299" t="inlineStr">
        <is>
          <t>2008-12-07</t>
        </is>
      </c>
      <c r="W299" t="inlineStr">
        <is>
          <t>2008-01-30</t>
        </is>
      </c>
      <c r="X299" t="inlineStr">
        <is>
          <t>2008-01-30</t>
        </is>
      </c>
      <c r="Y299" t="n">
        <v>20</v>
      </c>
      <c r="Z299" t="n">
        <v>13</v>
      </c>
      <c r="AA299" t="n">
        <v>388</v>
      </c>
      <c r="AB299" t="n">
        <v>1</v>
      </c>
      <c r="AC299" t="n">
        <v>3</v>
      </c>
      <c r="AD299" t="n">
        <v>0</v>
      </c>
      <c r="AE299" t="n">
        <v>27</v>
      </c>
      <c r="AF299" t="n">
        <v>0</v>
      </c>
      <c r="AG299" t="n">
        <v>9</v>
      </c>
      <c r="AH299" t="n">
        <v>0</v>
      </c>
      <c r="AI299" t="n">
        <v>10</v>
      </c>
      <c r="AJ299" t="n">
        <v>0</v>
      </c>
      <c r="AK299" t="n">
        <v>14</v>
      </c>
      <c r="AL299" t="n">
        <v>0</v>
      </c>
      <c r="AM299" t="n">
        <v>2</v>
      </c>
      <c r="AN299" t="n">
        <v>0</v>
      </c>
      <c r="AO299" t="n">
        <v>0</v>
      </c>
      <c r="AP299" t="inlineStr">
        <is>
          <t>No</t>
        </is>
      </c>
      <c r="AQ299" t="inlineStr">
        <is>
          <t>No</t>
        </is>
      </c>
      <c r="AS299">
        <f>HYPERLINK("https://creighton-primo.hosted.exlibrisgroup.com/primo-explore/search?tab=default_tab&amp;search_scope=EVERYTHING&amp;vid=01CRU&amp;lang=en_US&amp;offset=0&amp;query=any,contains,991005171049702656","Catalog Record")</f>
        <v/>
      </c>
      <c r="AT299">
        <f>HYPERLINK("http://www.worldcat.org/oclc/49638620","WorldCat Record")</f>
        <v/>
      </c>
      <c r="AU299" t="inlineStr">
        <is>
          <t>795764009:eng</t>
        </is>
      </c>
      <c r="AV299" t="inlineStr">
        <is>
          <t>49638620</t>
        </is>
      </c>
      <c r="AW299" t="inlineStr">
        <is>
          <t>991005171049702656</t>
        </is>
      </c>
      <c r="AX299" t="inlineStr">
        <is>
          <t>991005171049702656</t>
        </is>
      </c>
      <c r="AY299" t="inlineStr">
        <is>
          <t>2266795540002656</t>
        </is>
      </c>
      <c r="AZ299" t="inlineStr">
        <is>
          <t>BOOK</t>
        </is>
      </c>
      <c r="BB299" t="inlineStr">
        <is>
          <t>9780521523011</t>
        </is>
      </c>
      <c r="BC299" t="inlineStr">
        <is>
          <t>32285005391130</t>
        </is>
      </c>
      <c r="BD299" t="inlineStr">
        <is>
          <t>893418494</t>
        </is>
      </c>
    </row>
    <row r="300">
      <c r="A300" t="inlineStr">
        <is>
          <t>No</t>
        </is>
      </c>
      <c r="B300" t="inlineStr">
        <is>
          <t>BX1432 .M46 1990</t>
        </is>
      </c>
      <c r="C300" t="inlineStr">
        <is>
          <t>0                      BX 1432000M  46          1990</t>
        </is>
      </c>
      <c r="D300" t="inlineStr">
        <is>
          <t>Seeds of promise : the prophetic church in Central America / Guillermo Meléndez.</t>
        </is>
      </c>
      <c r="F300" t="inlineStr">
        <is>
          <t>No</t>
        </is>
      </c>
      <c r="G300" t="inlineStr">
        <is>
          <t>1</t>
        </is>
      </c>
      <c r="H300" t="inlineStr">
        <is>
          <t>No</t>
        </is>
      </c>
      <c r="I300" t="inlineStr">
        <is>
          <t>No</t>
        </is>
      </c>
      <c r="J300" t="inlineStr">
        <is>
          <t>0</t>
        </is>
      </c>
      <c r="K300" t="inlineStr">
        <is>
          <t>Meléndez, Guillermo.</t>
        </is>
      </c>
      <c r="L300" t="inlineStr">
        <is>
          <t>New York : Friendship Press, c1990.</t>
        </is>
      </c>
      <c r="M300" t="inlineStr">
        <is>
          <t>1990</t>
        </is>
      </c>
      <c r="O300" t="inlineStr">
        <is>
          <t>eng</t>
        </is>
      </c>
      <c r="P300" t="inlineStr">
        <is>
          <t>nyu</t>
        </is>
      </c>
      <c r="R300" t="inlineStr">
        <is>
          <t xml:space="preserve">BX </t>
        </is>
      </c>
      <c r="S300" t="n">
        <v>5</v>
      </c>
      <c r="T300" t="n">
        <v>5</v>
      </c>
      <c r="U300" t="inlineStr">
        <is>
          <t>1995-04-10</t>
        </is>
      </c>
      <c r="V300" t="inlineStr">
        <is>
          <t>1995-04-10</t>
        </is>
      </c>
      <c r="W300" t="inlineStr">
        <is>
          <t>1992-09-09</t>
        </is>
      </c>
      <c r="X300" t="inlineStr">
        <is>
          <t>1992-09-09</t>
        </is>
      </c>
      <c r="Y300" t="n">
        <v>126</v>
      </c>
      <c r="Z300" t="n">
        <v>110</v>
      </c>
      <c r="AA300" t="n">
        <v>110</v>
      </c>
      <c r="AB300" t="n">
        <v>1</v>
      </c>
      <c r="AC300" t="n">
        <v>1</v>
      </c>
      <c r="AD300" t="n">
        <v>6</v>
      </c>
      <c r="AE300" t="n">
        <v>6</v>
      </c>
      <c r="AF300" t="n">
        <v>2</v>
      </c>
      <c r="AG300" t="n">
        <v>2</v>
      </c>
      <c r="AH300" t="n">
        <v>2</v>
      </c>
      <c r="AI300" t="n">
        <v>2</v>
      </c>
      <c r="AJ300" t="n">
        <v>4</v>
      </c>
      <c r="AK300" t="n">
        <v>4</v>
      </c>
      <c r="AL300" t="n">
        <v>0</v>
      </c>
      <c r="AM300" t="n">
        <v>0</v>
      </c>
      <c r="AN300" t="n">
        <v>0</v>
      </c>
      <c r="AO300" t="n">
        <v>0</v>
      </c>
      <c r="AP300" t="inlineStr">
        <is>
          <t>No</t>
        </is>
      </c>
      <c r="AQ300" t="inlineStr">
        <is>
          <t>No</t>
        </is>
      </c>
      <c r="AS300">
        <f>HYPERLINK("https://creighton-primo.hosted.exlibrisgroup.com/primo-explore/search?tab=default_tab&amp;search_scope=EVERYTHING&amp;vid=01CRU&amp;lang=en_US&amp;offset=0&amp;query=any,contains,991001612529702656","Catalog Record")</f>
        <v/>
      </c>
      <c r="AT300">
        <f>HYPERLINK("http://www.worldcat.org/oclc/20754435","WorldCat Record")</f>
        <v/>
      </c>
      <c r="AU300" t="inlineStr">
        <is>
          <t>891936013:eng</t>
        </is>
      </c>
      <c r="AV300" t="inlineStr">
        <is>
          <t>20754435</t>
        </is>
      </c>
      <c r="AW300" t="inlineStr">
        <is>
          <t>991001612529702656</t>
        </is>
      </c>
      <c r="AX300" t="inlineStr">
        <is>
          <t>991001612529702656</t>
        </is>
      </c>
      <c r="AY300" t="inlineStr">
        <is>
          <t>2264129880002656</t>
        </is>
      </c>
      <c r="AZ300" t="inlineStr">
        <is>
          <t>BOOK</t>
        </is>
      </c>
      <c r="BB300" t="inlineStr">
        <is>
          <t>9780377002043</t>
        </is>
      </c>
      <c r="BC300" t="inlineStr">
        <is>
          <t>32285001286656</t>
        </is>
      </c>
      <c r="BD300" t="inlineStr">
        <is>
          <t>893351934</t>
        </is>
      </c>
    </row>
    <row r="301">
      <c r="A301" t="inlineStr">
        <is>
          <t>No</t>
        </is>
      </c>
      <c r="B301" t="inlineStr">
        <is>
          <t>BX1442.2 .B73 1987</t>
        </is>
      </c>
      <c r="C301" t="inlineStr">
        <is>
          <t>0                      BX 1442200B  73          1987</t>
        </is>
      </c>
      <c r="D301" t="inlineStr">
        <is>
          <t>Saints and Sandinistas : the Catholic church in Nicaragua and its response to the revolution / Andrew Bradstock.</t>
        </is>
      </c>
      <c r="F301" t="inlineStr">
        <is>
          <t>No</t>
        </is>
      </c>
      <c r="G301" t="inlineStr">
        <is>
          <t>1</t>
        </is>
      </c>
      <c r="H301" t="inlineStr">
        <is>
          <t>No</t>
        </is>
      </c>
      <c r="I301" t="inlineStr">
        <is>
          <t>No</t>
        </is>
      </c>
      <c r="J301" t="inlineStr">
        <is>
          <t>0</t>
        </is>
      </c>
      <c r="K301" t="inlineStr">
        <is>
          <t>Bradstock, Andrew.</t>
        </is>
      </c>
      <c r="L301" t="inlineStr">
        <is>
          <t>Westminster, London : Epworth Press, 1987.</t>
        </is>
      </c>
      <c r="M301" t="inlineStr">
        <is>
          <t>1987</t>
        </is>
      </c>
      <c r="O301" t="inlineStr">
        <is>
          <t>eng</t>
        </is>
      </c>
      <c r="P301" t="inlineStr">
        <is>
          <t>enk</t>
        </is>
      </c>
      <c r="R301" t="inlineStr">
        <is>
          <t xml:space="preserve">BX </t>
        </is>
      </c>
      <c r="S301" t="n">
        <v>3</v>
      </c>
      <c r="T301" t="n">
        <v>3</v>
      </c>
      <c r="U301" t="inlineStr">
        <is>
          <t>2010-04-07</t>
        </is>
      </c>
      <c r="V301" t="inlineStr">
        <is>
          <t>2010-04-07</t>
        </is>
      </c>
      <c r="W301" t="inlineStr">
        <is>
          <t>1990-04-23</t>
        </is>
      </c>
      <c r="X301" t="inlineStr">
        <is>
          <t>1990-04-23</t>
        </is>
      </c>
      <c r="Y301" t="n">
        <v>268</v>
      </c>
      <c r="Z301" t="n">
        <v>182</v>
      </c>
      <c r="AA301" t="n">
        <v>184</v>
      </c>
      <c r="AB301" t="n">
        <v>1</v>
      </c>
      <c r="AC301" t="n">
        <v>1</v>
      </c>
      <c r="AD301" t="n">
        <v>8</v>
      </c>
      <c r="AE301" t="n">
        <v>8</v>
      </c>
      <c r="AF301" t="n">
        <v>2</v>
      </c>
      <c r="AG301" t="n">
        <v>2</v>
      </c>
      <c r="AH301" t="n">
        <v>1</v>
      </c>
      <c r="AI301" t="n">
        <v>1</v>
      </c>
      <c r="AJ301" t="n">
        <v>5</v>
      </c>
      <c r="AK301" t="n">
        <v>5</v>
      </c>
      <c r="AL301" t="n">
        <v>0</v>
      </c>
      <c r="AM301" t="n">
        <v>0</v>
      </c>
      <c r="AN301" t="n">
        <v>0</v>
      </c>
      <c r="AO301" t="n">
        <v>0</v>
      </c>
      <c r="AP301" t="inlineStr">
        <is>
          <t>No</t>
        </is>
      </c>
      <c r="AQ301" t="inlineStr">
        <is>
          <t>Yes</t>
        </is>
      </c>
      <c r="AR301">
        <f>HYPERLINK("http://catalog.hathitrust.org/Record/000830268","HathiTrust Record")</f>
        <v/>
      </c>
      <c r="AS301">
        <f>HYPERLINK("https://creighton-primo.hosted.exlibrisgroup.com/primo-explore/search?tab=default_tab&amp;search_scope=EVERYTHING&amp;vid=01CRU&amp;lang=en_US&amp;offset=0&amp;query=any,contains,991001285339702656","Catalog Record")</f>
        <v/>
      </c>
      <c r="AT301">
        <f>HYPERLINK("http://www.worldcat.org/oclc/17953749","WorldCat Record")</f>
        <v/>
      </c>
      <c r="AU301" t="inlineStr">
        <is>
          <t>10616058:eng</t>
        </is>
      </c>
      <c r="AV301" t="inlineStr">
        <is>
          <t>17953749</t>
        </is>
      </c>
      <c r="AW301" t="inlineStr">
        <is>
          <t>991001285339702656</t>
        </is>
      </c>
      <c r="AX301" t="inlineStr">
        <is>
          <t>991001285339702656</t>
        </is>
      </c>
      <c r="AY301" t="inlineStr">
        <is>
          <t>2271904140002656</t>
        </is>
      </c>
      <c r="AZ301" t="inlineStr">
        <is>
          <t>BOOK</t>
        </is>
      </c>
      <c r="BB301" t="inlineStr">
        <is>
          <t>9780716204329</t>
        </is>
      </c>
      <c r="BC301" t="inlineStr">
        <is>
          <t>32285000131044</t>
        </is>
      </c>
      <c r="BD301" t="inlineStr">
        <is>
          <t>893225762</t>
        </is>
      </c>
    </row>
    <row r="302">
      <c r="A302" t="inlineStr">
        <is>
          <t>No</t>
        </is>
      </c>
      <c r="B302" t="inlineStr">
        <is>
          <t>BX1451 .M391 1990</t>
        </is>
      </c>
      <c r="C302" t="inlineStr">
        <is>
          <t>0                      BX 1451000M  391         1990</t>
        </is>
      </c>
      <c r="D302" t="inlineStr">
        <is>
          <t>El alma del negocio y el negocio del alma : testimonios sobre la iglesia y la sociedad en Cuba, 1878-1894 / Manuel Maza Miquel.</t>
        </is>
      </c>
      <c r="F302" t="inlineStr">
        <is>
          <t>No</t>
        </is>
      </c>
      <c r="G302" t="inlineStr">
        <is>
          <t>1</t>
        </is>
      </c>
      <c r="H302" t="inlineStr">
        <is>
          <t>No</t>
        </is>
      </c>
      <c r="I302" t="inlineStr">
        <is>
          <t>No</t>
        </is>
      </c>
      <c r="J302" t="inlineStr">
        <is>
          <t>0</t>
        </is>
      </c>
      <c r="K302" t="inlineStr">
        <is>
          <t>Maza Miquel, Manuel.</t>
        </is>
      </c>
      <c r="L302" t="inlineStr">
        <is>
          <t>Santiago, República Dominicana : PUCMM, 1990.</t>
        </is>
      </c>
      <c r="M302" t="inlineStr">
        <is>
          <t>1990</t>
        </is>
      </c>
      <c r="N302" t="inlineStr">
        <is>
          <t>1. ed.</t>
        </is>
      </c>
      <c r="O302" t="inlineStr">
        <is>
          <t>spa</t>
        </is>
      </c>
      <c r="P302" t="inlineStr">
        <is>
          <t xml:space="preserve">dr </t>
        </is>
      </c>
      <c r="Q302" t="inlineStr">
        <is>
          <t>Colección "Estudios" ; 145</t>
        </is>
      </c>
      <c r="R302" t="inlineStr">
        <is>
          <t xml:space="preserve">BX </t>
        </is>
      </c>
      <c r="S302" t="n">
        <v>1</v>
      </c>
      <c r="T302" t="n">
        <v>1</v>
      </c>
      <c r="U302" t="inlineStr">
        <is>
          <t>2002-05-08</t>
        </is>
      </c>
      <c r="V302" t="inlineStr">
        <is>
          <t>2002-05-08</t>
        </is>
      </c>
      <c r="W302" t="inlineStr">
        <is>
          <t>1995-09-18</t>
        </is>
      </c>
      <c r="X302" t="inlineStr">
        <is>
          <t>1995-09-18</t>
        </is>
      </c>
      <c r="Y302" t="n">
        <v>45</v>
      </c>
      <c r="Z302" t="n">
        <v>41</v>
      </c>
      <c r="AA302" t="n">
        <v>43</v>
      </c>
      <c r="AB302" t="n">
        <v>1</v>
      </c>
      <c r="AC302" t="n">
        <v>1</v>
      </c>
      <c r="AD302" t="n">
        <v>3</v>
      </c>
      <c r="AE302" t="n">
        <v>3</v>
      </c>
      <c r="AF302" t="n">
        <v>0</v>
      </c>
      <c r="AG302" t="n">
        <v>0</v>
      </c>
      <c r="AH302" t="n">
        <v>2</v>
      </c>
      <c r="AI302" t="n">
        <v>2</v>
      </c>
      <c r="AJ302" t="n">
        <v>2</v>
      </c>
      <c r="AK302" t="n">
        <v>2</v>
      </c>
      <c r="AL302" t="n">
        <v>0</v>
      </c>
      <c r="AM302" t="n">
        <v>0</v>
      </c>
      <c r="AN302" t="n">
        <v>0</v>
      </c>
      <c r="AO302" t="n">
        <v>0</v>
      </c>
      <c r="AP302" t="inlineStr">
        <is>
          <t>No</t>
        </is>
      </c>
      <c r="AQ302" t="inlineStr">
        <is>
          <t>Yes</t>
        </is>
      </c>
      <c r="AR302">
        <f>HYPERLINK("http://catalog.hathitrust.org/Record/003089998","HathiTrust Record")</f>
        <v/>
      </c>
      <c r="AS302">
        <f>HYPERLINK("https://creighton-primo.hosted.exlibrisgroup.com/primo-explore/search?tab=default_tab&amp;search_scope=EVERYTHING&amp;vid=01CRU&amp;lang=en_US&amp;offset=0&amp;query=any,contains,991001988519702656","Catalog Record")</f>
        <v/>
      </c>
      <c r="AT302">
        <f>HYPERLINK("http://www.worldcat.org/oclc/25264251","WorldCat Record")</f>
        <v/>
      </c>
      <c r="AU302" t="inlineStr">
        <is>
          <t>369539647:spa</t>
        </is>
      </c>
      <c r="AV302" t="inlineStr">
        <is>
          <t>25264251</t>
        </is>
      </c>
      <c r="AW302" t="inlineStr">
        <is>
          <t>991001988519702656</t>
        </is>
      </c>
      <c r="AX302" t="inlineStr">
        <is>
          <t>991001988519702656</t>
        </is>
      </c>
      <c r="AY302" t="inlineStr">
        <is>
          <t>2269346400002656</t>
        </is>
      </c>
      <c r="AZ302" t="inlineStr">
        <is>
          <t>BOOK</t>
        </is>
      </c>
      <c r="BC302" t="inlineStr">
        <is>
          <t>32285002093358</t>
        </is>
      </c>
      <c r="BD302" t="inlineStr">
        <is>
          <t>893621784</t>
        </is>
      </c>
    </row>
    <row r="303">
      <c r="A303" t="inlineStr">
        <is>
          <t>No</t>
        </is>
      </c>
      <c r="B303" t="inlineStr">
        <is>
          <t>BX1459.D6 C53 1967</t>
        </is>
      </c>
      <c r="C303" t="inlineStr">
        <is>
          <t>0                      BX 1459000D  6                  C  53          1967</t>
        </is>
      </c>
      <c r="D303" t="inlineStr">
        <is>
          <t>The church and the crisis in the Dominican Republic / by James A. Clark.</t>
        </is>
      </c>
      <c r="F303" t="inlineStr">
        <is>
          <t>No</t>
        </is>
      </c>
      <c r="G303" t="inlineStr">
        <is>
          <t>1</t>
        </is>
      </c>
      <c r="H303" t="inlineStr">
        <is>
          <t>No</t>
        </is>
      </c>
      <c r="I303" t="inlineStr">
        <is>
          <t>No</t>
        </is>
      </c>
      <c r="J303" t="inlineStr">
        <is>
          <t>0</t>
        </is>
      </c>
      <c r="K303" t="inlineStr">
        <is>
          <t>Clark, James A. (James Alan), 1929-</t>
        </is>
      </c>
      <c r="L303" t="inlineStr">
        <is>
          <t>Westminster, Md. : Newman Press, 1967, c1966.</t>
        </is>
      </c>
      <c r="M303" t="inlineStr">
        <is>
          <t>1967</t>
        </is>
      </c>
      <c r="O303" t="inlineStr">
        <is>
          <t>eng</t>
        </is>
      </c>
      <c r="P303" t="inlineStr">
        <is>
          <t>mdu</t>
        </is>
      </c>
      <c r="R303" t="inlineStr">
        <is>
          <t xml:space="preserve">BX </t>
        </is>
      </c>
      <c r="S303" t="n">
        <v>2</v>
      </c>
      <c r="T303" t="n">
        <v>2</v>
      </c>
      <c r="U303" t="inlineStr">
        <is>
          <t>2010-10-28</t>
        </is>
      </c>
      <c r="V303" t="inlineStr">
        <is>
          <t>2010-10-28</t>
        </is>
      </c>
      <c r="W303" t="inlineStr">
        <is>
          <t>1999-03-17</t>
        </is>
      </c>
      <c r="X303" t="inlineStr">
        <is>
          <t>1999-03-17</t>
        </is>
      </c>
      <c r="Y303" t="n">
        <v>157</v>
      </c>
      <c r="Z303" t="n">
        <v>147</v>
      </c>
      <c r="AA303" t="n">
        <v>148</v>
      </c>
      <c r="AB303" t="n">
        <v>1</v>
      </c>
      <c r="AC303" t="n">
        <v>1</v>
      </c>
      <c r="AD303" t="n">
        <v>14</v>
      </c>
      <c r="AE303" t="n">
        <v>14</v>
      </c>
      <c r="AF303" t="n">
        <v>2</v>
      </c>
      <c r="AG303" t="n">
        <v>2</v>
      </c>
      <c r="AH303" t="n">
        <v>4</v>
      </c>
      <c r="AI303" t="n">
        <v>4</v>
      </c>
      <c r="AJ303" t="n">
        <v>11</v>
      </c>
      <c r="AK303" t="n">
        <v>11</v>
      </c>
      <c r="AL303" t="n">
        <v>0</v>
      </c>
      <c r="AM303" t="n">
        <v>0</v>
      </c>
      <c r="AN303" t="n">
        <v>0</v>
      </c>
      <c r="AO303" t="n">
        <v>0</v>
      </c>
      <c r="AP303" t="inlineStr">
        <is>
          <t>No</t>
        </is>
      </c>
      <c r="AQ303" t="inlineStr">
        <is>
          <t>No</t>
        </is>
      </c>
      <c r="AS303">
        <f>HYPERLINK("https://creighton-primo.hosted.exlibrisgroup.com/primo-explore/search?tab=default_tab&amp;search_scope=EVERYTHING&amp;vid=01CRU&amp;lang=en_US&amp;offset=0&amp;query=any,contains,991003372349702656","Catalog Record")</f>
        <v/>
      </c>
      <c r="AT303">
        <f>HYPERLINK("http://www.worldcat.org/oclc/908400","WorldCat Record")</f>
        <v/>
      </c>
      <c r="AU303" t="inlineStr">
        <is>
          <t>1845983:eng</t>
        </is>
      </c>
      <c r="AV303" t="inlineStr">
        <is>
          <t>908400</t>
        </is>
      </c>
      <c r="AW303" t="inlineStr">
        <is>
          <t>991003372349702656</t>
        </is>
      </c>
      <c r="AX303" t="inlineStr">
        <is>
          <t>991003372349702656</t>
        </is>
      </c>
      <c r="AY303" t="inlineStr">
        <is>
          <t>2261451830002656</t>
        </is>
      </c>
      <c r="AZ303" t="inlineStr">
        <is>
          <t>BOOK</t>
        </is>
      </c>
      <c r="BC303" t="inlineStr">
        <is>
          <t>32285003533527</t>
        </is>
      </c>
      <c r="BD303" t="inlineStr">
        <is>
          <t>893511899</t>
        </is>
      </c>
    </row>
    <row r="304">
      <c r="A304" t="inlineStr">
        <is>
          <t>No</t>
        </is>
      </c>
      <c r="B304" t="inlineStr">
        <is>
          <t>BX1461.2 .S34</t>
        </is>
      </c>
      <c r="C304" t="inlineStr">
        <is>
          <t>0                      BX 1461200S  34</t>
        </is>
      </c>
      <c r="D304" t="inlineStr">
        <is>
          <t>The Roman Catholic Church in modern Latin America / edited with an introd. by Karl M. Schmitt.</t>
        </is>
      </c>
      <c r="F304" t="inlineStr">
        <is>
          <t>No</t>
        </is>
      </c>
      <c r="G304" t="inlineStr">
        <is>
          <t>1</t>
        </is>
      </c>
      <c r="H304" t="inlineStr">
        <is>
          <t>No</t>
        </is>
      </c>
      <c r="I304" t="inlineStr">
        <is>
          <t>No</t>
        </is>
      </c>
      <c r="J304" t="inlineStr">
        <is>
          <t>0</t>
        </is>
      </c>
      <c r="K304" t="inlineStr">
        <is>
          <t>Schmitt, Karl M., 1922- compiler.</t>
        </is>
      </c>
      <c r="L304" t="inlineStr">
        <is>
          <t>New York, Knopf [1972]</t>
        </is>
      </c>
      <c r="M304" t="inlineStr">
        <is>
          <t>1972</t>
        </is>
      </c>
      <c r="N304" t="inlineStr">
        <is>
          <t>[1st ed.]</t>
        </is>
      </c>
      <c r="O304" t="inlineStr">
        <is>
          <t>eng</t>
        </is>
      </c>
      <c r="P304" t="inlineStr">
        <is>
          <t>nyu</t>
        </is>
      </c>
      <c r="Q304" t="inlineStr">
        <is>
          <t>Borzoi books on Latin America</t>
        </is>
      </c>
      <c r="R304" t="inlineStr">
        <is>
          <t xml:space="preserve">BX </t>
        </is>
      </c>
      <c r="S304" t="n">
        <v>1</v>
      </c>
      <c r="T304" t="n">
        <v>1</v>
      </c>
      <c r="U304" t="inlineStr">
        <is>
          <t>1996-02-12</t>
        </is>
      </c>
      <c r="V304" t="inlineStr">
        <is>
          <t>1996-02-12</t>
        </is>
      </c>
      <c r="W304" t="inlineStr">
        <is>
          <t>1991-02-13</t>
        </is>
      </c>
      <c r="X304" t="inlineStr">
        <is>
          <t>1991-02-13</t>
        </is>
      </c>
      <c r="Y304" t="n">
        <v>567</v>
      </c>
      <c r="Z304" t="n">
        <v>493</v>
      </c>
      <c r="AA304" t="n">
        <v>495</v>
      </c>
      <c r="AB304" t="n">
        <v>6</v>
      </c>
      <c r="AC304" t="n">
        <v>6</v>
      </c>
      <c r="AD304" t="n">
        <v>34</v>
      </c>
      <c r="AE304" t="n">
        <v>34</v>
      </c>
      <c r="AF304" t="n">
        <v>15</v>
      </c>
      <c r="AG304" t="n">
        <v>15</v>
      </c>
      <c r="AH304" t="n">
        <v>7</v>
      </c>
      <c r="AI304" t="n">
        <v>7</v>
      </c>
      <c r="AJ304" t="n">
        <v>18</v>
      </c>
      <c r="AK304" t="n">
        <v>18</v>
      </c>
      <c r="AL304" t="n">
        <v>4</v>
      </c>
      <c r="AM304" t="n">
        <v>4</v>
      </c>
      <c r="AN304" t="n">
        <v>0</v>
      </c>
      <c r="AO304" t="n">
        <v>0</v>
      </c>
      <c r="AP304" t="inlineStr">
        <is>
          <t>No</t>
        </is>
      </c>
      <c r="AQ304" t="inlineStr">
        <is>
          <t>Yes</t>
        </is>
      </c>
      <c r="AR304">
        <f>HYPERLINK("http://catalog.hathitrust.org/Record/001416068","HathiTrust Record")</f>
        <v/>
      </c>
      <c r="AS304">
        <f>HYPERLINK("https://creighton-primo.hosted.exlibrisgroup.com/primo-explore/search?tab=default_tab&amp;search_scope=EVERYTHING&amp;vid=01CRU&amp;lang=en_US&amp;offset=0&amp;query=any,contains,991002343209702656","Catalog Record")</f>
        <v/>
      </c>
      <c r="AT304">
        <f>HYPERLINK("http://www.worldcat.org/oclc/324129","WorldCat Record")</f>
        <v/>
      </c>
      <c r="AU304" t="inlineStr">
        <is>
          <t>1409559:eng</t>
        </is>
      </c>
      <c r="AV304" t="inlineStr">
        <is>
          <t>324129</t>
        </is>
      </c>
      <c r="AW304" t="inlineStr">
        <is>
          <t>991002343209702656</t>
        </is>
      </c>
      <c r="AX304" t="inlineStr">
        <is>
          <t>991002343209702656</t>
        </is>
      </c>
      <c r="AY304" t="inlineStr">
        <is>
          <t>2255054690002656</t>
        </is>
      </c>
      <c r="AZ304" t="inlineStr">
        <is>
          <t>BOOK</t>
        </is>
      </c>
      <c r="BB304" t="inlineStr">
        <is>
          <t>9780394473895</t>
        </is>
      </c>
      <c r="BC304" t="inlineStr">
        <is>
          <t>32285000507631</t>
        </is>
      </c>
      <c r="BD304" t="inlineStr">
        <is>
          <t>893232846</t>
        </is>
      </c>
    </row>
    <row r="305">
      <c r="A305" t="inlineStr">
        <is>
          <t>No</t>
        </is>
      </c>
      <c r="B305" t="inlineStr">
        <is>
          <t>BX1462.2 .M5313 1988</t>
        </is>
      </c>
      <c r="C305" t="inlineStr">
        <is>
          <t>0                      BX 1462200M  5313        1988</t>
        </is>
      </c>
      <c r="D305" t="inlineStr">
        <is>
          <t>Witness to the truth : the complicity of Church and dictatorship in Argentina, 1976-1983 / Emilio F. Mignone ; translated from the Spanish by Phillip Berryman.</t>
        </is>
      </c>
      <c r="F305" t="inlineStr">
        <is>
          <t>No</t>
        </is>
      </c>
      <c r="G305" t="inlineStr">
        <is>
          <t>1</t>
        </is>
      </c>
      <c r="H305" t="inlineStr">
        <is>
          <t>No</t>
        </is>
      </c>
      <c r="I305" t="inlineStr">
        <is>
          <t>No</t>
        </is>
      </c>
      <c r="J305" t="inlineStr">
        <is>
          <t>0</t>
        </is>
      </c>
      <c r="K305" t="inlineStr">
        <is>
          <t>Mignone, Emilio Fermín.</t>
        </is>
      </c>
      <c r="L305" t="inlineStr">
        <is>
          <t>Maryknoll, N.Y. : Orbis Books, c1988.</t>
        </is>
      </c>
      <c r="M305" t="inlineStr">
        <is>
          <t>1988</t>
        </is>
      </c>
      <c r="O305" t="inlineStr">
        <is>
          <t>eng</t>
        </is>
      </c>
      <c r="P305" t="inlineStr">
        <is>
          <t>nyu</t>
        </is>
      </c>
      <c r="R305" t="inlineStr">
        <is>
          <t xml:space="preserve">BX </t>
        </is>
      </c>
      <c r="S305" t="n">
        <v>1</v>
      </c>
      <c r="T305" t="n">
        <v>1</v>
      </c>
      <c r="U305" t="inlineStr">
        <is>
          <t>1996-02-12</t>
        </is>
      </c>
      <c r="V305" t="inlineStr">
        <is>
          <t>1996-02-12</t>
        </is>
      </c>
      <c r="W305" t="inlineStr">
        <is>
          <t>1991-01-28</t>
        </is>
      </c>
      <c r="X305" t="inlineStr">
        <is>
          <t>1991-01-28</t>
        </is>
      </c>
      <c r="Y305" t="n">
        <v>301</v>
      </c>
      <c r="Z305" t="n">
        <v>241</v>
      </c>
      <c r="AA305" t="n">
        <v>248</v>
      </c>
      <c r="AB305" t="n">
        <v>2</v>
      </c>
      <c r="AC305" t="n">
        <v>2</v>
      </c>
      <c r="AD305" t="n">
        <v>20</v>
      </c>
      <c r="AE305" t="n">
        <v>20</v>
      </c>
      <c r="AF305" t="n">
        <v>4</v>
      </c>
      <c r="AG305" t="n">
        <v>4</v>
      </c>
      <c r="AH305" t="n">
        <v>8</v>
      </c>
      <c r="AI305" t="n">
        <v>8</v>
      </c>
      <c r="AJ305" t="n">
        <v>13</v>
      </c>
      <c r="AK305" t="n">
        <v>13</v>
      </c>
      <c r="AL305" t="n">
        <v>1</v>
      </c>
      <c r="AM305" t="n">
        <v>1</v>
      </c>
      <c r="AN305" t="n">
        <v>1</v>
      </c>
      <c r="AO305" t="n">
        <v>1</v>
      </c>
      <c r="AP305" t="inlineStr">
        <is>
          <t>No</t>
        </is>
      </c>
      <c r="AQ305" t="inlineStr">
        <is>
          <t>Yes</t>
        </is>
      </c>
      <c r="AR305">
        <f>HYPERLINK("http://catalog.hathitrust.org/Record/000917117","HathiTrust Record")</f>
        <v/>
      </c>
      <c r="AS305">
        <f>HYPERLINK("https://creighton-primo.hosted.exlibrisgroup.com/primo-explore/search?tab=default_tab&amp;search_scope=EVERYTHING&amp;vid=01CRU&amp;lang=en_US&amp;offset=0&amp;query=any,contains,991001214909702656","Catalog Record")</f>
        <v/>
      </c>
      <c r="AT305">
        <f>HYPERLINK("http://www.worldcat.org/oclc/17413302","WorldCat Record")</f>
        <v/>
      </c>
      <c r="AU305" t="inlineStr">
        <is>
          <t>505524299:eng</t>
        </is>
      </c>
      <c r="AV305" t="inlineStr">
        <is>
          <t>17413302</t>
        </is>
      </c>
      <c r="AW305" t="inlineStr">
        <is>
          <t>991001214909702656</t>
        </is>
      </c>
      <c r="AX305" t="inlineStr">
        <is>
          <t>991001214909702656</t>
        </is>
      </c>
      <c r="AY305" t="inlineStr">
        <is>
          <t>2265128040002656</t>
        </is>
      </c>
      <c r="AZ305" t="inlineStr">
        <is>
          <t>BOOK</t>
        </is>
      </c>
      <c r="BB305" t="inlineStr">
        <is>
          <t>9780883446294</t>
        </is>
      </c>
      <c r="BC305" t="inlineStr">
        <is>
          <t>32285000461466</t>
        </is>
      </c>
      <c r="BD305" t="inlineStr">
        <is>
          <t>893690437</t>
        </is>
      </c>
    </row>
    <row r="306">
      <c r="A306" t="inlineStr">
        <is>
          <t>No</t>
        </is>
      </c>
      <c r="B306" t="inlineStr">
        <is>
          <t>BX1466.2 .B78</t>
        </is>
      </c>
      <c r="C306" t="inlineStr">
        <is>
          <t>0                      BX 1466200B  78</t>
        </is>
      </c>
      <c r="D306" t="inlineStr">
        <is>
          <t>The political transformation of the Brazilian Catholic Church / [by] Thomas C. Bruneau.</t>
        </is>
      </c>
      <c r="F306" t="inlineStr">
        <is>
          <t>No</t>
        </is>
      </c>
      <c r="G306" t="inlineStr">
        <is>
          <t>1</t>
        </is>
      </c>
      <c r="H306" t="inlineStr">
        <is>
          <t>No</t>
        </is>
      </c>
      <c r="I306" t="inlineStr">
        <is>
          <t>No</t>
        </is>
      </c>
      <c r="J306" t="inlineStr">
        <is>
          <t>0</t>
        </is>
      </c>
      <c r="K306" t="inlineStr">
        <is>
          <t>Bruneau, Thomas C.</t>
        </is>
      </c>
      <c r="L306" t="inlineStr">
        <is>
          <t>[London, New York] Cambridge University Press [1974]</t>
        </is>
      </c>
      <c r="M306" t="inlineStr">
        <is>
          <t>1974</t>
        </is>
      </c>
      <c r="O306" t="inlineStr">
        <is>
          <t>eng</t>
        </is>
      </c>
      <c r="P306" t="inlineStr">
        <is>
          <t>enk</t>
        </is>
      </c>
      <c r="Q306" t="inlineStr">
        <is>
          <t>Perspectives on development ; 2</t>
        </is>
      </c>
      <c r="R306" t="inlineStr">
        <is>
          <t xml:space="preserve">BX </t>
        </is>
      </c>
      <c r="S306" t="n">
        <v>2</v>
      </c>
      <c r="T306" t="n">
        <v>2</v>
      </c>
      <c r="U306" t="inlineStr">
        <is>
          <t>2005-11-15</t>
        </is>
      </c>
      <c r="V306" t="inlineStr">
        <is>
          <t>2005-11-15</t>
        </is>
      </c>
      <c r="W306" t="inlineStr">
        <is>
          <t>1990-04-20</t>
        </is>
      </c>
      <c r="X306" t="inlineStr">
        <is>
          <t>1990-04-20</t>
        </is>
      </c>
      <c r="Y306" t="n">
        <v>614</v>
      </c>
      <c r="Z306" t="n">
        <v>497</v>
      </c>
      <c r="AA306" t="n">
        <v>507</v>
      </c>
      <c r="AB306" t="n">
        <v>3</v>
      </c>
      <c r="AC306" t="n">
        <v>3</v>
      </c>
      <c r="AD306" t="n">
        <v>33</v>
      </c>
      <c r="AE306" t="n">
        <v>33</v>
      </c>
      <c r="AF306" t="n">
        <v>10</v>
      </c>
      <c r="AG306" t="n">
        <v>10</v>
      </c>
      <c r="AH306" t="n">
        <v>10</v>
      </c>
      <c r="AI306" t="n">
        <v>10</v>
      </c>
      <c r="AJ306" t="n">
        <v>21</v>
      </c>
      <c r="AK306" t="n">
        <v>21</v>
      </c>
      <c r="AL306" t="n">
        <v>2</v>
      </c>
      <c r="AM306" t="n">
        <v>2</v>
      </c>
      <c r="AN306" t="n">
        <v>0</v>
      </c>
      <c r="AO306" t="n">
        <v>0</v>
      </c>
      <c r="AP306" t="inlineStr">
        <is>
          <t>No</t>
        </is>
      </c>
      <c r="AQ306" t="inlineStr">
        <is>
          <t>No</t>
        </is>
      </c>
      <c r="AS306">
        <f>HYPERLINK("https://creighton-primo.hosted.exlibrisgroup.com/primo-explore/search?tab=default_tab&amp;search_scope=EVERYTHING&amp;vid=01CRU&amp;lang=en_US&amp;offset=0&amp;query=any,contains,991003361209702656","Catalog Record")</f>
        <v/>
      </c>
      <c r="AT306">
        <f>HYPERLINK("http://www.worldcat.org/oclc/897582","WorldCat Record")</f>
        <v/>
      </c>
      <c r="AU306" t="inlineStr">
        <is>
          <t>1884352:eng</t>
        </is>
      </c>
      <c r="AV306" t="inlineStr">
        <is>
          <t>897582</t>
        </is>
      </c>
      <c r="AW306" t="inlineStr">
        <is>
          <t>991003361209702656</t>
        </is>
      </c>
      <c r="AX306" t="inlineStr">
        <is>
          <t>991003361209702656</t>
        </is>
      </c>
      <c r="AY306" t="inlineStr">
        <is>
          <t>2257444170002656</t>
        </is>
      </c>
      <c r="AZ306" t="inlineStr">
        <is>
          <t>BOOK</t>
        </is>
      </c>
      <c r="BB306" t="inlineStr">
        <is>
          <t>9780521202565</t>
        </is>
      </c>
      <c r="BC306" t="inlineStr">
        <is>
          <t>32285000123041</t>
        </is>
      </c>
      <c r="BD306" t="inlineStr">
        <is>
          <t>893780946</t>
        </is>
      </c>
    </row>
    <row r="307">
      <c r="A307" t="inlineStr">
        <is>
          <t>No</t>
        </is>
      </c>
      <c r="B307" t="inlineStr">
        <is>
          <t>BX1466.2 .C313 1971</t>
        </is>
      </c>
      <c r="C307" t="inlineStr">
        <is>
          <t>0                      BX 1466200C  313         1971</t>
        </is>
      </c>
      <c r="D307" t="inlineStr">
        <is>
          <t>Revolution through peace / by Hélder Câmara. Translated from the Portuguese by Amparo McLean.</t>
        </is>
      </c>
      <c r="F307" t="inlineStr">
        <is>
          <t>No</t>
        </is>
      </c>
      <c r="G307" t="inlineStr">
        <is>
          <t>1</t>
        </is>
      </c>
      <c r="H307" t="inlineStr">
        <is>
          <t>No</t>
        </is>
      </c>
      <c r="I307" t="inlineStr">
        <is>
          <t>No</t>
        </is>
      </c>
      <c r="J307" t="inlineStr">
        <is>
          <t>0</t>
        </is>
      </c>
      <c r="K307" t="inlineStr">
        <is>
          <t>Câmara, Hélder, 1909-1999.</t>
        </is>
      </c>
      <c r="L307" t="inlineStr">
        <is>
          <t>New York, Harper &amp; Row [1971]</t>
        </is>
      </c>
      <c r="M307" t="inlineStr">
        <is>
          <t>1971</t>
        </is>
      </c>
      <c r="N307" t="inlineStr">
        <is>
          <t>[1st U.S. ed.]</t>
        </is>
      </c>
      <c r="O307" t="inlineStr">
        <is>
          <t>eng</t>
        </is>
      </c>
      <c r="P307" t="inlineStr">
        <is>
          <t>nyu</t>
        </is>
      </c>
      <c r="Q307" t="inlineStr">
        <is>
          <t>World perspectives ; v. 45</t>
        </is>
      </c>
      <c r="R307" t="inlineStr">
        <is>
          <t xml:space="preserve">BX </t>
        </is>
      </c>
      <c r="S307" t="n">
        <v>4</v>
      </c>
      <c r="T307" t="n">
        <v>4</v>
      </c>
      <c r="U307" t="inlineStr">
        <is>
          <t>1994-11-09</t>
        </is>
      </c>
      <c r="V307" t="inlineStr">
        <is>
          <t>1994-11-09</t>
        </is>
      </c>
      <c r="W307" t="inlineStr">
        <is>
          <t>1991-02-13</t>
        </is>
      </c>
      <c r="X307" t="inlineStr">
        <is>
          <t>1991-02-13</t>
        </is>
      </c>
      <c r="Y307" t="n">
        <v>540</v>
      </c>
      <c r="Z307" t="n">
        <v>467</v>
      </c>
      <c r="AA307" t="n">
        <v>523</v>
      </c>
      <c r="AB307" t="n">
        <v>3</v>
      </c>
      <c r="AC307" t="n">
        <v>4</v>
      </c>
      <c r="AD307" t="n">
        <v>28</v>
      </c>
      <c r="AE307" t="n">
        <v>33</v>
      </c>
      <c r="AF307" t="n">
        <v>9</v>
      </c>
      <c r="AG307" t="n">
        <v>10</v>
      </c>
      <c r="AH307" t="n">
        <v>7</v>
      </c>
      <c r="AI307" t="n">
        <v>9</v>
      </c>
      <c r="AJ307" t="n">
        <v>17</v>
      </c>
      <c r="AK307" t="n">
        <v>20</v>
      </c>
      <c r="AL307" t="n">
        <v>2</v>
      </c>
      <c r="AM307" t="n">
        <v>3</v>
      </c>
      <c r="AN307" t="n">
        <v>0</v>
      </c>
      <c r="AO307" t="n">
        <v>0</v>
      </c>
      <c r="AP307" t="inlineStr">
        <is>
          <t>No</t>
        </is>
      </c>
      <c r="AQ307" t="inlineStr">
        <is>
          <t>Yes</t>
        </is>
      </c>
      <c r="AR307">
        <f>HYPERLINK("http://catalog.hathitrust.org/Record/001416078","HathiTrust Record")</f>
        <v/>
      </c>
      <c r="AS307">
        <f>HYPERLINK("https://creighton-primo.hosted.exlibrisgroup.com/primo-explore/search?tab=default_tab&amp;search_scope=EVERYTHING&amp;vid=01CRU&amp;lang=en_US&amp;offset=0&amp;query=any,contains,991000925559702656","Catalog Record")</f>
        <v/>
      </c>
      <c r="AT307">
        <f>HYPERLINK("http://www.worldcat.org/oclc/163148","WorldCat Record")</f>
        <v/>
      </c>
      <c r="AU307" t="inlineStr">
        <is>
          <t>3772404973:eng</t>
        </is>
      </c>
      <c r="AV307" t="inlineStr">
        <is>
          <t>163148</t>
        </is>
      </c>
      <c r="AW307" t="inlineStr">
        <is>
          <t>991000925559702656</t>
        </is>
      </c>
      <c r="AX307" t="inlineStr">
        <is>
          <t>991000925559702656</t>
        </is>
      </c>
      <c r="AY307" t="inlineStr">
        <is>
          <t>2272085140002656</t>
        </is>
      </c>
      <c r="AZ307" t="inlineStr">
        <is>
          <t>BOOK</t>
        </is>
      </c>
      <c r="BB307" t="inlineStr">
        <is>
          <t>9780060105976</t>
        </is>
      </c>
      <c r="BC307" t="inlineStr">
        <is>
          <t>32285000507714</t>
        </is>
      </c>
      <c r="BD307" t="inlineStr">
        <is>
          <t>893438702</t>
        </is>
      </c>
    </row>
    <row r="308">
      <c r="A308" t="inlineStr">
        <is>
          <t>No</t>
        </is>
      </c>
      <c r="B308" t="inlineStr">
        <is>
          <t>BX1466.2 .S48 2000</t>
        </is>
      </c>
      <c r="C308" t="inlineStr">
        <is>
          <t>0                      BX 1466200S  48          2000</t>
        </is>
      </c>
      <c r="D308" t="inlineStr">
        <is>
          <t>Secret dialogues : church-state relations, torture, and social justice in authoritarian Brazil / Kenneth P. Serbin.</t>
        </is>
      </c>
      <c r="F308" t="inlineStr">
        <is>
          <t>No</t>
        </is>
      </c>
      <c r="G308" t="inlineStr">
        <is>
          <t>1</t>
        </is>
      </c>
      <c r="H308" t="inlineStr">
        <is>
          <t>No</t>
        </is>
      </c>
      <c r="I308" t="inlineStr">
        <is>
          <t>No</t>
        </is>
      </c>
      <c r="J308" t="inlineStr">
        <is>
          <t>0</t>
        </is>
      </c>
      <c r="K308" t="inlineStr">
        <is>
          <t>Serbin, Kenneth P.</t>
        </is>
      </c>
      <c r="L308" t="inlineStr">
        <is>
          <t>Pittsburgh, Pa. : University of Pittsburgh Press, c2000.</t>
        </is>
      </c>
      <c r="M308" t="inlineStr">
        <is>
          <t>2000</t>
        </is>
      </c>
      <c r="O308" t="inlineStr">
        <is>
          <t>eng</t>
        </is>
      </c>
      <c r="P308" t="inlineStr">
        <is>
          <t>pau</t>
        </is>
      </c>
      <c r="Q308" t="inlineStr">
        <is>
          <t>Pitt Latin American series</t>
        </is>
      </c>
      <c r="R308" t="inlineStr">
        <is>
          <t xml:space="preserve">BX </t>
        </is>
      </c>
      <c r="S308" t="n">
        <v>2</v>
      </c>
      <c r="T308" t="n">
        <v>2</v>
      </c>
      <c r="U308" t="inlineStr">
        <is>
          <t>2005-11-15</t>
        </is>
      </c>
      <c r="V308" t="inlineStr">
        <is>
          <t>2005-11-15</t>
        </is>
      </c>
      <c r="W308" t="inlineStr">
        <is>
          <t>2001-09-26</t>
        </is>
      </c>
      <c r="X308" t="inlineStr">
        <is>
          <t>2001-09-26</t>
        </is>
      </c>
      <c r="Y308" t="n">
        <v>369</v>
      </c>
      <c r="Z308" t="n">
        <v>316</v>
      </c>
      <c r="AA308" t="n">
        <v>628</v>
      </c>
      <c r="AB308" t="n">
        <v>3</v>
      </c>
      <c r="AC308" t="n">
        <v>6</v>
      </c>
      <c r="AD308" t="n">
        <v>25</v>
      </c>
      <c r="AE308" t="n">
        <v>37</v>
      </c>
      <c r="AF308" t="n">
        <v>7</v>
      </c>
      <c r="AG308" t="n">
        <v>15</v>
      </c>
      <c r="AH308" t="n">
        <v>6</v>
      </c>
      <c r="AI308" t="n">
        <v>9</v>
      </c>
      <c r="AJ308" t="n">
        <v>15</v>
      </c>
      <c r="AK308" t="n">
        <v>17</v>
      </c>
      <c r="AL308" t="n">
        <v>2</v>
      </c>
      <c r="AM308" t="n">
        <v>4</v>
      </c>
      <c r="AN308" t="n">
        <v>1</v>
      </c>
      <c r="AO308" t="n">
        <v>1</v>
      </c>
      <c r="AP308" t="inlineStr">
        <is>
          <t>No</t>
        </is>
      </c>
      <c r="AQ308" t="inlineStr">
        <is>
          <t>Yes</t>
        </is>
      </c>
      <c r="AR308">
        <f>HYPERLINK("http://catalog.hathitrust.org/Record/004119880","HathiTrust Record")</f>
        <v/>
      </c>
      <c r="AS308">
        <f>HYPERLINK("https://creighton-primo.hosted.exlibrisgroup.com/primo-explore/search?tab=default_tab&amp;search_scope=EVERYTHING&amp;vid=01CRU&amp;lang=en_US&amp;offset=0&amp;query=any,contains,991003623339702656","Catalog Record")</f>
        <v/>
      </c>
      <c r="AT308">
        <f>HYPERLINK("http://www.worldcat.org/oclc/44267778","WorldCat Record")</f>
        <v/>
      </c>
      <c r="AU308" t="inlineStr">
        <is>
          <t>6372113:eng</t>
        </is>
      </c>
      <c r="AV308" t="inlineStr">
        <is>
          <t>44267778</t>
        </is>
      </c>
      <c r="AW308" t="inlineStr">
        <is>
          <t>991003623339702656</t>
        </is>
      </c>
      <c r="AX308" t="inlineStr">
        <is>
          <t>991003623339702656</t>
        </is>
      </c>
      <c r="AY308" t="inlineStr">
        <is>
          <t>2264917530002656</t>
        </is>
      </c>
      <c r="AZ308" t="inlineStr">
        <is>
          <t>BOOK</t>
        </is>
      </c>
      <c r="BB308" t="inlineStr">
        <is>
          <t>9780822941231</t>
        </is>
      </c>
      <c r="BC308" t="inlineStr">
        <is>
          <t>32285004393541</t>
        </is>
      </c>
      <c r="BD308" t="inlineStr">
        <is>
          <t>893868636</t>
        </is>
      </c>
    </row>
    <row r="309">
      <c r="A309" t="inlineStr">
        <is>
          <t>No</t>
        </is>
      </c>
      <c r="B309" t="inlineStr">
        <is>
          <t>BX1467.S3 B47 1996</t>
        </is>
      </c>
      <c r="C309" t="inlineStr">
        <is>
          <t>0                      BX 1467000S  3                  B  47          1996</t>
        </is>
      </c>
      <c r="D309" t="inlineStr">
        <is>
          <t>Religion in the megacity : Catholic and Protestant portraits from Latin America / Phillip Berryman.</t>
        </is>
      </c>
      <c r="F309" t="inlineStr">
        <is>
          <t>No</t>
        </is>
      </c>
      <c r="G309" t="inlineStr">
        <is>
          <t>1</t>
        </is>
      </c>
      <c r="H309" t="inlineStr">
        <is>
          <t>No</t>
        </is>
      </c>
      <c r="I309" t="inlineStr">
        <is>
          <t>No</t>
        </is>
      </c>
      <c r="J309" t="inlineStr">
        <is>
          <t>0</t>
        </is>
      </c>
      <c r="K309" t="inlineStr">
        <is>
          <t>Berryman, Phillip.</t>
        </is>
      </c>
      <c r="L309" t="inlineStr">
        <is>
          <t>Maryknoll, N.Y. : Orbis Books, c1996.</t>
        </is>
      </c>
      <c r="M309" t="inlineStr">
        <is>
          <t>1996</t>
        </is>
      </c>
      <c r="O309" t="inlineStr">
        <is>
          <t>eng</t>
        </is>
      </c>
      <c r="P309" t="inlineStr">
        <is>
          <t>nyu</t>
        </is>
      </c>
      <c r="R309" t="inlineStr">
        <is>
          <t xml:space="preserve">BX </t>
        </is>
      </c>
      <c r="S309" t="n">
        <v>9</v>
      </c>
      <c r="T309" t="n">
        <v>9</v>
      </c>
      <c r="U309" t="inlineStr">
        <is>
          <t>2003-11-03</t>
        </is>
      </c>
      <c r="V309" t="inlineStr">
        <is>
          <t>2003-11-03</t>
        </is>
      </c>
      <c r="W309" t="inlineStr">
        <is>
          <t>1997-03-17</t>
        </is>
      </c>
      <c r="X309" t="inlineStr">
        <is>
          <t>1997-03-17</t>
        </is>
      </c>
      <c r="Y309" t="n">
        <v>378</v>
      </c>
      <c r="Z309" t="n">
        <v>318</v>
      </c>
      <c r="AA309" t="n">
        <v>332</v>
      </c>
      <c r="AB309" t="n">
        <v>3</v>
      </c>
      <c r="AC309" t="n">
        <v>3</v>
      </c>
      <c r="AD309" t="n">
        <v>33</v>
      </c>
      <c r="AE309" t="n">
        <v>33</v>
      </c>
      <c r="AF309" t="n">
        <v>12</v>
      </c>
      <c r="AG309" t="n">
        <v>12</v>
      </c>
      <c r="AH309" t="n">
        <v>10</v>
      </c>
      <c r="AI309" t="n">
        <v>10</v>
      </c>
      <c r="AJ309" t="n">
        <v>18</v>
      </c>
      <c r="AK309" t="n">
        <v>18</v>
      </c>
      <c r="AL309" t="n">
        <v>2</v>
      </c>
      <c r="AM309" t="n">
        <v>2</v>
      </c>
      <c r="AN309" t="n">
        <v>0</v>
      </c>
      <c r="AO309" t="n">
        <v>0</v>
      </c>
      <c r="AP309" t="inlineStr">
        <is>
          <t>No</t>
        </is>
      </c>
      <c r="AQ309" t="inlineStr">
        <is>
          <t>Yes</t>
        </is>
      </c>
      <c r="AR309">
        <f>HYPERLINK("http://catalog.hathitrust.org/Record/003137783","HathiTrust Record")</f>
        <v/>
      </c>
      <c r="AS309">
        <f>HYPERLINK("https://creighton-primo.hosted.exlibrisgroup.com/primo-explore/search?tab=default_tab&amp;search_scope=EVERYTHING&amp;vid=01CRU&amp;lang=en_US&amp;offset=0&amp;query=any,contains,991002695069702656","Catalog Record")</f>
        <v/>
      </c>
      <c r="AT309">
        <f>HYPERLINK("http://www.worldcat.org/oclc/35192284","WorldCat Record")</f>
        <v/>
      </c>
      <c r="AU309" t="inlineStr">
        <is>
          <t>40869137:eng</t>
        </is>
      </c>
      <c r="AV309" t="inlineStr">
        <is>
          <t>35192284</t>
        </is>
      </c>
      <c r="AW309" t="inlineStr">
        <is>
          <t>991002695069702656</t>
        </is>
      </c>
      <c r="AX309" t="inlineStr">
        <is>
          <t>991002695069702656</t>
        </is>
      </c>
      <c r="AY309" t="inlineStr">
        <is>
          <t>2256326580002656</t>
        </is>
      </c>
      <c r="AZ309" t="inlineStr">
        <is>
          <t>BOOK</t>
        </is>
      </c>
      <c r="BB309" t="inlineStr">
        <is>
          <t>9781570750830</t>
        </is>
      </c>
      <c r="BC309" t="inlineStr">
        <is>
          <t>32285002443363</t>
        </is>
      </c>
      <c r="BD309" t="inlineStr">
        <is>
          <t>893773924</t>
        </is>
      </c>
    </row>
    <row r="310">
      <c r="A310" t="inlineStr">
        <is>
          <t>No</t>
        </is>
      </c>
      <c r="B310" t="inlineStr">
        <is>
          <t>BX1468.2 .B68 1983</t>
        </is>
      </c>
      <c r="C310" t="inlineStr">
        <is>
          <t>0                      BX 1468200B  68          1983</t>
        </is>
      </c>
      <c r="D310" t="inlineStr">
        <is>
          <t>Alliance or compliance : implications of the Chilean experience for the Catholic Church in Latin America / by Virginia Marie Bouvier.</t>
        </is>
      </c>
      <c r="F310" t="inlineStr">
        <is>
          <t>No</t>
        </is>
      </c>
      <c r="G310" t="inlineStr">
        <is>
          <t>1</t>
        </is>
      </c>
      <c r="H310" t="inlineStr">
        <is>
          <t>No</t>
        </is>
      </c>
      <c r="I310" t="inlineStr">
        <is>
          <t>No</t>
        </is>
      </c>
      <c r="J310" t="inlineStr">
        <is>
          <t>0</t>
        </is>
      </c>
      <c r="K310" t="inlineStr">
        <is>
          <t>Bouvier, Virginia Marie, 1958-</t>
        </is>
      </c>
      <c r="L310" t="inlineStr">
        <is>
          <t>Syracuse, N.Y. : Maxwell School of Citizenship and Public Affairs, Syracuse University, 1983.</t>
        </is>
      </c>
      <c r="M310" t="inlineStr">
        <is>
          <t>1983</t>
        </is>
      </c>
      <c r="O310" t="inlineStr">
        <is>
          <t>eng</t>
        </is>
      </c>
      <c r="P310" t="inlineStr">
        <is>
          <t>nyu</t>
        </is>
      </c>
      <c r="Q310" t="inlineStr">
        <is>
          <t>Foreign and comparative studies. Latin American series ; no. 3</t>
        </is>
      </c>
      <c r="R310" t="inlineStr">
        <is>
          <t xml:space="preserve">BX </t>
        </is>
      </c>
      <c r="S310" t="n">
        <v>6</v>
      </c>
      <c r="T310" t="n">
        <v>6</v>
      </c>
      <c r="U310" t="inlineStr">
        <is>
          <t>1996-05-06</t>
        </is>
      </c>
      <c r="V310" t="inlineStr">
        <is>
          <t>1996-05-06</t>
        </is>
      </c>
      <c r="W310" t="inlineStr">
        <is>
          <t>1991-02-13</t>
        </is>
      </c>
      <c r="X310" t="inlineStr">
        <is>
          <t>1991-02-13</t>
        </is>
      </c>
      <c r="Y310" t="n">
        <v>194</v>
      </c>
      <c r="Z310" t="n">
        <v>157</v>
      </c>
      <c r="AA310" t="n">
        <v>159</v>
      </c>
      <c r="AB310" t="n">
        <v>2</v>
      </c>
      <c r="AC310" t="n">
        <v>2</v>
      </c>
      <c r="AD310" t="n">
        <v>11</v>
      </c>
      <c r="AE310" t="n">
        <v>11</v>
      </c>
      <c r="AF310" t="n">
        <v>2</v>
      </c>
      <c r="AG310" t="n">
        <v>2</v>
      </c>
      <c r="AH310" t="n">
        <v>4</v>
      </c>
      <c r="AI310" t="n">
        <v>4</v>
      </c>
      <c r="AJ310" t="n">
        <v>8</v>
      </c>
      <c r="AK310" t="n">
        <v>8</v>
      </c>
      <c r="AL310" t="n">
        <v>1</v>
      </c>
      <c r="AM310" t="n">
        <v>1</v>
      </c>
      <c r="AN310" t="n">
        <v>0</v>
      </c>
      <c r="AO310" t="n">
        <v>0</v>
      </c>
      <c r="AP310" t="inlineStr">
        <is>
          <t>No</t>
        </is>
      </c>
      <c r="AQ310" t="inlineStr">
        <is>
          <t>Yes</t>
        </is>
      </c>
      <c r="AR310">
        <f>HYPERLINK("http://catalog.hathitrust.org/Record/000194430","HathiTrust Record")</f>
        <v/>
      </c>
      <c r="AS310">
        <f>HYPERLINK("https://creighton-primo.hosted.exlibrisgroup.com/primo-explore/search?tab=default_tab&amp;search_scope=EVERYTHING&amp;vid=01CRU&amp;lang=en_US&amp;offset=0&amp;query=any,contains,991000146919702656","Catalog Record")</f>
        <v/>
      </c>
      <c r="AT310">
        <f>HYPERLINK("http://www.worldcat.org/oclc/9196022","WorldCat Record")</f>
        <v/>
      </c>
      <c r="AU310" t="inlineStr">
        <is>
          <t>148492838:eng</t>
        </is>
      </c>
      <c r="AV310" t="inlineStr">
        <is>
          <t>9196022</t>
        </is>
      </c>
      <c r="AW310" t="inlineStr">
        <is>
          <t>991000146919702656</t>
        </is>
      </c>
      <c r="AX310" t="inlineStr">
        <is>
          <t>991000146919702656</t>
        </is>
      </c>
      <c r="AY310" t="inlineStr">
        <is>
          <t>2268820330002656</t>
        </is>
      </c>
      <c r="AZ310" t="inlineStr">
        <is>
          <t>BOOK</t>
        </is>
      </c>
      <c r="BB310" t="inlineStr">
        <is>
          <t>9780915984947</t>
        </is>
      </c>
      <c r="BC310" t="inlineStr">
        <is>
          <t>32285000507748</t>
        </is>
      </c>
      <c r="BD310" t="inlineStr">
        <is>
          <t>893689466</t>
        </is>
      </c>
    </row>
    <row r="311">
      <c r="A311" t="inlineStr">
        <is>
          <t>No</t>
        </is>
      </c>
      <c r="B311" t="inlineStr">
        <is>
          <t>BX1488 .A6 1962</t>
        </is>
      </c>
      <c r="C311" t="inlineStr">
        <is>
          <t>0                      BX 1488000A  6           1962</t>
        </is>
      </c>
      <c r="D311" t="inlineStr">
        <is>
          <t>La Iglesia en Venezuela y Ecuador : estructuras eclesiásticas / por Isidoro Alonso ... [et al.].</t>
        </is>
      </c>
      <c r="F311" t="inlineStr">
        <is>
          <t>No</t>
        </is>
      </c>
      <c r="G311" t="inlineStr">
        <is>
          <t>1</t>
        </is>
      </c>
      <c r="H311" t="inlineStr">
        <is>
          <t>No</t>
        </is>
      </c>
      <c r="I311" t="inlineStr">
        <is>
          <t>No</t>
        </is>
      </c>
      <c r="J311" t="inlineStr">
        <is>
          <t>0</t>
        </is>
      </c>
      <c r="K311" t="inlineStr">
        <is>
          <t>Alonso, Isidoro.</t>
        </is>
      </c>
      <c r="L311" t="inlineStr">
        <is>
          <t>Friburgo, Suiza : Oficina Internacional de Investigaciones Sociales de FERES, 1962.</t>
        </is>
      </c>
      <c r="M311" t="inlineStr">
        <is>
          <t>1962</t>
        </is>
      </c>
      <c r="O311" t="inlineStr">
        <is>
          <t>spa</t>
        </is>
      </c>
      <c r="P311" t="inlineStr">
        <is>
          <t xml:space="preserve">sz </t>
        </is>
      </c>
      <c r="Q311" t="inlineStr">
        <is>
          <t>Estudios socio-religiosos latino-americanos ; 3</t>
        </is>
      </c>
      <c r="R311" t="inlineStr">
        <is>
          <t xml:space="preserve">BX </t>
        </is>
      </c>
      <c r="S311" t="n">
        <v>1</v>
      </c>
      <c r="T311" t="n">
        <v>1</v>
      </c>
      <c r="U311" t="inlineStr">
        <is>
          <t>1995-03-27</t>
        </is>
      </c>
      <c r="V311" t="inlineStr">
        <is>
          <t>1995-03-27</t>
        </is>
      </c>
      <c r="W311" t="inlineStr">
        <is>
          <t>1991-02-13</t>
        </is>
      </c>
      <c r="X311" t="inlineStr">
        <is>
          <t>1991-02-13</t>
        </is>
      </c>
      <c r="Y311" t="n">
        <v>84</v>
      </c>
      <c r="Z311" t="n">
        <v>64</v>
      </c>
      <c r="AA311" t="n">
        <v>67</v>
      </c>
      <c r="AB311" t="n">
        <v>1</v>
      </c>
      <c r="AC311" t="n">
        <v>1</v>
      </c>
      <c r="AD311" t="n">
        <v>7</v>
      </c>
      <c r="AE311" t="n">
        <v>7</v>
      </c>
      <c r="AF311" t="n">
        <v>0</v>
      </c>
      <c r="AG311" t="n">
        <v>0</v>
      </c>
      <c r="AH311" t="n">
        <v>3</v>
      </c>
      <c r="AI311" t="n">
        <v>3</v>
      </c>
      <c r="AJ311" t="n">
        <v>7</v>
      </c>
      <c r="AK311" t="n">
        <v>7</v>
      </c>
      <c r="AL311" t="n">
        <v>0</v>
      </c>
      <c r="AM311" t="n">
        <v>0</v>
      </c>
      <c r="AN311" t="n">
        <v>0</v>
      </c>
      <c r="AO311" t="n">
        <v>0</v>
      </c>
      <c r="AP311" t="inlineStr">
        <is>
          <t>No</t>
        </is>
      </c>
      <c r="AQ311" t="inlineStr">
        <is>
          <t>No</t>
        </is>
      </c>
      <c r="AS311">
        <f>HYPERLINK("https://creighton-primo.hosted.exlibrisgroup.com/primo-explore/search?tab=default_tab&amp;search_scope=EVERYTHING&amp;vid=01CRU&amp;lang=en_US&amp;offset=0&amp;query=any,contains,991004323359702656","Catalog Record")</f>
        <v/>
      </c>
      <c r="AT311">
        <f>HYPERLINK("http://www.worldcat.org/oclc/3026199","WorldCat Record")</f>
        <v/>
      </c>
      <c r="AU311" t="inlineStr">
        <is>
          <t>3856914948:spa</t>
        </is>
      </c>
      <c r="AV311" t="inlineStr">
        <is>
          <t>3026199</t>
        </is>
      </c>
      <c r="AW311" t="inlineStr">
        <is>
          <t>991004323359702656</t>
        </is>
      </c>
      <c r="AX311" t="inlineStr">
        <is>
          <t>991004323359702656</t>
        </is>
      </c>
      <c r="AY311" t="inlineStr">
        <is>
          <t>2259476530002656</t>
        </is>
      </c>
      <c r="AZ311" t="inlineStr">
        <is>
          <t>BOOK</t>
        </is>
      </c>
      <c r="BC311" t="inlineStr">
        <is>
          <t>32285000507797</t>
        </is>
      </c>
      <c r="BD311" t="inlineStr">
        <is>
          <t>893806928</t>
        </is>
      </c>
    </row>
    <row r="312">
      <c r="A312" t="inlineStr">
        <is>
          <t>No</t>
        </is>
      </c>
      <c r="B312" t="inlineStr">
        <is>
          <t>BX1490 .C49</t>
        </is>
      </c>
      <c r="C312" t="inlineStr">
        <is>
          <t>0                      BX 1490000C  49</t>
        </is>
      </c>
      <c r="D312" t="inlineStr">
        <is>
          <t>Church and society in Catholic Europe of the eighteenth century / edited by William J. Callahan and David Higgs.</t>
        </is>
      </c>
      <c r="F312" t="inlineStr">
        <is>
          <t>No</t>
        </is>
      </c>
      <c r="G312" t="inlineStr">
        <is>
          <t>1</t>
        </is>
      </c>
      <c r="H312" t="inlineStr">
        <is>
          <t>No</t>
        </is>
      </c>
      <c r="I312" t="inlineStr">
        <is>
          <t>No</t>
        </is>
      </c>
      <c r="J312" t="inlineStr">
        <is>
          <t>0</t>
        </is>
      </c>
      <c r="L312" t="inlineStr">
        <is>
          <t>Cambridge, [Eng.] ; New York : Cambridge University Press, 1979.</t>
        </is>
      </c>
      <c r="M312" t="inlineStr">
        <is>
          <t>1979</t>
        </is>
      </c>
      <c r="O312" t="inlineStr">
        <is>
          <t>eng</t>
        </is>
      </c>
      <c r="P312" t="inlineStr">
        <is>
          <t>enk</t>
        </is>
      </c>
      <c r="R312" t="inlineStr">
        <is>
          <t xml:space="preserve">BX </t>
        </is>
      </c>
      <c r="S312" t="n">
        <v>4</v>
      </c>
      <c r="T312" t="n">
        <v>4</v>
      </c>
      <c r="U312" t="inlineStr">
        <is>
          <t>1997-11-12</t>
        </is>
      </c>
      <c r="V312" t="inlineStr">
        <is>
          <t>1997-11-12</t>
        </is>
      </c>
      <c r="W312" t="inlineStr">
        <is>
          <t>1991-02-15</t>
        </is>
      </c>
      <c r="X312" t="inlineStr">
        <is>
          <t>1991-02-15</t>
        </is>
      </c>
      <c r="Y312" t="n">
        <v>689</v>
      </c>
      <c r="Z312" t="n">
        <v>526</v>
      </c>
      <c r="AA312" t="n">
        <v>545</v>
      </c>
      <c r="AB312" t="n">
        <v>3</v>
      </c>
      <c r="AC312" t="n">
        <v>3</v>
      </c>
      <c r="AD312" t="n">
        <v>34</v>
      </c>
      <c r="AE312" t="n">
        <v>34</v>
      </c>
      <c r="AF312" t="n">
        <v>14</v>
      </c>
      <c r="AG312" t="n">
        <v>14</v>
      </c>
      <c r="AH312" t="n">
        <v>9</v>
      </c>
      <c r="AI312" t="n">
        <v>9</v>
      </c>
      <c r="AJ312" t="n">
        <v>20</v>
      </c>
      <c r="AK312" t="n">
        <v>20</v>
      </c>
      <c r="AL312" t="n">
        <v>2</v>
      </c>
      <c r="AM312" t="n">
        <v>2</v>
      </c>
      <c r="AN312" t="n">
        <v>0</v>
      </c>
      <c r="AO312" t="n">
        <v>0</v>
      </c>
      <c r="AP312" t="inlineStr">
        <is>
          <t>No</t>
        </is>
      </c>
      <c r="AQ312" t="inlineStr">
        <is>
          <t>No</t>
        </is>
      </c>
      <c r="AS312">
        <f>HYPERLINK("https://creighton-primo.hosted.exlibrisgroup.com/primo-explore/search?tab=default_tab&amp;search_scope=EVERYTHING&amp;vid=01CRU&amp;lang=en_US&amp;offset=0&amp;query=any,contains,991004610299702656","Catalog Record")</f>
        <v/>
      </c>
      <c r="AT312">
        <f>HYPERLINK("http://www.worldcat.org/oclc/4211133","WorldCat Record")</f>
        <v/>
      </c>
      <c r="AU312" t="inlineStr">
        <is>
          <t>507861335:eng</t>
        </is>
      </c>
      <c r="AV312" t="inlineStr">
        <is>
          <t>4211133</t>
        </is>
      </c>
      <c r="AW312" t="inlineStr">
        <is>
          <t>991004610299702656</t>
        </is>
      </c>
      <c r="AX312" t="inlineStr">
        <is>
          <t>991004610299702656</t>
        </is>
      </c>
      <c r="AY312" t="inlineStr">
        <is>
          <t>2256581540002656</t>
        </is>
      </c>
      <c r="AZ312" t="inlineStr">
        <is>
          <t>BOOK</t>
        </is>
      </c>
      <c r="BB312" t="inlineStr">
        <is>
          <t>9780521224246</t>
        </is>
      </c>
      <c r="BC312" t="inlineStr">
        <is>
          <t>32285000507821</t>
        </is>
      </c>
      <c r="BD312" t="inlineStr">
        <is>
          <t>893687923</t>
        </is>
      </c>
    </row>
    <row r="313">
      <c r="A313" t="inlineStr">
        <is>
          <t>No</t>
        </is>
      </c>
      <c r="B313" t="inlineStr">
        <is>
          <t>BX1490.5 .C37 1988</t>
        </is>
      </c>
      <c r="C313" t="inlineStr">
        <is>
          <t>0                      BX 1490500C  37          1988</t>
        </is>
      </c>
      <c r="D313" t="inlineStr">
        <is>
          <t>Go into all the world = Euntes in mundum : Apostolic letter.</t>
        </is>
      </c>
      <c r="F313" t="inlineStr">
        <is>
          <t>No</t>
        </is>
      </c>
      <c r="G313" t="inlineStr">
        <is>
          <t>1</t>
        </is>
      </c>
      <c r="H313" t="inlineStr">
        <is>
          <t>No</t>
        </is>
      </c>
      <c r="I313" t="inlineStr">
        <is>
          <t>No</t>
        </is>
      </c>
      <c r="J313" t="inlineStr">
        <is>
          <t>0</t>
        </is>
      </c>
      <c r="K313" t="inlineStr">
        <is>
          <t>Catholic Church. Pope (1978-2005 : John Paul II).</t>
        </is>
      </c>
      <c r="L313" t="inlineStr">
        <is>
          <t>Washington, D.C. : United States Catholic Conference, [1988]</t>
        </is>
      </c>
      <c r="M313" t="inlineStr">
        <is>
          <t>1988</t>
        </is>
      </c>
      <c r="O313" t="inlineStr">
        <is>
          <t>eng</t>
        </is>
      </c>
      <c r="P313" t="inlineStr">
        <is>
          <t>dcu</t>
        </is>
      </c>
      <c r="Q313" t="inlineStr">
        <is>
          <t>Publication / Office of Publishing and Promotion Services, United States Catholic Conference ; no. 218-7</t>
        </is>
      </c>
      <c r="R313" t="inlineStr">
        <is>
          <t xml:space="preserve">BX </t>
        </is>
      </c>
      <c r="S313" t="n">
        <v>1</v>
      </c>
      <c r="T313" t="n">
        <v>1</v>
      </c>
      <c r="U313" t="inlineStr">
        <is>
          <t>1998-04-22</t>
        </is>
      </c>
      <c r="V313" t="inlineStr">
        <is>
          <t>1998-04-22</t>
        </is>
      </c>
      <c r="W313" t="inlineStr">
        <is>
          <t>1991-02-15</t>
        </is>
      </c>
      <c r="X313" t="inlineStr">
        <is>
          <t>1991-02-15</t>
        </is>
      </c>
      <c r="Y313" t="n">
        <v>98</v>
      </c>
      <c r="Z313" t="n">
        <v>95</v>
      </c>
      <c r="AA313" t="n">
        <v>95</v>
      </c>
      <c r="AB313" t="n">
        <v>1</v>
      </c>
      <c r="AC313" t="n">
        <v>1</v>
      </c>
      <c r="AD313" t="n">
        <v>16</v>
      </c>
      <c r="AE313" t="n">
        <v>16</v>
      </c>
      <c r="AF313" t="n">
        <v>5</v>
      </c>
      <c r="AG313" t="n">
        <v>5</v>
      </c>
      <c r="AH313" t="n">
        <v>4</v>
      </c>
      <c r="AI313" t="n">
        <v>4</v>
      </c>
      <c r="AJ313" t="n">
        <v>12</v>
      </c>
      <c r="AK313" t="n">
        <v>12</v>
      </c>
      <c r="AL313" t="n">
        <v>0</v>
      </c>
      <c r="AM313" t="n">
        <v>0</v>
      </c>
      <c r="AN313" t="n">
        <v>0</v>
      </c>
      <c r="AO313" t="n">
        <v>0</v>
      </c>
      <c r="AP313" t="inlineStr">
        <is>
          <t>No</t>
        </is>
      </c>
      <c r="AQ313" t="inlineStr">
        <is>
          <t>No</t>
        </is>
      </c>
      <c r="AS313">
        <f>HYPERLINK("https://creighton-primo.hosted.exlibrisgroup.com/primo-explore/search?tab=default_tab&amp;search_scope=EVERYTHING&amp;vid=01CRU&amp;lang=en_US&amp;offset=0&amp;query=any,contains,991001348789702656","Catalog Record")</f>
        <v/>
      </c>
      <c r="AT313">
        <f>HYPERLINK("http://www.worldcat.org/oclc/18422768","WorldCat Record")</f>
        <v/>
      </c>
      <c r="AU313" t="inlineStr">
        <is>
          <t>1807516135:eng</t>
        </is>
      </c>
      <c r="AV313" t="inlineStr">
        <is>
          <t>18422768</t>
        </is>
      </c>
      <c r="AW313" t="inlineStr">
        <is>
          <t>991001348789702656</t>
        </is>
      </c>
      <c r="AX313" t="inlineStr">
        <is>
          <t>991001348789702656</t>
        </is>
      </c>
      <c r="AY313" t="inlineStr">
        <is>
          <t>2272812720002656</t>
        </is>
      </c>
      <c r="AZ313" t="inlineStr">
        <is>
          <t>BOOK</t>
        </is>
      </c>
      <c r="BB313" t="inlineStr">
        <is>
          <t>9781555862183</t>
        </is>
      </c>
      <c r="BC313" t="inlineStr">
        <is>
          <t>32285000507854</t>
        </is>
      </c>
      <c r="BD313" t="inlineStr">
        <is>
          <t>893334264</t>
        </is>
      </c>
    </row>
    <row r="314">
      <c r="A314" t="inlineStr">
        <is>
          <t>No</t>
        </is>
      </c>
      <c r="B314" t="inlineStr">
        <is>
          <t>BX1490.5 .S7413</t>
        </is>
      </c>
      <c r="C314" t="inlineStr">
        <is>
          <t>0                      BX 1490500S  7413</t>
        </is>
      </c>
      <c r="D314" t="inlineStr">
        <is>
          <t>Eastern politics of the Vatican, 1917-1979 / Hansjakob Stehle ; translated by Sandra Smith.</t>
        </is>
      </c>
      <c r="F314" t="inlineStr">
        <is>
          <t>No</t>
        </is>
      </c>
      <c r="G314" t="inlineStr">
        <is>
          <t>1</t>
        </is>
      </c>
      <c r="H314" t="inlineStr">
        <is>
          <t>No</t>
        </is>
      </c>
      <c r="I314" t="inlineStr">
        <is>
          <t>No</t>
        </is>
      </c>
      <c r="J314" t="inlineStr">
        <is>
          <t>0</t>
        </is>
      </c>
      <c r="K314" t="inlineStr">
        <is>
          <t>Stehle, Hansjakob, 1927-</t>
        </is>
      </c>
      <c r="L314" t="inlineStr">
        <is>
          <t>Athens, Ohio : Ohio University Press, c1981.</t>
        </is>
      </c>
      <c r="M314" t="inlineStr">
        <is>
          <t>1980</t>
        </is>
      </c>
      <c r="O314" t="inlineStr">
        <is>
          <t>eng</t>
        </is>
      </c>
      <c r="P314" t="inlineStr">
        <is>
          <t>ohu</t>
        </is>
      </c>
      <c r="R314" t="inlineStr">
        <is>
          <t xml:space="preserve">BX </t>
        </is>
      </c>
      <c r="S314" t="n">
        <v>2</v>
      </c>
      <c r="T314" t="n">
        <v>2</v>
      </c>
      <c r="U314" t="inlineStr">
        <is>
          <t>1997-11-24</t>
        </is>
      </c>
      <c r="V314" t="inlineStr">
        <is>
          <t>1997-11-24</t>
        </is>
      </c>
      <c r="W314" t="inlineStr">
        <is>
          <t>1991-02-15</t>
        </is>
      </c>
      <c r="X314" t="inlineStr">
        <is>
          <t>1991-02-15</t>
        </is>
      </c>
      <c r="Y314" t="n">
        <v>504</v>
      </c>
      <c r="Z314" t="n">
        <v>425</v>
      </c>
      <c r="AA314" t="n">
        <v>434</v>
      </c>
      <c r="AB314" t="n">
        <v>4</v>
      </c>
      <c r="AC314" t="n">
        <v>4</v>
      </c>
      <c r="AD314" t="n">
        <v>28</v>
      </c>
      <c r="AE314" t="n">
        <v>28</v>
      </c>
      <c r="AF314" t="n">
        <v>7</v>
      </c>
      <c r="AG314" t="n">
        <v>7</v>
      </c>
      <c r="AH314" t="n">
        <v>9</v>
      </c>
      <c r="AI314" t="n">
        <v>9</v>
      </c>
      <c r="AJ314" t="n">
        <v>16</v>
      </c>
      <c r="AK314" t="n">
        <v>16</v>
      </c>
      <c r="AL314" t="n">
        <v>3</v>
      </c>
      <c r="AM314" t="n">
        <v>3</v>
      </c>
      <c r="AN314" t="n">
        <v>0</v>
      </c>
      <c r="AO314" t="n">
        <v>0</v>
      </c>
      <c r="AP314" t="inlineStr">
        <is>
          <t>No</t>
        </is>
      </c>
      <c r="AQ314" t="inlineStr">
        <is>
          <t>Yes</t>
        </is>
      </c>
      <c r="AR314">
        <f>HYPERLINK("http://catalog.hathitrust.org/Record/000129200","HathiTrust Record")</f>
        <v/>
      </c>
      <c r="AS314">
        <f>HYPERLINK("https://creighton-primo.hosted.exlibrisgroup.com/primo-explore/search?tab=default_tab&amp;search_scope=EVERYTHING&amp;vid=01CRU&amp;lang=en_US&amp;offset=0&amp;query=any,contains,991004973949702656","Catalog Record")</f>
        <v/>
      </c>
      <c r="AT314">
        <f>HYPERLINK("http://www.worldcat.org/oclc/6378476","WorldCat Record")</f>
        <v/>
      </c>
      <c r="AU314" t="inlineStr">
        <is>
          <t>1089872908:eng</t>
        </is>
      </c>
      <c r="AV314" t="inlineStr">
        <is>
          <t>6378476</t>
        </is>
      </c>
      <c r="AW314" t="inlineStr">
        <is>
          <t>991004973949702656</t>
        </is>
      </c>
      <c r="AX314" t="inlineStr">
        <is>
          <t>991004973949702656</t>
        </is>
      </c>
      <c r="AY314" t="inlineStr">
        <is>
          <t>2269271990002656</t>
        </is>
      </c>
      <c r="AZ314" t="inlineStr">
        <is>
          <t>BOOK</t>
        </is>
      </c>
      <c r="BB314" t="inlineStr">
        <is>
          <t>9780821403679</t>
        </is>
      </c>
      <c r="BC314" t="inlineStr">
        <is>
          <t>32285000507862</t>
        </is>
      </c>
      <c r="BD314" t="inlineStr">
        <is>
          <t>893430667</t>
        </is>
      </c>
    </row>
    <row r="315">
      <c r="A315" t="inlineStr">
        <is>
          <t>No</t>
        </is>
      </c>
      <c r="B315" t="inlineStr">
        <is>
          <t>BX1491 .C3 1910</t>
        </is>
      </c>
      <c r="C315" t="inlineStr">
        <is>
          <t>0                      BX 1491000C  3           1910</t>
        </is>
      </c>
      <c r="D315" t="inlineStr">
        <is>
          <t>Forgotten shrines : an account of some old Catholic halls and families in England, and of relics and memorials of the England martyrs / by Dom Bede Camm.</t>
        </is>
      </c>
      <c r="F315" t="inlineStr">
        <is>
          <t>No</t>
        </is>
      </c>
      <c r="G315" t="inlineStr">
        <is>
          <t>1</t>
        </is>
      </c>
      <c r="H315" t="inlineStr">
        <is>
          <t>No</t>
        </is>
      </c>
      <c r="I315" t="inlineStr">
        <is>
          <t>No</t>
        </is>
      </c>
      <c r="J315" t="inlineStr">
        <is>
          <t>0</t>
        </is>
      </c>
      <c r="K315" t="inlineStr">
        <is>
          <t>Camm, Bede, 1864-1942.</t>
        </is>
      </c>
      <c r="L315" t="inlineStr">
        <is>
          <t>London : Macdonald &amp; Evans ; St. Louis, Mo. : B. Herder, 1910.</t>
        </is>
      </c>
      <c r="M315" t="inlineStr">
        <is>
          <t>1910</t>
        </is>
      </c>
      <c r="O315" t="inlineStr">
        <is>
          <t>eng</t>
        </is>
      </c>
      <c r="P315" t="inlineStr">
        <is>
          <t xml:space="preserve">xx </t>
        </is>
      </c>
      <c r="R315" t="inlineStr">
        <is>
          <t xml:space="preserve">BX </t>
        </is>
      </c>
      <c r="S315" t="n">
        <v>8</v>
      </c>
      <c r="T315" t="n">
        <v>8</v>
      </c>
      <c r="U315" t="inlineStr">
        <is>
          <t>2001-06-01</t>
        </is>
      </c>
      <c r="V315" t="inlineStr">
        <is>
          <t>2001-06-01</t>
        </is>
      </c>
      <c r="W315" t="inlineStr">
        <is>
          <t>1991-02-15</t>
        </is>
      </c>
      <c r="X315" t="inlineStr">
        <is>
          <t>1991-02-15</t>
        </is>
      </c>
      <c r="Y315" t="n">
        <v>71</v>
      </c>
      <c r="Z315" t="n">
        <v>61</v>
      </c>
      <c r="AA315" t="n">
        <v>117</v>
      </c>
      <c r="AB315" t="n">
        <v>1</v>
      </c>
      <c r="AC315" t="n">
        <v>1</v>
      </c>
      <c r="AD315" t="n">
        <v>16</v>
      </c>
      <c r="AE315" t="n">
        <v>20</v>
      </c>
      <c r="AF315" t="n">
        <v>5</v>
      </c>
      <c r="AG315" t="n">
        <v>7</v>
      </c>
      <c r="AH315" t="n">
        <v>3</v>
      </c>
      <c r="AI315" t="n">
        <v>4</v>
      </c>
      <c r="AJ315" t="n">
        <v>14</v>
      </c>
      <c r="AK315" t="n">
        <v>18</v>
      </c>
      <c r="AL315" t="n">
        <v>0</v>
      </c>
      <c r="AM315" t="n">
        <v>0</v>
      </c>
      <c r="AN315" t="n">
        <v>0</v>
      </c>
      <c r="AO315" t="n">
        <v>0</v>
      </c>
      <c r="AP315" t="inlineStr">
        <is>
          <t>Yes</t>
        </is>
      </c>
      <c r="AQ315" t="inlineStr">
        <is>
          <t>No</t>
        </is>
      </c>
      <c r="AR315">
        <f>HYPERLINK("http://catalog.hathitrust.org/Record/008003662","HathiTrust Record")</f>
        <v/>
      </c>
      <c r="AS315">
        <f>HYPERLINK("https://creighton-primo.hosted.exlibrisgroup.com/primo-explore/search?tab=default_tab&amp;search_scope=EVERYTHING&amp;vid=01CRU&amp;lang=en_US&amp;offset=0&amp;query=any,contains,991003789299702656","Catalog Record")</f>
        <v/>
      </c>
      <c r="AT315">
        <f>HYPERLINK("http://www.worldcat.org/oclc/1507237","WorldCat Record")</f>
        <v/>
      </c>
      <c r="AU315" t="inlineStr">
        <is>
          <t>19807670:eng</t>
        </is>
      </c>
      <c r="AV315" t="inlineStr">
        <is>
          <t>1507237</t>
        </is>
      </c>
      <c r="AW315" t="inlineStr">
        <is>
          <t>991003789299702656</t>
        </is>
      </c>
      <c r="AX315" t="inlineStr">
        <is>
          <t>991003789299702656</t>
        </is>
      </c>
      <c r="AY315" t="inlineStr">
        <is>
          <t>2256505070002656</t>
        </is>
      </c>
      <c r="AZ315" t="inlineStr">
        <is>
          <t>BOOK</t>
        </is>
      </c>
      <c r="BC315" t="inlineStr">
        <is>
          <t>32285000507904</t>
        </is>
      </c>
      <c r="BD315" t="inlineStr">
        <is>
          <t>893353041</t>
        </is>
      </c>
    </row>
    <row r="316">
      <c r="A316" t="inlineStr">
        <is>
          <t>No</t>
        </is>
      </c>
      <c r="B316" t="inlineStr">
        <is>
          <t>BX1491 .M3 1936</t>
        </is>
      </c>
      <c r="C316" t="inlineStr">
        <is>
          <t>0                      BX 1491000M  3           1936</t>
        </is>
      </c>
      <c r="D316" t="inlineStr">
        <is>
          <t>Catholicism in England, 1535-1935 : portrait of a minority: its culture and tradition / by David Mathew.</t>
        </is>
      </c>
      <c r="F316" t="inlineStr">
        <is>
          <t>No</t>
        </is>
      </c>
      <c r="G316" t="inlineStr">
        <is>
          <t>1</t>
        </is>
      </c>
      <c r="H316" t="inlineStr">
        <is>
          <t>No</t>
        </is>
      </c>
      <c r="I316" t="inlineStr">
        <is>
          <t>No</t>
        </is>
      </c>
      <c r="J316" t="inlineStr">
        <is>
          <t>0</t>
        </is>
      </c>
      <c r="K316" t="inlineStr">
        <is>
          <t>Mathew, David, 1902-1975.</t>
        </is>
      </c>
      <c r="L316" t="inlineStr">
        <is>
          <t>London ; New York : Longmans, Green and co., [1936]</t>
        </is>
      </c>
      <c r="M316" t="inlineStr">
        <is>
          <t>1936</t>
        </is>
      </c>
      <c r="O316" t="inlineStr">
        <is>
          <t>eng</t>
        </is>
      </c>
      <c r="P316" t="inlineStr">
        <is>
          <t>enk</t>
        </is>
      </c>
      <c r="R316" t="inlineStr">
        <is>
          <t xml:space="preserve">BX </t>
        </is>
      </c>
      <c r="S316" t="n">
        <v>2</v>
      </c>
      <c r="T316" t="n">
        <v>2</v>
      </c>
      <c r="U316" t="inlineStr">
        <is>
          <t>2007-01-05</t>
        </is>
      </c>
      <c r="V316" t="inlineStr">
        <is>
          <t>2007-01-05</t>
        </is>
      </c>
      <c r="W316" t="inlineStr">
        <is>
          <t>1991-02-15</t>
        </is>
      </c>
      <c r="X316" t="inlineStr">
        <is>
          <t>1991-02-15</t>
        </is>
      </c>
      <c r="Y316" t="n">
        <v>212</v>
      </c>
      <c r="Z316" t="n">
        <v>160</v>
      </c>
      <c r="AA316" t="n">
        <v>438</v>
      </c>
      <c r="AB316" t="n">
        <v>3</v>
      </c>
      <c r="AC316" t="n">
        <v>3</v>
      </c>
      <c r="AD316" t="n">
        <v>18</v>
      </c>
      <c r="AE316" t="n">
        <v>34</v>
      </c>
      <c r="AF316" t="n">
        <v>5</v>
      </c>
      <c r="AG316" t="n">
        <v>13</v>
      </c>
      <c r="AH316" t="n">
        <v>6</v>
      </c>
      <c r="AI316" t="n">
        <v>8</v>
      </c>
      <c r="AJ316" t="n">
        <v>13</v>
      </c>
      <c r="AK316" t="n">
        <v>24</v>
      </c>
      <c r="AL316" t="n">
        <v>0</v>
      </c>
      <c r="AM316" t="n">
        <v>0</v>
      </c>
      <c r="AN316" t="n">
        <v>0</v>
      </c>
      <c r="AO316" t="n">
        <v>0</v>
      </c>
      <c r="AP316" t="inlineStr">
        <is>
          <t>No</t>
        </is>
      </c>
      <c r="AQ316" t="inlineStr">
        <is>
          <t>No</t>
        </is>
      </c>
      <c r="AS316">
        <f>HYPERLINK("https://creighton-primo.hosted.exlibrisgroup.com/primo-explore/search?tab=default_tab&amp;search_scope=EVERYTHING&amp;vid=01CRU&amp;lang=en_US&amp;offset=0&amp;query=any,contains,991003943819702656","Catalog Record")</f>
        <v/>
      </c>
      <c r="AT316">
        <f>HYPERLINK("http://www.worldcat.org/oclc/1940233","WorldCat Record")</f>
        <v/>
      </c>
      <c r="AU316" t="inlineStr">
        <is>
          <t>304805087:eng</t>
        </is>
      </c>
      <c r="AV316" t="inlineStr">
        <is>
          <t>1940233</t>
        </is>
      </c>
      <c r="AW316" t="inlineStr">
        <is>
          <t>991003943819702656</t>
        </is>
      </c>
      <c r="AX316" t="inlineStr">
        <is>
          <t>991003943819702656</t>
        </is>
      </c>
      <c r="AY316" t="inlineStr">
        <is>
          <t>2268458750002656</t>
        </is>
      </c>
      <c r="AZ316" t="inlineStr">
        <is>
          <t>BOOK</t>
        </is>
      </c>
      <c r="BC316" t="inlineStr">
        <is>
          <t>32285000507938</t>
        </is>
      </c>
      <c r="BD316" t="inlineStr">
        <is>
          <t>893441980</t>
        </is>
      </c>
    </row>
    <row r="317">
      <c r="A317" t="inlineStr">
        <is>
          <t>No</t>
        </is>
      </c>
      <c r="B317" t="inlineStr">
        <is>
          <t>BX1491 .N67 1985</t>
        </is>
      </c>
      <c r="C317" t="inlineStr">
        <is>
          <t>0                      BX 1491000N  67          1985</t>
        </is>
      </c>
      <c r="D317" t="inlineStr">
        <is>
          <t>Roman Catholicism in England : from the Elizabethan settlement to the Second Vatican Council / Edward Norman.</t>
        </is>
      </c>
      <c r="F317" t="inlineStr">
        <is>
          <t>No</t>
        </is>
      </c>
      <c r="G317" t="inlineStr">
        <is>
          <t>1</t>
        </is>
      </c>
      <c r="H317" t="inlineStr">
        <is>
          <t>No</t>
        </is>
      </c>
      <c r="I317" t="inlineStr">
        <is>
          <t>No</t>
        </is>
      </c>
      <c r="J317" t="inlineStr">
        <is>
          <t>0</t>
        </is>
      </c>
      <c r="K317" t="inlineStr">
        <is>
          <t>Norman, Edward R.</t>
        </is>
      </c>
      <c r="L317" t="inlineStr">
        <is>
          <t>Oxford [Oxfordshire] ; New York : Oxford University Press, 1985.</t>
        </is>
      </c>
      <c r="M317" t="inlineStr">
        <is>
          <t>1985</t>
        </is>
      </c>
      <c r="O317" t="inlineStr">
        <is>
          <t>eng</t>
        </is>
      </c>
      <c r="P317" t="inlineStr">
        <is>
          <t>enk</t>
        </is>
      </c>
      <c r="Q317" t="inlineStr">
        <is>
          <t>OPUS</t>
        </is>
      </c>
      <c r="R317" t="inlineStr">
        <is>
          <t xml:space="preserve">BX </t>
        </is>
      </c>
      <c r="S317" t="n">
        <v>6</v>
      </c>
      <c r="T317" t="n">
        <v>6</v>
      </c>
      <c r="U317" t="inlineStr">
        <is>
          <t>2009-09-02</t>
        </is>
      </c>
      <c r="V317" t="inlineStr">
        <is>
          <t>2009-09-02</t>
        </is>
      </c>
      <c r="W317" t="inlineStr">
        <is>
          <t>1991-02-15</t>
        </is>
      </c>
      <c r="X317" t="inlineStr">
        <is>
          <t>1991-02-15</t>
        </is>
      </c>
      <c r="Y317" t="n">
        <v>486</v>
      </c>
      <c r="Z317" t="n">
        <v>358</v>
      </c>
      <c r="AA317" t="n">
        <v>432</v>
      </c>
      <c r="AB317" t="n">
        <v>5</v>
      </c>
      <c r="AC317" t="n">
        <v>5</v>
      </c>
      <c r="AD317" t="n">
        <v>23</v>
      </c>
      <c r="AE317" t="n">
        <v>28</v>
      </c>
      <c r="AF317" t="n">
        <v>9</v>
      </c>
      <c r="AG317" t="n">
        <v>10</v>
      </c>
      <c r="AH317" t="n">
        <v>6</v>
      </c>
      <c r="AI317" t="n">
        <v>8</v>
      </c>
      <c r="AJ317" t="n">
        <v>13</v>
      </c>
      <c r="AK317" t="n">
        <v>16</v>
      </c>
      <c r="AL317" t="n">
        <v>2</v>
      </c>
      <c r="AM317" t="n">
        <v>2</v>
      </c>
      <c r="AN317" t="n">
        <v>0</v>
      </c>
      <c r="AO317" t="n">
        <v>0</v>
      </c>
      <c r="AP317" t="inlineStr">
        <is>
          <t>No</t>
        </is>
      </c>
      <c r="AQ317" t="inlineStr">
        <is>
          <t>Yes</t>
        </is>
      </c>
      <c r="AR317">
        <f>HYPERLINK("http://catalog.hathitrust.org/Record/000563923","HathiTrust Record")</f>
        <v/>
      </c>
      <c r="AS317">
        <f>HYPERLINK("https://creighton-primo.hosted.exlibrisgroup.com/primo-explore/search?tab=default_tab&amp;search_scope=EVERYTHING&amp;vid=01CRU&amp;lang=en_US&amp;offset=0&amp;query=any,contains,991000479539702656","Catalog Record")</f>
        <v/>
      </c>
      <c r="AT317">
        <f>HYPERLINK("http://www.worldcat.org/oclc/11044974","WorldCat Record")</f>
        <v/>
      </c>
      <c r="AU317" t="inlineStr">
        <is>
          <t>4085894:eng</t>
        </is>
      </c>
      <c r="AV317" t="inlineStr">
        <is>
          <t>11044974</t>
        </is>
      </c>
      <c r="AW317" t="inlineStr">
        <is>
          <t>991000479539702656</t>
        </is>
      </c>
      <c r="AX317" t="inlineStr">
        <is>
          <t>991000479539702656</t>
        </is>
      </c>
      <c r="AY317" t="inlineStr">
        <is>
          <t>2260953130002656</t>
        </is>
      </c>
      <c r="AZ317" t="inlineStr">
        <is>
          <t>BOOK</t>
        </is>
      </c>
      <c r="BB317" t="inlineStr">
        <is>
          <t>9780192191816</t>
        </is>
      </c>
      <c r="BC317" t="inlineStr">
        <is>
          <t>32285000507946</t>
        </is>
      </c>
      <c r="BD317" t="inlineStr">
        <is>
          <t>893808700</t>
        </is>
      </c>
    </row>
    <row r="318">
      <c r="A318" t="inlineStr">
        <is>
          <t>No</t>
        </is>
      </c>
      <c r="B318" t="inlineStr">
        <is>
          <t>BX1492 .A85 1976</t>
        </is>
      </c>
      <c r="C318" t="inlineStr">
        <is>
          <t>0                      BX 1492000A  85          1976</t>
        </is>
      </c>
      <c r="D318" t="inlineStr">
        <is>
          <t>The handle and the axe : the Catholic recusants in England from Reformation to emancipation / [by] J. C. H. Aveling.</t>
        </is>
      </c>
      <c r="F318" t="inlineStr">
        <is>
          <t>No</t>
        </is>
      </c>
      <c r="G318" t="inlineStr">
        <is>
          <t>1</t>
        </is>
      </c>
      <c r="H318" t="inlineStr">
        <is>
          <t>No</t>
        </is>
      </c>
      <c r="I318" t="inlineStr">
        <is>
          <t>No</t>
        </is>
      </c>
      <c r="J318" t="inlineStr">
        <is>
          <t>0</t>
        </is>
      </c>
      <c r="K318" t="inlineStr">
        <is>
          <t>Aveling, J. C. H. (John Cedric H.), 1917-</t>
        </is>
      </c>
      <c r="L318" t="inlineStr">
        <is>
          <t>London : Blond and Briggs, 1976.</t>
        </is>
      </c>
      <c r="M318" t="inlineStr">
        <is>
          <t>1976</t>
        </is>
      </c>
      <c r="O318" t="inlineStr">
        <is>
          <t>eng</t>
        </is>
      </c>
      <c r="P318" t="inlineStr">
        <is>
          <t>enk</t>
        </is>
      </c>
      <c r="R318" t="inlineStr">
        <is>
          <t xml:space="preserve">BX </t>
        </is>
      </c>
      <c r="S318" t="n">
        <v>2</v>
      </c>
      <c r="T318" t="n">
        <v>2</v>
      </c>
      <c r="U318" t="inlineStr">
        <is>
          <t>2009-09-02</t>
        </is>
      </c>
      <c r="V318" t="inlineStr">
        <is>
          <t>2009-09-02</t>
        </is>
      </c>
      <c r="W318" t="inlineStr">
        <is>
          <t>1991-02-15</t>
        </is>
      </c>
      <c r="X318" t="inlineStr">
        <is>
          <t>1991-02-15</t>
        </is>
      </c>
      <c r="Y318" t="n">
        <v>307</v>
      </c>
      <c r="Z318" t="n">
        <v>180</v>
      </c>
      <c r="AA318" t="n">
        <v>187</v>
      </c>
      <c r="AB318" t="n">
        <v>3</v>
      </c>
      <c r="AC318" t="n">
        <v>3</v>
      </c>
      <c r="AD318" t="n">
        <v>20</v>
      </c>
      <c r="AE318" t="n">
        <v>20</v>
      </c>
      <c r="AF318" t="n">
        <v>3</v>
      </c>
      <c r="AG318" t="n">
        <v>3</v>
      </c>
      <c r="AH318" t="n">
        <v>7</v>
      </c>
      <c r="AI318" t="n">
        <v>7</v>
      </c>
      <c r="AJ318" t="n">
        <v>12</v>
      </c>
      <c r="AK318" t="n">
        <v>12</v>
      </c>
      <c r="AL318" t="n">
        <v>2</v>
      </c>
      <c r="AM318" t="n">
        <v>2</v>
      </c>
      <c r="AN318" t="n">
        <v>0</v>
      </c>
      <c r="AO318" t="n">
        <v>0</v>
      </c>
      <c r="AP318" t="inlineStr">
        <is>
          <t>No</t>
        </is>
      </c>
      <c r="AQ318" t="inlineStr">
        <is>
          <t>Yes</t>
        </is>
      </c>
      <c r="AR318">
        <f>HYPERLINK("http://catalog.hathitrust.org/Record/000170303","HathiTrust Record")</f>
        <v/>
      </c>
      <c r="AS318">
        <f>HYPERLINK("https://creighton-primo.hosted.exlibrisgroup.com/primo-explore/search?tab=default_tab&amp;search_scope=EVERYTHING&amp;vid=01CRU&amp;lang=en_US&amp;offset=0&amp;query=any,contains,991004209059702656","Catalog Record")</f>
        <v/>
      </c>
      <c r="AT318">
        <f>HYPERLINK("http://www.worldcat.org/oclc/2677477","WorldCat Record")</f>
        <v/>
      </c>
      <c r="AU318" t="inlineStr">
        <is>
          <t>346189781:eng</t>
        </is>
      </c>
      <c r="AV318" t="inlineStr">
        <is>
          <t>2677477</t>
        </is>
      </c>
      <c r="AW318" t="inlineStr">
        <is>
          <t>991004209059702656</t>
        </is>
      </c>
      <c r="AX318" t="inlineStr">
        <is>
          <t>991004209059702656</t>
        </is>
      </c>
      <c r="AY318" t="inlineStr">
        <is>
          <t>2264173650002656</t>
        </is>
      </c>
      <c r="AZ318" t="inlineStr">
        <is>
          <t>BOOK</t>
        </is>
      </c>
      <c r="BB318" t="inlineStr">
        <is>
          <t>9780856340475</t>
        </is>
      </c>
      <c r="BC318" t="inlineStr">
        <is>
          <t>32285000507987</t>
        </is>
      </c>
      <c r="BD318" t="inlineStr">
        <is>
          <t>893706103</t>
        </is>
      </c>
    </row>
    <row r="319">
      <c r="A319" t="inlineStr">
        <is>
          <t>No</t>
        </is>
      </c>
      <c r="B319" t="inlineStr">
        <is>
          <t>BX1492 .B67 1976</t>
        </is>
      </c>
      <c r="C319" t="inlineStr">
        <is>
          <t>0                      BX 1492000B  67          1976</t>
        </is>
      </c>
      <c r="D319" t="inlineStr">
        <is>
          <t>The English Catholic community, 1570-1850 / John Bossy.</t>
        </is>
      </c>
      <c r="F319" t="inlineStr">
        <is>
          <t>No</t>
        </is>
      </c>
      <c r="G319" t="inlineStr">
        <is>
          <t>1</t>
        </is>
      </c>
      <c r="H319" t="inlineStr">
        <is>
          <t>No</t>
        </is>
      </c>
      <c r="I319" t="inlineStr">
        <is>
          <t>No</t>
        </is>
      </c>
      <c r="J319" t="inlineStr">
        <is>
          <t>0</t>
        </is>
      </c>
      <c r="K319" t="inlineStr">
        <is>
          <t>Bossy, John.</t>
        </is>
      </c>
      <c r="L319" t="inlineStr">
        <is>
          <t>New York : Oxford University Press, c1976.</t>
        </is>
      </c>
      <c r="M319" t="inlineStr">
        <is>
          <t>1976</t>
        </is>
      </c>
      <c r="O319" t="inlineStr">
        <is>
          <t>eng</t>
        </is>
      </c>
      <c r="P319" t="inlineStr">
        <is>
          <t>nyu</t>
        </is>
      </c>
      <c r="R319" t="inlineStr">
        <is>
          <t xml:space="preserve">BX </t>
        </is>
      </c>
      <c r="S319" t="n">
        <v>3</v>
      </c>
      <c r="T319" t="n">
        <v>3</v>
      </c>
      <c r="U319" t="inlineStr">
        <is>
          <t>2009-09-02</t>
        </is>
      </c>
      <c r="V319" t="inlineStr">
        <is>
          <t>2009-09-02</t>
        </is>
      </c>
      <c r="W319" t="inlineStr">
        <is>
          <t>1991-02-15</t>
        </is>
      </c>
      <c r="X319" t="inlineStr">
        <is>
          <t>1991-02-15</t>
        </is>
      </c>
      <c r="Y319" t="n">
        <v>403</v>
      </c>
      <c r="Z319" t="n">
        <v>385</v>
      </c>
      <c r="AA319" t="n">
        <v>530</v>
      </c>
      <c r="AB319" t="n">
        <v>3</v>
      </c>
      <c r="AC319" t="n">
        <v>5</v>
      </c>
      <c r="AD319" t="n">
        <v>31</v>
      </c>
      <c r="AE319" t="n">
        <v>43</v>
      </c>
      <c r="AF319" t="n">
        <v>13</v>
      </c>
      <c r="AG319" t="n">
        <v>15</v>
      </c>
      <c r="AH319" t="n">
        <v>7</v>
      </c>
      <c r="AI319" t="n">
        <v>10</v>
      </c>
      <c r="AJ319" t="n">
        <v>20</v>
      </c>
      <c r="AK319" t="n">
        <v>27</v>
      </c>
      <c r="AL319" t="n">
        <v>2</v>
      </c>
      <c r="AM319" t="n">
        <v>4</v>
      </c>
      <c r="AN319" t="n">
        <v>0</v>
      </c>
      <c r="AO319" t="n">
        <v>0</v>
      </c>
      <c r="AP319" t="inlineStr">
        <is>
          <t>No</t>
        </is>
      </c>
      <c r="AQ319" t="inlineStr">
        <is>
          <t>Yes</t>
        </is>
      </c>
      <c r="AR319">
        <f>HYPERLINK("http://catalog.hathitrust.org/Record/012257832","HathiTrust Record")</f>
        <v/>
      </c>
      <c r="AS319">
        <f>HYPERLINK("https://creighton-primo.hosted.exlibrisgroup.com/primo-explore/search?tab=default_tab&amp;search_scope=EVERYTHING&amp;vid=01CRU&amp;lang=en_US&amp;offset=0&amp;query=any,contains,991004068479702656","Catalog Record")</f>
        <v/>
      </c>
      <c r="AT319">
        <f>HYPERLINK("http://www.worldcat.org/oclc/2291953","WorldCat Record")</f>
        <v/>
      </c>
      <c r="AU319" t="inlineStr">
        <is>
          <t>415344:eng</t>
        </is>
      </c>
      <c r="AV319" t="inlineStr">
        <is>
          <t>2291953</t>
        </is>
      </c>
      <c r="AW319" t="inlineStr">
        <is>
          <t>991004068479702656</t>
        </is>
      </c>
      <c r="AX319" t="inlineStr">
        <is>
          <t>991004068479702656</t>
        </is>
      </c>
      <c r="AY319" t="inlineStr">
        <is>
          <t>2266887370002656</t>
        </is>
      </c>
      <c r="AZ319" t="inlineStr">
        <is>
          <t>BOOK</t>
        </is>
      </c>
      <c r="BB319" t="inlineStr">
        <is>
          <t>9780195198478</t>
        </is>
      </c>
      <c r="BC319" t="inlineStr">
        <is>
          <t>32285000507995</t>
        </is>
      </c>
      <c r="BD319" t="inlineStr">
        <is>
          <t>893624311</t>
        </is>
      </c>
    </row>
    <row r="320">
      <c r="A320" t="inlineStr">
        <is>
          <t>No</t>
        </is>
      </c>
      <c r="B320" t="inlineStr">
        <is>
          <t>BX1492 .C27 1966</t>
        </is>
      </c>
      <c r="C320" t="inlineStr">
        <is>
          <t>0                      BX 1492000C  27          1966</t>
        </is>
      </c>
      <c r="D320" t="inlineStr">
        <is>
          <t>The years of siege : Catholic life from James I to Cromwell.</t>
        </is>
      </c>
      <c r="F320" t="inlineStr">
        <is>
          <t>No</t>
        </is>
      </c>
      <c r="G320" t="inlineStr">
        <is>
          <t>1</t>
        </is>
      </c>
      <c r="H320" t="inlineStr">
        <is>
          <t>No</t>
        </is>
      </c>
      <c r="I320" t="inlineStr">
        <is>
          <t>No</t>
        </is>
      </c>
      <c r="J320" t="inlineStr">
        <is>
          <t>0</t>
        </is>
      </c>
      <c r="K320" t="inlineStr">
        <is>
          <t>Caraman, Philip, 1911-1998, compiler.</t>
        </is>
      </c>
      <c r="L320" t="inlineStr">
        <is>
          <t>London : Longmans, 1966.</t>
        </is>
      </c>
      <c r="M320" t="inlineStr">
        <is>
          <t>1966</t>
        </is>
      </c>
      <c r="O320" t="inlineStr">
        <is>
          <t>eng</t>
        </is>
      </c>
      <c r="P320" t="inlineStr">
        <is>
          <t>enk</t>
        </is>
      </c>
      <c r="R320" t="inlineStr">
        <is>
          <t xml:space="preserve">BX </t>
        </is>
      </c>
      <c r="S320" t="n">
        <v>2</v>
      </c>
      <c r="T320" t="n">
        <v>2</v>
      </c>
      <c r="U320" t="inlineStr">
        <is>
          <t>2010-01-22</t>
        </is>
      </c>
      <c r="V320" t="inlineStr">
        <is>
          <t>2010-01-22</t>
        </is>
      </c>
      <c r="W320" t="inlineStr">
        <is>
          <t>1991-02-15</t>
        </is>
      </c>
      <c r="X320" t="inlineStr">
        <is>
          <t>1991-02-15</t>
        </is>
      </c>
      <c r="Y320" t="n">
        <v>284</v>
      </c>
      <c r="Z320" t="n">
        <v>195</v>
      </c>
      <c r="AA320" t="n">
        <v>198</v>
      </c>
      <c r="AB320" t="n">
        <v>2</v>
      </c>
      <c r="AC320" t="n">
        <v>2</v>
      </c>
      <c r="AD320" t="n">
        <v>23</v>
      </c>
      <c r="AE320" t="n">
        <v>23</v>
      </c>
      <c r="AF320" t="n">
        <v>5</v>
      </c>
      <c r="AG320" t="n">
        <v>5</v>
      </c>
      <c r="AH320" t="n">
        <v>7</v>
      </c>
      <c r="AI320" t="n">
        <v>7</v>
      </c>
      <c r="AJ320" t="n">
        <v>17</v>
      </c>
      <c r="AK320" t="n">
        <v>17</v>
      </c>
      <c r="AL320" t="n">
        <v>1</v>
      </c>
      <c r="AM320" t="n">
        <v>1</v>
      </c>
      <c r="AN320" t="n">
        <v>0</v>
      </c>
      <c r="AO320" t="n">
        <v>0</v>
      </c>
      <c r="AP320" t="inlineStr">
        <is>
          <t>No</t>
        </is>
      </c>
      <c r="AQ320" t="inlineStr">
        <is>
          <t>Yes</t>
        </is>
      </c>
      <c r="AR320">
        <f>HYPERLINK("http://catalog.hathitrust.org/Record/000037122","HathiTrust Record")</f>
        <v/>
      </c>
      <c r="AS320">
        <f>HYPERLINK("https://creighton-primo.hosted.exlibrisgroup.com/primo-explore/search?tab=default_tab&amp;search_scope=EVERYTHING&amp;vid=01CRU&amp;lang=en_US&amp;offset=0&amp;query=any,contains,991003696669702656","Catalog Record")</f>
        <v/>
      </c>
      <c r="AT320">
        <f>HYPERLINK("http://www.worldcat.org/oclc/1329527","WorldCat Record")</f>
        <v/>
      </c>
      <c r="AU320" t="inlineStr">
        <is>
          <t>931480983:eng</t>
        </is>
      </c>
      <c r="AV320" t="inlineStr">
        <is>
          <t>1329527</t>
        </is>
      </c>
      <c r="AW320" t="inlineStr">
        <is>
          <t>991003696669702656</t>
        </is>
      </c>
      <c r="AX320" t="inlineStr">
        <is>
          <t>991003696669702656</t>
        </is>
      </c>
      <c r="AY320" t="inlineStr">
        <is>
          <t>2269051240002656</t>
        </is>
      </c>
      <c r="AZ320" t="inlineStr">
        <is>
          <t>BOOK</t>
        </is>
      </c>
      <c r="BC320" t="inlineStr">
        <is>
          <t>32285000508043</t>
        </is>
      </c>
      <c r="BD320" t="inlineStr">
        <is>
          <t>893806105</t>
        </is>
      </c>
    </row>
    <row r="321">
      <c r="A321" t="inlineStr">
        <is>
          <t>No</t>
        </is>
      </c>
      <c r="B321" t="inlineStr">
        <is>
          <t>BX1492 .D49 1970</t>
        </is>
      </c>
      <c r="C321" t="inlineStr">
        <is>
          <t>0                      BX 1492000D  49          1970</t>
        </is>
      </c>
      <c r="D321" t="inlineStr">
        <is>
          <t>Hamlet's divinity : and other essays / With an introd. by C. V. Wedgwood.</t>
        </is>
      </c>
      <c r="F321" t="inlineStr">
        <is>
          <t>No</t>
        </is>
      </c>
      <c r="G321" t="inlineStr">
        <is>
          <t>1</t>
        </is>
      </c>
      <c r="H321" t="inlineStr">
        <is>
          <t>No</t>
        </is>
      </c>
      <c r="I321" t="inlineStr">
        <is>
          <t>No</t>
        </is>
      </c>
      <c r="J321" t="inlineStr">
        <is>
          <t>0</t>
        </is>
      </c>
      <c r="K321" t="inlineStr">
        <is>
          <t>Devlin, Christopher.</t>
        </is>
      </c>
      <c r="L321" t="inlineStr">
        <is>
          <t>Freeport, N.Y. : Books for Libraries Press, [1970, c1963]</t>
        </is>
      </c>
      <c r="M321" t="inlineStr">
        <is>
          <t>1970</t>
        </is>
      </c>
      <c r="O321" t="inlineStr">
        <is>
          <t>eng</t>
        </is>
      </c>
      <c r="P321" t="inlineStr">
        <is>
          <t>nyu</t>
        </is>
      </c>
      <c r="Q321" t="inlineStr">
        <is>
          <t>Essay index reprint series</t>
        </is>
      </c>
      <c r="R321" t="inlineStr">
        <is>
          <t xml:space="preserve">BX </t>
        </is>
      </c>
      <c r="S321" t="n">
        <v>1</v>
      </c>
      <c r="T321" t="n">
        <v>1</v>
      </c>
      <c r="U321" t="inlineStr">
        <is>
          <t>1996-04-22</t>
        </is>
      </c>
      <c r="V321" t="inlineStr">
        <is>
          <t>1996-04-22</t>
        </is>
      </c>
      <c r="W321" t="inlineStr">
        <is>
          <t>1991-02-15</t>
        </is>
      </c>
      <c r="X321" t="inlineStr">
        <is>
          <t>1991-02-15</t>
        </is>
      </c>
      <c r="Y321" t="n">
        <v>164</v>
      </c>
      <c r="Z321" t="n">
        <v>150</v>
      </c>
      <c r="AA321" t="n">
        <v>441</v>
      </c>
      <c r="AB321" t="n">
        <v>2</v>
      </c>
      <c r="AC321" t="n">
        <v>5</v>
      </c>
      <c r="AD321" t="n">
        <v>5</v>
      </c>
      <c r="AE321" t="n">
        <v>28</v>
      </c>
      <c r="AF321" t="n">
        <v>3</v>
      </c>
      <c r="AG321" t="n">
        <v>13</v>
      </c>
      <c r="AH321" t="n">
        <v>1</v>
      </c>
      <c r="AI321" t="n">
        <v>4</v>
      </c>
      <c r="AJ321" t="n">
        <v>0</v>
      </c>
      <c r="AK321" t="n">
        <v>16</v>
      </c>
      <c r="AL321" t="n">
        <v>1</v>
      </c>
      <c r="AM321" t="n">
        <v>4</v>
      </c>
      <c r="AN321" t="n">
        <v>0</v>
      </c>
      <c r="AO321" t="n">
        <v>0</v>
      </c>
      <c r="AP321" t="inlineStr">
        <is>
          <t>No</t>
        </is>
      </c>
      <c r="AQ321" t="inlineStr">
        <is>
          <t>Yes</t>
        </is>
      </c>
      <c r="AR321">
        <f>HYPERLINK("http://catalog.hathitrust.org/Record/012270980","HathiTrust Record")</f>
        <v/>
      </c>
      <c r="AS321">
        <f>HYPERLINK("https://creighton-primo.hosted.exlibrisgroup.com/primo-explore/search?tab=default_tab&amp;search_scope=EVERYTHING&amp;vid=01CRU&amp;lang=en_US&amp;offset=0&amp;query=any,contains,991000679879702656","Catalog Record")</f>
        <v/>
      </c>
      <c r="AT321">
        <f>HYPERLINK("http://www.worldcat.org/oclc/121408","WorldCat Record")</f>
        <v/>
      </c>
      <c r="AU321" t="inlineStr">
        <is>
          <t>1808367859:eng</t>
        </is>
      </c>
      <c r="AV321" t="inlineStr">
        <is>
          <t>121408</t>
        </is>
      </c>
      <c r="AW321" t="inlineStr">
        <is>
          <t>991000679879702656</t>
        </is>
      </c>
      <c r="AX321" t="inlineStr">
        <is>
          <t>991000679879702656</t>
        </is>
      </c>
      <c r="AY321" t="inlineStr">
        <is>
          <t>2262446370002656</t>
        </is>
      </c>
      <c r="AZ321" t="inlineStr">
        <is>
          <t>BOOK</t>
        </is>
      </c>
      <c r="BB321" t="inlineStr">
        <is>
          <t>9780836919158</t>
        </is>
      </c>
      <c r="BC321" t="inlineStr">
        <is>
          <t>32285000508092</t>
        </is>
      </c>
      <c r="BD321" t="inlineStr">
        <is>
          <t>893407425</t>
        </is>
      </c>
    </row>
    <row r="322">
      <c r="A322" t="inlineStr">
        <is>
          <t>No</t>
        </is>
      </c>
      <c r="B322" t="inlineStr">
        <is>
          <t>BX1492 .L48 1962</t>
        </is>
      </c>
      <c r="C322" t="inlineStr">
        <is>
          <t>0                      BX 1492000L  48          1962</t>
        </is>
      </c>
      <c r="D322" t="inlineStr">
        <is>
          <t>Catholics in England, 1559-1829 : a social history.</t>
        </is>
      </c>
      <c r="F322" t="inlineStr">
        <is>
          <t>No</t>
        </is>
      </c>
      <c r="G322" t="inlineStr">
        <is>
          <t>1</t>
        </is>
      </c>
      <c r="H322" t="inlineStr">
        <is>
          <t>No</t>
        </is>
      </c>
      <c r="I322" t="inlineStr">
        <is>
          <t>No</t>
        </is>
      </c>
      <c r="J322" t="inlineStr">
        <is>
          <t>0</t>
        </is>
      </c>
      <c r="K322" t="inlineStr">
        <is>
          <t>Leys, M. D. R. (Mary Dorothy Rose)</t>
        </is>
      </c>
      <c r="L322" t="inlineStr">
        <is>
          <t>New York : Sheed and Ward, [1962, c1961]</t>
        </is>
      </c>
      <c r="M322" t="inlineStr">
        <is>
          <t>1962</t>
        </is>
      </c>
      <c r="O322" t="inlineStr">
        <is>
          <t>eng</t>
        </is>
      </c>
      <c r="P322" t="inlineStr">
        <is>
          <t>nyu</t>
        </is>
      </c>
      <c r="R322" t="inlineStr">
        <is>
          <t xml:space="preserve">BX </t>
        </is>
      </c>
      <c r="S322" t="n">
        <v>2</v>
      </c>
      <c r="T322" t="n">
        <v>2</v>
      </c>
      <c r="U322" t="inlineStr">
        <is>
          <t>2009-09-02</t>
        </is>
      </c>
      <c r="V322" t="inlineStr">
        <is>
          <t>2009-09-02</t>
        </is>
      </c>
      <c r="W322" t="inlineStr">
        <is>
          <t>1991-02-15</t>
        </is>
      </c>
      <c r="X322" t="inlineStr">
        <is>
          <t>1991-02-15</t>
        </is>
      </c>
      <c r="Y322" t="n">
        <v>253</v>
      </c>
      <c r="Z322" t="n">
        <v>243</v>
      </c>
      <c r="AA322" t="n">
        <v>435</v>
      </c>
      <c r="AB322" t="n">
        <v>3</v>
      </c>
      <c r="AC322" t="n">
        <v>5</v>
      </c>
      <c r="AD322" t="n">
        <v>23</v>
      </c>
      <c r="AE322" t="n">
        <v>36</v>
      </c>
      <c r="AF322" t="n">
        <v>11</v>
      </c>
      <c r="AG322" t="n">
        <v>13</v>
      </c>
      <c r="AH322" t="n">
        <v>4</v>
      </c>
      <c r="AI322" t="n">
        <v>9</v>
      </c>
      <c r="AJ322" t="n">
        <v>12</v>
      </c>
      <c r="AK322" t="n">
        <v>21</v>
      </c>
      <c r="AL322" t="n">
        <v>2</v>
      </c>
      <c r="AM322" t="n">
        <v>3</v>
      </c>
      <c r="AN322" t="n">
        <v>0</v>
      </c>
      <c r="AO322" t="n">
        <v>0</v>
      </c>
      <c r="AP322" t="inlineStr">
        <is>
          <t>No</t>
        </is>
      </c>
      <c r="AQ322" t="inlineStr">
        <is>
          <t>Yes</t>
        </is>
      </c>
      <c r="AR322">
        <f>HYPERLINK("http://catalog.hathitrust.org/Record/009966109","HathiTrust Record")</f>
        <v/>
      </c>
      <c r="AS322">
        <f>HYPERLINK("https://creighton-primo.hosted.exlibrisgroup.com/primo-explore/search?tab=default_tab&amp;search_scope=EVERYTHING&amp;vid=01CRU&amp;lang=en_US&amp;offset=0&amp;query=any,contains,991001914259702656","Catalog Record")</f>
        <v/>
      </c>
      <c r="AT322">
        <f>HYPERLINK("http://www.worldcat.org/oclc/243279","WorldCat Record")</f>
        <v/>
      </c>
      <c r="AU322" t="inlineStr">
        <is>
          <t>1392378:eng</t>
        </is>
      </c>
      <c r="AV322" t="inlineStr">
        <is>
          <t>243279</t>
        </is>
      </c>
      <c r="AW322" t="inlineStr">
        <is>
          <t>991001914259702656</t>
        </is>
      </c>
      <c r="AX322" t="inlineStr">
        <is>
          <t>991001914259702656</t>
        </is>
      </c>
      <c r="AY322" t="inlineStr">
        <is>
          <t>2270710860002656</t>
        </is>
      </c>
      <c r="AZ322" t="inlineStr">
        <is>
          <t>BOOK</t>
        </is>
      </c>
      <c r="BC322" t="inlineStr">
        <is>
          <t>32285000508118</t>
        </is>
      </c>
      <c r="BD322" t="inlineStr">
        <is>
          <t>893866580</t>
        </is>
      </c>
    </row>
    <row r="323">
      <c r="A323" t="inlineStr">
        <is>
          <t>No</t>
        </is>
      </c>
      <c r="B323" t="inlineStr">
        <is>
          <t>BX1492 .M57 1978</t>
        </is>
      </c>
      <c r="C323" t="inlineStr">
        <is>
          <t>0                      BX 1492000M  57          1978</t>
        </is>
      </c>
      <c r="D323" t="inlineStr">
        <is>
          <t>The Catholic subjects of Elizabeth I / Adrian Morey.</t>
        </is>
      </c>
      <c r="F323" t="inlineStr">
        <is>
          <t>No</t>
        </is>
      </c>
      <c r="G323" t="inlineStr">
        <is>
          <t>1</t>
        </is>
      </c>
      <c r="H323" t="inlineStr">
        <is>
          <t>No</t>
        </is>
      </c>
      <c r="I323" t="inlineStr">
        <is>
          <t>No</t>
        </is>
      </c>
      <c r="J323" t="inlineStr">
        <is>
          <t>0</t>
        </is>
      </c>
      <c r="K323" t="inlineStr">
        <is>
          <t>Morey, Adrian, 1904-</t>
        </is>
      </c>
      <c r="L323" t="inlineStr">
        <is>
          <t>Totowa, N.J. : Rowman and Littlefield, 1978.</t>
        </is>
      </c>
      <c r="M323" t="inlineStr">
        <is>
          <t>1978</t>
        </is>
      </c>
      <c r="O323" t="inlineStr">
        <is>
          <t>eng</t>
        </is>
      </c>
      <c r="P323" t="inlineStr">
        <is>
          <t>nju</t>
        </is>
      </c>
      <c r="R323" t="inlineStr">
        <is>
          <t xml:space="preserve">BX </t>
        </is>
      </c>
      <c r="S323" t="n">
        <v>3</v>
      </c>
      <c r="T323" t="n">
        <v>3</v>
      </c>
      <c r="U323" t="inlineStr">
        <is>
          <t>2005-11-29</t>
        </is>
      </c>
      <c r="V323" t="inlineStr">
        <is>
          <t>2005-11-29</t>
        </is>
      </c>
      <c r="W323" t="inlineStr">
        <is>
          <t>1991-02-15</t>
        </is>
      </c>
      <c r="X323" t="inlineStr">
        <is>
          <t>1991-02-15</t>
        </is>
      </c>
      <c r="Y323" t="n">
        <v>515</v>
      </c>
      <c r="Z323" t="n">
        <v>483</v>
      </c>
      <c r="AA323" t="n">
        <v>547</v>
      </c>
      <c r="AB323" t="n">
        <v>2</v>
      </c>
      <c r="AC323" t="n">
        <v>3</v>
      </c>
      <c r="AD323" t="n">
        <v>27</v>
      </c>
      <c r="AE323" t="n">
        <v>32</v>
      </c>
      <c r="AF323" t="n">
        <v>8</v>
      </c>
      <c r="AG323" t="n">
        <v>10</v>
      </c>
      <c r="AH323" t="n">
        <v>8</v>
      </c>
      <c r="AI323" t="n">
        <v>9</v>
      </c>
      <c r="AJ323" t="n">
        <v>15</v>
      </c>
      <c r="AK323" t="n">
        <v>18</v>
      </c>
      <c r="AL323" t="n">
        <v>1</v>
      </c>
      <c r="AM323" t="n">
        <v>2</v>
      </c>
      <c r="AN323" t="n">
        <v>0</v>
      </c>
      <c r="AO323" t="n">
        <v>0</v>
      </c>
      <c r="AP323" t="inlineStr">
        <is>
          <t>No</t>
        </is>
      </c>
      <c r="AQ323" t="inlineStr">
        <is>
          <t>Yes</t>
        </is>
      </c>
      <c r="AR323">
        <f>HYPERLINK("http://catalog.hathitrust.org/Record/000210505","HathiTrust Record")</f>
        <v/>
      </c>
      <c r="AS323">
        <f>HYPERLINK("https://creighton-primo.hosted.exlibrisgroup.com/primo-explore/search?tab=default_tab&amp;search_scope=EVERYTHING&amp;vid=01CRU&amp;lang=en_US&amp;offset=0&amp;query=any,contains,991004253029702656","Catalog Record")</f>
        <v/>
      </c>
      <c r="AT323">
        <f>HYPERLINK("http://www.worldcat.org/oclc/2818216","WorldCat Record")</f>
        <v/>
      </c>
      <c r="AU323" t="inlineStr">
        <is>
          <t>522264:eng</t>
        </is>
      </c>
      <c r="AV323" t="inlineStr">
        <is>
          <t>2818216</t>
        </is>
      </c>
      <c r="AW323" t="inlineStr">
        <is>
          <t>991004253029702656</t>
        </is>
      </c>
      <c r="AX323" t="inlineStr">
        <is>
          <t>991004253029702656</t>
        </is>
      </c>
      <c r="AY323" t="inlineStr">
        <is>
          <t>2265181220002656</t>
        </is>
      </c>
      <c r="AZ323" t="inlineStr">
        <is>
          <t>BOOK</t>
        </is>
      </c>
      <c r="BB323" t="inlineStr">
        <is>
          <t>9780874719703</t>
        </is>
      </c>
      <c r="BC323" t="inlineStr">
        <is>
          <t>32285000508134</t>
        </is>
      </c>
      <c r="BD323" t="inlineStr">
        <is>
          <t>893869493</t>
        </is>
      </c>
    </row>
    <row r="324">
      <c r="A324" t="inlineStr">
        <is>
          <t>No</t>
        </is>
      </c>
      <c r="B324" t="inlineStr">
        <is>
          <t>BX1496.N67 T36 1984</t>
        </is>
      </c>
      <c r="C324" t="inlineStr">
        <is>
          <t>0                      BX 1496000N  67                 T  36          1984</t>
        </is>
      </c>
      <c r="D324" t="inlineStr">
        <is>
          <t>The church in late medieval Norwich, 1370-1532 / by Norman P. Tanner.</t>
        </is>
      </c>
      <c r="F324" t="inlineStr">
        <is>
          <t>No</t>
        </is>
      </c>
      <c r="G324" t="inlineStr">
        <is>
          <t>1</t>
        </is>
      </c>
      <c r="H324" t="inlineStr">
        <is>
          <t>No</t>
        </is>
      </c>
      <c r="I324" t="inlineStr">
        <is>
          <t>No</t>
        </is>
      </c>
      <c r="J324" t="inlineStr">
        <is>
          <t>0</t>
        </is>
      </c>
      <c r="K324" t="inlineStr">
        <is>
          <t>Tanner, Norman P.</t>
        </is>
      </c>
      <c r="L324" t="inlineStr">
        <is>
          <t>Toronto, Ont., Canada : Pontifical Institute of Mediaeval Studies, c1984.</t>
        </is>
      </c>
      <c r="M324" t="inlineStr">
        <is>
          <t>1984</t>
        </is>
      </c>
      <c r="O324" t="inlineStr">
        <is>
          <t>eng</t>
        </is>
      </c>
      <c r="P324" t="inlineStr">
        <is>
          <t>onc</t>
        </is>
      </c>
      <c r="Q324" t="inlineStr">
        <is>
          <t>Studies and texts, 0082-5328 ; 66</t>
        </is>
      </c>
      <c r="R324" t="inlineStr">
        <is>
          <t xml:space="preserve">BX </t>
        </is>
      </c>
      <c r="S324" t="n">
        <v>3</v>
      </c>
      <c r="T324" t="n">
        <v>3</v>
      </c>
      <c r="U324" t="inlineStr">
        <is>
          <t>2010-11-22</t>
        </is>
      </c>
      <c r="V324" t="inlineStr">
        <is>
          <t>2010-11-22</t>
        </is>
      </c>
      <c r="W324" t="inlineStr">
        <is>
          <t>1991-02-19</t>
        </is>
      </c>
      <c r="X324" t="inlineStr">
        <is>
          <t>1991-02-19</t>
        </is>
      </c>
      <c r="Y324" t="n">
        <v>364</v>
      </c>
      <c r="Z324" t="n">
        <v>253</v>
      </c>
      <c r="AA324" t="n">
        <v>264</v>
      </c>
      <c r="AB324" t="n">
        <v>2</v>
      </c>
      <c r="AC324" t="n">
        <v>2</v>
      </c>
      <c r="AD324" t="n">
        <v>19</v>
      </c>
      <c r="AE324" t="n">
        <v>20</v>
      </c>
      <c r="AF324" t="n">
        <v>4</v>
      </c>
      <c r="AG324" t="n">
        <v>5</v>
      </c>
      <c r="AH324" t="n">
        <v>5</v>
      </c>
      <c r="AI324" t="n">
        <v>6</v>
      </c>
      <c r="AJ324" t="n">
        <v>14</v>
      </c>
      <c r="AK324" t="n">
        <v>14</v>
      </c>
      <c r="AL324" t="n">
        <v>1</v>
      </c>
      <c r="AM324" t="n">
        <v>1</v>
      </c>
      <c r="AN324" t="n">
        <v>0</v>
      </c>
      <c r="AO324" t="n">
        <v>0</v>
      </c>
      <c r="AP324" t="inlineStr">
        <is>
          <t>No</t>
        </is>
      </c>
      <c r="AQ324" t="inlineStr">
        <is>
          <t>Yes</t>
        </is>
      </c>
      <c r="AR324">
        <f>HYPERLINK("http://catalog.hathitrust.org/Record/102419854","HathiTrust Record")</f>
        <v/>
      </c>
      <c r="AS324">
        <f>HYPERLINK("https://creighton-primo.hosted.exlibrisgroup.com/primo-explore/search?tab=default_tab&amp;search_scope=EVERYTHING&amp;vid=01CRU&amp;lang=en_US&amp;offset=0&amp;query=any,contains,991000496799702656","Catalog Record")</f>
        <v/>
      </c>
      <c r="AT324">
        <f>HYPERLINK("http://www.worldcat.org/oclc/11152028","WorldCat Record")</f>
        <v/>
      </c>
      <c r="AU324" t="inlineStr">
        <is>
          <t>3677285:eng</t>
        </is>
      </c>
      <c r="AV324" t="inlineStr">
        <is>
          <t>11152028</t>
        </is>
      </c>
      <c r="AW324" t="inlineStr">
        <is>
          <t>991000496799702656</t>
        </is>
      </c>
      <c r="AX324" t="inlineStr">
        <is>
          <t>991000496799702656</t>
        </is>
      </c>
      <c r="AY324" t="inlineStr">
        <is>
          <t>2271376360002656</t>
        </is>
      </c>
      <c r="AZ324" t="inlineStr">
        <is>
          <t>BOOK</t>
        </is>
      </c>
      <c r="BB324" t="inlineStr">
        <is>
          <t>9780888440662</t>
        </is>
      </c>
      <c r="BC324" t="inlineStr">
        <is>
          <t>32285000508464</t>
        </is>
      </c>
      <c r="BD324" t="inlineStr">
        <is>
          <t>893784265</t>
        </is>
      </c>
    </row>
    <row r="325">
      <c r="A325" t="inlineStr">
        <is>
          <t>No</t>
        </is>
      </c>
      <c r="B325" t="inlineStr">
        <is>
          <t>BX1497 .M3 1971</t>
        </is>
      </c>
      <c r="C325" t="inlineStr">
        <is>
          <t>0                      BX 1497000M  3           1971</t>
        </is>
      </c>
      <c r="D325" t="inlineStr">
        <is>
          <t>Catholicism and Scotland.</t>
        </is>
      </c>
      <c r="F325" t="inlineStr">
        <is>
          <t>No</t>
        </is>
      </c>
      <c r="G325" t="inlineStr">
        <is>
          <t>1</t>
        </is>
      </c>
      <c r="H325" t="inlineStr">
        <is>
          <t>No</t>
        </is>
      </c>
      <c r="I325" t="inlineStr">
        <is>
          <t>No</t>
        </is>
      </c>
      <c r="J325" t="inlineStr">
        <is>
          <t>0</t>
        </is>
      </c>
      <c r="K325" t="inlineStr">
        <is>
          <t>Mackenzie, Compton, 1883-1972.</t>
        </is>
      </c>
      <c r="L325" t="inlineStr">
        <is>
          <t>Port Washington, N.Y. : Kennikat Press, [1971]</t>
        </is>
      </c>
      <c r="M325" t="inlineStr">
        <is>
          <t>1971</t>
        </is>
      </c>
      <c r="O325" t="inlineStr">
        <is>
          <t>eng</t>
        </is>
      </c>
      <c r="P325" t="inlineStr">
        <is>
          <t>nyu</t>
        </is>
      </c>
      <c r="R325" t="inlineStr">
        <is>
          <t xml:space="preserve">BX </t>
        </is>
      </c>
      <c r="S325" t="n">
        <v>1</v>
      </c>
      <c r="T325" t="n">
        <v>1</v>
      </c>
      <c r="U325" t="inlineStr">
        <is>
          <t>2002-03-24</t>
        </is>
      </c>
      <c r="V325" t="inlineStr">
        <is>
          <t>2002-03-24</t>
        </is>
      </c>
      <c r="W325" t="inlineStr">
        <is>
          <t>1991-02-19</t>
        </is>
      </c>
      <c r="X325" t="inlineStr">
        <is>
          <t>1991-02-19</t>
        </is>
      </c>
      <c r="Y325" t="n">
        <v>145</v>
      </c>
      <c r="Z325" t="n">
        <v>128</v>
      </c>
      <c r="AA325" t="n">
        <v>169</v>
      </c>
      <c r="AB325" t="n">
        <v>3</v>
      </c>
      <c r="AC325" t="n">
        <v>3</v>
      </c>
      <c r="AD325" t="n">
        <v>8</v>
      </c>
      <c r="AE325" t="n">
        <v>14</v>
      </c>
      <c r="AF325" t="n">
        <v>2</v>
      </c>
      <c r="AG325" t="n">
        <v>3</v>
      </c>
      <c r="AH325" t="n">
        <v>4</v>
      </c>
      <c r="AI325" t="n">
        <v>5</v>
      </c>
      <c r="AJ325" t="n">
        <v>4</v>
      </c>
      <c r="AK325" t="n">
        <v>9</v>
      </c>
      <c r="AL325" t="n">
        <v>1</v>
      </c>
      <c r="AM325" t="n">
        <v>1</v>
      </c>
      <c r="AN325" t="n">
        <v>0</v>
      </c>
      <c r="AO325" t="n">
        <v>0</v>
      </c>
      <c r="AP325" t="inlineStr">
        <is>
          <t>No</t>
        </is>
      </c>
      <c r="AQ325" t="inlineStr">
        <is>
          <t>Yes</t>
        </is>
      </c>
      <c r="AR325">
        <f>HYPERLINK("http://catalog.hathitrust.org/Record/001416117","HathiTrust Record")</f>
        <v/>
      </c>
      <c r="AS325">
        <f>HYPERLINK("https://creighton-primo.hosted.exlibrisgroup.com/primo-explore/search?tab=default_tab&amp;search_scope=EVERYTHING&amp;vid=01CRU&amp;lang=en_US&amp;offset=0&amp;query=any,contains,991000651229702656","Catalog Record")</f>
        <v/>
      </c>
      <c r="AT325">
        <f>HYPERLINK("http://www.worldcat.org/oclc/113339","WorldCat Record")</f>
        <v/>
      </c>
      <c r="AU325" t="inlineStr">
        <is>
          <t>1228634:eng</t>
        </is>
      </c>
      <c r="AV325" t="inlineStr">
        <is>
          <t>113339</t>
        </is>
      </c>
      <c r="AW325" t="inlineStr">
        <is>
          <t>991000651229702656</t>
        </is>
      </c>
      <c r="AX325" t="inlineStr">
        <is>
          <t>991000651229702656</t>
        </is>
      </c>
      <c r="AY325" t="inlineStr">
        <is>
          <t>2265447740002656</t>
        </is>
      </c>
      <c r="AZ325" t="inlineStr">
        <is>
          <t>BOOK</t>
        </is>
      </c>
      <c r="BB325" t="inlineStr">
        <is>
          <t>9780804612357</t>
        </is>
      </c>
      <c r="BC325" t="inlineStr">
        <is>
          <t>32285000508514</t>
        </is>
      </c>
      <c r="BD325" t="inlineStr">
        <is>
          <t>893261559</t>
        </is>
      </c>
    </row>
    <row r="326">
      <c r="A326" t="inlineStr">
        <is>
          <t>No</t>
        </is>
      </c>
      <c r="B326" t="inlineStr">
        <is>
          <t>BX1499 .I66</t>
        </is>
      </c>
      <c r="C326" t="inlineStr">
        <is>
          <t>0                      BX 1499000I  66</t>
        </is>
      </c>
      <c r="D326" t="inlineStr">
        <is>
          <t>Modern Scottish Catholicism, 1878-1978 / edited by David McRoberts.</t>
        </is>
      </c>
      <c r="F326" t="inlineStr">
        <is>
          <t>No</t>
        </is>
      </c>
      <c r="G326" t="inlineStr">
        <is>
          <t>1</t>
        </is>
      </c>
      <c r="H326" t="inlineStr">
        <is>
          <t>No</t>
        </is>
      </c>
      <c r="I326" t="inlineStr">
        <is>
          <t>No</t>
        </is>
      </c>
      <c r="J326" t="inlineStr">
        <is>
          <t>0</t>
        </is>
      </c>
      <c r="K326" t="inlineStr">
        <is>
          <t>Innes review.</t>
        </is>
      </c>
      <c r="L326" t="inlineStr">
        <is>
          <t>Glasgow : Burns, 1979.</t>
        </is>
      </c>
      <c r="M326" t="inlineStr">
        <is>
          <t>1979</t>
        </is>
      </c>
      <c r="O326" t="inlineStr">
        <is>
          <t>eng</t>
        </is>
      </c>
      <c r="P326" t="inlineStr">
        <is>
          <t>stk</t>
        </is>
      </c>
      <c r="R326" t="inlineStr">
        <is>
          <t xml:space="preserve">BX </t>
        </is>
      </c>
      <c r="S326" t="n">
        <v>4</v>
      </c>
      <c r="T326" t="n">
        <v>4</v>
      </c>
      <c r="U326" t="inlineStr">
        <is>
          <t>2006-09-21</t>
        </is>
      </c>
      <c r="V326" t="inlineStr">
        <is>
          <t>2006-09-21</t>
        </is>
      </c>
      <c r="W326" t="inlineStr">
        <is>
          <t>1991-02-19</t>
        </is>
      </c>
      <c r="X326" t="inlineStr">
        <is>
          <t>1991-02-19</t>
        </is>
      </c>
      <c r="Y326" t="n">
        <v>29</v>
      </c>
      <c r="Z326" t="n">
        <v>7</v>
      </c>
      <c r="AA326" t="n">
        <v>7</v>
      </c>
      <c r="AB326" t="n">
        <v>1</v>
      </c>
      <c r="AC326" t="n">
        <v>1</v>
      </c>
      <c r="AD326" t="n">
        <v>3</v>
      </c>
      <c r="AE326" t="n">
        <v>3</v>
      </c>
      <c r="AF326" t="n">
        <v>2</v>
      </c>
      <c r="AG326" t="n">
        <v>2</v>
      </c>
      <c r="AH326" t="n">
        <v>0</v>
      </c>
      <c r="AI326" t="n">
        <v>0</v>
      </c>
      <c r="AJ326" t="n">
        <v>1</v>
      </c>
      <c r="AK326" t="n">
        <v>1</v>
      </c>
      <c r="AL326" t="n">
        <v>0</v>
      </c>
      <c r="AM326" t="n">
        <v>0</v>
      </c>
      <c r="AN326" t="n">
        <v>0</v>
      </c>
      <c r="AO326" t="n">
        <v>0</v>
      </c>
      <c r="AP326" t="inlineStr">
        <is>
          <t>No</t>
        </is>
      </c>
      <c r="AQ326" t="inlineStr">
        <is>
          <t>No</t>
        </is>
      </c>
      <c r="AS326">
        <f>HYPERLINK("https://creighton-primo.hosted.exlibrisgroup.com/primo-explore/search?tab=default_tab&amp;search_scope=EVERYTHING&amp;vid=01CRU&amp;lang=en_US&amp;offset=0&amp;query=any,contains,991004938489702656","Catalog Record")</f>
        <v/>
      </c>
      <c r="AT326">
        <f>HYPERLINK("http://www.worldcat.org/oclc/6152869","WorldCat Record")</f>
        <v/>
      </c>
      <c r="AU326" t="inlineStr">
        <is>
          <t>1042362714:eng</t>
        </is>
      </c>
      <c r="AV326" t="inlineStr">
        <is>
          <t>6152869</t>
        </is>
      </c>
      <c r="AW326" t="inlineStr">
        <is>
          <t>991004938489702656</t>
        </is>
      </c>
      <c r="AX326" t="inlineStr">
        <is>
          <t>991004938489702656</t>
        </is>
      </c>
      <c r="AY326" t="inlineStr">
        <is>
          <t>2262401590002656</t>
        </is>
      </c>
      <c r="AZ326" t="inlineStr">
        <is>
          <t>BOOK</t>
        </is>
      </c>
      <c r="BB326" t="inlineStr">
        <is>
          <t>9780900243752</t>
        </is>
      </c>
      <c r="BC326" t="inlineStr">
        <is>
          <t>32285000508563</t>
        </is>
      </c>
      <c r="BD326" t="inlineStr">
        <is>
          <t>893350526</t>
        </is>
      </c>
    </row>
    <row r="327">
      <c r="A327" t="inlineStr">
        <is>
          <t>No</t>
        </is>
      </c>
      <c r="B327" t="inlineStr">
        <is>
          <t>BX1503 .D313 1959</t>
        </is>
      </c>
      <c r="C327" t="inlineStr">
        <is>
          <t>0                      BX 1503000D  313         1959</t>
        </is>
      </c>
      <c r="D327" t="inlineStr">
        <is>
          <t>The miracle of Ireland / Translated from the French by the Earl of Wicklow.</t>
        </is>
      </c>
      <c r="F327" t="inlineStr">
        <is>
          <t>No</t>
        </is>
      </c>
      <c r="G327" t="inlineStr">
        <is>
          <t>1</t>
        </is>
      </c>
      <c r="H327" t="inlineStr">
        <is>
          <t>No</t>
        </is>
      </c>
      <c r="I327" t="inlineStr">
        <is>
          <t>No</t>
        </is>
      </c>
      <c r="J327" t="inlineStr">
        <is>
          <t>0</t>
        </is>
      </c>
      <c r="K327" t="inlineStr">
        <is>
          <t>Daniel-Rops, Henri, 1901-1965 editor.</t>
        </is>
      </c>
      <c r="L327" t="inlineStr">
        <is>
          <t>Baltimore : Helicon Press, [1959]</t>
        </is>
      </c>
      <c r="M327" t="inlineStr">
        <is>
          <t>1959</t>
        </is>
      </c>
      <c r="O327" t="inlineStr">
        <is>
          <t>eng</t>
        </is>
      </c>
      <c r="P327" t="inlineStr">
        <is>
          <t xml:space="preserve">xx </t>
        </is>
      </c>
      <c r="R327" t="inlineStr">
        <is>
          <t xml:space="preserve">BX </t>
        </is>
      </c>
      <c r="S327" t="n">
        <v>2</v>
      </c>
      <c r="T327" t="n">
        <v>2</v>
      </c>
      <c r="U327" t="inlineStr">
        <is>
          <t>2005-10-11</t>
        </is>
      </c>
      <c r="V327" t="inlineStr">
        <is>
          <t>2005-10-11</t>
        </is>
      </c>
      <c r="W327" t="inlineStr">
        <is>
          <t>1991-02-19</t>
        </is>
      </c>
      <c r="X327" t="inlineStr">
        <is>
          <t>1991-02-19</t>
        </is>
      </c>
      <c r="Y327" t="n">
        <v>193</v>
      </c>
      <c r="Z327" t="n">
        <v>178</v>
      </c>
      <c r="AA327" t="n">
        <v>224</v>
      </c>
      <c r="AB327" t="n">
        <v>2</v>
      </c>
      <c r="AC327" t="n">
        <v>2</v>
      </c>
      <c r="AD327" t="n">
        <v>26</v>
      </c>
      <c r="AE327" t="n">
        <v>28</v>
      </c>
      <c r="AF327" t="n">
        <v>9</v>
      </c>
      <c r="AG327" t="n">
        <v>10</v>
      </c>
      <c r="AH327" t="n">
        <v>8</v>
      </c>
      <c r="AI327" t="n">
        <v>8</v>
      </c>
      <c r="AJ327" t="n">
        <v>18</v>
      </c>
      <c r="AK327" t="n">
        <v>20</v>
      </c>
      <c r="AL327" t="n">
        <v>0</v>
      </c>
      <c r="AM327" t="n">
        <v>0</v>
      </c>
      <c r="AN327" t="n">
        <v>0</v>
      </c>
      <c r="AO327" t="n">
        <v>0</v>
      </c>
      <c r="AP327" t="inlineStr">
        <is>
          <t>No</t>
        </is>
      </c>
      <c r="AQ327" t="inlineStr">
        <is>
          <t>No</t>
        </is>
      </c>
      <c r="AS327">
        <f>HYPERLINK("https://creighton-primo.hosted.exlibrisgroup.com/primo-explore/search?tab=default_tab&amp;search_scope=EVERYTHING&amp;vid=01CRU&amp;lang=en_US&amp;offset=0&amp;query=any,contains,991004323439702656","Catalog Record")</f>
        <v/>
      </c>
      <c r="AT327">
        <f>HYPERLINK("http://www.worldcat.org/oclc/3026646","WorldCat Record")</f>
        <v/>
      </c>
      <c r="AU327" t="inlineStr">
        <is>
          <t>7446108:eng</t>
        </is>
      </c>
      <c r="AV327" t="inlineStr">
        <is>
          <t>3026646</t>
        </is>
      </c>
      <c r="AW327" t="inlineStr">
        <is>
          <t>991004323439702656</t>
        </is>
      </c>
      <c r="AX327" t="inlineStr">
        <is>
          <t>991004323439702656</t>
        </is>
      </c>
      <c r="AY327" t="inlineStr">
        <is>
          <t>2259810750002656</t>
        </is>
      </c>
      <c r="AZ327" t="inlineStr">
        <is>
          <t>BOOK</t>
        </is>
      </c>
      <c r="BC327" t="inlineStr">
        <is>
          <t>32285000508571</t>
        </is>
      </c>
      <c r="BD327" t="inlineStr">
        <is>
          <t>893618520</t>
        </is>
      </c>
    </row>
    <row r="328">
      <c r="A328" t="inlineStr">
        <is>
          <t>No</t>
        </is>
      </c>
      <c r="B328" t="inlineStr">
        <is>
          <t>BX1503 .L38 1980</t>
        </is>
      </c>
      <c r="C328" t="inlineStr">
        <is>
          <t>0                      BX 1503000L  38          1980</t>
        </is>
      </c>
      <c r="D328" t="inlineStr">
        <is>
          <t>The making of the Roman Catholic Church in Ireland, 1850-1860 / Emmet Larkin.</t>
        </is>
      </c>
      <c r="F328" t="inlineStr">
        <is>
          <t>No</t>
        </is>
      </c>
      <c r="G328" t="inlineStr">
        <is>
          <t>1</t>
        </is>
      </c>
      <c r="H328" t="inlineStr">
        <is>
          <t>No</t>
        </is>
      </c>
      <c r="I328" t="inlineStr">
        <is>
          <t>No</t>
        </is>
      </c>
      <c r="J328" t="inlineStr">
        <is>
          <t>0</t>
        </is>
      </c>
      <c r="K328" t="inlineStr">
        <is>
          <t>Larkin, Emmet J., 1927-</t>
        </is>
      </c>
      <c r="L328" t="inlineStr">
        <is>
          <t>Chapel Hill : University of North Carolina Press, c1980.</t>
        </is>
      </c>
      <c r="M328" t="inlineStr">
        <is>
          <t>1980</t>
        </is>
      </c>
      <c r="O328" t="inlineStr">
        <is>
          <t>eng</t>
        </is>
      </c>
      <c r="P328" t="inlineStr">
        <is>
          <t>ncu</t>
        </is>
      </c>
      <c r="R328" t="inlineStr">
        <is>
          <t xml:space="preserve">BX </t>
        </is>
      </c>
      <c r="S328" t="n">
        <v>2</v>
      </c>
      <c r="T328" t="n">
        <v>2</v>
      </c>
      <c r="U328" t="inlineStr">
        <is>
          <t>2008-07-30</t>
        </is>
      </c>
      <c r="V328" t="inlineStr">
        <is>
          <t>2008-07-30</t>
        </is>
      </c>
      <c r="W328" t="inlineStr">
        <is>
          <t>1989-10-23</t>
        </is>
      </c>
      <c r="X328" t="inlineStr">
        <is>
          <t>1989-10-23</t>
        </is>
      </c>
      <c r="Y328" t="n">
        <v>416</v>
      </c>
      <c r="Z328" t="n">
        <v>337</v>
      </c>
      <c r="AA328" t="n">
        <v>340</v>
      </c>
      <c r="AB328" t="n">
        <v>2</v>
      </c>
      <c r="AC328" t="n">
        <v>2</v>
      </c>
      <c r="AD328" t="n">
        <v>32</v>
      </c>
      <c r="AE328" t="n">
        <v>32</v>
      </c>
      <c r="AF328" t="n">
        <v>13</v>
      </c>
      <c r="AG328" t="n">
        <v>13</v>
      </c>
      <c r="AH328" t="n">
        <v>9</v>
      </c>
      <c r="AI328" t="n">
        <v>9</v>
      </c>
      <c r="AJ328" t="n">
        <v>20</v>
      </c>
      <c r="AK328" t="n">
        <v>20</v>
      </c>
      <c r="AL328" t="n">
        <v>1</v>
      </c>
      <c r="AM328" t="n">
        <v>1</v>
      </c>
      <c r="AN328" t="n">
        <v>0</v>
      </c>
      <c r="AO328" t="n">
        <v>0</v>
      </c>
      <c r="AP328" t="inlineStr">
        <is>
          <t>No</t>
        </is>
      </c>
      <c r="AQ328" t="inlineStr">
        <is>
          <t>Yes</t>
        </is>
      </c>
      <c r="AR328">
        <f>HYPERLINK("http://catalog.hathitrust.org/Record/000035621","HathiTrust Record")</f>
        <v/>
      </c>
      <c r="AS328">
        <f>HYPERLINK("https://creighton-primo.hosted.exlibrisgroup.com/primo-explore/search?tab=default_tab&amp;search_scope=EVERYTHING&amp;vid=01CRU&amp;lang=en_US&amp;offset=0&amp;query=any,contains,991004816379702656","Catalog Record")</f>
        <v/>
      </c>
      <c r="AT328">
        <f>HYPERLINK("http://www.worldcat.org/oclc/5310541","WorldCat Record")</f>
        <v/>
      </c>
      <c r="AU328" t="inlineStr">
        <is>
          <t>465331:eng</t>
        </is>
      </c>
      <c r="AV328" t="inlineStr">
        <is>
          <t>5310541</t>
        </is>
      </c>
      <c r="AW328" t="inlineStr">
        <is>
          <t>991004816379702656</t>
        </is>
      </c>
      <c r="AX328" t="inlineStr">
        <is>
          <t>991004816379702656</t>
        </is>
      </c>
      <c r="AY328" t="inlineStr">
        <is>
          <t>2264351130002656</t>
        </is>
      </c>
      <c r="AZ328" t="inlineStr">
        <is>
          <t>BOOK</t>
        </is>
      </c>
      <c r="BB328" t="inlineStr">
        <is>
          <t>9780807814192</t>
        </is>
      </c>
      <c r="BC328" t="inlineStr">
        <is>
          <t>32285000001569</t>
        </is>
      </c>
      <c r="BD328" t="inlineStr">
        <is>
          <t>893229869</t>
        </is>
      </c>
    </row>
    <row r="329">
      <c r="A329" t="inlineStr">
        <is>
          <t>No</t>
        </is>
      </c>
      <c r="B329" t="inlineStr">
        <is>
          <t>BX1504 .K46 1993</t>
        </is>
      </c>
      <c r="C329" t="inlineStr">
        <is>
          <t>0                      BX 1504000K  46          1993</t>
        </is>
      </c>
      <c r="D329" t="inlineStr">
        <is>
          <t>The French disease : the Catholic Church and Irish radicalism, 1790-1800 / Dáire Keogh.</t>
        </is>
      </c>
      <c r="F329" t="inlineStr">
        <is>
          <t>No</t>
        </is>
      </c>
      <c r="G329" t="inlineStr">
        <is>
          <t>1</t>
        </is>
      </c>
      <c r="H329" t="inlineStr">
        <is>
          <t>No</t>
        </is>
      </c>
      <c r="I329" t="inlineStr">
        <is>
          <t>No</t>
        </is>
      </c>
      <c r="J329" t="inlineStr">
        <is>
          <t>0</t>
        </is>
      </c>
      <c r="K329" t="inlineStr">
        <is>
          <t>Keogh, Dáire.</t>
        </is>
      </c>
      <c r="L329" t="inlineStr">
        <is>
          <t>Dublin : Four Courts Press, c1993.</t>
        </is>
      </c>
      <c r="M329" t="inlineStr">
        <is>
          <t>1993</t>
        </is>
      </c>
      <c r="O329" t="inlineStr">
        <is>
          <t>eng</t>
        </is>
      </c>
      <c r="P329" t="inlineStr">
        <is>
          <t xml:space="preserve">ie </t>
        </is>
      </c>
      <c r="R329" t="inlineStr">
        <is>
          <t xml:space="preserve">BX </t>
        </is>
      </c>
      <c r="S329" t="n">
        <v>3</v>
      </c>
      <c r="T329" t="n">
        <v>3</v>
      </c>
      <c r="U329" t="inlineStr">
        <is>
          <t>2004-02-17</t>
        </is>
      </c>
      <c r="V329" t="inlineStr">
        <is>
          <t>2004-02-17</t>
        </is>
      </c>
      <c r="W329" t="inlineStr">
        <is>
          <t>1994-05-11</t>
        </is>
      </c>
      <c r="X329" t="inlineStr">
        <is>
          <t>1994-05-11</t>
        </is>
      </c>
      <c r="Y329" t="n">
        <v>181</v>
      </c>
      <c r="Z329" t="n">
        <v>118</v>
      </c>
      <c r="AA329" t="n">
        <v>121</v>
      </c>
      <c r="AB329" t="n">
        <v>1</v>
      </c>
      <c r="AC329" t="n">
        <v>1</v>
      </c>
      <c r="AD329" t="n">
        <v>14</v>
      </c>
      <c r="AE329" t="n">
        <v>14</v>
      </c>
      <c r="AF329" t="n">
        <v>4</v>
      </c>
      <c r="AG329" t="n">
        <v>4</v>
      </c>
      <c r="AH329" t="n">
        <v>5</v>
      </c>
      <c r="AI329" t="n">
        <v>5</v>
      </c>
      <c r="AJ329" t="n">
        <v>10</v>
      </c>
      <c r="AK329" t="n">
        <v>10</v>
      </c>
      <c r="AL329" t="n">
        <v>0</v>
      </c>
      <c r="AM329" t="n">
        <v>0</v>
      </c>
      <c r="AN329" t="n">
        <v>0</v>
      </c>
      <c r="AO329" t="n">
        <v>0</v>
      </c>
      <c r="AP329" t="inlineStr">
        <is>
          <t>No</t>
        </is>
      </c>
      <c r="AQ329" t="inlineStr">
        <is>
          <t>Yes</t>
        </is>
      </c>
      <c r="AR329">
        <f>HYPERLINK("http://catalog.hathitrust.org/Record/002810538","HathiTrust Record")</f>
        <v/>
      </c>
      <c r="AS329">
        <f>HYPERLINK("https://creighton-primo.hosted.exlibrisgroup.com/primo-explore/search?tab=default_tab&amp;search_scope=EVERYTHING&amp;vid=01CRU&amp;lang=en_US&amp;offset=0&amp;query=any,contains,991002314039702656","Catalog Record")</f>
        <v/>
      </c>
      <c r="AT329">
        <f>HYPERLINK("http://www.worldcat.org/oclc/30031988","WorldCat Record")</f>
        <v/>
      </c>
      <c r="AU329" t="inlineStr">
        <is>
          <t>836762396:eng</t>
        </is>
      </c>
      <c r="AV329" t="inlineStr">
        <is>
          <t>30031988</t>
        </is>
      </c>
      <c r="AW329" t="inlineStr">
        <is>
          <t>991002314039702656</t>
        </is>
      </c>
      <c r="AX329" t="inlineStr">
        <is>
          <t>991002314039702656</t>
        </is>
      </c>
      <c r="AY329" t="inlineStr">
        <is>
          <t>2270540440002656</t>
        </is>
      </c>
      <c r="AZ329" t="inlineStr">
        <is>
          <t>BOOK</t>
        </is>
      </c>
      <c r="BB329" t="inlineStr">
        <is>
          <t>9781851821327</t>
        </is>
      </c>
      <c r="BC329" t="inlineStr">
        <is>
          <t>32285001895878</t>
        </is>
      </c>
      <c r="BD329" t="inlineStr">
        <is>
          <t>893335159</t>
        </is>
      </c>
    </row>
    <row r="330">
      <c r="A330" t="inlineStr">
        <is>
          <t>No</t>
        </is>
      </c>
      <c r="B330" t="inlineStr">
        <is>
          <t>BX1504 .M6 1900</t>
        </is>
      </c>
      <c r="C330" t="inlineStr">
        <is>
          <t>0                      BX 1504000M  6           1900</t>
        </is>
      </c>
      <c r="D330" t="inlineStr">
        <is>
          <t>The Catholics of Ireland under the penal laws in the eighteenth century / by Cardinal Moran.</t>
        </is>
      </c>
      <c r="F330" t="inlineStr">
        <is>
          <t>No</t>
        </is>
      </c>
      <c r="G330" t="inlineStr">
        <is>
          <t>1</t>
        </is>
      </c>
      <c r="H330" t="inlineStr">
        <is>
          <t>No</t>
        </is>
      </c>
      <c r="I330" t="inlineStr">
        <is>
          <t>No</t>
        </is>
      </c>
      <c r="J330" t="inlineStr">
        <is>
          <t>0</t>
        </is>
      </c>
      <c r="K330" t="inlineStr">
        <is>
          <t>Moran, Patrick Francis, 1830-1911.</t>
        </is>
      </c>
      <c r="L330" t="inlineStr">
        <is>
          <t>London : Catholic Truth Society, 1900.</t>
        </is>
      </c>
      <c r="M330" t="inlineStr">
        <is>
          <t>1900</t>
        </is>
      </c>
      <c r="O330" t="inlineStr">
        <is>
          <t>eng</t>
        </is>
      </c>
      <c r="P330" t="inlineStr">
        <is>
          <t>enk</t>
        </is>
      </c>
      <c r="R330" t="inlineStr">
        <is>
          <t xml:space="preserve">BX </t>
        </is>
      </c>
      <c r="S330" t="n">
        <v>7</v>
      </c>
      <c r="T330" t="n">
        <v>7</v>
      </c>
      <c r="U330" t="inlineStr">
        <is>
          <t>2007-09-24</t>
        </is>
      </c>
      <c r="V330" t="inlineStr">
        <is>
          <t>2007-09-24</t>
        </is>
      </c>
      <c r="W330" t="inlineStr">
        <is>
          <t>1991-02-19</t>
        </is>
      </c>
      <c r="X330" t="inlineStr">
        <is>
          <t>1991-02-19</t>
        </is>
      </c>
      <c r="Y330" t="n">
        <v>39</v>
      </c>
      <c r="Z330" t="n">
        <v>26</v>
      </c>
      <c r="AA330" t="n">
        <v>115</v>
      </c>
      <c r="AB330" t="n">
        <v>1</v>
      </c>
      <c r="AC330" t="n">
        <v>2</v>
      </c>
      <c r="AD330" t="n">
        <v>8</v>
      </c>
      <c r="AE330" t="n">
        <v>13</v>
      </c>
      <c r="AF330" t="n">
        <v>3</v>
      </c>
      <c r="AG330" t="n">
        <v>4</v>
      </c>
      <c r="AH330" t="n">
        <v>3</v>
      </c>
      <c r="AI330" t="n">
        <v>5</v>
      </c>
      <c r="AJ330" t="n">
        <v>6</v>
      </c>
      <c r="AK330" t="n">
        <v>7</v>
      </c>
      <c r="AL330" t="n">
        <v>0</v>
      </c>
      <c r="AM330" t="n">
        <v>1</v>
      </c>
      <c r="AN330" t="n">
        <v>0</v>
      </c>
      <c r="AO330" t="n">
        <v>0</v>
      </c>
      <c r="AP330" t="inlineStr">
        <is>
          <t>Yes</t>
        </is>
      </c>
      <c r="AQ330" t="inlineStr">
        <is>
          <t>No</t>
        </is>
      </c>
      <c r="AR330">
        <f>HYPERLINK("http://catalog.hathitrust.org/Record/008682648","HathiTrust Record")</f>
        <v/>
      </c>
      <c r="AS330">
        <f>HYPERLINK("https://creighton-primo.hosted.exlibrisgroup.com/primo-explore/search?tab=default_tab&amp;search_scope=EVERYTHING&amp;vid=01CRU&amp;lang=en_US&amp;offset=0&amp;query=any,contains,991004634349702656","Catalog Record")</f>
        <v/>
      </c>
      <c r="AT330">
        <f>HYPERLINK("http://www.worldcat.org/oclc/4396296","WorldCat Record")</f>
        <v/>
      </c>
      <c r="AU330" t="inlineStr">
        <is>
          <t>14765339:eng</t>
        </is>
      </c>
      <c r="AV330" t="inlineStr">
        <is>
          <t>4396296</t>
        </is>
      </c>
      <c r="AW330" t="inlineStr">
        <is>
          <t>991004634349702656</t>
        </is>
      </c>
      <c r="AX330" t="inlineStr">
        <is>
          <t>991004634349702656</t>
        </is>
      </c>
      <c r="AY330" t="inlineStr">
        <is>
          <t>2263124850002656</t>
        </is>
      </c>
      <c r="AZ330" t="inlineStr">
        <is>
          <t>BOOK</t>
        </is>
      </c>
      <c r="BC330" t="inlineStr">
        <is>
          <t>32285000508639</t>
        </is>
      </c>
      <c r="BD330" t="inlineStr">
        <is>
          <t>893876348</t>
        </is>
      </c>
    </row>
    <row r="331">
      <c r="A331" t="inlineStr">
        <is>
          <t>No</t>
        </is>
      </c>
      <c r="B331" t="inlineStr">
        <is>
          <t>BX1504 .R45 1970</t>
        </is>
      </c>
      <c r="C331" t="inlineStr">
        <is>
          <t>0                      BX 1504000R  45          1970</t>
        </is>
      </c>
      <c r="D331" t="inlineStr">
        <is>
          <t>The Catholic emancipation crisis in Ireland, 1823-1829 / by James A. Reynolds.</t>
        </is>
      </c>
      <c r="F331" t="inlineStr">
        <is>
          <t>No</t>
        </is>
      </c>
      <c r="G331" t="inlineStr">
        <is>
          <t>1</t>
        </is>
      </c>
      <c r="H331" t="inlineStr">
        <is>
          <t>No</t>
        </is>
      </c>
      <c r="I331" t="inlineStr">
        <is>
          <t>No</t>
        </is>
      </c>
      <c r="J331" t="inlineStr">
        <is>
          <t>0</t>
        </is>
      </c>
      <c r="K331" t="inlineStr">
        <is>
          <t>Reynolds, James A.</t>
        </is>
      </c>
      <c r="L331" t="inlineStr">
        <is>
          <t>Westport, Conn., Greenwood Press [1970, c1954]</t>
        </is>
      </c>
      <c r="M331" t="inlineStr">
        <is>
          <t>1970</t>
        </is>
      </c>
      <c r="O331" t="inlineStr">
        <is>
          <t>eng</t>
        </is>
      </c>
      <c r="P331" t="inlineStr">
        <is>
          <t>ctu</t>
        </is>
      </c>
      <c r="R331" t="inlineStr">
        <is>
          <t xml:space="preserve">BX </t>
        </is>
      </c>
      <c r="S331" t="n">
        <v>2</v>
      </c>
      <c r="T331" t="n">
        <v>2</v>
      </c>
      <c r="U331" t="inlineStr">
        <is>
          <t>2001-12-10</t>
        </is>
      </c>
      <c r="V331" t="inlineStr">
        <is>
          <t>2001-12-10</t>
        </is>
      </c>
      <c r="W331" t="inlineStr">
        <is>
          <t>1990-04-03</t>
        </is>
      </c>
      <c r="X331" t="inlineStr">
        <is>
          <t>1990-04-03</t>
        </is>
      </c>
      <c r="Y331" t="n">
        <v>174</v>
      </c>
      <c r="Z331" t="n">
        <v>143</v>
      </c>
      <c r="AA331" t="n">
        <v>360</v>
      </c>
      <c r="AB331" t="n">
        <v>1</v>
      </c>
      <c r="AC331" t="n">
        <v>2</v>
      </c>
      <c r="AD331" t="n">
        <v>5</v>
      </c>
      <c r="AE331" t="n">
        <v>29</v>
      </c>
      <c r="AF331" t="n">
        <v>1</v>
      </c>
      <c r="AG331" t="n">
        <v>8</v>
      </c>
      <c r="AH331" t="n">
        <v>2</v>
      </c>
      <c r="AI331" t="n">
        <v>9</v>
      </c>
      <c r="AJ331" t="n">
        <v>2</v>
      </c>
      <c r="AK331" t="n">
        <v>20</v>
      </c>
      <c r="AL331" t="n">
        <v>0</v>
      </c>
      <c r="AM331" t="n">
        <v>1</v>
      </c>
      <c r="AN331" t="n">
        <v>0</v>
      </c>
      <c r="AO331" t="n">
        <v>0</v>
      </c>
      <c r="AP331" t="inlineStr">
        <is>
          <t>No</t>
        </is>
      </c>
      <c r="AQ331" t="inlineStr">
        <is>
          <t>No</t>
        </is>
      </c>
      <c r="AS331">
        <f>HYPERLINK("https://creighton-primo.hosted.exlibrisgroup.com/primo-explore/search?tab=default_tab&amp;search_scope=EVERYTHING&amp;vid=01CRU&amp;lang=en_US&amp;offset=0&amp;query=any,contains,991000678899702656","Catalog Record")</f>
        <v/>
      </c>
      <c r="AT331">
        <f>HYPERLINK("http://www.worldcat.org/oclc/120894","WorldCat Record")</f>
        <v/>
      </c>
      <c r="AU331" t="inlineStr">
        <is>
          <t>1242202:eng</t>
        </is>
      </c>
      <c r="AV331" t="inlineStr">
        <is>
          <t>120894</t>
        </is>
      </c>
      <c r="AW331" t="inlineStr">
        <is>
          <t>991000678899702656</t>
        </is>
      </c>
      <c r="AX331" t="inlineStr">
        <is>
          <t>991000678899702656</t>
        </is>
      </c>
      <c r="AY331" t="inlineStr">
        <is>
          <t>2261922120002656</t>
        </is>
      </c>
      <c r="AZ331" t="inlineStr">
        <is>
          <t>BOOK</t>
        </is>
      </c>
      <c r="BB331" t="inlineStr">
        <is>
          <t>9780837131412</t>
        </is>
      </c>
      <c r="BC331" t="inlineStr">
        <is>
          <t>32285000109214</t>
        </is>
      </c>
      <c r="BD331" t="inlineStr">
        <is>
          <t>893784437</t>
        </is>
      </c>
    </row>
    <row r="332">
      <c r="A332" t="inlineStr">
        <is>
          <t>No</t>
        </is>
      </c>
      <c r="B332" t="inlineStr">
        <is>
          <t>BX1504.U57 E44 2001</t>
        </is>
      </c>
      <c r="C332" t="inlineStr">
        <is>
          <t>0                      BX 1504000U  57                 E  44          2001</t>
        </is>
      </c>
      <c r="D332" t="inlineStr">
        <is>
          <t>The Catholics of Ulster : a history / Marianne Elliott.</t>
        </is>
      </c>
      <c r="F332" t="inlineStr">
        <is>
          <t>No</t>
        </is>
      </c>
      <c r="G332" t="inlineStr">
        <is>
          <t>1</t>
        </is>
      </c>
      <c r="H332" t="inlineStr">
        <is>
          <t>No</t>
        </is>
      </c>
      <c r="I332" t="inlineStr">
        <is>
          <t>No</t>
        </is>
      </c>
      <c r="J332" t="inlineStr">
        <is>
          <t>0</t>
        </is>
      </c>
      <c r="K332" t="inlineStr">
        <is>
          <t>Elliott, Marianne, 1948-</t>
        </is>
      </c>
      <c r="L332" t="inlineStr">
        <is>
          <t>New York : Basic Books, c2001.</t>
        </is>
      </c>
      <c r="M332" t="inlineStr">
        <is>
          <t>2001</t>
        </is>
      </c>
      <c r="O332" t="inlineStr">
        <is>
          <t>eng</t>
        </is>
      </c>
      <c r="P332" t="inlineStr">
        <is>
          <t>nyu</t>
        </is>
      </c>
      <c r="R332" t="inlineStr">
        <is>
          <t xml:space="preserve">BX </t>
        </is>
      </c>
      <c r="S332" t="n">
        <v>5</v>
      </c>
      <c r="T332" t="n">
        <v>5</v>
      </c>
      <c r="U332" t="inlineStr">
        <is>
          <t>2004-02-23</t>
        </is>
      </c>
      <c r="V332" t="inlineStr">
        <is>
          <t>2004-02-23</t>
        </is>
      </c>
      <c r="W332" t="inlineStr">
        <is>
          <t>2002-04-18</t>
        </is>
      </c>
      <c r="X332" t="inlineStr">
        <is>
          <t>2002-04-18</t>
        </is>
      </c>
      <c r="Y332" t="n">
        <v>583</v>
      </c>
      <c r="Z332" t="n">
        <v>525</v>
      </c>
      <c r="AA332" t="n">
        <v>577</v>
      </c>
      <c r="AB332" t="n">
        <v>4</v>
      </c>
      <c r="AC332" t="n">
        <v>5</v>
      </c>
      <c r="AD332" t="n">
        <v>32</v>
      </c>
      <c r="AE332" t="n">
        <v>35</v>
      </c>
      <c r="AF332" t="n">
        <v>14</v>
      </c>
      <c r="AG332" t="n">
        <v>14</v>
      </c>
      <c r="AH332" t="n">
        <v>7</v>
      </c>
      <c r="AI332" t="n">
        <v>9</v>
      </c>
      <c r="AJ332" t="n">
        <v>17</v>
      </c>
      <c r="AK332" t="n">
        <v>18</v>
      </c>
      <c r="AL332" t="n">
        <v>3</v>
      </c>
      <c r="AM332" t="n">
        <v>4</v>
      </c>
      <c r="AN332" t="n">
        <v>0</v>
      </c>
      <c r="AO332" t="n">
        <v>0</v>
      </c>
      <c r="AP332" t="inlineStr">
        <is>
          <t>No</t>
        </is>
      </c>
      <c r="AQ332" t="inlineStr">
        <is>
          <t>Yes</t>
        </is>
      </c>
      <c r="AR332">
        <f>HYPERLINK("http://catalog.hathitrust.org/Record/007141226","HathiTrust Record")</f>
        <v/>
      </c>
      <c r="AS332">
        <f>HYPERLINK("https://creighton-primo.hosted.exlibrisgroup.com/primo-explore/search?tab=default_tab&amp;search_scope=EVERYTHING&amp;vid=01CRU&amp;lang=en_US&amp;offset=0&amp;query=any,contains,991003786899702656","Catalog Record")</f>
        <v/>
      </c>
      <c r="AT332">
        <f>HYPERLINK("http://www.worldcat.org/oclc/45668874","WorldCat Record")</f>
        <v/>
      </c>
      <c r="AU332" t="inlineStr">
        <is>
          <t>6303645:eng</t>
        </is>
      </c>
      <c r="AV332" t="inlineStr">
        <is>
          <t>45668874</t>
        </is>
      </c>
      <c r="AW332" t="inlineStr">
        <is>
          <t>991003786899702656</t>
        </is>
      </c>
      <c r="AX332" t="inlineStr">
        <is>
          <t>991003786899702656</t>
        </is>
      </c>
      <c r="AY332" t="inlineStr">
        <is>
          <t>2271643550002656</t>
        </is>
      </c>
      <c r="AZ332" t="inlineStr">
        <is>
          <t>BOOK</t>
        </is>
      </c>
      <c r="BB332" t="inlineStr">
        <is>
          <t>9780465019038</t>
        </is>
      </c>
      <c r="BC332" t="inlineStr">
        <is>
          <t>32285004481403</t>
        </is>
      </c>
      <c r="BD332" t="inlineStr">
        <is>
          <t>893336946</t>
        </is>
      </c>
    </row>
    <row r="333">
      <c r="A333" t="inlineStr">
        <is>
          <t>No</t>
        </is>
      </c>
      <c r="B333" t="inlineStr">
        <is>
          <t>BX1505 .B55 1953</t>
        </is>
      </c>
      <c r="C333" t="inlineStr">
        <is>
          <t>0                      BX 1505000B  55          1953</t>
        </is>
      </c>
      <c r="D333" t="inlineStr">
        <is>
          <t>The Irish and Catholic power : an American interpretation.</t>
        </is>
      </c>
      <c r="F333" t="inlineStr">
        <is>
          <t>No</t>
        </is>
      </c>
      <c r="G333" t="inlineStr">
        <is>
          <t>1</t>
        </is>
      </c>
      <c r="H333" t="inlineStr">
        <is>
          <t>No</t>
        </is>
      </c>
      <c r="I333" t="inlineStr">
        <is>
          <t>No</t>
        </is>
      </c>
      <c r="J333" t="inlineStr">
        <is>
          <t>0</t>
        </is>
      </c>
      <c r="K333" t="inlineStr">
        <is>
          <t>Blanshard, Paul, 1892-1980.</t>
        </is>
      </c>
      <c r="L333" t="inlineStr">
        <is>
          <t>Boston : Beacon Press, [1953]</t>
        </is>
      </c>
      <c r="M333" t="inlineStr">
        <is>
          <t>1953</t>
        </is>
      </c>
      <c r="O333" t="inlineStr">
        <is>
          <t>eng</t>
        </is>
      </c>
      <c r="P333" t="inlineStr">
        <is>
          <t>mau</t>
        </is>
      </c>
      <c r="Q333" t="inlineStr">
        <is>
          <t>Beacon studies in church and state</t>
        </is>
      </c>
      <c r="R333" t="inlineStr">
        <is>
          <t xml:space="preserve">BX </t>
        </is>
      </c>
      <c r="S333" t="n">
        <v>5</v>
      </c>
      <c r="T333" t="n">
        <v>5</v>
      </c>
      <c r="U333" t="inlineStr">
        <is>
          <t>2007-11-13</t>
        </is>
      </c>
      <c r="V333" t="inlineStr">
        <is>
          <t>2007-11-13</t>
        </is>
      </c>
      <c r="W333" t="inlineStr">
        <is>
          <t>1991-02-19</t>
        </is>
      </c>
      <c r="X333" t="inlineStr">
        <is>
          <t>1991-02-19</t>
        </is>
      </c>
      <c r="Y333" t="n">
        <v>605</v>
      </c>
      <c r="Z333" t="n">
        <v>557</v>
      </c>
      <c r="AA333" t="n">
        <v>654</v>
      </c>
      <c r="AB333" t="n">
        <v>5</v>
      </c>
      <c r="AC333" t="n">
        <v>6</v>
      </c>
      <c r="AD333" t="n">
        <v>33</v>
      </c>
      <c r="AE333" t="n">
        <v>39</v>
      </c>
      <c r="AF333" t="n">
        <v>15</v>
      </c>
      <c r="AG333" t="n">
        <v>16</v>
      </c>
      <c r="AH333" t="n">
        <v>8</v>
      </c>
      <c r="AI333" t="n">
        <v>9</v>
      </c>
      <c r="AJ333" t="n">
        <v>15</v>
      </c>
      <c r="AK333" t="n">
        <v>19</v>
      </c>
      <c r="AL333" t="n">
        <v>3</v>
      </c>
      <c r="AM333" t="n">
        <v>4</v>
      </c>
      <c r="AN333" t="n">
        <v>1</v>
      </c>
      <c r="AO333" t="n">
        <v>1</v>
      </c>
      <c r="AP333" t="inlineStr">
        <is>
          <t>No</t>
        </is>
      </c>
      <c r="AQ333" t="inlineStr">
        <is>
          <t>Yes</t>
        </is>
      </c>
      <c r="AR333">
        <f>HYPERLINK("http://catalog.hathitrust.org/Record/001416125","HathiTrust Record")</f>
        <v/>
      </c>
      <c r="AS333">
        <f>HYPERLINK("https://creighton-primo.hosted.exlibrisgroup.com/primo-explore/search?tab=default_tab&amp;search_scope=EVERYTHING&amp;vid=01CRU&amp;lang=en_US&amp;offset=0&amp;query=any,contains,991003204979702656","Catalog Record")</f>
        <v/>
      </c>
      <c r="AT333">
        <f>HYPERLINK("http://www.worldcat.org/oclc/730372","WorldCat Record")</f>
        <v/>
      </c>
      <c r="AU333" t="inlineStr">
        <is>
          <t>233133354:eng</t>
        </is>
      </c>
      <c r="AV333" t="inlineStr">
        <is>
          <t>730372</t>
        </is>
      </c>
      <c r="AW333" t="inlineStr">
        <is>
          <t>991003204979702656</t>
        </is>
      </c>
      <c r="AX333" t="inlineStr">
        <is>
          <t>991003204979702656</t>
        </is>
      </c>
      <c r="AY333" t="inlineStr">
        <is>
          <t>2270426890002656</t>
        </is>
      </c>
      <c r="AZ333" t="inlineStr">
        <is>
          <t>BOOK</t>
        </is>
      </c>
      <c r="BC333" t="inlineStr">
        <is>
          <t>32285000508647</t>
        </is>
      </c>
      <c r="BD333" t="inlineStr">
        <is>
          <t>893348428</t>
        </is>
      </c>
    </row>
    <row r="334">
      <c r="A334" t="inlineStr">
        <is>
          <t>No</t>
        </is>
      </c>
      <c r="B334" t="inlineStr">
        <is>
          <t>BX1505 .K46 1995</t>
        </is>
      </c>
      <c r="C334" t="inlineStr">
        <is>
          <t>0                      BX 1505000K  46          1995</t>
        </is>
      </c>
      <c r="D334" t="inlineStr">
        <is>
          <t>Ireland and the Vatican : the politics and diplomacy of church-state relations, 1922-1960 / Dermot Keogh.</t>
        </is>
      </c>
      <c r="F334" t="inlineStr">
        <is>
          <t>No</t>
        </is>
      </c>
      <c r="G334" t="inlineStr">
        <is>
          <t>1</t>
        </is>
      </c>
      <c r="H334" t="inlineStr">
        <is>
          <t>No</t>
        </is>
      </c>
      <c r="I334" t="inlineStr">
        <is>
          <t>No</t>
        </is>
      </c>
      <c r="J334" t="inlineStr">
        <is>
          <t>0</t>
        </is>
      </c>
      <c r="K334" t="inlineStr">
        <is>
          <t>Keogh, Dermot.</t>
        </is>
      </c>
      <c r="L334" t="inlineStr">
        <is>
          <t>Cork : Cork University Press, 1995.</t>
        </is>
      </c>
      <c r="M334" t="inlineStr">
        <is>
          <t>1995</t>
        </is>
      </c>
      <c r="O334" t="inlineStr">
        <is>
          <t>eng</t>
        </is>
      </c>
      <c r="P334" t="inlineStr">
        <is>
          <t xml:space="preserve">ie </t>
        </is>
      </c>
      <c r="R334" t="inlineStr">
        <is>
          <t xml:space="preserve">BX </t>
        </is>
      </c>
      <c r="S334" t="n">
        <v>4</v>
      </c>
      <c r="T334" t="n">
        <v>4</v>
      </c>
      <c r="U334" t="inlineStr">
        <is>
          <t>2004-02-23</t>
        </is>
      </c>
      <c r="V334" t="inlineStr">
        <is>
          <t>2004-02-23</t>
        </is>
      </c>
      <c r="W334" t="inlineStr">
        <is>
          <t>1996-03-06</t>
        </is>
      </c>
      <c r="X334" t="inlineStr">
        <is>
          <t>1996-03-06</t>
        </is>
      </c>
      <c r="Y334" t="n">
        <v>220</v>
      </c>
      <c r="Z334" t="n">
        <v>137</v>
      </c>
      <c r="AA334" t="n">
        <v>143</v>
      </c>
      <c r="AB334" t="n">
        <v>1</v>
      </c>
      <c r="AC334" t="n">
        <v>1</v>
      </c>
      <c r="AD334" t="n">
        <v>14</v>
      </c>
      <c r="AE334" t="n">
        <v>14</v>
      </c>
      <c r="AF334" t="n">
        <v>4</v>
      </c>
      <c r="AG334" t="n">
        <v>4</v>
      </c>
      <c r="AH334" t="n">
        <v>5</v>
      </c>
      <c r="AI334" t="n">
        <v>5</v>
      </c>
      <c r="AJ334" t="n">
        <v>11</v>
      </c>
      <c r="AK334" t="n">
        <v>11</v>
      </c>
      <c r="AL334" t="n">
        <v>0</v>
      </c>
      <c r="AM334" t="n">
        <v>0</v>
      </c>
      <c r="AN334" t="n">
        <v>0</v>
      </c>
      <c r="AO334" t="n">
        <v>0</v>
      </c>
      <c r="AP334" t="inlineStr">
        <is>
          <t>No</t>
        </is>
      </c>
      <c r="AQ334" t="inlineStr">
        <is>
          <t>No</t>
        </is>
      </c>
      <c r="AS334">
        <f>HYPERLINK("https://creighton-primo.hosted.exlibrisgroup.com/primo-explore/search?tab=default_tab&amp;search_scope=EVERYTHING&amp;vid=01CRU&amp;lang=en_US&amp;offset=0&amp;query=any,contains,991002497659702656","Catalog Record")</f>
        <v/>
      </c>
      <c r="AT334">
        <f>HYPERLINK("http://www.worldcat.org/oclc/32507809","WorldCat Record")</f>
        <v/>
      </c>
      <c r="AU334" t="inlineStr">
        <is>
          <t>836924268:eng</t>
        </is>
      </c>
      <c r="AV334" t="inlineStr">
        <is>
          <t>32507809</t>
        </is>
      </c>
      <c r="AW334" t="inlineStr">
        <is>
          <t>991002497659702656</t>
        </is>
      </c>
      <c r="AX334" t="inlineStr">
        <is>
          <t>991002497659702656</t>
        </is>
      </c>
      <c r="AY334" t="inlineStr">
        <is>
          <t>2260015870002656</t>
        </is>
      </c>
      <c r="AZ334" t="inlineStr">
        <is>
          <t>BOOK</t>
        </is>
      </c>
      <c r="BB334" t="inlineStr">
        <is>
          <t>9780902561830</t>
        </is>
      </c>
      <c r="BC334" t="inlineStr">
        <is>
          <t>32285002140332</t>
        </is>
      </c>
      <c r="BD334" t="inlineStr">
        <is>
          <t>893716526</t>
        </is>
      </c>
    </row>
    <row r="335">
      <c r="A335" t="inlineStr">
        <is>
          <t>No</t>
        </is>
      </c>
      <c r="B335" t="inlineStr">
        <is>
          <t>BX1505 .L37</t>
        </is>
      </c>
      <c r="C335" t="inlineStr">
        <is>
          <t>0                      BX 1505000L  37</t>
        </is>
      </c>
      <c r="D335" t="inlineStr">
        <is>
          <t>The Roman Catholic church and the plan of campaign in Ireland 1886-1888 / Emmet Larkin.</t>
        </is>
      </c>
      <c r="F335" t="inlineStr">
        <is>
          <t>No</t>
        </is>
      </c>
      <c r="G335" t="inlineStr">
        <is>
          <t>1</t>
        </is>
      </c>
      <c r="H335" t="inlineStr">
        <is>
          <t>No</t>
        </is>
      </c>
      <c r="I335" t="inlineStr">
        <is>
          <t>No</t>
        </is>
      </c>
      <c r="J335" t="inlineStr">
        <is>
          <t>0</t>
        </is>
      </c>
      <c r="K335" t="inlineStr">
        <is>
          <t>Larkin, Emmet J., 1927-</t>
        </is>
      </c>
      <c r="L335" t="inlineStr">
        <is>
          <t>Cork : Cork University Press, 1978.</t>
        </is>
      </c>
      <c r="M335" t="inlineStr">
        <is>
          <t>1978</t>
        </is>
      </c>
      <c r="O335" t="inlineStr">
        <is>
          <t>eng</t>
        </is>
      </c>
      <c r="P335" t="inlineStr">
        <is>
          <t xml:space="preserve">ie </t>
        </is>
      </c>
      <c r="R335" t="inlineStr">
        <is>
          <t xml:space="preserve">BX </t>
        </is>
      </c>
      <c r="S335" t="n">
        <v>1</v>
      </c>
      <c r="T335" t="n">
        <v>1</v>
      </c>
      <c r="U335" t="inlineStr">
        <is>
          <t>2008-07-30</t>
        </is>
      </c>
      <c r="V335" t="inlineStr">
        <is>
          <t>2008-07-30</t>
        </is>
      </c>
      <c r="W335" t="inlineStr">
        <is>
          <t>1990-04-03</t>
        </is>
      </c>
      <c r="X335" t="inlineStr">
        <is>
          <t>1990-04-03</t>
        </is>
      </c>
      <c r="Y335" t="n">
        <v>148</v>
      </c>
      <c r="Z335" t="n">
        <v>90</v>
      </c>
      <c r="AA335" t="n">
        <v>91</v>
      </c>
      <c r="AB335" t="n">
        <v>1</v>
      </c>
      <c r="AC335" t="n">
        <v>1</v>
      </c>
      <c r="AD335" t="n">
        <v>8</v>
      </c>
      <c r="AE335" t="n">
        <v>8</v>
      </c>
      <c r="AF335" t="n">
        <v>1</v>
      </c>
      <c r="AG335" t="n">
        <v>1</v>
      </c>
      <c r="AH335" t="n">
        <v>4</v>
      </c>
      <c r="AI335" t="n">
        <v>4</v>
      </c>
      <c r="AJ335" t="n">
        <v>6</v>
      </c>
      <c r="AK335" t="n">
        <v>6</v>
      </c>
      <c r="AL335" t="n">
        <v>0</v>
      </c>
      <c r="AM335" t="n">
        <v>0</v>
      </c>
      <c r="AN335" t="n">
        <v>0</v>
      </c>
      <c r="AO335" t="n">
        <v>0</v>
      </c>
      <c r="AP335" t="inlineStr">
        <is>
          <t>No</t>
        </is>
      </c>
      <c r="AQ335" t="inlineStr">
        <is>
          <t>Yes</t>
        </is>
      </c>
      <c r="AR335">
        <f>HYPERLINK("http://catalog.hathitrust.org/Record/000739156","HathiTrust Record")</f>
        <v/>
      </c>
      <c r="AS335">
        <f>HYPERLINK("https://creighton-primo.hosted.exlibrisgroup.com/primo-explore/search?tab=default_tab&amp;search_scope=EVERYTHING&amp;vid=01CRU&amp;lang=en_US&amp;offset=0&amp;query=any,contains,991004909779702656","Catalog Record")</f>
        <v/>
      </c>
      <c r="AT335">
        <f>HYPERLINK("http://www.worldcat.org/oclc/5988334","WorldCat Record")</f>
        <v/>
      </c>
      <c r="AU335" t="inlineStr">
        <is>
          <t>20964699:eng</t>
        </is>
      </c>
      <c r="AV335" t="inlineStr">
        <is>
          <t>5988334</t>
        </is>
      </c>
      <c r="AW335" t="inlineStr">
        <is>
          <t>991004909779702656</t>
        </is>
      </c>
      <c r="AX335" t="inlineStr">
        <is>
          <t>991004909779702656</t>
        </is>
      </c>
      <c r="AY335" t="inlineStr">
        <is>
          <t>2266462490002656</t>
        </is>
      </c>
      <c r="AZ335" t="inlineStr">
        <is>
          <t>BOOK</t>
        </is>
      </c>
      <c r="BB335" t="inlineStr">
        <is>
          <t>9780902561120</t>
        </is>
      </c>
      <c r="BC335" t="inlineStr">
        <is>
          <t>32285000109222</t>
        </is>
      </c>
      <c r="BD335" t="inlineStr">
        <is>
          <t>893901882</t>
        </is>
      </c>
    </row>
    <row r="336">
      <c r="A336" t="inlineStr">
        <is>
          <t>No</t>
        </is>
      </c>
      <c r="B336" t="inlineStr">
        <is>
          <t>BX1505 .M54 1973b</t>
        </is>
      </c>
      <c r="C336" t="inlineStr">
        <is>
          <t>0                      BX 1505000M  54          1973b</t>
        </is>
      </c>
      <c r="D336" t="inlineStr">
        <is>
          <t>Church, state, and nation in Ireland, 1898-1921 / [by] David W. Miller.</t>
        </is>
      </c>
      <c r="F336" t="inlineStr">
        <is>
          <t>No</t>
        </is>
      </c>
      <c r="G336" t="inlineStr">
        <is>
          <t>1</t>
        </is>
      </c>
      <c r="H336" t="inlineStr">
        <is>
          <t>No</t>
        </is>
      </c>
      <c r="I336" t="inlineStr">
        <is>
          <t>No</t>
        </is>
      </c>
      <c r="J336" t="inlineStr">
        <is>
          <t>0</t>
        </is>
      </c>
      <c r="K336" t="inlineStr">
        <is>
          <t>Miller, David W., 1940-2019.</t>
        </is>
      </c>
      <c r="L336" t="inlineStr">
        <is>
          <t>[Dublin] Gill and Macmillan [1973]</t>
        </is>
      </c>
      <c r="M336" t="inlineStr">
        <is>
          <t>1973</t>
        </is>
      </c>
      <c r="O336" t="inlineStr">
        <is>
          <t>eng</t>
        </is>
      </c>
      <c r="P336" t="inlineStr">
        <is>
          <t xml:space="preserve">ie </t>
        </is>
      </c>
      <c r="R336" t="inlineStr">
        <is>
          <t xml:space="preserve">BX </t>
        </is>
      </c>
      <c r="S336" t="n">
        <v>2</v>
      </c>
      <c r="T336" t="n">
        <v>2</v>
      </c>
      <c r="U336" t="inlineStr">
        <is>
          <t>2002-11-06</t>
        </is>
      </c>
      <c r="V336" t="inlineStr">
        <is>
          <t>2002-11-06</t>
        </is>
      </c>
      <c r="W336" t="inlineStr">
        <is>
          <t>1991-02-19</t>
        </is>
      </c>
      <c r="X336" t="inlineStr">
        <is>
          <t>1991-02-19</t>
        </is>
      </c>
      <c r="Y336" t="n">
        <v>190</v>
      </c>
      <c r="Z336" t="n">
        <v>81</v>
      </c>
      <c r="AA336" t="n">
        <v>562</v>
      </c>
      <c r="AB336" t="n">
        <v>2</v>
      </c>
      <c r="AC336" t="n">
        <v>3</v>
      </c>
      <c r="AD336" t="n">
        <v>3</v>
      </c>
      <c r="AE336" t="n">
        <v>32</v>
      </c>
      <c r="AF336" t="n">
        <v>0</v>
      </c>
      <c r="AG336" t="n">
        <v>13</v>
      </c>
      <c r="AH336" t="n">
        <v>1</v>
      </c>
      <c r="AI336" t="n">
        <v>6</v>
      </c>
      <c r="AJ336" t="n">
        <v>2</v>
      </c>
      <c r="AK336" t="n">
        <v>19</v>
      </c>
      <c r="AL336" t="n">
        <v>1</v>
      </c>
      <c r="AM336" t="n">
        <v>2</v>
      </c>
      <c r="AN336" t="n">
        <v>0</v>
      </c>
      <c r="AO336" t="n">
        <v>0</v>
      </c>
      <c r="AP336" t="inlineStr">
        <is>
          <t>No</t>
        </is>
      </c>
      <c r="AQ336" t="inlineStr">
        <is>
          <t>No</t>
        </is>
      </c>
      <c r="AS336">
        <f>HYPERLINK("https://creighton-primo.hosted.exlibrisgroup.com/primo-explore/search?tab=default_tab&amp;search_scope=EVERYTHING&amp;vid=01CRU&amp;lang=en_US&amp;offset=0&amp;query=any,contains,991003305999702656","Catalog Record")</f>
        <v/>
      </c>
      <c r="AT336">
        <f>HYPERLINK("http://www.worldcat.org/oclc/829546","WorldCat Record")</f>
        <v/>
      </c>
      <c r="AU336" t="inlineStr">
        <is>
          <t>487839:eng</t>
        </is>
      </c>
      <c r="AV336" t="inlineStr">
        <is>
          <t>829546</t>
        </is>
      </c>
      <c r="AW336" t="inlineStr">
        <is>
          <t>991003305999702656</t>
        </is>
      </c>
      <c r="AX336" t="inlineStr">
        <is>
          <t>991003305999702656</t>
        </is>
      </c>
      <c r="AY336" t="inlineStr">
        <is>
          <t>2269694550002656</t>
        </is>
      </c>
      <c r="AZ336" t="inlineStr">
        <is>
          <t>BOOK</t>
        </is>
      </c>
      <c r="BB336" t="inlineStr">
        <is>
          <t>9780717106455</t>
        </is>
      </c>
      <c r="BC336" t="inlineStr">
        <is>
          <t>32285000508662</t>
        </is>
      </c>
      <c r="BD336" t="inlineStr">
        <is>
          <t>893617209</t>
        </is>
      </c>
    </row>
    <row r="337">
      <c r="A337" t="inlineStr">
        <is>
          <t>No</t>
        </is>
      </c>
      <c r="B337" t="inlineStr">
        <is>
          <t>BX1505.2 .F4 1968</t>
        </is>
      </c>
      <c r="C337" t="inlineStr">
        <is>
          <t>0                      BX 1505200F  4           1968</t>
        </is>
      </c>
      <c r="D337" t="inlineStr">
        <is>
          <t>The changing face of Catholic Ireland / Foreword by Karl Rahner.</t>
        </is>
      </c>
      <c r="F337" t="inlineStr">
        <is>
          <t>No</t>
        </is>
      </c>
      <c r="G337" t="inlineStr">
        <is>
          <t>1</t>
        </is>
      </c>
      <c r="H337" t="inlineStr">
        <is>
          <t>No</t>
        </is>
      </c>
      <c r="I337" t="inlineStr">
        <is>
          <t>No</t>
        </is>
      </c>
      <c r="J337" t="inlineStr">
        <is>
          <t>0</t>
        </is>
      </c>
      <c r="K337" t="inlineStr">
        <is>
          <t>Fennell, Desmond, compiler.</t>
        </is>
      </c>
      <c r="L337" t="inlineStr">
        <is>
          <t>Washington : Corpus Books, [1968]</t>
        </is>
      </c>
      <c r="M337" t="inlineStr">
        <is>
          <t>1968</t>
        </is>
      </c>
      <c r="O337" t="inlineStr">
        <is>
          <t>eng</t>
        </is>
      </c>
      <c r="P337" t="inlineStr">
        <is>
          <t>dcu</t>
        </is>
      </c>
      <c r="R337" t="inlineStr">
        <is>
          <t xml:space="preserve">BX </t>
        </is>
      </c>
      <c r="S337" t="n">
        <v>5</v>
      </c>
      <c r="T337" t="n">
        <v>5</v>
      </c>
      <c r="U337" t="inlineStr">
        <is>
          <t>2008-08-11</t>
        </is>
      </c>
      <c r="V337" t="inlineStr">
        <is>
          <t>2008-08-11</t>
        </is>
      </c>
      <c r="W337" t="inlineStr">
        <is>
          <t>1991-02-19</t>
        </is>
      </c>
      <c r="X337" t="inlineStr">
        <is>
          <t>1991-02-19</t>
        </is>
      </c>
      <c r="Y337" t="n">
        <v>206</v>
      </c>
      <c r="Z337" t="n">
        <v>195</v>
      </c>
      <c r="AA337" t="n">
        <v>245</v>
      </c>
      <c r="AB337" t="n">
        <v>2</v>
      </c>
      <c r="AC337" t="n">
        <v>2</v>
      </c>
      <c r="AD337" t="n">
        <v>21</v>
      </c>
      <c r="AE337" t="n">
        <v>22</v>
      </c>
      <c r="AF337" t="n">
        <v>7</v>
      </c>
      <c r="AG337" t="n">
        <v>8</v>
      </c>
      <c r="AH337" t="n">
        <v>7</v>
      </c>
      <c r="AI337" t="n">
        <v>7</v>
      </c>
      <c r="AJ337" t="n">
        <v>13</v>
      </c>
      <c r="AK337" t="n">
        <v>13</v>
      </c>
      <c r="AL337" t="n">
        <v>1</v>
      </c>
      <c r="AM337" t="n">
        <v>1</v>
      </c>
      <c r="AN337" t="n">
        <v>0</v>
      </c>
      <c r="AO337" t="n">
        <v>0</v>
      </c>
      <c r="AP337" t="inlineStr">
        <is>
          <t>No</t>
        </is>
      </c>
      <c r="AQ337" t="inlineStr">
        <is>
          <t>No</t>
        </is>
      </c>
      <c r="AS337">
        <f>HYPERLINK("https://creighton-primo.hosted.exlibrisgroup.com/primo-explore/search?tab=default_tab&amp;search_scope=EVERYTHING&amp;vid=01CRU&amp;lang=en_US&amp;offset=0&amp;query=any,contains,991000964469702656","Catalog Record")</f>
        <v/>
      </c>
      <c r="AT337">
        <f>HYPERLINK("http://www.worldcat.org/oclc/170153","WorldCat Record")</f>
        <v/>
      </c>
      <c r="AU337" t="inlineStr">
        <is>
          <t>1294008:eng</t>
        </is>
      </c>
      <c r="AV337" t="inlineStr">
        <is>
          <t>170153</t>
        </is>
      </c>
      <c r="AW337" t="inlineStr">
        <is>
          <t>991000964469702656</t>
        </is>
      </c>
      <c r="AX337" t="inlineStr">
        <is>
          <t>991000964469702656</t>
        </is>
      </c>
      <c r="AY337" t="inlineStr">
        <is>
          <t>2269455010002656</t>
        </is>
      </c>
      <c r="AZ337" t="inlineStr">
        <is>
          <t>BOOK</t>
        </is>
      </c>
      <c r="BC337" t="inlineStr">
        <is>
          <t>32285000508670</t>
        </is>
      </c>
      <c r="BD337" t="inlineStr">
        <is>
          <t>893231583</t>
        </is>
      </c>
    </row>
    <row r="338">
      <c r="A338" t="inlineStr">
        <is>
          <t>No</t>
        </is>
      </c>
      <c r="B338" t="inlineStr">
        <is>
          <t>BX1505.2 .F85 2002</t>
        </is>
      </c>
      <c r="C338" t="inlineStr">
        <is>
          <t>0                      BX 1505200F  85          2002</t>
        </is>
      </c>
      <c r="D338" t="inlineStr">
        <is>
          <t>Irish Catholicism since 1950 : the undoing of a culture / Louise Fuller.</t>
        </is>
      </c>
      <c r="F338" t="inlineStr">
        <is>
          <t>No</t>
        </is>
      </c>
      <c r="G338" t="inlineStr">
        <is>
          <t>1</t>
        </is>
      </c>
      <c r="H338" t="inlineStr">
        <is>
          <t>No</t>
        </is>
      </c>
      <c r="I338" t="inlineStr">
        <is>
          <t>No</t>
        </is>
      </c>
      <c r="J338" t="inlineStr">
        <is>
          <t>0</t>
        </is>
      </c>
      <c r="K338" t="inlineStr">
        <is>
          <t>Fuller, Louise.</t>
        </is>
      </c>
      <c r="L338" t="inlineStr">
        <is>
          <t>Dublin : Gill &amp; Macmillan, c2002.</t>
        </is>
      </c>
      <c r="M338" t="inlineStr">
        <is>
          <t>2002</t>
        </is>
      </c>
      <c r="O338" t="inlineStr">
        <is>
          <t>eng</t>
        </is>
      </c>
      <c r="P338" t="inlineStr">
        <is>
          <t xml:space="preserve">ie </t>
        </is>
      </c>
      <c r="R338" t="inlineStr">
        <is>
          <t xml:space="preserve">BX </t>
        </is>
      </c>
      <c r="S338" t="n">
        <v>1</v>
      </c>
      <c r="T338" t="n">
        <v>1</v>
      </c>
      <c r="U338" t="inlineStr">
        <is>
          <t>2008-09-10</t>
        </is>
      </c>
      <c r="V338" t="inlineStr">
        <is>
          <t>2008-09-10</t>
        </is>
      </c>
      <c r="W338" t="inlineStr">
        <is>
          <t>2005-01-08</t>
        </is>
      </c>
      <c r="X338" t="inlineStr">
        <is>
          <t>2005-01-08</t>
        </is>
      </c>
      <c r="Y338" t="n">
        <v>93</v>
      </c>
      <c r="Z338" t="n">
        <v>52</v>
      </c>
      <c r="AA338" t="n">
        <v>68</v>
      </c>
      <c r="AB338" t="n">
        <v>1</v>
      </c>
      <c r="AC338" t="n">
        <v>1</v>
      </c>
      <c r="AD338" t="n">
        <v>9</v>
      </c>
      <c r="AE338" t="n">
        <v>11</v>
      </c>
      <c r="AF338" t="n">
        <v>1</v>
      </c>
      <c r="AG338" t="n">
        <v>2</v>
      </c>
      <c r="AH338" t="n">
        <v>2</v>
      </c>
      <c r="AI338" t="n">
        <v>3</v>
      </c>
      <c r="AJ338" t="n">
        <v>8</v>
      </c>
      <c r="AK338" t="n">
        <v>9</v>
      </c>
      <c r="AL338" t="n">
        <v>0</v>
      </c>
      <c r="AM338" t="n">
        <v>0</v>
      </c>
      <c r="AN338" t="n">
        <v>0</v>
      </c>
      <c r="AO338" t="n">
        <v>0</v>
      </c>
      <c r="AP338" t="inlineStr">
        <is>
          <t>No</t>
        </is>
      </c>
      <c r="AQ338" t="inlineStr">
        <is>
          <t>Yes</t>
        </is>
      </c>
      <c r="AR338">
        <f>HYPERLINK("http://catalog.hathitrust.org/Record/004297141","HathiTrust Record")</f>
        <v/>
      </c>
      <c r="AS338">
        <f>HYPERLINK("https://creighton-primo.hosted.exlibrisgroup.com/primo-explore/search?tab=default_tab&amp;search_scope=EVERYTHING&amp;vid=01CRU&amp;lang=en_US&amp;offset=0&amp;query=any,contains,991004416549702656","Catalog Record")</f>
        <v/>
      </c>
      <c r="AT338">
        <f>HYPERLINK("http://www.worldcat.org/oclc/50525813","WorldCat Record")</f>
        <v/>
      </c>
      <c r="AU338" t="inlineStr">
        <is>
          <t>6344226:eng</t>
        </is>
      </c>
      <c r="AV338" t="inlineStr">
        <is>
          <t>50525813</t>
        </is>
      </c>
      <c r="AW338" t="inlineStr">
        <is>
          <t>991004416549702656</t>
        </is>
      </c>
      <c r="AX338" t="inlineStr">
        <is>
          <t>991004416549702656</t>
        </is>
      </c>
      <c r="AY338" t="inlineStr">
        <is>
          <t>2258680010002656</t>
        </is>
      </c>
      <c r="AZ338" t="inlineStr">
        <is>
          <t>BOOK</t>
        </is>
      </c>
      <c r="BB338" t="inlineStr">
        <is>
          <t>9780717131563</t>
        </is>
      </c>
      <c r="BC338" t="inlineStr">
        <is>
          <t>32285005019616</t>
        </is>
      </c>
      <c r="BD338" t="inlineStr">
        <is>
          <t>893901213</t>
        </is>
      </c>
    </row>
    <row r="339">
      <c r="A339" t="inlineStr">
        <is>
          <t>No</t>
        </is>
      </c>
      <c r="B339" t="inlineStr">
        <is>
          <t>BX1524 .H37 2003</t>
        </is>
      </c>
      <c r="C339" t="inlineStr">
        <is>
          <t>0                      BX 1524000H  37          2003</t>
        </is>
      </c>
      <c r="D339" t="inlineStr">
        <is>
          <t>Miracles at the Jesus Oak : histories of the supernatural in reformation Europe / Craig Harline.</t>
        </is>
      </c>
      <c r="F339" t="inlineStr">
        <is>
          <t>No</t>
        </is>
      </c>
      <c r="G339" t="inlineStr">
        <is>
          <t>1</t>
        </is>
      </c>
      <c r="H339" t="inlineStr">
        <is>
          <t>No</t>
        </is>
      </c>
      <c r="I339" t="inlineStr">
        <is>
          <t>No</t>
        </is>
      </c>
      <c r="J339" t="inlineStr">
        <is>
          <t>0</t>
        </is>
      </c>
      <c r="K339" t="inlineStr">
        <is>
          <t>Harline, Craig.</t>
        </is>
      </c>
      <c r="L339" t="inlineStr">
        <is>
          <t>New York : Doubleday, c2003.</t>
        </is>
      </c>
      <c r="M339" t="inlineStr">
        <is>
          <t>2003</t>
        </is>
      </c>
      <c r="N339" t="inlineStr">
        <is>
          <t>1st ed.</t>
        </is>
      </c>
      <c r="O339" t="inlineStr">
        <is>
          <t>eng</t>
        </is>
      </c>
      <c r="P339" t="inlineStr">
        <is>
          <t>nyu</t>
        </is>
      </c>
      <c r="R339" t="inlineStr">
        <is>
          <t xml:space="preserve">BX </t>
        </is>
      </c>
      <c r="S339" t="n">
        <v>4</v>
      </c>
      <c r="T339" t="n">
        <v>4</v>
      </c>
      <c r="U339" t="inlineStr">
        <is>
          <t>2007-02-04</t>
        </is>
      </c>
      <c r="V339" t="inlineStr">
        <is>
          <t>2007-02-04</t>
        </is>
      </c>
      <c r="W339" t="inlineStr">
        <is>
          <t>2003-06-23</t>
        </is>
      </c>
      <c r="X339" t="inlineStr">
        <is>
          <t>2003-06-23</t>
        </is>
      </c>
      <c r="Y339" t="n">
        <v>357</v>
      </c>
      <c r="Z339" t="n">
        <v>315</v>
      </c>
      <c r="AA339" t="n">
        <v>809</v>
      </c>
      <c r="AB339" t="n">
        <v>5</v>
      </c>
      <c r="AC339" t="n">
        <v>9</v>
      </c>
      <c r="AD339" t="n">
        <v>22</v>
      </c>
      <c r="AE339" t="n">
        <v>46</v>
      </c>
      <c r="AF339" t="n">
        <v>7</v>
      </c>
      <c r="AG339" t="n">
        <v>19</v>
      </c>
      <c r="AH339" t="n">
        <v>4</v>
      </c>
      <c r="AI339" t="n">
        <v>9</v>
      </c>
      <c r="AJ339" t="n">
        <v>14</v>
      </c>
      <c r="AK339" t="n">
        <v>21</v>
      </c>
      <c r="AL339" t="n">
        <v>3</v>
      </c>
      <c r="AM339" t="n">
        <v>7</v>
      </c>
      <c r="AN339" t="n">
        <v>0</v>
      </c>
      <c r="AO339" t="n">
        <v>1</v>
      </c>
      <c r="AP339" t="inlineStr">
        <is>
          <t>No</t>
        </is>
      </c>
      <c r="AQ339" t="inlineStr">
        <is>
          <t>Yes</t>
        </is>
      </c>
      <c r="AR339">
        <f>HYPERLINK("http://catalog.hathitrust.org/Record/004319789","HathiTrust Record")</f>
        <v/>
      </c>
      <c r="AS339">
        <f>HYPERLINK("https://creighton-primo.hosted.exlibrisgroup.com/primo-explore/search?tab=default_tab&amp;search_scope=EVERYTHING&amp;vid=01CRU&amp;lang=en_US&amp;offset=0&amp;query=any,contains,991004074639702656","Catalog Record")</f>
        <v/>
      </c>
      <c r="AT339">
        <f>HYPERLINK("http://www.worldcat.org/oclc/49902078","WorldCat Record")</f>
        <v/>
      </c>
      <c r="AU339" t="inlineStr">
        <is>
          <t>793898638:eng</t>
        </is>
      </c>
      <c r="AV339" t="inlineStr">
        <is>
          <t>49902078</t>
        </is>
      </c>
      <c r="AW339" t="inlineStr">
        <is>
          <t>991004074639702656</t>
        </is>
      </c>
      <c r="AX339" t="inlineStr">
        <is>
          <t>991004074639702656</t>
        </is>
      </c>
      <c r="AY339" t="inlineStr">
        <is>
          <t>2257512440002656</t>
        </is>
      </c>
      <c r="AZ339" t="inlineStr">
        <is>
          <t>BOOK</t>
        </is>
      </c>
      <c r="BB339" t="inlineStr">
        <is>
          <t>9780385508209</t>
        </is>
      </c>
      <c r="BC339" t="inlineStr">
        <is>
          <t>32285004753918</t>
        </is>
      </c>
      <c r="BD339" t="inlineStr">
        <is>
          <t>893781817</t>
        </is>
      </c>
    </row>
    <row r="340">
      <c r="A340" t="inlineStr">
        <is>
          <t>No</t>
        </is>
      </c>
      <c r="B340" t="inlineStr">
        <is>
          <t>BX1528 .B73</t>
        </is>
      </c>
      <c r="C340" t="inlineStr">
        <is>
          <t>0                      BX 1528000B  73</t>
        </is>
      </c>
      <c r="D340" t="inlineStr">
        <is>
          <t>A literary history of religious thought in France from the wars of religion down to our own times / by Henri Bremond.</t>
        </is>
      </c>
      <c r="E340" t="inlineStr">
        <is>
          <t>V. 1</t>
        </is>
      </c>
      <c r="F340" t="inlineStr">
        <is>
          <t>Yes</t>
        </is>
      </c>
      <c r="G340" t="inlineStr">
        <is>
          <t>1</t>
        </is>
      </c>
      <c r="H340" t="inlineStr">
        <is>
          <t>No</t>
        </is>
      </c>
      <c r="I340" t="inlineStr">
        <is>
          <t>No</t>
        </is>
      </c>
      <c r="J340" t="inlineStr">
        <is>
          <t>0</t>
        </is>
      </c>
      <c r="K340" t="inlineStr">
        <is>
          <t>Bremond, Henri, 1865-1933.</t>
        </is>
      </c>
      <c r="L340" t="inlineStr">
        <is>
          <t>London : Society for promoting Christian knowledge ; New York [etc.] : The Macmillan co., [1928-</t>
        </is>
      </c>
      <c r="M340" t="inlineStr">
        <is>
          <t>1928</t>
        </is>
      </c>
      <c r="O340" t="inlineStr">
        <is>
          <t>eng</t>
        </is>
      </c>
      <c r="P340" t="inlineStr">
        <is>
          <t>enk</t>
        </is>
      </c>
      <c r="R340" t="inlineStr">
        <is>
          <t xml:space="preserve">BX </t>
        </is>
      </c>
      <c r="S340" t="n">
        <v>2</v>
      </c>
      <c r="T340" t="n">
        <v>14</v>
      </c>
      <c r="U340" t="inlineStr">
        <is>
          <t>2010-11-09</t>
        </is>
      </c>
      <c r="V340" t="inlineStr">
        <is>
          <t>2010-11-09</t>
        </is>
      </c>
      <c r="W340" t="inlineStr">
        <is>
          <t>1991-02-19</t>
        </is>
      </c>
      <c r="X340" t="inlineStr">
        <is>
          <t>2002-01-22</t>
        </is>
      </c>
      <c r="Y340" t="n">
        <v>291</v>
      </c>
      <c r="Z340" t="n">
        <v>254</v>
      </c>
      <c r="AA340" t="n">
        <v>269</v>
      </c>
      <c r="AB340" t="n">
        <v>2</v>
      </c>
      <c r="AC340" t="n">
        <v>2</v>
      </c>
      <c r="AD340" t="n">
        <v>25</v>
      </c>
      <c r="AE340" t="n">
        <v>25</v>
      </c>
      <c r="AF340" t="n">
        <v>6</v>
      </c>
      <c r="AG340" t="n">
        <v>6</v>
      </c>
      <c r="AH340" t="n">
        <v>8</v>
      </c>
      <c r="AI340" t="n">
        <v>8</v>
      </c>
      <c r="AJ340" t="n">
        <v>19</v>
      </c>
      <c r="AK340" t="n">
        <v>19</v>
      </c>
      <c r="AL340" t="n">
        <v>0</v>
      </c>
      <c r="AM340" t="n">
        <v>0</v>
      </c>
      <c r="AN340" t="n">
        <v>0</v>
      </c>
      <c r="AO340" t="n">
        <v>0</v>
      </c>
      <c r="AP340" t="inlineStr">
        <is>
          <t>No</t>
        </is>
      </c>
      <c r="AQ340" t="inlineStr">
        <is>
          <t>Yes</t>
        </is>
      </c>
      <c r="AR340">
        <f>HYPERLINK("http://catalog.hathitrust.org/Record/000839703","HathiTrust Record")</f>
        <v/>
      </c>
      <c r="AS340">
        <f>HYPERLINK("https://creighton-primo.hosted.exlibrisgroup.com/primo-explore/search?tab=default_tab&amp;search_scope=EVERYTHING&amp;vid=01CRU&amp;lang=en_US&amp;offset=0&amp;query=any,contains,991005013859702656","Catalog Record")</f>
        <v/>
      </c>
      <c r="AT340">
        <f>HYPERLINK("http://www.worldcat.org/oclc/6612157","WorldCat Record")</f>
        <v/>
      </c>
      <c r="AU340" t="inlineStr">
        <is>
          <t>22849547:eng</t>
        </is>
      </c>
      <c r="AV340" t="inlineStr">
        <is>
          <t>6612157</t>
        </is>
      </c>
      <c r="AW340" t="inlineStr">
        <is>
          <t>991005013859702656</t>
        </is>
      </c>
      <c r="AX340" t="inlineStr">
        <is>
          <t>991005013859702656</t>
        </is>
      </c>
      <c r="AY340" t="inlineStr">
        <is>
          <t>2256565630002656</t>
        </is>
      </c>
      <c r="AZ340" t="inlineStr">
        <is>
          <t>BOOK</t>
        </is>
      </c>
      <c r="BC340" t="inlineStr">
        <is>
          <t>32285000508696</t>
        </is>
      </c>
      <c r="BD340" t="inlineStr">
        <is>
          <t>893260439</t>
        </is>
      </c>
    </row>
    <row r="341">
      <c r="A341" t="inlineStr">
        <is>
          <t>No</t>
        </is>
      </c>
      <c r="B341" t="inlineStr">
        <is>
          <t>BX1528 .B73</t>
        </is>
      </c>
      <c r="C341" t="inlineStr">
        <is>
          <t>0                      BX 1528000B  73</t>
        </is>
      </c>
      <c r="D341" t="inlineStr">
        <is>
          <t>A literary history of religious thought in France from the wars of religion down to our own times / by Henri Bremond.</t>
        </is>
      </c>
      <c r="E341" t="inlineStr">
        <is>
          <t>V. 2</t>
        </is>
      </c>
      <c r="F341" t="inlineStr">
        <is>
          <t>Yes</t>
        </is>
      </c>
      <c r="G341" t="inlineStr">
        <is>
          <t>1</t>
        </is>
      </c>
      <c r="H341" t="inlineStr">
        <is>
          <t>No</t>
        </is>
      </c>
      <c r="I341" t="inlineStr">
        <is>
          <t>No</t>
        </is>
      </c>
      <c r="J341" t="inlineStr">
        <is>
          <t>0</t>
        </is>
      </c>
      <c r="K341" t="inlineStr">
        <is>
          <t>Bremond, Henri, 1865-1933.</t>
        </is>
      </c>
      <c r="L341" t="inlineStr">
        <is>
          <t>London : Society for promoting Christian knowledge ; New York [etc.] : The Macmillan co., [1928-</t>
        </is>
      </c>
      <c r="M341" t="inlineStr">
        <is>
          <t>1928</t>
        </is>
      </c>
      <c r="O341" t="inlineStr">
        <is>
          <t>eng</t>
        </is>
      </c>
      <c r="P341" t="inlineStr">
        <is>
          <t>enk</t>
        </is>
      </c>
      <c r="R341" t="inlineStr">
        <is>
          <t xml:space="preserve">BX </t>
        </is>
      </c>
      <c r="S341" t="n">
        <v>1</v>
      </c>
      <c r="T341" t="n">
        <v>14</v>
      </c>
      <c r="U341" t="inlineStr">
        <is>
          <t>2010-11-09</t>
        </is>
      </c>
      <c r="V341" t="inlineStr">
        <is>
          <t>2010-11-09</t>
        </is>
      </c>
      <c r="W341" t="inlineStr">
        <is>
          <t>2002-01-22</t>
        </is>
      </c>
      <c r="X341" t="inlineStr">
        <is>
          <t>2002-01-22</t>
        </is>
      </c>
      <c r="Y341" t="n">
        <v>291</v>
      </c>
      <c r="Z341" t="n">
        <v>254</v>
      </c>
      <c r="AA341" t="n">
        <v>269</v>
      </c>
      <c r="AB341" t="n">
        <v>2</v>
      </c>
      <c r="AC341" t="n">
        <v>2</v>
      </c>
      <c r="AD341" t="n">
        <v>25</v>
      </c>
      <c r="AE341" t="n">
        <v>25</v>
      </c>
      <c r="AF341" t="n">
        <v>6</v>
      </c>
      <c r="AG341" t="n">
        <v>6</v>
      </c>
      <c r="AH341" t="n">
        <v>8</v>
      </c>
      <c r="AI341" t="n">
        <v>8</v>
      </c>
      <c r="AJ341" t="n">
        <v>19</v>
      </c>
      <c r="AK341" t="n">
        <v>19</v>
      </c>
      <c r="AL341" t="n">
        <v>0</v>
      </c>
      <c r="AM341" t="n">
        <v>0</v>
      </c>
      <c r="AN341" t="n">
        <v>0</v>
      </c>
      <c r="AO341" t="n">
        <v>0</v>
      </c>
      <c r="AP341" t="inlineStr">
        <is>
          <t>No</t>
        </is>
      </c>
      <c r="AQ341" t="inlineStr">
        <is>
          <t>Yes</t>
        </is>
      </c>
      <c r="AR341">
        <f>HYPERLINK("http://catalog.hathitrust.org/Record/000839703","HathiTrust Record")</f>
        <v/>
      </c>
      <c r="AS341">
        <f>HYPERLINK("https://creighton-primo.hosted.exlibrisgroup.com/primo-explore/search?tab=default_tab&amp;search_scope=EVERYTHING&amp;vid=01CRU&amp;lang=en_US&amp;offset=0&amp;query=any,contains,991005013859702656","Catalog Record")</f>
        <v/>
      </c>
      <c r="AT341">
        <f>HYPERLINK("http://www.worldcat.org/oclc/6612157","WorldCat Record")</f>
        <v/>
      </c>
      <c r="AU341" t="inlineStr">
        <is>
          <t>22849547:eng</t>
        </is>
      </c>
      <c r="AV341" t="inlineStr">
        <is>
          <t>6612157</t>
        </is>
      </c>
      <c r="AW341" t="inlineStr">
        <is>
          <t>991005013859702656</t>
        </is>
      </c>
      <c r="AX341" t="inlineStr">
        <is>
          <t>991005013859702656</t>
        </is>
      </c>
      <c r="AY341" t="inlineStr">
        <is>
          <t>2256565630002656</t>
        </is>
      </c>
      <c r="AZ341" t="inlineStr">
        <is>
          <t>BOOK</t>
        </is>
      </c>
      <c r="BC341" t="inlineStr">
        <is>
          <t>32285000508704</t>
        </is>
      </c>
      <c r="BD341" t="inlineStr">
        <is>
          <t>893263555</t>
        </is>
      </c>
    </row>
    <row r="342">
      <c r="A342" t="inlineStr">
        <is>
          <t>No</t>
        </is>
      </c>
      <c r="B342" t="inlineStr">
        <is>
          <t>BX1528 .B73</t>
        </is>
      </c>
      <c r="C342" t="inlineStr">
        <is>
          <t>0                      BX 1528000B  73</t>
        </is>
      </c>
      <c r="D342" t="inlineStr">
        <is>
          <t>A literary history of religious thought in France from the wars of religion down to our own times / by Henri Bremond.</t>
        </is>
      </c>
      <c r="E342" t="inlineStr">
        <is>
          <t>V. 3</t>
        </is>
      </c>
      <c r="F342" t="inlineStr">
        <is>
          <t>Yes</t>
        </is>
      </c>
      <c r="G342" t="inlineStr">
        <is>
          <t>1</t>
        </is>
      </c>
      <c r="H342" t="inlineStr">
        <is>
          <t>No</t>
        </is>
      </c>
      <c r="I342" t="inlineStr">
        <is>
          <t>No</t>
        </is>
      </c>
      <c r="J342" t="inlineStr">
        <is>
          <t>0</t>
        </is>
      </c>
      <c r="K342" t="inlineStr">
        <is>
          <t>Bremond, Henri, 1865-1933.</t>
        </is>
      </c>
      <c r="L342" t="inlineStr">
        <is>
          <t>London : Society for promoting Christian knowledge ; New York [etc.] : The Macmillan co., [1928-</t>
        </is>
      </c>
      <c r="M342" t="inlineStr">
        <is>
          <t>1928</t>
        </is>
      </c>
      <c r="O342" t="inlineStr">
        <is>
          <t>eng</t>
        </is>
      </c>
      <c r="P342" t="inlineStr">
        <is>
          <t>enk</t>
        </is>
      </c>
      <c r="R342" t="inlineStr">
        <is>
          <t xml:space="preserve">BX </t>
        </is>
      </c>
      <c r="S342" t="n">
        <v>11</v>
      </c>
      <c r="T342" t="n">
        <v>14</v>
      </c>
      <c r="U342" t="inlineStr">
        <is>
          <t>2010-11-09</t>
        </is>
      </c>
      <c r="V342" t="inlineStr">
        <is>
          <t>2010-11-09</t>
        </is>
      </c>
      <c r="W342" t="inlineStr">
        <is>
          <t>1991-02-19</t>
        </is>
      </c>
      <c r="X342" t="inlineStr">
        <is>
          <t>2002-01-22</t>
        </is>
      </c>
      <c r="Y342" t="n">
        <v>291</v>
      </c>
      <c r="Z342" t="n">
        <v>254</v>
      </c>
      <c r="AA342" t="n">
        <v>269</v>
      </c>
      <c r="AB342" t="n">
        <v>2</v>
      </c>
      <c r="AC342" t="n">
        <v>2</v>
      </c>
      <c r="AD342" t="n">
        <v>25</v>
      </c>
      <c r="AE342" t="n">
        <v>25</v>
      </c>
      <c r="AF342" t="n">
        <v>6</v>
      </c>
      <c r="AG342" t="n">
        <v>6</v>
      </c>
      <c r="AH342" t="n">
        <v>8</v>
      </c>
      <c r="AI342" t="n">
        <v>8</v>
      </c>
      <c r="AJ342" t="n">
        <v>19</v>
      </c>
      <c r="AK342" t="n">
        <v>19</v>
      </c>
      <c r="AL342" t="n">
        <v>0</v>
      </c>
      <c r="AM342" t="n">
        <v>0</v>
      </c>
      <c r="AN342" t="n">
        <v>0</v>
      </c>
      <c r="AO342" t="n">
        <v>0</v>
      </c>
      <c r="AP342" t="inlineStr">
        <is>
          <t>No</t>
        </is>
      </c>
      <c r="AQ342" t="inlineStr">
        <is>
          <t>Yes</t>
        </is>
      </c>
      <c r="AR342">
        <f>HYPERLINK("http://catalog.hathitrust.org/Record/000839703","HathiTrust Record")</f>
        <v/>
      </c>
      <c r="AS342">
        <f>HYPERLINK("https://creighton-primo.hosted.exlibrisgroup.com/primo-explore/search?tab=default_tab&amp;search_scope=EVERYTHING&amp;vid=01CRU&amp;lang=en_US&amp;offset=0&amp;query=any,contains,991005013859702656","Catalog Record")</f>
        <v/>
      </c>
      <c r="AT342">
        <f>HYPERLINK("http://www.worldcat.org/oclc/6612157","WorldCat Record")</f>
        <v/>
      </c>
      <c r="AU342" t="inlineStr">
        <is>
          <t>22849547:eng</t>
        </is>
      </c>
      <c r="AV342" t="inlineStr">
        <is>
          <t>6612157</t>
        </is>
      </c>
      <c r="AW342" t="inlineStr">
        <is>
          <t>991005013859702656</t>
        </is>
      </c>
      <c r="AX342" t="inlineStr">
        <is>
          <t>991005013859702656</t>
        </is>
      </c>
      <c r="AY342" t="inlineStr">
        <is>
          <t>2256565630002656</t>
        </is>
      </c>
      <c r="AZ342" t="inlineStr">
        <is>
          <t>BOOK</t>
        </is>
      </c>
      <c r="BC342" t="inlineStr">
        <is>
          <t>32285000508712</t>
        </is>
      </c>
      <c r="BD342" t="inlineStr">
        <is>
          <t>893230101</t>
        </is>
      </c>
    </row>
    <row r="343">
      <c r="A343" t="inlineStr">
        <is>
          <t>No</t>
        </is>
      </c>
      <c r="B343" t="inlineStr">
        <is>
          <t>BX1528 .B83</t>
        </is>
      </c>
      <c r="C343" t="inlineStr">
        <is>
          <t>0                      BX 1528000B  83</t>
        </is>
      </c>
      <c r="D343" t="inlineStr">
        <is>
          <t>Histoire littéraire du sentiment religieux en France : depuis la fin des guerres de religion jusqu'à nos jours / par Henri Brémond ; index alphabetique et analytique, par Charles Grolleau.</t>
        </is>
      </c>
      <c r="E343" t="inlineStr">
        <is>
          <t>V. 2</t>
        </is>
      </c>
      <c r="F343" t="inlineStr">
        <is>
          <t>Yes</t>
        </is>
      </c>
      <c r="G343" t="inlineStr">
        <is>
          <t>1</t>
        </is>
      </c>
      <c r="H343" t="inlineStr">
        <is>
          <t>No</t>
        </is>
      </c>
      <c r="I343" t="inlineStr">
        <is>
          <t>No</t>
        </is>
      </c>
      <c r="J343" t="inlineStr">
        <is>
          <t>0</t>
        </is>
      </c>
      <c r="K343" t="inlineStr">
        <is>
          <t>Bremond, Henri, 1865-1933.</t>
        </is>
      </c>
      <c r="L343" t="inlineStr">
        <is>
          <t>Paris : Bloud et Gay, 1929-1936.</t>
        </is>
      </c>
      <c r="M343" t="inlineStr">
        <is>
          <t>1929</t>
        </is>
      </c>
      <c r="O343" t="inlineStr">
        <is>
          <t>fre</t>
        </is>
      </c>
      <c r="P343" t="inlineStr">
        <is>
          <t xml:space="preserve">fr </t>
        </is>
      </c>
      <c r="R343" t="inlineStr">
        <is>
          <t xml:space="preserve">BX </t>
        </is>
      </c>
      <c r="S343" t="n">
        <v>1</v>
      </c>
      <c r="T343" t="n">
        <v>24</v>
      </c>
      <c r="V343" t="inlineStr">
        <is>
          <t>2002-08-30</t>
        </is>
      </c>
      <c r="W343" t="inlineStr">
        <is>
          <t>1999-06-23</t>
        </is>
      </c>
      <c r="X343" t="inlineStr">
        <is>
          <t>1999-06-23</t>
        </is>
      </c>
      <c r="Y343" t="n">
        <v>30</v>
      </c>
      <c r="Z343" t="n">
        <v>18</v>
      </c>
      <c r="AA343" t="n">
        <v>198</v>
      </c>
      <c r="AB343" t="n">
        <v>1</v>
      </c>
      <c r="AC343" t="n">
        <v>2</v>
      </c>
      <c r="AD343" t="n">
        <v>1</v>
      </c>
      <c r="AE343" t="n">
        <v>16</v>
      </c>
      <c r="AF343" t="n">
        <v>0</v>
      </c>
      <c r="AG343" t="n">
        <v>4</v>
      </c>
      <c r="AH343" t="n">
        <v>0</v>
      </c>
      <c r="AI343" t="n">
        <v>4</v>
      </c>
      <c r="AJ343" t="n">
        <v>1</v>
      </c>
      <c r="AK343" t="n">
        <v>12</v>
      </c>
      <c r="AL343" t="n">
        <v>0</v>
      </c>
      <c r="AM343" t="n">
        <v>1</v>
      </c>
      <c r="AN343" t="n">
        <v>0</v>
      </c>
      <c r="AO343" t="n">
        <v>0</v>
      </c>
      <c r="AP343" t="inlineStr">
        <is>
          <t>No</t>
        </is>
      </c>
      <c r="AQ343" t="inlineStr">
        <is>
          <t>Yes</t>
        </is>
      </c>
      <c r="AR343">
        <f>HYPERLINK("http://catalog.hathitrust.org/Record/011239170","HathiTrust Record")</f>
        <v/>
      </c>
      <c r="AS343">
        <f>HYPERLINK("https://creighton-primo.hosted.exlibrisgroup.com/primo-explore/search?tab=default_tab&amp;search_scope=EVERYTHING&amp;vid=01CRU&amp;lang=en_US&amp;offset=0&amp;query=any,contains,991000900959702656","Catalog Record")</f>
        <v/>
      </c>
      <c r="AT343">
        <f>HYPERLINK("http://www.worldcat.org/oclc/14067292","WorldCat Record")</f>
        <v/>
      </c>
      <c r="AU343" t="inlineStr">
        <is>
          <t>4916181504:fre</t>
        </is>
      </c>
      <c r="AV343" t="inlineStr">
        <is>
          <t>14067292</t>
        </is>
      </c>
      <c r="AW343" t="inlineStr">
        <is>
          <t>991000900959702656</t>
        </is>
      </c>
      <c r="AX343" t="inlineStr">
        <is>
          <t>991000900959702656</t>
        </is>
      </c>
      <c r="AY343" t="inlineStr">
        <is>
          <t>2255699650002656</t>
        </is>
      </c>
      <c r="AZ343" t="inlineStr">
        <is>
          <t>BOOK</t>
        </is>
      </c>
      <c r="BC343" t="inlineStr">
        <is>
          <t>32285003576278</t>
        </is>
      </c>
      <c r="BD343" t="inlineStr">
        <is>
          <t>893432408</t>
        </is>
      </c>
    </row>
    <row r="344">
      <c r="A344" t="inlineStr">
        <is>
          <t>No</t>
        </is>
      </c>
      <c r="B344" t="inlineStr">
        <is>
          <t>BX1528 .B83</t>
        </is>
      </c>
      <c r="C344" t="inlineStr">
        <is>
          <t>0                      BX 1528000B  83</t>
        </is>
      </c>
      <c r="D344" t="inlineStr">
        <is>
          <t>Histoire littéraire du sentiment religieux en France : depuis la fin des guerres de religion jusqu'à nos jours / par Henri Brémond ; index alphabetique et analytique, par Charles Grolleau.</t>
        </is>
      </c>
      <c r="E344" t="inlineStr">
        <is>
          <t>V. 6</t>
        </is>
      </c>
      <c r="F344" t="inlineStr">
        <is>
          <t>Yes</t>
        </is>
      </c>
      <c r="G344" t="inlineStr">
        <is>
          <t>1</t>
        </is>
      </c>
      <c r="H344" t="inlineStr">
        <is>
          <t>No</t>
        </is>
      </c>
      <c r="I344" t="inlineStr">
        <is>
          <t>No</t>
        </is>
      </c>
      <c r="J344" t="inlineStr">
        <is>
          <t>0</t>
        </is>
      </c>
      <c r="K344" t="inlineStr">
        <is>
          <t>Bremond, Henri, 1865-1933.</t>
        </is>
      </c>
      <c r="L344" t="inlineStr">
        <is>
          <t>Paris : Bloud et Gay, 1929-1936.</t>
        </is>
      </c>
      <c r="M344" t="inlineStr">
        <is>
          <t>1929</t>
        </is>
      </c>
      <c r="O344" t="inlineStr">
        <is>
          <t>fre</t>
        </is>
      </c>
      <c r="P344" t="inlineStr">
        <is>
          <t xml:space="preserve">fr </t>
        </is>
      </c>
      <c r="R344" t="inlineStr">
        <is>
          <t xml:space="preserve">BX </t>
        </is>
      </c>
      <c r="S344" t="n">
        <v>4</v>
      </c>
      <c r="T344" t="n">
        <v>24</v>
      </c>
      <c r="U344" t="inlineStr">
        <is>
          <t>2002-08-30</t>
        </is>
      </c>
      <c r="V344" t="inlineStr">
        <is>
          <t>2002-08-30</t>
        </is>
      </c>
      <c r="W344" t="inlineStr">
        <is>
          <t>1999-06-23</t>
        </is>
      </c>
      <c r="X344" t="inlineStr">
        <is>
          <t>1999-06-23</t>
        </is>
      </c>
      <c r="Y344" t="n">
        <v>30</v>
      </c>
      <c r="Z344" t="n">
        <v>18</v>
      </c>
      <c r="AA344" t="n">
        <v>198</v>
      </c>
      <c r="AB344" t="n">
        <v>1</v>
      </c>
      <c r="AC344" t="n">
        <v>2</v>
      </c>
      <c r="AD344" t="n">
        <v>1</v>
      </c>
      <c r="AE344" t="n">
        <v>16</v>
      </c>
      <c r="AF344" t="n">
        <v>0</v>
      </c>
      <c r="AG344" t="n">
        <v>4</v>
      </c>
      <c r="AH344" t="n">
        <v>0</v>
      </c>
      <c r="AI344" t="n">
        <v>4</v>
      </c>
      <c r="AJ344" t="n">
        <v>1</v>
      </c>
      <c r="AK344" t="n">
        <v>12</v>
      </c>
      <c r="AL344" t="n">
        <v>0</v>
      </c>
      <c r="AM344" t="n">
        <v>1</v>
      </c>
      <c r="AN344" t="n">
        <v>0</v>
      </c>
      <c r="AO344" t="n">
        <v>0</v>
      </c>
      <c r="AP344" t="inlineStr">
        <is>
          <t>No</t>
        </is>
      </c>
      <c r="AQ344" t="inlineStr">
        <is>
          <t>Yes</t>
        </is>
      </c>
      <c r="AR344">
        <f>HYPERLINK("http://catalog.hathitrust.org/Record/011239170","HathiTrust Record")</f>
        <v/>
      </c>
      <c r="AS344">
        <f>HYPERLINK("https://creighton-primo.hosted.exlibrisgroup.com/primo-explore/search?tab=default_tab&amp;search_scope=EVERYTHING&amp;vid=01CRU&amp;lang=en_US&amp;offset=0&amp;query=any,contains,991000900959702656","Catalog Record")</f>
        <v/>
      </c>
      <c r="AT344">
        <f>HYPERLINK("http://www.worldcat.org/oclc/14067292","WorldCat Record")</f>
        <v/>
      </c>
      <c r="AU344" t="inlineStr">
        <is>
          <t>4916181504:fre</t>
        </is>
      </c>
      <c r="AV344" t="inlineStr">
        <is>
          <t>14067292</t>
        </is>
      </c>
      <c r="AW344" t="inlineStr">
        <is>
          <t>991000900959702656</t>
        </is>
      </c>
      <c r="AX344" t="inlineStr">
        <is>
          <t>991000900959702656</t>
        </is>
      </c>
      <c r="AY344" t="inlineStr">
        <is>
          <t>2255699650002656</t>
        </is>
      </c>
      <c r="AZ344" t="inlineStr">
        <is>
          <t>BOOK</t>
        </is>
      </c>
      <c r="BC344" t="inlineStr">
        <is>
          <t>32285003576310</t>
        </is>
      </c>
      <c r="BD344" t="inlineStr">
        <is>
          <t>893407634</t>
        </is>
      </c>
    </row>
    <row r="345">
      <c r="A345" t="inlineStr">
        <is>
          <t>No</t>
        </is>
      </c>
      <c r="B345" t="inlineStr">
        <is>
          <t>BX1528 .B83</t>
        </is>
      </c>
      <c r="C345" t="inlineStr">
        <is>
          <t>0                      BX 1528000B  83</t>
        </is>
      </c>
      <c r="D345" t="inlineStr">
        <is>
          <t>Histoire littéraire du sentiment religieux en France : depuis la fin des guerres de religion jusqu'à nos jours / par Henri Brémond ; index alphabetique et analytique, par Charles Grolleau.</t>
        </is>
      </c>
      <c r="E345" t="inlineStr">
        <is>
          <t>V. 1</t>
        </is>
      </c>
      <c r="F345" t="inlineStr">
        <is>
          <t>Yes</t>
        </is>
      </c>
      <c r="G345" t="inlineStr">
        <is>
          <t>1</t>
        </is>
      </c>
      <c r="H345" t="inlineStr">
        <is>
          <t>No</t>
        </is>
      </c>
      <c r="I345" t="inlineStr">
        <is>
          <t>No</t>
        </is>
      </c>
      <c r="J345" t="inlineStr">
        <is>
          <t>0</t>
        </is>
      </c>
      <c r="K345" t="inlineStr">
        <is>
          <t>Bremond, Henri, 1865-1933.</t>
        </is>
      </c>
      <c r="L345" t="inlineStr">
        <is>
          <t>Paris : Bloud et Gay, 1929-1936.</t>
        </is>
      </c>
      <c r="M345" t="inlineStr">
        <is>
          <t>1929</t>
        </is>
      </c>
      <c r="O345" t="inlineStr">
        <is>
          <t>fre</t>
        </is>
      </c>
      <c r="P345" t="inlineStr">
        <is>
          <t xml:space="preserve">fr </t>
        </is>
      </c>
      <c r="R345" t="inlineStr">
        <is>
          <t xml:space="preserve">BX </t>
        </is>
      </c>
      <c r="S345" t="n">
        <v>1</v>
      </c>
      <c r="T345" t="n">
        <v>24</v>
      </c>
      <c r="V345" t="inlineStr">
        <is>
          <t>2002-08-30</t>
        </is>
      </c>
      <c r="W345" t="inlineStr">
        <is>
          <t>1999-06-23</t>
        </is>
      </c>
      <c r="X345" t="inlineStr">
        <is>
          <t>1999-06-23</t>
        </is>
      </c>
      <c r="Y345" t="n">
        <v>30</v>
      </c>
      <c r="Z345" t="n">
        <v>18</v>
      </c>
      <c r="AA345" t="n">
        <v>198</v>
      </c>
      <c r="AB345" t="n">
        <v>1</v>
      </c>
      <c r="AC345" t="n">
        <v>2</v>
      </c>
      <c r="AD345" t="n">
        <v>1</v>
      </c>
      <c r="AE345" t="n">
        <v>16</v>
      </c>
      <c r="AF345" t="n">
        <v>0</v>
      </c>
      <c r="AG345" t="n">
        <v>4</v>
      </c>
      <c r="AH345" t="n">
        <v>0</v>
      </c>
      <c r="AI345" t="n">
        <v>4</v>
      </c>
      <c r="AJ345" t="n">
        <v>1</v>
      </c>
      <c r="AK345" t="n">
        <v>12</v>
      </c>
      <c r="AL345" t="n">
        <v>0</v>
      </c>
      <c r="AM345" t="n">
        <v>1</v>
      </c>
      <c r="AN345" t="n">
        <v>0</v>
      </c>
      <c r="AO345" t="n">
        <v>0</v>
      </c>
      <c r="AP345" t="inlineStr">
        <is>
          <t>No</t>
        </is>
      </c>
      <c r="AQ345" t="inlineStr">
        <is>
          <t>Yes</t>
        </is>
      </c>
      <c r="AR345">
        <f>HYPERLINK("http://catalog.hathitrust.org/Record/011239170","HathiTrust Record")</f>
        <v/>
      </c>
      <c r="AS345">
        <f>HYPERLINK("https://creighton-primo.hosted.exlibrisgroup.com/primo-explore/search?tab=default_tab&amp;search_scope=EVERYTHING&amp;vid=01CRU&amp;lang=en_US&amp;offset=0&amp;query=any,contains,991000900959702656","Catalog Record")</f>
        <v/>
      </c>
      <c r="AT345">
        <f>HYPERLINK("http://www.worldcat.org/oclc/14067292","WorldCat Record")</f>
        <v/>
      </c>
      <c r="AU345" t="inlineStr">
        <is>
          <t>4916181504:fre</t>
        </is>
      </c>
      <c r="AV345" t="inlineStr">
        <is>
          <t>14067292</t>
        </is>
      </c>
      <c r="AW345" t="inlineStr">
        <is>
          <t>991000900959702656</t>
        </is>
      </c>
      <c r="AX345" t="inlineStr">
        <is>
          <t>991000900959702656</t>
        </is>
      </c>
      <c r="AY345" t="inlineStr">
        <is>
          <t>2255699650002656</t>
        </is>
      </c>
      <c r="AZ345" t="inlineStr">
        <is>
          <t>BOOK</t>
        </is>
      </c>
      <c r="BC345" t="inlineStr">
        <is>
          <t>32285003576260</t>
        </is>
      </c>
      <c r="BD345" t="inlineStr">
        <is>
          <t>893432409</t>
        </is>
      </c>
    </row>
    <row r="346">
      <c r="A346" t="inlineStr">
        <is>
          <t>No</t>
        </is>
      </c>
      <c r="B346" t="inlineStr">
        <is>
          <t>BX1528 .B83</t>
        </is>
      </c>
      <c r="C346" t="inlineStr">
        <is>
          <t>0                      BX 1528000B  83</t>
        </is>
      </c>
      <c r="D346" t="inlineStr">
        <is>
          <t>Histoire littéraire du sentiment religieux en France : depuis la fin des guerres de religion jusqu'à nos jours / par Henri Brémond ; index alphabetique et analytique, par Charles Grolleau.</t>
        </is>
      </c>
      <c r="E346" t="inlineStr">
        <is>
          <t>V. 5</t>
        </is>
      </c>
      <c r="F346" t="inlineStr">
        <is>
          <t>Yes</t>
        </is>
      </c>
      <c r="G346" t="inlineStr">
        <is>
          <t>1</t>
        </is>
      </c>
      <c r="H346" t="inlineStr">
        <is>
          <t>No</t>
        </is>
      </c>
      <c r="I346" t="inlineStr">
        <is>
          <t>No</t>
        </is>
      </c>
      <c r="J346" t="inlineStr">
        <is>
          <t>0</t>
        </is>
      </c>
      <c r="K346" t="inlineStr">
        <is>
          <t>Bremond, Henri, 1865-1933.</t>
        </is>
      </c>
      <c r="L346" t="inlineStr">
        <is>
          <t>Paris : Bloud et Gay, 1929-1936.</t>
        </is>
      </c>
      <c r="M346" t="inlineStr">
        <is>
          <t>1929</t>
        </is>
      </c>
      <c r="O346" t="inlineStr">
        <is>
          <t>fre</t>
        </is>
      </c>
      <c r="P346" t="inlineStr">
        <is>
          <t xml:space="preserve">fr </t>
        </is>
      </c>
      <c r="R346" t="inlineStr">
        <is>
          <t xml:space="preserve">BX </t>
        </is>
      </c>
      <c r="S346" t="n">
        <v>4</v>
      </c>
      <c r="T346" t="n">
        <v>24</v>
      </c>
      <c r="U346" t="inlineStr">
        <is>
          <t>2002-08-30</t>
        </is>
      </c>
      <c r="V346" t="inlineStr">
        <is>
          <t>2002-08-30</t>
        </is>
      </c>
      <c r="W346" t="inlineStr">
        <is>
          <t>1999-06-23</t>
        </is>
      </c>
      <c r="X346" t="inlineStr">
        <is>
          <t>1999-06-23</t>
        </is>
      </c>
      <c r="Y346" t="n">
        <v>30</v>
      </c>
      <c r="Z346" t="n">
        <v>18</v>
      </c>
      <c r="AA346" t="n">
        <v>198</v>
      </c>
      <c r="AB346" t="n">
        <v>1</v>
      </c>
      <c r="AC346" t="n">
        <v>2</v>
      </c>
      <c r="AD346" t="n">
        <v>1</v>
      </c>
      <c r="AE346" t="n">
        <v>16</v>
      </c>
      <c r="AF346" t="n">
        <v>0</v>
      </c>
      <c r="AG346" t="n">
        <v>4</v>
      </c>
      <c r="AH346" t="n">
        <v>0</v>
      </c>
      <c r="AI346" t="n">
        <v>4</v>
      </c>
      <c r="AJ346" t="n">
        <v>1</v>
      </c>
      <c r="AK346" t="n">
        <v>12</v>
      </c>
      <c r="AL346" t="n">
        <v>0</v>
      </c>
      <c r="AM346" t="n">
        <v>1</v>
      </c>
      <c r="AN346" t="n">
        <v>0</v>
      </c>
      <c r="AO346" t="n">
        <v>0</v>
      </c>
      <c r="AP346" t="inlineStr">
        <is>
          <t>No</t>
        </is>
      </c>
      <c r="AQ346" t="inlineStr">
        <is>
          <t>Yes</t>
        </is>
      </c>
      <c r="AR346">
        <f>HYPERLINK("http://catalog.hathitrust.org/Record/011239170","HathiTrust Record")</f>
        <v/>
      </c>
      <c r="AS346">
        <f>HYPERLINK("https://creighton-primo.hosted.exlibrisgroup.com/primo-explore/search?tab=default_tab&amp;search_scope=EVERYTHING&amp;vid=01CRU&amp;lang=en_US&amp;offset=0&amp;query=any,contains,991000900959702656","Catalog Record")</f>
        <v/>
      </c>
      <c r="AT346">
        <f>HYPERLINK("http://www.worldcat.org/oclc/14067292","WorldCat Record")</f>
        <v/>
      </c>
      <c r="AU346" t="inlineStr">
        <is>
          <t>4916181504:fre</t>
        </is>
      </c>
      <c r="AV346" t="inlineStr">
        <is>
          <t>14067292</t>
        </is>
      </c>
      <c r="AW346" t="inlineStr">
        <is>
          <t>991000900959702656</t>
        </is>
      </c>
      <c r="AX346" t="inlineStr">
        <is>
          <t>991000900959702656</t>
        </is>
      </c>
      <c r="AY346" t="inlineStr">
        <is>
          <t>2255699650002656</t>
        </is>
      </c>
      <c r="AZ346" t="inlineStr">
        <is>
          <t>BOOK</t>
        </is>
      </c>
      <c r="BC346" t="inlineStr">
        <is>
          <t>32285003576302</t>
        </is>
      </c>
      <c r="BD346" t="inlineStr">
        <is>
          <t>893432403</t>
        </is>
      </c>
    </row>
    <row r="347">
      <c r="A347" t="inlineStr">
        <is>
          <t>No</t>
        </is>
      </c>
      <c r="B347" t="inlineStr">
        <is>
          <t>BX1528 .B83</t>
        </is>
      </c>
      <c r="C347" t="inlineStr">
        <is>
          <t>0                      BX 1528000B  83</t>
        </is>
      </c>
      <c r="D347" t="inlineStr">
        <is>
          <t>Histoire littéraire du sentiment religieux en France : depuis la fin des guerres de religion jusqu'à nos jours / par Henri Brémond ; index alphabetique et analytique, par Charles Grolleau.</t>
        </is>
      </c>
      <c r="E347" t="inlineStr">
        <is>
          <t>V. 7</t>
        </is>
      </c>
      <c r="F347" t="inlineStr">
        <is>
          <t>Yes</t>
        </is>
      </c>
      <c r="G347" t="inlineStr">
        <is>
          <t>1</t>
        </is>
      </c>
      <c r="H347" t="inlineStr">
        <is>
          <t>No</t>
        </is>
      </c>
      <c r="I347" t="inlineStr">
        <is>
          <t>No</t>
        </is>
      </c>
      <c r="J347" t="inlineStr">
        <is>
          <t>0</t>
        </is>
      </c>
      <c r="K347" t="inlineStr">
        <is>
          <t>Bremond, Henri, 1865-1933.</t>
        </is>
      </c>
      <c r="L347" t="inlineStr">
        <is>
          <t>Paris : Bloud et Gay, 1929-1936.</t>
        </is>
      </c>
      <c r="M347" t="inlineStr">
        <is>
          <t>1929</t>
        </is>
      </c>
      <c r="O347" t="inlineStr">
        <is>
          <t>fre</t>
        </is>
      </c>
      <c r="P347" t="inlineStr">
        <is>
          <t xml:space="preserve">fr </t>
        </is>
      </c>
      <c r="R347" t="inlineStr">
        <is>
          <t xml:space="preserve">BX </t>
        </is>
      </c>
      <c r="S347" t="n">
        <v>1</v>
      </c>
      <c r="T347" t="n">
        <v>24</v>
      </c>
      <c r="V347" t="inlineStr">
        <is>
          <t>2002-08-30</t>
        </is>
      </c>
      <c r="W347" t="inlineStr">
        <is>
          <t>1999-06-23</t>
        </is>
      </c>
      <c r="X347" t="inlineStr">
        <is>
          <t>1999-06-23</t>
        </is>
      </c>
      <c r="Y347" t="n">
        <v>30</v>
      </c>
      <c r="Z347" t="n">
        <v>18</v>
      </c>
      <c r="AA347" t="n">
        <v>198</v>
      </c>
      <c r="AB347" t="n">
        <v>1</v>
      </c>
      <c r="AC347" t="n">
        <v>2</v>
      </c>
      <c r="AD347" t="n">
        <v>1</v>
      </c>
      <c r="AE347" t="n">
        <v>16</v>
      </c>
      <c r="AF347" t="n">
        <v>0</v>
      </c>
      <c r="AG347" t="n">
        <v>4</v>
      </c>
      <c r="AH347" t="n">
        <v>0</v>
      </c>
      <c r="AI347" t="n">
        <v>4</v>
      </c>
      <c r="AJ347" t="n">
        <v>1</v>
      </c>
      <c r="AK347" t="n">
        <v>12</v>
      </c>
      <c r="AL347" t="n">
        <v>0</v>
      </c>
      <c r="AM347" t="n">
        <v>1</v>
      </c>
      <c r="AN347" t="n">
        <v>0</v>
      </c>
      <c r="AO347" t="n">
        <v>0</v>
      </c>
      <c r="AP347" t="inlineStr">
        <is>
          <t>No</t>
        </is>
      </c>
      <c r="AQ347" t="inlineStr">
        <is>
          <t>Yes</t>
        </is>
      </c>
      <c r="AR347">
        <f>HYPERLINK("http://catalog.hathitrust.org/Record/011239170","HathiTrust Record")</f>
        <v/>
      </c>
      <c r="AS347">
        <f>HYPERLINK("https://creighton-primo.hosted.exlibrisgroup.com/primo-explore/search?tab=default_tab&amp;search_scope=EVERYTHING&amp;vid=01CRU&amp;lang=en_US&amp;offset=0&amp;query=any,contains,991000900959702656","Catalog Record")</f>
        <v/>
      </c>
      <c r="AT347">
        <f>HYPERLINK("http://www.worldcat.org/oclc/14067292","WorldCat Record")</f>
        <v/>
      </c>
      <c r="AU347" t="inlineStr">
        <is>
          <t>4916181504:fre</t>
        </is>
      </c>
      <c r="AV347" t="inlineStr">
        <is>
          <t>14067292</t>
        </is>
      </c>
      <c r="AW347" t="inlineStr">
        <is>
          <t>991000900959702656</t>
        </is>
      </c>
      <c r="AX347" t="inlineStr">
        <is>
          <t>991000900959702656</t>
        </is>
      </c>
      <c r="AY347" t="inlineStr">
        <is>
          <t>2255699650002656</t>
        </is>
      </c>
      <c r="AZ347" t="inlineStr">
        <is>
          <t>BOOK</t>
        </is>
      </c>
      <c r="BC347" t="inlineStr">
        <is>
          <t>32285003576328</t>
        </is>
      </c>
      <c r="BD347" t="inlineStr">
        <is>
          <t>893432406</t>
        </is>
      </c>
    </row>
    <row r="348">
      <c r="A348" t="inlineStr">
        <is>
          <t>No</t>
        </is>
      </c>
      <c r="B348" t="inlineStr">
        <is>
          <t>BX1528 .B83</t>
        </is>
      </c>
      <c r="C348" t="inlineStr">
        <is>
          <t>0                      BX 1528000B  83</t>
        </is>
      </c>
      <c r="D348" t="inlineStr">
        <is>
          <t>Histoire littéraire du sentiment religieux en France : depuis la fin des guerres de religion jusqu'à nos jours / par Henri Brémond ; index alphabetique et analytique, par Charles Grolleau.</t>
        </is>
      </c>
      <c r="E348" t="inlineStr">
        <is>
          <t>V. 3</t>
        </is>
      </c>
      <c r="F348" t="inlineStr">
        <is>
          <t>Yes</t>
        </is>
      </c>
      <c r="G348" t="inlineStr">
        <is>
          <t>1</t>
        </is>
      </c>
      <c r="H348" t="inlineStr">
        <is>
          <t>No</t>
        </is>
      </c>
      <c r="I348" t="inlineStr">
        <is>
          <t>No</t>
        </is>
      </c>
      <c r="J348" t="inlineStr">
        <is>
          <t>0</t>
        </is>
      </c>
      <c r="K348" t="inlineStr">
        <is>
          <t>Bremond, Henri, 1865-1933.</t>
        </is>
      </c>
      <c r="L348" t="inlineStr">
        <is>
          <t>Paris : Bloud et Gay, 1929-1936.</t>
        </is>
      </c>
      <c r="M348" t="inlineStr">
        <is>
          <t>1929</t>
        </is>
      </c>
      <c r="O348" t="inlineStr">
        <is>
          <t>fre</t>
        </is>
      </c>
      <c r="P348" t="inlineStr">
        <is>
          <t xml:space="preserve">fr </t>
        </is>
      </c>
      <c r="R348" t="inlineStr">
        <is>
          <t xml:space="preserve">BX </t>
        </is>
      </c>
      <c r="S348" t="n">
        <v>5</v>
      </c>
      <c r="T348" t="n">
        <v>24</v>
      </c>
      <c r="U348" t="inlineStr">
        <is>
          <t>2002-08-30</t>
        </is>
      </c>
      <c r="V348" t="inlineStr">
        <is>
          <t>2002-08-30</t>
        </is>
      </c>
      <c r="W348" t="inlineStr">
        <is>
          <t>1999-06-23</t>
        </is>
      </c>
      <c r="X348" t="inlineStr">
        <is>
          <t>1999-06-23</t>
        </is>
      </c>
      <c r="Y348" t="n">
        <v>30</v>
      </c>
      <c r="Z348" t="n">
        <v>18</v>
      </c>
      <c r="AA348" t="n">
        <v>198</v>
      </c>
      <c r="AB348" t="n">
        <v>1</v>
      </c>
      <c r="AC348" t="n">
        <v>2</v>
      </c>
      <c r="AD348" t="n">
        <v>1</v>
      </c>
      <c r="AE348" t="n">
        <v>16</v>
      </c>
      <c r="AF348" t="n">
        <v>0</v>
      </c>
      <c r="AG348" t="n">
        <v>4</v>
      </c>
      <c r="AH348" t="n">
        <v>0</v>
      </c>
      <c r="AI348" t="n">
        <v>4</v>
      </c>
      <c r="AJ348" t="n">
        <v>1</v>
      </c>
      <c r="AK348" t="n">
        <v>12</v>
      </c>
      <c r="AL348" t="n">
        <v>0</v>
      </c>
      <c r="AM348" t="n">
        <v>1</v>
      </c>
      <c r="AN348" t="n">
        <v>0</v>
      </c>
      <c r="AO348" t="n">
        <v>0</v>
      </c>
      <c r="AP348" t="inlineStr">
        <is>
          <t>No</t>
        </is>
      </c>
      <c r="AQ348" t="inlineStr">
        <is>
          <t>Yes</t>
        </is>
      </c>
      <c r="AR348">
        <f>HYPERLINK("http://catalog.hathitrust.org/Record/011239170","HathiTrust Record")</f>
        <v/>
      </c>
      <c r="AS348">
        <f>HYPERLINK("https://creighton-primo.hosted.exlibrisgroup.com/primo-explore/search?tab=default_tab&amp;search_scope=EVERYTHING&amp;vid=01CRU&amp;lang=en_US&amp;offset=0&amp;query=any,contains,991000900959702656","Catalog Record")</f>
        <v/>
      </c>
      <c r="AT348">
        <f>HYPERLINK("http://www.worldcat.org/oclc/14067292","WorldCat Record")</f>
        <v/>
      </c>
      <c r="AU348" t="inlineStr">
        <is>
          <t>4916181504:fre</t>
        </is>
      </c>
      <c r="AV348" t="inlineStr">
        <is>
          <t>14067292</t>
        </is>
      </c>
      <c r="AW348" t="inlineStr">
        <is>
          <t>991000900959702656</t>
        </is>
      </c>
      <c r="AX348" t="inlineStr">
        <is>
          <t>991000900959702656</t>
        </is>
      </c>
      <c r="AY348" t="inlineStr">
        <is>
          <t>2255699650002656</t>
        </is>
      </c>
      <c r="AZ348" t="inlineStr">
        <is>
          <t>BOOK</t>
        </is>
      </c>
      <c r="BC348" t="inlineStr">
        <is>
          <t>32285003576286</t>
        </is>
      </c>
      <c r="BD348" t="inlineStr">
        <is>
          <t>893432407</t>
        </is>
      </c>
    </row>
    <row r="349">
      <c r="A349" t="inlineStr">
        <is>
          <t>No</t>
        </is>
      </c>
      <c r="B349" t="inlineStr">
        <is>
          <t>BX1528 .B83</t>
        </is>
      </c>
      <c r="C349" t="inlineStr">
        <is>
          <t>0                      BX 1528000B  83</t>
        </is>
      </c>
      <c r="D349" t="inlineStr">
        <is>
          <t>Histoire littéraire du sentiment religieux en France : depuis la fin des guerres de religion jusqu'à nos jours / par Henri Brémond ; index alphabetique et analytique, par Charles Grolleau.</t>
        </is>
      </c>
      <c r="E349" t="inlineStr">
        <is>
          <t>V. 9</t>
        </is>
      </c>
      <c r="F349" t="inlineStr">
        <is>
          <t>Yes</t>
        </is>
      </c>
      <c r="G349" t="inlineStr">
        <is>
          <t>1</t>
        </is>
      </c>
      <c r="H349" t="inlineStr">
        <is>
          <t>No</t>
        </is>
      </c>
      <c r="I349" t="inlineStr">
        <is>
          <t>No</t>
        </is>
      </c>
      <c r="J349" t="inlineStr">
        <is>
          <t>0</t>
        </is>
      </c>
      <c r="K349" t="inlineStr">
        <is>
          <t>Bremond, Henri, 1865-1933.</t>
        </is>
      </c>
      <c r="L349" t="inlineStr">
        <is>
          <t>Paris : Bloud et Gay, 1929-1936.</t>
        </is>
      </c>
      <c r="M349" t="inlineStr">
        <is>
          <t>1929</t>
        </is>
      </c>
      <c r="O349" t="inlineStr">
        <is>
          <t>fre</t>
        </is>
      </c>
      <c r="P349" t="inlineStr">
        <is>
          <t xml:space="preserve">fr </t>
        </is>
      </c>
      <c r="R349" t="inlineStr">
        <is>
          <t xml:space="preserve">BX </t>
        </is>
      </c>
      <c r="S349" t="n">
        <v>1</v>
      </c>
      <c r="T349" t="n">
        <v>24</v>
      </c>
      <c r="V349" t="inlineStr">
        <is>
          <t>2002-08-30</t>
        </is>
      </c>
      <c r="W349" t="inlineStr">
        <is>
          <t>1999-06-23</t>
        </is>
      </c>
      <c r="X349" t="inlineStr">
        <is>
          <t>1999-06-23</t>
        </is>
      </c>
      <c r="Y349" t="n">
        <v>30</v>
      </c>
      <c r="Z349" t="n">
        <v>18</v>
      </c>
      <c r="AA349" t="n">
        <v>198</v>
      </c>
      <c r="AB349" t="n">
        <v>1</v>
      </c>
      <c r="AC349" t="n">
        <v>2</v>
      </c>
      <c r="AD349" t="n">
        <v>1</v>
      </c>
      <c r="AE349" t="n">
        <v>16</v>
      </c>
      <c r="AF349" t="n">
        <v>0</v>
      </c>
      <c r="AG349" t="n">
        <v>4</v>
      </c>
      <c r="AH349" t="n">
        <v>0</v>
      </c>
      <c r="AI349" t="n">
        <v>4</v>
      </c>
      <c r="AJ349" t="n">
        <v>1</v>
      </c>
      <c r="AK349" t="n">
        <v>12</v>
      </c>
      <c r="AL349" t="n">
        <v>0</v>
      </c>
      <c r="AM349" t="n">
        <v>1</v>
      </c>
      <c r="AN349" t="n">
        <v>0</v>
      </c>
      <c r="AO349" t="n">
        <v>0</v>
      </c>
      <c r="AP349" t="inlineStr">
        <is>
          <t>No</t>
        </is>
      </c>
      <c r="AQ349" t="inlineStr">
        <is>
          <t>Yes</t>
        </is>
      </c>
      <c r="AR349">
        <f>HYPERLINK("http://catalog.hathitrust.org/Record/011239170","HathiTrust Record")</f>
        <v/>
      </c>
      <c r="AS349">
        <f>HYPERLINK("https://creighton-primo.hosted.exlibrisgroup.com/primo-explore/search?tab=default_tab&amp;search_scope=EVERYTHING&amp;vid=01CRU&amp;lang=en_US&amp;offset=0&amp;query=any,contains,991000900959702656","Catalog Record")</f>
        <v/>
      </c>
      <c r="AT349">
        <f>HYPERLINK("http://www.worldcat.org/oclc/14067292","WorldCat Record")</f>
        <v/>
      </c>
      <c r="AU349" t="inlineStr">
        <is>
          <t>4916181504:fre</t>
        </is>
      </c>
      <c r="AV349" t="inlineStr">
        <is>
          <t>14067292</t>
        </is>
      </c>
      <c r="AW349" t="inlineStr">
        <is>
          <t>991000900959702656</t>
        </is>
      </c>
      <c r="AX349" t="inlineStr">
        <is>
          <t>991000900959702656</t>
        </is>
      </c>
      <c r="AY349" t="inlineStr">
        <is>
          <t>2255699650002656</t>
        </is>
      </c>
      <c r="AZ349" t="inlineStr">
        <is>
          <t>BOOK</t>
        </is>
      </c>
      <c r="BC349" t="inlineStr">
        <is>
          <t>32285003576344</t>
        </is>
      </c>
      <c r="BD349" t="inlineStr">
        <is>
          <t>893432402</t>
        </is>
      </c>
    </row>
    <row r="350">
      <c r="A350" t="inlineStr">
        <is>
          <t>No</t>
        </is>
      </c>
      <c r="B350" t="inlineStr">
        <is>
          <t>BX1528 .B83</t>
        </is>
      </c>
      <c r="C350" t="inlineStr">
        <is>
          <t>0                      BX 1528000B  83</t>
        </is>
      </c>
      <c r="D350" t="inlineStr">
        <is>
          <t>Histoire littéraire du sentiment religieux en France : depuis la fin des guerres de religion jusqu'à nos jours / par Henri Brémond ; index alphabetique et analytique, par Charles Grolleau.</t>
        </is>
      </c>
      <c r="E350" t="inlineStr">
        <is>
          <t>V. 4</t>
        </is>
      </c>
      <c r="F350" t="inlineStr">
        <is>
          <t>Yes</t>
        </is>
      </c>
      <c r="G350" t="inlineStr">
        <is>
          <t>1</t>
        </is>
      </c>
      <c r="H350" t="inlineStr">
        <is>
          <t>No</t>
        </is>
      </c>
      <c r="I350" t="inlineStr">
        <is>
          <t>No</t>
        </is>
      </c>
      <c r="J350" t="inlineStr">
        <is>
          <t>0</t>
        </is>
      </c>
      <c r="K350" t="inlineStr">
        <is>
          <t>Bremond, Henri, 1865-1933.</t>
        </is>
      </c>
      <c r="L350" t="inlineStr">
        <is>
          <t>Paris : Bloud et Gay, 1929-1936.</t>
        </is>
      </c>
      <c r="M350" t="inlineStr">
        <is>
          <t>1929</t>
        </is>
      </c>
      <c r="O350" t="inlineStr">
        <is>
          <t>fre</t>
        </is>
      </c>
      <c r="P350" t="inlineStr">
        <is>
          <t xml:space="preserve">fr </t>
        </is>
      </c>
      <c r="R350" t="inlineStr">
        <is>
          <t xml:space="preserve">BX </t>
        </is>
      </c>
      <c r="S350" t="n">
        <v>4</v>
      </c>
      <c r="T350" t="n">
        <v>24</v>
      </c>
      <c r="U350" t="inlineStr">
        <is>
          <t>2002-08-30</t>
        </is>
      </c>
      <c r="V350" t="inlineStr">
        <is>
          <t>2002-08-30</t>
        </is>
      </c>
      <c r="W350" t="inlineStr">
        <is>
          <t>1999-06-23</t>
        </is>
      </c>
      <c r="X350" t="inlineStr">
        <is>
          <t>1999-06-23</t>
        </is>
      </c>
      <c r="Y350" t="n">
        <v>30</v>
      </c>
      <c r="Z350" t="n">
        <v>18</v>
      </c>
      <c r="AA350" t="n">
        <v>198</v>
      </c>
      <c r="AB350" t="n">
        <v>1</v>
      </c>
      <c r="AC350" t="n">
        <v>2</v>
      </c>
      <c r="AD350" t="n">
        <v>1</v>
      </c>
      <c r="AE350" t="n">
        <v>16</v>
      </c>
      <c r="AF350" t="n">
        <v>0</v>
      </c>
      <c r="AG350" t="n">
        <v>4</v>
      </c>
      <c r="AH350" t="n">
        <v>0</v>
      </c>
      <c r="AI350" t="n">
        <v>4</v>
      </c>
      <c r="AJ350" t="n">
        <v>1</v>
      </c>
      <c r="AK350" t="n">
        <v>12</v>
      </c>
      <c r="AL350" t="n">
        <v>0</v>
      </c>
      <c r="AM350" t="n">
        <v>1</v>
      </c>
      <c r="AN350" t="n">
        <v>0</v>
      </c>
      <c r="AO350" t="n">
        <v>0</v>
      </c>
      <c r="AP350" t="inlineStr">
        <is>
          <t>No</t>
        </is>
      </c>
      <c r="AQ350" t="inlineStr">
        <is>
          <t>Yes</t>
        </is>
      </c>
      <c r="AR350">
        <f>HYPERLINK("http://catalog.hathitrust.org/Record/011239170","HathiTrust Record")</f>
        <v/>
      </c>
      <c r="AS350">
        <f>HYPERLINK("https://creighton-primo.hosted.exlibrisgroup.com/primo-explore/search?tab=default_tab&amp;search_scope=EVERYTHING&amp;vid=01CRU&amp;lang=en_US&amp;offset=0&amp;query=any,contains,991000900959702656","Catalog Record")</f>
        <v/>
      </c>
      <c r="AT350">
        <f>HYPERLINK("http://www.worldcat.org/oclc/14067292","WorldCat Record")</f>
        <v/>
      </c>
      <c r="AU350" t="inlineStr">
        <is>
          <t>4916181504:fre</t>
        </is>
      </c>
      <c r="AV350" t="inlineStr">
        <is>
          <t>14067292</t>
        </is>
      </c>
      <c r="AW350" t="inlineStr">
        <is>
          <t>991000900959702656</t>
        </is>
      </c>
      <c r="AX350" t="inlineStr">
        <is>
          <t>991000900959702656</t>
        </is>
      </c>
      <c r="AY350" t="inlineStr">
        <is>
          <t>2255699650002656</t>
        </is>
      </c>
      <c r="AZ350" t="inlineStr">
        <is>
          <t>BOOK</t>
        </is>
      </c>
      <c r="BC350" t="inlineStr">
        <is>
          <t>32285003576294</t>
        </is>
      </c>
      <c r="BD350" t="inlineStr">
        <is>
          <t>893426149</t>
        </is>
      </c>
    </row>
    <row r="351">
      <c r="A351" t="inlineStr">
        <is>
          <t>No</t>
        </is>
      </c>
      <c r="B351" t="inlineStr">
        <is>
          <t>BX1528 .B83</t>
        </is>
      </c>
      <c r="C351" t="inlineStr">
        <is>
          <t>0                      BX 1528000B  83</t>
        </is>
      </c>
      <c r="D351" t="inlineStr">
        <is>
          <t>Histoire littéraire du sentiment religieux en France : depuis la fin des guerres de religion jusqu'à nos jours / par Henri Brémond ; index alphabetique et analytique, par Charles Grolleau.</t>
        </is>
      </c>
      <c r="E351" t="inlineStr">
        <is>
          <t>V. 8</t>
        </is>
      </c>
      <c r="F351" t="inlineStr">
        <is>
          <t>Yes</t>
        </is>
      </c>
      <c r="G351" t="inlineStr">
        <is>
          <t>1</t>
        </is>
      </c>
      <c r="H351" t="inlineStr">
        <is>
          <t>No</t>
        </is>
      </c>
      <c r="I351" t="inlineStr">
        <is>
          <t>No</t>
        </is>
      </c>
      <c r="J351" t="inlineStr">
        <is>
          <t>0</t>
        </is>
      </c>
      <c r="K351" t="inlineStr">
        <is>
          <t>Bremond, Henri, 1865-1933.</t>
        </is>
      </c>
      <c r="L351" t="inlineStr">
        <is>
          <t>Paris : Bloud et Gay, 1929-1936.</t>
        </is>
      </c>
      <c r="M351" t="inlineStr">
        <is>
          <t>1929</t>
        </is>
      </c>
      <c r="O351" t="inlineStr">
        <is>
          <t>fre</t>
        </is>
      </c>
      <c r="P351" t="inlineStr">
        <is>
          <t xml:space="preserve">fr </t>
        </is>
      </c>
      <c r="R351" t="inlineStr">
        <is>
          <t xml:space="preserve">BX </t>
        </is>
      </c>
      <c r="S351" t="n">
        <v>1</v>
      </c>
      <c r="T351" t="n">
        <v>24</v>
      </c>
      <c r="V351" t="inlineStr">
        <is>
          <t>2002-08-30</t>
        </is>
      </c>
      <c r="W351" t="inlineStr">
        <is>
          <t>1999-06-23</t>
        </is>
      </c>
      <c r="X351" t="inlineStr">
        <is>
          <t>1999-06-23</t>
        </is>
      </c>
      <c r="Y351" t="n">
        <v>30</v>
      </c>
      <c r="Z351" t="n">
        <v>18</v>
      </c>
      <c r="AA351" t="n">
        <v>198</v>
      </c>
      <c r="AB351" t="n">
        <v>1</v>
      </c>
      <c r="AC351" t="n">
        <v>2</v>
      </c>
      <c r="AD351" t="n">
        <v>1</v>
      </c>
      <c r="AE351" t="n">
        <v>16</v>
      </c>
      <c r="AF351" t="n">
        <v>0</v>
      </c>
      <c r="AG351" t="n">
        <v>4</v>
      </c>
      <c r="AH351" t="n">
        <v>0</v>
      </c>
      <c r="AI351" t="n">
        <v>4</v>
      </c>
      <c r="AJ351" t="n">
        <v>1</v>
      </c>
      <c r="AK351" t="n">
        <v>12</v>
      </c>
      <c r="AL351" t="n">
        <v>0</v>
      </c>
      <c r="AM351" t="n">
        <v>1</v>
      </c>
      <c r="AN351" t="n">
        <v>0</v>
      </c>
      <c r="AO351" t="n">
        <v>0</v>
      </c>
      <c r="AP351" t="inlineStr">
        <is>
          <t>No</t>
        </is>
      </c>
      <c r="AQ351" t="inlineStr">
        <is>
          <t>Yes</t>
        </is>
      </c>
      <c r="AR351">
        <f>HYPERLINK("http://catalog.hathitrust.org/Record/011239170","HathiTrust Record")</f>
        <v/>
      </c>
      <c r="AS351">
        <f>HYPERLINK("https://creighton-primo.hosted.exlibrisgroup.com/primo-explore/search?tab=default_tab&amp;search_scope=EVERYTHING&amp;vid=01CRU&amp;lang=en_US&amp;offset=0&amp;query=any,contains,991000900959702656","Catalog Record")</f>
        <v/>
      </c>
      <c r="AT351">
        <f>HYPERLINK("http://www.worldcat.org/oclc/14067292","WorldCat Record")</f>
        <v/>
      </c>
      <c r="AU351" t="inlineStr">
        <is>
          <t>4916181504:fre</t>
        </is>
      </c>
      <c r="AV351" t="inlineStr">
        <is>
          <t>14067292</t>
        </is>
      </c>
      <c r="AW351" t="inlineStr">
        <is>
          <t>991000900959702656</t>
        </is>
      </c>
      <c r="AX351" t="inlineStr">
        <is>
          <t>991000900959702656</t>
        </is>
      </c>
      <c r="AY351" t="inlineStr">
        <is>
          <t>2255699650002656</t>
        </is>
      </c>
      <c r="AZ351" t="inlineStr">
        <is>
          <t>BOOK</t>
        </is>
      </c>
      <c r="BC351" t="inlineStr">
        <is>
          <t>32285003576336</t>
        </is>
      </c>
      <c r="BD351" t="inlineStr">
        <is>
          <t>893426148</t>
        </is>
      </c>
    </row>
    <row r="352">
      <c r="A352" t="inlineStr">
        <is>
          <t>No</t>
        </is>
      </c>
      <c r="B352" t="inlineStr">
        <is>
          <t>BX1528 .B83</t>
        </is>
      </c>
      <c r="C352" t="inlineStr">
        <is>
          <t>0                      BX 1528000B  83</t>
        </is>
      </c>
      <c r="D352" t="inlineStr">
        <is>
          <t>Histoire littéraire du sentiment religieux en France : depuis la fin des guerres de religion jusqu'à nos jours / par Henri Brémond ; index alphabetique et analytique, par Charles Grolleau.</t>
        </is>
      </c>
      <c r="E352" t="inlineStr">
        <is>
          <t>V. 11</t>
        </is>
      </c>
      <c r="F352" t="inlineStr">
        <is>
          <t>Yes</t>
        </is>
      </c>
      <c r="G352" t="inlineStr">
        <is>
          <t>1</t>
        </is>
      </c>
      <c r="H352" t="inlineStr">
        <is>
          <t>No</t>
        </is>
      </c>
      <c r="I352" t="inlineStr">
        <is>
          <t>No</t>
        </is>
      </c>
      <c r="J352" t="inlineStr">
        <is>
          <t>0</t>
        </is>
      </c>
      <c r="K352" t="inlineStr">
        <is>
          <t>Bremond, Henri, 1865-1933.</t>
        </is>
      </c>
      <c r="L352" t="inlineStr">
        <is>
          <t>Paris : Bloud et Gay, 1929-1936.</t>
        </is>
      </c>
      <c r="M352" t="inlineStr">
        <is>
          <t>1929</t>
        </is>
      </c>
      <c r="O352" t="inlineStr">
        <is>
          <t>fre</t>
        </is>
      </c>
      <c r="P352" t="inlineStr">
        <is>
          <t xml:space="preserve">fr </t>
        </is>
      </c>
      <c r="R352" t="inlineStr">
        <is>
          <t xml:space="preserve">BX </t>
        </is>
      </c>
      <c r="S352" t="n">
        <v>1</v>
      </c>
      <c r="T352" t="n">
        <v>24</v>
      </c>
      <c r="V352" t="inlineStr">
        <is>
          <t>2002-08-30</t>
        </is>
      </c>
      <c r="W352" t="inlineStr">
        <is>
          <t>1999-06-23</t>
        </is>
      </c>
      <c r="X352" t="inlineStr">
        <is>
          <t>1999-06-23</t>
        </is>
      </c>
      <c r="Y352" t="n">
        <v>30</v>
      </c>
      <c r="Z352" t="n">
        <v>18</v>
      </c>
      <c r="AA352" t="n">
        <v>198</v>
      </c>
      <c r="AB352" t="n">
        <v>1</v>
      </c>
      <c r="AC352" t="n">
        <v>2</v>
      </c>
      <c r="AD352" t="n">
        <v>1</v>
      </c>
      <c r="AE352" t="n">
        <v>16</v>
      </c>
      <c r="AF352" t="n">
        <v>0</v>
      </c>
      <c r="AG352" t="n">
        <v>4</v>
      </c>
      <c r="AH352" t="n">
        <v>0</v>
      </c>
      <c r="AI352" t="n">
        <v>4</v>
      </c>
      <c r="AJ352" t="n">
        <v>1</v>
      </c>
      <c r="AK352" t="n">
        <v>12</v>
      </c>
      <c r="AL352" t="n">
        <v>0</v>
      </c>
      <c r="AM352" t="n">
        <v>1</v>
      </c>
      <c r="AN352" t="n">
        <v>0</v>
      </c>
      <c r="AO352" t="n">
        <v>0</v>
      </c>
      <c r="AP352" t="inlineStr">
        <is>
          <t>No</t>
        </is>
      </c>
      <c r="AQ352" t="inlineStr">
        <is>
          <t>Yes</t>
        </is>
      </c>
      <c r="AR352">
        <f>HYPERLINK("http://catalog.hathitrust.org/Record/011239170","HathiTrust Record")</f>
        <v/>
      </c>
      <c r="AS352">
        <f>HYPERLINK("https://creighton-primo.hosted.exlibrisgroup.com/primo-explore/search?tab=default_tab&amp;search_scope=EVERYTHING&amp;vid=01CRU&amp;lang=en_US&amp;offset=0&amp;query=any,contains,991000900959702656","Catalog Record")</f>
        <v/>
      </c>
      <c r="AT352">
        <f>HYPERLINK("http://www.worldcat.org/oclc/14067292","WorldCat Record")</f>
        <v/>
      </c>
      <c r="AU352" t="inlineStr">
        <is>
          <t>4916181504:fre</t>
        </is>
      </c>
      <c r="AV352" t="inlineStr">
        <is>
          <t>14067292</t>
        </is>
      </c>
      <c r="AW352" t="inlineStr">
        <is>
          <t>991000900959702656</t>
        </is>
      </c>
      <c r="AX352" t="inlineStr">
        <is>
          <t>991000900959702656</t>
        </is>
      </c>
      <c r="AY352" t="inlineStr">
        <is>
          <t>2255699650002656</t>
        </is>
      </c>
      <c r="AZ352" t="inlineStr">
        <is>
          <t>BOOK</t>
        </is>
      </c>
      <c r="BC352" t="inlineStr">
        <is>
          <t>32285003576369</t>
        </is>
      </c>
      <c r="BD352" t="inlineStr">
        <is>
          <t>893432404</t>
        </is>
      </c>
    </row>
    <row r="353">
      <c r="A353" t="inlineStr">
        <is>
          <t>No</t>
        </is>
      </c>
      <c r="B353" t="inlineStr">
        <is>
          <t>BX1528 .B83</t>
        </is>
      </c>
      <c r="C353" t="inlineStr">
        <is>
          <t>0                      BX 1528000B  83</t>
        </is>
      </c>
      <c r="D353" t="inlineStr">
        <is>
          <t>Histoire littéraire du sentiment religieux en France : depuis la fin des guerres de religion jusqu'à nos jours / par Henri Brémond ; index alphabetique et analytique, par Charles Grolleau.</t>
        </is>
      </c>
      <c r="E353" t="inlineStr">
        <is>
          <t>V. 10</t>
        </is>
      </c>
      <c r="F353" t="inlineStr">
        <is>
          <t>Yes</t>
        </is>
      </c>
      <c r="G353" t="inlineStr">
        <is>
          <t>1</t>
        </is>
      </c>
      <c r="H353" t="inlineStr">
        <is>
          <t>No</t>
        </is>
      </c>
      <c r="I353" t="inlineStr">
        <is>
          <t>No</t>
        </is>
      </c>
      <c r="J353" t="inlineStr">
        <is>
          <t>0</t>
        </is>
      </c>
      <c r="K353" t="inlineStr">
        <is>
          <t>Bremond, Henri, 1865-1933.</t>
        </is>
      </c>
      <c r="L353" t="inlineStr">
        <is>
          <t>Paris : Bloud et Gay, 1929-1936.</t>
        </is>
      </c>
      <c r="M353" t="inlineStr">
        <is>
          <t>1929</t>
        </is>
      </c>
      <c r="O353" t="inlineStr">
        <is>
          <t>fre</t>
        </is>
      </c>
      <c r="P353" t="inlineStr">
        <is>
          <t xml:space="preserve">fr </t>
        </is>
      </c>
      <c r="R353" t="inlineStr">
        <is>
          <t xml:space="preserve">BX </t>
        </is>
      </c>
      <c r="S353" t="n">
        <v>1</v>
      </c>
      <c r="T353" t="n">
        <v>24</v>
      </c>
      <c r="V353" t="inlineStr">
        <is>
          <t>2002-08-30</t>
        </is>
      </c>
      <c r="W353" t="inlineStr">
        <is>
          <t>1999-06-23</t>
        </is>
      </c>
      <c r="X353" t="inlineStr">
        <is>
          <t>1999-06-23</t>
        </is>
      </c>
      <c r="Y353" t="n">
        <v>30</v>
      </c>
      <c r="Z353" t="n">
        <v>18</v>
      </c>
      <c r="AA353" t="n">
        <v>198</v>
      </c>
      <c r="AB353" t="n">
        <v>1</v>
      </c>
      <c r="AC353" t="n">
        <v>2</v>
      </c>
      <c r="AD353" t="n">
        <v>1</v>
      </c>
      <c r="AE353" t="n">
        <v>16</v>
      </c>
      <c r="AF353" t="n">
        <v>0</v>
      </c>
      <c r="AG353" t="n">
        <v>4</v>
      </c>
      <c r="AH353" t="n">
        <v>0</v>
      </c>
      <c r="AI353" t="n">
        <v>4</v>
      </c>
      <c r="AJ353" t="n">
        <v>1</v>
      </c>
      <c r="AK353" t="n">
        <v>12</v>
      </c>
      <c r="AL353" t="n">
        <v>0</v>
      </c>
      <c r="AM353" t="n">
        <v>1</v>
      </c>
      <c r="AN353" t="n">
        <v>0</v>
      </c>
      <c r="AO353" t="n">
        <v>0</v>
      </c>
      <c r="AP353" t="inlineStr">
        <is>
          <t>No</t>
        </is>
      </c>
      <c r="AQ353" t="inlineStr">
        <is>
          <t>Yes</t>
        </is>
      </c>
      <c r="AR353">
        <f>HYPERLINK("http://catalog.hathitrust.org/Record/011239170","HathiTrust Record")</f>
        <v/>
      </c>
      <c r="AS353">
        <f>HYPERLINK("https://creighton-primo.hosted.exlibrisgroup.com/primo-explore/search?tab=default_tab&amp;search_scope=EVERYTHING&amp;vid=01CRU&amp;lang=en_US&amp;offset=0&amp;query=any,contains,991000900959702656","Catalog Record")</f>
        <v/>
      </c>
      <c r="AT353">
        <f>HYPERLINK("http://www.worldcat.org/oclc/14067292","WorldCat Record")</f>
        <v/>
      </c>
      <c r="AU353" t="inlineStr">
        <is>
          <t>4916181504:fre</t>
        </is>
      </c>
      <c r="AV353" t="inlineStr">
        <is>
          <t>14067292</t>
        </is>
      </c>
      <c r="AW353" t="inlineStr">
        <is>
          <t>991000900959702656</t>
        </is>
      </c>
      <c r="AX353" t="inlineStr">
        <is>
          <t>991000900959702656</t>
        </is>
      </c>
      <c r="AY353" t="inlineStr">
        <is>
          <t>2255699650002656</t>
        </is>
      </c>
      <c r="AZ353" t="inlineStr">
        <is>
          <t>BOOK</t>
        </is>
      </c>
      <c r="BC353" t="inlineStr">
        <is>
          <t>32285003576351</t>
        </is>
      </c>
      <c r="BD353" t="inlineStr">
        <is>
          <t>893432405</t>
        </is>
      </c>
    </row>
    <row r="354">
      <c r="A354" t="inlineStr">
        <is>
          <t>No</t>
        </is>
      </c>
      <c r="B354" t="inlineStr">
        <is>
          <t>BX1529 .B46 1989</t>
        </is>
      </c>
      <c r="C354" t="inlineStr">
        <is>
          <t>0                      BX 1529000B  46          1989</t>
        </is>
      </c>
      <c r="D354" t="inlineStr">
        <is>
          <t>Bérulle and the French School : selected writings / edited with an introduction and notes by William M. Thompson ; translation by Lowell M. Glendon ; preface by Susan A. Muto.</t>
        </is>
      </c>
      <c r="F354" t="inlineStr">
        <is>
          <t>No</t>
        </is>
      </c>
      <c r="G354" t="inlineStr">
        <is>
          <t>1</t>
        </is>
      </c>
      <c r="H354" t="inlineStr">
        <is>
          <t>No</t>
        </is>
      </c>
      <c r="I354" t="inlineStr">
        <is>
          <t>No</t>
        </is>
      </c>
      <c r="J354" t="inlineStr">
        <is>
          <t>0</t>
        </is>
      </c>
      <c r="L354" t="inlineStr">
        <is>
          <t>Mahwah, N.J. : Paulist Press, c1989.</t>
        </is>
      </c>
      <c r="M354" t="inlineStr">
        <is>
          <t>1989</t>
        </is>
      </c>
      <c r="O354" t="inlineStr">
        <is>
          <t>eng</t>
        </is>
      </c>
      <c r="P354" t="inlineStr">
        <is>
          <t>nju</t>
        </is>
      </c>
      <c r="Q354" t="inlineStr">
        <is>
          <t>The Classics of Western spirituality</t>
        </is>
      </c>
      <c r="R354" t="inlineStr">
        <is>
          <t xml:space="preserve">BX </t>
        </is>
      </c>
      <c r="S354" t="n">
        <v>8</v>
      </c>
      <c r="T354" t="n">
        <v>8</v>
      </c>
      <c r="U354" t="inlineStr">
        <is>
          <t>2009-07-22</t>
        </is>
      </c>
      <c r="V354" t="inlineStr">
        <is>
          <t>2009-07-22</t>
        </is>
      </c>
      <c r="W354" t="inlineStr">
        <is>
          <t>1990-08-08</t>
        </is>
      </c>
      <c r="X354" t="inlineStr">
        <is>
          <t>1990-08-08</t>
        </is>
      </c>
      <c r="Y354" t="n">
        <v>541</v>
      </c>
      <c r="Z354" t="n">
        <v>458</v>
      </c>
      <c r="AA354" t="n">
        <v>460</v>
      </c>
      <c r="AB354" t="n">
        <v>7</v>
      </c>
      <c r="AC354" t="n">
        <v>7</v>
      </c>
      <c r="AD354" t="n">
        <v>37</v>
      </c>
      <c r="AE354" t="n">
        <v>37</v>
      </c>
      <c r="AF354" t="n">
        <v>16</v>
      </c>
      <c r="AG354" t="n">
        <v>16</v>
      </c>
      <c r="AH354" t="n">
        <v>6</v>
      </c>
      <c r="AI354" t="n">
        <v>6</v>
      </c>
      <c r="AJ354" t="n">
        <v>21</v>
      </c>
      <c r="AK354" t="n">
        <v>21</v>
      </c>
      <c r="AL354" t="n">
        <v>4</v>
      </c>
      <c r="AM354" t="n">
        <v>4</v>
      </c>
      <c r="AN354" t="n">
        <v>0</v>
      </c>
      <c r="AO354" t="n">
        <v>0</v>
      </c>
      <c r="AP354" t="inlineStr">
        <is>
          <t>No</t>
        </is>
      </c>
      <c r="AQ354" t="inlineStr">
        <is>
          <t>Yes</t>
        </is>
      </c>
      <c r="AR354">
        <f>HYPERLINK("http://catalog.hathitrust.org/Record/002815901","HathiTrust Record")</f>
        <v/>
      </c>
      <c r="AS354">
        <f>HYPERLINK("https://creighton-primo.hosted.exlibrisgroup.com/primo-explore/search?tab=default_tab&amp;search_scope=EVERYTHING&amp;vid=01CRU&amp;lang=en_US&amp;offset=0&amp;query=any,contains,991001462889702656","Catalog Record")</f>
        <v/>
      </c>
      <c r="AT354">
        <f>HYPERLINK("http://www.worldcat.org/oclc/19457335","WorldCat Record")</f>
        <v/>
      </c>
      <c r="AU354" t="inlineStr">
        <is>
          <t>906756013:eng</t>
        </is>
      </c>
      <c r="AV354" t="inlineStr">
        <is>
          <t>19457335</t>
        </is>
      </c>
      <c r="AW354" t="inlineStr">
        <is>
          <t>991001462889702656</t>
        </is>
      </c>
      <c r="AX354" t="inlineStr">
        <is>
          <t>991001462889702656</t>
        </is>
      </c>
      <c r="AY354" t="inlineStr">
        <is>
          <t>2267100790002656</t>
        </is>
      </c>
      <c r="AZ354" t="inlineStr">
        <is>
          <t>BOOK</t>
        </is>
      </c>
      <c r="BB354" t="inlineStr">
        <is>
          <t>9780809130801</t>
        </is>
      </c>
      <c r="BC354" t="inlineStr">
        <is>
          <t>32285000269984</t>
        </is>
      </c>
      <c r="BD354" t="inlineStr">
        <is>
          <t>893721032</t>
        </is>
      </c>
    </row>
    <row r="355">
      <c r="A355" t="inlineStr">
        <is>
          <t>No</t>
        </is>
      </c>
      <c r="B355" t="inlineStr">
        <is>
          <t>BX1529 .D4813 1994</t>
        </is>
      </c>
      <c r="C355" t="inlineStr">
        <is>
          <t>0                      BX 1529000D  4813        1994</t>
        </is>
      </c>
      <c r="D355" t="inlineStr">
        <is>
          <t>The French School of Spirituality : an introduction and reader / by Raymond Deville ; translated by Agnes Cunningham.</t>
        </is>
      </c>
      <c r="F355" t="inlineStr">
        <is>
          <t>No</t>
        </is>
      </c>
      <c r="G355" t="inlineStr">
        <is>
          <t>1</t>
        </is>
      </c>
      <c r="H355" t="inlineStr">
        <is>
          <t>No</t>
        </is>
      </c>
      <c r="I355" t="inlineStr">
        <is>
          <t>No</t>
        </is>
      </c>
      <c r="J355" t="inlineStr">
        <is>
          <t>0</t>
        </is>
      </c>
      <c r="K355" t="inlineStr">
        <is>
          <t>Deville, Raymond.</t>
        </is>
      </c>
      <c r="L355" t="inlineStr">
        <is>
          <t>Pittsburgh, Pa. : Duquesne University Press, c1994.</t>
        </is>
      </c>
      <c r="M355" t="inlineStr">
        <is>
          <t>1994</t>
        </is>
      </c>
      <c r="O355" t="inlineStr">
        <is>
          <t>eng</t>
        </is>
      </c>
      <c r="P355" t="inlineStr">
        <is>
          <t>pau</t>
        </is>
      </c>
      <c r="R355" t="inlineStr">
        <is>
          <t xml:space="preserve">BX </t>
        </is>
      </c>
      <c r="S355" t="n">
        <v>6</v>
      </c>
      <c r="T355" t="n">
        <v>6</v>
      </c>
      <c r="U355" t="inlineStr">
        <is>
          <t>2009-07-22</t>
        </is>
      </c>
      <c r="V355" t="inlineStr">
        <is>
          <t>2009-07-22</t>
        </is>
      </c>
      <c r="W355" t="inlineStr">
        <is>
          <t>1997-02-06</t>
        </is>
      </c>
      <c r="X355" t="inlineStr">
        <is>
          <t>1997-02-06</t>
        </is>
      </c>
      <c r="Y355" t="n">
        <v>140</v>
      </c>
      <c r="Z355" t="n">
        <v>127</v>
      </c>
      <c r="AA355" t="n">
        <v>146</v>
      </c>
      <c r="AB355" t="n">
        <v>1</v>
      </c>
      <c r="AC355" t="n">
        <v>1</v>
      </c>
      <c r="AD355" t="n">
        <v>16</v>
      </c>
      <c r="AE355" t="n">
        <v>17</v>
      </c>
      <c r="AF355" t="n">
        <v>7</v>
      </c>
      <c r="AG355" t="n">
        <v>7</v>
      </c>
      <c r="AH355" t="n">
        <v>4</v>
      </c>
      <c r="AI355" t="n">
        <v>5</v>
      </c>
      <c r="AJ355" t="n">
        <v>11</v>
      </c>
      <c r="AK355" t="n">
        <v>11</v>
      </c>
      <c r="AL355" t="n">
        <v>0</v>
      </c>
      <c r="AM355" t="n">
        <v>0</v>
      </c>
      <c r="AN355" t="n">
        <v>0</v>
      </c>
      <c r="AO355" t="n">
        <v>0</v>
      </c>
      <c r="AP355" t="inlineStr">
        <is>
          <t>No</t>
        </is>
      </c>
      <c r="AQ355" t="inlineStr">
        <is>
          <t>No</t>
        </is>
      </c>
      <c r="AS355">
        <f>HYPERLINK("https://creighton-primo.hosted.exlibrisgroup.com/primo-explore/search?tab=default_tab&amp;search_scope=EVERYTHING&amp;vid=01CRU&amp;lang=en_US&amp;offset=0&amp;query=any,contains,991002397279702656","Catalog Record")</f>
        <v/>
      </c>
      <c r="AT355">
        <f>HYPERLINK("http://www.worldcat.org/oclc/31134406","WorldCat Record")</f>
        <v/>
      </c>
      <c r="AU355" t="inlineStr">
        <is>
          <t>33281306:eng</t>
        </is>
      </c>
      <c r="AV355" t="inlineStr">
        <is>
          <t>31134406</t>
        </is>
      </c>
      <c r="AW355" t="inlineStr">
        <is>
          <t>991002397279702656</t>
        </is>
      </c>
      <c r="AX355" t="inlineStr">
        <is>
          <t>991002397279702656</t>
        </is>
      </c>
      <c r="AY355" t="inlineStr">
        <is>
          <t>2272773340002656</t>
        </is>
      </c>
      <c r="AZ355" t="inlineStr">
        <is>
          <t>BOOK</t>
        </is>
      </c>
      <c r="BB355" t="inlineStr">
        <is>
          <t>9780820702582</t>
        </is>
      </c>
      <c r="BC355" t="inlineStr">
        <is>
          <t>32285002414596</t>
        </is>
      </c>
      <c r="BD355" t="inlineStr">
        <is>
          <t>893529927</t>
        </is>
      </c>
    </row>
    <row r="356">
      <c r="A356" t="inlineStr">
        <is>
          <t>No</t>
        </is>
      </c>
      <c r="B356" t="inlineStr">
        <is>
          <t>BX1530 .A68 1992</t>
        </is>
      </c>
      <c r="C356" t="inlineStr">
        <is>
          <t>0                      BX 1530000A  68          1992</t>
        </is>
      </c>
      <c r="D356" t="inlineStr">
        <is>
          <t>The end of an élite : the French bishops and the coming of the revolution, 1786-1790 / Nigel Aston.</t>
        </is>
      </c>
      <c r="F356" t="inlineStr">
        <is>
          <t>No</t>
        </is>
      </c>
      <c r="G356" t="inlineStr">
        <is>
          <t>1</t>
        </is>
      </c>
      <c r="H356" t="inlineStr">
        <is>
          <t>No</t>
        </is>
      </c>
      <c r="I356" t="inlineStr">
        <is>
          <t>No</t>
        </is>
      </c>
      <c r="J356" t="inlineStr">
        <is>
          <t>0</t>
        </is>
      </c>
      <c r="K356" t="inlineStr">
        <is>
          <t>Aston, Nigel.</t>
        </is>
      </c>
      <c r="L356" t="inlineStr">
        <is>
          <t>Oxford : Clarendon Press ; New York : Oxford University Press, 1992.</t>
        </is>
      </c>
      <c r="M356" t="inlineStr">
        <is>
          <t>1992</t>
        </is>
      </c>
      <c r="O356" t="inlineStr">
        <is>
          <t>eng</t>
        </is>
      </c>
      <c r="P356" t="inlineStr">
        <is>
          <t>enk</t>
        </is>
      </c>
      <c r="Q356" t="inlineStr">
        <is>
          <t>Oxford historical monographs</t>
        </is>
      </c>
      <c r="R356" t="inlineStr">
        <is>
          <t xml:space="preserve">BX </t>
        </is>
      </c>
      <c r="S356" t="n">
        <v>1</v>
      </c>
      <c r="T356" t="n">
        <v>1</v>
      </c>
      <c r="U356" t="inlineStr">
        <is>
          <t>2005-06-01</t>
        </is>
      </c>
      <c r="V356" t="inlineStr">
        <is>
          <t>2005-06-01</t>
        </is>
      </c>
      <c r="W356" t="inlineStr">
        <is>
          <t>1994-09-21</t>
        </is>
      </c>
      <c r="X356" t="inlineStr">
        <is>
          <t>1994-09-21</t>
        </is>
      </c>
      <c r="Y356" t="n">
        <v>367</v>
      </c>
      <c r="Z356" t="n">
        <v>260</v>
      </c>
      <c r="AA356" t="n">
        <v>292</v>
      </c>
      <c r="AB356" t="n">
        <v>2</v>
      </c>
      <c r="AC356" t="n">
        <v>2</v>
      </c>
      <c r="AD356" t="n">
        <v>21</v>
      </c>
      <c r="AE356" t="n">
        <v>22</v>
      </c>
      <c r="AF356" t="n">
        <v>5</v>
      </c>
      <c r="AG356" t="n">
        <v>5</v>
      </c>
      <c r="AH356" t="n">
        <v>7</v>
      </c>
      <c r="AI356" t="n">
        <v>8</v>
      </c>
      <c r="AJ356" t="n">
        <v>14</v>
      </c>
      <c r="AK356" t="n">
        <v>14</v>
      </c>
      <c r="AL356" t="n">
        <v>1</v>
      </c>
      <c r="AM356" t="n">
        <v>1</v>
      </c>
      <c r="AN356" t="n">
        <v>0</v>
      </c>
      <c r="AO356" t="n">
        <v>0</v>
      </c>
      <c r="AP356" t="inlineStr">
        <is>
          <t>No</t>
        </is>
      </c>
      <c r="AQ356" t="inlineStr">
        <is>
          <t>Yes</t>
        </is>
      </c>
      <c r="AR356">
        <f>HYPERLINK("http://catalog.hathitrust.org/Record/002604276","HathiTrust Record")</f>
        <v/>
      </c>
      <c r="AS356">
        <f>HYPERLINK("https://creighton-primo.hosted.exlibrisgroup.com/primo-explore/search?tab=default_tab&amp;search_scope=EVERYTHING&amp;vid=01CRU&amp;lang=en_US&amp;offset=0&amp;query=any,contains,991002019469702656","Catalog Record")</f>
        <v/>
      </c>
      <c r="AT356">
        <f>HYPERLINK("http://www.worldcat.org/oclc/25676512","WorldCat Record")</f>
        <v/>
      </c>
      <c r="AU356" t="inlineStr">
        <is>
          <t>836894104:eng</t>
        </is>
      </c>
      <c r="AV356" t="inlineStr">
        <is>
          <t>25676512</t>
        </is>
      </c>
      <c r="AW356" t="inlineStr">
        <is>
          <t>991002019469702656</t>
        </is>
      </c>
      <c r="AX356" t="inlineStr">
        <is>
          <t>991002019469702656</t>
        </is>
      </c>
      <c r="AY356" t="inlineStr">
        <is>
          <t>2269066460002656</t>
        </is>
      </c>
      <c r="AZ356" t="inlineStr">
        <is>
          <t>BOOK</t>
        </is>
      </c>
      <c r="BB356" t="inlineStr">
        <is>
          <t>9780198202844</t>
        </is>
      </c>
      <c r="BC356" t="inlineStr">
        <is>
          <t>32285001946325</t>
        </is>
      </c>
      <c r="BD356" t="inlineStr">
        <is>
          <t>893439681</t>
        </is>
      </c>
    </row>
    <row r="357">
      <c r="A357" t="inlineStr">
        <is>
          <t>No</t>
        </is>
      </c>
      <c r="B357" t="inlineStr">
        <is>
          <t>BX1530 .D5 1910</t>
        </is>
      </c>
      <c r="C357" t="inlineStr">
        <is>
          <t>0                      BX 1530000D  5           1910</t>
        </is>
      </c>
      <c r="D357" t="inlineStr">
        <is>
          <t>The Diary of an exiled nun / with a preface by François Coppée.</t>
        </is>
      </c>
      <c r="F357" t="inlineStr">
        <is>
          <t>No</t>
        </is>
      </c>
      <c r="G357" t="inlineStr">
        <is>
          <t>1</t>
        </is>
      </c>
      <c r="H357" t="inlineStr">
        <is>
          <t>No</t>
        </is>
      </c>
      <c r="I357" t="inlineStr">
        <is>
          <t>No</t>
        </is>
      </c>
      <c r="J357" t="inlineStr">
        <is>
          <t>0</t>
        </is>
      </c>
      <c r="L357" t="inlineStr">
        <is>
          <t>St. Louis : B. Herder, 1910.</t>
        </is>
      </c>
      <c r="M357" t="inlineStr">
        <is>
          <t>1910</t>
        </is>
      </c>
      <c r="O357" t="inlineStr">
        <is>
          <t>eng</t>
        </is>
      </c>
      <c r="P357" t="inlineStr">
        <is>
          <t>mou</t>
        </is>
      </c>
      <c r="R357" t="inlineStr">
        <is>
          <t xml:space="preserve">BX </t>
        </is>
      </c>
      <c r="S357" t="n">
        <v>1</v>
      </c>
      <c r="T357" t="n">
        <v>1</v>
      </c>
      <c r="U357" t="inlineStr">
        <is>
          <t>2003-07-24</t>
        </is>
      </c>
      <c r="V357" t="inlineStr">
        <is>
          <t>2003-07-24</t>
        </is>
      </c>
      <c r="W357" t="inlineStr">
        <is>
          <t>1990-03-06</t>
        </is>
      </c>
      <c r="X357" t="inlineStr">
        <is>
          <t>1990-03-06</t>
        </is>
      </c>
      <c r="Y357" t="n">
        <v>19</v>
      </c>
      <c r="Z357" t="n">
        <v>19</v>
      </c>
      <c r="AA357" t="n">
        <v>79</v>
      </c>
      <c r="AB357" t="n">
        <v>1</v>
      </c>
      <c r="AC357" t="n">
        <v>2</v>
      </c>
      <c r="AD357" t="n">
        <v>3</v>
      </c>
      <c r="AE357" t="n">
        <v>10</v>
      </c>
      <c r="AF357" t="n">
        <v>0</v>
      </c>
      <c r="AG357" t="n">
        <v>1</v>
      </c>
      <c r="AH357" t="n">
        <v>1</v>
      </c>
      <c r="AI357" t="n">
        <v>2</v>
      </c>
      <c r="AJ357" t="n">
        <v>2</v>
      </c>
      <c r="AK357" t="n">
        <v>6</v>
      </c>
      <c r="AL357" t="n">
        <v>0</v>
      </c>
      <c r="AM357" t="n">
        <v>1</v>
      </c>
      <c r="AN357" t="n">
        <v>0</v>
      </c>
      <c r="AO357" t="n">
        <v>0</v>
      </c>
      <c r="AP357" t="inlineStr">
        <is>
          <t>No</t>
        </is>
      </c>
      <c r="AQ357" t="inlineStr">
        <is>
          <t>No</t>
        </is>
      </c>
      <c r="AS357">
        <f>HYPERLINK("https://creighton-primo.hosted.exlibrisgroup.com/primo-explore/search?tab=default_tab&amp;search_scope=EVERYTHING&amp;vid=01CRU&amp;lang=en_US&amp;offset=0&amp;query=any,contains,991004599969702656","Catalog Record")</f>
        <v/>
      </c>
      <c r="AT357">
        <f>HYPERLINK("http://www.worldcat.org/oclc/4166143","WorldCat Record")</f>
        <v/>
      </c>
      <c r="AU357" t="inlineStr">
        <is>
          <t>17762562:eng</t>
        </is>
      </c>
      <c r="AV357" t="inlineStr">
        <is>
          <t>4166143</t>
        </is>
      </c>
      <c r="AW357" t="inlineStr">
        <is>
          <t>991004599969702656</t>
        </is>
      </c>
      <c r="AX357" t="inlineStr">
        <is>
          <t>991004599969702656</t>
        </is>
      </c>
      <c r="AY357" t="inlineStr">
        <is>
          <t>2256447970002656</t>
        </is>
      </c>
      <c r="AZ357" t="inlineStr">
        <is>
          <t>BOOK</t>
        </is>
      </c>
      <c r="BC357" t="inlineStr">
        <is>
          <t>32285000077197</t>
        </is>
      </c>
      <c r="BD357" t="inlineStr">
        <is>
          <t>893612536</t>
        </is>
      </c>
    </row>
    <row r="358">
      <c r="A358" t="inlineStr">
        <is>
          <t>No</t>
        </is>
      </c>
      <c r="B358" t="inlineStr">
        <is>
          <t>BX1530 .G8 1924</t>
        </is>
      </c>
      <c r="C358" t="inlineStr">
        <is>
          <t>0                      BX 1530000G  8           1924</t>
        </is>
      </c>
      <c r="D358" t="inlineStr">
        <is>
          <t>The Catholic reaction in France / by Denis Gwynn.</t>
        </is>
      </c>
      <c r="F358" t="inlineStr">
        <is>
          <t>No</t>
        </is>
      </c>
      <c r="G358" t="inlineStr">
        <is>
          <t>1</t>
        </is>
      </c>
      <c r="H358" t="inlineStr">
        <is>
          <t>No</t>
        </is>
      </c>
      <c r="I358" t="inlineStr">
        <is>
          <t>No</t>
        </is>
      </c>
      <c r="J358" t="inlineStr">
        <is>
          <t>0</t>
        </is>
      </c>
      <c r="K358" t="inlineStr">
        <is>
          <t>Gwynn, Denis, 1893-1973.</t>
        </is>
      </c>
      <c r="L358" t="inlineStr">
        <is>
          <t>New York : The Macmillan company, 1924.</t>
        </is>
      </c>
      <c r="M358" t="inlineStr">
        <is>
          <t>1924</t>
        </is>
      </c>
      <c r="O358" t="inlineStr">
        <is>
          <t>eng</t>
        </is>
      </c>
      <c r="P358" t="inlineStr">
        <is>
          <t>nyu</t>
        </is>
      </c>
      <c r="R358" t="inlineStr">
        <is>
          <t xml:space="preserve">BX </t>
        </is>
      </c>
      <c r="S358" t="n">
        <v>2</v>
      </c>
      <c r="T358" t="n">
        <v>2</v>
      </c>
      <c r="U358" t="inlineStr">
        <is>
          <t>1994-06-23</t>
        </is>
      </c>
      <c r="V358" t="inlineStr">
        <is>
          <t>1994-06-23</t>
        </is>
      </c>
      <c r="W358" t="inlineStr">
        <is>
          <t>1991-02-19</t>
        </is>
      </c>
      <c r="X358" t="inlineStr">
        <is>
          <t>1991-02-19</t>
        </is>
      </c>
      <c r="Y358" t="n">
        <v>169</v>
      </c>
      <c r="Z358" t="n">
        <v>127</v>
      </c>
      <c r="AA358" t="n">
        <v>229</v>
      </c>
      <c r="AB358" t="n">
        <v>1</v>
      </c>
      <c r="AC358" t="n">
        <v>2</v>
      </c>
      <c r="AD358" t="n">
        <v>21</v>
      </c>
      <c r="AE358" t="n">
        <v>27</v>
      </c>
      <c r="AF358" t="n">
        <v>4</v>
      </c>
      <c r="AG358" t="n">
        <v>7</v>
      </c>
      <c r="AH358" t="n">
        <v>5</v>
      </c>
      <c r="AI358" t="n">
        <v>6</v>
      </c>
      <c r="AJ358" t="n">
        <v>14</v>
      </c>
      <c r="AK358" t="n">
        <v>14</v>
      </c>
      <c r="AL358" t="n">
        <v>0</v>
      </c>
      <c r="AM358" t="n">
        <v>1</v>
      </c>
      <c r="AN358" t="n">
        <v>0</v>
      </c>
      <c r="AO358" t="n">
        <v>2</v>
      </c>
      <c r="AP358" t="inlineStr">
        <is>
          <t>Yes</t>
        </is>
      </c>
      <c r="AQ358" t="inlineStr">
        <is>
          <t>No</t>
        </is>
      </c>
      <c r="AR358">
        <f>HYPERLINK("http://catalog.hathitrust.org/Record/001416188","HathiTrust Record")</f>
        <v/>
      </c>
      <c r="AS358">
        <f>HYPERLINK("https://creighton-primo.hosted.exlibrisgroup.com/primo-explore/search?tab=default_tab&amp;search_scope=EVERYTHING&amp;vid=01CRU&amp;lang=en_US&amp;offset=0&amp;query=any,contains,991003945009702656","Catalog Record")</f>
        <v/>
      </c>
      <c r="AT358">
        <f>HYPERLINK("http://www.worldcat.org/oclc/1944917","WorldCat Record")</f>
        <v/>
      </c>
      <c r="AU358" t="inlineStr">
        <is>
          <t>223226077:eng</t>
        </is>
      </c>
      <c r="AV358" t="inlineStr">
        <is>
          <t>1944917</t>
        </is>
      </c>
      <c r="AW358" t="inlineStr">
        <is>
          <t>991003945009702656</t>
        </is>
      </c>
      <c r="AX358" t="inlineStr">
        <is>
          <t>991003945009702656</t>
        </is>
      </c>
      <c r="AY358" t="inlineStr">
        <is>
          <t>2266141910002656</t>
        </is>
      </c>
      <c r="AZ358" t="inlineStr">
        <is>
          <t>BOOK</t>
        </is>
      </c>
      <c r="BC358" t="inlineStr">
        <is>
          <t>32285000508738</t>
        </is>
      </c>
      <c r="BD358" t="inlineStr">
        <is>
          <t>893253049</t>
        </is>
      </c>
    </row>
    <row r="359">
      <c r="A359" t="inlineStr">
        <is>
          <t>No</t>
        </is>
      </c>
      <c r="B359" t="inlineStr">
        <is>
          <t>BX1530 .L37 1974b</t>
        </is>
      </c>
      <c r="C359" t="inlineStr">
        <is>
          <t>0                      BX 1530000L  37          1974b</t>
        </is>
      </c>
      <c r="D359" t="inlineStr">
        <is>
          <t>Church and state after the Dreyfus affair : the separation issue in France.</t>
        </is>
      </c>
      <c r="F359" t="inlineStr">
        <is>
          <t>No</t>
        </is>
      </c>
      <c r="G359" t="inlineStr">
        <is>
          <t>1</t>
        </is>
      </c>
      <c r="H359" t="inlineStr">
        <is>
          <t>No</t>
        </is>
      </c>
      <c r="I359" t="inlineStr">
        <is>
          <t>No</t>
        </is>
      </c>
      <c r="J359" t="inlineStr">
        <is>
          <t>0</t>
        </is>
      </c>
      <c r="K359" t="inlineStr">
        <is>
          <t>Larkin, Maurice.</t>
        </is>
      </c>
      <c r="L359" t="inlineStr">
        <is>
          <t>New York : Barnes &amp; Noble, 1974.</t>
        </is>
      </c>
      <c r="M359" t="inlineStr">
        <is>
          <t>1974</t>
        </is>
      </c>
      <c r="O359" t="inlineStr">
        <is>
          <t>eng</t>
        </is>
      </c>
      <c r="P359" t="inlineStr">
        <is>
          <t>nyu</t>
        </is>
      </c>
      <c r="R359" t="inlineStr">
        <is>
          <t xml:space="preserve">BX </t>
        </is>
      </c>
      <c r="S359" t="n">
        <v>4</v>
      </c>
      <c r="T359" t="n">
        <v>4</v>
      </c>
      <c r="U359" t="inlineStr">
        <is>
          <t>1994-06-23</t>
        </is>
      </c>
      <c r="V359" t="inlineStr">
        <is>
          <t>1994-06-23</t>
        </is>
      </c>
      <c r="W359" t="inlineStr">
        <is>
          <t>1991-02-19</t>
        </is>
      </c>
      <c r="X359" t="inlineStr">
        <is>
          <t>1991-02-19</t>
        </is>
      </c>
      <c r="Y359" t="n">
        <v>298</v>
      </c>
      <c r="Z359" t="n">
        <v>285</v>
      </c>
      <c r="AA359" t="n">
        <v>514</v>
      </c>
      <c r="AB359" t="n">
        <v>2</v>
      </c>
      <c r="AC359" t="n">
        <v>5</v>
      </c>
      <c r="AD359" t="n">
        <v>14</v>
      </c>
      <c r="AE359" t="n">
        <v>30</v>
      </c>
      <c r="AF359" t="n">
        <v>7</v>
      </c>
      <c r="AG359" t="n">
        <v>10</v>
      </c>
      <c r="AH359" t="n">
        <v>4</v>
      </c>
      <c r="AI359" t="n">
        <v>7</v>
      </c>
      <c r="AJ359" t="n">
        <v>7</v>
      </c>
      <c r="AK359" t="n">
        <v>17</v>
      </c>
      <c r="AL359" t="n">
        <v>1</v>
      </c>
      <c r="AM359" t="n">
        <v>4</v>
      </c>
      <c r="AN359" t="n">
        <v>0</v>
      </c>
      <c r="AO359" t="n">
        <v>0</v>
      </c>
      <c r="AP359" t="inlineStr">
        <is>
          <t>No</t>
        </is>
      </c>
      <c r="AQ359" t="inlineStr">
        <is>
          <t>No</t>
        </is>
      </c>
      <c r="AS359">
        <f>HYPERLINK("https://creighton-primo.hosted.exlibrisgroup.com/primo-explore/search?tab=default_tab&amp;search_scope=EVERYTHING&amp;vid=01CRU&amp;lang=en_US&amp;offset=0&amp;query=any,contains,991004735369702656","Catalog Record")</f>
        <v/>
      </c>
      <c r="AT359">
        <f>HYPERLINK("http://www.worldcat.org/oclc/919986","WorldCat Record")</f>
        <v/>
      </c>
      <c r="AU359" t="inlineStr">
        <is>
          <t>54010888:eng</t>
        </is>
      </c>
      <c r="AV359" t="inlineStr">
        <is>
          <t>919986</t>
        </is>
      </c>
      <c r="AW359" t="inlineStr">
        <is>
          <t>991004735369702656</t>
        </is>
      </c>
      <c r="AX359" t="inlineStr">
        <is>
          <t>991004735369702656</t>
        </is>
      </c>
      <c r="AY359" t="inlineStr">
        <is>
          <t>2270223740002656</t>
        </is>
      </c>
      <c r="AZ359" t="inlineStr">
        <is>
          <t>BOOK</t>
        </is>
      </c>
      <c r="BC359" t="inlineStr">
        <is>
          <t>32285000508761</t>
        </is>
      </c>
      <c r="BD359" t="inlineStr">
        <is>
          <t>893526439</t>
        </is>
      </c>
    </row>
    <row r="360">
      <c r="A360" t="inlineStr">
        <is>
          <t>No</t>
        </is>
      </c>
      <c r="B360" t="inlineStr">
        <is>
          <t>BX1530 .O37 1988</t>
        </is>
      </c>
      <c r="C360" t="inlineStr">
        <is>
          <t>0                      BX 1530000O  37          1988</t>
        </is>
      </c>
      <c r="D360" t="inlineStr">
        <is>
          <t>Triumph in defeat : infallibility, Vatican I, and the French minority bishops / Margaret O'Gara.</t>
        </is>
      </c>
      <c r="F360" t="inlineStr">
        <is>
          <t>No</t>
        </is>
      </c>
      <c r="G360" t="inlineStr">
        <is>
          <t>1</t>
        </is>
      </c>
      <c r="H360" t="inlineStr">
        <is>
          <t>No</t>
        </is>
      </c>
      <c r="I360" t="inlineStr">
        <is>
          <t>No</t>
        </is>
      </c>
      <c r="J360" t="inlineStr">
        <is>
          <t>0</t>
        </is>
      </c>
      <c r="K360" t="inlineStr">
        <is>
          <t>O'Gara, Margaret, 1947-2012.</t>
        </is>
      </c>
      <c r="L360" t="inlineStr">
        <is>
          <t>Washington, D.C. : Catholic University of America Press, c1988.</t>
        </is>
      </c>
      <c r="M360" t="inlineStr">
        <is>
          <t>1988</t>
        </is>
      </c>
      <c r="O360" t="inlineStr">
        <is>
          <t>eng</t>
        </is>
      </c>
      <c r="P360" t="inlineStr">
        <is>
          <t>dcu</t>
        </is>
      </c>
      <c r="R360" t="inlineStr">
        <is>
          <t xml:space="preserve">BX </t>
        </is>
      </c>
      <c r="S360" t="n">
        <v>5</v>
      </c>
      <c r="T360" t="n">
        <v>5</v>
      </c>
      <c r="U360" t="inlineStr">
        <is>
          <t>2008-03-18</t>
        </is>
      </c>
      <c r="V360" t="inlineStr">
        <is>
          <t>2008-03-18</t>
        </is>
      </c>
      <c r="W360" t="inlineStr">
        <is>
          <t>1990-03-27</t>
        </is>
      </c>
      <c r="X360" t="inlineStr">
        <is>
          <t>1990-03-27</t>
        </is>
      </c>
      <c r="Y360" t="n">
        <v>286</v>
      </c>
      <c r="Z360" t="n">
        <v>239</v>
      </c>
      <c r="AA360" t="n">
        <v>241</v>
      </c>
      <c r="AB360" t="n">
        <v>4</v>
      </c>
      <c r="AC360" t="n">
        <v>4</v>
      </c>
      <c r="AD360" t="n">
        <v>27</v>
      </c>
      <c r="AE360" t="n">
        <v>27</v>
      </c>
      <c r="AF360" t="n">
        <v>7</v>
      </c>
      <c r="AG360" t="n">
        <v>7</v>
      </c>
      <c r="AH360" t="n">
        <v>7</v>
      </c>
      <c r="AI360" t="n">
        <v>7</v>
      </c>
      <c r="AJ360" t="n">
        <v>20</v>
      </c>
      <c r="AK360" t="n">
        <v>20</v>
      </c>
      <c r="AL360" t="n">
        <v>1</v>
      </c>
      <c r="AM360" t="n">
        <v>1</v>
      </c>
      <c r="AN360" t="n">
        <v>0</v>
      </c>
      <c r="AO360" t="n">
        <v>0</v>
      </c>
      <c r="AP360" t="inlineStr">
        <is>
          <t>No</t>
        </is>
      </c>
      <c r="AQ360" t="inlineStr">
        <is>
          <t>Yes</t>
        </is>
      </c>
      <c r="AR360">
        <f>HYPERLINK("http://catalog.hathitrust.org/Record/001080731","HathiTrust Record")</f>
        <v/>
      </c>
      <c r="AS360">
        <f>HYPERLINK("https://creighton-primo.hosted.exlibrisgroup.com/primo-explore/search?tab=default_tab&amp;search_scope=EVERYTHING&amp;vid=01CRU&amp;lang=en_US&amp;offset=0&amp;query=any,contains,991001086739702656","Catalog Record")</f>
        <v/>
      </c>
      <c r="AT360">
        <f>HYPERLINK("http://www.worldcat.org/oclc/16130234","WorldCat Record")</f>
        <v/>
      </c>
      <c r="AU360" t="inlineStr">
        <is>
          <t>221388668:eng</t>
        </is>
      </c>
      <c r="AV360" t="inlineStr">
        <is>
          <t>16130234</t>
        </is>
      </c>
      <c r="AW360" t="inlineStr">
        <is>
          <t>991001086739702656</t>
        </is>
      </c>
      <c r="AX360" t="inlineStr">
        <is>
          <t>991001086739702656</t>
        </is>
      </c>
      <c r="AY360" t="inlineStr">
        <is>
          <t>2268118190002656</t>
        </is>
      </c>
      <c r="AZ360" t="inlineStr">
        <is>
          <t>BOOK</t>
        </is>
      </c>
      <c r="BB360" t="inlineStr">
        <is>
          <t>9780813206417</t>
        </is>
      </c>
      <c r="BC360" t="inlineStr">
        <is>
          <t>32285000098433</t>
        </is>
      </c>
      <c r="BD360" t="inlineStr">
        <is>
          <t>893885032</t>
        </is>
      </c>
    </row>
    <row r="361">
      <c r="A361" t="inlineStr">
        <is>
          <t>No</t>
        </is>
      </c>
      <c r="B361" t="inlineStr">
        <is>
          <t>BX1530 .P35 1967</t>
        </is>
      </c>
      <c r="C361" t="inlineStr">
        <is>
          <t>0                      BX 1530000P  35          1967</t>
        </is>
      </c>
      <c r="D361" t="inlineStr">
        <is>
          <t>The second ralliement : the rapprochement between church and state in France in the twentieth century / [by] Harry W. Paul.</t>
        </is>
      </c>
      <c r="F361" t="inlineStr">
        <is>
          <t>No</t>
        </is>
      </c>
      <c r="G361" t="inlineStr">
        <is>
          <t>1</t>
        </is>
      </c>
      <c r="H361" t="inlineStr">
        <is>
          <t>No</t>
        </is>
      </c>
      <c r="I361" t="inlineStr">
        <is>
          <t>No</t>
        </is>
      </c>
      <c r="J361" t="inlineStr">
        <is>
          <t>0</t>
        </is>
      </c>
      <c r="K361" t="inlineStr">
        <is>
          <t>Paul, Harry W.</t>
        </is>
      </c>
      <c r="L361" t="inlineStr">
        <is>
          <t>Washington : Catholic University of America Press, [1967]</t>
        </is>
      </c>
      <c r="M361" t="inlineStr">
        <is>
          <t>1967</t>
        </is>
      </c>
      <c r="O361" t="inlineStr">
        <is>
          <t>eng</t>
        </is>
      </c>
      <c r="P361" t="inlineStr">
        <is>
          <t>dcu</t>
        </is>
      </c>
      <c r="R361" t="inlineStr">
        <is>
          <t xml:space="preserve">BX </t>
        </is>
      </c>
      <c r="S361" t="n">
        <v>2</v>
      </c>
      <c r="T361" t="n">
        <v>2</v>
      </c>
      <c r="U361" t="inlineStr">
        <is>
          <t>2002-04-02</t>
        </is>
      </c>
      <c r="V361" t="inlineStr">
        <is>
          <t>2002-04-02</t>
        </is>
      </c>
      <c r="W361" t="inlineStr">
        <is>
          <t>1991-02-19</t>
        </is>
      </c>
      <c r="X361" t="inlineStr">
        <is>
          <t>1991-02-19</t>
        </is>
      </c>
      <c r="Y361" t="n">
        <v>429</v>
      </c>
      <c r="Z361" t="n">
        <v>372</v>
      </c>
      <c r="AA361" t="n">
        <v>381</v>
      </c>
      <c r="AB361" t="n">
        <v>3</v>
      </c>
      <c r="AC361" t="n">
        <v>3</v>
      </c>
      <c r="AD361" t="n">
        <v>26</v>
      </c>
      <c r="AE361" t="n">
        <v>26</v>
      </c>
      <c r="AF361" t="n">
        <v>6</v>
      </c>
      <c r="AG361" t="n">
        <v>6</v>
      </c>
      <c r="AH361" t="n">
        <v>8</v>
      </c>
      <c r="AI361" t="n">
        <v>8</v>
      </c>
      <c r="AJ361" t="n">
        <v>17</v>
      </c>
      <c r="AK361" t="n">
        <v>17</v>
      </c>
      <c r="AL361" t="n">
        <v>2</v>
      </c>
      <c r="AM361" t="n">
        <v>2</v>
      </c>
      <c r="AN361" t="n">
        <v>1</v>
      </c>
      <c r="AO361" t="n">
        <v>1</v>
      </c>
      <c r="AP361" t="inlineStr">
        <is>
          <t>No</t>
        </is>
      </c>
      <c r="AQ361" t="inlineStr">
        <is>
          <t>Yes</t>
        </is>
      </c>
      <c r="AR361">
        <f>HYPERLINK("http://catalog.hathitrust.org/Record/001958577","HathiTrust Record")</f>
        <v/>
      </c>
      <c r="AS361">
        <f>HYPERLINK("https://creighton-primo.hosted.exlibrisgroup.com/primo-explore/search?tab=default_tab&amp;search_scope=EVERYTHING&amp;vid=01CRU&amp;lang=en_US&amp;offset=0&amp;query=any,contains,991002448739702656","Catalog Record")</f>
        <v/>
      </c>
      <c r="AT361">
        <f>HYPERLINK("http://www.worldcat.org/oclc/352336","WorldCat Record")</f>
        <v/>
      </c>
      <c r="AU361" t="inlineStr">
        <is>
          <t>1388564:eng</t>
        </is>
      </c>
      <c r="AV361" t="inlineStr">
        <is>
          <t>352336</t>
        </is>
      </c>
      <c r="AW361" t="inlineStr">
        <is>
          <t>991002448739702656</t>
        </is>
      </c>
      <c r="AX361" t="inlineStr">
        <is>
          <t>991002448739702656</t>
        </is>
      </c>
      <c r="AY361" t="inlineStr">
        <is>
          <t>2265250710002656</t>
        </is>
      </c>
      <c r="AZ361" t="inlineStr">
        <is>
          <t>BOOK</t>
        </is>
      </c>
      <c r="BC361" t="inlineStr">
        <is>
          <t>32285000508787</t>
        </is>
      </c>
      <c r="BD361" t="inlineStr">
        <is>
          <t>893603616</t>
        </is>
      </c>
    </row>
    <row r="362">
      <c r="A362" t="inlineStr">
        <is>
          <t>No</t>
        </is>
      </c>
      <c r="B362" t="inlineStr">
        <is>
          <t>BX1530.2 .L37 1995</t>
        </is>
      </c>
      <c r="C362" t="inlineStr">
        <is>
          <t>0                      BX 1530200L  37          1995</t>
        </is>
      </c>
      <c r="D362" t="inlineStr">
        <is>
          <t>Religion, politics, and preferment in France since 1890 : la Belle Epoque and its legacy / Maurice Larkin.</t>
        </is>
      </c>
      <c r="F362" t="inlineStr">
        <is>
          <t>No</t>
        </is>
      </c>
      <c r="G362" t="inlineStr">
        <is>
          <t>1</t>
        </is>
      </c>
      <c r="H362" t="inlineStr">
        <is>
          <t>No</t>
        </is>
      </c>
      <c r="I362" t="inlineStr">
        <is>
          <t>No</t>
        </is>
      </c>
      <c r="J362" t="inlineStr">
        <is>
          <t>0</t>
        </is>
      </c>
      <c r="K362" t="inlineStr">
        <is>
          <t>Larkin, Maurice.</t>
        </is>
      </c>
      <c r="L362" t="inlineStr">
        <is>
          <t>Cambridge ; New York, NY, USA : Cambridge University Press, 1995.</t>
        </is>
      </c>
      <c r="M362" t="inlineStr">
        <is>
          <t>1995</t>
        </is>
      </c>
      <c r="O362" t="inlineStr">
        <is>
          <t>eng</t>
        </is>
      </c>
      <c r="P362" t="inlineStr">
        <is>
          <t>enk</t>
        </is>
      </c>
      <c r="Q362" t="inlineStr">
        <is>
          <t>The Wiles lectures</t>
        </is>
      </c>
      <c r="R362" t="inlineStr">
        <is>
          <t xml:space="preserve">BX </t>
        </is>
      </c>
      <c r="S362" t="n">
        <v>3</v>
      </c>
      <c r="T362" t="n">
        <v>3</v>
      </c>
      <c r="U362" t="inlineStr">
        <is>
          <t>2008-10-15</t>
        </is>
      </c>
      <c r="V362" t="inlineStr">
        <is>
          <t>2008-10-15</t>
        </is>
      </c>
      <c r="W362" t="inlineStr">
        <is>
          <t>1995-05-01</t>
        </is>
      </c>
      <c r="X362" t="inlineStr">
        <is>
          <t>1995-05-01</t>
        </is>
      </c>
      <c r="Y362" t="n">
        <v>372</v>
      </c>
      <c r="Z362" t="n">
        <v>262</v>
      </c>
      <c r="AA362" t="n">
        <v>276</v>
      </c>
      <c r="AB362" t="n">
        <v>2</v>
      </c>
      <c r="AC362" t="n">
        <v>2</v>
      </c>
      <c r="AD362" t="n">
        <v>22</v>
      </c>
      <c r="AE362" t="n">
        <v>22</v>
      </c>
      <c r="AF362" t="n">
        <v>5</v>
      </c>
      <c r="AG362" t="n">
        <v>5</v>
      </c>
      <c r="AH362" t="n">
        <v>9</v>
      </c>
      <c r="AI362" t="n">
        <v>9</v>
      </c>
      <c r="AJ362" t="n">
        <v>14</v>
      </c>
      <c r="AK362" t="n">
        <v>14</v>
      </c>
      <c r="AL362" t="n">
        <v>1</v>
      </c>
      <c r="AM362" t="n">
        <v>1</v>
      </c>
      <c r="AN362" t="n">
        <v>0</v>
      </c>
      <c r="AO362" t="n">
        <v>0</v>
      </c>
      <c r="AP362" t="inlineStr">
        <is>
          <t>No</t>
        </is>
      </c>
      <c r="AQ362" t="inlineStr">
        <is>
          <t>No</t>
        </is>
      </c>
      <c r="AS362">
        <f>HYPERLINK("https://creighton-primo.hosted.exlibrisgroup.com/primo-explore/search?tab=default_tab&amp;search_scope=EVERYTHING&amp;vid=01CRU&amp;lang=en_US&amp;offset=0&amp;query=any,contains,991002349529702656","Catalog Record")</f>
        <v/>
      </c>
      <c r="AT362">
        <f>HYPERLINK("http://www.worldcat.org/oclc/30594213","WorldCat Record")</f>
        <v/>
      </c>
      <c r="AU362" t="inlineStr">
        <is>
          <t>795793157:eng</t>
        </is>
      </c>
      <c r="AV362" t="inlineStr">
        <is>
          <t>30594213</t>
        </is>
      </c>
      <c r="AW362" t="inlineStr">
        <is>
          <t>991002349529702656</t>
        </is>
      </c>
      <c r="AX362" t="inlineStr">
        <is>
          <t>991002349529702656</t>
        </is>
      </c>
      <c r="AY362" t="inlineStr">
        <is>
          <t>2263857680002656</t>
        </is>
      </c>
      <c r="AZ362" t="inlineStr">
        <is>
          <t>BOOK</t>
        </is>
      </c>
      <c r="BB362" t="inlineStr">
        <is>
          <t>9780521419161</t>
        </is>
      </c>
      <c r="BC362" t="inlineStr">
        <is>
          <t>32285002037132</t>
        </is>
      </c>
      <c r="BD362" t="inlineStr">
        <is>
          <t>893685260</t>
        </is>
      </c>
    </row>
    <row r="363">
      <c r="A363" t="inlineStr">
        <is>
          <t>No</t>
        </is>
      </c>
      <c r="B363" t="inlineStr">
        <is>
          <t>BX1536 .K65 1940</t>
        </is>
      </c>
      <c r="C363" t="inlineStr">
        <is>
          <t>0                      BX 1536000K  65          1940</t>
        </is>
      </c>
      <c r="D363" t="inlineStr">
        <is>
          <t>Nazi and Nazarene / by Ronald Knox.</t>
        </is>
      </c>
      <c r="F363" t="inlineStr">
        <is>
          <t>No</t>
        </is>
      </c>
      <c r="G363" t="inlineStr">
        <is>
          <t>1</t>
        </is>
      </c>
      <c r="H363" t="inlineStr">
        <is>
          <t>No</t>
        </is>
      </c>
      <c r="I363" t="inlineStr">
        <is>
          <t>No</t>
        </is>
      </c>
      <c r="J363" t="inlineStr">
        <is>
          <t>0</t>
        </is>
      </c>
      <c r="K363" t="inlineStr">
        <is>
          <t>Knox, Ronald Arbuthnott, 1888-1957.</t>
        </is>
      </c>
      <c r="L363" t="inlineStr">
        <is>
          <t>London : Macmillan and co., ltd., 1940.</t>
        </is>
      </c>
      <c r="M363" t="inlineStr">
        <is>
          <t>1940</t>
        </is>
      </c>
      <c r="O363" t="inlineStr">
        <is>
          <t>eng</t>
        </is>
      </c>
      <c r="P363" t="inlineStr">
        <is>
          <t xml:space="preserve">xx </t>
        </is>
      </c>
      <c r="Q363" t="inlineStr">
        <is>
          <t>Macmillan war pamphlets ; no. 5</t>
        </is>
      </c>
      <c r="R363" t="inlineStr">
        <is>
          <t xml:space="preserve">BX </t>
        </is>
      </c>
      <c r="S363" t="n">
        <v>2</v>
      </c>
      <c r="T363" t="n">
        <v>2</v>
      </c>
      <c r="U363" t="inlineStr">
        <is>
          <t>1994-09-06</t>
        </is>
      </c>
      <c r="V363" t="inlineStr">
        <is>
          <t>1994-09-06</t>
        </is>
      </c>
      <c r="W363" t="inlineStr">
        <is>
          <t>1990-03-02</t>
        </is>
      </c>
      <c r="X363" t="inlineStr">
        <is>
          <t>1990-03-02</t>
        </is>
      </c>
      <c r="Y363" t="n">
        <v>129</v>
      </c>
      <c r="Z363" t="n">
        <v>88</v>
      </c>
      <c r="AA363" t="n">
        <v>88</v>
      </c>
      <c r="AB363" t="n">
        <v>1</v>
      </c>
      <c r="AC363" t="n">
        <v>1</v>
      </c>
      <c r="AD363" t="n">
        <v>7</v>
      </c>
      <c r="AE363" t="n">
        <v>7</v>
      </c>
      <c r="AF363" t="n">
        <v>0</v>
      </c>
      <c r="AG363" t="n">
        <v>0</v>
      </c>
      <c r="AH363" t="n">
        <v>3</v>
      </c>
      <c r="AI363" t="n">
        <v>3</v>
      </c>
      <c r="AJ363" t="n">
        <v>6</v>
      </c>
      <c r="AK363" t="n">
        <v>6</v>
      </c>
      <c r="AL363" t="n">
        <v>0</v>
      </c>
      <c r="AM363" t="n">
        <v>0</v>
      </c>
      <c r="AN363" t="n">
        <v>0</v>
      </c>
      <c r="AO363" t="n">
        <v>0</v>
      </c>
      <c r="AP363" t="inlineStr">
        <is>
          <t>No</t>
        </is>
      </c>
      <c r="AQ363" t="inlineStr">
        <is>
          <t>No</t>
        </is>
      </c>
      <c r="AS363">
        <f>HYPERLINK("https://creighton-primo.hosted.exlibrisgroup.com/primo-explore/search?tab=default_tab&amp;search_scope=EVERYTHING&amp;vid=01CRU&amp;lang=en_US&amp;offset=0&amp;query=any,contains,991003845209702656","Catalog Record")</f>
        <v/>
      </c>
      <c r="AT363">
        <f>HYPERLINK("http://www.worldcat.org/oclc/1628310","WorldCat Record")</f>
        <v/>
      </c>
      <c r="AU363" t="inlineStr">
        <is>
          <t>2469636:eng</t>
        </is>
      </c>
      <c r="AV363" t="inlineStr">
        <is>
          <t>1628310</t>
        </is>
      </c>
      <c r="AW363" t="inlineStr">
        <is>
          <t>991003845209702656</t>
        </is>
      </c>
      <c r="AX363" t="inlineStr">
        <is>
          <t>991003845209702656</t>
        </is>
      </c>
      <c r="AY363" t="inlineStr">
        <is>
          <t>2265618710002656</t>
        </is>
      </c>
      <c r="AZ363" t="inlineStr">
        <is>
          <t>BOOK</t>
        </is>
      </c>
      <c r="BC363" t="inlineStr">
        <is>
          <t>32285000074327</t>
        </is>
      </c>
      <c r="BD363" t="inlineStr">
        <is>
          <t>893410789</t>
        </is>
      </c>
    </row>
    <row r="364">
      <c r="A364" t="inlineStr">
        <is>
          <t>No</t>
        </is>
      </c>
      <c r="B364" t="inlineStr">
        <is>
          <t>BX1536 .N3 1943</t>
        </is>
      </c>
      <c r="C364" t="inlineStr">
        <is>
          <t>0                      BX 1536000N  3           1943</t>
        </is>
      </c>
      <c r="D364" t="inlineStr">
        <is>
          <t>The Nazi war against the Catholic church.</t>
        </is>
      </c>
      <c r="F364" t="inlineStr">
        <is>
          <t>No</t>
        </is>
      </c>
      <c r="G364" t="inlineStr">
        <is>
          <t>1</t>
        </is>
      </c>
      <c r="H364" t="inlineStr">
        <is>
          <t>No</t>
        </is>
      </c>
      <c r="I364" t="inlineStr">
        <is>
          <t>No</t>
        </is>
      </c>
      <c r="J364" t="inlineStr">
        <is>
          <t>0</t>
        </is>
      </c>
      <c r="K364" t="inlineStr">
        <is>
          <t>National Catholic Welfare Conference.</t>
        </is>
      </c>
      <c r="L364" t="inlineStr">
        <is>
          <t>Washington, D.C. : United States National Catholic Welfare Conference, [1943]</t>
        </is>
      </c>
      <c r="M364" t="inlineStr">
        <is>
          <t>1943</t>
        </is>
      </c>
      <c r="O364" t="inlineStr">
        <is>
          <t>eng</t>
        </is>
      </c>
      <c r="P364" t="inlineStr">
        <is>
          <t xml:space="preserve">xx </t>
        </is>
      </c>
      <c r="R364" t="inlineStr">
        <is>
          <t xml:space="preserve">BX </t>
        </is>
      </c>
      <c r="S364" t="n">
        <v>3</v>
      </c>
      <c r="T364" t="n">
        <v>3</v>
      </c>
      <c r="U364" t="inlineStr">
        <is>
          <t>1994-09-06</t>
        </is>
      </c>
      <c r="V364" t="inlineStr">
        <is>
          <t>1994-09-06</t>
        </is>
      </c>
      <c r="W364" t="inlineStr">
        <is>
          <t>1990-03-02</t>
        </is>
      </c>
      <c r="X364" t="inlineStr">
        <is>
          <t>1990-03-02</t>
        </is>
      </c>
      <c r="Y364" t="n">
        <v>43</v>
      </c>
      <c r="Z364" t="n">
        <v>36</v>
      </c>
      <c r="AA364" t="n">
        <v>52</v>
      </c>
      <c r="AB364" t="n">
        <v>2</v>
      </c>
      <c r="AC364" t="n">
        <v>2</v>
      </c>
      <c r="AD364" t="n">
        <v>4</v>
      </c>
      <c r="AE364" t="n">
        <v>7</v>
      </c>
      <c r="AF364" t="n">
        <v>2</v>
      </c>
      <c r="AG364" t="n">
        <v>2</v>
      </c>
      <c r="AH364" t="n">
        <v>0</v>
      </c>
      <c r="AI364" t="n">
        <v>0</v>
      </c>
      <c r="AJ364" t="n">
        <v>3</v>
      </c>
      <c r="AK364" t="n">
        <v>6</v>
      </c>
      <c r="AL364" t="n">
        <v>1</v>
      </c>
      <c r="AM364" t="n">
        <v>1</v>
      </c>
      <c r="AN364" t="n">
        <v>0</v>
      </c>
      <c r="AO364" t="n">
        <v>0</v>
      </c>
      <c r="AP364" t="inlineStr">
        <is>
          <t>Yes</t>
        </is>
      </c>
      <c r="AQ364" t="inlineStr">
        <is>
          <t>No</t>
        </is>
      </c>
      <c r="AR364">
        <f>HYPERLINK("http://catalog.hathitrust.org/Record/005907414","HathiTrust Record")</f>
        <v/>
      </c>
      <c r="AS364">
        <f>HYPERLINK("https://creighton-primo.hosted.exlibrisgroup.com/primo-explore/search?tab=default_tab&amp;search_scope=EVERYTHING&amp;vid=01CRU&amp;lang=en_US&amp;offset=0&amp;query=any,contains,991003140589702656","Catalog Record")</f>
        <v/>
      </c>
      <c r="AT364">
        <f>HYPERLINK("http://www.worldcat.org/oclc/682086","WorldCat Record")</f>
        <v/>
      </c>
      <c r="AU364" t="inlineStr">
        <is>
          <t>1755389:eng</t>
        </is>
      </c>
      <c r="AV364" t="inlineStr">
        <is>
          <t>682086</t>
        </is>
      </c>
      <c r="AW364" t="inlineStr">
        <is>
          <t>991003140589702656</t>
        </is>
      </c>
      <c r="AX364" t="inlineStr">
        <is>
          <t>991003140589702656</t>
        </is>
      </c>
      <c r="AY364" t="inlineStr">
        <is>
          <t>2266762910002656</t>
        </is>
      </c>
      <c r="AZ364" t="inlineStr">
        <is>
          <t>BOOK</t>
        </is>
      </c>
      <c r="BC364" t="inlineStr">
        <is>
          <t>32285000074335</t>
        </is>
      </c>
      <c r="BD364" t="inlineStr">
        <is>
          <t>893511590</t>
        </is>
      </c>
    </row>
    <row r="365">
      <c r="A365" t="inlineStr">
        <is>
          <t>No</t>
        </is>
      </c>
      <c r="B365" t="inlineStr">
        <is>
          <t>BX1536 .Z3</t>
        </is>
      </c>
      <c r="C365" t="inlineStr">
        <is>
          <t>0                      BX 1536000Z  3</t>
        </is>
      </c>
      <c r="D365" t="inlineStr">
        <is>
          <t>German Catholics and Hitler's wars : a study in social control / by Gordon C. Zahn.</t>
        </is>
      </c>
      <c r="F365" t="inlineStr">
        <is>
          <t>No</t>
        </is>
      </c>
      <c r="G365" t="inlineStr">
        <is>
          <t>1</t>
        </is>
      </c>
      <c r="H365" t="inlineStr">
        <is>
          <t>No</t>
        </is>
      </c>
      <c r="I365" t="inlineStr">
        <is>
          <t>No</t>
        </is>
      </c>
      <c r="J365" t="inlineStr">
        <is>
          <t>0</t>
        </is>
      </c>
      <c r="K365" t="inlineStr">
        <is>
          <t>Zahn, Gordon C. (Gordon Charles), 1918-2007.</t>
        </is>
      </c>
      <c r="L365" t="inlineStr">
        <is>
          <t>New York, Sheed and Ward [1962]</t>
        </is>
      </c>
      <c r="M365" t="inlineStr">
        <is>
          <t>1962</t>
        </is>
      </c>
      <c r="O365" t="inlineStr">
        <is>
          <t>eng</t>
        </is>
      </c>
      <c r="P365" t="inlineStr">
        <is>
          <t>nyu</t>
        </is>
      </c>
      <c r="R365" t="inlineStr">
        <is>
          <t xml:space="preserve">BX </t>
        </is>
      </c>
      <c r="S365" t="n">
        <v>5</v>
      </c>
      <c r="T365" t="n">
        <v>5</v>
      </c>
      <c r="U365" t="inlineStr">
        <is>
          <t>2010-01-12</t>
        </is>
      </c>
      <c r="V365" t="inlineStr">
        <is>
          <t>2010-01-12</t>
        </is>
      </c>
      <c r="W365" t="inlineStr">
        <is>
          <t>1991-02-19</t>
        </is>
      </c>
      <c r="X365" t="inlineStr">
        <is>
          <t>1991-02-19</t>
        </is>
      </c>
      <c r="Y365" t="n">
        <v>625</v>
      </c>
      <c r="Z365" t="n">
        <v>546</v>
      </c>
      <c r="AA365" t="n">
        <v>911</v>
      </c>
      <c r="AB365" t="n">
        <v>3</v>
      </c>
      <c r="AC365" t="n">
        <v>4</v>
      </c>
      <c r="AD365" t="n">
        <v>33</v>
      </c>
      <c r="AE365" t="n">
        <v>47</v>
      </c>
      <c r="AF365" t="n">
        <v>12</v>
      </c>
      <c r="AG365" t="n">
        <v>20</v>
      </c>
      <c r="AH365" t="n">
        <v>7</v>
      </c>
      <c r="AI365" t="n">
        <v>11</v>
      </c>
      <c r="AJ365" t="n">
        <v>23</v>
      </c>
      <c r="AK365" t="n">
        <v>24</v>
      </c>
      <c r="AL365" t="n">
        <v>2</v>
      </c>
      <c r="AM365" t="n">
        <v>3</v>
      </c>
      <c r="AN365" t="n">
        <v>0</v>
      </c>
      <c r="AO365" t="n">
        <v>2</v>
      </c>
      <c r="AP365" t="inlineStr">
        <is>
          <t>Yes</t>
        </is>
      </c>
      <c r="AQ365" t="inlineStr">
        <is>
          <t>No</t>
        </is>
      </c>
      <c r="AR365">
        <f>HYPERLINK("http://catalog.hathitrust.org/Record/001416252","HathiTrust Record")</f>
        <v/>
      </c>
      <c r="AS365">
        <f>HYPERLINK("https://creighton-primo.hosted.exlibrisgroup.com/primo-explore/search?tab=default_tab&amp;search_scope=EVERYTHING&amp;vid=01CRU&amp;lang=en_US&amp;offset=0&amp;query=any,contains,991002493009702656","Catalog Record")</f>
        <v/>
      </c>
      <c r="AT365">
        <f>HYPERLINK("http://www.worldcat.org/oclc/363003","WorldCat Record")</f>
        <v/>
      </c>
      <c r="AU365" t="inlineStr">
        <is>
          <t>1122680507:eng</t>
        </is>
      </c>
      <c r="AV365" t="inlineStr">
        <is>
          <t>363003</t>
        </is>
      </c>
      <c r="AW365" t="inlineStr">
        <is>
          <t>991002493009702656</t>
        </is>
      </c>
      <c r="AX365" t="inlineStr">
        <is>
          <t>991002493009702656</t>
        </is>
      </c>
      <c r="AY365" t="inlineStr">
        <is>
          <t>2263911950002656</t>
        </is>
      </c>
      <c r="AZ365" t="inlineStr">
        <is>
          <t>BOOK</t>
        </is>
      </c>
      <c r="BC365" t="inlineStr">
        <is>
          <t>32285000508886</t>
        </is>
      </c>
      <c r="BD365" t="inlineStr">
        <is>
          <t>893530066</t>
        </is>
      </c>
    </row>
    <row r="366">
      <c r="A366" t="inlineStr">
        <is>
          <t>No</t>
        </is>
      </c>
      <c r="B366" t="inlineStr">
        <is>
          <t>BX1537.B3 G67 1979</t>
        </is>
      </c>
      <c r="C366" t="inlineStr">
        <is>
          <t>0                      BX 1537000B  3                  G  67          1979</t>
        </is>
      </c>
      <c r="D366" t="inlineStr">
        <is>
          <t>Conservative millenarians : the romantic experience in Bavaria / Paul Gottfried.</t>
        </is>
      </c>
      <c r="F366" t="inlineStr">
        <is>
          <t>No</t>
        </is>
      </c>
      <c r="G366" t="inlineStr">
        <is>
          <t>1</t>
        </is>
      </c>
      <c r="H366" t="inlineStr">
        <is>
          <t>No</t>
        </is>
      </c>
      <c r="I366" t="inlineStr">
        <is>
          <t>No</t>
        </is>
      </c>
      <c r="J366" t="inlineStr">
        <is>
          <t>0</t>
        </is>
      </c>
      <c r="K366" t="inlineStr">
        <is>
          <t>Gottfried, Paul.</t>
        </is>
      </c>
      <c r="L366" t="inlineStr">
        <is>
          <t>New York : Fordham University Press, 1979.</t>
        </is>
      </c>
      <c r="M366" t="inlineStr">
        <is>
          <t>1979</t>
        </is>
      </c>
      <c r="O366" t="inlineStr">
        <is>
          <t>eng</t>
        </is>
      </c>
      <c r="P366" t="inlineStr">
        <is>
          <t>nyu</t>
        </is>
      </c>
      <c r="R366" t="inlineStr">
        <is>
          <t xml:space="preserve">BX </t>
        </is>
      </c>
      <c r="S366" t="n">
        <v>1</v>
      </c>
      <c r="T366" t="n">
        <v>1</v>
      </c>
      <c r="U366" t="inlineStr">
        <is>
          <t>2004-02-23</t>
        </is>
      </c>
      <c r="V366" t="inlineStr">
        <is>
          <t>2004-02-23</t>
        </is>
      </c>
      <c r="W366" t="inlineStr">
        <is>
          <t>2004-02-23</t>
        </is>
      </c>
      <c r="X366" t="inlineStr">
        <is>
          <t>2004-02-23</t>
        </is>
      </c>
      <c r="Y366" t="n">
        <v>255</v>
      </c>
      <c r="Z366" t="n">
        <v>219</v>
      </c>
      <c r="AA366" t="n">
        <v>221</v>
      </c>
      <c r="AB366" t="n">
        <v>2</v>
      </c>
      <c r="AC366" t="n">
        <v>2</v>
      </c>
      <c r="AD366" t="n">
        <v>10</v>
      </c>
      <c r="AE366" t="n">
        <v>10</v>
      </c>
      <c r="AF366" t="n">
        <v>3</v>
      </c>
      <c r="AG366" t="n">
        <v>3</v>
      </c>
      <c r="AH366" t="n">
        <v>3</v>
      </c>
      <c r="AI366" t="n">
        <v>3</v>
      </c>
      <c r="AJ366" t="n">
        <v>7</v>
      </c>
      <c r="AK366" t="n">
        <v>7</v>
      </c>
      <c r="AL366" t="n">
        <v>1</v>
      </c>
      <c r="AM366" t="n">
        <v>1</v>
      </c>
      <c r="AN366" t="n">
        <v>0</v>
      </c>
      <c r="AO366" t="n">
        <v>0</v>
      </c>
      <c r="AP366" t="inlineStr">
        <is>
          <t>No</t>
        </is>
      </c>
      <c r="AQ366" t="inlineStr">
        <is>
          <t>Yes</t>
        </is>
      </c>
      <c r="AR366">
        <f>HYPERLINK("http://catalog.hathitrust.org/Record/000684168","HathiTrust Record")</f>
        <v/>
      </c>
      <c r="AS366">
        <f>HYPERLINK("https://creighton-primo.hosted.exlibrisgroup.com/primo-explore/search?tab=default_tab&amp;search_scope=EVERYTHING&amp;vid=01CRU&amp;lang=en_US&amp;offset=0&amp;query=any,contains,991004236099702656","Catalog Record")</f>
        <v/>
      </c>
      <c r="AT366">
        <f>HYPERLINK("http://www.worldcat.org/oclc/5745640","WorldCat Record")</f>
        <v/>
      </c>
      <c r="AU366" t="inlineStr">
        <is>
          <t>287279827:eng</t>
        </is>
      </c>
      <c r="AV366" t="inlineStr">
        <is>
          <t>5745640</t>
        </is>
      </c>
      <c r="AW366" t="inlineStr">
        <is>
          <t>991004236099702656</t>
        </is>
      </c>
      <c r="AX366" t="inlineStr">
        <is>
          <t>991004236099702656</t>
        </is>
      </c>
      <c r="AY366" t="inlineStr">
        <is>
          <t>2266779160002656</t>
        </is>
      </c>
      <c r="AZ366" t="inlineStr">
        <is>
          <t>BOOK</t>
        </is>
      </c>
      <c r="BC366" t="inlineStr">
        <is>
          <t>32285004639901</t>
        </is>
      </c>
      <c r="BD366" t="inlineStr">
        <is>
          <t>893593444</t>
        </is>
      </c>
    </row>
    <row r="367">
      <c r="A367" t="inlineStr">
        <is>
          <t>No</t>
        </is>
      </c>
      <c r="B367" t="inlineStr">
        <is>
          <t>BX1537.P7 H3 1944</t>
        </is>
      </c>
      <c r="C367" t="inlineStr">
        <is>
          <t>0                      BX 1537000P  7                  H  3           1944</t>
        </is>
      </c>
      <c r="D367" t="inlineStr">
        <is>
          <t>Church and state in Silesia under Frederick II (1740-1786)</t>
        </is>
      </c>
      <c r="F367" t="inlineStr">
        <is>
          <t>No</t>
        </is>
      </c>
      <c r="G367" t="inlineStr">
        <is>
          <t>1</t>
        </is>
      </c>
      <c r="H367" t="inlineStr">
        <is>
          <t>No</t>
        </is>
      </c>
      <c r="I367" t="inlineStr">
        <is>
          <t>No</t>
        </is>
      </c>
      <c r="J367" t="inlineStr">
        <is>
          <t>0</t>
        </is>
      </c>
      <c r="K367" t="inlineStr">
        <is>
          <t>Hanus, Francis.</t>
        </is>
      </c>
      <c r="L367" t="inlineStr">
        <is>
          <t>Washington : Catholic University of America Press, 1944.</t>
        </is>
      </c>
      <c r="M367" t="inlineStr">
        <is>
          <t>1944</t>
        </is>
      </c>
      <c r="O367" t="inlineStr">
        <is>
          <t>eng</t>
        </is>
      </c>
      <c r="P367" t="inlineStr">
        <is>
          <t>dcu</t>
        </is>
      </c>
      <c r="Q367" t="inlineStr">
        <is>
          <t>Catholic University of America. Studies in sacred theology, no. 79</t>
        </is>
      </c>
      <c r="R367" t="inlineStr">
        <is>
          <t xml:space="preserve">BX </t>
        </is>
      </c>
      <c r="S367" t="n">
        <v>2</v>
      </c>
      <c r="T367" t="n">
        <v>2</v>
      </c>
      <c r="U367" t="inlineStr">
        <is>
          <t>1998-09-22</t>
        </is>
      </c>
      <c r="V367" t="inlineStr">
        <is>
          <t>1998-09-22</t>
        </is>
      </c>
      <c r="W367" t="inlineStr">
        <is>
          <t>1991-02-19</t>
        </is>
      </c>
      <c r="X367" t="inlineStr">
        <is>
          <t>1991-02-19</t>
        </is>
      </c>
      <c r="Y367" t="n">
        <v>88</v>
      </c>
      <c r="Z367" t="n">
        <v>69</v>
      </c>
      <c r="AA367" t="n">
        <v>129</v>
      </c>
      <c r="AB367" t="n">
        <v>1</v>
      </c>
      <c r="AC367" t="n">
        <v>2</v>
      </c>
      <c r="AD367" t="n">
        <v>10</v>
      </c>
      <c r="AE367" t="n">
        <v>21</v>
      </c>
      <c r="AF367" t="n">
        <v>2</v>
      </c>
      <c r="AG367" t="n">
        <v>6</v>
      </c>
      <c r="AH367" t="n">
        <v>4</v>
      </c>
      <c r="AI367" t="n">
        <v>7</v>
      </c>
      <c r="AJ367" t="n">
        <v>7</v>
      </c>
      <c r="AK367" t="n">
        <v>16</v>
      </c>
      <c r="AL367" t="n">
        <v>0</v>
      </c>
      <c r="AM367" t="n">
        <v>0</v>
      </c>
      <c r="AN367" t="n">
        <v>0</v>
      </c>
      <c r="AO367" t="n">
        <v>0</v>
      </c>
      <c r="AP367" t="inlineStr">
        <is>
          <t>No</t>
        </is>
      </c>
      <c r="AQ367" t="inlineStr">
        <is>
          <t>No</t>
        </is>
      </c>
      <c r="AS367">
        <f>HYPERLINK("https://creighton-primo.hosted.exlibrisgroup.com/primo-explore/search?tab=default_tab&amp;search_scope=EVERYTHING&amp;vid=01CRU&amp;lang=en_US&amp;offset=0&amp;query=any,contains,991004547699702656","Catalog Record")</f>
        <v/>
      </c>
      <c r="AT367">
        <f>HYPERLINK("http://www.worldcat.org/oclc/3919875","WorldCat Record")</f>
        <v/>
      </c>
      <c r="AU367" t="inlineStr">
        <is>
          <t>17002511:eng</t>
        </is>
      </c>
      <c r="AV367" t="inlineStr">
        <is>
          <t>3919875</t>
        </is>
      </c>
      <c r="AW367" t="inlineStr">
        <is>
          <t>991004547699702656</t>
        </is>
      </c>
      <c r="AX367" t="inlineStr">
        <is>
          <t>991004547699702656</t>
        </is>
      </c>
      <c r="AY367" t="inlineStr">
        <is>
          <t>2263951760002656</t>
        </is>
      </c>
      <c r="AZ367" t="inlineStr">
        <is>
          <t>BOOK</t>
        </is>
      </c>
      <c r="BC367" t="inlineStr">
        <is>
          <t>32285000508928</t>
        </is>
      </c>
      <c r="BD367" t="inlineStr">
        <is>
          <t>893229491</t>
        </is>
      </c>
    </row>
    <row r="368">
      <c r="A368" t="inlineStr">
        <is>
          <t>No</t>
        </is>
      </c>
      <c r="B368" t="inlineStr">
        <is>
          <t>BX1538.S6 F67 1992</t>
        </is>
      </c>
      <c r="C368" t="inlineStr">
        <is>
          <t>0                      BX 1538000S  6                  F  67          1992</t>
        </is>
      </c>
      <c r="D368" t="inlineStr">
        <is>
          <t>The Counter-Reformation in the villages : religion and reform in the Bishopric of Speyer, 1560-1720 / Marc R. Forster.</t>
        </is>
      </c>
      <c r="F368" t="inlineStr">
        <is>
          <t>No</t>
        </is>
      </c>
      <c r="G368" t="inlineStr">
        <is>
          <t>1</t>
        </is>
      </c>
      <c r="H368" t="inlineStr">
        <is>
          <t>No</t>
        </is>
      </c>
      <c r="I368" t="inlineStr">
        <is>
          <t>No</t>
        </is>
      </c>
      <c r="J368" t="inlineStr">
        <is>
          <t>0</t>
        </is>
      </c>
      <c r="K368" t="inlineStr">
        <is>
          <t>Forster, Marc R.</t>
        </is>
      </c>
      <c r="L368" t="inlineStr">
        <is>
          <t>Ithaca : Cornell University Press, 1992.</t>
        </is>
      </c>
      <c r="M368" t="inlineStr">
        <is>
          <t>1992</t>
        </is>
      </c>
      <c r="O368" t="inlineStr">
        <is>
          <t>eng</t>
        </is>
      </c>
      <c r="P368" t="inlineStr">
        <is>
          <t>nyu</t>
        </is>
      </c>
      <c r="R368" t="inlineStr">
        <is>
          <t xml:space="preserve">BX </t>
        </is>
      </c>
      <c r="S368" t="n">
        <v>9</v>
      </c>
      <c r="T368" t="n">
        <v>9</v>
      </c>
      <c r="U368" t="inlineStr">
        <is>
          <t>2007-10-31</t>
        </is>
      </c>
      <c r="V368" t="inlineStr">
        <is>
          <t>2007-10-31</t>
        </is>
      </c>
      <c r="W368" t="inlineStr">
        <is>
          <t>1994-08-11</t>
        </is>
      </c>
      <c r="X368" t="inlineStr">
        <is>
          <t>1994-08-11</t>
        </is>
      </c>
      <c r="Y368" t="n">
        <v>355</v>
      </c>
      <c r="Z368" t="n">
        <v>250</v>
      </c>
      <c r="AA368" t="n">
        <v>258</v>
      </c>
      <c r="AB368" t="n">
        <v>2</v>
      </c>
      <c r="AC368" t="n">
        <v>2</v>
      </c>
      <c r="AD368" t="n">
        <v>20</v>
      </c>
      <c r="AE368" t="n">
        <v>20</v>
      </c>
      <c r="AF368" t="n">
        <v>5</v>
      </c>
      <c r="AG368" t="n">
        <v>5</v>
      </c>
      <c r="AH368" t="n">
        <v>7</v>
      </c>
      <c r="AI368" t="n">
        <v>7</v>
      </c>
      <c r="AJ368" t="n">
        <v>14</v>
      </c>
      <c r="AK368" t="n">
        <v>14</v>
      </c>
      <c r="AL368" t="n">
        <v>1</v>
      </c>
      <c r="AM368" t="n">
        <v>1</v>
      </c>
      <c r="AN368" t="n">
        <v>0</v>
      </c>
      <c r="AO368" t="n">
        <v>0</v>
      </c>
      <c r="AP368" t="inlineStr">
        <is>
          <t>No</t>
        </is>
      </c>
      <c r="AQ368" t="inlineStr">
        <is>
          <t>Yes</t>
        </is>
      </c>
      <c r="AR368">
        <f>HYPERLINK("http://catalog.hathitrust.org/Record/002574862","HathiTrust Record")</f>
        <v/>
      </c>
      <c r="AS368">
        <f>HYPERLINK("https://creighton-primo.hosted.exlibrisgroup.com/primo-explore/search?tab=default_tab&amp;search_scope=EVERYTHING&amp;vid=01CRU&amp;lang=en_US&amp;offset=0&amp;query=any,contains,991001952759702656","Catalog Record")</f>
        <v/>
      </c>
      <c r="AT368">
        <f>HYPERLINK("http://www.worldcat.org/oclc/24694557","WorldCat Record")</f>
        <v/>
      </c>
      <c r="AU368" t="inlineStr">
        <is>
          <t>20953735:eng</t>
        </is>
      </c>
      <c r="AV368" t="inlineStr">
        <is>
          <t>24694557</t>
        </is>
      </c>
      <c r="AW368" t="inlineStr">
        <is>
          <t>991001952759702656</t>
        </is>
      </c>
      <c r="AX368" t="inlineStr">
        <is>
          <t>991001952759702656</t>
        </is>
      </c>
      <c r="AY368" t="inlineStr">
        <is>
          <t>2265669670002656</t>
        </is>
      </c>
      <c r="AZ368" t="inlineStr">
        <is>
          <t>BOOK</t>
        </is>
      </c>
      <c r="BB368" t="inlineStr">
        <is>
          <t>9780801425660</t>
        </is>
      </c>
      <c r="BC368" t="inlineStr">
        <is>
          <t>32285001942431</t>
        </is>
      </c>
      <c r="BD368" t="inlineStr">
        <is>
          <t>893250650</t>
        </is>
      </c>
    </row>
    <row r="369">
      <c r="A369" t="inlineStr">
        <is>
          <t>No</t>
        </is>
      </c>
      <c r="B369" t="inlineStr">
        <is>
          <t>BX1543 .C35 1992</t>
        </is>
      </c>
      <c r="C369" t="inlineStr">
        <is>
          <t>0                      BX 1543000C  35          1992</t>
        </is>
      </c>
      <c r="D369" t="inlineStr">
        <is>
          <t>Madonnas that maim : popular Catholicism in Italy since the fifteenth Century / by Michael P. Carroll.</t>
        </is>
      </c>
      <c r="F369" t="inlineStr">
        <is>
          <t>No</t>
        </is>
      </c>
      <c r="G369" t="inlineStr">
        <is>
          <t>1</t>
        </is>
      </c>
      <c r="H369" t="inlineStr">
        <is>
          <t>No</t>
        </is>
      </c>
      <c r="I369" t="inlineStr">
        <is>
          <t>No</t>
        </is>
      </c>
      <c r="J369" t="inlineStr">
        <is>
          <t>0</t>
        </is>
      </c>
      <c r="K369" t="inlineStr">
        <is>
          <t>Carroll, Michael P., 1944-</t>
        </is>
      </c>
      <c r="L369" t="inlineStr">
        <is>
          <t>Baltimore : Johns Hopkins University Press, c1992.</t>
        </is>
      </c>
      <c r="M369" t="inlineStr">
        <is>
          <t>1992</t>
        </is>
      </c>
      <c r="O369" t="inlineStr">
        <is>
          <t>eng</t>
        </is>
      </c>
      <c r="P369" t="inlineStr">
        <is>
          <t>mdu</t>
        </is>
      </c>
      <c r="R369" t="inlineStr">
        <is>
          <t xml:space="preserve">BX </t>
        </is>
      </c>
      <c r="S369" t="n">
        <v>1</v>
      </c>
      <c r="T369" t="n">
        <v>1</v>
      </c>
      <c r="U369" t="inlineStr">
        <is>
          <t>2006-05-03</t>
        </is>
      </c>
      <c r="V369" t="inlineStr">
        <is>
          <t>2006-05-03</t>
        </is>
      </c>
      <c r="W369" t="inlineStr">
        <is>
          <t>1992-10-27</t>
        </is>
      </c>
      <c r="X369" t="inlineStr">
        <is>
          <t>1992-10-27</t>
        </is>
      </c>
      <c r="Y369" t="n">
        <v>410</v>
      </c>
      <c r="Z369" t="n">
        <v>333</v>
      </c>
      <c r="AA369" t="n">
        <v>333</v>
      </c>
      <c r="AB369" t="n">
        <v>3</v>
      </c>
      <c r="AC369" t="n">
        <v>3</v>
      </c>
      <c r="AD369" t="n">
        <v>25</v>
      </c>
      <c r="AE369" t="n">
        <v>25</v>
      </c>
      <c r="AF369" t="n">
        <v>8</v>
      </c>
      <c r="AG369" t="n">
        <v>8</v>
      </c>
      <c r="AH369" t="n">
        <v>6</v>
      </c>
      <c r="AI369" t="n">
        <v>6</v>
      </c>
      <c r="AJ369" t="n">
        <v>16</v>
      </c>
      <c r="AK369" t="n">
        <v>16</v>
      </c>
      <c r="AL369" t="n">
        <v>2</v>
      </c>
      <c r="AM369" t="n">
        <v>2</v>
      </c>
      <c r="AN369" t="n">
        <v>0</v>
      </c>
      <c r="AO369" t="n">
        <v>0</v>
      </c>
      <c r="AP369" t="inlineStr">
        <is>
          <t>No</t>
        </is>
      </c>
      <c r="AQ369" t="inlineStr">
        <is>
          <t>No</t>
        </is>
      </c>
      <c r="AS369">
        <f>HYPERLINK("https://creighton-primo.hosted.exlibrisgroup.com/primo-explore/search?tab=default_tab&amp;search_scope=EVERYTHING&amp;vid=01CRU&amp;lang=en_US&amp;offset=0&amp;query=any,contains,991001943429702656","Catalog Record")</f>
        <v/>
      </c>
      <c r="AT369">
        <f>HYPERLINK("http://www.worldcat.org/oclc/24545818","WorldCat Record")</f>
        <v/>
      </c>
      <c r="AU369" t="inlineStr">
        <is>
          <t>836914464:eng</t>
        </is>
      </c>
      <c r="AV369" t="inlineStr">
        <is>
          <t>24545818</t>
        </is>
      </c>
      <c r="AW369" t="inlineStr">
        <is>
          <t>991001943429702656</t>
        </is>
      </c>
      <c r="AX369" t="inlineStr">
        <is>
          <t>991001943429702656</t>
        </is>
      </c>
      <c r="AY369" t="inlineStr">
        <is>
          <t>2264614380002656</t>
        </is>
      </c>
      <c r="AZ369" t="inlineStr">
        <is>
          <t>BOOK</t>
        </is>
      </c>
      <c r="BB369" t="inlineStr">
        <is>
          <t>9780801842993</t>
        </is>
      </c>
      <c r="BC369" t="inlineStr">
        <is>
          <t>32285001319341</t>
        </is>
      </c>
      <c r="BD369" t="inlineStr">
        <is>
          <t>893603018</t>
        </is>
      </c>
    </row>
    <row r="370">
      <c r="A370" t="inlineStr">
        <is>
          <t>No</t>
        </is>
      </c>
      <c r="B370" t="inlineStr">
        <is>
          <t>BX1543 .C353 1996</t>
        </is>
      </c>
      <c r="C370" t="inlineStr">
        <is>
          <t>0                      BX 1543000C  353         1996</t>
        </is>
      </c>
      <c r="D370" t="inlineStr">
        <is>
          <t>Veiled threats : the logic of popular Catholicism in Italy / Michael P. Carroll.</t>
        </is>
      </c>
      <c r="F370" t="inlineStr">
        <is>
          <t>No</t>
        </is>
      </c>
      <c r="G370" t="inlineStr">
        <is>
          <t>1</t>
        </is>
      </c>
      <c r="H370" t="inlineStr">
        <is>
          <t>No</t>
        </is>
      </c>
      <c r="I370" t="inlineStr">
        <is>
          <t>No</t>
        </is>
      </c>
      <c r="J370" t="inlineStr">
        <is>
          <t>0</t>
        </is>
      </c>
      <c r="K370" t="inlineStr">
        <is>
          <t>Carroll, Michael P., 1944-</t>
        </is>
      </c>
      <c r="L370" t="inlineStr">
        <is>
          <t>Baltimore : Johns Hopkins University Press, c1996.</t>
        </is>
      </c>
      <c r="M370" t="inlineStr">
        <is>
          <t>1996</t>
        </is>
      </c>
      <c r="O370" t="inlineStr">
        <is>
          <t>eng</t>
        </is>
      </c>
      <c r="P370" t="inlineStr">
        <is>
          <t>mdu</t>
        </is>
      </c>
      <c r="R370" t="inlineStr">
        <is>
          <t xml:space="preserve">BX </t>
        </is>
      </c>
      <c r="S370" t="n">
        <v>1</v>
      </c>
      <c r="T370" t="n">
        <v>1</v>
      </c>
      <c r="U370" t="inlineStr">
        <is>
          <t>2010-03-26</t>
        </is>
      </c>
      <c r="V370" t="inlineStr">
        <is>
          <t>2010-03-26</t>
        </is>
      </c>
      <c r="W370" t="inlineStr">
        <is>
          <t>1997-11-07</t>
        </is>
      </c>
      <c r="X370" t="inlineStr">
        <is>
          <t>1997-11-07</t>
        </is>
      </c>
      <c r="Y370" t="n">
        <v>276</v>
      </c>
      <c r="Z370" t="n">
        <v>226</v>
      </c>
      <c r="AA370" t="n">
        <v>226</v>
      </c>
      <c r="AB370" t="n">
        <v>3</v>
      </c>
      <c r="AC370" t="n">
        <v>3</v>
      </c>
      <c r="AD370" t="n">
        <v>25</v>
      </c>
      <c r="AE370" t="n">
        <v>25</v>
      </c>
      <c r="AF370" t="n">
        <v>7</v>
      </c>
      <c r="AG370" t="n">
        <v>7</v>
      </c>
      <c r="AH370" t="n">
        <v>7</v>
      </c>
      <c r="AI370" t="n">
        <v>7</v>
      </c>
      <c r="AJ370" t="n">
        <v>15</v>
      </c>
      <c r="AK370" t="n">
        <v>15</v>
      </c>
      <c r="AL370" t="n">
        <v>2</v>
      </c>
      <c r="AM370" t="n">
        <v>2</v>
      </c>
      <c r="AN370" t="n">
        <v>0</v>
      </c>
      <c r="AO370" t="n">
        <v>0</v>
      </c>
      <c r="AP370" t="inlineStr">
        <is>
          <t>No</t>
        </is>
      </c>
      <c r="AQ370" t="inlineStr">
        <is>
          <t>No</t>
        </is>
      </c>
      <c r="AS370">
        <f>HYPERLINK("https://creighton-primo.hosted.exlibrisgroup.com/primo-explore/search?tab=default_tab&amp;search_scope=EVERYTHING&amp;vid=01CRU&amp;lang=en_US&amp;offset=0&amp;query=any,contains,991002597239702656","Catalog Record")</f>
        <v/>
      </c>
      <c r="AT370">
        <f>HYPERLINK("http://www.worldcat.org/oclc/34029483","WorldCat Record")</f>
        <v/>
      </c>
      <c r="AU370" t="inlineStr">
        <is>
          <t>1102704284:eng</t>
        </is>
      </c>
      <c r="AV370" t="inlineStr">
        <is>
          <t>34029483</t>
        </is>
      </c>
      <c r="AW370" t="inlineStr">
        <is>
          <t>991002597239702656</t>
        </is>
      </c>
      <c r="AX370" t="inlineStr">
        <is>
          <t>991002597239702656</t>
        </is>
      </c>
      <c r="AY370" t="inlineStr">
        <is>
          <t>2271595750002656</t>
        </is>
      </c>
      <c r="AZ370" t="inlineStr">
        <is>
          <t>BOOK</t>
        </is>
      </c>
      <c r="BB370" t="inlineStr">
        <is>
          <t>9780801852909</t>
        </is>
      </c>
      <c r="BC370" t="inlineStr">
        <is>
          <t>32285003277992</t>
        </is>
      </c>
      <c r="BD370" t="inlineStr">
        <is>
          <t>893347685</t>
        </is>
      </c>
    </row>
    <row r="371">
      <c r="A371" t="inlineStr">
        <is>
          <t>No</t>
        </is>
      </c>
      <c r="B371" t="inlineStr">
        <is>
          <t>BX1544 .H39 1979</t>
        </is>
      </c>
      <c r="C371" t="inlineStr">
        <is>
          <t>0                      BX 1544000H  39          1979</t>
        </is>
      </c>
      <c r="D371" t="inlineStr">
        <is>
          <t>The church in Italy in the fifteenth century / Denys Hay.</t>
        </is>
      </c>
      <c r="F371" t="inlineStr">
        <is>
          <t>No</t>
        </is>
      </c>
      <c r="G371" t="inlineStr">
        <is>
          <t>1</t>
        </is>
      </c>
      <c r="H371" t="inlineStr">
        <is>
          <t>No</t>
        </is>
      </c>
      <c r="I371" t="inlineStr">
        <is>
          <t>No</t>
        </is>
      </c>
      <c r="J371" t="inlineStr">
        <is>
          <t>0</t>
        </is>
      </c>
      <c r="K371" t="inlineStr">
        <is>
          <t>Hay, Denys.</t>
        </is>
      </c>
      <c r="L371" t="inlineStr">
        <is>
          <t>Cambridge [England] ; New York : Cambridge University Press, 1979.</t>
        </is>
      </c>
      <c r="M371" t="inlineStr">
        <is>
          <t>1979</t>
        </is>
      </c>
      <c r="O371" t="inlineStr">
        <is>
          <t>eng</t>
        </is>
      </c>
      <c r="P371" t="inlineStr">
        <is>
          <t>enk</t>
        </is>
      </c>
      <c r="Q371" t="inlineStr">
        <is>
          <t>The Birkbeck lectures, 1971</t>
        </is>
      </c>
      <c r="R371" t="inlineStr">
        <is>
          <t xml:space="preserve">BX </t>
        </is>
      </c>
      <c r="S371" t="n">
        <v>4</v>
      </c>
      <c r="T371" t="n">
        <v>4</v>
      </c>
      <c r="U371" t="inlineStr">
        <is>
          <t>2002-04-15</t>
        </is>
      </c>
      <c r="V371" t="inlineStr">
        <is>
          <t>2002-04-15</t>
        </is>
      </c>
      <c r="W371" t="inlineStr">
        <is>
          <t>1991-02-19</t>
        </is>
      </c>
      <c r="X371" t="inlineStr">
        <is>
          <t>1991-02-19</t>
        </is>
      </c>
      <c r="Y371" t="n">
        <v>18</v>
      </c>
      <c r="Z371" t="n">
        <v>8</v>
      </c>
      <c r="AA371" t="n">
        <v>539</v>
      </c>
      <c r="AB371" t="n">
        <v>1</v>
      </c>
      <c r="AC371" t="n">
        <v>4</v>
      </c>
      <c r="AD371" t="n">
        <v>0</v>
      </c>
      <c r="AE371" t="n">
        <v>30</v>
      </c>
      <c r="AF371" t="n">
        <v>0</v>
      </c>
      <c r="AG371" t="n">
        <v>7</v>
      </c>
      <c r="AH371" t="n">
        <v>0</v>
      </c>
      <c r="AI371" t="n">
        <v>9</v>
      </c>
      <c r="AJ371" t="n">
        <v>0</v>
      </c>
      <c r="AK371" t="n">
        <v>17</v>
      </c>
      <c r="AL371" t="n">
        <v>0</v>
      </c>
      <c r="AM371" t="n">
        <v>3</v>
      </c>
      <c r="AN371" t="n">
        <v>0</v>
      </c>
      <c r="AO371" t="n">
        <v>0</v>
      </c>
      <c r="AP371" t="inlineStr">
        <is>
          <t>No</t>
        </is>
      </c>
      <c r="AQ371" t="inlineStr">
        <is>
          <t>No</t>
        </is>
      </c>
      <c r="AS371">
        <f>HYPERLINK("https://creighton-primo.hosted.exlibrisgroup.com/primo-explore/search?tab=default_tab&amp;search_scope=EVERYTHING&amp;vid=01CRU&amp;lang=en_US&amp;offset=0&amp;query=any,contains,991005106429702656","Catalog Record")</f>
        <v/>
      </c>
      <c r="AT371">
        <f>HYPERLINK("http://www.worldcat.org/oclc/7341250","WorldCat Record")</f>
        <v/>
      </c>
      <c r="AU371" t="inlineStr">
        <is>
          <t>5692076:eng</t>
        </is>
      </c>
      <c r="AV371" t="inlineStr">
        <is>
          <t>7341250</t>
        </is>
      </c>
      <c r="AW371" t="inlineStr">
        <is>
          <t>991005106429702656</t>
        </is>
      </c>
      <c r="AX371" t="inlineStr">
        <is>
          <t>991005106429702656</t>
        </is>
      </c>
      <c r="AY371" t="inlineStr">
        <is>
          <t>2256150000002656</t>
        </is>
      </c>
      <c r="AZ371" t="inlineStr">
        <is>
          <t>BOOK</t>
        </is>
      </c>
      <c r="BB371" t="inlineStr">
        <is>
          <t>9780521215329</t>
        </is>
      </c>
      <c r="BC371" t="inlineStr">
        <is>
          <t>32285000508944</t>
        </is>
      </c>
      <c r="BD371" t="inlineStr">
        <is>
          <t>893594475</t>
        </is>
      </c>
    </row>
    <row r="372">
      <c r="A372" t="inlineStr">
        <is>
          <t>No</t>
        </is>
      </c>
      <c r="B372" t="inlineStr">
        <is>
          <t>BX1547.O78 F66 2004</t>
        </is>
      </c>
      <c r="C372" t="inlineStr">
        <is>
          <t>0                      BX 1547000O  78                 F  66          2004</t>
        </is>
      </c>
      <c r="D372" t="inlineStr">
        <is>
          <t>Lordship, reform, and the development of civil society in medieval Italy : the bishopric of Orvieto, 1100-1250 / David Foote.</t>
        </is>
      </c>
      <c r="F372" t="inlineStr">
        <is>
          <t>No</t>
        </is>
      </c>
      <c r="G372" t="inlineStr">
        <is>
          <t>1</t>
        </is>
      </c>
      <c r="H372" t="inlineStr">
        <is>
          <t>No</t>
        </is>
      </c>
      <c r="I372" t="inlineStr">
        <is>
          <t>No</t>
        </is>
      </c>
      <c r="J372" t="inlineStr">
        <is>
          <t>0</t>
        </is>
      </c>
      <c r="K372" t="inlineStr">
        <is>
          <t>Foote, David, 1960-</t>
        </is>
      </c>
      <c r="L372" t="inlineStr">
        <is>
          <t>Notre Dame, Ind. : University of Notre Dame Press, c2004.</t>
        </is>
      </c>
      <c r="M372" t="inlineStr">
        <is>
          <t>2004</t>
        </is>
      </c>
      <c r="O372" t="inlineStr">
        <is>
          <t>eng</t>
        </is>
      </c>
      <c r="P372" t="inlineStr">
        <is>
          <t>inu</t>
        </is>
      </c>
      <c r="Q372" t="inlineStr">
        <is>
          <t>Publications in medieval studies</t>
        </is>
      </c>
      <c r="R372" t="inlineStr">
        <is>
          <t xml:space="preserve">BX </t>
        </is>
      </c>
      <c r="S372" t="n">
        <v>1</v>
      </c>
      <c r="T372" t="n">
        <v>1</v>
      </c>
      <c r="U372" t="inlineStr">
        <is>
          <t>2006-07-24</t>
        </is>
      </c>
      <c r="V372" t="inlineStr">
        <is>
          <t>2006-07-24</t>
        </is>
      </c>
      <c r="W372" t="inlineStr">
        <is>
          <t>2006-07-24</t>
        </is>
      </c>
      <c r="X372" t="inlineStr">
        <is>
          <t>2006-07-24</t>
        </is>
      </c>
      <c r="Y372" t="n">
        <v>316</v>
      </c>
      <c r="Z372" t="n">
        <v>247</v>
      </c>
      <c r="AA372" t="n">
        <v>249</v>
      </c>
      <c r="AB372" t="n">
        <v>3</v>
      </c>
      <c r="AC372" t="n">
        <v>3</v>
      </c>
      <c r="AD372" t="n">
        <v>21</v>
      </c>
      <c r="AE372" t="n">
        <v>21</v>
      </c>
      <c r="AF372" t="n">
        <v>4</v>
      </c>
      <c r="AG372" t="n">
        <v>4</v>
      </c>
      <c r="AH372" t="n">
        <v>8</v>
      </c>
      <c r="AI372" t="n">
        <v>8</v>
      </c>
      <c r="AJ372" t="n">
        <v>13</v>
      </c>
      <c r="AK372" t="n">
        <v>13</v>
      </c>
      <c r="AL372" t="n">
        <v>2</v>
      </c>
      <c r="AM372" t="n">
        <v>2</v>
      </c>
      <c r="AN372" t="n">
        <v>0</v>
      </c>
      <c r="AO372" t="n">
        <v>0</v>
      </c>
      <c r="AP372" t="inlineStr">
        <is>
          <t>No</t>
        </is>
      </c>
      <c r="AQ372" t="inlineStr">
        <is>
          <t>Yes</t>
        </is>
      </c>
      <c r="AR372">
        <f>HYPERLINK("http://catalog.hathitrust.org/Record/005129921","HathiTrust Record")</f>
        <v/>
      </c>
      <c r="AS372">
        <f>HYPERLINK("https://creighton-primo.hosted.exlibrisgroup.com/primo-explore/search?tab=default_tab&amp;search_scope=EVERYTHING&amp;vid=01CRU&amp;lang=en_US&amp;offset=0&amp;query=any,contains,991004853109702656","Catalog Record")</f>
        <v/>
      </c>
      <c r="AT372">
        <f>HYPERLINK("http://www.worldcat.org/oclc/55502810","WorldCat Record")</f>
        <v/>
      </c>
      <c r="AU372" t="inlineStr">
        <is>
          <t>892084465:eng</t>
        </is>
      </c>
      <c r="AV372" t="inlineStr">
        <is>
          <t>55502810</t>
        </is>
      </c>
      <c r="AW372" t="inlineStr">
        <is>
          <t>991004853109702656</t>
        </is>
      </c>
      <c r="AX372" t="inlineStr">
        <is>
          <t>991004853109702656</t>
        </is>
      </c>
      <c r="AY372" t="inlineStr">
        <is>
          <t>2265185050002656</t>
        </is>
      </c>
      <c r="AZ372" t="inlineStr">
        <is>
          <t>BOOK</t>
        </is>
      </c>
      <c r="BB372" t="inlineStr">
        <is>
          <t>9780268028718</t>
        </is>
      </c>
      <c r="BC372" t="inlineStr">
        <is>
          <t>32285005196893</t>
        </is>
      </c>
      <c r="BD372" t="inlineStr">
        <is>
          <t>893412018</t>
        </is>
      </c>
    </row>
    <row r="373">
      <c r="A373" t="inlineStr">
        <is>
          <t>No</t>
        </is>
      </c>
      <c r="B373" t="inlineStr">
        <is>
          <t>BX1551 .C64</t>
        </is>
      </c>
      <c r="C373" t="inlineStr">
        <is>
          <t>0                      BX 1551000C  64</t>
        </is>
      </c>
      <c r="D373" t="inlineStr">
        <is>
          <t>The evolution of Dutch Catholicism, 1958-1974 / John A. Coleman.</t>
        </is>
      </c>
      <c r="F373" t="inlineStr">
        <is>
          <t>No</t>
        </is>
      </c>
      <c r="G373" t="inlineStr">
        <is>
          <t>1</t>
        </is>
      </c>
      <c r="H373" t="inlineStr">
        <is>
          <t>No</t>
        </is>
      </c>
      <c r="I373" t="inlineStr">
        <is>
          <t>No</t>
        </is>
      </c>
      <c r="J373" t="inlineStr">
        <is>
          <t>0</t>
        </is>
      </c>
      <c r="K373" t="inlineStr">
        <is>
          <t>Coleman, John Aloysius, 1937-</t>
        </is>
      </c>
      <c r="L373" t="inlineStr">
        <is>
          <t>Berkeley : University of California, c1978.</t>
        </is>
      </c>
      <c r="M373" t="inlineStr">
        <is>
          <t>1978</t>
        </is>
      </c>
      <c r="O373" t="inlineStr">
        <is>
          <t>eng</t>
        </is>
      </c>
      <c r="P373" t="inlineStr">
        <is>
          <t>cau</t>
        </is>
      </c>
      <c r="R373" t="inlineStr">
        <is>
          <t xml:space="preserve">BX </t>
        </is>
      </c>
      <c r="S373" t="n">
        <v>2</v>
      </c>
      <c r="T373" t="n">
        <v>2</v>
      </c>
      <c r="U373" t="inlineStr">
        <is>
          <t>1994-10-04</t>
        </is>
      </c>
      <c r="V373" t="inlineStr">
        <is>
          <t>1994-10-04</t>
        </is>
      </c>
      <c r="W373" t="inlineStr">
        <is>
          <t>1991-02-19</t>
        </is>
      </c>
      <c r="X373" t="inlineStr">
        <is>
          <t>1991-02-19</t>
        </is>
      </c>
      <c r="Y373" t="n">
        <v>511</v>
      </c>
      <c r="Z373" t="n">
        <v>429</v>
      </c>
      <c r="AA373" t="n">
        <v>431</v>
      </c>
      <c r="AB373" t="n">
        <v>3</v>
      </c>
      <c r="AC373" t="n">
        <v>3</v>
      </c>
      <c r="AD373" t="n">
        <v>35</v>
      </c>
      <c r="AE373" t="n">
        <v>35</v>
      </c>
      <c r="AF373" t="n">
        <v>11</v>
      </c>
      <c r="AG373" t="n">
        <v>11</v>
      </c>
      <c r="AH373" t="n">
        <v>10</v>
      </c>
      <c r="AI373" t="n">
        <v>10</v>
      </c>
      <c r="AJ373" t="n">
        <v>24</v>
      </c>
      <c r="AK373" t="n">
        <v>24</v>
      </c>
      <c r="AL373" t="n">
        <v>2</v>
      </c>
      <c r="AM373" t="n">
        <v>2</v>
      </c>
      <c r="AN373" t="n">
        <v>0</v>
      </c>
      <c r="AO373" t="n">
        <v>0</v>
      </c>
      <c r="AP373" t="inlineStr">
        <is>
          <t>No</t>
        </is>
      </c>
      <c r="AQ373" t="inlineStr">
        <is>
          <t>No</t>
        </is>
      </c>
      <c r="AS373">
        <f>HYPERLINK("https://creighton-primo.hosted.exlibrisgroup.com/primo-explore/search?tab=default_tab&amp;search_scope=EVERYTHING&amp;vid=01CRU&amp;lang=en_US&amp;offset=0&amp;query=any,contains,991004674249702656","Catalog Record")</f>
        <v/>
      </c>
      <c r="AT373">
        <f>HYPERLINK("http://www.worldcat.org/oclc/4527606","WorldCat Record")</f>
        <v/>
      </c>
      <c r="AU373" t="inlineStr">
        <is>
          <t>14872714:eng</t>
        </is>
      </c>
      <c r="AV373" t="inlineStr">
        <is>
          <t>4527606</t>
        </is>
      </c>
      <c r="AW373" t="inlineStr">
        <is>
          <t>991004674249702656</t>
        </is>
      </c>
      <c r="AX373" t="inlineStr">
        <is>
          <t>991004674249702656</t>
        </is>
      </c>
      <c r="AY373" t="inlineStr">
        <is>
          <t>2269812640002656</t>
        </is>
      </c>
      <c r="AZ373" t="inlineStr">
        <is>
          <t>BOOK</t>
        </is>
      </c>
      <c r="BB373" t="inlineStr">
        <is>
          <t>9780520028852</t>
        </is>
      </c>
      <c r="BC373" t="inlineStr">
        <is>
          <t>32285000508985</t>
        </is>
      </c>
      <c r="BD373" t="inlineStr">
        <is>
          <t>893895327</t>
        </is>
      </c>
    </row>
    <row r="374">
      <c r="A374" t="inlineStr">
        <is>
          <t>No</t>
        </is>
      </c>
      <c r="B374" t="inlineStr">
        <is>
          <t>BX1559.L5 B68 1979</t>
        </is>
      </c>
      <c r="C374" t="inlineStr">
        <is>
          <t>0                      BX 1559000L  5                  B  68          1979</t>
        </is>
      </c>
      <c r="D374" t="inlineStr">
        <is>
          <t>Land of crosses : the struggle for religious freedom in Lithuania, 1939-78 / by Michael Bourdeaux ; with a foreword by Cardinal Franz König.</t>
        </is>
      </c>
      <c r="F374" t="inlineStr">
        <is>
          <t>No</t>
        </is>
      </c>
      <c r="G374" t="inlineStr">
        <is>
          <t>1</t>
        </is>
      </c>
      <c r="H374" t="inlineStr">
        <is>
          <t>No</t>
        </is>
      </c>
      <c r="I374" t="inlineStr">
        <is>
          <t>No</t>
        </is>
      </c>
      <c r="J374" t="inlineStr">
        <is>
          <t>0</t>
        </is>
      </c>
      <c r="K374" t="inlineStr">
        <is>
          <t>Bourdeaux, Michael.</t>
        </is>
      </c>
      <c r="L374" t="inlineStr">
        <is>
          <t>Chulmleigh [Eng.] : Augustine Pub. Co., 1979.</t>
        </is>
      </c>
      <c r="M374" t="inlineStr">
        <is>
          <t>1979</t>
        </is>
      </c>
      <c r="O374" t="inlineStr">
        <is>
          <t>eng</t>
        </is>
      </c>
      <c r="P374" t="inlineStr">
        <is>
          <t>enk</t>
        </is>
      </c>
      <c r="Q374" t="inlineStr">
        <is>
          <t>Keston book ; no. 12</t>
        </is>
      </c>
      <c r="R374" t="inlineStr">
        <is>
          <t xml:space="preserve">BX </t>
        </is>
      </c>
      <c r="S374" t="n">
        <v>1</v>
      </c>
      <c r="T374" t="n">
        <v>1</v>
      </c>
      <c r="U374" t="inlineStr">
        <is>
          <t>1992-02-19</t>
        </is>
      </c>
      <c r="V374" t="inlineStr">
        <is>
          <t>1992-02-19</t>
        </is>
      </c>
      <c r="W374" t="inlineStr">
        <is>
          <t>1990-11-05</t>
        </is>
      </c>
      <c r="X374" t="inlineStr">
        <is>
          <t>1990-11-05</t>
        </is>
      </c>
      <c r="Y374" t="n">
        <v>175</v>
      </c>
      <c r="Z374" t="n">
        <v>95</v>
      </c>
      <c r="AA374" t="n">
        <v>98</v>
      </c>
      <c r="AB374" t="n">
        <v>2</v>
      </c>
      <c r="AC374" t="n">
        <v>2</v>
      </c>
      <c r="AD374" t="n">
        <v>6</v>
      </c>
      <c r="AE374" t="n">
        <v>6</v>
      </c>
      <c r="AF374" t="n">
        <v>1</v>
      </c>
      <c r="AG374" t="n">
        <v>1</v>
      </c>
      <c r="AH374" t="n">
        <v>2</v>
      </c>
      <c r="AI374" t="n">
        <v>2</v>
      </c>
      <c r="AJ374" t="n">
        <v>4</v>
      </c>
      <c r="AK374" t="n">
        <v>4</v>
      </c>
      <c r="AL374" t="n">
        <v>0</v>
      </c>
      <c r="AM374" t="n">
        <v>0</v>
      </c>
      <c r="AN374" t="n">
        <v>0</v>
      </c>
      <c r="AO374" t="n">
        <v>0</v>
      </c>
      <c r="AP374" t="inlineStr">
        <is>
          <t>No</t>
        </is>
      </c>
      <c r="AQ374" t="inlineStr">
        <is>
          <t>Yes</t>
        </is>
      </c>
      <c r="AR374">
        <f>HYPERLINK("http://catalog.hathitrust.org/Record/000746792","HathiTrust Record")</f>
        <v/>
      </c>
      <c r="AS374">
        <f>HYPERLINK("https://creighton-primo.hosted.exlibrisgroup.com/primo-explore/search?tab=default_tab&amp;search_scope=EVERYTHING&amp;vid=01CRU&amp;lang=en_US&amp;offset=0&amp;query=any,contains,991005061619702656","Catalog Record")</f>
        <v/>
      </c>
      <c r="AT374">
        <f>HYPERLINK("http://www.worldcat.org/oclc/6920787","WorldCat Record")</f>
        <v/>
      </c>
      <c r="AU374" t="inlineStr">
        <is>
          <t>24513912:eng</t>
        </is>
      </c>
      <c r="AV374" t="inlineStr">
        <is>
          <t>6920787</t>
        </is>
      </c>
      <c r="AW374" t="inlineStr">
        <is>
          <t>991005061619702656</t>
        </is>
      </c>
      <c r="AX374" t="inlineStr">
        <is>
          <t>991005061619702656</t>
        </is>
      </c>
      <c r="AY374" t="inlineStr">
        <is>
          <t>2269660500002656</t>
        </is>
      </c>
      <c r="AZ374" t="inlineStr">
        <is>
          <t>BOOK</t>
        </is>
      </c>
      <c r="BB374" t="inlineStr">
        <is>
          <t>9780851727301</t>
        </is>
      </c>
      <c r="BC374" t="inlineStr">
        <is>
          <t>32285000296722</t>
        </is>
      </c>
      <c r="BD374" t="inlineStr">
        <is>
          <t>893526828</t>
        </is>
      </c>
    </row>
    <row r="375">
      <c r="A375" t="inlineStr">
        <is>
          <t>No</t>
        </is>
      </c>
      <c r="B375" t="inlineStr">
        <is>
          <t>BX1559.L5 V36</t>
        </is>
      </c>
      <c r="C375" t="inlineStr">
        <is>
          <t>0                      BX 1559000L  5                  V  36</t>
        </is>
      </c>
      <c r="D375" t="inlineStr">
        <is>
          <t>The Catholic Church, dissent, and nationality in Soviet Lithuania / V. Stanley Vardys.</t>
        </is>
      </c>
      <c r="F375" t="inlineStr">
        <is>
          <t>No</t>
        </is>
      </c>
      <c r="G375" t="inlineStr">
        <is>
          <t>1</t>
        </is>
      </c>
      <c r="H375" t="inlineStr">
        <is>
          <t>No</t>
        </is>
      </c>
      <c r="I375" t="inlineStr">
        <is>
          <t>No</t>
        </is>
      </c>
      <c r="J375" t="inlineStr">
        <is>
          <t>0</t>
        </is>
      </c>
      <c r="K375" t="inlineStr">
        <is>
          <t>Vardys, Vytas Stanley, 1924-1993.</t>
        </is>
      </c>
      <c r="L375" t="inlineStr">
        <is>
          <t>Boulder [Colo.] : East European quarterly ; New York : distributed by Columbia University Press, 1978.</t>
        </is>
      </c>
      <c r="M375" t="inlineStr">
        <is>
          <t>1978</t>
        </is>
      </c>
      <c r="O375" t="inlineStr">
        <is>
          <t>eng</t>
        </is>
      </c>
      <c r="P375" t="inlineStr">
        <is>
          <t>cou</t>
        </is>
      </c>
      <c r="Q375" t="inlineStr">
        <is>
          <t>East European monographs ; no. 43</t>
        </is>
      </c>
      <c r="R375" t="inlineStr">
        <is>
          <t xml:space="preserve">BX </t>
        </is>
      </c>
      <c r="S375" t="n">
        <v>1</v>
      </c>
      <c r="T375" t="n">
        <v>1</v>
      </c>
      <c r="U375" t="inlineStr">
        <is>
          <t>1992-02-19</t>
        </is>
      </c>
      <c r="V375" t="inlineStr">
        <is>
          <t>1992-02-19</t>
        </is>
      </c>
      <c r="W375" t="inlineStr">
        <is>
          <t>1991-02-19</t>
        </is>
      </c>
      <c r="X375" t="inlineStr">
        <is>
          <t>1991-02-19</t>
        </is>
      </c>
      <c r="Y375" t="n">
        <v>430</v>
      </c>
      <c r="Z375" t="n">
        <v>355</v>
      </c>
      <c r="AA375" t="n">
        <v>361</v>
      </c>
      <c r="AB375" t="n">
        <v>4</v>
      </c>
      <c r="AC375" t="n">
        <v>4</v>
      </c>
      <c r="AD375" t="n">
        <v>24</v>
      </c>
      <c r="AE375" t="n">
        <v>24</v>
      </c>
      <c r="AF375" t="n">
        <v>7</v>
      </c>
      <c r="AG375" t="n">
        <v>7</v>
      </c>
      <c r="AH375" t="n">
        <v>8</v>
      </c>
      <c r="AI375" t="n">
        <v>8</v>
      </c>
      <c r="AJ375" t="n">
        <v>13</v>
      </c>
      <c r="AK375" t="n">
        <v>13</v>
      </c>
      <c r="AL375" t="n">
        <v>2</v>
      </c>
      <c r="AM375" t="n">
        <v>2</v>
      </c>
      <c r="AN375" t="n">
        <v>0</v>
      </c>
      <c r="AO375" t="n">
        <v>0</v>
      </c>
      <c r="AP375" t="inlineStr">
        <is>
          <t>No</t>
        </is>
      </c>
      <c r="AQ375" t="inlineStr">
        <is>
          <t>No</t>
        </is>
      </c>
      <c r="AS375">
        <f>HYPERLINK("https://creighton-primo.hosted.exlibrisgroup.com/primo-explore/search?tab=default_tab&amp;search_scope=EVERYTHING&amp;vid=01CRU&amp;lang=en_US&amp;offset=0&amp;query=any,contains,991004623589702656","Catalog Record")</f>
        <v/>
      </c>
      <c r="AT375">
        <f>HYPERLINK("http://www.worldcat.org/oclc/4318538","WorldCat Record")</f>
        <v/>
      </c>
      <c r="AU375" t="inlineStr">
        <is>
          <t>14680429:eng</t>
        </is>
      </c>
      <c r="AV375" t="inlineStr">
        <is>
          <t>4318538</t>
        </is>
      </c>
      <c r="AW375" t="inlineStr">
        <is>
          <t>991004623589702656</t>
        </is>
      </c>
      <c r="AX375" t="inlineStr">
        <is>
          <t>991004623589702656</t>
        </is>
      </c>
      <c r="AY375" t="inlineStr">
        <is>
          <t>2269883520002656</t>
        </is>
      </c>
      <c r="AZ375" t="inlineStr">
        <is>
          <t>BOOK</t>
        </is>
      </c>
      <c r="BB375" t="inlineStr">
        <is>
          <t>9780914710363</t>
        </is>
      </c>
      <c r="BC375" t="inlineStr">
        <is>
          <t>32285000509025</t>
        </is>
      </c>
      <c r="BD375" t="inlineStr">
        <is>
          <t>893247779</t>
        </is>
      </c>
    </row>
    <row r="376">
      <c r="A376" t="inlineStr">
        <is>
          <t>No</t>
        </is>
      </c>
      <c r="B376" t="inlineStr">
        <is>
          <t>BX156 .B2 1987</t>
        </is>
      </c>
      <c r="C376" t="inlineStr">
        <is>
          <t>0                      BX 0156000B  2           1987</t>
        </is>
      </c>
      <c r="D376" t="inlineStr">
        <is>
          <t>The Nestorians and their rituals : with the narrative of a mission to Mesopotamia and Coordistan in 1842-1844, and of a late visit to those countries in 1850 ; also, researches into the present condition of the Syrian Jacobites, papal Syrians, and Chaldeans, and an inquiry into the religious tenets of the Yezeedees / by the Rev. George Percy Badger.</t>
        </is>
      </c>
      <c r="F376" t="inlineStr">
        <is>
          <t>Yes</t>
        </is>
      </c>
      <c r="G376" t="inlineStr">
        <is>
          <t>1</t>
        </is>
      </c>
      <c r="H376" t="inlineStr">
        <is>
          <t>No</t>
        </is>
      </c>
      <c r="I376" t="inlineStr">
        <is>
          <t>No</t>
        </is>
      </c>
      <c r="J376" t="inlineStr">
        <is>
          <t>0</t>
        </is>
      </c>
      <c r="K376" t="inlineStr">
        <is>
          <t>Badger, George Percy, 1815-1888.</t>
        </is>
      </c>
      <c r="L376" t="inlineStr">
        <is>
          <t>London : Darf Publishers Limited, 1987.</t>
        </is>
      </c>
      <c r="M376" t="inlineStr">
        <is>
          <t>1987</t>
        </is>
      </c>
      <c r="O376" t="inlineStr">
        <is>
          <t>eng</t>
        </is>
      </c>
      <c r="P376" t="inlineStr">
        <is>
          <t>xxk</t>
        </is>
      </c>
      <c r="R376" t="inlineStr">
        <is>
          <t xml:space="preserve">BX </t>
        </is>
      </c>
      <c r="S376" t="n">
        <v>4</v>
      </c>
      <c r="T376" t="n">
        <v>4</v>
      </c>
      <c r="U376" t="inlineStr">
        <is>
          <t>2009-07-07</t>
        </is>
      </c>
      <c r="V376" t="inlineStr">
        <is>
          <t>2009-07-07</t>
        </is>
      </c>
      <c r="W376" t="inlineStr">
        <is>
          <t>1992-12-10</t>
        </is>
      </c>
      <c r="X376" t="inlineStr">
        <is>
          <t>1992-12-10</t>
        </is>
      </c>
      <c r="Y376" t="n">
        <v>21</v>
      </c>
      <c r="Z376" t="n">
        <v>19</v>
      </c>
      <c r="AA376" t="n">
        <v>261</v>
      </c>
      <c r="AB376" t="n">
        <v>1</v>
      </c>
      <c r="AC376" t="n">
        <v>3</v>
      </c>
      <c r="AD376" t="n">
        <v>3</v>
      </c>
      <c r="AE376" t="n">
        <v>16</v>
      </c>
      <c r="AF376" t="n">
        <v>0</v>
      </c>
      <c r="AG376" t="n">
        <v>4</v>
      </c>
      <c r="AH376" t="n">
        <v>1</v>
      </c>
      <c r="AI376" t="n">
        <v>4</v>
      </c>
      <c r="AJ376" t="n">
        <v>3</v>
      </c>
      <c r="AK376" t="n">
        <v>6</v>
      </c>
      <c r="AL376" t="n">
        <v>0</v>
      </c>
      <c r="AM376" t="n">
        <v>2</v>
      </c>
      <c r="AN376" t="n">
        <v>0</v>
      </c>
      <c r="AO376" t="n">
        <v>2</v>
      </c>
      <c r="AP376" t="inlineStr">
        <is>
          <t>No</t>
        </is>
      </c>
      <c r="AQ376" t="inlineStr">
        <is>
          <t>Yes</t>
        </is>
      </c>
      <c r="AR376">
        <f>HYPERLINK("http://catalog.hathitrust.org/Record/100835845","HathiTrust Record")</f>
        <v/>
      </c>
      <c r="AS376">
        <f>HYPERLINK("https://creighton-primo.hosted.exlibrisgroup.com/primo-explore/search?tab=default_tab&amp;search_scope=EVERYTHING&amp;vid=01CRU&amp;lang=en_US&amp;offset=0&amp;query=any,contains,991001536339702656","Catalog Record")</f>
        <v/>
      </c>
      <c r="AT376">
        <f>HYPERLINK("http://www.worldcat.org/oclc/20086984","WorldCat Record")</f>
        <v/>
      </c>
      <c r="AU376" t="inlineStr">
        <is>
          <t>2118016:eng</t>
        </is>
      </c>
      <c r="AV376" t="inlineStr">
        <is>
          <t>20086984</t>
        </is>
      </c>
      <c r="AW376" t="inlineStr">
        <is>
          <t>991001536339702656</t>
        </is>
      </c>
      <c r="AX376" t="inlineStr">
        <is>
          <t>991001536339702656</t>
        </is>
      </c>
      <c r="AY376" t="inlineStr">
        <is>
          <t>2269133070002656</t>
        </is>
      </c>
      <c r="AZ376" t="inlineStr">
        <is>
          <t>BOOK</t>
        </is>
      </c>
      <c r="BB376" t="inlineStr">
        <is>
          <t>9781850771678</t>
        </is>
      </c>
      <c r="BC376" t="inlineStr">
        <is>
          <t>32285001402485</t>
        </is>
      </c>
      <c r="BD376" t="inlineStr">
        <is>
          <t>893803670</t>
        </is>
      </c>
    </row>
    <row r="377">
      <c r="A377" t="inlineStr">
        <is>
          <t>No</t>
        </is>
      </c>
      <c r="B377" t="inlineStr">
        <is>
          <t>BX1584 .B68</t>
        </is>
      </c>
      <c r="C377" t="inlineStr">
        <is>
          <t>0                      BX 1584000B  68</t>
        </is>
      </c>
      <c r="D377" t="inlineStr">
        <is>
          <t>The Church Militant and Iberian expansion, 1440-1770 / C. R. Boxer. --</t>
        </is>
      </c>
      <c r="F377" t="inlineStr">
        <is>
          <t>No</t>
        </is>
      </c>
      <c r="G377" t="inlineStr">
        <is>
          <t>1</t>
        </is>
      </c>
      <c r="H377" t="inlineStr">
        <is>
          <t>No</t>
        </is>
      </c>
      <c r="I377" t="inlineStr">
        <is>
          <t>No</t>
        </is>
      </c>
      <c r="J377" t="inlineStr">
        <is>
          <t>0</t>
        </is>
      </c>
      <c r="K377" t="inlineStr">
        <is>
          <t>Boxer, C. R. (Charles Ralph), 1904-2000.</t>
        </is>
      </c>
      <c r="L377" t="inlineStr">
        <is>
          <t>Baltimore : Johns Hopkins University Press, c1978.</t>
        </is>
      </c>
      <c r="M377" t="inlineStr">
        <is>
          <t>1978</t>
        </is>
      </c>
      <c r="O377" t="inlineStr">
        <is>
          <t>eng</t>
        </is>
      </c>
      <c r="P377" t="inlineStr">
        <is>
          <t>mdu</t>
        </is>
      </c>
      <c r="Q377" t="inlineStr">
        <is>
          <t>The Johns Hopkins symposia in comparative history ; no. 10</t>
        </is>
      </c>
      <c r="R377" t="inlineStr">
        <is>
          <t xml:space="preserve">BX </t>
        </is>
      </c>
      <c r="S377" t="n">
        <v>1</v>
      </c>
      <c r="T377" t="n">
        <v>1</v>
      </c>
      <c r="U377" t="inlineStr">
        <is>
          <t>2001-10-09</t>
        </is>
      </c>
      <c r="V377" t="inlineStr">
        <is>
          <t>2001-10-09</t>
        </is>
      </c>
      <c r="W377" t="inlineStr">
        <is>
          <t>1991-02-19</t>
        </is>
      </c>
      <c r="X377" t="inlineStr">
        <is>
          <t>1991-02-19</t>
        </is>
      </c>
      <c r="Y377" t="n">
        <v>689</v>
      </c>
      <c r="Z377" t="n">
        <v>542</v>
      </c>
      <c r="AA377" t="n">
        <v>553</v>
      </c>
      <c r="AB377" t="n">
        <v>2</v>
      </c>
      <c r="AC377" t="n">
        <v>2</v>
      </c>
      <c r="AD377" t="n">
        <v>33</v>
      </c>
      <c r="AE377" t="n">
        <v>33</v>
      </c>
      <c r="AF377" t="n">
        <v>12</v>
      </c>
      <c r="AG377" t="n">
        <v>12</v>
      </c>
      <c r="AH377" t="n">
        <v>10</v>
      </c>
      <c r="AI377" t="n">
        <v>10</v>
      </c>
      <c r="AJ377" t="n">
        <v>19</v>
      </c>
      <c r="AK377" t="n">
        <v>19</v>
      </c>
      <c r="AL377" t="n">
        <v>1</v>
      </c>
      <c r="AM377" t="n">
        <v>1</v>
      </c>
      <c r="AN377" t="n">
        <v>0</v>
      </c>
      <c r="AO377" t="n">
        <v>0</v>
      </c>
      <c r="AP377" t="inlineStr">
        <is>
          <t>No</t>
        </is>
      </c>
      <c r="AQ377" t="inlineStr">
        <is>
          <t>Yes</t>
        </is>
      </c>
      <c r="AR377">
        <f>HYPERLINK("http://catalog.hathitrust.org/Record/000131662","HathiTrust Record")</f>
        <v/>
      </c>
      <c r="AS377">
        <f>HYPERLINK("https://creighton-primo.hosted.exlibrisgroup.com/primo-explore/search?tab=default_tab&amp;search_scope=EVERYTHING&amp;vid=01CRU&amp;lang=en_US&amp;offset=0&amp;query=any,contains,991004499679702656","Catalog Record")</f>
        <v/>
      </c>
      <c r="AT377">
        <f>HYPERLINK("http://www.worldcat.org/oclc/3710776","WorldCat Record")</f>
        <v/>
      </c>
      <c r="AU377" t="inlineStr">
        <is>
          <t>119376657:eng</t>
        </is>
      </c>
      <c r="AV377" t="inlineStr">
        <is>
          <t>3710776</t>
        </is>
      </c>
      <c r="AW377" t="inlineStr">
        <is>
          <t>991004499679702656</t>
        </is>
      </c>
      <c r="AX377" t="inlineStr">
        <is>
          <t>991004499679702656</t>
        </is>
      </c>
      <c r="AY377" t="inlineStr">
        <is>
          <t>2263889880002656</t>
        </is>
      </c>
      <c r="AZ377" t="inlineStr">
        <is>
          <t>BOOK</t>
        </is>
      </c>
      <c r="BB377" t="inlineStr">
        <is>
          <t>9780801820427</t>
        </is>
      </c>
      <c r="BC377" t="inlineStr">
        <is>
          <t>32285000509132</t>
        </is>
      </c>
      <c r="BD377" t="inlineStr">
        <is>
          <t>893904895</t>
        </is>
      </c>
    </row>
    <row r="378">
      <c r="A378" t="inlineStr">
        <is>
          <t>No</t>
        </is>
      </c>
      <c r="B378" t="inlineStr">
        <is>
          <t>BX1584 .S87 1995</t>
        </is>
      </c>
      <c r="C378" t="inlineStr">
        <is>
          <t>0                      BX 1584000S  87          1995</t>
        </is>
      </c>
      <c r="D378" t="inlineStr">
        <is>
          <t>Writing women in late Medieval and early modern Spain : the mothers of Saint Teresa of Avila / Ronald E. Surtz.</t>
        </is>
      </c>
      <c r="F378" t="inlineStr">
        <is>
          <t>No</t>
        </is>
      </c>
      <c r="G378" t="inlineStr">
        <is>
          <t>1</t>
        </is>
      </c>
      <c r="H378" t="inlineStr">
        <is>
          <t>No</t>
        </is>
      </c>
      <c r="I378" t="inlineStr">
        <is>
          <t>No</t>
        </is>
      </c>
      <c r="J378" t="inlineStr">
        <is>
          <t>0</t>
        </is>
      </c>
      <c r="K378" t="inlineStr">
        <is>
          <t>Surtz, Ronald E.</t>
        </is>
      </c>
      <c r="L378" t="inlineStr">
        <is>
          <t>Philadelphia : University of Pennsylvania Press, c1995.</t>
        </is>
      </c>
      <c r="M378" t="inlineStr">
        <is>
          <t>1995</t>
        </is>
      </c>
      <c r="O378" t="inlineStr">
        <is>
          <t>eng</t>
        </is>
      </c>
      <c r="P378" t="inlineStr">
        <is>
          <t>pau</t>
        </is>
      </c>
      <c r="Q378" t="inlineStr">
        <is>
          <t>Middle Ages series</t>
        </is>
      </c>
      <c r="R378" t="inlineStr">
        <is>
          <t xml:space="preserve">BX </t>
        </is>
      </c>
      <c r="S378" t="n">
        <v>4</v>
      </c>
      <c r="T378" t="n">
        <v>4</v>
      </c>
      <c r="U378" t="inlineStr">
        <is>
          <t>2007-02-12</t>
        </is>
      </c>
      <c r="V378" t="inlineStr">
        <is>
          <t>2007-02-12</t>
        </is>
      </c>
      <c r="W378" t="inlineStr">
        <is>
          <t>1997-05-06</t>
        </is>
      </c>
      <c r="X378" t="inlineStr">
        <is>
          <t>1997-05-06</t>
        </is>
      </c>
      <c r="Y378" t="n">
        <v>363</v>
      </c>
      <c r="Z378" t="n">
        <v>303</v>
      </c>
      <c r="AA378" t="n">
        <v>626</v>
      </c>
      <c r="AB378" t="n">
        <v>3</v>
      </c>
      <c r="AC378" t="n">
        <v>3</v>
      </c>
      <c r="AD378" t="n">
        <v>25</v>
      </c>
      <c r="AE378" t="n">
        <v>30</v>
      </c>
      <c r="AF378" t="n">
        <v>9</v>
      </c>
      <c r="AG378" t="n">
        <v>13</v>
      </c>
      <c r="AH378" t="n">
        <v>9</v>
      </c>
      <c r="AI378" t="n">
        <v>10</v>
      </c>
      <c r="AJ378" t="n">
        <v>15</v>
      </c>
      <c r="AK378" t="n">
        <v>16</v>
      </c>
      <c r="AL378" t="n">
        <v>2</v>
      </c>
      <c r="AM378" t="n">
        <v>2</v>
      </c>
      <c r="AN378" t="n">
        <v>0</v>
      </c>
      <c r="AO378" t="n">
        <v>0</v>
      </c>
      <c r="AP378" t="inlineStr">
        <is>
          <t>No</t>
        </is>
      </c>
      <c r="AQ378" t="inlineStr">
        <is>
          <t>Yes</t>
        </is>
      </c>
      <c r="AR378">
        <f>HYPERLINK("http://catalog.hathitrust.org/Record/002987591","HathiTrust Record")</f>
        <v/>
      </c>
      <c r="AS378">
        <f>HYPERLINK("https://creighton-primo.hosted.exlibrisgroup.com/primo-explore/search?tab=default_tab&amp;search_scope=EVERYTHING&amp;vid=01CRU&amp;lang=en_US&amp;offset=0&amp;query=any,contains,991002454639702656","Catalog Record")</f>
        <v/>
      </c>
      <c r="AT378">
        <f>HYPERLINK("http://www.worldcat.org/oclc/32012846","WorldCat Record")</f>
        <v/>
      </c>
      <c r="AU378" t="inlineStr">
        <is>
          <t>1010630:eng</t>
        </is>
      </c>
      <c r="AV378" t="inlineStr">
        <is>
          <t>32012846</t>
        </is>
      </c>
      <c r="AW378" t="inlineStr">
        <is>
          <t>991002454639702656</t>
        </is>
      </c>
      <c r="AX378" t="inlineStr">
        <is>
          <t>991002454639702656</t>
        </is>
      </c>
      <c r="AY378" t="inlineStr">
        <is>
          <t>2256156900002656</t>
        </is>
      </c>
      <c r="AZ378" t="inlineStr">
        <is>
          <t>BOOK</t>
        </is>
      </c>
      <c r="BB378" t="inlineStr">
        <is>
          <t>9780812232929</t>
        </is>
      </c>
      <c r="BC378" t="inlineStr">
        <is>
          <t>32285002544863</t>
        </is>
      </c>
      <c r="BD378" t="inlineStr">
        <is>
          <t>893504401</t>
        </is>
      </c>
    </row>
    <row r="379">
      <c r="A379" t="inlineStr">
        <is>
          <t>No</t>
        </is>
      </c>
      <c r="B379" t="inlineStr">
        <is>
          <t>BX1585 .C214 1984</t>
        </is>
      </c>
      <c r="C379" t="inlineStr">
        <is>
          <t>0                      BX 1585000C  214         1984</t>
        </is>
      </c>
      <c r="D379" t="inlineStr">
        <is>
          <t>Church, politics, and society in Spain, 1750-1874 / William J. Callahan.</t>
        </is>
      </c>
      <c r="F379" t="inlineStr">
        <is>
          <t>No</t>
        </is>
      </c>
      <c r="G379" t="inlineStr">
        <is>
          <t>1</t>
        </is>
      </c>
      <c r="H379" t="inlineStr">
        <is>
          <t>No</t>
        </is>
      </c>
      <c r="I379" t="inlineStr">
        <is>
          <t>No</t>
        </is>
      </c>
      <c r="J379" t="inlineStr">
        <is>
          <t>0</t>
        </is>
      </c>
      <c r="K379" t="inlineStr">
        <is>
          <t>Callahan, William James, 1937-</t>
        </is>
      </c>
      <c r="L379" t="inlineStr">
        <is>
          <t>Cambridge, Mass. : Harvard University Press, 1984.</t>
        </is>
      </c>
      <c r="M379" t="inlineStr">
        <is>
          <t>1984</t>
        </is>
      </c>
      <c r="O379" t="inlineStr">
        <is>
          <t>eng</t>
        </is>
      </c>
      <c r="P379" t="inlineStr">
        <is>
          <t>mau</t>
        </is>
      </c>
      <c r="Q379" t="inlineStr">
        <is>
          <t>Harvard historical monographs ; 73</t>
        </is>
      </c>
      <c r="R379" t="inlineStr">
        <is>
          <t xml:space="preserve">BX </t>
        </is>
      </c>
      <c r="S379" t="n">
        <v>2</v>
      </c>
      <c r="T379" t="n">
        <v>2</v>
      </c>
      <c r="U379" t="inlineStr">
        <is>
          <t>1998-07-24</t>
        </is>
      </c>
      <c r="V379" t="inlineStr">
        <is>
          <t>1998-07-24</t>
        </is>
      </c>
      <c r="W379" t="inlineStr">
        <is>
          <t>1990-06-08</t>
        </is>
      </c>
      <c r="X379" t="inlineStr">
        <is>
          <t>1990-06-08</t>
        </is>
      </c>
      <c r="Y379" t="n">
        <v>630</v>
      </c>
      <c r="Z379" t="n">
        <v>502</v>
      </c>
      <c r="AA379" t="n">
        <v>502</v>
      </c>
      <c r="AB379" t="n">
        <v>2</v>
      </c>
      <c r="AC379" t="n">
        <v>2</v>
      </c>
      <c r="AD379" t="n">
        <v>28</v>
      </c>
      <c r="AE379" t="n">
        <v>28</v>
      </c>
      <c r="AF379" t="n">
        <v>10</v>
      </c>
      <c r="AG379" t="n">
        <v>10</v>
      </c>
      <c r="AH379" t="n">
        <v>9</v>
      </c>
      <c r="AI379" t="n">
        <v>9</v>
      </c>
      <c r="AJ379" t="n">
        <v>18</v>
      </c>
      <c r="AK379" t="n">
        <v>18</v>
      </c>
      <c r="AL379" t="n">
        <v>1</v>
      </c>
      <c r="AM379" t="n">
        <v>1</v>
      </c>
      <c r="AN379" t="n">
        <v>0</v>
      </c>
      <c r="AO379" t="n">
        <v>0</v>
      </c>
      <c r="AP379" t="inlineStr">
        <is>
          <t>No</t>
        </is>
      </c>
      <c r="AQ379" t="inlineStr">
        <is>
          <t>No</t>
        </is>
      </c>
      <c r="AS379">
        <f>HYPERLINK("https://creighton-primo.hosted.exlibrisgroup.com/primo-explore/search?tab=default_tab&amp;search_scope=EVERYTHING&amp;vid=01CRU&amp;lang=en_US&amp;offset=0&amp;query=any,contains,991000345709702656","Catalog Record")</f>
        <v/>
      </c>
      <c r="AT379">
        <f>HYPERLINK("http://www.worldcat.org/oclc/10277759","WorldCat Record")</f>
        <v/>
      </c>
      <c r="AU379" t="inlineStr">
        <is>
          <t>199074236:eng</t>
        </is>
      </c>
      <c r="AV379" t="inlineStr">
        <is>
          <t>10277759</t>
        </is>
      </c>
      <c r="AW379" t="inlineStr">
        <is>
          <t>991000345709702656</t>
        </is>
      </c>
      <c r="AX379" t="inlineStr">
        <is>
          <t>991000345709702656</t>
        </is>
      </c>
      <c r="AY379" t="inlineStr">
        <is>
          <t>2265367330002656</t>
        </is>
      </c>
      <c r="AZ379" t="inlineStr">
        <is>
          <t>BOOK</t>
        </is>
      </c>
      <c r="BB379" t="inlineStr">
        <is>
          <t>9780674131255</t>
        </is>
      </c>
      <c r="BC379" t="inlineStr">
        <is>
          <t>32285000184555</t>
        </is>
      </c>
      <c r="BD379" t="inlineStr">
        <is>
          <t>893345566</t>
        </is>
      </c>
    </row>
    <row r="380">
      <c r="A380" t="inlineStr">
        <is>
          <t>No</t>
        </is>
      </c>
      <c r="B380" t="inlineStr">
        <is>
          <t>BX1621.3.C97 C68 1997</t>
        </is>
      </c>
      <c r="C380" t="inlineStr">
        <is>
          <t>0                      BX 1621300C  97                 C  68          1997</t>
        </is>
      </c>
      <c r="D380" t="inlineStr">
        <is>
          <t>The Latin Church in Cyprus, 1195-1312 / Nicholas Coureas.</t>
        </is>
      </c>
      <c r="F380" t="inlineStr">
        <is>
          <t>No</t>
        </is>
      </c>
      <c r="G380" t="inlineStr">
        <is>
          <t>1</t>
        </is>
      </c>
      <c r="H380" t="inlineStr">
        <is>
          <t>No</t>
        </is>
      </c>
      <c r="I380" t="inlineStr">
        <is>
          <t>No</t>
        </is>
      </c>
      <c r="J380" t="inlineStr">
        <is>
          <t>0</t>
        </is>
      </c>
      <c r="K380" t="inlineStr">
        <is>
          <t>Coureas, Nicholas.</t>
        </is>
      </c>
      <c r="L380" t="inlineStr">
        <is>
          <t>Aldershot, Hampshire ; Brookfield, Vt. : Ashgate, c1997.</t>
        </is>
      </c>
      <c r="M380" t="inlineStr">
        <is>
          <t>1997</t>
        </is>
      </c>
      <c r="O380" t="inlineStr">
        <is>
          <t>eng</t>
        </is>
      </c>
      <c r="P380" t="inlineStr">
        <is>
          <t>enk</t>
        </is>
      </c>
      <c r="R380" t="inlineStr">
        <is>
          <t xml:space="preserve">BX </t>
        </is>
      </c>
      <c r="S380" t="n">
        <v>2</v>
      </c>
      <c r="T380" t="n">
        <v>2</v>
      </c>
      <c r="U380" t="inlineStr">
        <is>
          <t>2000-08-23</t>
        </is>
      </c>
      <c r="V380" t="inlineStr">
        <is>
          <t>2000-08-23</t>
        </is>
      </c>
      <c r="W380" t="inlineStr">
        <is>
          <t>2000-08-14</t>
        </is>
      </c>
      <c r="X380" t="inlineStr">
        <is>
          <t>2000-08-14</t>
        </is>
      </c>
      <c r="Y380" t="n">
        <v>173</v>
      </c>
      <c r="Z380" t="n">
        <v>120</v>
      </c>
      <c r="AA380" t="n">
        <v>139</v>
      </c>
      <c r="AB380" t="n">
        <v>1</v>
      </c>
      <c r="AC380" t="n">
        <v>1</v>
      </c>
      <c r="AD380" t="n">
        <v>12</v>
      </c>
      <c r="AE380" t="n">
        <v>12</v>
      </c>
      <c r="AF380" t="n">
        <v>2</v>
      </c>
      <c r="AG380" t="n">
        <v>2</v>
      </c>
      <c r="AH380" t="n">
        <v>6</v>
      </c>
      <c r="AI380" t="n">
        <v>6</v>
      </c>
      <c r="AJ380" t="n">
        <v>8</v>
      </c>
      <c r="AK380" t="n">
        <v>8</v>
      </c>
      <c r="AL380" t="n">
        <v>0</v>
      </c>
      <c r="AM380" t="n">
        <v>0</v>
      </c>
      <c r="AN380" t="n">
        <v>0</v>
      </c>
      <c r="AO380" t="n">
        <v>0</v>
      </c>
      <c r="AP380" t="inlineStr">
        <is>
          <t>No</t>
        </is>
      </c>
      <c r="AQ380" t="inlineStr">
        <is>
          <t>Yes</t>
        </is>
      </c>
      <c r="AR380">
        <f>HYPERLINK("http://catalog.hathitrust.org/Record/003954981","HathiTrust Record")</f>
        <v/>
      </c>
      <c r="AS380">
        <f>HYPERLINK("https://creighton-primo.hosted.exlibrisgroup.com/primo-explore/search?tab=default_tab&amp;search_scope=EVERYTHING&amp;vid=01CRU&amp;lang=en_US&amp;offset=0&amp;query=any,contains,991003227539702656","Catalog Record")</f>
        <v/>
      </c>
      <c r="AT380">
        <f>HYPERLINK("http://www.worldcat.org/oclc/37156003","WorldCat Record")</f>
        <v/>
      </c>
      <c r="AU380" t="inlineStr">
        <is>
          <t>695083:eng</t>
        </is>
      </c>
      <c r="AV380" t="inlineStr">
        <is>
          <t>37156003</t>
        </is>
      </c>
      <c r="AW380" t="inlineStr">
        <is>
          <t>991003227539702656</t>
        </is>
      </c>
      <c r="AX380" t="inlineStr">
        <is>
          <t>991003227539702656</t>
        </is>
      </c>
      <c r="AY380" t="inlineStr">
        <is>
          <t>2270964950002656</t>
        </is>
      </c>
      <c r="AZ380" t="inlineStr">
        <is>
          <t>BOOK</t>
        </is>
      </c>
      <c r="BB380" t="inlineStr">
        <is>
          <t>9781859284476</t>
        </is>
      </c>
      <c r="BC380" t="inlineStr">
        <is>
          <t>32285003757118</t>
        </is>
      </c>
      <c r="BD380" t="inlineStr">
        <is>
          <t>893239987</t>
        </is>
      </c>
    </row>
    <row r="381">
      <c r="A381" t="inlineStr">
        <is>
          <t>No</t>
        </is>
      </c>
      <c r="B381" t="inlineStr">
        <is>
          <t>BX1644 .T5 1957</t>
        </is>
      </c>
      <c r="C381" t="inlineStr">
        <is>
          <t>0                      BX 1644000T  5           1957</t>
        </is>
      </c>
      <c r="D381" t="inlineStr">
        <is>
          <t>Eastern Christianity in India : a history of the Syro-Malabar Church from the earliest time to the present day / Authorized adaptation from the French by E.R. Hambye.</t>
        </is>
      </c>
      <c r="F381" t="inlineStr">
        <is>
          <t>No</t>
        </is>
      </c>
      <c r="G381" t="inlineStr">
        <is>
          <t>1</t>
        </is>
      </c>
      <c r="H381" t="inlineStr">
        <is>
          <t>No</t>
        </is>
      </c>
      <c r="I381" t="inlineStr">
        <is>
          <t>No</t>
        </is>
      </c>
      <c r="J381" t="inlineStr">
        <is>
          <t>0</t>
        </is>
      </c>
      <c r="K381" t="inlineStr">
        <is>
          <t>Tisserant, Eugène, 1884-1972.</t>
        </is>
      </c>
      <c r="L381" t="inlineStr">
        <is>
          <t>Westminster, Md. : Newman Press, 1957.</t>
        </is>
      </c>
      <c r="M381" t="inlineStr">
        <is>
          <t>1957</t>
        </is>
      </c>
      <c r="N381" t="inlineStr">
        <is>
          <t>[1st ed.]</t>
        </is>
      </c>
      <c r="O381" t="inlineStr">
        <is>
          <t>eng</t>
        </is>
      </c>
      <c r="P381" t="inlineStr">
        <is>
          <t xml:space="preserve">xx </t>
        </is>
      </c>
      <c r="R381" t="inlineStr">
        <is>
          <t xml:space="preserve">BX </t>
        </is>
      </c>
      <c r="S381" t="n">
        <v>3</v>
      </c>
      <c r="T381" t="n">
        <v>3</v>
      </c>
      <c r="U381" t="inlineStr">
        <is>
          <t>2007-07-27</t>
        </is>
      </c>
      <c r="V381" t="inlineStr">
        <is>
          <t>2007-07-27</t>
        </is>
      </c>
      <c r="W381" t="inlineStr">
        <is>
          <t>1991-02-19</t>
        </is>
      </c>
      <c r="X381" t="inlineStr">
        <is>
          <t>1991-02-19</t>
        </is>
      </c>
      <c r="Y381" t="n">
        <v>132</v>
      </c>
      <c r="Z381" t="n">
        <v>126</v>
      </c>
      <c r="AA381" t="n">
        <v>222</v>
      </c>
      <c r="AB381" t="n">
        <v>2</v>
      </c>
      <c r="AC381" t="n">
        <v>2</v>
      </c>
      <c r="AD381" t="n">
        <v>12</v>
      </c>
      <c r="AE381" t="n">
        <v>23</v>
      </c>
      <c r="AF381" t="n">
        <v>1</v>
      </c>
      <c r="AG381" t="n">
        <v>7</v>
      </c>
      <c r="AH381" t="n">
        <v>5</v>
      </c>
      <c r="AI381" t="n">
        <v>6</v>
      </c>
      <c r="AJ381" t="n">
        <v>8</v>
      </c>
      <c r="AK381" t="n">
        <v>16</v>
      </c>
      <c r="AL381" t="n">
        <v>0</v>
      </c>
      <c r="AM381" t="n">
        <v>0</v>
      </c>
      <c r="AN381" t="n">
        <v>0</v>
      </c>
      <c r="AO381" t="n">
        <v>0</v>
      </c>
      <c r="AP381" t="inlineStr">
        <is>
          <t>No</t>
        </is>
      </c>
      <c r="AQ381" t="inlineStr">
        <is>
          <t>No</t>
        </is>
      </c>
      <c r="AR381">
        <f>HYPERLINK("http://catalog.hathitrust.org/Record/001416379","HathiTrust Record")</f>
        <v/>
      </c>
      <c r="AS381">
        <f>HYPERLINK("https://creighton-primo.hosted.exlibrisgroup.com/primo-explore/search?tab=default_tab&amp;search_scope=EVERYTHING&amp;vid=01CRU&amp;lang=en_US&amp;offset=0&amp;query=any,contains,991005370559702656","Catalog Record")</f>
        <v/>
      </c>
      <c r="AT381">
        <f>HYPERLINK("http://www.worldcat.org/oclc/3021034","WorldCat Record")</f>
        <v/>
      </c>
      <c r="AU381" t="inlineStr">
        <is>
          <t>4892278:eng</t>
        </is>
      </c>
      <c r="AV381" t="inlineStr">
        <is>
          <t>3021034</t>
        </is>
      </c>
      <c r="AW381" t="inlineStr">
        <is>
          <t>991005370559702656</t>
        </is>
      </c>
      <c r="AX381" t="inlineStr">
        <is>
          <t>991005370559702656</t>
        </is>
      </c>
      <c r="AY381" t="inlineStr">
        <is>
          <t>2259902270002656</t>
        </is>
      </c>
      <c r="AZ381" t="inlineStr">
        <is>
          <t>BOOK</t>
        </is>
      </c>
      <c r="BC381" t="inlineStr">
        <is>
          <t>32285000509215</t>
        </is>
      </c>
      <c r="BD381" t="inlineStr">
        <is>
          <t>893261040</t>
        </is>
      </c>
    </row>
    <row r="382">
      <c r="A382" t="inlineStr">
        <is>
          <t>No</t>
        </is>
      </c>
      <c r="B382" t="inlineStr">
        <is>
          <t>BX1665 .L69 2001</t>
        </is>
      </c>
      <c r="C382" t="inlineStr">
        <is>
          <t>0                      BX 1665000L  69          2001</t>
        </is>
      </c>
      <c r="D382" t="inlineStr">
        <is>
          <t>God aboveground : Catholic Church, postsocialist state, and transnational processes in a Chinese village / Eriberto P. Lozada, Jr.</t>
        </is>
      </c>
      <c r="F382" t="inlineStr">
        <is>
          <t>No</t>
        </is>
      </c>
      <c r="G382" t="inlineStr">
        <is>
          <t>1</t>
        </is>
      </c>
      <c r="H382" t="inlineStr">
        <is>
          <t>No</t>
        </is>
      </c>
      <c r="I382" t="inlineStr">
        <is>
          <t>No</t>
        </is>
      </c>
      <c r="J382" t="inlineStr">
        <is>
          <t>0</t>
        </is>
      </c>
      <c r="K382" t="inlineStr">
        <is>
          <t>Lozada, Eriberto P.</t>
        </is>
      </c>
      <c r="L382" t="inlineStr">
        <is>
          <t>Stanford, Calif. : Stanford University Press, 2001.</t>
        </is>
      </c>
      <c r="M382" t="inlineStr">
        <is>
          <t>2001</t>
        </is>
      </c>
      <c r="O382" t="inlineStr">
        <is>
          <t>eng</t>
        </is>
      </c>
      <c r="P382" t="inlineStr">
        <is>
          <t>cau</t>
        </is>
      </c>
      <c r="R382" t="inlineStr">
        <is>
          <t xml:space="preserve">BX </t>
        </is>
      </c>
      <c r="S382" t="n">
        <v>2</v>
      </c>
      <c r="T382" t="n">
        <v>2</v>
      </c>
      <c r="U382" t="inlineStr">
        <is>
          <t>2003-06-11</t>
        </is>
      </c>
      <c r="V382" t="inlineStr">
        <is>
          <t>2003-06-11</t>
        </is>
      </c>
      <c r="W382" t="inlineStr">
        <is>
          <t>2003-06-11</t>
        </is>
      </c>
      <c r="X382" t="inlineStr">
        <is>
          <t>2003-06-11</t>
        </is>
      </c>
      <c r="Y382" t="n">
        <v>344</v>
      </c>
      <c r="Z382" t="n">
        <v>276</v>
      </c>
      <c r="AA382" t="n">
        <v>299</v>
      </c>
      <c r="AB382" t="n">
        <v>2</v>
      </c>
      <c r="AC382" t="n">
        <v>4</v>
      </c>
      <c r="AD382" t="n">
        <v>20</v>
      </c>
      <c r="AE382" t="n">
        <v>23</v>
      </c>
      <c r="AF382" t="n">
        <v>5</v>
      </c>
      <c r="AG382" t="n">
        <v>6</v>
      </c>
      <c r="AH382" t="n">
        <v>7</v>
      </c>
      <c r="AI382" t="n">
        <v>7</v>
      </c>
      <c r="AJ382" t="n">
        <v>14</v>
      </c>
      <c r="AK382" t="n">
        <v>14</v>
      </c>
      <c r="AL382" t="n">
        <v>1</v>
      </c>
      <c r="AM382" t="n">
        <v>3</v>
      </c>
      <c r="AN382" t="n">
        <v>0</v>
      </c>
      <c r="AO382" t="n">
        <v>0</v>
      </c>
      <c r="AP382" t="inlineStr">
        <is>
          <t>No</t>
        </is>
      </c>
      <c r="AQ382" t="inlineStr">
        <is>
          <t>No</t>
        </is>
      </c>
      <c r="AS382">
        <f>HYPERLINK("https://creighton-primo.hosted.exlibrisgroup.com/primo-explore/search?tab=default_tab&amp;search_scope=EVERYTHING&amp;vid=01CRU&amp;lang=en_US&amp;offset=0&amp;query=any,contains,991004052859702656","Catalog Record")</f>
        <v/>
      </c>
      <c r="AT382">
        <f>HYPERLINK("http://www.worldcat.org/oclc/46640655","WorldCat Record")</f>
        <v/>
      </c>
      <c r="AU382" t="inlineStr">
        <is>
          <t>793904394:eng</t>
        </is>
      </c>
      <c r="AV382" t="inlineStr">
        <is>
          <t>46640655</t>
        </is>
      </c>
      <c r="AW382" t="inlineStr">
        <is>
          <t>991004052859702656</t>
        </is>
      </c>
      <c r="AX382" t="inlineStr">
        <is>
          <t>991004052859702656</t>
        </is>
      </c>
      <c r="AY382" t="inlineStr">
        <is>
          <t>2266558330002656</t>
        </is>
      </c>
      <c r="AZ382" t="inlineStr">
        <is>
          <t>BOOK</t>
        </is>
      </c>
      <c r="BB382" t="inlineStr">
        <is>
          <t>9780804740975</t>
        </is>
      </c>
      <c r="BC382" t="inlineStr">
        <is>
          <t>32285004752191</t>
        </is>
      </c>
      <c r="BD382" t="inlineStr">
        <is>
          <t>893417161</t>
        </is>
      </c>
    </row>
    <row r="383">
      <c r="A383" t="inlineStr">
        <is>
          <t>No</t>
        </is>
      </c>
      <c r="B383" t="inlineStr">
        <is>
          <t>BX1668 .L3 1970</t>
        </is>
      </c>
      <c r="C383" t="inlineStr">
        <is>
          <t>0                      BX 1668000L  3           1970</t>
        </is>
      </c>
      <c r="D383" t="inlineStr">
        <is>
          <t>The Catholic Church in Japan : a short history / by Johannes Laures.</t>
        </is>
      </c>
      <c r="F383" t="inlineStr">
        <is>
          <t>No</t>
        </is>
      </c>
      <c r="G383" t="inlineStr">
        <is>
          <t>1</t>
        </is>
      </c>
      <c r="H383" t="inlineStr">
        <is>
          <t>No</t>
        </is>
      </c>
      <c r="I383" t="inlineStr">
        <is>
          <t>No</t>
        </is>
      </c>
      <c r="J383" t="inlineStr">
        <is>
          <t>0</t>
        </is>
      </c>
      <c r="K383" t="inlineStr">
        <is>
          <t>Laures, Johannes, 1891-1959.</t>
        </is>
      </c>
      <c r="L383" t="inlineStr">
        <is>
          <t>Westport, Conn. : Greenwood Press, [1970, c1954]</t>
        </is>
      </c>
      <c r="M383" t="inlineStr">
        <is>
          <t>1970</t>
        </is>
      </c>
      <c r="O383" t="inlineStr">
        <is>
          <t>eng</t>
        </is>
      </c>
      <c r="P383" t="inlineStr">
        <is>
          <t>ctu</t>
        </is>
      </c>
      <c r="R383" t="inlineStr">
        <is>
          <t xml:space="preserve">BX </t>
        </is>
      </c>
      <c r="S383" t="n">
        <v>6</v>
      </c>
      <c r="T383" t="n">
        <v>6</v>
      </c>
      <c r="U383" t="inlineStr">
        <is>
          <t>2007-03-09</t>
        </is>
      </c>
      <c r="V383" t="inlineStr">
        <is>
          <t>2007-03-09</t>
        </is>
      </c>
      <c r="W383" t="inlineStr">
        <is>
          <t>1991-02-19</t>
        </is>
      </c>
      <c r="X383" t="inlineStr">
        <is>
          <t>1991-02-19</t>
        </is>
      </c>
      <c r="Y383" t="n">
        <v>149</v>
      </c>
      <c r="Z383" t="n">
        <v>126</v>
      </c>
      <c r="AA383" t="n">
        <v>469</v>
      </c>
      <c r="AB383" t="n">
        <v>1</v>
      </c>
      <c r="AC383" t="n">
        <v>2</v>
      </c>
      <c r="AD383" t="n">
        <v>4</v>
      </c>
      <c r="AE383" t="n">
        <v>34</v>
      </c>
      <c r="AF383" t="n">
        <v>1</v>
      </c>
      <c r="AG383" t="n">
        <v>12</v>
      </c>
      <c r="AH383" t="n">
        <v>0</v>
      </c>
      <c r="AI383" t="n">
        <v>10</v>
      </c>
      <c r="AJ383" t="n">
        <v>4</v>
      </c>
      <c r="AK383" t="n">
        <v>23</v>
      </c>
      <c r="AL383" t="n">
        <v>0</v>
      </c>
      <c r="AM383" t="n">
        <v>1</v>
      </c>
      <c r="AN383" t="n">
        <v>0</v>
      </c>
      <c r="AO383" t="n">
        <v>0</v>
      </c>
      <c r="AP383" t="inlineStr">
        <is>
          <t>No</t>
        </is>
      </c>
      <c r="AQ383" t="inlineStr">
        <is>
          <t>Yes</t>
        </is>
      </c>
      <c r="AR383">
        <f>HYPERLINK("http://catalog.hathitrust.org/Record/009966181","HathiTrust Record")</f>
        <v/>
      </c>
      <c r="AS383">
        <f>HYPERLINK("https://creighton-primo.hosted.exlibrisgroup.com/primo-explore/search?tab=default_tab&amp;search_scope=EVERYTHING&amp;vid=01CRU&amp;lang=en_US&amp;offset=0&amp;query=any,contains,991000212159702656","Catalog Record")</f>
        <v/>
      </c>
      <c r="AT383">
        <f>HYPERLINK("http://www.worldcat.org/oclc/66544","WorldCat Record")</f>
        <v/>
      </c>
      <c r="AU383" t="inlineStr">
        <is>
          <t>795565133:eng</t>
        </is>
      </c>
      <c r="AV383" t="inlineStr">
        <is>
          <t>66544</t>
        </is>
      </c>
      <c r="AW383" t="inlineStr">
        <is>
          <t>991000212159702656</t>
        </is>
      </c>
      <c r="AX383" t="inlineStr">
        <is>
          <t>991000212159702656</t>
        </is>
      </c>
      <c r="AY383" t="inlineStr">
        <is>
          <t>2258768610002656</t>
        </is>
      </c>
      <c r="AZ383" t="inlineStr">
        <is>
          <t>BOOK</t>
        </is>
      </c>
      <c r="BB383" t="inlineStr">
        <is>
          <t>9780837129747</t>
        </is>
      </c>
      <c r="BC383" t="inlineStr">
        <is>
          <t>32285000509231</t>
        </is>
      </c>
      <c r="BD383" t="inlineStr">
        <is>
          <t>893790344</t>
        </is>
      </c>
    </row>
    <row r="384">
      <c r="A384" t="inlineStr">
        <is>
          <t>No</t>
        </is>
      </c>
      <c r="B384" t="inlineStr">
        <is>
          <t>BX1670.5 .C3713 1924</t>
        </is>
      </c>
      <c r="C384" t="inlineStr">
        <is>
          <t>0                      BX 1670500C  3713        1924</t>
        </is>
      </c>
      <c r="D384" t="inlineStr">
        <is>
          <t>The Catholic Church in Korea.</t>
        </is>
      </c>
      <c r="F384" t="inlineStr">
        <is>
          <t>No</t>
        </is>
      </c>
      <c r="G384" t="inlineStr">
        <is>
          <t>1</t>
        </is>
      </c>
      <c r="H384" t="inlineStr">
        <is>
          <t>No</t>
        </is>
      </c>
      <c r="I384" t="inlineStr">
        <is>
          <t>No</t>
        </is>
      </c>
      <c r="J384" t="inlineStr">
        <is>
          <t>0</t>
        </is>
      </c>
      <c r="L384" t="inlineStr">
        <is>
          <t>Hongkong : Impr. de la Société des missions-étrangères, 1924.</t>
        </is>
      </c>
      <c r="M384" t="inlineStr">
        <is>
          <t>1924</t>
        </is>
      </c>
      <c r="O384" t="inlineStr">
        <is>
          <t>eng</t>
        </is>
      </c>
      <c r="P384" t="inlineStr">
        <is>
          <t xml:space="preserve">hk </t>
        </is>
      </c>
      <c r="R384" t="inlineStr">
        <is>
          <t xml:space="preserve">BX </t>
        </is>
      </c>
      <c r="S384" t="n">
        <v>1</v>
      </c>
      <c r="T384" t="n">
        <v>1</v>
      </c>
      <c r="U384" t="inlineStr">
        <is>
          <t>1995-09-14</t>
        </is>
      </c>
      <c r="V384" t="inlineStr">
        <is>
          <t>1995-09-14</t>
        </is>
      </c>
      <c r="W384" t="inlineStr">
        <is>
          <t>1991-02-19</t>
        </is>
      </c>
      <c r="X384" t="inlineStr">
        <is>
          <t>1991-02-19</t>
        </is>
      </c>
      <c r="Y384" t="n">
        <v>82</v>
      </c>
      <c r="Z384" t="n">
        <v>73</v>
      </c>
      <c r="AA384" t="n">
        <v>74</v>
      </c>
      <c r="AB384" t="n">
        <v>1</v>
      </c>
      <c r="AC384" t="n">
        <v>1</v>
      </c>
      <c r="AD384" t="n">
        <v>10</v>
      </c>
      <c r="AE384" t="n">
        <v>10</v>
      </c>
      <c r="AF384" t="n">
        <v>2</v>
      </c>
      <c r="AG384" t="n">
        <v>2</v>
      </c>
      <c r="AH384" t="n">
        <v>3</v>
      </c>
      <c r="AI384" t="n">
        <v>3</v>
      </c>
      <c r="AJ384" t="n">
        <v>8</v>
      </c>
      <c r="AK384" t="n">
        <v>8</v>
      </c>
      <c r="AL384" t="n">
        <v>0</v>
      </c>
      <c r="AM384" t="n">
        <v>0</v>
      </c>
      <c r="AN384" t="n">
        <v>0</v>
      </c>
      <c r="AO384" t="n">
        <v>0</v>
      </c>
      <c r="AP384" t="inlineStr">
        <is>
          <t>No</t>
        </is>
      </c>
      <c r="AQ384" t="inlineStr">
        <is>
          <t>No</t>
        </is>
      </c>
      <c r="AS384">
        <f>HYPERLINK("https://creighton-primo.hosted.exlibrisgroup.com/primo-explore/search?tab=default_tab&amp;search_scope=EVERYTHING&amp;vid=01CRU&amp;lang=en_US&amp;offset=0&amp;query=any,contains,991003787439702656","Catalog Record")</f>
        <v/>
      </c>
      <c r="AT384">
        <f>HYPERLINK("http://www.worldcat.org/oclc/1503815","WorldCat Record")</f>
        <v/>
      </c>
      <c r="AU384" t="inlineStr">
        <is>
          <t>1151026229:eng</t>
        </is>
      </c>
      <c r="AV384" t="inlineStr">
        <is>
          <t>1503815</t>
        </is>
      </c>
      <c r="AW384" t="inlineStr">
        <is>
          <t>991003787439702656</t>
        </is>
      </c>
      <c r="AX384" t="inlineStr">
        <is>
          <t>991003787439702656</t>
        </is>
      </c>
      <c r="AY384" t="inlineStr">
        <is>
          <t>2263890300002656</t>
        </is>
      </c>
      <c r="AZ384" t="inlineStr">
        <is>
          <t>BOOK</t>
        </is>
      </c>
      <c r="BC384" t="inlineStr">
        <is>
          <t>32285000509256</t>
        </is>
      </c>
      <c r="BD384" t="inlineStr">
        <is>
          <t>893722101</t>
        </is>
      </c>
    </row>
    <row r="385">
      <c r="A385" t="inlineStr">
        <is>
          <t>No</t>
        </is>
      </c>
      <c r="B385" t="inlineStr">
        <is>
          <t>BX1670.5 .K513 1964</t>
        </is>
      </c>
      <c r="C385" t="inlineStr">
        <is>
          <t>0                      BX 1670500K  513         1964</t>
        </is>
      </c>
      <c r="D385" t="inlineStr">
        <is>
          <t>Catholic Korea, yesterday and today / compiled and edited by Father Joseph Chang-mun Kim [and] John Jae-sun Chung.</t>
        </is>
      </c>
      <c r="F385" t="inlineStr">
        <is>
          <t>No</t>
        </is>
      </c>
      <c r="G385" t="inlineStr">
        <is>
          <t>1</t>
        </is>
      </c>
      <c r="H385" t="inlineStr">
        <is>
          <t>No</t>
        </is>
      </c>
      <c r="I385" t="inlineStr">
        <is>
          <t>No</t>
        </is>
      </c>
      <c r="J385" t="inlineStr">
        <is>
          <t>0</t>
        </is>
      </c>
      <c r="L385" t="inlineStr">
        <is>
          <t>Seoul : Catholic Korea Pub. Co., [c1964]</t>
        </is>
      </c>
      <c r="M385" t="inlineStr">
        <is>
          <t>1964</t>
        </is>
      </c>
      <c r="O385" t="inlineStr">
        <is>
          <t>eng</t>
        </is>
      </c>
      <c r="P385" t="inlineStr">
        <is>
          <t xml:space="preserve">ko </t>
        </is>
      </c>
      <c r="R385" t="inlineStr">
        <is>
          <t xml:space="preserve">BX </t>
        </is>
      </c>
      <c r="S385" t="n">
        <v>4</v>
      </c>
      <c r="T385" t="n">
        <v>4</v>
      </c>
      <c r="U385" t="inlineStr">
        <is>
          <t>1995-09-14</t>
        </is>
      </c>
      <c r="V385" t="inlineStr">
        <is>
          <t>1995-09-14</t>
        </is>
      </c>
      <c r="W385" t="inlineStr">
        <is>
          <t>1991-02-19</t>
        </is>
      </c>
      <c r="X385" t="inlineStr">
        <is>
          <t>1991-02-19</t>
        </is>
      </c>
      <c r="Y385" t="n">
        <v>226</v>
      </c>
      <c r="Z385" t="n">
        <v>202</v>
      </c>
      <c r="AA385" t="n">
        <v>226</v>
      </c>
      <c r="AB385" t="n">
        <v>3</v>
      </c>
      <c r="AC385" t="n">
        <v>3</v>
      </c>
      <c r="AD385" t="n">
        <v>28</v>
      </c>
      <c r="AE385" t="n">
        <v>28</v>
      </c>
      <c r="AF385" t="n">
        <v>11</v>
      </c>
      <c r="AG385" t="n">
        <v>11</v>
      </c>
      <c r="AH385" t="n">
        <v>8</v>
      </c>
      <c r="AI385" t="n">
        <v>8</v>
      </c>
      <c r="AJ385" t="n">
        <v>20</v>
      </c>
      <c r="AK385" t="n">
        <v>20</v>
      </c>
      <c r="AL385" t="n">
        <v>1</v>
      </c>
      <c r="AM385" t="n">
        <v>1</v>
      </c>
      <c r="AN385" t="n">
        <v>0</v>
      </c>
      <c r="AO385" t="n">
        <v>0</v>
      </c>
      <c r="AP385" t="inlineStr">
        <is>
          <t>No</t>
        </is>
      </c>
      <c r="AQ385" t="inlineStr">
        <is>
          <t>No</t>
        </is>
      </c>
      <c r="AS385">
        <f>HYPERLINK("https://creighton-primo.hosted.exlibrisgroup.com/primo-explore/search?tab=default_tab&amp;search_scope=EVERYTHING&amp;vid=01CRU&amp;lang=en_US&amp;offset=0&amp;query=any,contains,991000941559702656","Catalog Record")</f>
        <v/>
      </c>
      <c r="AT385">
        <f>HYPERLINK("http://www.worldcat.org/oclc/166287","WorldCat Record")</f>
        <v/>
      </c>
      <c r="AU385" t="inlineStr">
        <is>
          <t>433226714:eng</t>
        </is>
      </c>
      <c r="AV385" t="inlineStr">
        <is>
          <t>166287</t>
        </is>
      </c>
      <c r="AW385" t="inlineStr">
        <is>
          <t>991000941559702656</t>
        </is>
      </c>
      <c r="AX385" t="inlineStr">
        <is>
          <t>991000941559702656</t>
        </is>
      </c>
      <c r="AY385" t="inlineStr">
        <is>
          <t>2271307250002656</t>
        </is>
      </c>
      <c r="AZ385" t="inlineStr">
        <is>
          <t>BOOK</t>
        </is>
      </c>
      <c r="BC385" t="inlineStr">
        <is>
          <t>32285000509264</t>
        </is>
      </c>
      <c r="BD385" t="inlineStr">
        <is>
          <t>893791007</t>
        </is>
      </c>
    </row>
    <row r="386">
      <c r="A386" t="inlineStr">
        <is>
          <t>No</t>
        </is>
      </c>
      <c r="B386" t="inlineStr">
        <is>
          <t>BX1675 .C38 1995</t>
        </is>
      </c>
      <c r="C386" t="inlineStr">
        <is>
          <t>0                      BX 1675000C  38          1995</t>
        </is>
      </c>
      <c r="D386" t="inlineStr">
        <is>
          <t>Post-synodal apostolic exhortation Ecclesia in Africa of the Holy Father John Paul II to the bishops, priests and deacons, men and women religious and all the lay faithful on the Church of Africa and its evangelizing mission towards the year 2000 / John Paul II.</t>
        </is>
      </c>
      <c r="F386" t="inlineStr">
        <is>
          <t>No</t>
        </is>
      </c>
      <c r="G386" t="inlineStr">
        <is>
          <t>1</t>
        </is>
      </c>
      <c r="H386" t="inlineStr">
        <is>
          <t>No</t>
        </is>
      </c>
      <c r="I386" t="inlineStr">
        <is>
          <t>No</t>
        </is>
      </c>
      <c r="J386" t="inlineStr">
        <is>
          <t>0</t>
        </is>
      </c>
      <c r="K386" t="inlineStr">
        <is>
          <t>Catholic Church. Pope (1978-2005 : John Paul II).</t>
        </is>
      </c>
      <c r="L386" t="inlineStr">
        <is>
          <t>Washington, D.C. : United States Catholic Conference, [1995]</t>
        </is>
      </c>
      <c r="M386" t="inlineStr">
        <is>
          <t>1995</t>
        </is>
      </c>
      <c r="O386" t="inlineStr">
        <is>
          <t>eng</t>
        </is>
      </c>
      <c r="P386" t="inlineStr">
        <is>
          <t>dcu</t>
        </is>
      </c>
      <c r="Q386" t="inlineStr">
        <is>
          <t>Publication (United States Catholic Conference) ; no. 5-059</t>
        </is>
      </c>
      <c r="R386" t="inlineStr">
        <is>
          <t xml:space="preserve">BX </t>
        </is>
      </c>
      <c r="S386" t="n">
        <v>6</v>
      </c>
      <c r="T386" t="n">
        <v>6</v>
      </c>
      <c r="U386" t="inlineStr">
        <is>
          <t>2000-07-20</t>
        </is>
      </c>
      <c r="V386" t="inlineStr">
        <is>
          <t>2000-07-20</t>
        </is>
      </c>
      <c r="W386" t="inlineStr">
        <is>
          <t>1996-01-22</t>
        </is>
      </c>
      <c r="X386" t="inlineStr">
        <is>
          <t>1996-01-22</t>
        </is>
      </c>
      <c r="Y386" t="n">
        <v>103</v>
      </c>
      <c r="Z386" t="n">
        <v>99</v>
      </c>
      <c r="AA386" t="n">
        <v>99</v>
      </c>
      <c r="AB386" t="n">
        <v>1</v>
      </c>
      <c r="AC386" t="n">
        <v>1</v>
      </c>
      <c r="AD386" t="n">
        <v>15</v>
      </c>
      <c r="AE386" t="n">
        <v>15</v>
      </c>
      <c r="AF386" t="n">
        <v>4</v>
      </c>
      <c r="AG386" t="n">
        <v>4</v>
      </c>
      <c r="AH386" t="n">
        <v>4</v>
      </c>
      <c r="AI386" t="n">
        <v>4</v>
      </c>
      <c r="AJ386" t="n">
        <v>13</v>
      </c>
      <c r="AK386" t="n">
        <v>13</v>
      </c>
      <c r="AL386" t="n">
        <v>0</v>
      </c>
      <c r="AM386" t="n">
        <v>0</v>
      </c>
      <c r="AN386" t="n">
        <v>0</v>
      </c>
      <c r="AO386" t="n">
        <v>0</v>
      </c>
      <c r="AP386" t="inlineStr">
        <is>
          <t>No</t>
        </is>
      </c>
      <c r="AQ386" t="inlineStr">
        <is>
          <t>No</t>
        </is>
      </c>
      <c r="AS386">
        <f>HYPERLINK("https://creighton-primo.hosted.exlibrisgroup.com/primo-explore/search?tab=default_tab&amp;search_scope=EVERYTHING&amp;vid=01CRU&amp;lang=en_US&amp;offset=0&amp;query=any,contains,991002579479702656","Catalog Record")</f>
        <v/>
      </c>
      <c r="AT386">
        <f>HYPERLINK("http://www.worldcat.org/oclc/35694596","WorldCat Record")</f>
        <v/>
      </c>
      <c r="AU386" t="inlineStr">
        <is>
          <t>1809730648:eng</t>
        </is>
      </c>
      <c r="AV386" t="inlineStr">
        <is>
          <t>35694596</t>
        </is>
      </c>
      <c r="AW386" t="inlineStr">
        <is>
          <t>991002579479702656</t>
        </is>
      </c>
      <c r="AX386" t="inlineStr">
        <is>
          <t>991002579479702656</t>
        </is>
      </c>
      <c r="AY386" t="inlineStr">
        <is>
          <t>2261233880002656</t>
        </is>
      </c>
      <c r="AZ386" t="inlineStr">
        <is>
          <t>BOOK</t>
        </is>
      </c>
      <c r="BB386" t="inlineStr">
        <is>
          <t>9781574550597</t>
        </is>
      </c>
      <c r="BC386" t="inlineStr">
        <is>
          <t>32285002119161</t>
        </is>
      </c>
      <c r="BD386" t="inlineStr">
        <is>
          <t>893517462</t>
        </is>
      </c>
    </row>
    <row r="387">
      <c r="A387" t="inlineStr">
        <is>
          <t>No</t>
        </is>
      </c>
      <c r="B387" t="inlineStr">
        <is>
          <t>BX1685 .C34 1987</t>
        </is>
      </c>
      <c r="C387" t="inlineStr">
        <is>
          <t>0                      BX 1685000C  34          1987</t>
        </is>
      </c>
      <c r="D387" t="inlineStr">
        <is>
          <t>Australian Catholics / Edmund Campion.</t>
        </is>
      </c>
      <c r="F387" t="inlineStr">
        <is>
          <t>No</t>
        </is>
      </c>
      <c r="G387" t="inlineStr">
        <is>
          <t>1</t>
        </is>
      </c>
      <c r="H387" t="inlineStr">
        <is>
          <t>No</t>
        </is>
      </c>
      <c r="I387" t="inlineStr">
        <is>
          <t>No</t>
        </is>
      </c>
      <c r="J387" t="inlineStr">
        <is>
          <t>0</t>
        </is>
      </c>
      <c r="K387" t="inlineStr">
        <is>
          <t>Campion, Edmund.</t>
        </is>
      </c>
      <c r="L387" t="inlineStr">
        <is>
          <t>Ringwood, Vic., Australia ; New York, N.Y., U.S.A. : Viking, 1987.</t>
        </is>
      </c>
      <c r="M387" t="inlineStr">
        <is>
          <t>1987</t>
        </is>
      </c>
      <c r="O387" t="inlineStr">
        <is>
          <t>eng</t>
        </is>
      </c>
      <c r="P387" t="inlineStr">
        <is>
          <t xml:space="preserve">at </t>
        </is>
      </c>
      <c r="R387" t="inlineStr">
        <is>
          <t xml:space="preserve">BX </t>
        </is>
      </c>
      <c r="S387" t="n">
        <v>1</v>
      </c>
      <c r="T387" t="n">
        <v>1</v>
      </c>
      <c r="U387" t="inlineStr">
        <is>
          <t>2008-06-10</t>
        </is>
      </c>
      <c r="V387" t="inlineStr">
        <is>
          <t>2008-06-10</t>
        </is>
      </c>
      <c r="W387" t="inlineStr">
        <is>
          <t>2008-06-10</t>
        </is>
      </c>
      <c r="X387" t="inlineStr">
        <is>
          <t>2008-06-10</t>
        </is>
      </c>
      <c r="Y387" t="n">
        <v>122</v>
      </c>
      <c r="Z387" t="n">
        <v>31</v>
      </c>
      <c r="AA387" t="n">
        <v>41</v>
      </c>
      <c r="AB387" t="n">
        <v>1</v>
      </c>
      <c r="AC387" t="n">
        <v>1</v>
      </c>
      <c r="AD387" t="n">
        <v>3</v>
      </c>
      <c r="AE387" t="n">
        <v>6</v>
      </c>
      <c r="AF387" t="n">
        <v>0</v>
      </c>
      <c r="AG387" t="n">
        <v>1</v>
      </c>
      <c r="AH387" t="n">
        <v>1</v>
      </c>
      <c r="AI387" t="n">
        <v>1</v>
      </c>
      <c r="AJ387" t="n">
        <v>3</v>
      </c>
      <c r="AK387" t="n">
        <v>6</v>
      </c>
      <c r="AL387" t="n">
        <v>0</v>
      </c>
      <c r="AM387" t="n">
        <v>0</v>
      </c>
      <c r="AN387" t="n">
        <v>0</v>
      </c>
      <c r="AO387" t="n">
        <v>0</v>
      </c>
      <c r="AP387" t="inlineStr">
        <is>
          <t>No</t>
        </is>
      </c>
      <c r="AQ387" t="inlineStr">
        <is>
          <t>Yes</t>
        </is>
      </c>
      <c r="AR387">
        <f>HYPERLINK("http://catalog.hathitrust.org/Record/101879350","HathiTrust Record")</f>
        <v/>
      </c>
      <c r="AS387">
        <f>HYPERLINK("https://creighton-primo.hosted.exlibrisgroup.com/primo-explore/search?tab=default_tab&amp;search_scope=EVERYTHING&amp;vid=01CRU&amp;lang=en_US&amp;offset=0&amp;query=any,contains,991005233299702656","Catalog Record")</f>
        <v/>
      </c>
      <c r="AT387">
        <f>HYPERLINK("http://www.worldcat.org/oclc/16867146","WorldCat Record")</f>
        <v/>
      </c>
      <c r="AU387" t="inlineStr">
        <is>
          <t>13448246:eng</t>
        </is>
      </c>
      <c r="AV387" t="inlineStr">
        <is>
          <t>16867146</t>
        </is>
      </c>
      <c r="AW387" t="inlineStr">
        <is>
          <t>991005233299702656</t>
        </is>
      </c>
      <c r="AX387" t="inlineStr">
        <is>
          <t>991005233299702656</t>
        </is>
      </c>
      <c r="AY387" t="inlineStr">
        <is>
          <t>2256221970002656</t>
        </is>
      </c>
      <c r="AZ387" t="inlineStr">
        <is>
          <t>BOOK</t>
        </is>
      </c>
      <c r="BB387" t="inlineStr">
        <is>
          <t>9780670816958</t>
        </is>
      </c>
      <c r="BC387" t="inlineStr">
        <is>
          <t>32285005444046</t>
        </is>
      </c>
      <c r="BD387" t="inlineStr">
        <is>
          <t>893514296</t>
        </is>
      </c>
    </row>
    <row r="388">
      <c r="A388" t="inlineStr">
        <is>
          <t>No</t>
        </is>
      </c>
      <c r="B388" t="inlineStr">
        <is>
          <t>BX1685 .L59</t>
        </is>
      </c>
      <c r="C388" t="inlineStr">
        <is>
          <t>0                      BX 1685000L  59</t>
        </is>
      </c>
      <c r="D388" t="inlineStr">
        <is>
          <t>The emergence of an Australian Catholic priesthood, 1835-1915 / K. T. Livingston.</t>
        </is>
      </c>
      <c r="F388" t="inlineStr">
        <is>
          <t>No</t>
        </is>
      </c>
      <c r="G388" t="inlineStr">
        <is>
          <t>1</t>
        </is>
      </c>
      <c r="H388" t="inlineStr">
        <is>
          <t>No</t>
        </is>
      </c>
      <c r="I388" t="inlineStr">
        <is>
          <t>No</t>
        </is>
      </c>
      <c r="J388" t="inlineStr">
        <is>
          <t>0</t>
        </is>
      </c>
      <c r="K388" t="inlineStr">
        <is>
          <t>Livingston, K. T.</t>
        </is>
      </c>
      <c r="L388" t="inlineStr">
        <is>
          <t>Sydney : Catholic Theological Faculty, 1977.</t>
        </is>
      </c>
      <c r="M388" t="inlineStr">
        <is>
          <t>1977</t>
        </is>
      </c>
      <c r="O388" t="inlineStr">
        <is>
          <t>eng</t>
        </is>
      </c>
      <c r="P388" t="inlineStr">
        <is>
          <t xml:space="preserve">at </t>
        </is>
      </c>
      <c r="Q388" t="inlineStr">
        <is>
          <t>Studies in the Christian movement ; no. 3</t>
        </is>
      </c>
      <c r="R388" t="inlineStr">
        <is>
          <t xml:space="preserve">BX </t>
        </is>
      </c>
      <c r="S388" t="n">
        <v>0</v>
      </c>
      <c r="T388" t="n">
        <v>0</v>
      </c>
      <c r="U388" t="inlineStr">
        <is>
          <t>2003-02-04</t>
        </is>
      </c>
      <c r="V388" t="inlineStr">
        <is>
          <t>2003-02-04</t>
        </is>
      </c>
      <c r="W388" t="inlineStr">
        <is>
          <t>1991-02-19</t>
        </is>
      </c>
      <c r="X388" t="inlineStr">
        <is>
          <t>1991-02-19</t>
        </is>
      </c>
      <c r="Y388" t="n">
        <v>74</v>
      </c>
      <c r="Z388" t="n">
        <v>19</v>
      </c>
      <c r="AA388" t="n">
        <v>19</v>
      </c>
      <c r="AB388" t="n">
        <v>1</v>
      </c>
      <c r="AC388" t="n">
        <v>1</v>
      </c>
      <c r="AD388" t="n">
        <v>4</v>
      </c>
      <c r="AE388" t="n">
        <v>4</v>
      </c>
      <c r="AF388" t="n">
        <v>0</v>
      </c>
      <c r="AG388" t="n">
        <v>0</v>
      </c>
      <c r="AH388" t="n">
        <v>2</v>
      </c>
      <c r="AI388" t="n">
        <v>2</v>
      </c>
      <c r="AJ388" t="n">
        <v>3</v>
      </c>
      <c r="AK388" t="n">
        <v>3</v>
      </c>
      <c r="AL388" t="n">
        <v>0</v>
      </c>
      <c r="AM388" t="n">
        <v>0</v>
      </c>
      <c r="AN388" t="n">
        <v>0</v>
      </c>
      <c r="AO388" t="n">
        <v>0</v>
      </c>
      <c r="AP388" t="inlineStr">
        <is>
          <t>No</t>
        </is>
      </c>
      <c r="AQ388" t="inlineStr">
        <is>
          <t>No</t>
        </is>
      </c>
      <c r="AS388">
        <f>HYPERLINK("https://creighton-primo.hosted.exlibrisgroup.com/primo-explore/search?tab=default_tab&amp;search_scope=EVERYTHING&amp;vid=01CRU&amp;lang=en_US&amp;offset=0&amp;query=any,contains,991004543469702656","Catalog Record")</f>
        <v/>
      </c>
      <c r="AT388">
        <f>HYPERLINK("http://www.worldcat.org/oclc/3907712","WorldCat Record")</f>
        <v/>
      </c>
      <c r="AU388" t="inlineStr">
        <is>
          <t>13041996:eng</t>
        </is>
      </c>
      <c r="AV388" t="inlineStr">
        <is>
          <t>3907712</t>
        </is>
      </c>
      <c r="AW388" t="inlineStr">
        <is>
          <t>991004543469702656</t>
        </is>
      </c>
      <c r="AX388" t="inlineStr">
        <is>
          <t>991004543469702656</t>
        </is>
      </c>
      <c r="AY388" t="inlineStr">
        <is>
          <t>2255435530002656</t>
        </is>
      </c>
      <c r="AZ388" t="inlineStr">
        <is>
          <t>BOOK</t>
        </is>
      </c>
      <c r="BB388" t="inlineStr">
        <is>
          <t>9780909246365</t>
        </is>
      </c>
      <c r="BC388" t="inlineStr">
        <is>
          <t>32285000509280</t>
        </is>
      </c>
      <c r="BD388" t="inlineStr">
        <is>
          <t>893700374</t>
        </is>
      </c>
    </row>
    <row r="389">
      <c r="A389" t="inlineStr">
        <is>
          <t>No</t>
        </is>
      </c>
      <c r="B389" t="inlineStr">
        <is>
          <t>BX1711 .G83 1930</t>
        </is>
      </c>
      <c r="C389" t="inlineStr">
        <is>
          <t>0                      BX 1711000G  83          1930</t>
        </is>
      </c>
      <c r="D389" t="inlineStr">
        <is>
          <t>The mediaeval inquisition / by Jean Guiraud ; translated by E. C. Messenger.</t>
        </is>
      </c>
      <c r="F389" t="inlineStr">
        <is>
          <t>No</t>
        </is>
      </c>
      <c r="G389" t="inlineStr">
        <is>
          <t>1</t>
        </is>
      </c>
      <c r="H389" t="inlineStr">
        <is>
          <t>No</t>
        </is>
      </c>
      <c r="I389" t="inlineStr">
        <is>
          <t>No</t>
        </is>
      </c>
      <c r="J389" t="inlineStr">
        <is>
          <t>0</t>
        </is>
      </c>
      <c r="K389" t="inlineStr">
        <is>
          <t>Guiraud, Jean, 1866-1953.</t>
        </is>
      </c>
      <c r="L389" t="inlineStr">
        <is>
          <t>New York : Benzinger, 1930.</t>
        </is>
      </c>
      <c r="M389" t="inlineStr">
        <is>
          <t>1930</t>
        </is>
      </c>
      <c r="O389" t="inlineStr">
        <is>
          <t>eng</t>
        </is>
      </c>
      <c r="P389" t="inlineStr">
        <is>
          <t>nyu</t>
        </is>
      </c>
      <c r="R389" t="inlineStr">
        <is>
          <t xml:space="preserve">BX </t>
        </is>
      </c>
      <c r="S389" t="n">
        <v>8</v>
      </c>
      <c r="T389" t="n">
        <v>8</v>
      </c>
      <c r="U389" t="inlineStr">
        <is>
          <t>2000-02-02</t>
        </is>
      </c>
      <c r="V389" t="inlineStr">
        <is>
          <t>2000-02-02</t>
        </is>
      </c>
      <c r="W389" t="inlineStr">
        <is>
          <t>1991-02-19</t>
        </is>
      </c>
      <c r="X389" t="inlineStr">
        <is>
          <t>1991-02-19</t>
        </is>
      </c>
      <c r="Y389" t="n">
        <v>35</v>
      </c>
      <c r="Z389" t="n">
        <v>35</v>
      </c>
      <c r="AA389" t="n">
        <v>203</v>
      </c>
      <c r="AB389" t="n">
        <v>2</v>
      </c>
      <c r="AC389" t="n">
        <v>2</v>
      </c>
      <c r="AD389" t="n">
        <v>9</v>
      </c>
      <c r="AE389" t="n">
        <v>19</v>
      </c>
      <c r="AF389" t="n">
        <v>0</v>
      </c>
      <c r="AG389" t="n">
        <v>3</v>
      </c>
      <c r="AH389" t="n">
        <v>3</v>
      </c>
      <c r="AI389" t="n">
        <v>8</v>
      </c>
      <c r="AJ389" t="n">
        <v>8</v>
      </c>
      <c r="AK389" t="n">
        <v>13</v>
      </c>
      <c r="AL389" t="n">
        <v>0</v>
      </c>
      <c r="AM389" t="n">
        <v>0</v>
      </c>
      <c r="AN389" t="n">
        <v>0</v>
      </c>
      <c r="AO389" t="n">
        <v>0</v>
      </c>
      <c r="AP389" t="inlineStr">
        <is>
          <t>No</t>
        </is>
      </c>
      <c r="AQ389" t="inlineStr">
        <is>
          <t>No</t>
        </is>
      </c>
      <c r="AS389">
        <f>HYPERLINK("https://creighton-primo.hosted.exlibrisgroup.com/primo-explore/search?tab=default_tab&amp;search_scope=EVERYTHING&amp;vid=01CRU&amp;lang=en_US&amp;offset=0&amp;query=any,contains,991004988609702656","Catalog Record")</f>
        <v/>
      </c>
      <c r="AT389">
        <f>HYPERLINK("http://www.worldcat.org/oclc/6482303","WorldCat Record")</f>
        <v/>
      </c>
      <c r="AU389" t="inlineStr">
        <is>
          <t>12950318:eng</t>
        </is>
      </c>
      <c r="AV389" t="inlineStr">
        <is>
          <t>6482303</t>
        </is>
      </c>
      <c r="AW389" t="inlineStr">
        <is>
          <t>991004988609702656</t>
        </is>
      </c>
      <c r="AX389" t="inlineStr">
        <is>
          <t>991004988609702656</t>
        </is>
      </c>
      <c r="AY389" t="inlineStr">
        <is>
          <t>2267059600002656</t>
        </is>
      </c>
      <c r="AZ389" t="inlineStr">
        <is>
          <t>BOOK</t>
        </is>
      </c>
      <c r="BC389" t="inlineStr">
        <is>
          <t>32285000509314</t>
        </is>
      </c>
      <c r="BD389" t="inlineStr">
        <is>
          <t>893526741</t>
        </is>
      </c>
    </row>
    <row r="390">
      <c r="A390" t="inlineStr">
        <is>
          <t>No</t>
        </is>
      </c>
      <c r="B390" t="inlineStr">
        <is>
          <t>BX1711 .L4</t>
        </is>
      </c>
      <c r="C390" t="inlineStr">
        <is>
          <t>0                      BX 1711000L  4</t>
        </is>
      </c>
      <c r="D390" t="inlineStr">
        <is>
          <t>A history of the Inquisition of the Middle Ages.</t>
        </is>
      </c>
      <c r="E390" t="inlineStr">
        <is>
          <t>V.1</t>
        </is>
      </c>
      <c r="F390" t="inlineStr">
        <is>
          <t>Yes</t>
        </is>
      </c>
      <c r="G390" t="inlineStr">
        <is>
          <t>1</t>
        </is>
      </c>
      <c r="H390" t="inlineStr">
        <is>
          <t>No</t>
        </is>
      </c>
      <c r="I390" t="inlineStr">
        <is>
          <t>No</t>
        </is>
      </c>
      <c r="J390" t="inlineStr">
        <is>
          <t>0</t>
        </is>
      </c>
      <c r="K390" t="inlineStr">
        <is>
          <t>Lea, Henry Charles, 1825-1909.</t>
        </is>
      </c>
      <c r="L390" t="inlineStr">
        <is>
          <t>New York : Macmillan, 1922, [c1887]</t>
        </is>
      </c>
      <c r="M390" t="inlineStr">
        <is>
          <t>1922</t>
        </is>
      </c>
      <c r="O390" t="inlineStr">
        <is>
          <t>eng</t>
        </is>
      </c>
      <c r="P390" t="inlineStr">
        <is>
          <t xml:space="preserve">xx </t>
        </is>
      </c>
      <c r="R390" t="inlineStr">
        <is>
          <t xml:space="preserve">BX </t>
        </is>
      </c>
      <c r="S390" t="n">
        <v>6</v>
      </c>
      <c r="T390" t="n">
        <v>10</v>
      </c>
      <c r="U390" t="inlineStr">
        <is>
          <t>1999-04-23</t>
        </is>
      </c>
      <c r="V390" t="inlineStr">
        <is>
          <t>1999-04-23</t>
        </is>
      </c>
      <c r="W390" t="inlineStr">
        <is>
          <t>1990-03-20</t>
        </is>
      </c>
      <c r="X390" t="inlineStr">
        <is>
          <t>1990-03-20</t>
        </is>
      </c>
      <c r="Y390" t="n">
        <v>141</v>
      </c>
      <c r="Z390" t="n">
        <v>127</v>
      </c>
      <c r="AA390" t="n">
        <v>1168</v>
      </c>
      <c r="AB390" t="n">
        <v>3</v>
      </c>
      <c r="AC390" t="n">
        <v>13</v>
      </c>
      <c r="AD390" t="n">
        <v>9</v>
      </c>
      <c r="AE390" t="n">
        <v>52</v>
      </c>
      <c r="AF390" t="n">
        <v>2</v>
      </c>
      <c r="AG390" t="n">
        <v>22</v>
      </c>
      <c r="AH390" t="n">
        <v>4</v>
      </c>
      <c r="AI390" t="n">
        <v>9</v>
      </c>
      <c r="AJ390" t="n">
        <v>4</v>
      </c>
      <c r="AK390" t="n">
        <v>23</v>
      </c>
      <c r="AL390" t="n">
        <v>1</v>
      </c>
      <c r="AM390" t="n">
        <v>9</v>
      </c>
      <c r="AN390" t="n">
        <v>0</v>
      </c>
      <c r="AO390" t="n">
        <v>0</v>
      </c>
      <c r="AP390" t="inlineStr">
        <is>
          <t>Yes</t>
        </is>
      </c>
      <c r="AQ390" t="inlineStr">
        <is>
          <t>No</t>
        </is>
      </c>
      <c r="AR390">
        <f>HYPERLINK("http://catalog.hathitrust.org/Record/008684491","HathiTrust Record")</f>
        <v/>
      </c>
      <c r="AS390">
        <f>HYPERLINK("https://creighton-primo.hosted.exlibrisgroup.com/primo-explore/search?tab=default_tab&amp;search_scope=EVERYTHING&amp;vid=01CRU&amp;lang=en_US&amp;offset=0&amp;query=any,contains,991003359689702656","Catalog Record")</f>
        <v/>
      </c>
      <c r="AT390">
        <f>HYPERLINK("http://www.worldcat.org/oclc/1485120","WorldCat Record")</f>
        <v/>
      </c>
      <c r="AU390" t="inlineStr">
        <is>
          <t>1136370:eng</t>
        </is>
      </c>
      <c r="AV390" t="inlineStr">
        <is>
          <t>1485120</t>
        </is>
      </c>
      <c r="AW390" t="inlineStr">
        <is>
          <t>991003359689702656</t>
        </is>
      </c>
      <c r="AX390" t="inlineStr">
        <is>
          <t>991003359689702656</t>
        </is>
      </c>
      <c r="AY390" t="inlineStr">
        <is>
          <t>2258402460002656</t>
        </is>
      </c>
      <c r="AZ390" t="inlineStr">
        <is>
          <t>BOOK</t>
        </is>
      </c>
      <c r="BC390" t="inlineStr">
        <is>
          <t>32285000087360</t>
        </is>
      </c>
      <c r="BD390" t="inlineStr">
        <is>
          <t>893252306</t>
        </is>
      </c>
    </row>
    <row r="391">
      <c r="A391" t="inlineStr">
        <is>
          <t>No</t>
        </is>
      </c>
      <c r="B391" t="inlineStr">
        <is>
          <t>BX1711 .L4</t>
        </is>
      </c>
      <c r="C391" t="inlineStr">
        <is>
          <t>0                      BX 1711000L  4</t>
        </is>
      </c>
      <c r="D391" t="inlineStr">
        <is>
          <t>A history of the Inquisition of the Middle Ages.</t>
        </is>
      </c>
      <c r="E391" t="inlineStr">
        <is>
          <t>V.2</t>
        </is>
      </c>
      <c r="F391" t="inlineStr">
        <is>
          <t>Yes</t>
        </is>
      </c>
      <c r="G391" t="inlineStr">
        <is>
          <t>1</t>
        </is>
      </c>
      <c r="H391" t="inlineStr">
        <is>
          <t>No</t>
        </is>
      </c>
      <c r="I391" t="inlineStr">
        <is>
          <t>No</t>
        </is>
      </c>
      <c r="J391" t="inlineStr">
        <is>
          <t>0</t>
        </is>
      </c>
      <c r="K391" t="inlineStr">
        <is>
          <t>Lea, Henry Charles, 1825-1909.</t>
        </is>
      </c>
      <c r="L391" t="inlineStr">
        <is>
          <t>New York : Macmillan, 1922, [c1887]</t>
        </is>
      </c>
      <c r="M391" t="inlineStr">
        <is>
          <t>1922</t>
        </is>
      </c>
      <c r="O391" t="inlineStr">
        <is>
          <t>eng</t>
        </is>
      </c>
      <c r="P391" t="inlineStr">
        <is>
          <t xml:space="preserve">xx </t>
        </is>
      </c>
      <c r="R391" t="inlineStr">
        <is>
          <t xml:space="preserve">BX </t>
        </is>
      </c>
      <c r="S391" t="n">
        <v>2</v>
      </c>
      <c r="T391" t="n">
        <v>10</v>
      </c>
      <c r="U391" t="inlineStr">
        <is>
          <t>1995-04-20</t>
        </is>
      </c>
      <c r="V391" t="inlineStr">
        <is>
          <t>1999-04-23</t>
        </is>
      </c>
      <c r="W391" t="inlineStr">
        <is>
          <t>1990-02-13</t>
        </is>
      </c>
      <c r="X391" t="inlineStr">
        <is>
          <t>1990-03-20</t>
        </is>
      </c>
      <c r="Y391" t="n">
        <v>141</v>
      </c>
      <c r="Z391" t="n">
        <v>127</v>
      </c>
      <c r="AA391" t="n">
        <v>1168</v>
      </c>
      <c r="AB391" t="n">
        <v>3</v>
      </c>
      <c r="AC391" t="n">
        <v>13</v>
      </c>
      <c r="AD391" t="n">
        <v>9</v>
      </c>
      <c r="AE391" t="n">
        <v>52</v>
      </c>
      <c r="AF391" t="n">
        <v>2</v>
      </c>
      <c r="AG391" t="n">
        <v>22</v>
      </c>
      <c r="AH391" t="n">
        <v>4</v>
      </c>
      <c r="AI391" t="n">
        <v>9</v>
      </c>
      <c r="AJ391" t="n">
        <v>4</v>
      </c>
      <c r="AK391" t="n">
        <v>23</v>
      </c>
      <c r="AL391" t="n">
        <v>1</v>
      </c>
      <c r="AM391" t="n">
        <v>9</v>
      </c>
      <c r="AN391" t="n">
        <v>0</v>
      </c>
      <c r="AO391" t="n">
        <v>0</v>
      </c>
      <c r="AP391" t="inlineStr">
        <is>
          <t>Yes</t>
        </is>
      </c>
      <c r="AQ391" t="inlineStr">
        <is>
          <t>No</t>
        </is>
      </c>
      <c r="AR391">
        <f>HYPERLINK("http://catalog.hathitrust.org/Record/008684491","HathiTrust Record")</f>
        <v/>
      </c>
      <c r="AS391">
        <f>HYPERLINK("https://creighton-primo.hosted.exlibrisgroup.com/primo-explore/search?tab=default_tab&amp;search_scope=EVERYTHING&amp;vid=01CRU&amp;lang=en_US&amp;offset=0&amp;query=any,contains,991003359689702656","Catalog Record")</f>
        <v/>
      </c>
      <c r="AT391">
        <f>HYPERLINK("http://www.worldcat.org/oclc/1485120","WorldCat Record")</f>
        <v/>
      </c>
      <c r="AU391" t="inlineStr">
        <is>
          <t>1136370:eng</t>
        </is>
      </c>
      <c r="AV391" t="inlineStr">
        <is>
          <t>1485120</t>
        </is>
      </c>
      <c r="AW391" t="inlineStr">
        <is>
          <t>991003359689702656</t>
        </is>
      </c>
      <c r="AX391" t="inlineStr">
        <is>
          <t>991003359689702656</t>
        </is>
      </c>
      <c r="AY391" t="inlineStr">
        <is>
          <t>2258402460002656</t>
        </is>
      </c>
      <c r="AZ391" t="inlineStr">
        <is>
          <t>BOOK</t>
        </is>
      </c>
      <c r="BC391" t="inlineStr">
        <is>
          <t>32285000050079</t>
        </is>
      </c>
      <c r="BD391" t="inlineStr">
        <is>
          <t>893252307</t>
        </is>
      </c>
    </row>
    <row r="392">
      <c r="A392" t="inlineStr">
        <is>
          <t>No</t>
        </is>
      </c>
      <c r="B392" t="inlineStr">
        <is>
          <t>BX1711 .L4</t>
        </is>
      </c>
      <c r="C392" t="inlineStr">
        <is>
          <t>0                      BX 1711000L  4</t>
        </is>
      </c>
      <c r="D392" t="inlineStr">
        <is>
          <t>A history of the Inquisition of the Middle Ages.</t>
        </is>
      </c>
      <c r="E392" t="inlineStr">
        <is>
          <t>V.3</t>
        </is>
      </c>
      <c r="F392" t="inlineStr">
        <is>
          <t>Yes</t>
        </is>
      </c>
      <c r="G392" t="inlineStr">
        <is>
          <t>1</t>
        </is>
      </c>
      <c r="H392" t="inlineStr">
        <is>
          <t>No</t>
        </is>
      </c>
      <c r="I392" t="inlineStr">
        <is>
          <t>No</t>
        </is>
      </c>
      <c r="J392" t="inlineStr">
        <is>
          <t>0</t>
        </is>
      </c>
      <c r="K392" t="inlineStr">
        <is>
          <t>Lea, Henry Charles, 1825-1909.</t>
        </is>
      </c>
      <c r="L392" t="inlineStr">
        <is>
          <t>New York : Macmillan, 1922, [c1887]</t>
        </is>
      </c>
      <c r="M392" t="inlineStr">
        <is>
          <t>1922</t>
        </is>
      </c>
      <c r="O392" t="inlineStr">
        <is>
          <t>eng</t>
        </is>
      </c>
      <c r="P392" t="inlineStr">
        <is>
          <t xml:space="preserve">xx </t>
        </is>
      </c>
      <c r="R392" t="inlineStr">
        <is>
          <t xml:space="preserve">BX </t>
        </is>
      </c>
      <c r="S392" t="n">
        <v>2</v>
      </c>
      <c r="T392" t="n">
        <v>10</v>
      </c>
      <c r="U392" t="inlineStr">
        <is>
          <t>1995-04-20</t>
        </is>
      </c>
      <c r="V392" t="inlineStr">
        <is>
          <t>1999-04-23</t>
        </is>
      </c>
      <c r="W392" t="inlineStr">
        <is>
          <t>1990-02-13</t>
        </is>
      </c>
      <c r="X392" t="inlineStr">
        <is>
          <t>1990-03-20</t>
        </is>
      </c>
      <c r="Y392" t="n">
        <v>141</v>
      </c>
      <c r="Z392" t="n">
        <v>127</v>
      </c>
      <c r="AA392" t="n">
        <v>1168</v>
      </c>
      <c r="AB392" t="n">
        <v>3</v>
      </c>
      <c r="AC392" t="n">
        <v>13</v>
      </c>
      <c r="AD392" t="n">
        <v>9</v>
      </c>
      <c r="AE392" t="n">
        <v>52</v>
      </c>
      <c r="AF392" t="n">
        <v>2</v>
      </c>
      <c r="AG392" t="n">
        <v>22</v>
      </c>
      <c r="AH392" t="n">
        <v>4</v>
      </c>
      <c r="AI392" t="n">
        <v>9</v>
      </c>
      <c r="AJ392" t="n">
        <v>4</v>
      </c>
      <c r="AK392" t="n">
        <v>23</v>
      </c>
      <c r="AL392" t="n">
        <v>1</v>
      </c>
      <c r="AM392" t="n">
        <v>9</v>
      </c>
      <c r="AN392" t="n">
        <v>0</v>
      </c>
      <c r="AO392" t="n">
        <v>0</v>
      </c>
      <c r="AP392" t="inlineStr">
        <is>
          <t>Yes</t>
        </is>
      </c>
      <c r="AQ392" t="inlineStr">
        <is>
          <t>No</t>
        </is>
      </c>
      <c r="AR392">
        <f>HYPERLINK("http://catalog.hathitrust.org/Record/008684491","HathiTrust Record")</f>
        <v/>
      </c>
      <c r="AS392">
        <f>HYPERLINK("https://creighton-primo.hosted.exlibrisgroup.com/primo-explore/search?tab=default_tab&amp;search_scope=EVERYTHING&amp;vid=01CRU&amp;lang=en_US&amp;offset=0&amp;query=any,contains,991003359689702656","Catalog Record")</f>
        <v/>
      </c>
      <c r="AT392">
        <f>HYPERLINK("http://www.worldcat.org/oclc/1485120","WorldCat Record")</f>
        <v/>
      </c>
      <c r="AU392" t="inlineStr">
        <is>
          <t>1136370:eng</t>
        </is>
      </c>
      <c r="AV392" t="inlineStr">
        <is>
          <t>1485120</t>
        </is>
      </c>
      <c r="AW392" t="inlineStr">
        <is>
          <t>991003359689702656</t>
        </is>
      </c>
      <c r="AX392" t="inlineStr">
        <is>
          <t>991003359689702656</t>
        </is>
      </c>
      <c r="AY392" t="inlineStr">
        <is>
          <t>2258402460002656</t>
        </is>
      </c>
      <c r="AZ392" t="inlineStr">
        <is>
          <t>BOOK</t>
        </is>
      </c>
      <c r="BC392" t="inlineStr">
        <is>
          <t>32285000050087</t>
        </is>
      </c>
      <c r="BD392" t="inlineStr">
        <is>
          <t>893258356</t>
        </is>
      </c>
    </row>
    <row r="393">
      <c r="A393" t="inlineStr">
        <is>
          <t>No</t>
        </is>
      </c>
      <c r="B393" t="inlineStr">
        <is>
          <t>BX1711 .W3 1940</t>
        </is>
      </c>
      <c r="C393" t="inlineStr">
        <is>
          <t>0                      BX 1711000W  3           1940</t>
        </is>
      </c>
      <c r="D393" t="inlineStr">
        <is>
          <t>Characters of the Inquisition / by William Thomas Walsh.</t>
        </is>
      </c>
      <c r="F393" t="inlineStr">
        <is>
          <t>No</t>
        </is>
      </c>
      <c r="G393" t="inlineStr">
        <is>
          <t>1</t>
        </is>
      </c>
      <c r="H393" t="inlineStr">
        <is>
          <t>No</t>
        </is>
      </c>
      <c r="I393" t="inlineStr">
        <is>
          <t>No</t>
        </is>
      </c>
      <c r="J393" t="inlineStr">
        <is>
          <t>0</t>
        </is>
      </c>
      <c r="K393" t="inlineStr">
        <is>
          <t>Walsh, William Thomas, 1891-1949.</t>
        </is>
      </c>
      <c r="L393" t="inlineStr">
        <is>
          <t>New York : P.J. Kenedy &amp; Sons, [c1940]</t>
        </is>
      </c>
      <c r="M393" t="inlineStr">
        <is>
          <t>1940</t>
        </is>
      </c>
      <c r="O393" t="inlineStr">
        <is>
          <t>eng</t>
        </is>
      </c>
      <c r="P393" t="inlineStr">
        <is>
          <t>nyu</t>
        </is>
      </c>
      <c r="Q393" t="inlineStr">
        <is>
          <t>Essay and general literature index reprint series</t>
        </is>
      </c>
      <c r="R393" t="inlineStr">
        <is>
          <t xml:space="preserve">BX </t>
        </is>
      </c>
      <c r="S393" t="n">
        <v>9</v>
      </c>
      <c r="T393" t="n">
        <v>9</v>
      </c>
      <c r="U393" t="inlineStr">
        <is>
          <t>2003-05-15</t>
        </is>
      </c>
      <c r="V393" t="inlineStr">
        <is>
          <t>2003-05-15</t>
        </is>
      </c>
      <c r="W393" t="inlineStr">
        <is>
          <t>1991-02-19</t>
        </is>
      </c>
      <c r="X393" t="inlineStr">
        <is>
          <t>1991-02-19</t>
        </is>
      </c>
      <c r="Y393" t="n">
        <v>279</v>
      </c>
      <c r="Z393" t="n">
        <v>256</v>
      </c>
      <c r="AA393" t="n">
        <v>562</v>
      </c>
      <c r="AB393" t="n">
        <v>2</v>
      </c>
      <c r="AC393" t="n">
        <v>6</v>
      </c>
      <c r="AD393" t="n">
        <v>28</v>
      </c>
      <c r="AE393" t="n">
        <v>38</v>
      </c>
      <c r="AF393" t="n">
        <v>9</v>
      </c>
      <c r="AG393" t="n">
        <v>15</v>
      </c>
      <c r="AH393" t="n">
        <v>7</v>
      </c>
      <c r="AI393" t="n">
        <v>10</v>
      </c>
      <c r="AJ393" t="n">
        <v>19</v>
      </c>
      <c r="AK393" t="n">
        <v>22</v>
      </c>
      <c r="AL393" t="n">
        <v>0</v>
      </c>
      <c r="AM393" t="n">
        <v>2</v>
      </c>
      <c r="AN393" t="n">
        <v>0</v>
      </c>
      <c r="AO393" t="n">
        <v>0</v>
      </c>
      <c r="AP393" t="inlineStr">
        <is>
          <t>Yes</t>
        </is>
      </c>
      <c r="AQ393" t="inlineStr">
        <is>
          <t>No</t>
        </is>
      </c>
      <c r="AR393">
        <f>HYPERLINK("http://catalog.hathitrust.org/Record/001416415","HathiTrust Record")</f>
        <v/>
      </c>
      <c r="AS393">
        <f>HYPERLINK("https://creighton-primo.hosted.exlibrisgroup.com/primo-explore/search?tab=default_tab&amp;search_scope=EVERYTHING&amp;vid=01CRU&amp;lang=en_US&amp;offset=0&amp;query=any,contains,991003497289702656","Catalog Record")</f>
        <v/>
      </c>
      <c r="AT393">
        <f>HYPERLINK("http://www.worldcat.org/oclc/1048228","WorldCat Record")</f>
        <v/>
      </c>
      <c r="AU393" t="inlineStr">
        <is>
          <t>1123749:eng</t>
        </is>
      </c>
      <c r="AV393" t="inlineStr">
        <is>
          <t>1048228</t>
        </is>
      </c>
      <c r="AW393" t="inlineStr">
        <is>
          <t>991003497289702656</t>
        </is>
      </c>
      <c r="AX393" t="inlineStr">
        <is>
          <t>991003497289702656</t>
        </is>
      </c>
      <c r="AY393" t="inlineStr">
        <is>
          <t>2265363110002656</t>
        </is>
      </c>
      <c r="AZ393" t="inlineStr">
        <is>
          <t>BOOK</t>
        </is>
      </c>
      <c r="BB393" t="inlineStr">
        <is>
          <t>9780804604864</t>
        </is>
      </c>
      <c r="BC393" t="inlineStr">
        <is>
          <t>32285000509330</t>
        </is>
      </c>
      <c r="BD393" t="inlineStr">
        <is>
          <t>893422627</t>
        </is>
      </c>
    </row>
    <row r="394">
      <c r="A394" t="inlineStr">
        <is>
          <t>No</t>
        </is>
      </c>
      <c r="B394" t="inlineStr">
        <is>
          <t>BX1723 .G73 1977</t>
        </is>
      </c>
      <c r="C394" t="inlineStr">
        <is>
          <t>0                      BX 1723000G  73          1977</t>
        </is>
      </c>
      <c r="D394" t="inlineStr">
        <is>
          <t>The Roman Inquisition and the Venetian press, 1540-1605 / Paul F. Grendler.</t>
        </is>
      </c>
      <c r="F394" t="inlineStr">
        <is>
          <t>No</t>
        </is>
      </c>
      <c r="G394" t="inlineStr">
        <is>
          <t>1</t>
        </is>
      </c>
      <c r="H394" t="inlineStr">
        <is>
          <t>No</t>
        </is>
      </c>
      <c r="I394" t="inlineStr">
        <is>
          <t>No</t>
        </is>
      </c>
      <c r="J394" t="inlineStr">
        <is>
          <t>0</t>
        </is>
      </c>
      <c r="K394" t="inlineStr">
        <is>
          <t>Grendler, Paul F.</t>
        </is>
      </c>
      <c r="L394" t="inlineStr">
        <is>
          <t>Princeton, N.J. : Princeton University Press, c1977.</t>
        </is>
      </c>
      <c r="M394" t="inlineStr">
        <is>
          <t>1977</t>
        </is>
      </c>
      <c r="O394" t="inlineStr">
        <is>
          <t>eng</t>
        </is>
      </c>
      <c r="P394" t="inlineStr">
        <is>
          <t>nju</t>
        </is>
      </c>
      <c r="R394" t="inlineStr">
        <is>
          <t xml:space="preserve">BX </t>
        </is>
      </c>
      <c r="S394" t="n">
        <v>4</v>
      </c>
      <c r="T394" t="n">
        <v>4</v>
      </c>
      <c r="U394" t="inlineStr">
        <is>
          <t>1998-09-07</t>
        </is>
      </c>
      <c r="V394" t="inlineStr">
        <is>
          <t>1998-09-07</t>
        </is>
      </c>
      <c r="W394" t="inlineStr">
        <is>
          <t>1995-05-22</t>
        </is>
      </c>
      <c r="X394" t="inlineStr">
        <is>
          <t>1995-05-22</t>
        </is>
      </c>
      <c r="Y394" t="n">
        <v>602</v>
      </c>
      <c r="Z394" t="n">
        <v>447</v>
      </c>
      <c r="AA394" t="n">
        <v>661</v>
      </c>
      <c r="AB394" t="n">
        <v>3</v>
      </c>
      <c r="AC394" t="n">
        <v>5</v>
      </c>
      <c r="AD394" t="n">
        <v>22</v>
      </c>
      <c r="AE394" t="n">
        <v>30</v>
      </c>
      <c r="AF394" t="n">
        <v>2</v>
      </c>
      <c r="AG394" t="n">
        <v>9</v>
      </c>
      <c r="AH394" t="n">
        <v>8</v>
      </c>
      <c r="AI394" t="n">
        <v>9</v>
      </c>
      <c r="AJ394" t="n">
        <v>16</v>
      </c>
      <c r="AK394" t="n">
        <v>17</v>
      </c>
      <c r="AL394" t="n">
        <v>2</v>
      </c>
      <c r="AM394" t="n">
        <v>3</v>
      </c>
      <c r="AN394" t="n">
        <v>0</v>
      </c>
      <c r="AO394" t="n">
        <v>0</v>
      </c>
      <c r="AP394" t="inlineStr">
        <is>
          <t>No</t>
        </is>
      </c>
      <c r="AQ394" t="inlineStr">
        <is>
          <t>No</t>
        </is>
      </c>
      <c r="AS394">
        <f>HYPERLINK("https://creighton-primo.hosted.exlibrisgroup.com/primo-explore/search?tab=default_tab&amp;search_scope=EVERYTHING&amp;vid=01CRU&amp;lang=en_US&amp;offset=0&amp;query=any,contains,991004308579702656","Catalog Record")</f>
        <v/>
      </c>
      <c r="AT394">
        <f>HYPERLINK("http://www.worldcat.org/oclc/2985492","WorldCat Record")</f>
        <v/>
      </c>
      <c r="AU394" t="inlineStr">
        <is>
          <t>7068641:eng</t>
        </is>
      </c>
      <c r="AV394" t="inlineStr">
        <is>
          <t>2985492</t>
        </is>
      </c>
      <c r="AW394" t="inlineStr">
        <is>
          <t>991004308579702656</t>
        </is>
      </c>
      <c r="AX394" t="inlineStr">
        <is>
          <t>991004308579702656</t>
        </is>
      </c>
      <c r="AY394" t="inlineStr">
        <is>
          <t>2262050660002656</t>
        </is>
      </c>
      <c r="AZ394" t="inlineStr">
        <is>
          <t>BOOK</t>
        </is>
      </c>
      <c r="BB394" t="inlineStr">
        <is>
          <t>9780691052458</t>
        </is>
      </c>
      <c r="BC394" t="inlineStr">
        <is>
          <t>32285002046489</t>
        </is>
      </c>
      <c r="BD394" t="inlineStr">
        <is>
          <t>893628087</t>
        </is>
      </c>
    </row>
    <row r="395">
      <c r="A395" t="inlineStr">
        <is>
          <t>No</t>
        </is>
      </c>
      <c r="B395" t="inlineStr">
        <is>
          <t>BX1723 .S45 1993</t>
        </is>
      </c>
      <c r="C395" t="inlineStr">
        <is>
          <t>0                      BX 1723000S  45          1993</t>
        </is>
      </c>
      <c r="D395" t="inlineStr">
        <is>
          <t>Erasmus als Ketzer : Reformation und Inquisition im Italien des 16. Jahrhunderts / von Silvana Seidel Menchi.</t>
        </is>
      </c>
      <c r="F395" t="inlineStr">
        <is>
          <t>No</t>
        </is>
      </c>
      <c r="G395" t="inlineStr">
        <is>
          <t>1</t>
        </is>
      </c>
      <c r="H395" t="inlineStr">
        <is>
          <t>No</t>
        </is>
      </c>
      <c r="I395" t="inlineStr">
        <is>
          <t>No</t>
        </is>
      </c>
      <c r="J395" t="inlineStr">
        <is>
          <t>0</t>
        </is>
      </c>
      <c r="K395" t="inlineStr">
        <is>
          <t>Seidel Menchi, Silvana.</t>
        </is>
      </c>
      <c r="L395" t="inlineStr">
        <is>
          <t>Leiden ; New York : E.J. Brill, 1993.</t>
        </is>
      </c>
      <c r="M395" t="inlineStr">
        <is>
          <t>1993</t>
        </is>
      </c>
      <c r="O395" t="inlineStr">
        <is>
          <t>ger</t>
        </is>
      </c>
      <c r="P395" t="inlineStr">
        <is>
          <t xml:space="preserve">ne </t>
        </is>
      </c>
      <c r="Q395" t="inlineStr">
        <is>
          <t>Studies in medieval and Reformation thought ; v. 49</t>
        </is>
      </c>
      <c r="R395" t="inlineStr">
        <is>
          <t xml:space="preserve">BX </t>
        </is>
      </c>
      <c r="S395" t="n">
        <v>2</v>
      </c>
      <c r="T395" t="n">
        <v>2</v>
      </c>
      <c r="U395" t="inlineStr">
        <is>
          <t>1998-07-29</t>
        </is>
      </c>
      <c r="V395" t="inlineStr">
        <is>
          <t>1998-07-29</t>
        </is>
      </c>
      <c r="W395" t="inlineStr">
        <is>
          <t>1993-01-21</t>
        </is>
      </c>
      <c r="X395" t="inlineStr">
        <is>
          <t>1993-01-21</t>
        </is>
      </c>
      <c r="Y395" t="n">
        <v>206</v>
      </c>
      <c r="Z395" t="n">
        <v>159</v>
      </c>
      <c r="AA395" t="n">
        <v>163</v>
      </c>
      <c r="AB395" t="n">
        <v>2</v>
      </c>
      <c r="AC395" t="n">
        <v>2</v>
      </c>
      <c r="AD395" t="n">
        <v>13</v>
      </c>
      <c r="AE395" t="n">
        <v>13</v>
      </c>
      <c r="AF395" t="n">
        <v>1</v>
      </c>
      <c r="AG395" t="n">
        <v>1</v>
      </c>
      <c r="AH395" t="n">
        <v>3</v>
      </c>
      <c r="AI395" t="n">
        <v>3</v>
      </c>
      <c r="AJ395" t="n">
        <v>10</v>
      </c>
      <c r="AK395" t="n">
        <v>10</v>
      </c>
      <c r="AL395" t="n">
        <v>1</v>
      </c>
      <c r="AM395" t="n">
        <v>1</v>
      </c>
      <c r="AN395" t="n">
        <v>0</v>
      </c>
      <c r="AO395" t="n">
        <v>0</v>
      </c>
      <c r="AP395" t="inlineStr">
        <is>
          <t>No</t>
        </is>
      </c>
      <c r="AQ395" t="inlineStr">
        <is>
          <t>No</t>
        </is>
      </c>
      <c r="AS395">
        <f>HYPERLINK("https://creighton-primo.hosted.exlibrisgroup.com/primo-explore/search?tab=default_tab&amp;search_scope=EVERYTHING&amp;vid=01CRU&amp;lang=en_US&amp;offset=0&amp;query=any,contains,991001986789702656","Catalog Record")</f>
        <v/>
      </c>
      <c r="AT395">
        <f>HYPERLINK("http://www.worldcat.org/oclc/25245548","WorldCat Record")</f>
        <v/>
      </c>
      <c r="AU395" t="inlineStr">
        <is>
          <t>806564275:ger</t>
        </is>
      </c>
      <c r="AV395" t="inlineStr">
        <is>
          <t>25245548</t>
        </is>
      </c>
      <c r="AW395" t="inlineStr">
        <is>
          <t>991001986789702656</t>
        </is>
      </c>
      <c r="AX395" t="inlineStr">
        <is>
          <t>991001986789702656</t>
        </is>
      </c>
      <c r="AY395" t="inlineStr">
        <is>
          <t>2259063200002656</t>
        </is>
      </c>
      <c r="AZ395" t="inlineStr">
        <is>
          <t>BOOK</t>
        </is>
      </c>
      <c r="BB395" t="inlineStr">
        <is>
          <t>9789004094741</t>
        </is>
      </c>
      <c r="BC395" t="inlineStr">
        <is>
          <t>32285001488815</t>
        </is>
      </c>
      <c r="BD395" t="inlineStr">
        <is>
          <t>893872966</t>
        </is>
      </c>
    </row>
    <row r="396">
      <c r="A396" t="inlineStr">
        <is>
          <t>No</t>
        </is>
      </c>
      <c r="B396" t="inlineStr">
        <is>
          <t>BX173.2 .M3 1982</t>
        </is>
      </c>
      <c r="C396" t="inlineStr">
        <is>
          <t>0                      BX 0173200M  3           1982</t>
        </is>
      </c>
      <c r="D396" t="inlineStr">
        <is>
          <t>A short history of Syriac Christianity to the rise of Islam / W. Stewart McCullough.</t>
        </is>
      </c>
      <c r="F396" t="inlineStr">
        <is>
          <t>No</t>
        </is>
      </c>
      <c r="G396" t="inlineStr">
        <is>
          <t>1</t>
        </is>
      </c>
      <c r="H396" t="inlineStr">
        <is>
          <t>No</t>
        </is>
      </c>
      <c r="I396" t="inlineStr">
        <is>
          <t>No</t>
        </is>
      </c>
      <c r="J396" t="inlineStr">
        <is>
          <t>0</t>
        </is>
      </c>
      <c r="K396" t="inlineStr">
        <is>
          <t>McCullough, W. Stewart (William Stewart), 1902-1982.</t>
        </is>
      </c>
      <c r="L396" t="inlineStr">
        <is>
          <t>Chico, Calif. : Scholars Press, c1982.</t>
        </is>
      </c>
      <c r="M396" t="inlineStr">
        <is>
          <t>1982</t>
        </is>
      </c>
      <c r="O396" t="inlineStr">
        <is>
          <t>eng</t>
        </is>
      </c>
      <c r="P396" t="inlineStr">
        <is>
          <t>cau</t>
        </is>
      </c>
      <c r="Q396" t="inlineStr">
        <is>
          <t>Scholars Press general series ; no. 4</t>
        </is>
      </c>
      <c r="R396" t="inlineStr">
        <is>
          <t xml:space="preserve">BX </t>
        </is>
      </c>
      <c r="S396" t="n">
        <v>3</v>
      </c>
      <c r="T396" t="n">
        <v>3</v>
      </c>
      <c r="U396" t="inlineStr">
        <is>
          <t>2009-07-07</t>
        </is>
      </c>
      <c r="V396" t="inlineStr">
        <is>
          <t>2009-07-07</t>
        </is>
      </c>
      <c r="W396" t="inlineStr">
        <is>
          <t>1992-03-26</t>
        </is>
      </c>
      <c r="X396" t="inlineStr">
        <is>
          <t>1992-03-26</t>
        </is>
      </c>
      <c r="Y396" t="n">
        <v>296</v>
      </c>
      <c r="Z396" t="n">
        <v>224</v>
      </c>
      <c r="AA396" t="n">
        <v>236</v>
      </c>
      <c r="AB396" t="n">
        <v>2</v>
      </c>
      <c r="AC396" t="n">
        <v>2</v>
      </c>
      <c r="AD396" t="n">
        <v>18</v>
      </c>
      <c r="AE396" t="n">
        <v>18</v>
      </c>
      <c r="AF396" t="n">
        <v>5</v>
      </c>
      <c r="AG396" t="n">
        <v>5</v>
      </c>
      <c r="AH396" t="n">
        <v>7</v>
      </c>
      <c r="AI396" t="n">
        <v>7</v>
      </c>
      <c r="AJ396" t="n">
        <v>12</v>
      </c>
      <c r="AK396" t="n">
        <v>12</v>
      </c>
      <c r="AL396" t="n">
        <v>1</v>
      </c>
      <c r="AM396" t="n">
        <v>1</v>
      </c>
      <c r="AN396" t="n">
        <v>0</v>
      </c>
      <c r="AO396" t="n">
        <v>0</v>
      </c>
      <c r="AP396" t="inlineStr">
        <is>
          <t>No</t>
        </is>
      </c>
      <c r="AQ396" t="inlineStr">
        <is>
          <t>Yes</t>
        </is>
      </c>
      <c r="AR396">
        <f>HYPERLINK("http://catalog.hathitrust.org/Record/000352171","HathiTrust Record")</f>
        <v/>
      </c>
      <c r="AS396">
        <f>HYPERLINK("https://creighton-primo.hosted.exlibrisgroup.com/primo-explore/search?tab=default_tab&amp;search_scope=EVERYTHING&amp;vid=01CRU&amp;lang=en_US&amp;offset=0&amp;query=any,contains,991000207259702656","Catalog Record")</f>
        <v/>
      </c>
      <c r="AT396">
        <f>HYPERLINK("http://www.worldcat.org/oclc/7177009","WorldCat Record")</f>
        <v/>
      </c>
      <c r="AU396" t="inlineStr">
        <is>
          <t>548137:eng</t>
        </is>
      </c>
      <c r="AV396" t="inlineStr">
        <is>
          <t>7177009</t>
        </is>
      </c>
      <c r="AW396" t="inlineStr">
        <is>
          <t>991000207259702656</t>
        </is>
      </c>
      <c r="AX396" t="inlineStr">
        <is>
          <t>991000207259702656</t>
        </is>
      </c>
      <c r="AY396" t="inlineStr">
        <is>
          <t>2270411330002656</t>
        </is>
      </c>
      <c r="AZ396" t="inlineStr">
        <is>
          <t>BOOK</t>
        </is>
      </c>
      <c r="BB396" t="inlineStr">
        <is>
          <t>9780891304548</t>
        </is>
      </c>
      <c r="BC396" t="inlineStr">
        <is>
          <t>32285001017408</t>
        </is>
      </c>
      <c r="BD396" t="inlineStr">
        <is>
          <t>893620303</t>
        </is>
      </c>
    </row>
    <row r="397">
      <c r="A397" t="inlineStr">
        <is>
          <t>No</t>
        </is>
      </c>
      <c r="B397" t="inlineStr">
        <is>
          <t>BX1740.M6 G73</t>
        </is>
      </c>
      <c r="C397" t="inlineStr">
        <is>
          <t>0                      BX 1740000M  6                  G  73</t>
        </is>
      </c>
      <c r="D397" t="inlineStr">
        <is>
          <t>The Mexican Inquisition of the sixteenth century / [by] Richard E. Greenleaf.</t>
        </is>
      </c>
      <c r="F397" t="inlineStr">
        <is>
          <t>No</t>
        </is>
      </c>
      <c r="G397" t="inlineStr">
        <is>
          <t>1</t>
        </is>
      </c>
      <c r="H397" t="inlineStr">
        <is>
          <t>No</t>
        </is>
      </c>
      <c r="I397" t="inlineStr">
        <is>
          <t>No</t>
        </is>
      </c>
      <c r="J397" t="inlineStr">
        <is>
          <t>0</t>
        </is>
      </c>
      <c r="K397" t="inlineStr">
        <is>
          <t>Greenleaf, Richard E.</t>
        </is>
      </c>
      <c r="L397" t="inlineStr">
        <is>
          <t>Albuquerque, University of New Mexico Press [1969]</t>
        </is>
      </c>
      <c r="M397" t="inlineStr">
        <is>
          <t>1969</t>
        </is>
      </c>
      <c r="N397" t="inlineStr">
        <is>
          <t>[1st ed.]</t>
        </is>
      </c>
      <c r="O397" t="inlineStr">
        <is>
          <t>eng</t>
        </is>
      </c>
      <c r="P397" t="inlineStr">
        <is>
          <t>nmu</t>
        </is>
      </c>
      <c r="R397" t="inlineStr">
        <is>
          <t xml:space="preserve">BX </t>
        </is>
      </c>
      <c r="S397" t="n">
        <v>4</v>
      </c>
      <c r="T397" t="n">
        <v>4</v>
      </c>
      <c r="U397" t="inlineStr">
        <is>
          <t>1998-11-15</t>
        </is>
      </c>
      <c r="V397" t="inlineStr">
        <is>
          <t>1998-11-15</t>
        </is>
      </c>
      <c r="W397" t="inlineStr">
        <is>
          <t>1990-02-12</t>
        </is>
      </c>
      <c r="X397" t="inlineStr">
        <is>
          <t>1990-02-12</t>
        </is>
      </c>
      <c r="Y397" t="n">
        <v>783</v>
      </c>
      <c r="Z397" t="n">
        <v>709</v>
      </c>
      <c r="AA397" t="n">
        <v>727</v>
      </c>
      <c r="AB397" t="n">
        <v>3</v>
      </c>
      <c r="AC397" t="n">
        <v>3</v>
      </c>
      <c r="AD397" t="n">
        <v>35</v>
      </c>
      <c r="AE397" t="n">
        <v>36</v>
      </c>
      <c r="AF397" t="n">
        <v>15</v>
      </c>
      <c r="AG397" t="n">
        <v>15</v>
      </c>
      <c r="AH397" t="n">
        <v>10</v>
      </c>
      <c r="AI397" t="n">
        <v>10</v>
      </c>
      <c r="AJ397" t="n">
        <v>18</v>
      </c>
      <c r="AK397" t="n">
        <v>19</v>
      </c>
      <c r="AL397" t="n">
        <v>2</v>
      </c>
      <c r="AM397" t="n">
        <v>2</v>
      </c>
      <c r="AN397" t="n">
        <v>0</v>
      </c>
      <c r="AO397" t="n">
        <v>0</v>
      </c>
      <c r="AP397" t="inlineStr">
        <is>
          <t>No</t>
        </is>
      </c>
      <c r="AQ397" t="inlineStr">
        <is>
          <t>Yes</t>
        </is>
      </c>
      <c r="AR397">
        <f>HYPERLINK("http://catalog.hathitrust.org/Record/001416466","HathiTrust Record")</f>
        <v/>
      </c>
      <c r="AS397">
        <f>HYPERLINK("https://creighton-primo.hosted.exlibrisgroup.com/primo-explore/search?tab=default_tab&amp;search_scope=EVERYTHING&amp;vid=01CRU&amp;lang=en_US&amp;offset=0&amp;query=any,contains,991000082649702656","Catalog Record")</f>
        <v/>
      </c>
      <c r="AT397">
        <f>HYPERLINK("http://www.worldcat.org/oclc/32379","WorldCat Record")</f>
        <v/>
      </c>
      <c r="AU397" t="inlineStr">
        <is>
          <t>349425819:eng</t>
        </is>
      </c>
      <c r="AV397" t="inlineStr">
        <is>
          <t>32379</t>
        </is>
      </c>
      <c r="AW397" t="inlineStr">
        <is>
          <t>991000082649702656</t>
        </is>
      </c>
      <c r="AX397" t="inlineStr">
        <is>
          <t>991000082649702656</t>
        </is>
      </c>
      <c r="AY397" t="inlineStr">
        <is>
          <t>2258267380002656</t>
        </is>
      </c>
      <c r="AZ397" t="inlineStr">
        <is>
          <t>BOOK</t>
        </is>
      </c>
      <c r="BB397" t="inlineStr">
        <is>
          <t>9780826301307</t>
        </is>
      </c>
      <c r="BC397" t="inlineStr">
        <is>
          <t>32285000009687</t>
        </is>
      </c>
      <c r="BD397" t="inlineStr">
        <is>
          <t>893249068</t>
        </is>
      </c>
    </row>
    <row r="398">
      <c r="A398" t="inlineStr">
        <is>
          <t>No</t>
        </is>
      </c>
      <c r="B398" t="inlineStr">
        <is>
          <t>BX1746 .A823 1993</t>
        </is>
      </c>
      <c r="C398" t="inlineStr">
        <is>
          <t>0                      BX 1746000A  823         1993</t>
        </is>
      </c>
      <c r="D398" t="inlineStr">
        <is>
          <t>Refounding the Church : dissent for leadership / Gerald A. Arbuckle.</t>
        </is>
      </c>
      <c r="F398" t="inlineStr">
        <is>
          <t>No</t>
        </is>
      </c>
      <c r="G398" t="inlineStr">
        <is>
          <t>1</t>
        </is>
      </c>
      <c r="H398" t="inlineStr">
        <is>
          <t>No</t>
        </is>
      </c>
      <c r="I398" t="inlineStr">
        <is>
          <t>No</t>
        </is>
      </c>
      <c r="J398" t="inlineStr">
        <is>
          <t>0</t>
        </is>
      </c>
      <c r="K398" t="inlineStr">
        <is>
          <t>Arbuckle, Gerald A.</t>
        </is>
      </c>
      <c r="L398" t="inlineStr">
        <is>
          <t>Maryknoll, N.Y. : Orbis Books, 1993.</t>
        </is>
      </c>
      <c r="M398" t="inlineStr">
        <is>
          <t>1993</t>
        </is>
      </c>
      <c r="O398" t="inlineStr">
        <is>
          <t>eng</t>
        </is>
      </c>
      <c r="P398" t="inlineStr">
        <is>
          <t>nyu</t>
        </is>
      </c>
      <c r="R398" t="inlineStr">
        <is>
          <t xml:space="preserve">BX </t>
        </is>
      </c>
      <c r="S398" t="n">
        <v>7</v>
      </c>
      <c r="T398" t="n">
        <v>7</v>
      </c>
      <c r="U398" t="inlineStr">
        <is>
          <t>1996-02-08</t>
        </is>
      </c>
      <c r="V398" t="inlineStr">
        <is>
          <t>1996-02-08</t>
        </is>
      </c>
      <c r="W398" t="inlineStr">
        <is>
          <t>1994-03-30</t>
        </is>
      </c>
      <c r="X398" t="inlineStr">
        <is>
          <t>1994-03-30</t>
        </is>
      </c>
      <c r="Y398" t="n">
        <v>172</v>
      </c>
      <c r="Z398" t="n">
        <v>144</v>
      </c>
      <c r="AA398" t="n">
        <v>158</v>
      </c>
      <c r="AB398" t="n">
        <v>3</v>
      </c>
      <c r="AC398" t="n">
        <v>3</v>
      </c>
      <c r="AD398" t="n">
        <v>21</v>
      </c>
      <c r="AE398" t="n">
        <v>22</v>
      </c>
      <c r="AF398" t="n">
        <v>5</v>
      </c>
      <c r="AG398" t="n">
        <v>5</v>
      </c>
      <c r="AH398" t="n">
        <v>4</v>
      </c>
      <c r="AI398" t="n">
        <v>5</v>
      </c>
      <c r="AJ398" t="n">
        <v>15</v>
      </c>
      <c r="AK398" t="n">
        <v>16</v>
      </c>
      <c r="AL398" t="n">
        <v>2</v>
      </c>
      <c r="AM398" t="n">
        <v>2</v>
      </c>
      <c r="AN398" t="n">
        <v>0</v>
      </c>
      <c r="AO398" t="n">
        <v>0</v>
      </c>
      <c r="AP398" t="inlineStr">
        <is>
          <t>No</t>
        </is>
      </c>
      <c r="AQ398" t="inlineStr">
        <is>
          <t>No</t>
        </is>
      </c>
      <c r="AS398">
        <f>HYPERLINK("https://creighton-primo.hosted.exlibrisgroup.com/primo-explore/search?tab=default_tab&amp;search_scope=EVERYTHING&amp;vid=01CRU&amp;lang=en_US&amp;offset=0&amp;query=any,contains,991002178179702656","Catalog Record")</f>
        <v/>
      </c>
      <c r="AT398">
        <f>HYPERLINK("http://www.worldcat.org/oclc/28027625","WorldCat Record")</f>
        <v/>
      </c>
      <c r="AU398" t="inlineStr">
        <is>
          <t>377736:eng</t>
        </is>
      </c>
      <c r="AV398" t="inlineStr">
        <is>
          <t>28027625</t>
        </is>
      </c>
      <c r="AW398" t="inlineStr">
        <is>
          <t>991002178179702656</t>
        </is>
      </c>
      <c r="AX398" t="inlineStr">
        <is>
          <t>991002178179702656</t>
        </is>
      </c>
      <c r="AY398" t="inlineStr">
        <is>
          <t>2266024990002656</t>
        </is>
      </c>
      <c r="AZ398" t="inlineStr">
        <is>
          <t>BOOK</t>
        </is>
      </c>
      <c r="BB398" t="inlineStr">
        <is>
          <t>9780883448960</t>
        </is>
      </c>
      <c r="BC398" t="inlineStr">
        <is>
          <t>32285001858355</t>
        </is>
      </c>
      <c r="BD398" t="inlineStr">
        <is>
          <t>893510397</t>
        </is>
      </c>
    </row>
    <row r="399">
      <c r="A399" t="inlineStr">
        <is>
          <t>No</t>
        </is>
      </c>
      <c r="B399" t="inlineStr">
        <is>
          <t>BX1746 .A97 1982</t>
        </is>
      </c>
      <c r="C399" t="inlineStr">
        <is>
          <t>0                      BX 1746000A  97          1982</t>
        </is>
      </c>
      <c r="D399" t="inlineStr">
        <is>
          <t>Authority in the church and the Schillebeeckx case / edited by Leonard Swidler and Piet F. Fransen.</t>
        </is>
      </c>
      <c r="F399" t="inlineStr">
        <is>
          <t>No</t>
        </is>
      </c>
      <c r="G399" t="inlineStr">
        <is>
          <t>1</t>
        </is>
      </c>
      <c r="H399" t="inlineStr">
        <is>
          <t>No</t>
        </is>
      </c>
      <c r="I399" t="inlineStr">
        <is>
          <t>No</t>
        </is>
      </c>
      <c r="J399" t="inlineStr">
        <is>
          <t>0</t>
        </is>
      </c>
      <c r="L399" t="inlineStr">
        <is>
          <t>New York : Crossroad, 1982.</t>
        </is>
      </c>
      <c r="M399" t="inlineStr">
        <is>
          <t>1982</t>
        </is>
      </c>
      <c r="O399" t="inlineStr">
        <is>
          <t>eng</t>
        </is>
      </c>
      <c r="P399" t="inlineStr">
        <is>
          <t>nyu</t>
        </is>
      </c>
      <c r="R399" t="inlineStr">
        <is>
          <t xml:space="preserve">BX </t>
        </is>
      </c>
      <c r="S399" t="n">
        <v>4</v>
      </c>
      <c r="T399" t="n">
        <v>4</v>
      </c>
      <c r="U399" t="inlineStr">
        <is>
          <t>1997-06-19</t>
        </is>
      </c>
      <c r="V399" t="inlineStr">
        <is>
          <t>1997-06-19</t>
        </is>
      </c>
      <c r="W399" t="inlineStr">
        <is>
          <t>1991-02-20</t>
        </is>
      </c>
      <c r="X399" t="inlineStr">
        <is>
          <t>1991-02-20</t>
        </is>
      </c>
      <c r="Y399" t="n">
        <v>250</v>
      </c>
      <c r="Z399" t="n">
        <v>199</v>
      </c>
      <c r="AA399" t="n">
        <v>207</v>
      </c>
      <c r="AB399" t="n">
        <v>4</v>
      </c>
      <c r="AC399" t="n">
        <v>4</v>
      </c>
      <c r="AD399" t="n">
        <v>18</v>
      </c>
      <c r="AE399" t="n">
        <v>18</v>
      </c>
      <c r="AF399" t="n">
        <v>4</v>
      </c>
      <c r="AG399" t="n">
        <v>4</v>
      </c>
      <c r="AH399" t="n">
        <v>5</v>
      </c>
      <c r="AI399" t="n">
        <v>5</v>
      </c>
      <c r="AJ399" t="n">
        <v>11</v>
      </c>
      <c r="AK399" t="n">
        <v>11</v>
      </c>
      <c r="AL399" t="n">
        <v>2</v>
      </c>
      <c r="AM399" t="n">
        <v>2</v>
      </c>
      <c r="AN399" t="n">
        <v>0</v>
      </c>
      <c r="AO399" t="n">
        <v>0</v>
      </c>
      <c r="AP399" t="inlineStr">
        <is>
          <t>No</t>
        </is>
      </c>
      <c r="AQ399" t="inlineStr">
        <is>
          <t>Yes</t>
        </is>
      </c>
      <c r="AR399">
        <f>HYPERLINK("http://catalog.hathitrust.org/Record/000231082","HathiTrust Record")</f>
        <v/>
      </c>
      <c r="AS399">
        <f>HYPERLINK("https://creighton-primo.hosted.exlibrisgroup.com/primo-explore/search?tab=default_tab&amp;search_scope=EVERYTHING&amp;vid=01CRU&amp;lang=en_US&amp;offset=0&amp;query=any,contains,991000110959702656","Catalog Record")</f>
        <v/>
      </c>
      <c r="AT399">
        <f>HYPERLINK("http://www.worldcat.org/oclc/9000724","WorldCat Record")</f>
        <v/>
      </c>
      <c r="AU399" t="inlineStr">
        <is>
          <t>368984656:eng</t>
        </is>
      </c>
      <c r="AV399" t="inlineStr">
        <is>
          <t>9000724</t>
        </is>
      </c>
      <c r="AW399" t="inlineStr">
        <is>
          <t>991000110959702656</t>
        </is>
      </c>
      <c r="AX399" t="inlineStr">
        <is>
          <t>991000110959702656</t>
        </is>
      </c>
      <c r="AY399" t="inlineStr">
        <is>
          <t>2260187770002656</t>
        </is>
      </c>
      <c r="AZ399" t="inlineStr">
        <is>
          <t>BOOK</t>
        </is>
      </c>
      <c r="BB399" t="inlineStr">
        <is>
          <t>9780824505431</t>
        </is>
      </c>
      <c r="BC399" t="inlineStr">
        <is>
          <t>32285000509579</t>
        </is>
      </c>
      <c r="BD399" t="inlineStr">
        <is>
          <t>893896625</t>
        </is>
      </c>
    </row>
    <row r="400">
      <c r="A400" t="inlineStr">
        <is>
          <t>No</t>
        </is>
      </c>
      <c r="B400" t="inlineStr">
        <is>
          <t>BX1746 .B7 1990</t>
        </is>
      </c>
      <c r="C400" t="inlineStr">
        <is>
          <t>0                      BX 1746000B  7           1990</t>
        </is>
      </c>
      <c r="D400" t="inlineStr">
        <is>
          <t>The faith community : one, holy, catholic and apostolic / Edward K. Braxton.</t>
        </is>
      </c>
      <c r="F400" t="inlineStr">
        <is>
          <t>No</t>
        </is>
      </c>
      <c r="G400" t="inlineStr">
        <is>
          <t>1</t>
        </is>
      </c>
      <c r="H400" t="inlineStr">
        <is>
          <t>No</t>
        </is>
      </c>
      <c r="I400" t="inlineStr">
        <is>
          <t>No</t>
        </is>
      </c>
      <c r="J400" t="inlineStr">
        <is>
          <t>0</t>
        </is>
      </c>
      <c r="K400" t="inlineStr">
        <is>
          <t>Braxton, Edward K.</t>
        </is>
      </c>
      <c r="L400" t="inlineStr">
        <is>
          <t>Notre Dame, Ind. : Ave Maria Press, c1990.</t>
        </is>
      </c>
      <c r="M400" t="inlineStr">
        <is>
          <t>1990</t>
        </is>
      </c>
      <c r="O400" t="inlineStr">
        <is>
          <t>eng</t>
        </is>
      </c>
      <c r="P400" t="inlineStr">
        <is>
          <t>inu</t>
        </is>
      </c>
      <c r="R400" t="inlineStr">
        <is>
          <t xml:space="preserve">BX </t>
        </is>
      </c>
      <c r="S400" t="n">
        <v>1</v>
      </c>
      <c r="T400" t="n">
        <v>1</v>
      </c>
      <c r="U400" t="inlineStr">
        <is>
          <t>2004-05-05</t>
        </is>
      </c>
      <c r="V400" t="inlineStr">
        <is>
          <t>2004-05-05</t>
        </is>
      </c>
      <c r="W400" t="inlineStr">
        <is>
          <t>2004-05-05</t>
        </is>
      </c>
      <c r="X400" t="inlineStr">
        <is>
          <t>2004-05-05</t>
        </is>
      </c>
      <c r="Y400" t="n">
        <v>95</v>
      </c>
      <c r="Z400" t="n">
        <v>74</v>
      </c>
      <c r="AA400" t="n">
        <v>74</v>
      </c>
      <c r="AB400" t="n">
        <v>1</v>
      </c>
      <c r="AC400" t="n">
        <v>1</v>
      </c>
      <c r="AD400" t="n">
        <v>9</v>
      </c>
      <c r="AE400" t="n">
        <v>9</v>
      </c>
      <c r="AF400" t="n">
        <v>2</v>
      </c>
      <c r="AG400" t="n">
        <v>2</v>
      </c>
      <c r="AH400" t="n">
        <v>3</v>
      </c>
      <c r="AI400" t="n">
        <v>3</v>
      </c>
      <c r="AJ400" t="n">
        <v>6</v>
      </c>
      <c r="AK400" t="n">
        <v>6</v>
      </c>
      <c r="AL400" t="n">
        <v>0</v>
      </c>
      <c r="AM400" t="n">
        <v>0</v>
      </c>
      <c r="AN400" t="n">
        <v>0</v>
      </c>
      <c r="AO400" t="n">
        <v>0</v>
      </c>
      <c r="AP400" t="inlineStr">
        <is>
          <t>No</t>
        </is>
      </c>
      <c r="AQ400" t="inlineStr">
        <is>
          <t>No</t>
        </is>
      </c>
      <c r="AS400">
        <f>HYPERLINK("https://creighton-primo.hosted.exlibrisgroup.com/primo-explore/search?tab=default_tab&amp;search_scope=EVERYTHING&amp;vid=01CRU&amp;lang=en_US&amp;offset=0&amp;query=any,contains,991004295499702656","Catalog Record")</f>
        <v/>
      </c>
      <c r="AT400">
        <f>HYPERLINK("http://www.worldcat.org/oclc/22496191","WorldCat Record")</f>
        <v/>
      </c>
      <c r="AU400" t="inlineStr">
        <is>
          <t>24651443:eng</t>
        </is>
      </c>
      <c r="AV400" t="inlineStr">
        <is>
          <t>22496191</t>
        </is>
      </c>
      <c r="AW400" t="inlineStr">
        <is>
          <t>991004295499702656</t>
        </is>
      </c>
      <c r="AX400" t="inlineStr">
        <is>
          <t>991004295499702656</t>
        </is>
      </c>
      <c r="AY400" t="inlineStr">
        <is>
          <t>2259062320002656</t>
        </is>
      </c>
      <c r="AZ400" t="inlineStr">
        <is>
          <t>BOOK</t>
        </is>
      </c>
      <c r="BB400" t="inlineStr">
        <is>
          <t>9780877934370</t>
        </is>
      </c>
      <c r="BC400" t="inlineStr">
        <is>
          <t>32285004904180</t>
        </is>
      </c>
      <c r="BD400" t="inlineStr">
        <is>
          <t>893535900</t>
        </is>
      </c>
    </row>
    <row r="401">
      <c r="A401" t="inlineStr">
        <is>
          <t>No</t>
        </is>
      </c>
      <c r="B401" t="inlineStr">
        <is>
          <t>BX1746 .B8413 1987</t>
        </is>
      </c>
      <c r="C401" t="inlineStr">
        <is>
          <t>0                      BX 1746000B  8413        1987</t>
        </is>
      </c>
      <c r="D401" t="inlineStr">
        <is>
          <t>Dreaming about the Church : Acts of the Apostles of the 20th century / Walbert Bühlmann ; translated by Peter Heinegg.</t>
        </is>
      </c>
      <c r="F401" t="inlineStr">
        <is>
          <t>No</t>
        </is>
      </c>
      <c r="G401" t="inlineStr">
        <is>
          <t>1</t>
        </is>
      </c>
      <c r="H401" t="inlineStr">
        <is>
          <t>No</t>
        </is>
      </c>
      <c r="I401" t="inlineStr">
        <is>
          <t>No</t>
        </is>
      </c>
      <c r="J401" t="inlineStr">
        <is>
          <t>0</t>
        </is>
      </c>
      <c r="K401" t="inlineStr">
        <is>
          <t>Bühlmann, Walbert.</t>
        </is>
      </c>
      <c r="L401" t="inlineStr">
        <is>
          <t>Kansas City, MO : Sheed &amp; Ward, c1987.</t>
        </is>
      </c>
      <c r="M401" t="inlineStr">
        <is>
          <t>1987</t>
        </is>
      </c>
      <c r="O401" t="inlineStr">
        <is>
          <t>eng</t>
        </is>
      </c>
      <c r="P401" t="inlineStr">
        <is>
          <t>mou</t>
        </is>
      </c>
      <c r="R401" t="inlineStr">
        <is>
          <t xml:space="preserve">BX </t>
        </is>
      </c>
      <c r="S401" t="n">
        <v>1</v>
      </c>
      <c r="T401" t="n">
        <v>1</v>
      </c>
      <c r="U401" t="inlineStr">
        <is>
          <t>2004-04-29</t>
        </is>
      </c>
      <c r="V401" t="inlineStr">
        <is>
          <t>2004-04-29</t>
        </is>
      </c>
      <c r="W401" t="inlineStr">
        <is>
          <t>1991-02-23</t>
        </is>
      </c>
      <c r="X401" t="inlineStr">
        <is>
          <t>1991-02-23</t>
        </is>
      </c>
      <c r="Y401" t="n">
        <v>105</v>
      </c>
      <c r="Z401" t="n">
        <v>91</v>
      </c>
      <c r="AA401" t="n">
        <v>91</v>
      </c>
      <c r="AB401" t="n">
        <v>1</v>
      </c>
      <c r="AC401" t="n">
        <v>1</v>
      </c>
      <c r="AD401" t="n">
        <v>13</v>
      </c>
      <c r="AE401" t="n">
        <v>13</v>
      </c>
      <c r="AF401" t="n">
        <v>4</v>
      </c>
      <c r="AG401" t="n">
        <v>4</v>
      </c>
      <c r="AH401" t="n">
        <v>3</v>
      </c>
      <c r="AI401" t="n">
        <v>3</v>
      </c>
      <c r="AJ401" t="n">
        <v>9</v>
      </c>
      <c r="AK401" t="n">
        <v>9</v>
      </c>
      <c r="AL401" t="n">
        <v>0</v>
      </c>
      <c r="AM401" t="n">
        <v>0</v>
      </c>
      <c r="AN401" t="n">
        <v>0</v>
      </c>
      <c r="AO401" t="n">
        <v>0</v>
      </c>
      <c r="AP401" t="inlineStr">
        <is>
          <t>No</t>
        </is>
      </c>
      <c r="AQ401" t="inlineStr">
        <is>
          <t>No</t>
        </is>
      </c>
      <c r="AS401">
        <f>HYPERLINK("https://creighton-primo.hosted.exlibrisgroup.com/primo-explore/search?tab=default_tab&amp;search_scope=EVERYTHING&amp;vid=01CRU&amp;lang=en_US&amp;offset=0&amp;query=any,contains,991001243159702656","Catalog Record")</f>
        <v/>
      </c>
      <c r="AT401">
        <f>HYPERLINK("http://www.worldcat.org/oclc/17623356","WorldCat Record")</f>
        <v/>
      </c>
      <c r="AU401" t="inlineStr">
        <is>
          <t>1151180219:eng</t>
        </is>
      </c>
      <c r="AV401" t="inlineStr">
        <is>
          <t>17623356</t>
        </is>
      </c>
      <c r="AW401" t="inlineStr">
        <is>
          <t>991001243159702656</t>
        </is>
      </c>
      <c r="AX401" t="inlineStr">
        <is>
          <t>991001243159702656</t>
        </is>
      </c>
      <c r="AY401" t="inlineStr">
        <is>
          <t>2264033850002656</t>
        </is>
      </c>
      <c r="AZ401" t="inlineStr">
        <is>
          <t>BOOK</t>
        </is>
      </c>
      <c r="BB401" t="inlineStr">
        <is>
          <t>9781556120619</t>
        </is>
      </c>
      <c r="BC401" t="inlineStr">
        <is>
          <t>32285000491703</t>
        </is>
      </c>
      <c r="BD401" t="inlineStr">
        <is>
          <t>893327999</t>
        </is>
      </c>
    </row>
    <row r="402">
      <c r="A402" t="inlineStr">
        <is>
          <t>No</t>
        </is>
      </c>
      <c r="B402" t="inlineStr">
        <is>
          <t>BX1746 .B87 1988</t>
        </is>
      </c>
      <c r="C402" t="inlineStr">
        <is>
          <t>0                      BX 1746000B  87          1988</t>
        </is>
      </c>
      <c r="D402" t="inlineStr">
        <is>
          <t>Authority and freedom in the church / Cormac Burke.</t>
        </is>
      </c>
      <c r="F402" t="inlineStr">
        <is>
          <t>No</t>
        </is>
      </c>
      <c r="G402" t="inlineStr">
        <is>
          <t>1</t>
        </is>
      </c>
      <c r="H402" t="inlineStr">
        <is>
          <t>No</t>
        </is>
      </c>
      <c r="I402" t="inlineStr">
        <is>
          <t>No</t>
        </is>
      </c>
      <c r="J402" t="inlineStr">
        <is>
          <t>0</t>
        </is>
      </c>
      <c r="K402" t="inlineStr">
        <is>
          <t>Burke, Cormac, 1927-</t>
        </is>
      </c>
      <c r="L402" t="inlineStr">
        <is>
          <t>San Francisco : Ignatius Press, c1988.</t>
        </is>
      </c>
      <c r="M402" t="inlineStr">
        <is>
          <t>1988</t>
        </is>
      </c>
      <c r="O402" t="inlineStr">
        <is>
          <t>eng</t>
        </is>
      </c>
      <c r="P402" t="inlineStr">
        <is>
          <t>cau</t>
        </is>
      </c>
      <c r="R402" t="inlineStr">
        <is>
          <t xml:space="preserve">BX </t>
        </is>
      </c>
      <c r="S402" t="n">
        <v>5</v>
      </c>
      <c r="T402" t="n">
        <v>5</v>
      </c>
      <c r="U402" t="inlineStr">
        <is>
          <t>2003-07-16</t>
        </is>
      </c>
      <c r="V402" t="inlineStr">
        <is>
          <t>2003-07-16</t>
        </is>
      </c>
      <c r="W402" t="inlineStr">
        <is>
          <t>1991-02-20</t>
        </is>
      </c>
      <c r="X402" t="inlineStr">
        <is>
          <t>1991-02-20</t>
        </is>
      </c>
      <c r="Y402" t="n">
        <v>110</v>
      </c>
      <c r="Z402" t="n">
        <v>90</v>
      </c>
      <c r="AA402" t="n">
        <v>101</v>
      </c>
      <c r="AB402" t="n">
        <v>2</v>
      </c>
      <c r="AC402" t="n">
        <v>2</v>
      </c>
      <c r="AD402" t="n">
        <v>10</v>
      </c>
      <c r="AE402" t="n">
        <v>10</v>
      </c>
      <c r="AF402" t="n">
        <v>1</v>
      </c>
      <c r="AG402" t="n">
        <v>1</v>
      </c>
      <c r="AH402" t="n">
        <v>3</v>
      </c>
      <c r="AI402" t="n">
        <v>3</v>
      </c>
      <c r="AJ402" t="n">
        <v>8</v>
      </c>
      <c r="AK402" t="n">
        <v>8</v>
      </c>
      <c r="AL402" t="n">
        <v>0</v>
      </c>
      <c r="AM402" t="n">
        <v>0</v>
      </c>
      <c r="AN402" t="n">
        <v>0</v>
      </c>
      <c r="AO402" t="n">
        <v>0</v>
      </c>
      <c r="AP402" t="inlineStr">
        <is>
          <t>No</t>
        </is>
      </c>
      <c r="AQ402" t="inlineStr">
        <is>
          <t>No</t>
        </is>
      </c>
      <c r="AS402">
        <f>HYPERLINK("https://creighton-primo.hosted.exlibrisgroup.com/primo-explore/search?tab=default_tab&amp;search_scope=EVERYTHING&amp;vid=01CRU&amp;lang=en_US&amp;offset=0&amp;query=any,contains,991001362819702656","Catalog Record")</f>
        <v/>
      </c>
      <c r="AT402">
        <f>HYPERLINK("http://www.worldcat.org/oclc/18526563","WorldCat Record")</f>
        <v/>
      </c>
      <c r="AU402" t="inlineStr">
        <is>
          <t>1858010788:eng</t>
        </is>
      </c>
      <c r="AV402" t="inlineStr">
        <is>
          <t>18526563</t>
        </is>
      </c>
      <c r="AW402" t="inlineStr">
        <is>
          <t>991001362819702656</t>
        </is>
      </c>
      <c r="AX402" t="inlineStr">
        <is>
          <t>991001362819702656</t>
        </is>
      </c>
      <c r="AY402" t="inlineStr">
        <is>
          <t>2270376350002656</t>
        </is>
      </c>
      <c r="AZ402" t="inlineStr">
        <is>
          <t>BOOK</t>
        </is>
      </c>
      <c r="BB402" t="inlineStr">
        <is>
          <t>9780898702101</t>
        </is>
      </c>
      <c r="BC402" t="inlineStr">
        <is>
          <t>32285000509595</t>
        </is>
      </c>
      <c r="BD402" t="inlineStr">
        <is>
          <t>893891516</t>
        </is>
      </c>
    </row>
    <row r="403">
      <c r="A403" t="inlineStr">
        <is>
          <t>No</t>
        </is>
      </c>
      <c r="B403" t="inlineStr">
        <is>
          <t>BX1746 .C277 1986</t>
        </is>
      </c>
      <c r="C403" t="inlineStr">
        <is>
          <t>0                      BX 1746000C  277         1986</t>
        </is>
      </c>
      <c r="D403" t="inlineStr">
        <is>
          <t>Bonded in Christ's love : an introduction to ecclesiology / Denise Lardner Carmody and John Tully Carmody.</t>
        </is>
      </c>
      <c r="F403" t="inlineStr">
        <is>
          <t>No</t>
        </is>
      </c>
      <c r="G403" t="inlineStr">
        <is>
          <t>1</t>
        </is>
      </c>
      <c r="H403" t="inlineStr">
        <is>
          <t>No</t>
        </is>
      </c>
      <c r="I403" t="inlineStr">
        <is>
          <t>No</t>
        </is>
      </c>
      <c r="J403" t="inlineStr">
        <is>
          <t>0</t>
        </is>
      </c>
      <c r="K403" t="inlineStr">
        <is>
          <t>Carmody, Denise Lardner, 1935-</t>
        </is>
      </c>
      <c r="L403" t="inlineStr">
        <is>
          <t>New York : Paulist Press, c1986.</t>
        </is>
      </c>
      <c r="M403" t="inlineStr">
        <is>
          <t>1986</t>
        </is>
      </c>
      <c r="O403" t="inlineStr">
        <is>
          <t>eng</t>
        </is>
      </c>
      <c r="P403" t="inlineStr">
        <is>
          <t>nyu</t>
        </is>
      </c>
      <c r="R403" t="inlineStr">
        <is>
          <t xml:space="preserve">BX </t>
        </is>
      </c>
      <c r="S403" t="n">
        <v>8</v>
      </c>
      <c r="T403" t="n">
        <v>8</v>
      </c>
      <c r="U403" t="inlineStr">
        <is>
          <t>2005-11-02</t>
        </is>
      </c>
      <c r="V403" t="inlineStr">
        <is>
          <t>2005-11-02</t>
        </is>
      </c>
      <c r="W403" t="inlineStr">
        <is>
          <t>1990-04-09</t>
        </is>
      </c>
      <c r="X403" t="inlineStr">
        <is>
          <t>1990-04-09</t>
        </is>
      </c>
      <c r="Y403" t="n">
        <v>218</v>
      </c>
      <c r="Z403" t="n">
        <v>188</v>
      </c>
      <c r="AA403" t="n">
        <v>193</v>
      </c>
      <c r="AB403" t="n">
        <v>2</v>
      </c>
      <c r="AC403" t="n">
        <v>2</v>
      </c>
      <c r="AD403" t="n">
        <v>26</v>
      </c>
      <c r="AE403" t="n">
        <v>26</v>
      </c>
      <c r="AF403" t="n">
        <v>8</v>
      </c>
      <c r="AG403" t="n">
        <v>8</v>
      </c>
      <c r="AH403" t="n">
        <v>6</v>
      </c>
      <c r="AI403" t="n">
        <v>6</v>
      </c>
      <c r="AJ403" t="n">
        <v>20</v>
      </c>
      <c r="AK403" t="n">
        <v>20</v>
      </c>
      <c r="AL403" t="n">
        <v>1</v>
      </c>
      <c r="AM403" t="n">
        <v>1</v>
      </c>
      <c r="AN403" t="n">
        <v>0</v>
      </c>
      <c r="AO403" t="n">
        <v>0</v>
      </c>
      <c r="AP403" t="inlineStr">
        <is>
          <t>No</t>
        </is>
      </c>
      <c r="AQ403" t="inlineStr">
        <is>
          <t>No</t>
        </is>
      </c>
      <c r="AS403">
        <f>HYPERLINK("https://creighton-primo.hosted.exlibrisgroup.com/primo-explore/search?tab=default_tab&amp;search_scope=EVERYTHING&amp;vid=01CRU&amp;lang=en_US&amp;offset=0&amp;query=any,contains,991000808749702656","Catalog Record")</f>
        <v/>
      </c>
      <c r="AT403">
        <f>HYPERLINK("http://www.worldcat.org/oclc/13328431","WorldCat Record")</f>
        <v/>
      </c>
      <c r="AU403" t="inlineStr">
        <is>
          <t>7388157:eng</t>
        </is>
      </c>
      <c r="AV403" t="inlineStr">
        <is>
          <t>13328431</t>
        </is>
      </c>
      <c r="AW403" t="inlineStr">
        <is>
          <t>991000808749702656</t>
        </is>
      </c>
      <c r="AX403" t="inlineStr">
        <is>
          <t>991000808749702656</t>
        </is>
      </c>
      <c r="AY403" t="inlineStr">
        <is>
          <t>2258496220002656</t>
        </is>
      </c>
      <c r="AZ403" t="inlineStr">
        <is>
          <t>BOOK</t>
        </is>
      </c>
      <c r="BB403" t="inlineStr">
        <is>
          <t>9780809127917</t>
        </is>
      </c>
      <c r="BC403" t="inlineStr">
        <is>
          <t>32285000113869</t>
        </is>
      </c>
      <c r="BD403" t="inlineStr">
        <is>
          <t>893351665</t>
        </is>
      </c>
    </row>
    <row r="404">
      <c r="A404" t="inlineStr">
        <is>
          <t>No</t>
        </is>
      </c>
      <c r="B404" t="inlineStr">
        <is>
          <t>BX1746 .C34 1987</t>
        </is>
      </c>
      <c r="C404" t="inlineStr">
        <is>
          <t>0                      BX 1746000C  34          1987</t>
        </is>
      </c>
      <c r="D404" t="inlineStr">
        <is>
          <t>The emerging parish : the Notre Dame study of Catholic life since Vatican II / Jim Castelli and Joseph Gremillion.</t>
        </is>
      </c>
      <c r="F404" t="inlineStr">
        <is>
          <t>No</t>
        </is>
      </c>
      <c r="G404" t="inlineStr">
        <is>
          <t>1</t>
        </is>
      </c>
      <c r="H404" t="inlineStr">
        <is>
          <t>No</t>
        </is>
      </c>
      <c r="I404" t="inlineStr">
        <is>
          <t>No</t>
        </is>
      </c>
      <c r="J404" t="inlineStr">
        <is>
          <t>0</t>
        </is>
      </c>
      <c r="K404" t="inlineStr">
        <is>
          <t>Castelli, Jim.</t>
        </is>
      </c>
      <c r="L404" t="inlineStr">
        <is>
          <t>San Francisco : Harper &amp; Row, 1987.</t>
        </is>
      </c>
      <c r="M404" t="inlineStr">
        <is>
          <t>1987</t>
        </is>
      </c>
      <c r="N404" t="inlineStr">
        <is>
          <t>1st ed.</t>
        </is>
      </c>
      <c r="O404" t="inlineStr">
        <is>
          <t>eng</t>
        </is>
      </c>
      <c r="P404" t="inlineStr">
        <is>
          <t>cau</t>
        </is>
      </c>
      <c r="R404" t="inlineStr">
        <is>
          <t xml:space="preserve">BX </t>
        </is>
      </c>
      <c r="S404" t="n">
        <v>4</v>
      </c>
      <c r="T404" t="n">
        <v>4</v>
      </c>
      <c r="U404" t="inlineStr">
        <is>
          <t>1999-08-08</t>
        </is>
      </c>
      <c r="V404" t="inlineStr">
        <is>
          <t>1999-08-08</t>
        </is>
      </c>
      <c r="W404" t="inlineStr">
        <is>
          <t>1990-06-26</t>
        </is>
      </c>
      <c r="X404" t="inlineStr">
        <is>
          <t>1990-06-26</t>
        </is>
      </c>
      <c r="Y404" t="n">
        <v>364</v>
      </c>
      <c r="Z404" t="n">
        <v>329</v>
      </c>
      <c r="AA404" t="n">
        <v>337</v>
      </c>
      <c r="AB404" t="n">
        <v>3</v>
      </c>
      <c r="AC404" t="n">
        <v>3</v>
      </c>
      <c r="AD404" t="n">
        <v>31</v>
      </c>
      <c r="AE404" t="n">
        <v>31</v>
      </c>
      <c r="AF404" t="n">
        <v>12</v>
      </c>
      <c r="AG404" t="n">
        <v>12</v>
      </c>
      <c r="AH404" t="n">
        <v>7</v>
      </c>
      <c r="AI404" t="n">
        <v>7</v>
      </c>
      <c r="AJ404" t="n">
        <v>20</v>
      </c>
      <c r="AK404" t="n">
        <v>20</v>
      </c>
      <c r="AL404" t="n">
        <v>1</v>
      </c>
      <c r="AM404" t="n">
        <v>1</v>
      </c>
      <c r="AN404" t="n">
        <v>0</v>
      </c>
      <c r="AO404" t="n">
        <v>0</v>
      </c>
      <c r="AP404" t="inlineStr">
        <is>
          <t>No</t>
        </is>
      </c>
      <c r="AQ404" t="inlineStr">
        <is>
          <t>Yes</t>
        </is>
      </c>
      <c r="AR404">
        <f>HYPERLINK("http://catalog.hathitrust.org/Record/000878552","HathiTrust Record")</f>
        <v/>
      </c>
      <c r="AS404">
        <f>HYPERLINK("https://creighton-primo.hosted.exlibrisgroup.com/primo-explore/search?tab=default_tab&amp;search_scope=EVERYTHING&amp;vid=01CRU&amp;lang=en_US&amp;offset=0&amp;query=any,contains,991001106939702656","Catalog Record")</f>
        <v/>
      </c>
      <c r="AT404">
        <f>HYPERLINK("http://www.worldcat.org/oclc/16405884","WorldCat Record")</f>
        <v/>
      </c>
      <c r="AU404" t="inlineStr">
        <is>
          <t>242689991:eng</t>
        </is>
      </c>
      <c r="AV404" t="inlineStr">
        <is>
          <t>16405884</t>
        </is>
      </c>
      <c r="AW404" t="inlineStr">
        <is>
          <t>991001106939702656</t>
        </is>
      </c>
      <c r="AX404" t="inlineStr">
        <is>
          <t>991001106939702656</t>
        </is>
      </c>
      <c r="AY404" t="inlineStr">
        <is>
          <t>2263642650002656</t>
        </is>
      </c>
      <c r="AZ404" t="inlineStr">
        <is>
          <t>BOOK</t>
        </is>
      </c>
      <c r="BB404" t="inlineStr">
        <is>
          <t>9780060613235</t>
        </is>
      </c>
      <c r="BC404" t="inlineStr">
        <is>
          <t>32285000215102</t>
        </is>
      </c>
      <c r="BD404" t="inlineStr">
        <is>
          <t>893407856</t>
        </is>
      </c>
    </row>
    <row r="405">
      <c r="A405" t="inlineStr">
        <is>
          <t>No</t>
        </is>
      </c>
      <c r="B405" t="inlineStr">
        <is>
          <t>BX1746 .C371 1964</t>
        </is>
      </c>
      <c r="C405" t="inlineStr">
        <is>
          <t>0                      BX 1746000C  371         1964</t>
        </is>
      </c>
      <c r="D405" t="inlineStr">
        <is>
          <t>Ecclesiam suam : first encyclical letter of Pope Paul VI on his church.</t>
        </is>
      </c>
      <c r="F405" t="inlineStr">
        <is>
          <t>No</t>
        </is>
      </c>
      <c r="G405" t="inlineStr">
        <is>
          <t>1</t>
        </is>
      </c>
      <c r="H405" t="inlineStr">
        <is>
          <t>No</t>
        </is>
      </c>
      <c r="I405" t="inlineStr">
        <is>
          <t>No</t>
        </is>
      </c>
      <c r="J405" t="inlineStr">
        <is>
          <t>0</t>
        </is>
      </c>
      <c r="K405" t="inlineStr">
        <is>
          <t>Catholic Church. Pope (1963-1978 : Paul VI).</t>
        </is>
      </c>
      <c r="L405" t="inlineStr">
        <is>
          <t>Huntington (Ind.) : Our Sunday Visitor, 1964.</t>
        </is>
      </c>
      <c r="M405" t="inlineStr">
        <is>
          <t>1964</t>
        </is>
      </c>
      <c r="O405" t="inlineStr">
        <is>
          <t>eng</t>
        </is>
      </c>
      <c r="P405" t="inlineStr">
        <is>
          <t>inu</t>
        </is>
      </c>
      <c r="R405" t="inlineStr">
        <is>
          <t xml:space="preserve">BX </t>
        </is>
      </c>
      <c r="S405" t="n">
        <v>2</v>
      </c>
      <c r="T405" t="n">
        <v>2</v>
      </c>
      <c r="U405" t="inlineStr">
        <is>
          <t>1994-06-20</t>
        </is>
      </c>
      <c r="V405" t="inlineStr">
        <is>
          <t>1994-06-20</t>
        </is>
      </c>
      <c r="W405" t="inlineStr">
        <is>
          <t>1990-07-17</t>
        </is>
      </c>
      <c r="X405" t="inlineStr">
        <is>
          <t>1990-07-17</t>
        </is>
      </c>
      <c r="Y405" t="n">
        <v>32</v>
      </c>
      <c r="Z405" t="n">
        <v>30</v>
      </c>
      <c r="AA405" t="n">
        <v>35</v>
      </c>
      <c r="AB405" t="n">
        <v>1</v>
      </c>
      <c r="AC405" t="n">
        <v>1</v>
      </c>
      <c r="AD405" t="n">
        <v>3</v>
      </c>
      <c r="AE405" t="n">
        <v>4</v>
      </c>
      <c r="AF405" t="n">
        <v>0</v>
      </c>
      <c r="AG405" t="n">
        <v>0</v>
      </c>
      <c r="AH405" t="n">
        <v>2</v>
      </c>
      <c r="AI405" t="n">
        <v>2</v>
      </c>
      <c r="AJ405" t="n">
        <v>2</v>
      </c>
      <c r="AK405" t="n">
        <v>3</v>
      </c>
      <c r="AL405" t="n">
        <v>0</v>
      </c>
      <c r="AM405" t="n">
        <v>0</v>
      </c>
      <c r="AN405" t="n">
        <v>0</v>
      </c>
      <c r="AO405" t="n">
        <v>0</v>
      </c>
      <c r="AP405" t="inlineStr">
        <is>
          <t>No</t>
        </is>
      </c>
      <c r="AQ405" t="inlineStr">
        <is>
          <t>No</t>
        </is>
      </c>
      <c r="AS405">
        <f>HYPERLINK("https://creighton-primo.hosted.exlibrisgroup.com/primo-explore/search?tab=default_tab&amp;search_scope=EVERYTHING&amp;vid=01CRU&amp;lang=en_US&amp;offset=0&amp;query=any,contains,991005112179702656","Catalog Record")</f>
        <v/>
      </c>
      <c r="AT405">
        <f>HYPERLINK("http://www.worldcat.org/oclc/5704957","WorldCat Record")</f>
        <v/>
      </c>
      <c r="AU405" t="inlineStr">
        <is>
          <t>2253318580:eng</t>
        </is>
      </c>
      <c r="AV405" t="inlineStr">
        <is>
          <t>5704957</t>
        </is>
      </c>
      <c r="AW405" t="inlineStr">
        <is>
          <t>991005112179702656</t>
        </is>
      </c>
      <c r="AX405" t="inlineStr">
        <is>
          <t>991005112179702656</t>
        </is>
      </c>
      <c r="AY405" t="inlineStr">
        <is>
          <t>2263117110002656</t>
        </is>
      </c>
      <c r="AZ405" t="inlineStr">
        <is>
          <t>BOOK</t>
        </is>
      </c>
      <c r="BC405" t="inlineStr">
        <is>
          <t>32285000238591</t>
        </is>
      </c>
      <c r="BD405" t="inlineStr">
        <is>
          <t>893248385</t>
        </is>
      </c>
    </row>
    <row r="406">
      <c r="A406" t="inlineStr">
        <is>
          <t>No</t>
        </is>
      </c>
      <c r="B406" t="inlineStr">
        <is>
          <t>BX1746 .D47 1981</t>
        </is>
      </c>
      <c r="C406" t="inlineStr">
        <is>
          <t>0                      BX 1746000D  47          1981</t>
        </is>
      </c>
      <c r="D406" t="inlineStr">
        <is>
          <t>Church authority and intellectual freedom / Christopher Derrick.</t>
        </is>
      </c>
      <c r="F406" t="inlineStr">
        <is>
          <t>No</t>
        </is>
      </c>
      <c r="G406" t="inlineStr">
        <is>
          <t>1</t>
        </is>
      </c>
      <c r="H406" t="inlineStr">
        <is>
          <t>No</t>
        </is>
      </c>
      <c r="I406" t="inlineStr">
        <is>
          <t>No</t>
        </is>
      </c>
      <c r="J406" t="inlineStr">
        <is>
          <t>0</t>
        </is>
      </c>
      <c r="K406" t="inlineStr">
        <is>
          <t>Derrick, Christopher, 1921-</t>
        </is>
      </c>
      <c r="L406" t="inlineStr">
        <is>
          <t>San Francisco : Ignatius Press, c1981.</t>
        </is>
      </c>
      <c r="M406" t="inlineStr">
        <is>
          <t>1981</t>
        </is>
      </c>
      <c r="O406" t="inlineStr">
        <is>
          <t>eng</t>
        </is>
      </c>
      <c r="P406" t="inlineStr">
        <is>
          <t>cau</t>
        </is>
      </c>
      <c r="R406" t="inlineStr">
        <is>
          <t xml:space="preserve">BX </t>
        </is>
      </c>
      <c r="S406" t="n">
        <v>5</v>
      </c>
      <c r="T406" t="n">
        <v>5</v>
      </c>
      <c r="U406" t="inlineStr">
        <is>
          <t>1994-11-09</t>
        </is>
      </c>
      <c r="V406" t="inlineStr">
        <is>
          <t>1994-11-09</t>
        </is>
      </c>
      <c r="W406" t="inlineStr">
        <is>
          <t>1991-05-14</t>
        </is>
      </c>
      <c r="X406" t="inlineStr">
        <is>
          <t>1991-05-14</t>
        </is>
      </c>
      <c r="Y406" t="n">
        <v>166</v>
      </c>
      <c r="Z406" t="n">
        <v>143</v>
      </c>
      <c r="AA406" t="n">
        <v>145</v>
      </c>
      <c r="AB406" t="n">
        <v>2</v>
      </c>
      <c r="AC406" t="n">
        <v>2</v>
      </c>
      <c r="AD406" t="n">
        <v>19</v>
      </c>
      <c r="AE406" t="n">
        <v>19</v>
      </c>
      <c r="AF406" t="n">
        <v>7</v>
      </c>
      <c r="AG406" t="n">
        <v>7</v>
      </c>
      <c r="AH406" t="n">
        <v>4</v>
      </c>
      <c r="AI406" t="n">
        <v>4</v>
      </c>
      <c r="AJ406" t="n">
        <v>15</v>
      </c>
      <c r="AK406" t="n">
        <v>15</v>
      </c>
      <c r="AL406" t="n">
        <v>0</v>
      </c>
      <c r="AM406" t="n">
        <v>0</v>
      </c>
      <c r="AN406" t="n">
        <v>0</v>
      </c>
      <c r="AO406" t="n">
        <v>0</v>
      </c>
      <c r="AP406" t="inlineStr">
        <is>
          <t>No</t>
        </is>
      </c>
      <c r="AQ406" t="inlineStr">
        <is>
          <t>Yes</t>
        </is>
      </c>
      <c r="AR406">
        <f>HYPERLINK("http://catalog.hathitrust.org/Record/000222683","HathiTrust Record")</f>
        <v/>
      </c>
      <c r="AS406">
        <f>HYPERLINK("https://creighton-primo.hosted.exlibrisgroup.com/primo-explore/search?tab=default_tab&amp;search_scope=EVERYTHING&amp;vid=01CRU&amp;lang=en_US&amp;offset=0&amp;query=any,contains,991005184419702656","Catalog Record")</f>
        <v/>
      </c>
      <c r="AT406">
        <f>HYPERLINK("http://www.worldcat.org/oclc/7959821","WorldCat Record")</f>
        <v/>
      </c>
      <c r="AU406" t="inlineStr">
        <is>
          <t>554624:eng</t>
        </is>
      </c>
      <c r="AV406" t="inlineStr">
        <is>
          <t>7959821</t>
        </is>
      </c>
      <c r="AW406" t="inlineStr">
        <is>
          <t>991005184419702656</t>
        </is>
      </c>
      <c r="AX406" t="inlineStr">
        <is>
          <t>991005184419702656</t>
        </is>
      </c>
      <c r="AY406" t="inlineStr">
        <is>
          <t>2270525230002656</t>
        </is>
      </c>
      <c r="AZ406" t="inlineStr">
        <is>
          <t>BOOK</t>
        </is>
      </c>
      <c r="BB406" t="inlineStr">
        <is>
          <t>9780898700114</t>
        </is>
      </c>
      <c r="BC406" t="inlineStr">
        <is>
          <t>32285000609841</t>
        </is>
      </c>
      <c r="BD406" t="inlineStr">
        <is>
          <t>893801877</t>
        </is>
      </c>
    </row>
    <row r="407">
      <c r="A407" t="inlineStr">
        <is>
          <t>No</t>
        </is>
      </c>
      <c r="B407" t="inlineStr">
        <is>
          <t>BX1746 .D64 1989</t>
        </is>
      </c>
      <c r="C407" t="inlineStr">
        <is>
          <t>0                      BX 1746000D  64          1989</t>
        </is>
      </c>
      <c r="D407" t="inlineStr">
        <is>
          <t>The church in the midst of creation / Vincent J. Donovan.</t>
        </is>
      </c>
      <c r="F407" t="inlineStr">
        <is>
          <t>No</t>
        </is>
      </c>
      <c r="G407" t="inlineStr">
        <is>
          <t>1</t>
        </is>
      </c>
      <c r="H407" t="inlineStr">
        <is>
          <t>No</t>
        </is>
      </c>
      <c r="I407" t="inlineStr">
        <is>
          <t>No</t>
        </is>
      </c>
      <c r="J407" t="inlineStr">
        <is>
          <t>0</t>
        </is>
      </c>
      <c r="K407" t="inlineStr">
        <is>
          <t>Donovan, Vincent J., 1926-</t>
        </is>
      </c>
      <c r="L407" t="inlineStr">
        <is>
          <t>Maryknoll, N.Y. : Orbis Books, c1989.</t>
        </is>
      </c>
      <c r="M407" t="inlineStr">
        <is>
          <t>1989</t>
        </is>
      </c>
      <c r="O407" t="inlineStr">
        <is>
          <t>eng</t>
        </is>
      </c>
      <c r="P407" t="inlineStr">
        <is>
          <t>nyu</t>
        </is>
      </c>
      <c r="R407" t="inlineStr">
        <is>
          <t xml:space="preserve">BX </t>
        </is>
      </c>
      <c r="S407" t="n">
        <v>9</v>
      </c>
      <c r="T407" t="n">
        <v>9</v>
      </c>
      <c r="U407" t="inlineStr">
        <is>
          <t>1995-12-11</t>
        </is>
      </c>
      <c r="V407" t="inlineStr">
        <is>
          <t>1995-12-11</t>
        </is>
      </c>
      <c r="W407" t="inlineStr">
        <is>
          <t>1989-10-23</t>
        </is>
      </c>
      <c r="X407" t="inlineStr">
        <is>
          <t>1989-10-23</t>
        </is>
      </c>
      <c r="Y407" t="n">
        <v>250</v>
      </c>
      <c r="Z407" t="n">
        <v>192</v>
      </c>
      <c r="AA407" t="n">
        <v>198</v>
      </c>
      <c r="AB407" t="n">
        <v>1</v>
      </c>
      <c r="AC407" t="n">
        <v>1</v>
      </c>
      <c r="AD407" t="n">
        <v>17</v>
      </c>
      <c r="AE407" t="n">
        <v>17</v>
      </c>
      <c r="AF407" t="n">
        <v>5</v>
      </c>
      <c r="AG407" t="n">
        <v>5</v>
      </c>
      <c r="AH407" t="n">
        <v>5</v>
      </c>
      <c r="AI407" t="n">
        <v>5</v>
      </c>
      <c r="AJ407" t="n">
        <v>13</v>
      </c>
      <c r="AK407" t="n">
        <v>13</v>
      </c>
      <c r="AL407" t="n">
        <v>0</v>
      </c>
      <c r="AM407" t="n">
        <v>0</v>
      </c>
      <c r="AN407" t="n">
        <v>0</v>
      </c>
      <c r="AO407" t="n">
        <v>0</v>
      </c>
      <c r="AP407" t="inlineStr">
        <is>
          <t>No</t>
        </is>
      </c>
      <c r="AQ407" t="inlineStr">
        <is>
          <t>No</t>
        </is>
      </c>
      <c r="AS407">
        <f>HYPERLINK("https://creighton-primo.hosted.exlibrisgroup.com/primo-explore/search?tab=default_tab&amp;search_scope=EVERYTHING&amp;vid=01CRU&amp;lang=en_US&amp;offset=0&amp;query=any,contains,991001423139702656","Catalog Record")</f>
        <v/>
      </c>
      <c r="AT407">
        <f>HYPERLINK("http://www.worldcat.org/oclc/18985903","WorldCat Record")</f>
        <v/>
      </c>
      <c r="AU407" t="inlineStr">
        <is>
          <t>11997659:eng</t>
        </is>
      </c>
      <c r="AV407" t="inlineStr">
        <is>
          <t>18985903</t>
        </is>
      </c>
      <c r="AW407" t="inlineStr">
        <is>
          <t>991001423139702656</t>
        </is>
      </c>
      <c r="AX407" t="inlineStr">
        <is>
          <t>991001423139702656</t>
        </is>
      </c>
      <c r="AY407" t="inlineStr">
        <is>
          <t>2266465540002656</t>
        </is>
      </c>
      <c r="AZ407" t="inlineStr">
        <is>
          <t>BOOK</t>
        </is>
      </c>
      <c r="BB407" t="inlineStr">
        <is>
          <t>9780883443668</t>
        </is>
      </c>
      <c r="BC407" t="inlineStr">
        <is>
          <t>32285000001718</t>
        </is>
      </c>
      <c r="BD407" t="inlineStr">
        <is>
          <t>893596464</t>
        </is>
      </c>
    </row>
    <row r="408">
      <c r="A408" t="inlineStr">
        <is>
          <t>No</t>
        </is>
      </c>
      <c r="B408" t="inlineStr">
        <is>
          <t>BX1746 .D8 1967</t>
        </is>
      </c>
      <c r="C408" t="inlineStr">
        <is>
          <t>0                      BX 1746000D  8           1967</t>
        </is>
      </c>
      <c r="D408" t="inlineStr">
        <is>
          <t>The dimensions of the church : a postconciliar reflection / by Avery Dulles.</t>
        </is>
      </c>
      <c r="F408" t="inlineStr">
        <is>
          <t>No</t>
        </is>
      </c>
      <c r="G408" t="inlineStr">
        <is>
          <t>1</t>
        </is>
      </c>
      <c r="H408" t="inlineStr">
        <is>
          <t>No</t>
        </is>
      </c>
      <c r="I408" t="inlineStr">
        <is>
          <t>No</t>
        </is>
      </c>
      <c r="J408" t="inlineStr">
        <is>
          <t>0</t>
        </is>
      </c>
      <c r="K408" t="inlineStr">
        <is>
          <t>Dulles, Avery, 1918-2008.</t>
        </is>
      </c>
      <c r="L408" t="inlineStr">
        <is>
          <t>Westminster, Md. : Newman Press, 1967.</t>
        </is>
      </c>
      <c r="M408" t="inlineStr">
        <is>
          <t>1967</t>
        </is>
      </c>
      <c r="O408" t="inlineStr">
        <is>
          <t>eng</t>
        </is>
      </c>
      <c r="P408" t="inlineStr">
        <is>
          <t>mdu</t>
        </is>
      </c>
      <c r="Q408" t="inlineStr">
        <is>
          <t>Woodstock papers : occasional essays for theology ; no. 8</t>
        </is>
      </c>
      <c r="R408" t="inlineStr">
        <is>
          <t xml:space="preserve">BX </t>
        </is>
      </c>
      <c r="S408" t="n">
        <v>5</v>
      </c>
      <c r="T408" t="n">
        <v>5</v>
      </c>
      <c r="U408" t="inlineStr">
        <is>
          <t>1994-08-23</t>
        </is>
      </c>
      <c r="V408" t="inlineStr">
        <is>
          <t>1994-08-23</t>
        </is>
      </c>
      <c r="W408" t="inlineStr">
        <is>
          <t>1994-09-27</t>
        </is>
      </c>
      <c r="X408" t="inlineStr">
        <is>
          <t>1994-09-27</t>
        </is>
      </c>
      <c r="Y408" t="n">
        <v>371</v>
      </c>
      <c r="Z408" t="n">
        <v>316</v>
      </c>
      <c r="AA408" t="n">
        <v>322</v>
      </c>
      <c r="AB408" t="n">
        <v>4</v>
      </c>
      <c r="AC408" t="n">
        <v>4</v>
      </c>
      <c r="AD408" t="n">
        <v>36</v>
      </c>
      <c r="AE408" t="n">
        <v>36</v>
      </c>
      <c r="AF408" t="n">
        <v>14</v>
      </c>
      <c r="AG408" t="n">
        <v>14</v>
      </c>
      <c r="AH408" t="n">
        <v>9</v>
      </c>
      <c r="AI408" t="n">
        <v>9</v>
      </c>
      <c r="AJ408" t="n">
        <v>25</v>
      </c>
      <c r="AK408" t="n">
        <v>25</v>
      </c>
      <c r="AL408" t="n">
        <v>1</v>
      </c>
      <c r="AM408" t="n">
        <v>1</v>
      </c>
      <c r="AN408" t="n">
        <v>0</v>
      </c>
      <c r="AO408" t="n">
        <v>0</v>
      </c>
      <c r="AP408" t="inlineStr">
        <is>
          <t>No</t>
        </is>
      </c>
      <c r="AQ408" t="inlineStr">
        <is>
          <t>No</t>
        </is>
      </c>
      <c r="AS408">
        <f>HYPERLINK("https://creighton-primo.hosted.exlibrisgroup.com/primo-explore/search?tab=default_tab&amp;search_scope=EVERYTHING&amp;vid=01CRU&amp;lang=en_US&amp;offset=0&amp;query=any,contains,991003107029702656","Catalog Record")</f>
        <v/>
      </c>
      <c r="AT408">
        <f>HYPERLINK("http://www.worldcat.org/oclc/654706","WorldCat Record")</f>
        <v/>
      </c>
      <c r="AU408" t="inlineStr">
        <is>
          <t>466008:eng</t>
        </is>
      </c>
      <c r="AV408" t="inlineStr">
        <is>
          <t>654706</t>
        </is>
      </c>
      <c r="AW408" t="inlineStr">
        <is>
          <t>991003107029702656</t>
        </is>
      </c>
      <c r="AX408" t="inlineStr">
        <is>
          <t>991003107029702656</t>
        </is>
      </c>
      <c r="AY408" t="inlineStr">
        <is>
          <t>2262269140002656</t>
        </is>
      </c>
      <c r="AZ408" t="inlineStr">
        <is>
          <t>BOOK</t>
        </is>
      </c>
      <c r="BC408" t="inlineStr">
        <is>
          <t>32285001778074</t>
        </is>
      </c>
      <c r="BD408" t="inlineStr">
        <is>
          <t>893711066</t>
        </is>
      </c>
    </row>
    <row r="409">
      <c r="A409" t="inlineStr">
        <is>
          <t>No</t>
        </is>
      </c>
      <c r="B409" t="inlineStr">
        <is>
          <t>BX1746 .E14 1995</t>
        </is>
      </c>
      <c r="C409" t="inlineStr">
        <is>
          <t>0                      BX 1746000E  14          1995</t>
        </is>
      </c>
      <c r="D409" t="inlineStr">
        <is>
          <t>Restoration and renewal : the Church in the third millennium / Joseph F. Eagan.</t>
        </is>
      </c>
      <c r="F409" t="inlineStr">
        <is>
          <t>No</t>
        </is>
      </c>
      <c r="G409" t="inlineStr">
        <is>
          <t>1</t>
        </is>
      </c>
      <c r="H409" t="inlineStr">
        <is>
          <t>No</t>
        </is>
      </c>
      <c r="I409" t="inlineStr">
        <is>
          <t>No</t>
        </is>
      </c>
      <c r="J409" t="inlineStr">
        <is>
          <t>0</t>
        </is>
      </c>
      <c r="K409" t="inlineStr">
        <is>
          <t>Eagan, Joseph F., 1922-</t>
        </is>
      </c>
      <c r="L409" t="inlineStr">
        <is>
          <t>Kansas City : Sheed &amp; Ward, c1995.</t>
        </is>
      </c>
      <c r="M409" t="inlineStr">
        <is>
          <t>1995</t>
        </is>
      </c>
      <c r="O409" t="inlineStr">
        <is>
          <t>eng</t>
        </is>
      </c>
      <c r="P409" t="inlineStr">
        <is>
          <t>mou</t>
        </is>
      </c>
      <c r="R409" t="inlineStr">
        <is>
          <t xml:space="preserve">BX </t>
        </is>
      </c>
      <c r="S409" t="n">
        <v>4</v>
      </c>
      <c r="T409" t="n">
        <v>4</v>
      </c>
      <c r="U409" t="inlineStr">
        <is>
          <t>2004-04-27</t>
        </is>
      </c>
      <c r="V409" t="inlineStr">
        <is>
          <t>2004-04-27</t>
        </is>
      </c>
      <c r="W409" t="inlineStr">
        <is>
          <t>1995-12-27</t>
        </is>
      </c>
      <c r="X409" t="inlineStr">
        <is>
          <t>1995-12-27</t>
        </is>
      </c>
      <c r="Y409" t="n">
        <v>157</v>
      </c>
      <c r="Z409" t="n">
        <v>133</v>
      </c>
      <c r="AA409" t="n">
        <v>154</v>
      </c>
      <c r="AB409" t="n">
        <v>1</v>
      </c>
      <c r="AC409" t="n">
        <v>1</v>
      </c>
      <c r="AD409" t="n">
        <v>24</v>
      </c>
      <c r="AE409" t="n">
        <v>25</v>
      </c>
      <c r="AF409" t="n">
        <v>7</v>
      </c>
      <c r="AG409" t="n">
        <v>8</v>
      </c>
      <c r="AH409" t="n">
        <v>4</v>
      </c>
      <c r="AI409" t="n">
        <v>5</v>
      </c>
      <c r="AJ409" t="n">
        <v>21</v>
      </c>
      <c r="AK409" t="n">
        <v>21</v>
      </c>
      <c r="AL409" t="n">
        <v>0</v>
      </c>
      <c r="AM409" t="n">
        <v>0</v>
      </c>
      <c r="AN409" t="n">
        <v>0</v>
      </c>
      <c r="AO409" t="n">
        <v>0</v>
      </c>
      <c r="AP409" t="inlineStr">
        <is>
          <t>No</t>
        </is>
      </c>
      <c r="AQ409" t="inlineStr">
        <is>
          <t>No</t>
        </is>
      </c>
      <c r="AS409">
        <f>HYPERLINK("https://creighton-primo.hosted.exlibrisgroup.com/primo-explore/search?tab=default_tab&amp;search_scope=EVERYTHING&amp;vid=01CRU&amp;lang=en_US&amp;offset=0&amp;query=any,contains,991002482979702656","Catalog Record")</f>
        <v/>
      </c>
      <c r="AT409">
        <f>HYPERLINK("http://www.worldcat.org/oclc/32312993","WorldCat Record")</f>
        <v/>
      </c>
      <c r="AU409" t="inlineStr">
        <is>
          <t>1008964391:eng</t>
        </is>
      </c>
      <c r="AV409" t="inlineStr">
        <is>
          <t>32312993</t>
        </is>
      </c>
      <c r="AW409" t="inlineStr">
        <is>
          <t>991002482979702656</t>
        </is>
      </c>
      <c r="AX409" t="inlineStr">
        <is>
          <t>991002482979702656</t>
        </is>
      </c>
      <c r="AY409" t="inlineStr">
        <is>
          <t>2268719540002656</t>
        </is>
      </c>
      <c r="AZ409" t="inlineStr">
        <is>
          <t>BOOK</t>
        </is>
      </c>
      <c r="BB409" t="inlineStr">
        <is>
          <t>9781556127632</t>
        </is>
      </c>
      <c r="BC409" t="inlineStr">
        <is>
          <t>32285002112505</t>
        </is>
      </c>
      <c r="BD409" t="inlineStr">
        <is>
          <t>893504435</t>
        </is>
      </c>
    </row>
    <row r="410">
      <c r="A410" t="inlineStr">
        <is>
          <t>No</t>
        </is>
      </c>
      <c r="B410" t="inlineStr">
        <is>
          <t>BX1746 .G33 1992</t>
        </is>
      </c>
      <c r="C410" t="inlineStr">
        <is>
          <t>0                      BX 1746000G  33          1992</t>
        </is>
      </c>
      <c r="D410" t="inlineStr">
        <is>
          <t>Witnesses to the faith : community, infallibility, and the ordinary magisterium of bishops / Richard R. Gaillardetz.</t>
        </is>
      </c>
      <c r="F410" t="inlineStr">
        <is>
          <t>No</t>
        </is>
      </c>
      <c r="G410" t="inlineStr">
        <is>
          <t>1</t>
        </is>
      </c>
      <c r="H410" t="inlineStr">
        <is>
          <t>No</t>
        </is>
      </c>
      <c r="I410" t="inlineStr">
        <is>
          <t>No</t>
        </is>
      </c>
      <c r="J410" t="inlineStr">
        <is>
          <t>0</t>
        </is>
      </c>
      <c r="K410" t="inlineStr">
        <is>
          <t>Gaillardetz, Richard R., 1958-</t>
        </is>
      </c>
      <c r="L410" t="inlineStr">
        <is>
          <t>New York : Paulist Press, c1992.</t>
        </is>
      </c>
      <c r="M410" t="inlineStr">
        <is>
          <t>1992</t>
        </is>
      </c>
      <c r="O410" t="inlineStr">
        <is>
          <t>eng</t>
        </is>
      </c>
      <c r="P410" t="inlineStr">
        <is>
          <t>nyu</t>
        </is>
      </c>
      <c r="R410" t="inlineStr">
        <is>
          <t xml:space="preserve">BX </t>
        </is>
      </c>
      <c r="S410" t="n">
        <v>3</v>
      </c>
      <c r="T410" t="n">
        <v>3</v>
      </c>
      <c r="U410" t="inlineStr">
        <is>
          <t>2005-08-18</t>
        </is>
      </c>
      <c r="V410" t="inlineStr">
        <is>
          <t>2005-08-18</t>
        </is>
      </c>
      <c r="W410" t="inlineStr">
        <is>
          <t>1994-04-21</t>
        </is>
      </c>
      <c r="X410" t="inlineStr">
        <is>
          <t>1994-04-21</t>
        </is>
      </c>
      <c r="Y410" t="n">
        <v>163</v>
      </c>
      <c r="Z410" t="n">
        <v>133</v>
      </c>
      <c r="AA410" t="n">
        <v>133</v>
      </c>
      <c r="AB410" t="n">
        <v>2</v>
      </c>
      <c r="AC410" t="n">
        <v>2</v>
      </c>
      <c r="AD410" t="n">
        <v>17</v>
      </c>
      <c r="AE410" t="n">
        <v>17</v>
      </c>
      <c r="AF410" t="n">
        <v>3</v>
      </c>
      <c r="AG410" t="n">
        <v>3</v>
      </c>
      <c r="AH410" t="n">
        <v>5</v>
      </c>
      <c r="AI410" t="n">
        <v>5</v>
      </c>
      <c r="AJ410" t="n">
        <v>13</v>
      </c>
      <c r="AK410" t="n">
        <v>13</v>
      </c>
      <c r="AL410" t="n">
        <v>1</v>
      </c>
      <c r="AM410" t="n">
        <v>1</v>
      </c>
      <c r="AN410" t="n">
        <v>0</v>
      </c>
      <c r="AO410" t="n">
        <v>0</v>
      </c>
      <c r="AP410" t="inlineStr">
        <is>
          <t>No</t>
        </is>
      </c>
      <c r="AQ410" t="inlineStr">
        <is>
          <t>No</t>
        </is>
      </c>
      <c r="AS410">
        <f>HYPERLINK("https://creighton-primo.hosted.exlibrisgroup.com/primo-explore/search?tab=default_tab&amp;search_scope=EVERYTHING&amp;vid=01CRU&amp;lang=en_US&amp;offset=0&amp;query=any,contains,991002058499702656","Catalog Record")</f>
        <v/>
      </c>
      <c r="AT410">
        <f>HYPERLINK("http://www.worldcat.org/oclc/26350868","WorldCat Record")</f>
        <v/>
      </c>
      <c r="AU410" t="inlineStr">
        <is>
          <t>131648613:eng</t>
        </is>
      </c>
      <c r="AV410" t="inlineStr">
        <is>
          <t>26350868</t>
        </is>
      </c>
      <c r="AW410" t="inlineStr">
        <is>
          <t>991002058499702656</t>
        </is>
      </c>
      <c r="AX410" t="inlineStr">
        <is>
          <t>991002058499702656</t>
        </is>
      </c>
      <c r="AY410" t="inlineStr">
        <is>
          <t>2264999830002656</t>
        </is>
      </c>
      <c r="AZ410" t="inlineStr">
        <is>
          <t>BOOK</t>
        </is>
      </c>
      <c r="BB410" t="inlineStr">
        <is>
          <t>9780809133505</t>
        </is>
      </c>
      <c r="BC410" t="inlineStr">
        <is>
          <t>32285001876852</t>
        </is>
      </c>
      <c r="BD410" t="inlineStr">
        <is>
          <t>893439723</t>
        </is>
      </c>
    </row>
    <row r="411">
      <c r="A411" t="inlineStr">
        <is>
          <t>No</t>
        </is>
      </c>
      <c r="B411" t="inlineStr">
        <is>
          <t>BX1746 .G48 2000</t>
        </is>
      </c>
      <c r="C411" t="inlineStr">
        <is>
          <t>0                      BX 1746000G  48          2000</t>
        </is>
      </c>
      <c r="D411" t="inlineStr">
        <is>
          <t>The gift of the church : a textbook ecclesiology in honor of Patrick Granfield, O.S.B. / Peter C. Phan, editor.</t>
        </is>
      </c>
      <c r="F411" t="inlineStr">
        <is>
          <t>No</t>
        </is>
      </c>
      <c r="G411" t="inlineStr">
        <is>
          <t>1</t>
        </is>
      </c>
      <c r="H411" t="inlineStr">
        <is>
          <t>No</t>
        </is>
      </c>
      <c r="I411" t="inlineStr">
        <is>
          <t>No</t>
        </is>
      </c>
      <c r="J411" t="inlineStr">
        <is>
          <t>0</t>
        </is>
      </c>
      <c r="L411" t="inlineStr">
        <is>
          <t>Collegeville, Minn. : Liturgical Press, c2000.</t>
        </is>
      </c>
      <c r="M411" t="inlineStr">
        <is>
          <t>2000</t>
        </is>
      </c>
      <c r="O411" t="inlineStr">
        <is>
          <t>eng</t>
        </is>
      </c>
      <c r="P411" t="inlineStr">
        <is>
          <t>mnu</t>
        </is>
      </c>
      <c r="R411" t="inlineStr">
        <is>
          <t xml:space="preserve">BX </t>
        </is>
      </c>
      <c r="S411" t="n">
        <v>6</v>
      </c>
      <c r="T411" t="n">
        <v>6</v>
      </c>
      <c r="U411" t="inlineStr">
        <is>
          <t>2008-11-25</t>
        </is>
      </c>
      <c r="V411" t="inlineStr">
        <is>
          <t>2008-11-25</t>
        </is>
      </c>
      <c r="W411" t="inlineStr">
        <is>
          <t>2001-09-04</t>
        </is>
      </c>
      <c r="X411" t="inlineStr">
        <is>
          <t>2001-09-04</t>
        </is>
      </c>
      <c r="Y411" t="n">
        <v>231</v>
      </c>
      <c r="Z411" t="n">
        <v>179</v>
      </c>
      <c r="AA411" t="n">
        <v>220</v>
      </c>
      <c r="AB411" t="n">
        <v>2</v>
      </c>
      <c r="AC411" t="n">
        <v>3</v>
      </c>
      <c r="AD411" t="n">
        <v>23</v>
      </c>
      <c r="AE411" t="n">
        <v>25</v>
      </c>
      <c r="AF411" t="n">
        <v>9</v>
      </c>
      <c r="AG411" t="n">
        <v>10</v>
      </c>
      <c r="AH411" t="n">
        <v>5</v>
      </c>
      <c r="AI411" t="n">
        <v>6</v>
      </c>
      <c r="AJ411" t="n">
        <v>16</v>
      </c>
      <c r="AK411" t="n">
        <v>16</v>
      </c>
      <c r="AL411" t="n">
        <v>1</v>
      </c>
      <c r="AM411" t="n">
        <v>2</v>
      </c>
      <c r="AN411" t="n">
        <v>0</v>
      </c>
      <c r="AO411" t="n">
        <v>0</v>
      </c>
      <c r="AP411" t="inlineStr">
        <is>
          <t>No</t>
        </is>
      </c>
      <c r="AQ411" t="inlineStr">
        <is>
          <t>No</t>
        </is>
      </c>
      <c r="AS411">
        <f>HYPERLINK("https://creighton-primo.hosted.exlibrisgroup.com/primo-explore/search?tab=default_tab&amp;search_scope=EVERYTHING&amp;vid=01CRU&amp;lang=en_US&amp;offset=0&amp;query=any,contains,991003577479702656","Catalog Record")</f>
        <v/>
      </c>
      <c r="AT411">
        <f>HYPERLINK("http://www.worldcat.org/oclc/43403439","WorldCat Record")</f>
        <v/>
      </c>
      <c r="AU411" t="inlineStr">
        <is>
          <t>438766781:eng</t>
        </is>
      </c>
      <c r="AV411" t="inlineStr">
        <is>
          <t>43403439</t>
        </is>
      </c>
      <c r="AW411" t="inlineStr">
        <is>
          <t>991003577479702656</t>
        </is>
      </c>
      <c r="AX411" t="inlineStr">
        <is>
          <t>991003577479702656</t>
        </is>
      </c>
      <c r="AY411" t="inlineStr">
        <is>
          <t>2256954020002656</t>
        </is>
      </c>
      <c r="AZ411" t="inlineStr">
        <is>
          <t>BOOK</t>
        </is>
      </c>
      <c r="BB411" t="inlineStr">
        <is>
          <t>9780814659311</t>
        </is>
      </c>
      <c r="BC411" t="inlineStr">
        <is>
          <t>32285004384334</t>
        </is>
      </c>
      <c r="BD411" t="inlineStr">
        <is>
          <t>893781146</t>
        </is>
      </c>
    </row>
    <row r="412">
      <c r="A412" t="inlineStr">
        <is>
          <t>No</t>
        </is>
      </c>
      <c r="B412" t="inlineStr">
        <is>
          <t>BX1746 .H33 1965</t>
        </is>
      </c>
      <c r="C412" t="inlineStr">
        <is>
          <t>0                      BX 1746000H  33          1965</t>
        </is>
      </c>
      <c r="D412" t="inlineStr">
        <is>
          <t>The church is a communion / Jerome Hamer. [English translation by Ronald Matthews]</t>
        </is>
      </c>
      <c r="F412" t="inlineStr">
        <is>
          <t>No</t>
        </is>
      </c>
      <c r="G412" t="inlineStr">
        <is>
          <t>1</t>
        </is>
      </c>
      <c r="H412" t="inlineStr">
        <is>
          <t>No</t>
        </is>
      </c>
      <c r="I412" t="inlineStr">
        <is>
          <t>No</t>
        </is>
      </c>
      <c r="J412" t="inlineStr">
        <is>
          <t>0</t>
        </is>
      </c>
      <c r="K412" t="inlineStr">
        <is>
          <t>Hamer, Jérôme.</t>
        </is>
      </c>
      <c r="L412" t="inlineStr">
        <is>
          <t>New York, Sheed and Ward [1965, c1964]</t>
        </is>
      </c>
      <c r="M412" t="inlineStr">
        <is>
          <t>1965</t>
        </is>
      </c>
      <c r="O412" t="inlineStr">
        <is>
          <t>eng</t>
        </is>
      </c>
      <c r="P412" t="inlineStr">
        <is>
          <t>nyu</t>
        </is>
      </c>
      <c r="R412" t="inlineStr">
        <is>
          <t xml:space="preserve">BX </t>
        </is>
      </c>
      <c r="S412" t="n">
        <v>4</v>
      </c>
      <c r="T412" t="n">
        <v>4</v>
      </c>
      <c r="U412" t="inlineStr">
        <is>
          <t>2001-05-29</t>
        </is>
      </c>
      <c r="V412" t="inlineStr">
        <is>
          <t>2001-05-29</t>
        </is>
      </c>
      <c r="W412" t="inlineStr">
        <is>
          <t>1991-02-20</t>
        </is>
      </c>
      <c r="X412" t="inlineStr">
        <is>
          <t>1991-02-20</t>
        </is>
      </c>
      <c r="Y412" t="n">
        <v>132</v>
      </c>
      <c r="Z412" t="n">
        <v>126</v>
      </c>
      <c r="AA412" t="n">
        <v>214</v>
      </c>
      <c r="AB412" t="n">
        <v>2</v>
      </c>
      <c r="AC412" t="n">
        <v>3</v>
      </c>
      <c r="AD412" t="n">
        <v>21</v>
      </c>
      <c r="AE412" t="n">
        <v>31</v>
      </c>
      <c r="AF412" t="n">
        <v>6</v>
      </c>
      <c r="AG412" t="n">
        <v>8</v>
      </c>
      <c r="AH412" t="n">
        <v>8</v>
      </c>
      <c r="AI412" t="n">
        <v>9</v>
      </c>
      <c r="AJ412" t="n">
        <v>17</v>
      </c>
      <c r="AK412" t="n">
        <v>24</v>
      </c>
      <c r="AL412" t="n">
        <v>0</v>
      </c>
      <c r="AM412" t="n">
        <v>1</v>
      </c>
      <c r="AN412" t="n">
        <v>0</v>
      </c>
      <c r="AO412" t="n">
        <v>0</v>
      </c>
      <c r="AP412" t="inlineStr">
        <is>
          <t>No</t>
        </is>
      </c>
      <c r="AQ412" t="inlineStr">
        <is>
          <t>No</t>
        </is>
      </c>
      <c r="AS412">
        <f>HYPERLINK("https://creighton-primo.hosted.exlibrisgroup.com/primo-explore/search?tab=default_tab&amp;search_scope=EVERYTHING&amp;vid=01CRU&amp;lang=en_US&amp;offset=0&amp;query=any,contains,991004290599702656","Catalog Record")</f>
        <v/>
      </c>
      <c r="AT412">
        <f>HYPERLINK("http://www.worldcat.org/oclc/2943743","WorldCat Record")</f>
        <v/>
      </c>
      <c r="AU412" t="inlineStr">
        <is>
          <t>355179408:eng</t>
        </is>
      </c>
      <c r="AV412" t="inlineStr">
        <is>
          <t>2943743</t>
        </is>
      </c>
      <c r="AW412" t="inlineStr">
        <is>
          <t>991004290599702656</t>
        </is>
      </c>
      <c r="AX412" t="inlineStr">
        <is>
          <t>991004290599702656</t>
        </is>
      </c>
      <c r="AY412" t="inlineStr">
        <is>
          <t>2265160840002656</t>
        </is>
      </c>
      <c r="AZ412" t="inlineStr">
        <is>
          <t>BOOK</t>
        </is>
      </c>
      <c r="BC412" t="inlineStr">
        <is>
          <t>32285000509686</t>
        </is>
      </c>
      <c r="BD412" t="inlineStr">
        <is>
          <t>893700059</t>
        </is>
      </c>
    </row>
    <row r="413">
      <c r="A413" t="inlineStr">
        <is>
          <t>No</t>
        </is>
      </c>
      <c r="B413" t="inlineStr">
        <is>
          <t>BX1746 .I96 1988</t>
        </is>
      </c>
      <c r="C413" t="inlineStr">
        <is>
          <t>0                      BX 1746000I  96          1988</t>
        </is>
      </c>
      <c r="D413" t="inlineStr">
        <is>
          <t>Conversion and community : a catechumenal model for total parish formation / Thomas P. Ivory.</t>
        </is>
      </c>
      <c r="F413" t="inlineStr">
        <is>
          <t>No</t>
        </is>
      </c>
      <c r="G413" t="inlineStr">
        <is>
          <t>1</t>
        </is>
      </c>
      <c r="H413" t="inlineStr">
        <is>
          <t>No</t>
        </is>
      </c>
      <c r="I413" t="inlineStr">
        <is>
          <t>No</t>
        </is>
      </c>
      <c r="J413" t="inlineStr">
        <is>
          <t>0</t>
        </is>
      </c>
      <c r="K413" t="inlineStr">
        <is>
          <t>Ivory, Thomas P., 1938-</t>
        </is>
      </c>
      <c r="L413" t="inlineStr">
        <is>
          <t>New York : Paulist Press, c1988.</t>
        </is>
      </c>
      <c r="M413" t="inlineStr">
        <is>
          <t>1988</t>
        </is>
      </c>
      <c r="O413" t="inlineStr">
        <is>
          <t>eng</t>
        </is>
      </c>
      <c r="P413" t="inlineStr">
        <is>
          <t>nyu</t>
        </is>
      </c>
      <c r="R413" t="inlineStr">
        <is>
          <t xml:space="preserve">BX </t>
        </is>
      </c>
      <c r="S413" t="n">
        <v>1</v>
      </c>
      <c r="T413" t="n">
        <v>1</v>
      </c>
      <c r="U413" t="inlineStr">
        <is>
          <t>2005-04-13</t>
        </is>
      </c>
      <c r="V413" t="inlineStr">
        <is>
          <t>2005-04-13</t>
        </is>
      </c>
      <c r="W413" t="inlineStr">
        <is>
          <t>2005-04-13</t>
        </is>
      </c>
      <c r="X413" t="inlineStr">
        <is>
          <t>2005-04-13</t>
        </is>
      </c>
      <c r="Y413" t="n">
        <v>86</v>
      </c>
      <c r="Z413" t="n">
        <v>71</v>
      </c>
      <c r="AA413" t="n">
        <v>71</v>
      </c>
      <c r="AB413" t="n">
        <v>1</v>
      </c>
      <c r="AC413" t="n">
        <v>1</v>
      </c>
      <c r="AD413" t="n">
        <v>10</v>
      </c>
      <c r="AE413" t="n">
        <v>10</v>
      </c>
      <c r="AF413" t="n">
        <v>1</v>
      </c>
      <c r="AG413" t="n">
        <v>1</v>
      </c>
      <c r="AH413" t="n">
        <v>3</v>
      </c>
      <c r="AI413" t="n">
        <v>3</v>
      </c>
      <c r="AJ413" t="n">
        <v>7</v>
      </c>
      <c r="AK413" t="n">
        <v>7</v>
      </c>
      <c r="AL413" t="n">
        <v>0</v>
      </c>
      <c r="AM413" t="n">
        <v>0</v>
      </c>
      <c r="AN413" t="n">
        <v>0</v>
      </c>
      <c r="AO413" t="n">
        <v>0</v>
      </c>
      <c r="AP413" t="inlineStr">
        <is>
          <t>No</t>
        </is>
      </c>
      <c r="AQ413" t="inlineStr">
        <is>
          <t>No</t>
        </is>
      </c>
      <c r="AS413">
        <f>HYPERLINK("https://creighton-primo.hosted.exlibrisgroup.com/primo-explore/search?tab=default_tab&amp;search_scope=EVERYTHING&amp;vid=01CRU&amp;lang=en_US&amp;offset=0&amp;query=any,contains,991004529039702656","Catalog Record")</f>
        <v/>
      </c>
      <c r="AT413">
        <f>HYPERLINK("http://www.worldcat.org/oclc/18351650","WorldCat Record")</f>
        <v/>
      </c>
      <c r="AU413" t="inlineStr">
        <is>
          <t>326564968:eng</t>
        </is>
      </c>
      <c r="AV413" t="inlineStr">
        <is>
          <t>18351650</t>
        </is>
      </c>
      <c r="AW413" t="inlineStr">
        <is>
          <t>991004529039702656</t>
        </is>
      </c>
      <c r="AX413" t="inlineStr">
        <is>
          <t>991004529039702656</t>
        </is>
      </c>
      <c r="AY413" t="inlineStr">
        <is>
          <t>2265788020002656</t>
        </is>
      </c>
      <c r="AZ413" t="inlineStr">
        <is>
          <t>BOOK</t>
        </is>
      </c>
      <c r="BB413" t="inlineStr">
        <is>
          <t>9780809130191</t>
        </is>
      </c>
      <c r="BC413" t="inlineStr">
        <is>
          <t>32285005030399</t>
        </is>
      </c>
      <c r="BD413" t="inlineStr">
        <is>
          <t>893882569</t>
        </is>
      </c>
    </row>
    <row r="414">
      <c r="A414" t="inlineStr">
        <is>
          <t>No</t>
        </is>
      </c>
      <c r="B414" t="inlineStr">
        <is>
          <t>BX1746 .K345213 2003</t>
        </is>
      </c>
      <c r="C414" t="inlineStr">
        <is>
          <t>0                      BX 1746000K  345213      2003</t>
        </is>
      </c>
      <c r="D414" t="inlineStr">
        <is>
          <t>Leadership in the church : how traditional roles can serve the Christian community today / Walter Kasper ; translated by Brian McNeil.</t>
        </is>
      </c>
      <c r="F414" t="inlineStr">
        <is>
          <t>No</t>
        </is>
      </c>
      <c r="G414" t="inlineStr">
        <is>
          <t>1</t>
        </is>
      </c>
      <c r="H414" t="inlineStr">
        <is>
          <t>No</t>
        </is>
      </c>
      <c r="I414" t="inlineStr">
        <is>
          <t>No</t>
        </is>
      </c>
      <c r="J414" t="inlineStr">
        <is>
          <t>0</t>
        </is>
      </c>
      <c r="K414" t="inlineStr">
        <is>
          <t>Kasper, Walter, 1933-</t>
        </is>
      </c>
      <c r="L414" t="inlineStr">
        <is>
          <t>New York : Crossroad, c2003.</t>
        </is>
      </c>
      <c r="M414" t="inlineStr">
        <is>
          <t>2003</t>
        </is>
      </c>
      <c r="O414" t="inlineStr">
        <is>
          <t>eng</t>
        </is>
      </c>
      <c r="P414" t="inlineStr">
        <is>
          <t>nyu</t>
        </is>
      </c>
      <c r="R414" t="inlineStr">
        <is>
          <t xml:space="preserve">BX </t>
        </is>
      </c>
      <c r="S414" t="n">
        <v>8</v>
      </c>
      <c r="T414" t="n">
        <v>8</v>
      </c>
      <c r="U414" t="inlineStr">
        <is>
          <t>2009-09-02</t>
        </is>
      </c>
      <c r="V414" t="inlineStr">
        <is>
          <t>2009-09-02</t>
        </is>
      </c>
      <c r="W414" t="inlineStr">
        <is>
          <t>2004-07-10</t>
        </is>
      </c>
      <c r="X414" t="inlineStr">
        <is>
          <t>2004-07-10</t>
        </is>
      </c>
      <c r="Y414" t="n">
        <v>216</v>
      </c>
      <c r="Z414" t="n">
        <v>175</v>
      </c>
      <c r="AA414" t="n">
        <v>179</v>
      </c>
      <c r="AB414" t="n">
        <v>1</v>
      </c>
      <c r="AC414" t="n">
        <v>1</v>
      </c>
      <c r="AD414" t="n">
        <v>25</v>
      </c>
      <c r="AE414" t="n">
        <v>25</v>
      </c>
      <c r="AF414" t="n">
        <v>6</v>
      </c>
      <c r="AG414" t="n">
        <v>6</v>
      </c>
      <c r="AH414" t="n">
        <v>7</v>
      </c>
      <c r="AI414" t="n">
        <v>7</v>
      </c>
      <c r="AJ414" t="n">
        <v>20</v>
      </c>
      <c r="AK414" t="n">
        <v>20</v>
      </c>
      <c r="AL414" t="n">
        <v>0</v>
      </c>
      <c r="AM414" t="n">
        <v>0</v>
      </c>
      <c r="AN414" t="n">
        <v>0</v>
      </c>
      <c r="AO414" t="n">
        <v>0</v>
      </c>
      <c r="AP414" t="inlineStr">
        <is>
          <t>No</t>
        </is>
      </c>
      <c r="AQ414" t="inlineStr">
        <is>
          <t>Yes</t>
        </is>
      </c>
      <c r="AR414">
        <f>HYPERLINK("http://catalog.hathitrust.org/Record/004345528","HathiTrust Record")</f>
        <v/>
      </c>
      <c r="AS414">
        <f>HYPERLINK("https://creighton-primo.hosted.exlibrisgroup.com/primo-explore/search?tab=default_tab&amp;search_scope=EVERYTHING&amp;vid=01CRU&amp;lang=en_US&amp;offset=0&amp;query=any,contains,991004260219702656","Catalog Record")</f>
        <v/>
      </c>
      <c r="AT414">
        <f>HYPERLINK("http://www.worldcat.org/oclc/49383703","WorldCat Record")</f>
        <v/>
      </c>
      <c r="AU414" t="inlineStr">
        <is>
          <t>998988567:eng</t>
        </is>
      </c>
      <c r="AV414" t="inlineStr">
        <is>
          <t>49383703</t>
        </is>
      </c>
      <c r="AW414" t="inlineStr">
        <is>
          <t>991004260219702656</t>
        </is>
      </c>
      <c r="AX414" t="inlineStr">
        <is>
          <t>991004260219702656</t>
        </is>
      </c>
      <c r="AY414" t="inlineStr">
        <is>
          <t>2271319380002656</t>
        </is>
      </c>
      <c r="AZ414" t="inlineStr">
        <is>
          <t>BOOK</t>
        </is>
      </c>
      <c r="BB414" t="inlineStr">
        <is>
          <t>9780824519773</t>
        </is>
      </c>
      <c r="BC414" t="inlineStr">
        <is>
          <t>32285004922513</t>
        </is>
      </c>
      <c r="BD414" t="inlineStr">
        <is>
          <t>893806850</t>
        </is>
      </c>
    </row>
    <row r="415">
      <c r="A415" t="inlineStr">
        <is>
          <t>No</t>
        </is>
      </c>
      <c r="B415" t="inlineStr">
        <is>
          <t>BX1746 .K74 1985</t>
        </is>
      </c>
      <c r="C415" t="inlineStr">
        <is>
          <t>0                      BX 1746000K  74          1985</t>
        </is>
      </c>
      <c r="D415" t="inlineStr">
        <is>
          <t>The church : communion, sacrament, communication / Robert Kress.</t>
        </is>
      </c>
      <c r="F415" t="inlineStr">
        <is>
          <t>No</t>
        </is>
      </c>
      <c r="G415" t="inlineStr">
        <is>
          <t>1</t>
        </is>
      </c>
      <c r="H415" t="inlineStr">
        <is>
          <t>No</t>
        </is>
      </c>
      <c r="I415" t="inlineStr">
        <is>
          <t>No</t>
        </is>
      </c>
      <c r="J415" t="inlineStr">
        <is>
          <t>0</t>
        </is>
      </c>
      <c r="K415" t="inlineStr">
        <is>
          <t>Kress, Robert.</t>
        </is>
      </c>
      <c r="L415" t="inlineStr">
        <is>
          <t>New York : Paulist Press, c1985.</t>
        </is>
      </c>
      <c r="M415" t="inlineStr">
        <is>
          <t>1985</t>
        </is>
      </c>
      <c r="O415" t="inlineStr">
        <is>
          <t>eng</t>
        </is>
      </c>
      <c r="P415" t="inlineStr">
        <is>
          <t>nyu</t>
        </is>
      </c>
      <c r="R415" t="inlineStr">
        <is>
          <t xml:space="preserve">BX </t>
        </is>
      </c>
      <c r="S415" t="n">
        <v>8</v>
      </c>
      <c r="T415" t="n">
        <v>8</v>
      </c>
      <c r="U415" t="inlineStr">
        <is>
          <t>2005-11-02</t>
        </is>
      </c>
      <c r="V415" t="inlineStr">
        <is>
          <t>2005-11-02</t>
        </is>
      </c>
      <c r="W415" t="inlineStr">
        <is>
          <t>1990-04-20</t>
        </is>
      </c>
      <c r="X415" t="inlineStr">
        <is>
          <t>1990-04-20</t>
        </is>
      </c>
      <c r="Y415" t="n">
        <v>215</v>
      </c>
      <c r="Z415" t="n">
        <v>174</v>
      </c>
      <c r="AA415" t="n">
        <v>175</v>
      </c>
      <c r="AB415" t="n">
        <v>1</v>
      </c>
      <c r="AC415" t="n">
        <v>1</v>
      </c>
      <c r="AD415" t="n">
        <v>22</v>
      </c>
      <c r="AE415" t="n">
        <v>22</v>
      </c>
      <c r="AF415" t="n">
        <v>6</v>
      </c>
      <c r="AG415" t="n">
        <v>6</v>
      </c>
      <c r="AH415" t="n">
        <v>6</v>
      </c>
      <c r="AI415" t="n">
        <v>6</v>
      </c>
      <c r="AJ415" t="n">
        <v>18</v>
      </c>
      <c r="AK415" t="n">
        <v>18</v>
      </c>
      <c r="AL415" t="n">
        <v>0</v>
      </c>
      <c r="AM415" t="n">
        <v>0</v>
      </c>
      <c r="AN415" t="n">
        <v>0</v>
      </c>
      <c r="AO415" t="n">
        <v>0</v>
      </c>
      <c r="AP415" t="inlineStr">
        <is>
          <t>No</t>
        </is>
      </c>
      <c r="AQ415" t="inlineStr">
        <is>
          <t>No</t>
        </is>
      </c>
      <c r="AS415">
        <f>HYPERLINK("https://creighton-primo.hosted.exlibrisgroup.com/primo-explore/search?tab=default_tab&amp;search_scope=EVERYTHING&amp;vid=01CRU&amp;lang=en_US&amp;offset=0&amp;query=any,contains,991000627229702656","Catalog Record")</f>
        <v/>
      </c>
      <c r="AT415">
        <f>HYPERLINK("http://www.worldcat.org/oclc/12044866","WorldCat Record")</f>
        <v/>
      </c>
      <c r="AU415" t="inlineStr">
        <is>
          <t>155752293:eng</t>
        </is>
      </c>
      <c r="AV415" t="inlineStr">
        <is>
          <t>12044866</t>
        </is>
      </c>
      <c r="AW415" t="inlineStr">
        <is>
          <t>991000627229702656</t>
        </is>
      </c>
      <c r="AX415" t="inlineStr">
        <is>
          <t>991000627229702656</t>
        </is>
      </c>
      <c r="AY415" t="inlineStr">
        <is>
          <t>2258455850002656</t>
        </is>
      </c>
      <c r="AZ415" t="inlineStr">
        <is>
          <t>BOOK</t>
        </is>
      </c>
      <c r="BB415" t="inlineStr">
        <is>
          <t>9780809126637</t>
        </is>
      </c>
      <c r="BC415" t="inlineStr">
        <is>
          <t>32285000123058</t>
        </is>
      </c>
      <c r="BD415" t="inlineStr">
        <is>
          <t>893237477</t>
        </is>
      </c>
    </row>
    <row r="416">
      <c r="A416" t="inlineStr">
        <is>
          <t>No</t>
        </is>
      </c>
      <c r="B416" t="inlineStr">
        <is>
          <t>BX1746 .K7913 1990</t>
        </is>
      </c>
      <c r="C416" t="inlineStr">
        <is>
          <t>0                      BX 1746000K  7913        1990</t>
        </is>
      </c>
      <c r="D416" t="inlineStr">
        <is>
          <t>Reforming the Church today : keeping hope alive / Hans Küng ; translated by Peter Heinegg with Francis McDonagh ... [et al.].</t>
        </is>
      </c>
      <c r="F416" t="inlineStr">
        <is>
          <t>No</t>
        </is>
      </c>
      <c r="G416" t="inlineStr">
        <is>
          <t>1</t>
        </is>
      </c>
      <c r="H416" t="inlineStr">
        <is>
          <t>No</t>
        </is>
      </c>
      <c r="I416" t="inlineStr">
        <is>
          <t>No</t>
        </is>
      </c>
      <c r="J416" t="inlineStr">
        <is>
          <t>0</t>
        </is>
      </c>
      <c r="K416" t="inlineStr">
        <is>
          <t>Küng, Hans, 1928-</t>
        </is>
      </c>
      <c r="L416" t="inlineStr">
        <is>
          <t>New York : Crossroad, 1990.</t>
        </is>
      </c>
      <c r="M416" t="inlineStr">
        <is>
          <t>1990</t>
        </is>
      </c>
      <c r="O416" t="inlineStr">
        <is>
          <t>eng</t>
        </is>
      </c>
      <c r="P416" t="inlineStr">
        <is>
          <t>nyu</t>
        </is>
      </c>
      <c r="R416" t="inlineStr">
        <is>
          <t xml:space="preserve">BX </t>
        </is>
      </c>
      <c r="S416" t="n">
        <v>7</v>
      </c>
      <c r="T416" t="n">
        <v>7</v>
      </c>
      <c r="U416" t="inlineStr">
        <is>
          <t>2004-04-29</t>
        </is>
      </c>
      <c r="V416" t="inlineStr">
        <is>
          <t>2004-04-29</t>
        </is>
      </c>
      <c r="W416" t="inlineStr">
        <is>
          <t>1991-04-03</t>
        </is>
      </c>
      <c r="X416" t="inlineStr">
        <is>
          <t>1991-04-03</t>
        </is>
      </c>
      <c r="Y416" t="n">
        <v>570</v>
      </c>
      <c r="Z416" t="n">
        <v>500</v>
      </c>
      <c r="AA416" t="n">
        <v>523</v>
      </c>
      <c r="AB416" t="n">
        <v>2</v>
      </c>
      <c r="AC416" t="n">
        <v>2</v>
      </c>
      <c r="AD416" t="n">
        <v>35</v>
      </c>
      <c r="AE416" t="n">
        <v>35</v>
      </c>
      <c r="AF416" t="n">
        <v>13</v>
      </c>
      <c r="AG416" t="n">
        <v>13</v>
      </c>
      <c r="AH416" t="n">
        <v>9</v>
      </c>
      <c r="AI416" t="n">
        <v>9</v>
      </c>
      <c r="AJ416" t="n">
        <v>24</v>
      </c>
      <c r="AK416" t="n">
        <v>24</v>
      </c>
      <c r="AL416" t="n">
        <v>1</v>
      </c>
      <c r="AM416" t="n">
        <v>1</v>
      </c>
      <c r="AN416" t="n">
        <v>0</v>
      </c>
      <c r="AO416" t="n">
        <v>0</v>
      </c>
      <c r="AP416" t="inlineStr">
        <is>
          <t>No</t>
        </is>
      </c>
      <c r="AQ416" t="inlineStr">
        <is>
          <t>Yes</t>
        </is>
      </c>
      <c r="AR416">
        <f>HYPERLINK("http://catalog.hathitrust.org/Record/002229811","HathiTrust Record")</f>
        <v/>
      </c>
      <c r="AS416">
        <f>HYPERLINK("https://creighton-primo.hosted.exlibrisgroup.com/primo-explore/search?tab=default_tab&amp;search_scope=EVERYTHING&amp;vid=01CRU&amp;lang=en_US&amp;offset=0&amp;query=any,contains,991001709479702656","Catalog Record")</f>
        <v/>
      </c>
      <c r="AT416">
        <f>HYPERLINK("http://www.worldcat.org/oclc/21593967","WorldCat Record")</f>
        <v/>
      </c>
      <c r="AU416" t="inlineStr">
        <is>
          <t>3901157646:eng</t>
        </is>
      </c>
      <c r="AV416" t="inlineStr">
        <is>
          <t>21593967</t>
        </is>
      </c>
      <c r="AW416" t="inlineStr">
        <is>
          <t>991001709479702656</t>
        </is>
      </c>
      <c r="AX416" t="inlineStr">
        <is>
          <t>991001709479702656</t>
        </is>
      </c>
      <c r="AY416" t="inlineStr">
        <is>
          <t>2255950300002656</t>
        </is>
      </c>
      <c r="AZ416" t="inlineStr">
        <is>
          <t>BOOK</t>
        </is>
      </c>
      <c r="BB416" t="inlineStr">
        <is>
          <t>9780824510459</t>
        </is>
      </c>
      <c r="BC416" t="inlineStr">
        <is>
          <t>32285000514850</t>
        </is>
      </c>
      <c r="BD416" t="inlineStr">
        <is>
          <t>893866414</t>
        </is>
      </c>
    </row>
    <row r="417">
      <c r="A417" t="inlineStr">
        <is>
          <t>No</t>
        </is>
      </c>
      <c r="B417" t="inlineStr">
        <is>
          <t>BX1746 .K8413</t>
        </is>
      </c>
      <c r="C417" t="inlineStr">
        <is>
          <t>0                      BX 1746000K  8413</t>
        </is>
      </c>
      <c r="D417" t="inlineStr">
        <is>
          <t>The church, maintained in truth : a theological meditation / Hans Küng ; translated by Edward Quinn.</t>
        </is>
      </c>
      <c r="F417" t="inlineStr">
        <is>
          <t>No</t>
        </is>
      </c>
      <c r="G417" t="inlineStr">
        <is>
          <t>1</t>
        </is>
      </c>
      <c r="H417" t="inlineStr">
        <is>
          <t>No</t>
        </is>
      </c>
      <c r="I417" t="inlineStr">
        <is>
          <t>No</t>
        </is>
      </c>
      <c r="J417" t="inlineStr">
        <is>
          <t>0</t>
        </is>
      </c>
      <c r="K417" t="inlineStr">
        <is>
          <t>Küng, Hans, 1928-</t>
        </is>
      </c>
      <c r="L417" t="inlineStr">
        <is>
          <t>New York : Seabury Press, 1980.</t>
        </is>
      </c>
      <c r="M417" t="inlineStr">
        <is>
          <t>1980</t>
        </is>
      </c>
      <c r="O417" t="inlineStr">
        <is>
          <t>eng</t>
        </is>
      </c>
      <c r="P417" t="inlineStr">
        <is>
          <t>nyu</t>
        </is>
      </c>
      <c r="R417" t="inlineStr">
        <is>
          <t xml:space="preserve">BX </t>
        </is>
      </c>
      <c r="S417" t="n">
        <v>3</v>
      </c>
      <c r="T417" t="n">
        <v>3</v>
      </c>
      <c r="U417" t="inlineStr">
        <is>
          <t>2002-04-07</t>
        </is>
      </c>
      <c r="V417" t="inlineStr">
        <is>
          <t>2002-04-07</t>
        </is>
      </c>
      <c r="W417" t="inlineStr">
        <is>
          <t>1991-02-20</t>
        </is>
      </c>
      <c r="X417" t="inlineStr">
        <is>
          <t>1991-02-20</t>
        </is>
      </c>
      <c r="Y417" t="n">
        <v>735</v>
      </c>
      <c r="Z417" t="n">
        <v>666</v>
      </c>
      <c r="AA417" t="n">
        <v>719</v>
      </c>
      <c r="AB417" t="n">
        <v>5</v>
      </c>
      <c r="AC417" t="n">
        <v>5</v>
      </c>
      <c r="AD417" t="n">
        <v>37</v>
      </c>
      <c r="AE417" t="n">
        <v>41</v>
      </c>
      <c r="AF417" t="n">
        <v>17</v>
      </c>
      <c r="AG417" t="n">
        <v>19</v>
      </c>
      <c r="AH417" t="n">
        <v>8</v>
      </c>
      <c r="AI417" t="n">
        <v>8</v>
      </c>
      <c r="AJ417" t="n">
        <v>19</v>
      </c>
      <c r="AK417" t="n">
        <v>22</v>
      </c>
      <c r="AL417" t="n">
        <v>3</v>
      </c>
      <c r="AM417" t="n">
        <v>3</v>
      </c>
      <c r="AN417" t="n">
        <v>0</v>
      </c>
      <c r="AO417" t="n">
        <v>0</v>
      </c>
      <c r="AP417" t="inlineStr">
        <is>
          <t>No</t>
        </is>
      </c>
      <c r="AQ417" t="inlineStr">
        <is>
          <t>Yes</t>
        </is>
      </c>
      <c r="AR417">
        <f>HYPERLINK("http://catalog.hathitrust.org/Record/000702724","HathiTrust Record")</f>
        <v/>
      </c>
      <c r="AS417">
        <f>HYPERLINK("https://creighton-primo.hosted.exlibrisgroup.com/primo-explore/search?tab=default_tab&amp;search_scope=EVERYTHING&amp;vid=01CRU&amp;lang=en_US&amp;offset=0&amp;query=any,contains,991004926499702656","Catalog Record")</f>
        <v/>
      </c>
      <c r="AT417">
        <f>HYPERLINK("http://www.worldcat.org/oclc/6086452","WorldCat Record")</f>
        <v/>
      </c>
      <c r="AU417" t="inlineStr">
        <is>
          <t>463885:eng</t>
        </is>
      </c>
      <c r="AV417" t="inlineStr">
        <is>
          <t>6086452</t>
        </is>
      </c>
      <c r="AW417" t="inlineStr">
        <is>
          <t>991004926499702656</t>
        </is>
      </c>
      <c r="AX417" t="inlineStr">
        <is>
          <t>991004926499702656</t>
        </is>
      </c>
      <c r="AY417" t="inlineStr">
        <is>
          <t>2257755920002656</t>
        </is>
      </c>
      <c r="AZ417" t="inlineStr">
        <is>
          <t>BOOK</t>
        </is>
      </c>
      <c r="BB417" t="inlineStr">
        <is>
          <t>9780816404544</t>
        </is>
      </c>
      <c r="BC417" t="inlineStr">
        <is>
          <t>32285000509728</t>
        </is>
      </c>
      <c r="BD417" t="inlineStr">
        <is>
          <t>893776596</t>
        </is>
      </c>
    </row>
    <row r="418">
      <c r="A418" t="inlineStr">
        <is>
          <t>No</t>
        </is>
      </c>
      <c r="B418" t="inlineStr">
        <is>
          <t>BX1746 .K85</t>
        </is>
      </c>
      <c r="C418" t="inlineStr">
        <is>
          <t>0                      BX 1746000K  85</t>
        </is>
      </c>
      <c r="D418" t="inlineStr">
        <is>
          <t>The church / Hans Küng. [Translation by Ray and Rosaleen Ockenden]</t>
        </is>
      </c>
      <c r="F418" t="inlineStr">
        <is>
          <t>No</t>
        </is>
      </c>
      <c r="G418" t="inlineStr">
        <is>
          <t>1</t>
        </is>
      </c>
      <c r="H418" t="inlineStr">
        <is>
          <t>No</t>
        </is>
      </c>
      <c r="I418" t="inlineStr">
        <is>
          <t>Yes</t>
        </is>
      </c>
      <c r="J418" t="inlineStr">
        <is>
          <t>0</t>
        </is>
      </c>
      <c r="K418" t="inlineStr">
        <is>
          <t>Küng, Hans, 1928-</t>
        </is>
      </c>
      <c r="L418" t="inlineStr">
        <is>
          <t>New York, Sheed and Ward [1968, c1967]</t>
        </is>
      </c>
      <c r="M418" t="inlineStr">
        <is>
          <t>1968</t>
        </is>
      </c>
      <c r="O418" t="inlineStr">
        <is>
          <t>eng</t>
        </is>
      </c>
      <c r="P418" t="inlineStr">
        <is>
          <t>nyu</t>
        </is>
      </c>
      <c r="R418" t="inlineStr">
        <is>
          <t xml:space="preserve">BX </t>
        </is>
      </c>
      <c r="S418" t="n">
        <v>7</v>
      </c>
      <c r="T418" t="n">
        <v>7</v>
      </c>
      <c r="U418" t="inlineStr">
        <is>
          <t>2007-12-17</t>
        </is>
      </c>
      <c r="V418" t="inlineStr">
        <is>
          <t>2007-12-17</t>
        </is>
      </c>
      <c r="W418" t="inlineStr">
        <is>
          <t>1991-02-20</t>
        </is>
      </c>
      <c r="X418" t="inlineStr">
        <is>
          <t>1991-02-20</t>
        </is>
      </c>
      <c r="Y418" t="n">
        <v>616</v>
      </c>
      <c r="Z418" t="n">
        <v>582</v>
      </c>
      <c r="AA418" t="n">
        <v>887</v>
      </c>
      <c r="AB418" t="n">
        <v>5</v>
      </c>
      <c r="AC418" t="n">
        <v>8</v>
      </c>
      <c r="AD418" t="n">
        <v>36</v>
      </c>
      <c r="AE418" t="n">
        <v>51</v>
      </c>
      <c r="AF418" t="n">
        <v>16</v>
      </c>
      <c r="AG418" t="n">
        <v>22</v>
      </c>
      <c r="AH418" t="n">
        <v>5</v>
      </c>
      <c r="AI418" t="n">
        <v>9</v>
      </c>
      <c r="AJ418" t="n">
        <v>21</v>
      </c>
      <c r="AK418" t="n">
        <v>26</v>
      </c>
      <c r="AL418" t="n">
        <v>3</v>
      </c>
      <c r="AM418" t="n">
        <v>6</v>
      </c>
      <c r="AN418" t="n">
        <v>1</v>
      </c>
      <c r="AO418" t="n">
        <v>1</v>
      </c>
      <c r="AP418" t="inlineStr">
        <is>
          <t>No</t>
        </is>
      </c>
      <c r="AQ418" t="inlineStr">
        <is>
          <t>Yes</t>
        </is>
      </c>
      <c r="AR418">
        <f>HYPERLINK("http://catalog.hathitrust.org/Record/000000118","HathiTrust Record")</f>
        <v/>
      </c>
      <c r="AS418">
        <f>HYPERLINK("https://creighton-primo.hosted.exlibrisgroup.com/primo-explore/search?tab=default_tab&amp;search_scope=EVERYTHING&amp;vid=01CRU&amp;lang=en_US&amp;offset=0&amp;query=any,contains,991000001279702656","Catalog Record")</f>
        <v/>
      </c>
      <c r="AT418">
        <f>HYPERLINK("http://www.worldcat.org/oclc/10291","WorldCat Record")</f>
        <v/>
      </c>
      <c r="AU418" t="inlineStr">
        <is>
          <t>5391175699:eng</t>
        </is>
      </c>
      <c r="AV418" t="inlineStr">
        <is>
          <t>10291</t>
        </is>
      </c>
      <c r="AW418" t="inlineStr">
        <is>
          <t>991000001279702656</t>
        </is>
      </c>
      <c r="AX418" t="inlineStr">
        <is>
          <t>991000001279702656</t>
        </is>
      </c>
      <c r="AY418" t="inlineStr">
        <is>
          <t>2268227410002656</t>
        </is>
      </c>
      <c r="AZ418" t="inlineStr">
        <is>
          <t>BOOK</t>
        </is>
      </c>
      <c r="BC418" t="inlineStr">
        <is>
          <t>32285000509736</t>
        </is>
      </c>
      <c r="BD418" t="inlineStr">
        <is>
          <t>893620084</t>
        </is>
      </c>
    </row>
    <row r="419">
      <c r="A419" t="inlineStr">
        <is>
          <t>No</t>
        </is>
      </c>
      <c r="B419" t="inlineStr">
        <is>
          <t>BX1746 .K85 1968</t>
        </is>
      </c>
      <c r="C419" t="inlineStr">
        <is>
          <t>0                      BX 1746000K  85          1968</t>
        </is>
      </c>
      <c r="D419" t="inlineStr">
        <is>
          <t>The Church / by Hans Küng.</t>
        </is>
      </c>
      <c r="F419" t="inlineStr">
        <is>
          <t>No</t>
        </is>
      </c>
      <c r="G419" t="inlineStr">
        <is>
          <t>1</t>
        </is>
      </c>
      <c r="H419" t="inlineStr">
        <is>
          <t>No</t>
        </is>
      </c>
      <c r="I419" t="inlineStr">
        <is>
          <t>Yes</t>
        </is>
      </c>
      <c r="J419" t="inlineStr">
        <is>
          <t>0</t>
        </is>
      </c>
      <c r="K419" t="inlineStr">
        <is>
          <t>Küng, Hans, 1928-</t>
        </is>
      </c>
      <c r="L419" t="inlineStr">
        <is>
          <t>London : Burns and Oates, c1968.</t>
        </is>
      </c>
      <c r="M419" t="inlineStr">
        <is>
          <t>1968</t>
        </is>
      </c>
      <c r="O419" t="inlineStr">
        <is>
          <t>eng</t>
        </is>
      </c>
      <c r="P419" t="inlineStr">
        <is>
          <t>enk</t>
        </is>
      </c>
      <c r="R419" t="inlineStr">
        <is>
          <t xml:space="preserve">BX </t>
        </is>
      </c>
      <c r="S419" t="n">
        <v>1</v>
      </c>
      <c r="T419" t="n">
        <v>1</v>
      </c>
      <c r="U419" t="inlineStr">
        <is>
          <t>2006-07-18</t>
        </is>
      </c>
      <c r="V419" t="inlineStr">
        <is>
          <t>2006-07-18</t>
        </is>
      </c>
      <c r="W419" t="inlineStr">
        <is>
          <t>2006-07-18</t>
        </is>
      </c>
      <c r="X419" t="inlineStr">
        <is>
          <t>2006-07-18</t>
        </is>
      </c>
      <c r="Y419" t="n">
        <v>61</v>
      </c>
      <c r="Z419" t="n">
        <v>18</v>
      </c>
      <c r="AA419" t="n">
        <v>887</v>
      </c>
      <c r="AB419" t="n">
        <v>1</v>
      </c>
      <c r="AC419" t="n">
        <v>8</v>
      </c>
      <c r="AD419" t="n">
        <v>0</v>
      </c>
      <c r="AE419" t="n">
        <v>51</v>
      </c>
      <c r="AF419" t="n">
        <v>0</v>
      </c>
      <c r="AG419" t="n">
        <v>22</v>
      </c>
      <c r="AH419" t="n">
        <v>0</v>
      </c>
      <c r="AI419" t="n">
        <v>9</v>
      </c>
      <c r="AJ419" t="n">
        <v>0</v>
      </c>
      <c r="AK419" t="n">
        <v>26</v>
      </c>
      <c r="AL419" t="n">
        <v>0</v>
      </c>
      <c r="AM419" t="n">
        <v>6</v>
      </c>
      <c r="AN419" t="n">
        <v>0</v>
      </c>
      <c r="AO419" t="n">
        <v>1</v>
      </c>
      <c r="AP419" t="inlineStr">
        <is>
          <t>No</t>
        </is>
      </c>
      <c r="AQ419" t="inlineStr">
        <is>
          <t>No</t>
        </is>
      </c>
      <c r="AS419">
        <f>HYPERLINK("https://creighton-primo.hosted.exlibrisgroup.com/primo-explore/search?tab=default_tab&amp;search_scope=EVERYTHING&amp;vid=01CRU&amp;lang=en_US&amp;offset=0&amp;query=any,contains,991004831099702656","Catalog Record")</f>
        <v/>
      </c>
      <c r="AT419">
        <f>HYPERLINK("http://www.worldcat.org/oclc/37747857","WorldCat Record")</f>
        <v/>
      </c>
      <c r="AU419" t="inlineStr">
        <is>
          <t>5391175699:eng</t>
        </is>
      </c>
      <c r="AV419" t="inlineStr">
        <is>
          <t>37747857</t>
        </is>
      </c>
      <c r="AW419" t="inlineStr">
        <is>
          <t>991004831099702656</t>
        </is>
      </c>
      <c r="AX419" t="inlineStr">
        <is>
          <t>991004831099702656</t>
        </is>
      </c>
      <c r="AY419" t="inlineStr">
        <is>
          <t>2266673980002656</t>
        </is>
      </c>
      <c r="AZ419" t="inlineStr">
        <is>
          <t>BOOK</t>
        </is>
      </c>
      <c r="BB419" t="inlineStr">
        <is>
          <t>9780860121992</t>
        </is>
      </c>
      <c r="BC419" t="inlineStr">
        <is>
          <t>32285005195564</t>
        </is>
      </c>
      <c r="BD419" t="inlineStr">
        <is>
          <t>893532856</t>
        </is>
      </c>
    </row>
    <row r="420">
      <c r="A420" t="inlineStr">
        <is>
          <t>No</t>
        </is>
      </c>
      <c r="B420" t="inlineStr">
        <is>
          <t>BX1746 .L38</t>
        </is>
      </c>
      <c r="C420" t="inlineStr">
        <is>
          <t>0                      BX 1746000L  38</t>
        </is>
      </c>
      <c r="D420" t="inlineStr">
        <is>
          <t>L'Ecclésiologie au XIX siècle / par M. Nédoncelle [et al.]</t>
        </is>
      </c>
      <c r="F420" t="inlineStr">
        <is>
          <t>No</t>
        </is>
      </c>
      <c r="G420" t="inlineStr">
        <is>
          <t>1</t>
        </is>
      </c>
      <c r="H420" t="inlineStr">
        <is>
          <t>No</t>
        </is>
      </c>
      <c r="I420" t="inlineStr">
        <is>
          <t>No</t>
        </is>
      </c>
      <c r="J420" t="inlineStr">
        <is>
          <t>0</t>
        </is>
      </c>
      <c r="L420" t="inlineStr">
        <is>
          <t>Paris, Cerf, 1960.</t>
        </is>
      </c>
      <c r="M420" t="inlineStr">
        <is>
          <t>1960</t>
        </is>
      </c>
      <c r="O420" t="inlineStr">
        <is>
          <t>fre</t>
        </is>
      </c>
      <c r="P420" t="inlineStr">
        <is>
          <t>___</t>
        </is>
      </c>
      <c r="Q420" t="inlineStr">
        <is>
          <t>Unam sanctam ; vol. 34</t>
        </is>
      </c>
      <c r="R420" t="inlineStr">
        <is>
          <t xml:space="preserve">BX </t>
        </is>
      </c>
      <c r="S420" t="n">
        <v>2</v>
      </c>
      <c r="T420" t="n">
        <v>2</v>
      </c>
      <c r="U420" t="inlineStr">
        <is>
          <t>1995-07-17</t>
        </is>
      </c>
      <c r="V420" t="inlineStr">
        <is>
          <t>1995-07-17</t>
        </is>
      </c>
      <c r="W420" t="inlineStr">
        <is>
          <t>1991-02-20</t>
        </is>
      </c>
      <c r="X420" t="inlineStr">
        <is>
          <t>1991-02-20</t>
        </is>
      </c>
      <c r="Y420" t="n">
        <v>75</v>
      </c>
      <c r="Z420" t="n">
        <v>60</v>
      </c>
      <c r="AA420" t="n">
        <v>65</v>
      </c>
      <c r="AB420" t="n">
        <v>1</v>
      </c>
      <c r="AC420" t="n">
        <v>1</v>
      </c>
      <c r="AD420" t="n">
        <v>13</v>
      </c>
      <c r="AE420" t="n">
        <v>13</v>
      </c>
      <c r="AF420" t="n">
        <v>3</v>
      </c>
      <c r="AG420" t="n">
        <v>3</v>
      </c>
      <c r="AH420" t="n">
        <v>3</v>
      </c>
      <c r="AI420" t="n">
        <v>3</v>
      </c>
      <c r="AJ420" t="n">
        <v>12</v>
      </c>
      <c r="AK420" t="n">
        <v>12</v>
      </c>
      <c r="AL420" t="n">
        <v>0</v>
      </c>
      <c r="AM420" t="n">
        <v>0</v>
      </c>
      <c r="AN420" t="n">
        <v>0</v>
      </c>
      <c r="AO420" t="n">
        <v>0</v>
      </c>
      <c r="AP420" t="inlineStr">
        <is>
          <t>No</t>
        </is>
      </c>
      <c r="AQ420" t="inlineStr">
        <is>
          <t>No</t>
        </is>
      </c>
      <c r="AS420">
        <f>HYPERLINK("https://creighton-primo.hosted.exlibrisgroup.com/primo-explore/search?tab=default_tab&amp;search_scope=EVERYTHING&amp;vid=01CRU&amp;lang=en_US&amp;offset=0&amp;query=any,contains,991003175079702656","Catalog Record")</f>
        <v/>
      </c>
      <c r="AT420">
        <f>HYPERLINK("http://www.worldcat.org/oclc/710459","WorldCat Record")</f>
        <v/>
      </c>
      <c r="AU420" t="inlineStr">
        <is>
          <t>476344614:fre</t>
        </is>
      </c>
      <c r="AV420" t="inlineStr">
        <is>
          <t>710459</t>
        </is>
      </c>
      <c r="AW420" t="inlineStr">
        <is>
          <t>991003175079702656</t>
        </is>
      </c>
      <c r="AX420" t="inlineStr">
        <is>
          <t>991003175079702656</t>
        </is>
      </c>
      <c r="AY420" t="inlineStr">
        <is>
          <t>2262421070002656</t>
        </is>
      </c>
      <c r="AZ420" t="inlineStr">
        <is>
          <t>BOOK</t>
        </is>
      </c>
      <c r="BC420" t="inlineStr">
        <is>
          <t>32285000509751</t>
        </is>
      </c>
      <c r="BD420" t="inlineStr">
        <is>
          <t>893899693</t>
        </is>
      </c>
    </row>
    <row r="421">
      <c r="A421" t="inlineStr">
        <is>
          <t>No</t>
        </is>
      </c>
      <c r="B421" t="inlineStr">
        <is>
          <t>BX1746 .M19 1996</t>
        </is>
      </c>
      <c r="C421" t="inlineStr">
        <is>
          <t>0                      BX 1746000M  19          1996</t>
        </is>
      </c>
      <c r="D421" t="inlineStr">
        <is>
          <t>Responses to 101 questions on the Church / Richard P. McBrien.</t>
        </is>
      </c>
      <c r="F421" t="inlineStr">
        <is>
          <t>No</t>
        </is>
      </c>
      <c r="G421" t="inlineStr">
        <is>
          <t>1</t>
        </is>
      </c>
      <c r="H421" t="inlineStr">
        <is>
          <t>No</t>
        </is>
      </c>
      <c r="I421" t="inlineStr">
        <is>
          <t>No</t>
        </is>
      </c>
      <c r="J421" t="inlineStr">
        <is>
          <t>0</t>
        </is>
      </c>
      <c r="K421" t="inlineStr">
        <is>
          <t>McBrien, Richard P.</t>
        </is>
      </c>
      <c r="L421" t="inlineStr">
        <is>
          <t>New York : Paulist Press, 1996.</t>
        </is>
      </c>
      <c r="M421" t="inlineStr">
        <is>
          <t>1996</t>
        </is>
      </c>
      <c r="O421" t="inlineStr">
        <is>
          <t>eng</t>
        </is>
      </c>
      <c r="P421" t="inlineStr">
        <is>
          <t>nyu</t>
        </is>
      </c>
      <c r="R421" t="inlineStr">
        <is>
          <t xml:space="preserve">BX </t>
        </is>
      </c>
      <c r="S421" t="n">
        <v>7</v>
      </c>
      <c r="T421" t="n">
        <v>7</v>
      </c>
      <c r="U421" t="inlineStr">
        <is>
          <t>2000-11-14</t>
        </is>
      </c>
      <c r="V421" t="inlineStr">
        <is>
          <t>2000-11-14</t>
        </is>
      </c>
      <c r="W421" t="inlineStr">
        <is>
          <t>1997-02-03</t>
        </is>
      </c>
      <c r="X421" t="inlineStr">
        <is>
          <t>1997-02-03</t>
        </is>
      </c>
      <c r="Y421" t="n">
        <v>169</v>
      </c>
      <c r="Z421" t="n">
        <v>147</v>
      </c>
      <c r="AA421" t="n">
        <v>155</v>
      </c>
      <c r="AB421" t="n">
        <v>1</v>
      </c>
      <c r="AC421" t="n">
        <v>1</v>
      </c>
      <c r="AD421" t="n">
        <v>20</v>
      </c>
      <c r="AE421" t="n">
        <v>20</v>
      </c>
      <c r="AF421" t="n">
        <v>4</v>
      </c>
      <c r="AG421" t="n">
        <v>4</v>
      </c>
      <c r="AH421" t="n">
        <v>6</v>
      </c>
      <c r="AI421" t="n">
        <v>6</v>
      </c>
      <c r="AJ421" t="n">
        <v>14</v>
      </c>
      <c r="AK421" t="n">
        <v>14</v>
      </c>
      <c r="AL421" t="n">
        <v>0</v>
      </c>
      <c r="AM421" t="n">
        <v>0</v>
      </c>
      <c r="AN421" t="n">
        <v>0</v>
      </c>
      <c r="AO421" t="n">
        <v>0</v>
      </c>
      <c r="AP421" t="inlineStr">
        <is>
          <t>No</t>
        </is>
      </c>
      <c r="AQ421" t="inlineStr">
        <is>
          <t>Yes</t>
        </is>
      </c>
      <c r="AR421">
        <f>HYPERLINK("http://catalog.hathitrust.org/Record/003067298","HathiTrust Record")</f>
        <v/>
      </c>
      <c r="AS421">
        <f>HYPERLINK("https://creighton-primo.hosted.exlibrisgroup.com/primo-explore/search?tab=default_tab&amp;search_scope=EVERYTHING&amp;vid=01CRU&amp;lang=en_US&amp;offset=0&amp;query=any,contains,991002574269702656","Catalog Record")</f>
        <v/>
      </c>
      <c r="AT421">
        <f>HYPERLINK("http://www.worldcat.org/oclc/33443553","WorldCat Record")</f>
        <v/>
      </c>
      <c r="AU421" t="inlineStr">
        <is>
          <t>27335477:eng</t>
        </is>
      </c>
      <c r="AV421" t="inlineStr">
        <is>
          <t>33443553</t>
        </is>
      </c>
      <c r="AW421" t="inlineStr">
        <is>
          <t>991002574269702656</t>
        </is>
      </c>
      <c r="AX421" t="inlineStr">
        <is>
          <t>991002574269702656</t>
        </is>
      </c>
      <c r="AY421" t="inlineStr">
        <is>
          <t>2268245690002656</t>
        </is>
      </c>
      <c r="AZ421" t="inlineStr">
        <is>
          <t>BOOK</t>
        </is>
      </c>
      <c r="BB421" t="inlineStr">
        <is>
          <t>9780809136384</t>
        </is>
      </c>
      <c r="BC421" t="inlineStr">
        <is>
          <t>32285002413531</t>
        </is>
      </c>
      <c r="BD421" t="inlineStr">
        <is>
          <t>893530192</t>
        </is>
      </c>
    </row>
    <row r="422">
      <c r="A422" t="inlineStr">
        <is>
          <t>No</t>
        </is>
      </c>
      <c r="B422" t="inlineStr">
        <is>
          <t>BX1746 .M24 1984</t>
        </is>
      </c>
      <c r="C422" t="inlineStr">
        <is>
          <t>0                      BX 1746000M  24          1984</t>
        </is>
      </c>
      <c r="D422" t="inlineStr">
        <is>
          <t>The ecclesiology of Yves Congar : foundational themes / Timothy I. MacDonald.</t>
        </is>
      </c>
      <c r="F422" t="inlineStr">
        <is>
          <t>No</t>
        </is>
      </c>
      <c r="G422" t="inlineStr">
        <is>
          <t>1</t>
        </is>
      </c>
      <c r="H422" t="inlineStr">
        <is>
          <t>No</t>
        </is>
      </c>
      <c r="I422" t="inlineStr">
        <is>
          <t>No</t>
        </is>
      </c>
      <c r="J422" t="inlineStr">
        <is>
          <t>0</t>
        </is>
      </c>
      <c r="K422" t="inlineStr">
        <is>
          <t>MacDonald, Timothy I.</t>
        </is>
      </c>
      <c r="L422" t="inlineStr">
        <is>
          <t>Lanham, MD : University Press of America, c1984.</t>
        </is>
      </c>
      <c r="M422" t="inlineStr">
        <is>
          <t>1984</t>
        </is>
      </c>
      <c r="O422" t="inlineStr">
        <is>
          <t>eng</t>
        </is>
      </c>
      <c r="P422" t="inlineStr">
        <is>
          <t>mdu</t>
        </is>
      </c>
      <c r="R422" t="inlineStr">
        <is>
          <t xml:space="preserve">BX </t>
        </is>
      </c>
      <c r="S422" t="n">
        <v>4</v>
      </c>
      <c r="T422" t="n">
        <v>4</v>
      </c>
      <c r="U422" t="inlineStr">
        <is>
          <t>2005-11-02</t>
        </is>
      </c>
      <c r="V422" t="inlineStr">
        <is>
          <t>2005-11-02</t>
        </is>
      </c>
      <c r="W422" t="inlineStr">
        <is>
          <t>1991-02-20</t>
        </is>
      </c>
      <c r="X422" t="inlineStr">
        <is>
          <t>1991-02-20</t>
        </is>
      </c>
      <c r="Y422" t="n">
        <v>163</v>
      </c>
      <c r="Z422" t="n">
        <v>130</v>
      </c>
      <c r="AA422" t="n">
        <v>137</v>
      </c>
      <c r="AB422" t="n">
        <v>2</v>
      </c>
      <c r="AC422" t="n">
        <v>2</v>
      </c>
      <c r="AD422" t="n">
        <v>16</v>
      </c>
      <c r="AE422" t="n">
        <v>18</v>
      </c>
      <c r="AF422" t="n">
        <v>5</v>
      </c>
      <c r="AG422" t="n">
        <v>5</v>
      </c>
      <c r="AH422" t="n">
        <v>3</v>
      </c>
      <c r="AI422" t="n">
        <v>4</v>
      </c>
      <c r="AJ422" t="n">
        <v>10</v>
      </c>
      <c r="AK422" t="n">
        <v>12</v>
      </c>
      <c r="AL422" t="n">
        <v>1</v>
      </c>
      <c r="AM422" t="n">
        <v>1</v>
      </c>
      <c r="AN422" t="n">
        <v>0</v>
      </c>
      <c r="AO422" t="n">
        <v>0</v>
      </c>
      <c r="AP422" t="inlineStr">
        <is>
          <t>No</t>
        </is>
      </c>
      <c r="AQ422" t="inlineStr">
        <is>
          <t>No</t>
        </is>
      </c>
      <c r="AS422">
        <f>HYPERLINK("https://creighton-primo.hosted.exlibrisgroup.com/primo-explore/search?tab=default_tab&amp;search_scope=EVERYTHING&amp;vid=01CRU&amp;lang=en_US&amp;offset=0&amp;query=any,contains,991000300419702656","Catalog Record")</f>
        <v/>
      </c>
      <c r="AT422">
        <f>HYPERLINK("http://www.worldcat.org/oclc/10021435","WorldCat Record")</f>
        <v/>
      </c>
      <c r="AU422" t="inlineStr">
        <is>
          <t>3371792:eng</t>
        </is>
      </c>
      <c r="AV422" t="inlineStr">
        <is>
          <t>10021435</t>
        </is>
      </c>
      <c r="AW422" t="inlineStr">
        <is>
          <t>991000300419702656</t>
        </is>
      </c>
      <c r="AX422" t="inlineStr">
        <is>
          <t>991000300419702656</t>
        </is>
      </c>
      <c r="AY422" t="inlineStr">
        <is>
          <t>2266661700002656</t>
        </is>
      </c>
      <c r="AZ422" t="inlineStr">
        <is>
          <t>BOOK</t>
        </is>
      </c>
      <c r="BB422" t="inlineStr">
        <is>
          <t>9780819136459</t>
        </is>
      </c>
      <c r="BC422" t="inlineStr">
        <is>
          <t>32285000509785</t>
        </is>
      </c>
      <c r="BD422" t="inlineStr">
        <is>
          <t>893890566</t>
        </is>
      </c>
    </row>
    <row r="423">
      <c r="A423" t="inlineStr">
        <is>
          <t>No</t>
        </is>
      </c>
      <c r="B423" t="inlineStr">
        <is>
          <t>BX1746 .M356 2003</t>
        </is>
      </c>
      <c r="C423" t="inlineStr">
        <is>
          <t>0                      BX 1746000M  356         2003</t>
        </is>
      </c>
      <c r="D423" t="inlineStr">
        <is>
          <t>Creating communion : the theology of the constitutions of the Church / John J. Markey ; foreword by Thomas F. O'Meara.</t>
        </is>
      </c>
      <c r="F423" t="inlineStr">
        <is>
          <t>No</t>
        </is>
      </c>
      <c r="G423" t="inlineStr">
        <is>
          <t>1</t>
        </is>
      </c>
      <c r="H423" t="inlineStr">
        <is>
          <t>No</t>
        </is>
      </c>
      <c r="I423" t="inlineStr">
        <is>
          <t>No</t>
        </is>
      </c>
      <c r="J423" t="inlineStr">
        <is>
          <t>0</t>
        </is>
      </c>
      <c r="K423" t="inlineStr">
        <is>
          <t>Markey, John J.</t>
        </is>
      </c>
      <c r="L423" t="inlineStr">
        <is>
          <t>Hyde Park, NY : New City Press, c2003.</t>
        </is>
      </c>
      <c r="M423" t="inlineStr">
        <is>
          <t>2003</t>
        </is>
      </c>
      <c r="O423" t="inlineStr">
        <is>
          <t>eng</t>
        </is>
      </c>
      <c r="P423" t="inlineStr">
        <is>
          <t>nyu</t>
        </is>
      </c>
      <c r="R423" t="inlineStr">
        <is>
          <t xml:space="preserve">BX </t>
        </is>
      </c>
      <c r="S423" t="n">
        <v>3</v>
      </c>
      <c r="T423" t="n">
        <v>3</v>
      </c>
      <c r="U423" t="inlineStr">
        <is>
          <t>2004-05-10</t>
        </is>
      </c>
      <c r="V423" t="inlineStr">
        <is>
          <t>2004-05-10</t>
        </is>
      </c>
      <c r="W423" t="inlineStr">
        <is>
          <t>2004-02-11</t>
        </is>
      </c>
      <c r="X423" t="inlineStr">
        <is>
          <t>2004-02-11</t>
        </is>
      </c>
      <c r="Y423" t="n">
        <v>101</v>
      </c>
      <c r="Z423" t="n">
        <v>84</v>
      </c>
      <c r="AA423" t="n">
        <v>84</v>
      </c>
      <c r="AB423" t="n">
        <v>1</v>
      </c>
      <c r="AC423" t="n">
        <v>1</v>
      </c>
      <c r="AD423" t="n">
        <v>10</v>
      </c>
      <c r="AE423" t="n">
        <v>10</v>
      </c>
      <c r="AF423" t="n">
        <v>2</v>
      </c>
      <c r="AG423" t="n">
        <v>2</v>
      </c>
      <c r="AH423" t="n">
        <v>3</v>
      </c>
      <c r="AI423" t="n">
        <v>3</v>
      </c>
      <c r="AJ423" t="n">
        <v>6</v>
      </c>
      <c r="AK423" t="n">
        <v>6</v>
      </c>
      <c r="AL423" t="n">
        <v>0</v>
      </c>
      <c r="AM423" t="n">
        <v>0</v>
      </c>
      <c r="AN423" t="n">
        <v>0</v>
      </c>
      <c r="AO423" t="n">
        <v>0</v>
      </c>
      <c r="AP423" t="inlineStr">
        <is>
          <t>No</t>
        </is>
      </c>
      <c r="AQ423" t="inlineStr">
        <is>
          <t>No</t>
        </is>
      </c>
      <c r="AS423">
        <f>HYPERLINK("https://creighton-primo.hosted.exlibrisgroup.com/primo-explore/search?tab=default_tab&amp;search_scope=EVERYTHING&amp;vid=01CRU&amp;lang=en_US&amp;offset=0&amp;query=any,contains,991004216499702656","Catalog Record")</f>
        <v/>
      </c>
      <c r="AT423">
        <f>HYPERLINK("http://www.worldcat.org/oclc/50554609","WorldCat Record")</f>
        <v/>
      </c>
      <c r="AU423" t="inlineStr">
        <is>
          <t>6047532:eng</t>
        </is>
      </c>
      <c r="AV423" t="inlineStr">
        <is>
          <t>50554609</t>
        </is>
      </c>
      <c r="AW423" t="inlineStr">
        <is>
          <t>991004216499702656</t>
        </is>
      </c>
      <c r="AX423" t="inlineStr">
        <is>
          <t>991004216499702656</t>
        </is>
      </c>
      <c r="AY423" t="inlineStr">
        <is>
          <t>2256122300002656</t>
        </is>
      </c>
      <c r="AZ423" t="inlineStr">
        <is>
          <t>BOOK</t>
        </is>
      </c>
      <c r="BB423" t="inlineStr">
        <is>
          <t>9781565481794</t>
        </is>
      </c>
      <c r="BC423" t="inlineStr">
        <is>
          <t>32285004638028</t>
        </is>
      </c>
      <c r="BD423" t="inlineStr">
        <is>
          <t>893325079</t>
        </is>
      </c>
    </row>
    <row r="424">
      <c r="A424" t="inlineStr">
        <is>
          <t>No</t>
        </is>
      </c>
      <c r="B424" t="inlineStr">
        <is>
          <t>BX1746 .N6</t>
        </is>
      </c>
      <c r="C424" t="inlineStr">
        <is>
          <t>0                      BX 1746000N  6</t>
        </is>
      </c>
      <c r="D424" t="inlineStr">
        <is>
          <t>God's own people : an introductory study of the church / Frank B. Norris.</t>
        </is>
      </c>
      <c r="F424" t="inlineStr">
        <is>
          <t>No</t>
        </is>
      </c>
      <c r="G424" t="inlineStr">
        <is>
          <t>1</t>
        </is>
      </c>
      <c r="H424" t="inlineStr">
        <is>
          <t>No</t>
        </is>
      </c>
      <c r="I424" t="inlineStr">
        <is>
          <t>No</t>
        </is>
      </c>
      <c r="J424" t="inlineStr">
        <is>
          <t>0</t>
        </is>
      </c>
      <c r="K424" t="inlineStr">
        <is>
          <t>Norris, Frank B.</t>
        </is>
      </c>
      <c r="L424" t="inlineStr">
        <is>
          <t>Baltimore, Helicon Press [1962]</t>
        </is>
      </c>
      <c r="M424" t="inlineStr">
        <is>
          <t>1962</t>
        </is>
      </c>
      <c r="O424" t="inlineStr">
        <is>
          <t>eng</t>
        </is>
      </c>
      <c r="P424" t="inlineStr">
        <is>
          <t>___</t>
        </is>
      </c>
      <c r="R424" t="inlineStr">
        <is>
          <t xml:space="preserve">BX </t>
        </is>
      </c>
      <c r="S424" t="n">
        <v>2</v>
      </c>
      <c r="T424" t="n">
        <v>2</v>
      </c>
      <c r="U424" t="inlineStr">
        <is>
          <t>1995-12-11</t>
        </is>
      </c>
      <c r="V424" t="inlineStr">
        <is>
          <t>1995-12-11</t>
        </is>
      </c>
      <c r="W424" t="inlineStr">
        <is>
          <t>1991-02-20</t>
        </is>
      </c>
      <c r="X424" t="inlineStr">
        <is>
          <t>1991-02-20</t>
        </is>
      </c>
      <c r="Y424" t="n">
        <v>249</v>
      </c>
      <c r="Z424" t="n">
        <v>208</v>
      </c>
      <c r="AA424" t="n">
        <v>215</v>
      </c>
      <c r="AB424" t="n">
        <v>3</v>
      </c>
      <c r="AC424" t="n">
        <v>3</v>
      </c>
      <c r="AD424" t="n">
        <v>28</v>
      </c>
      <c r="AE424" t="n">
        <v>29</v>
      </c>
      <c r="AF424" t="n">
        <v>8</v>
      </c>
      <c r="AG424" t="n">
        <v>9</v>
      </c>
      <c r="AH424" t="n">
        <v>7</v>
      </c>
      <c r="AI424" t="n">
        <v>8</v>
      </c>
      <c r="AJ424" t="n">
        <v>24</v>
      </c>
      <c r="AK424" t="n">
        <v>24</v>
      </c>
      <c r="AL424" t="n">
        <v>0</v>
      </c>
      <c r="AM424" t="n">
        <v>0</v>
      </c>
      <c r="AN424" t="n">
        <v>0</v>
      </c>
      <c r="AO424" t="n">
        <v>0</v>
      </c>
      <c r="AP424" t="inlineStr">
        <is>
          <t>No</t>
        </is>
      </c>
      <c r="AQ424" t="inlineStr">
        <is>
          <t>Yes</t>
        </is>
      </c>
      <c r="AR424">
        <f>HYPERLINK("http://catalog.hathitrust.org/Record/009527945","HathiTrust Record")</f>
        <v/>
      </c>
      <c r="AS424">
        <f>HYPERLINK("https://creighton-primo.hosted.exlibrisgroup.com/primo-explore/search?tab=default_tab&amp;search_scope=EVERYTHING&amp;vid=01CRU&amp;lang=en_US&amp;offset=0&amp;query=any,contains,991003107239702656","Catalog Record")</f>
        <v/>
      </c>
      <c r="AT424">
        <f>HYPERLINK("http://www.worldcat.org/oclc/654783","WorldCat Record")</f>
        <v/>
      </c>
      <c r="AU424" t="inlineStr">
        <is>
          <t>433809851:eng</t>
        </is>
      </c>
      <c r="AV424" t="inlineStr">
        <is>
          <t>654783</t>
        </is>
      </c>
      <c r="AW424" t="inlineStr">
        <is>
          <t>991003107239702656</t>
        </is>
      </c>
      <c r="AX424" t="inlineStr">
        <is>
          <t>991003107239702656</t>
        </is>
      </c>
      <c r="AY424" t="inlineStr">
        <is>
          <t>2262242600002656</t>
        </is>
      </c>
      <c r="AZ424" t="inlineStr">
        <is>
          <t>BOOK</t>
        </is>
      </c>
      <c r="BC424" t="inlineStr">
        <is>
          <t>32285000509827</t>
        </is>
      </c>
      <c r="BD424" t="inlineStr">
        <is>
          <t>893899631</t>
        </is>
      </c>
    </row>
    <row r="425">
      <c r="A425" t="inlineStr">
        <is>
          <t>No</t>
        </is>
      </c>
      <c r="B425" t="inlineStr">
        <is>
          <t>BX1746 .O3</t>
        </is>
      </c>
      <c r="C425" t="inlineStr">
        <is>
          <t>0                      BX 1746000O  3</t>
        </is>
      </c>
      <c r="D425" t="inlineStr">
        <is>
          <t>The Catholic crisis / [by] Thomas F. O'Dea.</t>
        </is>
      </c>
      <c r="F425" t="inlineStr">
        <is>
          <t>No</t>
        </is>
      </c>
      <c r="G425" t="inlineStr">
        <is>
          <t>1</t>
        </is>
      </c>
      <c r="H425" t="inlineStr">
        <is>
          <t>No</t>
        </is>
      </c>
      <c r="I425" t="inlineStr">
        <is>
          <t>No</t>
        </is>
      </c>
      <c r="J425" t="inlineStr">
        <is>
          <t>0</t>
        </is>
      </c>
      <c r="K425" t="inlineStr">
        <is>
          <t>O'Dea, Thomas F.</t>
        </is>
      </c>
      <c r="L425" t="inlineStr">
        <is>
          <t>Boston, Beacon Press [1968]</t>
        </is>
      </c>
      <c r="M425" t="inlineStr">
        <is>
          <t>1968</t>
        </is>
      </c>
      <c r="O425" t="inlineStr">
        <is>
          <t>eng</t>
        </is>
      </c>
      <c r="P425" t="inlineStr">
        <is>
          <t>mau</t>
        </is>
      </c>
      <c r="R425" t="inlineStr">
        <is>
          <t xml:space="preserve">BX </t>
        </is>
      </c>
      <c r="S425" t="n">
        <v>3</v>
      </c>
      <c r="T425" t="n">
        <v>3</v>
      </c>
      <c r="U425" t="inlineStr">
        <is>
          <t>1995-03-16</t>
        </is>
      </c>
      <c r="V425" t="inlineStr">
        <is>
          <t>1995-03-16</t>
        </is>
      </c>
      <c r="W425" t="inlineStr">
        <is>
          <t>1990-03-27</t>
        </is>
      </c>
      <c r="X425" t="inlineStr">
        <is>
          <t>1990-03-27</t>
        </is>
      </c>
      <c r="Y425" t="n">
        <v>438</v>
      </c>
      <c r="Z425" t="n">
        <v>390</v>
      </c>
      <c r="AA425" t="n">
        <v>404</v>
      </c>
      <c r="AB425" t="n">
        <v>4</v>
      </c>
      <c r="AC425" t="n">
        <v>4</v>
      </c>
      <c r="AD425" t="n">
        <v>34</v>
      </c>
      <c r="AE425" t="n">
        <v>34</v>
      </c>
      <c r="AF425" t="n">
        <v>11</v>
      </c>
      <c r="AG425" t="n">
        <v>11</v>
      </c>
      <c r="AH425" t="n">
        <v>7</v>
      </c>
      <c r="AI425" t="n">
        <v>7</v>
      </c>
      <c r="AJ425" t="n">
        <v>23</v>
      </c>
      <c r="AK425" t="n">
        <v>23</v>
      </c>
      <c r="AL425" t="n">
        <v>3</v>
      </c>
      <c r="AM425" t="n">
        <v>3</v>
      </c>
      <c r="AN425" t="n">
        <v>0</v>
      </c>
      <c r="AO425" t="n">
        <v>0</v>
      </c>
      <c r="AP425" t="inlineStr">
        <is>
          <t>No</t>
        </is>
      </c>
      <c r="AQ425" t="inlineStr">
        <is>
          <t>Yes</t>
        </is>
      </c>
      <c r="AR425">
        <f>HYPERLINK("http://catalog.hathitrust.org/Record/001416478","HathiTrust Record")</f>
        <v/>
      </c>
      <c r="AS425">
        <f>HYPERLINK("https://creighton-primo.hosted.exlibrisgroup.com/primo-explore/search?tab=default_tab&amp;search_scope=EVERYTHING&amp;vid=01CRU&amp;lang=en_US&amp;offset=0&amp;query=any,contains,991002386219702656","Catalog Record")</f>
        <v/>
      </c>
      <c r="AT425">
        <f>HYPERLINK("http://www.worldcat.org/oclc/330215","WorldCat Record")</f>
        <v/>
      </c>
      <c r="AU425" t="inlineStr">
        <is>
          <t>1428434:eng</t>
        </is>
      </c>
      <c r="AV425" t="inlineStr">
        <is>
          <t>330215</t>
        </is>
      </c>
      <c r="AW425" t="inlineStr">
        <is>
          <t>991002386219702656</t>
        </is>
      </c>
      <c r="AX425" t="inlineStr">
        <is>
          <t>991002386219702656</t>
        </is>
      </c>
      <c r="AY425" t="inlineStr">
        <is>
          <t>2259084030002656</t>
        </is>
      </c>
      <c r="AZ425" t="inlineStr">
        <is>
          <t>BOOK</t>
        </is>
      </c>
      <c r="BC425" t="inlineStr">
        <is>
          <t>32285000098441</t>
        </is>
      </c>
      <c r="BD425" t="inlineStr">
        <is>
          <t>893232893</t>
        </is>
      </c>
    </row>
    <row r="426">
      <c r="A426" t="inlineStr">
        <is>
          <t>No</t>
        </is>
      </c>
      <c r="B426" t="inlineStr">
        <is>
          <t>BX1746 .R3</t>
        </is>
      </c>
      <c r="C426" t="inlineStr">
        <is>
          <t>0                      BX 1746000R  3</t>
        </is>
      </c>
      <c r="D426" t="inlineStr">
        <is>
          <t>Nature and grace : dilemmas in the modern church / by Karl Rahner.</t>
        </is>
      </c>
      <c r="F426" t="inlineStr">
        <is>
          <t>No</t>
        </is>
      </c>
      <c r="G426" t="inlineStr">
        <is>
          <t>1</t>
        </is>
      </c>
      <c r="H426" t="inlineStr">
        <is>
          <t>No</t>
        </is>
      </c>
      <c r="I426" t="inlineStr">
        <is>
          <t>No</t>
        </is>
      </c>
      <c r="J426" t="inlineStr">
        <is>
          <t>0</t>
        </is>
      </c>
      <c r="K426" t="inlineStr">
        <is>
          <t>Rahner, Karl, 1904-1984.</t>
        </is>
      </c>
      <c r="L426" t="inlineStr">
        <is>
          <t>New York, Sheed and Ward [1964]</t>
        </is>
      </c>
      <c r="M426" t="inlineStr">
        <is>
          <t>1964</t>
        </is>
      </c>
      <c r="O426" t="inlineStr">
        <is>
          <t>eng</t>
        </is>
      </c>
      <c r="P426" t="inlineStr">
        <is>
          <t>nyu</t>
        </is>
      </c>
      <c r="R426" t="inlineStr">
        <is>
          <t xml:space="preserve">BX </t>
        </is>
      </c>
      <c r="S426" t="n">
        <v>4</v>
      </c>
      <c r="T426" t="n">
        <v>4</v>
      </c>
      <c r="U426" t="inlineStr">
        <is>
          <t>2006-12-08</t>
        </is>
      </c>
      <c r="V426" t="inlineStr">
        <is>
          <t>2006-12-08</t>
        </is>
      </c>
      <c r="W426" t="inlineStr">
        <is>
          <t>1991-02-20</t>
        </is>
      </c>
      <c r="X426" t="inlineStr">
        <is>
          <t>1991-02-20</t>
        </is>
      </c>
      <c r="Y426" t="n">
        <v>528</v>
      </c>
      <c r="Z426" t="n">
        <v>472</v>
      </c>
      <c r="AA426" t="n">
        <v>493</v>
      </c>
      <c r="AB426" t="n">
        <v>5</v>
      </c>
      <c r="AC426" t="n">
        <v>5</v>
      </c>
      <c r="AD426" t="n">
        <v>36</v>
      </c>
      <c r="AE426" t="n">
        <v>36</v>
      </c>
      <c r="AF426" t="n">
        <v>12</v>
      </c>
      <c r="AG426" t="n">
        <v>12</v>
      </c>
      <c r="AH426" t="n">
        <v>8</v>
      </c>
      <c r="AI426" t="n">
        <v>8</v>
      </c>
      <c r="AJ426" t="n">
        <v>25</v>
      </c>
      <c r="AK426" t="n">
        <v>25</v>
      </c>
      <c r="AL426" t="n">
        <v>3</v>
      </c>
      <c r="AM426" t="n">
        <v>3</v>
      </c>
      <c r="AN426" t="n">
        <v>0</v>
      </c>
      <c r="AO426" t="n">
        <v>0</v>
      </c>
      <c r="AP426" t="inlineStr">
        <is>
          <t>No</t>
        </is>
      </c>
      <c r="AQ426" t="inlineStr">
        <is>
          <t>Yes</t>
        </is>
      </c>
      <c r="AR426">
        <f>HYPERLINK("http://catalog.hathitrust.org/Record/009957839","HathiTrust Record")</f>
        <v/>
      </c>
      <c r="AS426">
        <f>HYPERLINK("https://creighton-primo.hosted.exlibrisgroup.com/primo-explore/search?tab=default_tab&amp;search_scope=EVERYTHING&amp;vid=01CRU&amp;lang=en_US&amp;offset=0&amp;query=any,contains,991002652249702656","Catalog Record")</f>
        <v/>
      </c>
      <c r="AT426">
        <f>HYPERLINK("http://www.worldcat.org/oclc/387444","WorldCat Record")</f>
        <v/>
      </c>
      <c r="AU426" t="inlineStr">
        <is>
          <t>2287194821:eng</t>
        </is>
      </c>
      <c r="AV426" t="inlineStr">
        <is>
          <t>387444</t>
        </is>
      </c>
      <c r="AW426" t="inlineStr">
        <is>
          <t>991002652249702656</t>
        </is>
      </c>
      <c r="AX426" t="inlineStr">
        <is>
          <t>991002652249702656</t>
        </is>
      </c>
      <c r="AY426" t="inlineStr">
        <is>
          <t>2258157540002656</t>
        </is>
      </c>
      <c r="AZ426" t="inlineStr">
        <is>
          <t>BOOK</t>
        </is>
      </c>
      <c r="BC426" t="inlineStr">
        <is>
          <t>32285000509868</t>
        </is>
      </c>
      <c r="BD426" t="inlineStr">
        <is>
          <t>893622547</t>
        </is>
      </c>
    </row>
    <row r="427">
      <c r="A427" t="inlineStr">
        <is>
          <t>No</t>
        </is>
      </c>
      <c r="B427" t="inlineStr">
        <is>
          <t>BX1746 .R37 1989</t>
        </is>
      </c>
      <c r="C427" t="inlineStr">
        <is>
          <t>0                      BX 1746000R  37          1989</t>
        </is>
      </c>
      <c r="D427" t="inlineStr">
        <is>
          <t>Authority and leadership in the Church : past directions and future possibilities / by Thomas P. Rausch.</t>
        </is>
      </c>
      <c r="F427" t="inlineStr">
        <is>
          <t>No</t>
        </is>
      </c>
      <c r="G427" t="inlineStr">
        <is>
          <t>1</t>
        </is>
      </c>
      <c r="H427" t="inlineStr">
        <is>
          <t>No</t>
        </is>
      </c>
      <c r="I427" t="inlineStr">
        <is>
          <t>No</t>
        </is>
      </c>
      <c r="J427" t="inlineStr">
        <is>
          <t>0</t>
        </is>
      </c>
      <c r="K427" t="inlineStr">
        <is>
          <t>Rausch, Thomas P.</t>
        </is>
      </c>
      <c r="L427" t="inlineStr">
        <is>
          <t>Wilmington, Del. : M. Glazier, 1989.</t>
        </is>
      </c>
      <c r="M427" t="inlineStr">
        <is>
          <t>1989</t>
        </is>
      </c>
      <c r="O427" t="inlineStr">
        <is>
          <t>eng</t>
        </is>
      </c>
      <c r="P427" t="inlineStr">
        <is>
          <t>deu</t>
        </is>
      </c>
      <c r="R427" t="inlineStr">
        <is>
          <t xml:space="preserve">BX </t>
        </is>
      </c>
      <c r="S427" t="n">
        <v>9</v>
      </c>
      <c r="T427" t="n">
        <v>9</v>
      </c>
      <c r="U427" t="inlineStr">
        <is>
          <t>1999-11-23</t>
        </is>
      </c>
      <c r="V427" t="inlineStr">
        <is>
          <t>1999-11-23</t>
        </is>
      </c>
      <c r="W427" t="inlineStr">
        <is>
          <t>1991-02-20</t>
        </is>
      </c>
      <c r="X427" t="inlineStr">
        <is>
          <t>1991-02-20</t>
        </is>
      </c>
      <c r="Y427" t="n">
        <v>189</v>
      </c>
      <c r="Z427" t="n">
        <v>158</v>
      </c>
      <c r="AA427" t="n">
        <v>178</v>
      </c>
      <c r="AB427" t="n">
        <v>2</v>
      </c>
      <c r="AC427" t="n">
        <v>2</v>
      </c>
      <c r="AD427" t="n">
        <v>30</v>
      </c>
      <c r="AE427" t="n">
        <v>31</v>
      </c>
      <c r="AF427" t="n">
        <v>10</v>
      </c>
      <c r="AG427" t="n">
        <v>10</v>
      </c>
      <c r="AH427" t="n">
        <v>6</v>
      </c>
      <c r="AI427" t="n">
        <v>7</v>
      </c>
      <c r="AJ427" t="n">
        <v>21</v>
      </c>
      <c r="AK427" t="n">
        <v>22</v>
      </c>
      <c r="AL427" t="n">
        <v>1</v>
      </c>
      <c r="AM427" t="n">
        <v>1</v>
      </c>
      <c r="AN427" t="n">
        <v>0</v>
      </c>
      <c r="AO427" t="n">
        <v>0</v>
      </c>
      <c r="AP427" t="inlineStr">
        <is>
          <t>No</t>
        </is>
      </c>
      <c r="AQ427" t="inlineStr">
        <is>
          <t>No</t>
        </is>
      </c>
      <c r="AS427">
        <f>HYPERLINK("https://creighton-primo.hosted.exlibrisgroup.com/primo-explore/search?tab=default_tab&amp;search_scope=EVERYTHING&amp;vid=01CRU&amp;lang=en_US&amp;offset=0&amp;query=any,contains,991001358169702656","Catalog Record")</f>
        <v/>
      </c>
      <c r="AT427">
        <f>HYPERLINK("http://www.worldcat.org/oclc/18497771","WorldCat Record")</f>
        <v/>
      </c>
      <c r="AU427" t="inlineStr">
        <is>
          <t>18159652:eng</t>
        </is>
      </c>
      <c r="AV427" t="inlineStr">
        <is>
          <t>18497771</t>
        </is>
      </c>
      <c r="AW427" t="inlineStr">
        <is>
          <t>991001358169702656</t>
        </is>
      </c>
      <c r="AX427" t="inlineStr">
        <is>
          <t>991001358169702656</t>
        </is>
      </c>
      <c r="AY427" t="inlineStr">
        <is>
          <t>2271658760002656</t>
        </is>
      </c>
      <c r="AZ427" t="inlineStr">
        <is>
          <t>BOOK</t>
        </is>
      </c>
      <c r="BB427" t="inlineStr">
        <is>
          <t>9780894537455</t>
        </is>
      </c>
      <c r="BC427" t="inlineStr">
        <is>
          <t>32285000509876</t>
        </is>
      </c>
      <c r="BD427" t="inlineStr">
        <is>
          <t>893866167</t>
        </is>
      </c>
    </row>
    <row r="428">
      <c r="A428" t="inlineStr">
        <is>
          <t>No</t>
        </is>
      </c>
      <c r="B428" t="inlineStr">
        <is>
          <t>BX1746 .R534 1981</t>
        </is>
      </c>
      <c r="C428" t="inlineStr">
        <is>
          <t>0                      BX 1746000R  534         1981</t>
        </is>
      </c>
      <c r="D428" t="inlineStr">
        <is>
          <t>The concept of church : a methodological inquiry into the use of metaphors in ecclesiology / Herwi Rikhof.</t>
        </is>
      </c>
      <c r="F428" t="inlineStr">
        <is>
          <t>No</t>
        </is>
      </c>
      <c r="G428" t="inlineStr">
        <is>
          <t>1</t>
        </is>
      </c>
      <c r="H428" t="inlineStr">
        <is>
          <t>No</t>
        </is>
      </c>
      <c r="I428" t="inlineStr">
        <is>
          <t>No</t>
        </is>
      </c>
      <c r="J428" t="inlineStr">
        <is>
          <t>0</t>
        </is>
      </c>
      <c r="K428" t="inlineStr">
        <is>
          <t>Rikhof, Herwi, 1948-</t>
        </is>
      </c>
      <c r="L428" t="inlineStr">
        <is>
          <t>London : Sheed and Ward ; Shepherdstown, W. Va. : Patmos Press, c1981.</t>
        </is>
      </c>
      <c r="M428" t="inlineStr">
        <is>
          <t>1981</t>
        </is>
      </c>
      <c r="O428" t="inlineStr">
        <is>
          <t>eng</t>
        </is>
      </c>
      <c r="P428" t="inlineStr">
        <is>
          <t>enk</t>
        </is>
      </c>
      <c r="R428" t="inlineStr">
        <is>
          <t xml:space="preserve">BX </t>
        </is>
      </c>
      <c r="S428" t="n">
        <v>4</v>
      </c>
      <c r="T428" t="n">
        <v>4</v>
      </c>
      <c r="U428" t="inlineStr">
        <is>
          <t>2004-05-13</t>
        </is>
      </c>
      <c r="V428" t="inlineStr">
        <is>
          <t>2004-05-13</t>
        </is>
      </c>
      <c r="W428" t="inlineStr">
        <is>
          <t>1993-07-30</t>
        </is>
      </c>
      <c r="X428" t="inlineStr">
        <is>
          <t>1993-07-30</t>
        </is>
      </c>
      <c r="Y428" t="n">
        <v>309</v>
      </c>
      <c r="Z428" t="n">
        <v>236</v>
      </c>
      <c r="AA428" t="n">
        <v>240</v>
      </c>
      <c r="AB428" t="n">
        <v>2</v>
      </c>
      <c r="AC428" t="n">
        <v>2</v>
      </c>
      <c r="AD428" t="n">
        <v>29</v>
      </c>
      <c r="AE428" t="n">
        <v>29</v>
      </c>
      <c r="AF428" t="n">
        <v>10</v>
      </c>
      <c r="AG428" t="n">
        <v>10</v>
      </c>
      <c r="AH428" t="n">
        <v>7</v>
      </c>
      <c r="AI428" t="n">
        <v>7</v>
      </c>
      <c r="AJ428" t="n">
        <v>17</v>
      </c>
      <c r="AK428" t="n">
        <v>17</v>
      </c>
      <c r="AL428" t="n">
        <v>1</v>
      </c>
      <c r="AM428" t="n">
        <v>1</v>
      </c>
      <c r="AN428" t="n">
        <v>0</v>
      </c>
      <c r="AO428" t="n">
        <v>0</v>
      </c>
      <c r="AP428" t="inlineStr">
        <is>
          <t>No</t>
        </is>
      </c>
      <c r="AQ428" t="inlineStr">
        <is>
          <t>Yes</t>
        </is>
      </c>
      <c r="AR428">
        <f>HYPERLINK("http://catalog.hathitrust.org/Record/000137816","HathiTrust Record")</f>
        <v/>
      </c>
      <c r="AS428">
        <f>HYPERLINK("https://creighton-primo.hosted.exlibrisgroup.com/primo-explore/search?tab=default_tab&amp;search_scope=EVERYTHING&amp;vid=01CRU&amp;lang=en_US&amp;offset=0&amp;query=any,contains,991005196309702656","Catalog Record")</f>
        <v/>
      </c>
      <c r="AT428">
        <f>HYPERLINK("http://www.worldcat.org/oclc/8047197","WorldCat Record")</f>
        <v/>
      </c>
      <c r="AU428" t="inlineStr">
        <is>
          <t>560204:eng</t>
        </is>
      </c>
      <c r="AV428" t="inlineStr">
        <is>
          <t>8047197</t>
        </is>
      </c>
      <c r="AW428" t="inlineStr">
        <is>
          <t>991005196309702656</t>
        </is>
      </c>
      <c r="AX428" t="inlineStr">
        <is>
          <t>991005196309702656</t>
        </is>
      </c>
      <c r="AY428" t="inlineStr">
        <is>
          <t>2272298060002656</t>
        </is>
      </c>
      <c r="AZ428" t="inlineStr">
        <is>
          <t>BOOK</t>
        </is>
      </c>
      <c r="BB428" t="inlineStr">
        <is>
          <t>9780915762118</t>
        </is>
      </c>
      <c r="BC428" t="inlineStr">
        <is>
          <t>32285001704450</t>
        </is>
      </c>
      <c r="BD428" t="inlineStr">
        <is>
          <t>893424711</t>
        </is>
      </c>
    </row>
    <row r="429">
      <c r="A429" t="inlineStr">
        <is>
          <t>No</t>
        </is>
      </c>
      <c r="B429" t="inlineStr">
        <is>
          <t>BX1746 .S34</t>
        </is>
      </c>
      <c r="C429" t="inlineStr">
        <is>
          <t>0                      BX 1746000S  34</t>
        </is>
      </c>
      <c r="D429" t="inlineStr">
        <is>
          <t>A theology of community / by John P. Schanz.</t>
        </is>
      </c>
      <c r="F429" t="inlineStr">
        <is>
          <t>No</t>
        </is>
      </c>
      <c r="G429" t="inlineStr">
        <is>
          <t>1</t>
        </is>
      </c>
      <c r="H429" t="inlineStr">
        <is>
          <t>No</t>
        </is>
      </c>
      <c r="I429" t="inlineStr">
        <is>
          <t>No</t>
        </is>
      </c>
      <c r="J429" t="inlineStr">
        <is>
          <t>0</t>
        </is>
      </c>
      <c r="K429" t="inlineStr">
        <is>
          <t>Schanz, John P.</t>
        </is>
      </c>
      <c r="L429" t="inlineStr">
        <is>
          <t>Washington, D.C. : University Press of America, 1977.</t>
        </is>
      </c>
      <c r="M429" t="inlineStr">
        <is>
          <t>1977</t>
        </is>
      </c>
      <c r="O429" t="inlineStr">
        <is>
          <t>eng</t>
        </is>
      </c>
      <c r="P429" t="inlineStr">
        <is>
          <t>dcu</t>
        </is>
      </c>
      <c r="R429" t="inlineStr">
        <is>
          <t xml:space="preserve">BX </t>
        </is>
      </c>
      <c r="S429" t="n">
        <v>1</v>
      </c>
      <c r="T429" t="n">
        <v>1</v>
      </c>
      <c r="U429" t="inlineStr">
        <is>
          <t>2005-11-02</t>
        </is>
      </c>
      <c r="V429" t="inlineStr">
        <is>
          <t>2005-11-02</t>
        </is>
      </c>
      <c r="W429" t="inlineStr">
        <is>
          <t>1990-05-24</t>
        </is>
      </c>
      <c r="X429" t="inlineStr">
        <is>
          <t>1990-05-24</t>
        </is>
      </c>
      <c r="Y429" t="n">
        <v>77</v>
      </c>
      <c r="Z429" t="n">
        <v>70</v>
      </c>
      <c r="AA429" t="n">
        <v>70</v>
      </c>
      <c r="AB429" t="n">
        <v>1</v>
      </c>
      <c r="AC429" t="n">
        <v>1</v>
      </c>
      <c r="AD429" t="n">
        <v>9</v>
      </c>
      <c r="AE429" t="n">
        <v>9</v>
      </c>
      <c r="AF429" t="n">
        <v>1</v>
      </c>
      <c r="AG429" t="n">
        <v>1</v>
      </c>
      <c r="AH429" t="n">
        <v>2</v>
      </c>
      <c r="AI429" t="n">
        <v>2</v>
      </c>
      <c r="AJ429" t="n">
        <v>8</v>
      </c>
      <c r="AK429" t="n">
        <v>8</v>
      </c>
      <c r="AL429" t="n">
        <v>0</v>
      </c>
      <c r="AM429" t="n">
        <v>0</v>
      </c>
      <c r="AN429" t="n">
        <v>0</v>
      </c>
      <c r="AO429" t="n">
        <v>0</v>
      </c>
      <c r="AP429" t="inlineStr">
        <is>
          <t>No</t>
        </is>
      </c>
      <c r="AQ429" t="inlineStr">
        <is>
          <t>No</t>
        </is>
      </c>
      <c r="AS429">
        <f>HYPERLINK("https://creighton-primo.hosted.exlibrisgroup.com/primo-explore/search?tab=default_tab&amp;search_scope=EVERYTHING&amp;vid=01CRU&amp;lang=en_US&amp;offset=0&amp;query=any,contains,991004630819702656","Catalog Record")</f>
        <v/>
      </c>
      <c r="AT429">
        <f>HYPERLINK("http://www.worldcat.org/oclc/4368840","WorldCat Record")</f>
        <v/>
      </c>
      <c r="AU429" t="inlineStr">
        <is>
          <t>14681486:eng</t>
        </is>
      </c>
      <c r="AV429" t="inlineStr">
        <is>
          <t>4368840</t>
        </is>
      </c>
      <c r="AW429" t="inlineStr">
        <is>
          <t>991004630819702656</t>
        </is>
      </c>
      <c r="AX429" t="inlineStr">
        <is>
          <t>991004630819702656</t>
        </is>
      </c>
      <c r="AY429" t="inlineStr">
        <is>
          <t>2267729070002656</t>
        </is>
      </c>
      <c r="AZ429" t="inlineStr">
        <is>
          <t>BOOK</t>
        </is>
      </c>
      <c r="BB429" t="inlineStr">
        <is>
          <t>9780819101778</t>
        </is>
      </c>
      <c r="BC429" t="inlineStr">
        <is>
          <t>32285000166453</t>
        </is>
      </c>
      <c r="BD429" t="inlineStr">
        <is>
          <t>893424011</t>
        </is>
      </c>
    </row>
    <row r="430">
      <c r="A430" t="inlineStr">
        <is>
          <t>No</t>
        </is>
      </c>
      <c r="B430" t="inlineStr">
        <is>
          <t>BX1746 .S7 1999</t>
        </is>
      </c>
      <c r="C430" t="inlineStr">
        <is>
          <t>0                      BX 1746000S  7           1999</t>
        </is>
      </c>
      <c r="D430" t="inlineStr">
        <is>
          <t>Authority in the church / David J. Stagaman.</t>
        </is>
      </c>
      <c r="F430" t="inlineStr">
        <is>
          <t>No</t>
        </is>
      </c>
      <c r="G430" t="inlineStr">
        <is>
          <t>1</t>
        </is>
      </c>
      <c r="H430" t="inlineStr">
        <is>
          <t>No</t>
        </is>
      </c>
      <c r="I430" t="inlineStr">
        <is>
          <t>No</t>
        </is>
      </c>
      <c r="J430" t="inlineStr">
        <is>
          <t>0</t>
        </is>
      </c>
      <c r="K430" t="inlineStr">
        <is>
          <t>Stagaman, David J., 1935-</t>
        </is>
      </c>
      <c r="L430" t="inlineStr">
        <is>
          <t>Collegeville, Minn. : Liturgical Press, c1999.</t>
        </is>
      </c>
      <c r="M430" t="inlineStr">
        <is>
          <t>1999</t>
        </is>
      </c>
      <c r="O430" t="inlineStr">
        <is>
          <t>eng</t>
        </is>
      </c>
      <c r="P430" t="inlineStr">
        <is>
          <t>mnu</t>
        </is>
      </c>
      <c r="R430" t="inlineStr">
        <is>
          <t xml:space="preserve">BX </t>
        </is>
      </c>
      <c r="S430" t="n">
        <v>4</v>
      </c>
      <c r="T430" t="n">
        <v>4</v>
      </c>
      <c r="U430" t="inlineStr">
        <is>
          <t>2008-01-27</t>
        </is>
      </c>
      <c r="V430" t="inlineStr">
        <is>
          <t>2008-01-27</t>
        </is>
      </c>
      <c r="W430" t="inlineStr">
        <is>
          <t>2000-10-25</t>
        </is>
      </c>
      <c r="X430" t="inlineStr">
        <is>
          <t>2000-10-25</t>
        </is>
      </c>
      <c r="Y430" t="n">
        <v>203</v>
      </c>
      <c r="Z430" t="n">
        <v>169</v>
      </c>
      <c r="AA430" t="n">
        <v>174</v>
      </c>
      <c r="AB430" t="n">
        <v>2</v>
      </c>
      <c r="AC430" t="n">
        <v>2</v>
      </c>
      <c r="AD430" t="n">
        <v>24</v>
      </c>
      <c r="AE430" t="n">
        <v>24</v>
      </c>
      <c r="AF430" t="n">
        <v>7</v>
      </c>
      <c r="AG430" t="n">
        <v>7</v>
      </c>
      <c r="AH430" t="n">
        <v>7</v>
      </c>
      <c r="AI430" t="n">
        <v>7</v>
      </c>
      <c r="AJ430" t="n">
        <v>16</v>
      </c>
      <c r="AK430" t="n">
        <v>16</v>
      </c>
      <c r="AL430" t="n">
        <v>1</v>
      </c>
      <c r="AM430" t="n">
        <v>1</v>
      </c>
      <c r="AN430" t="n">
        <v>0</v>
      </c>
      <c r="AO430" t="n">
        <v>0</v>
      </c>
      <c r="AP430" t="inlineStr">
        <is>
          <t>No</t>
        </is>
      </c>
      <c r="AQ430" t="inlineStr">
        <is>
          <t>No</t>
        </is>
      </c>
      <c r="AS430">
        <f>HYPERLINK("https://creighton-primo.hosted.exlibrisgroup.com/primo-explore/search?tab=default_tab&amp;search_scope=EVERYTHING&amp;vid=01CRU&amp;lang=en_US&amp;offset=0&amp;query=any,contains,991003258119702656","Catalog Record")</f>
        <v/>
      </c>
      <c r="AT430">
        <f>HYPERLINK("http://www.worldcat.org/oclc/40848564","WorldCat Record")</f>
        <v/>
      </c>
      <c r="AU430" t="inlineStr">
        <is>
          <t>26360459:eng</t>
        </is>
      </c>
      <c r="AV430" t="inlineStr">
        <is>
          <t>40848564</t>
        </is>
      </c>
      <c r="AW430" t="inlineStr">
        <is>
          <t>991003258119702656</t>
        </is>
      </c>
      <c r="AX430" t="inlineStr">
        <is>
          <t>991003258119702656</t>
        </is>
      </c>
      <c r="AY430" t="inlineStr">
        <is>
          <t>2259289190002656</t>
        </is>
      </c>
      <c r="AZ430" t="inlineStr">
        <is>
          <t>BOOK</t>
        </is>
      </c>
      <c r="BB430" t="inlineStr">
        <is>
          <t>9780814659458</t>
        </is>
      </c>
      <c r="BC430" t="inlineStr">
        <is>
          <t>32285004260377</t>
        </is>
      </c>
      <c r="BD430" t="inlineStr">
        <is>
          <t>893809906</t>
        </is>
      </c>
    </row>
    <row r="431">
      <c r="A431" t="inlineStr">
        <is>
          <t>No</t>
        </is>
      </c>
      <c r="B431" t="inlineStr">
        <is>
          <t>BX1746 .V46 1996</t>
        </is>
      </c>
      <c r="C431" t="inlineStr">
        <is>
          <t>0                      BX 1746000V  46          1996</t>
        </is>
      </c>
      <c r="D431" t="inlineStr">
        <is>
          <t>Ecclesiology in context / Johannes A. van der Ven.</t>
        </is>
      </c>
      <c r="F431" t="inlineStr">
        <is>
          <t>No</t>
        </is>
      </c>
      <c r="G431" t="inlineStr">
        <is>
          <t>1</t>
        </is>
      </c>
      <c r="H431" t="inlineStr">
        <is>
          <t>No</t>
        </is>
      </c>
      <c r="I431" t="inlineStr">
        <is>
          <t>No</t>
        </is>
      </c>
      <c r="J431" t="inlineStr">
        <is>
          <t>0</t>
        </is>
      </c>
      <c r="K431" t="inlineStr">
        <is>
          <t>Ven, J. A. van der, 1940-</t>
        </is>
      </c>
      <c r="L431" t="inlineStr">
        <is>
          <t>Grand Rapids, Mich. : William B. Eerdmans Pub., c1996.</t>
        </is>
      </c>
      <c r="M431" t="inlineStr">
        <is>
          <t>1996</t>
        </is>
      </c>
      <c r="O431" t="inlineStr">
        <is>
          <t>eng</t>
        </is>
      </c>
      <c r="P431" t="inlineStr">
        <is>
          <t>miu</t>
        </is>
      </c>
      <c r="R431" t="inlineStr">
        <is>
          <t xml:space="preserve">BX </t>
        </is>
      </c>
      <c r="S431" t="n">
        <v>3</v>
      </c>
      <c r="T431" t="n">
        <v>3</v>
      </c>
      <c r="U431" t="inlineStr">
        <is>
          <t>2005-11-02</t>
        </is>
      </c>
      <c r="V431" t="inlineStr">
        <is>
          <t>2005-11-02</t>
        </is>
      </c>
      <c r="W431" t="inlineStr">
        <is>
          <t>1996-06-25</t>
        </is>
      </c>
      <c r="X431" t="inlineStr">
        <is>
          <t>1996-06-25</t>
        </is>
      </c>
      <c r="Y431" t="n">
        <v>226</v>
      </c>
      <c r="Z431" t="n">
        <v>162</v>
      </c>
      <c r="AA431" t="n">
        <v>164</v>
      </c>
      <c r="AB431" t="n">
        <v>1</v>
      </c>
      <c r="AC431" t="n">
        <v>1</v>
      </c>
      <c r="AD431" t="n">
        <v>12</v>
      </c>
      <c r="AE431" t="n">
        <v>12</v>
      </c>
      <c r="AF431" t="n">
        <v>4</v>
      </c>
      <c r="AG431" t="n">
        <v>4</v>
      </c>
      <c r="AH431" t="n">
        <v>2</v>
      </c>
      <c r="AI431" t="n">
        <v>2</v>
      </c>
      <c r="AJ431" t="n">
        <v>9</v>
      </c>
      <c r="AK431" t="n">
        <v>9</v>
      </c>
      <c r="AL431" t="n">
        <v>0</v>
      </c>
      <c r="AM431" t="n">
        <v>0</v>
      </c>
      <c r="AN431" t="n">
        <v>0</v>
      </c>
      <c r="AO431" t="n">
        <v>0</v>
      </c>
      <c r="AP431" t="inlineStr">
        <is>
          <t>No</t>
        </is>
      </c>
      <c r="AQ431" t="inlineStr">
        <is>
          <t>Yes</t>
        </is>
      </c>
      <c r="AR431">
        <f>HYPERLINK("http://catalog.hathitrust.org/Record/003062593","HathiTrust Record")</f>
        <v/>
      </c>
      <c r="AS431">
        <f>HYPERLINK("https://creighton-primo.hosted.exlibrisgroup.com/primo-explore/search?tab=default_tab&amp;search_scope=EVERYTHING&amp;vid=01CRU&amp;lang=en_US&amp;offset=0&amp;query=any,contains,991002592209702656","Catalog Record")</f>
        <v/>
      </c>
      <c r="AT431">
        <f>HYPERLINK("http://www.worldcat.org/oclc/33968002","WorldCat Record")</f>
        <v/>
      </c>
      <c r="AU431" t="inlineStr">
        <is>
          <t>32403514:eng</t>
        </is>
      </c>
      <c r="AV431" t="inlineStr">
        <is>
          <t>33968002</t>
        </is>
      </c>
      <c r="AW431" t="inlineStr">
        <is>
          <t>991002592209702656</t>
        </is>
      </c>
      <c r="AX431" t="inlineStr">
        <is>
          <t>991002592209702656</t>
        </is>
      </c>
      <c r="AY431" t="inlineStr">
        <is>
          <t>2266986190002656</t>
        </is>
      </c>
      <c r="AZ431" t="inlineStr">
        <is>
          <t>BOOK</t>
        </is>
      </c>
      <c r="BB431" t="inlineStr">
        <is>
          <t>9780802807854</t>
        </is>
      </c>
      <c r="BC431" t="inlineStr">
        <is>
          <t>32285002172863</t>
        </is>
      </c>
      <c r="BD431" t="inlineStr">
        <is>
          <t>893347674</t>
        </is>
      </c>
    </row>
    <row r="432">
      <c r="A432" t="inlineStr">
        <is>
          <t>No</t>
        </is>
      </c>
      <c r="B432" t="inlineStr">
        <is>
          <t>BX1746 .W5 1977</t>
        </is>
      </c>
      <c r="C432" t="inlineStr">
        <is>
          <t>0                      BX 1746000W  5           1977</t>
        </is>
      </c>
      <c r="D432" t="inlineStr">
        <is>
          <t>Why the Church? / edited by Walter J. Burghardt and William G. Thompson ; contributors, J. Peter Schineller ... [et al.].</t>
        </is>
      </c>
      <c r="F432" t="inlineStr">
        <is>
          <t>No</t>
        </is>
      </c>
      <c r="G432" t="inlineStr">
        <is>
          <t>1</t>
        </is>
      </c>
      <c r="H432" t="inlineStr">
        <is>
          <t>No</t>
        </is>
      </c>
      <c r="I432" t="inlineStr">
        <is>
          <t>No</t>
        </is>
      </c>
      <c r="J432" t="inlineStr">
        <is>
          <t>0</t>
        </is>
      </c>
      <c r="L432" t="inlineStr">
        <is>
          <t>New York : Paulist Press, c1977.</t>
        </is>
      </c>
      <c r="M432" t="inlineStr">
        <is>
          <t>1977</t>
        </is>
      </c>
      <c r="O432" t="inlineStr">
        <is>
          <t>eng</t>
        </is>
      </c>
      <c r="P432" t="inlineStr">
        <is>
          <t>nyu</t>
        </is>
      </c>
      <c r="R432" t="inlineStr">
        <is>
          <t xml:space="preserve">BX </t>
        </is>
      </c>
      <c r="S432" t="n">
        <v>3</v>
      </c>
      <c r="T432" t="n">
        <v>3</v>
      </c>
      <c r="U432" t="inlineStr">
        <is>
          <t>2005-05-20</t>
        </is>
      </c>
      <c r="V432" t="inlineStr">
        <is>
          <t>2005-05-20</t>
        </is>
      </c>
      <c r="W432" t="inlineStr">
        <is>
          <t>1990-03-27</t>
        </is>
      </c>
      <c r="X432" t="inlineStr">
        <is>
          <t>1990-03-27</t>
        </is>
      </c>
      <c r="Y432" t="n">
        <v>168</v>
      </c>
      <c r="Z432" t="n">
        <v>139</v>
      </c>
      <c r="AA432" t="n">
        <v>139</v>
      </c>
      <c r="AB432" t="n">
        <v>2</v>
      </c>
      <c r="AC432" t="n">
        <v>2</v>
      </c>
      <c r="AD432" t="n">
        <v>23</v>
      </c>
      <c r="AE432" t="n">
        <v>23</v>
      </c>
      <c r="AF432" t="n">
        <v>7</v>
      </c>
      <c r="AG432" t="n">
        <v>7</v>
      </c>
      <c r="AH432" t="n">
        <v>6</v>
      </c>
      <c r="AI432" t="n">
        <v>6</v>
      </c>
      <c r="AJ432" t="n">
        <v>19</v>
      </c>
      <c r="AK432" t="n">
        <v>19</v>
      </c>
      <c r="AL432" t="n">
        <v>0</v>
      </c>
      <c r="AM432" t="n">
        <v>0</v>
      </c>
      <c r="AN432" t="n">
        <v>0</v>
      </c>
      <c r="AO432" t="n">
        <v>0</v>
      </c>
      <c r="AP432" t="inlineStr">
        <is>
          <t>No</t>
        </is>
      </c>
      <c r="AQ432" t="inlineStr">
        <is>
          <t>No</t>
        </is>
      </c>
      <c r="AS432">
        <f>HYPERLINK("https://creighton-primo.hosted.exlibrisgroup.com/primo-explore/search?tab=default_tab&amp;search_scope=EVERYTHING&amp;vid=01CRU&amp;lang=en_US&amp;offset=0&amp;query=any,contains,991004392719702656","Catalog Record")</f>
        <v/>
      </c>
      <c r="AT432">
        <f>HYPERLINK("http://www.worldcat.org/oclc/3273219","WorldCat Record")</f>
        <v/>
      </c>
      <c r="AU432" t="inlineStr">
        <is>
          <t>9225049:eng</t>
        </is>
      </c>
      <c r="AV432" t="inlineStr">
        <is>
          <t>3273219</t>
        </is>
      </c>
      <c r="AW432" t="inlineStr">
        <is>
          <t>991004392719702656</t>
        </is>
      </c>
      <c r="AX432" t="inlineStr">
        <is>
          <t>991004392719702656</t>
        </is>
      </c>
      <c r="AY432" t="inlineStr">
        <is>
          <t>2260856570002656</t>
        </is>
      </c>
      <c r="AZ432" t="inlineStr">
        <is>
          <t>BOOK</t>
        </is>
      </c>
      <c r="BB432" t="inlineStr">
        <is>
          <t>9780809120284</t>
        </is>
      </c>
      <c r="BC432" t="inlineStr">
        <is>
          <t>32285000097054</t>
        </is>
      </c>
      <c r="BD432" t="inlineStr">
        <is>
          <t>893775967</t>
        </is>
      </c>
    </row>
    <row r="433">
      <c r="A433" t="inlineStr">
        <is>
          <t>No</t>
        </is>
      </c>
      <c r="B433" t="inlineStr">
        <is>
          <t>BX1747 .G7 1983</t>
        </is>
      </c>
      <c r="C433" t="inlineStr">
        <is>
          <t>0                      BX 1747000G  7           1983</t>
        </is>
      </c>
      <c r="D433" t="inlineStr">
        <is>
          <t>Die Geschichte der katholischen Theologie seit dem Ausgang der Väterzeit / Martin Grabmann ; mit Benützung von M.J. Scheebens Grundriss dargestellt.</t>
        </is>
      </c>
      <c r="F433" t="inlineStr">
        <is>
          <t>No</t>
        </is>
      </c>
      <c r="G433" t="inlineStr">
        <is>
          <t>1</t>
        </is>
      </c>
      <c r="H433" t="inlineStr">
        <is>
          <t>No</t>
        </is>
      </c>
      <c r="I433" t="inlineStr">
        <is>
          <t>No</t>
        </is>
      </c>
      <c r="J433" t="inlineStr">
        <is>
          <t>0</t>
        </is>
      </c>
      <c r="K433" t="inlineStr">
        <is>
          <t>Grabmann, Martin, 1875-1949.</t>
        </is>
      </c>
      <c r="M433" t="inlineStr">
        <is>
          <t>1980</t>
        </is>
      </c>
      <c r="O433" t="inlineStr">
        <is>
          <t>ger</t>
        </is>
      </c>
      <c r="P433" t="inlineStr">
        <is>
          <t xml:space="preserve">gw </t>
        </is>
      </c>
      <c r="R433" t="inlineStr">
        <is>
          <t xml:space="preserve">BX </t>
        </is>
      </c>
      <c r="S433" t="n">
        <v>2</v>
      </c>
      <c r="T433" t="n">
        <v>2</v>
      </c>
      <c r="U433" t="inlineStr">
        <is>
          <t>1992-05-15</t>
        </is>
      </c>
      <c r="V433" t="inlineStr">
        <is>
          <t>1992-05-15</t>
        </is>
      </c>
      <c r="W433" t="inlineStr">
        <is>
          <t>1991-04-09</t>
        </is>
      </c>
      <c r="X433" t="inlineStr">
        <is>
          <t>1991-04-09</t>
        </is>
      </c>
      <c r="Y433" t="n">
        <v>7</v>
      </c>
      <c r="Z433" t="n">
        <v>2</v>
      </c>
      <c r="AA433" t="n">
        <v>125</v>
      </c>
      <c r="AB433" t="n">
        <v>1</v>
      </c>
      <c r="AC433" t="n">
        <v>1</v>
      </c>
      <c r="AD433" t="n">
        <v>0</v>
      </c>
      <c r="AE433" t="n">
        <v>9</v>
      </c>
      <c r="AF433" t="n">
        <v>0</v>
      </c>
      <c r="AG433" t="n">
        <v>1</v>
      </c>
      <c r="AH433" t="n">
        <v>0</v>
      </c>
      <c r="AI433" t="n">
        <v>4</v>
      </c>
      <c r="AJ433" t="n">
        <v>0</v>
      </c>
      <c r="AK433" t="n">
        <v>7</v>
      </c>
      <c r="AL433" t="n">
        <v>0</v>
      </c>
      <c r="AM433" t="n">
        <v>0</v>
      </c>
      <c r="AN433" t="n">
        <v>0</v>
      </c>
      <c r="AO433" t="n">
        <v>0</v>
      </c>
      <c r="AP433" t="inlineStr">
        <is>
          <t>No</t>
        </is>
      </c>
      <c r="AQ433" t="inlineStr">
        <is>
          <t>Yes</t>
        </is>
      </c>
      <c r="AR433">
        <f>HYPERLINK("http://catalog.hathitrust.org/Record/102078770","HathiTrust Record")</f>
        <v/>
      </c>
      <c r="AS433">
        <f>HYPERLINK("https://creighton-primo.hosted.exlibrisgroup.com/primo-explore/search?tab=default_tab&amp;search_scope=EVERYTHING&amp;vid=01CRU&amp;lang=en_US&amp;offset=0&amp;query=any,contains,991000229879702656","Catalog Record")</f>
        <v/>
      </c>
      <c r="AT433">
        <f>HYPERLINK("http://www.worldcat.org/oclc/9631783","WorldCat Record")</f>
        <v/>
      </c>
      <c r="AU433" t="inlineStr">
        <is>
          <t>352479973:ger</t>
        </is>
      </c>
      <c r="AV433" t="inlineStr">
        <is>
          <t>9631783</t>
        </is>
      </c>
      <c r="AW433" t="inlineStr">
        <is>
          <t>991000229879702656</t>
        </is>
      </c>
      <c r="AX433" t="inlineStr">
        <is>
          <t>991000229879702656</t>
        </is>
      </c>
      <c r="AY433" t="inlineStr">
        <is>
          <t>2265467720002656</t>
        </is>
      </c>
      <c r="AZ433" t="inlineStr">
        <is>
          <t>BOOK</t>
        </is>
      </c>
      <c r="BB433" t="inlineStr">
        <is>
          <t>9783534011063</t>
        </is>
      </c>
      <c r="BC433" t="inlineStr">
        <is>
          <t>32285000531896</t>
        </is>
      </c>
      <c r="BD433" t="inlineStr">
        <is>
          <t>893508641</t>
        </is>
      </c>
    </row>
    <row r="434">
      <c r="A434" t="inlineStr">
        <is>
          <t>No</t>
        </is>
      </c>
      <c r="B434" t="inlineStr">
        <is>
          <t>BX1747 .K47 1990</t>
        </is>
      </c>
      <c r="C434" t="inlineStr">
        <is>
          <t>0                      BX 1747000K  47          1990</t>
        </is>
      </c>
      <c r="D434" t="inlineStr">
        <is>
          <t>Newman on being a Christian / Ian Ker.</t>
        </is>
      </c>
      <c r="F434" t="inlineStr">
        <is>
          <t>No</t>
        </is>
      </c>
      <c r="G434" t="inlineStr">
        <is>
          <t>1</t>
        </is>
      </c>
      <c r="H434" t="inlineStr">
        <is>
          <t>No</t>
        </is>
      </c>
      <c r="I434" t="inlineStr">
        <is>
          <t>No</t>
        </is>
      </c>
      <c r="J434" t="inlineStr">
        <is>
          <t>0</t>
        </is>
      </c>
      <c r="K434" t="inlineStr">
        <is>
          <t>Ker, I. T. (Ian Turnbull)</t>
        </is>
      </c>
      <c r="L434" t="inlineStr">
        <is>
          <t>Notre Dame, Ind. : University of Notre Dame Press, c1990.</t>
        </is>
      </c>
      <c r="M434" t="inlineStr">
        <is>
          <t>1990</t>
        </is>
      </c>
      <c r="O434" t="inlineStr">
        <is>
          <t>eng</t>
        </is>
      </c>
      <c r="P434" t="inlineStr">
        <is>
          <t>inu</t>
        </is>
      </c>
      <c r="R434" t="inlineStr">
        <is>
          <t xml:space="preserve">BX </t>
        </is>
      </c>
      <c r="S434" t="n">
        <v>5</v>
      </c>
      <c r="T434" t="n">
        <v>5</v>
      </c>
      <c r="U434" t="inlineStr">
        <is>
          <t>2010-03-02</t>
        </is>
      </c>
      <c r="V434" t="inlineStr">
        <is>
          <t>2010-03-02</t>
        </is>
      </c>
      <c r="W434" t="inlineStr">
        <is>
          <t>1992-02-10</t>
        </is>
      </c>
      <c r="X434" t="inlineStr">
        <is>
          <t>1992-02-10</t>
        </is>
      </c>
      <c r="Y434" t="n">
        <v>469</v>
      </c>
      <c r="Z434" t="n">
        <v>412</v>
      </c>
      <c r="AA434" t="n">
        <v>424</v>
      </c>
      <c r="AB434" t="n">
        <v>4</v>
      </c>
      <c r="AC434" t="n">
        <v>4</v>
      </c>
      <c r="AD434" t="n">
        <v>36</v>
      </c>
      <c r="AE434" t="n">
        <v>36</v>
      </c>
      <c r="AF434" t="n">
        <v>13</v>
      </c>
      <c r="AG434" t="n">
        <v>13</v>
      </c>
      <c r="AH434" t="n">
        <v>8</v>
      </c>
      <c r="AI434" t="n">
        <v>8</v>
      </c>
      <c r="AJ434" t="n">
        <v>24</v>
      </c>
      <c r="AK434" t="n">
        <v>24</v>
      </c>
      <c r="AL434" t="n">
        <v>2</v>
      </c>
      <c r="AM434" t="n">
        <v>2</v>
      </c>
      <c r="AN434" t="n">
        <v>0</v>
      </c>
      <c r="AO434" t="n">
        <v>0</v>
      </c>
      <c r="AP434" t="inlineStr">
        <is>
          <t>No</t>
        </is>
      </c>
      <c r="AQ434" t="inlineStr">
        <is>
          <t>Yes</t>
        </is>
      </c>
      <c r="AR434">
        <f>HYPERLINK("http://catalog.hathitrust.org/Record/002451641","HathiTrust Record")</f>
        <v/>
      </c>
      <c r="AS434">
        <f>HYPERLINK("https://creighton-primo.hosted.exlibrisgroup.com/primo-explore/search?tab=default_tab&amp;search_scope=EVERYTHING&amp;vid=01CRU&amp;lang=en_US&amp;offset=0&amp;query=any,contains,991001644729702656","Catalog Record")</f>
        <v/>
      </c>
      <c r="AT434">
        <f>HYPERLINK("http://www.worldcat.org/oclc/21041293","WorldCat Record")</f>
        <v/>
      </c>
      <c r="AU434" t="inlineStr">
        <is>
          <t>22710886:eng</t>
        </is>
      </c>
      <c r="AV434" t="inlineStr">
        <is>
          <t>21041293</t>
        </is>
      </c>
      <c r="AW434" t="inlineStr">
        <is>
          <t>991001644729702656</t>
        </is>
      </c>
      <c r="AX434" t="inlineStr">
        <is>
          <t>991001644729702656</t>
        </is>
      </c>
      <c r="AY434" t="inlineStr">
        <is>
          <t>2267253850002656</t>
        </is>
      </c>
      <c r="AZ434" t="inlineStr">
        <is>
          <t>BOOK</t>
        </is>
      </c>
      <c r="BB434" t="inlineStr">
        <is>
          <t>9780268014681</t>
        </is>
      </c>
      <c r="BC434" t="inlineStr">
        <is>
          <t>32285000868926</t>
        </is>
      </c>
      <c r="BD434" t="inlineStr">
        <is>
          <t>893602758</t>
        </is>
      </c>
    </row>
    <row r="435">
      <c r="A435" t="inlineStr">
        <is>
          <t>No</t>
        </is>
      </c>
      <c r="B435" t="inlineStr">
        <is>
          <t>BX1747 .M25 1989</t>
        </is>
      </c>
      <c r="C435" t="inlineStr">
        <is>
          <t>0                      BX 1747000M  25          1989</t>
        </is>
      </c>
      <c r="D435" t="inlineStr">
        <is>
          <t>Nineteenth-century scholasticism : the search for a unitary method / Gerald A. McCool.</t>
        </is>
      </c>
      <c r="F435" t="inlineStr">
        <is>
          <t>No</t>
        </is>
      </c>
      <c r="G435" t="inlineStr">
        <is>
          <t>1</t>
        </is>
      </c>
      <c r="H435" t="inlineStr">
        <is>
          <t>No</t>
        </is>
      </c>
      <c r="I435" t="inlineStr">
        <is>
          <t>No</t>
        </is>
      </c>
      <c r="J435" t="inlineStr">
        <is>
          <t>0</t>
        </is>
      </c>
      <c r="K435" t="inlineStr">
        <is>
          <t>McCool, Gerald A.</t>
        </is>
      </c>
      <c r="L435" t="inlineStr">
        <is>
          <t>New York : Fordham University Press, 1989, c1977.</t>
        </is>
      </c>
      <c r="M435" t="inlineStr">
        <is>
          <t>1989</t>
        </is>
      </c>
      <c r="O435" t="inlineStr">
        <is>
          <t>eng</t>
        </is>
      </c>
      <c r="P435" t="inlineStr">
        <is>
          <t>nyu</t>
        </is>
      </c>
      <c r="R435" t="inlineStr">
        <is>
          <t xml:space="preserve">BX </t>
        </is>
      </c>
      <c r="S435" t="n">
        <v>3</v>
      </c>
      <c r="T435" t="n">
        <v>3</v>
      </c>
      <c r="U435" t="inlineStr">
        <is>
          <t>2005-09-28</t>
        </is>
      </c>
      <c r="V435" t="inlineStr">
        <is>
          <t>2005-09-28</t>
        </is>
      </c>
      <c r="W435" t="inlineStr">
        <is>
          <t>1990-05-08</t>
        </is>
      </c>
      <c r="X435" t="inlineStr">
        <is>
          <t>1990-05-08</t>
        </is>
      </c>
      <c r="Y435" t="n">
        <v>148</v>
      </c>
      <c r="Z435" t="n">
        <v>117</v>
      </c>
      <c r="AA435" t="n">
        <v>240</v>
      </c>
      <c r="AB435" t="n">
        <v>2</v>
      </c>
      <c r="AC435" t="n">
        <v>4</v>
      </c>
      <c r="AD435" t="n">
        <v>14</v>
      </c>
      <c r="AE435" t="n">
        <v>17</v>
      </c>
      <c r="AF435" t="n">
        <v>4</v>
      </c>
      <c r="AG435" t="n">
        <v>5</v>
      </c>
      <c r="AH435" t="n">
        <v>5</v>
      </c>
      <c r="AI435" t="n">
        <v>5</v>
      </c>
      <c r="AJ435" t="n">
        <v>11</v>
      </c>
      <c r="AK435" t="n">
        <v>11</v>
      </c>
      <c r="AL435" t="n">
        <v>0</v>
      </c>
      <c r="AM435" t="n">
        <v>2</v>
      </c>
      <c r="AN435" t="n">
        <v>0</v>
      </c>
      <c r="AO435" t="n">
        <v>0</v>
      </c>
      <c r="AP435" t="inlineStr">
        <is>
          <t>No</t>
        </is>
      </c>
      <c r="AQ435" t="inlineStr">
        <is>
          <t>No</t>
        </is>
      </c>
      <c r="AS435">
        <f>HYPERLINK("https://creighton-primo.hosted.exlibrisgroup.com/primo-explore/search?tab=default_tab&amp;search_scope=EVERYTHING&amp;vid=01CRU&amp;lang=en_US&amp;offset=0&amp;query=any,contains,991001583259702656","Catalog Record")</f>
        <v/>
      </c>
      <c r="AT435">
        <f>HYPERLINK("http://www.worldcat.org/oclc/20501408","WorldCat Record")</f>
        <v/>
      </c>
      <c r="AU435" t="inlineStr">
        <is>
          <t>2864135846:eng</t>
        </is>
      </c>
      <c r="AV435" t="inlineStr">
        <is>
          <t>20501408</t>
        </is>
      </c>
      <c r="AW435" t="inlineStr">
        <is>
          <t>991001583259702656</t>
        </is>
      </c>
      <c r="AX435" t="inlineStr">
        <is>
          <t>991001583259702656</t>
        </is>
      </c>
      <c r="AY435" t="inlineStr">
        <is>
          <t>2268543280002656</t>
        </is>
      </c>
      <c r="AZ435" t="inlineStr">
        <is>
          <t>BOOK</t>
        </is>
      </c>
      <c r="BB435" t="inlineStr">
        <is>
          <t>9780823212576</t>
        </is>
      </c>
      <c r="BC435" t="inlineStr">
        <is>
          <t>32285000135813</t>
        </is>
      </c>
      <c r="BD435" t="inlineStr">
        <is>
          <t>893256326</t>
        </is>
      </c>
    </row>
    <row r="436">
      <c r="A436" t="inlineStr">
        <is>
          <t>No</t>
        </is>
      </c>
      <c r="B436" t="inlineStr">
        <is>
          <t>BX1747.5 .B4 1989, v.1</t>
        </is>
      </c>
      <c r="C436" t="inlineStr">
        <is>
          <t>0                      BX 1747500B  4           1989                                        v.1</t>
        </is>
      </c>
      <c r="D436" t="inlineStr">
        <is>
          <t>Understanding the Christian faith / Frans Jozef van Beeck.</t>
        </is>
      </c>
      <c r="E436" t="inlineStr">
        <is>
          <t>V. 1</t>
        </is>
      </c>
      <c r="F436" t="inlineStr">
        <is>
          <t>No</t>
        </is>
      </c>
      <c r="G436" t="inlineStr">
        <is>
          <t>1</t>
        </is>
      </c>
      <c r="H436" t="inlineStr">
        <is>
          <t>No</t>
        </is>
      </c>
      <c r="I436" t="inlineStr">
        <is>
          <t>No</t>
        </is>
      </c>
      <c r="J436" t="inlineStr">
        <is>
          <t>0</t>
        </is>
      </c>
      <c r="K436" t="inlineStr">
        <is>
          <t>Beeck, Frans Jozef van.</t>
        </is>
      </c>
      <c r="L436" t="inlineStr">
        <is>
          <t>San Francisco : Harper &amp; Row, c1989.</t>
        </is>
      </c>
      <c r="M436" t="inlineStr">
        <is>
          <t>1989</t>
        </is>
      </c>
      <c r="N436" t="inlineStr">
        <is>
          <t>1st ed.</t>
        </is>
      </c>
      <c r="O436" t="inlineStr">
        <is>
          <t>eng</t>
        </is>
      </c>
      <c r="P436" t="inlineStr">
        <is>
          <t>cau</t>
        </is>
      </c>
      <c r="Q436" t="inlineStr">
        <is>
          <t>God encountered ; v. 1</t>
        </is>
      </c>
      <c r="R436" t="inlineStr">
        <is>
          <t xml:space="preserve">BX </t>
        </is>
      </c>
      <c r="S436" t="n">
        <v>4</v>
      </c>
      <c r="T436" t="n">
        <v>4</v>
      </c>
      <c r="U436" t="inlineStr">
        <is>
          <t>1995-01-16</t>
        </is>
      </c>
      <c r="V436" t="inlineStr">
        <is>
          <t>1995-01-16</t>
        </is>
      </c>
      <c r="W436" t="inlineStr">
        <is>
          <t>1991-04-09</t>
        </is>
      </c>
      <c r="X436" t="inlineStr">
        <is>
          <t>1991-04-09</t>
        </is>
      </c>
      <c r="Y436" t="n">
        <v>154</v>
      </c>
      <c r="Z436" t="n">
        <v>142</v>
      </c>
      <c r="AA436" t="n">
        <v>142</v>
      </c>
      <c r="AB436" t="n">
        <v>2</v>
      </c>
      <c r="AC436" t="n">
        <v>2</v>
      </c>
      <c r="AD436" t="n">
        <v>12</v>
      </c>
      <c r="AE436" t="n">
        <v>12</v>
      </c>
      <c r="AF436" t="n">
        <v>2</v>
      </c>
      <c r="AG436" t="n">
        <v>2</v>
      </c>
      <c r="AH436" t="n">
        <v>3</v>
      </c>
      <c r="AI436" t="n">
        <v>3</v>
      </c>
      <c r="AJ436" t="n">
        <v>11</v>
      </c>
      <c r="AK436" t="n">
        <v>11</v>
      </c>
      <c r="AL436" t="n">
        <v>0</v>
      </c>
      <c r="AM436" t="n">
        <v>0</v>
      </c>
      <c r="AN436" t="n">
        <v>0</v>
      </c>
      <c r="AO436" t="n">
        <v>0</v>
      </c>
      <c r="AP436" t="inlineStr">
        <is>
          <t>No</t>
        </is>
      </c>
      <c r="AQ436" t="inlineStr">
        <is>
          <t>No</t>
        </is>
      </c>
      <c r="AS436">
        <f>HYPERLINK("https://creighton-primo.hosted.exlibrisgroup.com/primo-explore/search?tab=default_tab&amp;search_scope=EVERYTHING&amp;vid=01CRU&amp;lang=en_US&amp;offset=0&amp;query=any,contains,991001347719702656","Catalog Record")</f>
        <v/>
      </c>
      <c r="AT436">
        <f>HYPERLINK("http://www.worldcat.org/oclc/18416100","WorldCat Record")</f>
        <v/>
      </c>
      <c r="AU436" t="inlineStr">
        <is>
          <t>17484736:eng</t>
        </is>
      </c>
      <c r="AV436" t="inlineStr">
        <is>
          <t>18416100</t>
        </is>
      </c>
      <c r="AW436" t="inlineStr">
        <is>
          <t>991001347719702656</t>
        </is>
      </c>
      <c r="AX436" t="inlineStr">
        <is>
          <t>991001347719702656</t>
        </is>
      </c>
      <c r="AY436" t="inlineStr">
        <is>
          <t>2256332290002656</t>
        </is>
      </c>
      <c r="AZ436" t="inlineStr">
        <is>
          <t>BOOK</t>
        </is>
      </c>
      <c r="BB436" t="inlineStr">
        <is>
          <t>9780060688288</t>
        </is>
      </c>
      <c r="BC436" t="inlineStr">
        <is>
          <t>32285000531961</t>
        </is>
      </c>
      <c r="BD436" t="inlineStr">
        <is>
          <t>893408054</t>
        </is>
      </c>
    </row>
    <row r="437">
      <c r="A437" t="inlineStr">
        <is>
          <t>No</t>
        </is>
      </c>
      <c r="B437" t="inlineStr">
        <is>
          <t>BX1747.5 .B4 1989, v.2, pt...</t>
        </is>
      </c>
      <c r="C437" t="inlineStr">
        <is>
          <t>0                      BX 1747500B  4           1989                                        v.2, pt...</t>
        </is>
      </c>
      <c r="D437" t="inlineStr">
        <is>
          <t>The revelation of the glory / Frans Jozef van Beeck.</t>
        </is>
      </c>
      <c r="E437" t="inlineStr">
        <is>
          <t>V. 2 PT. 4B</t>
        </is>
      </c>
      <c r="F437" t="inlineStr">
        <is>
          <t>Yes</t>
        </is>
      </c>
      <c r="G437" t="inlineStr">
        <is>
          <t>1</t>
        </is>
      </c>
      <c r="H437" t="inlineStr">
        <is>
          <t>No</t>
        </is>
      </c>
      <c r="I437" t="inlineStr">
        <is>
          <t>No</t>
        </is>
      </c>
      <c r="J437" t="inlineStr">
        <is>
          <t>0</t>
        </is>
      </c>
      <c r="K437" t="inlineStr">
        <is>
          <t>Beeck, Frans Jozef van.</t>
        </is>
      </c>
      <c r="L437" t="inlineStr">
        <is>
          <t>Collegeville, Minn. : Liturgical Press, c1993-</t>
        </is>
      </c>
      <c r="M437" t="inlineStr">
        <is>
          <t>1993</t>
        </is>
      </c>
      <c r="N437" t="inlineStr">
        <is>
          <t>1st ed.</t>
        </is>
      </c>
      <c r="O437" t="inlineStr">
        <is>
          <t>eng</t>
        </is>
      </c>
      <c r="P437" t="inlineStr">
        <is>
          <t>mnu</t>
        </is>
      </c>
      <c r="Q437" t="inlineStr">
        <is>
          <t>God encountered ; v. 2</t>
        </is>
      </c>
      <c r="R437" t="inlineStr">
        <is>
          <t xml:space="preserve">BX </t>
        </is>
      </c>
      <c r="S437" t="n">
        <v>1</v>
      </c>
      <c r="T437" t="n">
        <v>16</v>
      </c>
      <c r="U437" t="inlineStr">
        <is>
          <t>2002-04-05</t>
        </is>
      </c>
      <c r="V437" t="inlineStr">
        <is>
          <t>2002-04-05</t>
        </is>
      </c>
      <c r="W437" t="inlineStr">
        <is>
          <t>2002-02-28</t>
        </is>
      </c>
      <c r="X437" t="inlineStr">
        <is>
          <t>2002-02-28</t>
        </is>
      </c>
      <c r="Y437" t="n">
        <v>44</v>
      </c>
      <c r="Z437" t="n">
        <v>40</v>
      </c>
      <c r="AA437" t="n">
        <v>40</v>
      </c>
      <c r="AB437" t="n">
        <v>1</v>
      </c>
      <c r="AC437" t="n">
        <v>1</v>
      </c>
      <c r="AD437" t="n">
        <v>8</v>
      </c>
      <c r="AE437" t="n">
        <v>8</v>
      </c>
      <c r="AF437" t="n">
        <v>1</v>
      </c>
      <c r="AG437" t="n">
        <v>1</v>
      </c>
      <c r="AH437" t="n">
        <v>1</v>
      </c>
      <c r="AI437" t="n">
        <v>1</v>
      </c>
      <c r="AJ437" t="n">
        <v>8</v>
      </c>
      <c r="AK437" t="n">
        <v>8</v>
      </c>
      <c r="AL437" t="n">
        <v>0</v>
      </c>
      <c r="AM437" t="n">
        <v>0</v>
      </c>
      <c r="AN437" t="n">
        <v>0</v>
      </c>
      <c r="AO437" t="n">
        <v>0</v>
      </c>
      <c r="AP437" t="inlineStr">
        <is>
          <t>No</t>
        </is>
      </c>
      <c r="AQ437" t="inlineStr">
        <is>
          <t>No</t>
        </is>
      </c>
      <c r="AS437">
        <f>HYPERLINK("https://creighton-primo.hosted.exlibrisgroup.com/primo-explore/search?tab=default_tab&amp;search_scope=EVERYTHING&amp;vid=01CRU&amp;lang=en_US&amp;offset=0&amp;query=any,contains,991002241369702656","Catalog Record")</f>
        <v/>
      </c>
      <c r="AT437">
        <f>HYPERLINK("http://www.worldcat.org/oclc/28905066","WorldCat Record")</f>
        <v/>
      </c>
      <c r="AU437" t="inlineStr">
        <is>
          <t>2278799808:eng</t>
        </is>
      </c>
      <c r="AV437" t="inlineStr">
        <is>
          <t>28905066</t>
        </is>
      </c>
      <c r="AW437" t="inlineStr">
        <is>
          <t>991002241369702656</t>
        </is>
      </c>
      <c r="AX437" t="inlineStr">
        <is>
          <t>991002241369702656</t>
        </is>
      </c>
      <c r="AY437" t="inlineStr">
        <is>
          <t>2264294010002656</t>
        </is>
      </c>
      <c r="AZ437" t="inlineStr">
        <is>
          <t>BOOK</t>
        </is>
      </c>
      <c r="BB437" t="inlineStr">
        <is>
          <t>9780814654989</t>
        </is>
      </c>
      <c r="BC437" t="inlineStr">
        <is>
          <t>32285004458765</t>
        </is>
      </c>
      <c r="BD437" t="inlineStr">
        <is>
          <t>893615879</t>
        </is>
      </c>
    </row>
    <row r="438">
      <c r="A438" t="inlineStr">
        <is>
          <t>No</t>
        </is>
      </c>
      <c r="B438" t="inlineStr">
        <is>
          <t>BX1747.5 .B4 1989, v.2, pt...</t>
        </is>
      </c>
      <c r="C438" t="inlineStr">
        <is>
          <t>0                      BX 1747500B  4           1989                                        v.2, pt...</t>
        </is>
      </c>
      <c r="D438" t="inlineStr">
        <is>
          <t>The revelation of the glory / Frans Jozef van Beeck.</t>
        </is>
      </c>
      <c r="E438" t="inlineStr">
        <is>
          <t>V. 2 PT. 1</t>
        </is>
      </c>
      <c r="F438" t="inlineStr">
        <is>
          <t>Yes</t>
        </is>
      </c>
      <c r="G438" t="inlineStr">
        <is>
          <t>1</t>
        </is>
      </c>
      <c r="H438" t="inlineStr">
        <is>
          <t>No</t>
        </is>
      </c>
      <c r="I438" t="inlineStr">
        <is>
          <t>No</t>
        </is>
      </c>
      <c r="J438" t="inlineStr">
        <is>
          <t>0</t>
        </is>
      </c>
      <c r="K438" t="inlineStr">
        <is>
          <t>Beeck, Frans Jozef van.</t>
        </is>
      </c>
      <c r="L438" t="inlineStr">
        <is>
          <t>Collegeville, Minn. : Liturgical Press, c1993-</t>
        </is>
      </c>
      <c r="M438" t="inlineStr">
        <is>
          <t>1993</t>
        </is>
      </c>
      <c r="N438" t="inlineStr">
        <is>
          <t>1st ed.</t>
        </is>
      </c>
      <c r="O438" t="inlineStr">
        <is>
          <t>eng</t>
        </is>
      </c>
      <c r="P438" t="inlineStr">
        <is>
          <t>mnu</t>
        </is>
      </c>
      <c r="Q438" t="inlineStr">
        <is>
          <t>God encountered ; v. 2</t>
        </is>
      </c>
      <c r="R438" t="inlineStr">
        <is>
          <t xml:space="preserve">BX </t>
        </is>
      </c>
      <c r="S438" t="n">
        <v>4</v>
      </c>
      <c r="T438" t="n">
        <v>16</v>
      </c>
      <c r="U438" t="inlineStr">
        <is>
          <t>1998-09-27</t>
        </is>
      </c>
      <c r="V438" t="inlineStr">
        <is>
          <t>2002-04-05</t>
        </is>
      </c>
      <c r="W438" t="inlineStr">
        <is>
          <t>1995-01-03</t>
        </is>
      </c>
      <c r="X438" t="inlineStr">
        <is>
          <t>2002-02-28</t>
        </is>
      </c>
      <c r="Y438" t="n">
        <v>44</v>
      </c>
      <c r="Z438" t="n">
        <v>40</v>
      </c>
      <c r="AA438" t="n">
        <v>40</v>
      </c>
      <c r="AB438" t="n">
        <v>1</v>
      </c>
      <c r="AC438" t="n">
        <v>1</v>
      </c>
      <c r="AD438" t="n">
        <v>8</v>
      </c>
      <c r="AE438" t="n">
        <v>8</v>
      </c>
      <c r="AF438" t="n">
        <v>1</v>
      </c>
      <c r="AG438" t="n">
        <v>1</v>
      </c>
      <c r="AH438" t="n">
        <v>1</v>
      </c>
      <c r="AI438" t="n">
        <v>1</v>
      </c>
      <c r="AJ438" t="n">
        <v>8</v>
      </c>
      <c r="AK438" t="n">
        <v>8</v>
      </c>
      <c r="AL438" t="n">
        <v>0</v>
      </c>
      <c r="AM438" t="n">
        <v>0</v>
      </c>
      <c r="AN438" t="n">
        <v>0</v>
      </c>
      <c r="AO438" t="n">
        <v>0</v>
      </c>
      <c r="AP438" t="inlineStr">
        <is>
          <t>No</t>
        </is>
      </c>
      <c r="AQ438" t="inlineStr">
        <is>
          <t>No</t>
        </is>
      </c>
      <c r="AS438">
        <f>HYPERLINK("https://creighton-primo.hosted.exlibrisgroup.com/primo-explore/search?tab=default_tab&amp;search_scope=EVERYTHING&amp;vid=01CRU&amp;lang=en_US&amp;offset=0&amp;query=any,contains,991002241369702656","Catalog Record")</f>
        <v/>
      </c>
      <c r="AT438">
        <f>HYPERLINK("http://www.worldcat.org/oclc/28905066","WorldCat Record")</f>
        <v/>
      </c>
      <c r="AU438" t="inlineStr">
        <is>
          <t>2278799808:eng</t>
        </is>
      </c>
      <c r="AV438" t="inlineStr">
        <is>
          <t>28905066</t>
        </is>
      </c>
      <c r="AW438" t="inlineStr">
        <is>
          <t>991002241369702656</t>
        </is>
      </c>
      <c r="AX438" t="inlineStr">
        <is>
          <t>991002241369702656</t>
        </is>
      </c>
      <c r="AY438" t="inlineStr">
        <is>
          <t>2264294010002656</t>
        </is>
      </c>
      <c r="AZ438" t="inlineStr">
        <is>
          <t>BOOK</t>
        </is>
      </c>
      <c r="BB438" t="inlineStr">
        <is>
          <t>9780814654989</t>
        </is>
      </c>
      <c r="BC438" t="inlineStr">
        <is>
          <t>32285001986065</t>
        </is>
      </c>
      <c r="BD438" t="inlineStr">
        <is>
          <t>893615878</t>
        </is>
      </c>
    </row>
    <row r="439">
      <c r="A439" t="inlineStr">
        <is>
          <t>No</t>
        </is>
      </c>
      <c r="B439" t="inlineStr">
        <is>
          <t>BX1747.5 .B4 1989, v.2, pt...</t>
        </is>
      </c>
      <c r="C439" t="inlineStr">
        <is>
          <t>0                      BX 1747500B  4           1989                                        v.2, pt...</t>
        </is>
      </c>
      <c r="D439" t="inlineStr">
        <is>
          <t>The revelation of the glory / Frans Jozef van Beeck.</t>
        </is>
      </c>
      <c r="E439" t="inlineStr">
        <is>
          <t>V. 2 PT. 3</t>
        </is>
      </c>
      <c r="F439" t="inlineStr">
        <is>
          <t>Yes</t>
        </is>
      </c>
      <c r="G439" t="inlineStr">
        <is>
          <t>1</t>
        </is>
      </c>
      <c r="H439" t="inlineStr">
        <is>
          <t>No</t>
        </is>
      </c>
      <c r="I439" t="inlineStr">
        <is>
          <t>No</t>
        </is>
      </c>
      <c r="J439" t="inlineStr">
        <is>
          <t>0</t>
        </is>
      </c>
      <c r="K439" t="inlineStr">
        <is>
          <t>Beeck, Frans Jozef van.</t>
        </is>
      </c>
      <c r="L439" t="inlineStr">
        <is>
          <t>Collegeville, Minn. : Liturgical Press, c1993-</t>
        </is>
      </c>
      <c r="M439" t="inlineStr">
        <is>
          <t>1993</t>
        </is>
      </c>
      <c r="N439" t="inlineStr">
        <is>
          <t>1st ed.</t>
        </is>
      </c>
      <c r="O439" t="inlineStr">
        <is>
          <t>eng</t>
        </is>
      </c>
      <c r="P439" t="inlineStr">
        <is>
          <t>mnu</t>
        </is>
      </c>
      <c r="Q439" t="inlineStr">
        <is>
          <t>God encountered ; v. 2</t>
        </is>
      </c>
      <c r="R439" t="inlineStr">
        <is>
          <t xml:space="preserve">BX </t>
        </is>
      </c>
      <c r="S439" t="n">
        <v>7</v>
      </c>
      <c r="T439" t="n">
        <v>16</v>
      </c>
      <c r="U439" t="inlineStr">
        <is>
          <t>1998-09-27</t>
        </is>
      </c>
      <c r="V439" t="inlineStr">
        <is>
          <t>2002-04-05</t>
        </is>
      </c>
      <c r="W439" t="inlineStr">
        <is>
          <t>1996-10-03</t>
        </is>
      </c>
      <c r="X439" t="inlineStr">
        <is>
          <t>2002-02-28</t>
        </is>
      </c>
      <c r="Y439" t="n">
        <v>44</v>
      </c>
      <c r="Z439" t="n">
        <v>40</v>
      </c>
      <c r="AA439" t="n">
        <v>40</v>
      </c>
      <c r="AB439" t="n">
        <v>1</v>
      </c>
      <c r="AC439" t="n">
        <v>1</v>
      </c>
      <c r="AD439" t="n">
        <v>8</v>
      </c>
      <c r="AE439" t="n">
        <v>8</v>
      </c>
      <c r="AF439" t="n">
        <v>1</v>
      </c>
      <c r="AG439" t="n">
        <v>1</v>
      </c>
      <c r="AH439" t="n">
        <v>1</v>
      </c>
      <c r="AI439" t="n">
        <v>1</v>
      </c>
      <c r="AJ439" t="n">
        <v>8</v>
      </c>
      <c r="AK439" t="n">
        <v>8</v>
      </c>
      <c r="AL439" t="n">
        <v>0</v>
      </c>
      <c r="AM439" t="n">
        <v>0</v>
      </c>
      <c r="AN439" t="n">
        <v>0</v>
      </c>
      <c r="AO439" t="n">
        <v>0</v>
      </c>
      <c r="AP439" t="inlineStr">
        <is>
          <t>No</t>
        </is>
      </c>
      <c r="AQ439" t="inlineStr">
        <is>
          <t>No</t>
        </is>
      </c>
      <c r="AS439">
        <f>HYPERLINK("https://creighton-primo.hosted.exlibrisgroup.com/primo-explore/search?tab=default_tab&amp;search_scope=EVERYTHING&amp;vid=01CRU&amp;lang=en_US&amp;offset=0&amp;query=any,contains,991002241369702656","Catalog Record")</f>
        <v/>
      </c>
      <c r="AT439">
        <f>HYPERLINK("http://www.worldcat.org/oclc/28905066","WorldCat Record")</f>
        <v/>
      </c>
      <c r="AU439" t="inlineStr">
        <is>
          <t>2278799808:eng</t>
        </is>
      </c>
      <c r="AV439" t="inlineStr">
        <is>
          <t>28905066</t>
        </is>
      </c>
      <c r="AW439" t="inlineStr">
        <is>
          <t>991002241369702656</t>
        </is>
      </c>
      <c r="AX439" t="inlineStr">
        <is>
          <t>991002241369702656</t>
        </is>
      </c>
      <c r="AY439" t="inlineStr">
        <is>
          <t>2264294010002656</t>
        </is>
      </c>
      <c r="AZ439" t="inlineStr">
        <is>
          <t>BOOK</t>
        </is>
      </c>
      <c r="BB439" t="inlineStr">
        <is>
          <t>9780814654989</t>
        </is>
      </c>
      <c r="BC439" t="inlineStr">
        <is>
          <t>32285002322856</t>
        </is>
      </c>
      <c r="BD439" t="inlineStr">
        <is>
          <t>893615877</t>
        </is>
      </c>
    </row>
    <row r="440">
      <c r="A440" t="inlineStr">
        <is>
          <t>No</t>
        </is>
      </c>
      <c r="B440" t="inlineStr">
        <is>
          <t>BX1747.5 .B4 1989, v.2, pt...</t>
        </is>
      </c>
      <c r="C440" t="inlineStr">
        <is>
          <t>0                      BX 1747500B  4           1989                                        v.2, pt...</t>
        </is>
      </c>
      <c r="D440" t="inlineStr">
        <is>
          <t>The revelation of the glory / Frans Jozef van Beeck.</t>
        </is>
      </c>
      <c r="E440" t="inlineStr">
        <is>
          <t>V. 2 PT. 4A</t>
        </is>
      </c>
      <c r="F440" t="inlineStr">
        <is>
          <t>Yes</t>
        </is>
      </c>
      <c r="G440" t="inlineStr">
        <is>
          <t>1</t>
        </is>
      </c>
      <c r="H440" t="inlineStr">
        <is>
          <t>No</t>
        </is>
      </c>
      <c r="I440" t="inlineStr">
        <is>
          <t>No</t>
        </is>
      </c>
      <c r="J440" t="inlineStr">
        <is>
          <t>0</t>
        </is>
      </c>
      <c r="K440" t="inlineStr">
        <is>
          <t>Beeck, Frans Jozef van.</t>
        </is>
      </c>
      <c r="L440" t="inlineStr">
        <is>
          <t>Collegeville, Minn. : Liturgical Press, c1993-</t>
        </is>
      </c>
      <c r="M440" t="inlineStr">
        <is>
          <t>1993</t>
        </is>
      </c>
      <c r="N440" t="inlineStr">
        <is>
          <t>1st ed.</t>
        </is>
      </c>
      <c r="O440" t="inlineStr">
        <is>
          <t>eng</t>
        </is>
      </c>
      <c r="P440" t="inlineStr">
        <is>
          <t>mnu</t>
        </is>
      </c>
      <c r="Q440" t="inlineStr">
        <is>
          <t>God encountered ; v. 2</t>
        </is>
      </c>
      <c r="R440" t="inlineStr">
        <is>
          <t xml:space="preserve">BX </t>
        </is>
      </c>
      <c r="S440" t="n">
        <v>1</v>
      </c>
      <c r="T440" t="n">
        <v>16</v>
      </c>
      <c r="U440" t="inlineStr">
        <is>
          <t>2002-04-05</t>
        </is>
      </c>
      <c r="V440" t="inlineStr">
        <is>
          <t>2002-04-05</t>
        </is>
      </c>
      <c r="W440" t="inlineStr">
        <is>
          <t>2002-02-28</t>
        </is>
      </c>
      <c r="X440" t="inlineStr">
        <is>
          <t>2002-02-28</t>
        </is>
      </c>
      <c r="Y440" t="n">
        <v>44</v>
      </c>
      <c r="Z440" t="n">
        <v>40</v>
      </c>
      <c r="AA440" t="n">
        <v>40</v>
      </c>
      <c r="AB440" t="n">
        <v>1</v>
      </c>
      <c r="AC440" t="n">
        <v>1</v>
      </c>
      <c r="AD440" t="n">
        <v>8</v>
      </c>
      <c r="AE440" t="n">
        <v>8</v>
      </c>
      <c r="AF440" t="n">
        <v>1</v>
      </c>
      <c r="AG440" t="n">
        <v>1</v>
      </c>
      <c r="AH440" t="n">
        <v>1</v>
      </c>
      <c r="AI440" t="n">
        <v>1</v>
      </c>
      <c r="AJ440" t="n">
        <v>8</v>
      </c>
      <c r="AK440" t="n">
        <v>8</v>
      </c>
      <c r="AL440" t="n">
        <v>0</v>
      </c>
      <c r="AM440" t="n">
        <v>0</v>
      </c>
      <c r="AN440" t="n">
        <v>0</v>
      </c>
      <c r="AO440" t="n">
        <v>0</v>
      </c>
      <c r="AP440" t="inlineStr">
        <is>
          <t>No</t>
        </is>
      </c>
      <c r="AQ440" t="inlineStr">
        <is>
          <t>No</t>
        </is>
      </c>
      <c r="AS440">
        <f>HYPERLINK("https://creighton-primo.hosted.exlibrisgroup.com/primo-explore/search?tab=default_tab&amp;search_scope=EVERYTHING&amp;vid=01CRU&amp;lang=en_US&amp;offset=0&amp;query=any,contains,991002241369702656","Catalog Record")</f>
        <v/>
      </c>
      <c r="AT440">
        <f>HYPERLINK("http://www.worldcat.org/oclc/28905066","WorldCat Record")</f>
        <v/>
      </c>
      <c r="AU440" t="inlineStr">
        <is>
          <t>2278799808:eng</t>
        </is>
      </c>
      <c r="AV440" t="inlineStr">
        <is>
          <t>28905066</t>
        </is>
      </c>
      <c r="AW440" t="inlineStr">
        <is>
          <t>991002241369702656</t>
        </is>
      </c>
      <c r="AX440" t="inlineStr">
        <is>
          <t>991002241369702656</t>
        </is>
      </c>
      <c r="AY440" t="inlineStr">
        <is>
          <t>2264294010002656</t>
        </is>
      </c>
      <c r="AZ440" t="inlineStr">
        <is>
          <t>BOOK</t>
        </is>
      </c>
      <c r="BB440" t="inlineStr">
        <is>
          <t>9780814654989</t>
        </is>
      </c>
      <c r="BC440" t="inlineStr">
        <is>
          <t>32285004458757</t>
        </is>
      </c>
      <c r="BD440" t="inlineStr">
        <is>
          <t>893615876</t>
        </is>
      </c>
    </row>
    <row r="441">
      <c r="A441" t="inlineStr">
        <is>
          <t>No</t>
        </is>
      </c>
      <c r="B441" t="inlineStr">
        <is>
          <t>BX1747.5 .B4 1989, v.2, pt...</t>
        </is>
      </c>
      <c r="C441" t="inlineStr">
        <is>
          <t>0                      BX 1747500B  4           1989                                        v.2, pt...</t>
        </is>
      </c>
      <c r="D441" t="inlineStr">
        <is>
          <t>The revelation of the glory / Frans Jozef van Beeck.</t>
        </is>
      </c>
      <c r="E441" t="inlineStr">
        <is>
          <t>V. 2 PT. 2</t>
        </is>
      </c>
      <c r="F441" t="inlineStr">
        <is>
          <t>Yes</t>
        </is>
      </c>
      <c r="G441" t="inlineStr">
        <is>
          <t>1</t>
        </is>
      </c>
      <c r="H441" t="inlineStr">
        <is>
          <t>No</t>
        </is>
      </c>
      <c r="I441" t="inlineStr">
        <is>
          <t>No</t>
        </is>
      </c>
      <c r="J441" t="inlineStr">
        <is>
          <t>0</t>
        </is>
      </c>
      <c r="K441" t="inlineStr">
        <is>
          <t>Beeck, Frans Jozef van.</t>
        </is>
      </c>
      <c r="L441" t="inlineStr">
        <is>
          <t>Collegeville, Minn. : Liturgical Press, c1993-</t>
        </is>
      </c>
      <c r="M441" t="inlineStr">
        <is>
          <t>1993</t>
        </is>
      </c>
      <c r="N441" t="inlineStr">
        <is>
          <t>1st ed.</t>
        </is>
      </c>
      <c r="O441" t="inlineStr">
        <is>
          <t>eng</t>
        </is>
      </c>
      <c r="P441" t="inlineStr">
        <is>
          <t>mnu</t>
        </is>
      </c>
      <c r="Q441" t="inlineStr">
        <is>
          <t>God encountered ; v. 2</t>
        </is>
      </c>
      <c r="R441" t="inlineStr">
        <is>
          <t xml:space="preserve">BX </t>
        </is>
      </c>
      <c r="S441" t="n">
        <v>3</v>
      </c>
      <c r="T441" t="n">
        <v>16</v>
      </c>
      <c r="U441" t="inlineStr">
        <is>
          <t>1998-09-27</t>
        </is>
      </c>
      <c r="V441" t="inlineStr">
        <is>
          <t>2002-04-05</t>
        </is>
      </c>
      <c r="W441" t="inlineStr">
        <is>
          <t>1994-11-30</t>
        </is>
      </c>
      <c r="X441" t="inlineStr">
        <is>
          <t>2002-02-28</t>
        </is>
      </c>
      <c r="Y441" t="n">
        <v>44</v>
      </c>
      <c r="Z441" t="n">
        <v>40</v>
      </c>
      <c r="AA441" t="n">
        <v>40</v>
      </c>
      <c r="AB441" t="n">
        <v>1</v>
      </c>
      <c r="AC441" t="n">
        <v>1</v>
      </c>
      <c r="AD441" t="n">
        <v>8</v>
      </c>
      <c r="AE441" t="n">
        <v>8</v>
      </c>
      <c r="AF441" t="n">
        <v>1</v>
      </c>
      <c r="AG441" t="n">
        <v>1</v>
      </c>
      <c r="AH441" t="n">
        <v>1</v>
      </c>
      <c r="AI441" t="n">
        <v>1</v>
      </c>
      <c r="AJ441" t="n">
        <v>8</v>
      </c>
      <c r="AK441" t="n">
        <v>8</v>
      </c>
      <c r="AL441" t="n">
        <v>0</v>
      </c>
      <c r="AM441" t="n">
        <v>0</v>
      </c>
      <c r="AN441" t="n">
        <v>0</v>
      </c>
      <c r="AO441" t="n">
        <v>0</v>
      </c>
      <c r="AP441" t="inlineStr">
        <is>
          <t>No</t>
        </is>
      </c>
      <c r="AQ441" t="inlineStr">
        <is>
          <t>No</t>
        </is>
      </c>
      <c r="AS441">
        <f>HYPERLINK("https://creighton-primo.hosted.exlibrisgroup.com/primo-explore/search?tab=default_tab&amp;search_scope=EVERYTHING&amp;vid=01CRU&amp;lang=en_US&amp;offset=0&amp;query=any,contains,991002241369702656","Catalog Record")</f>
        <v/>
      </c>
      <c r="AT441">
        <f>HYPERLINK("http://www.worldcat.org/oclc/28905066","WorldCat Record")</f>
        <v/>
      </c>
      <c r="AU441" t="inlineStr">
        <is>
          <t>2278799808:eng</t>
        </is>
      </c>
      <c r="AV441" t="inlineStr">
        <is>
          <t>28905066</t>
        </is>
      </c>
      <c r="AW441" t="inlineStr">
        <is>
          <t>991002241369702656</t>
        </is>
      </c>
      <c r="AX441" t="inlineStr">
        <is>
          <t>991002241369702656</t>
        </is>
      </c>
      <c r="AY441" t="inlineStr">
        <is>
          <t>2264294010002656</t>
        </is>
      </c>
      <c r="AZ441" t="inlineStr">
        <is>
          <t>BOOK</t>
        </is>
      </c>
      <c r="BB441" t="inlineStr">
        <is>
          <t>9780814654989</t>
        </is>
      </c>
      <c r="BC441" t="inlineStr">
        <is>
          <t>32285001975498</t>
        </is>
      </c>
      <c r="BD441" t="inlineStr">
        <is>
          <t>893615880</t>
        </is>
      </c>
    </row>
    <row r="442">
      <c r="A442" t="inlineStr">
        <is>
          <t>No</t>
        </is>
      </c>
      <c r="B442" t="inlineStr">
        <is>
          <t>BX1747.5 .B8</t>
        </is>
      </c>
      <c r="C442" t="inlineStr">
        <is>
          <t>0                      BX 1747500B  8</t>
        </is>
      </c>
      <c r="D442" t="inlineStr">
        <is>
          <t>The idea of Catholicism : an introduction to the thought and worship of the church / edited by Walter J. Burghardt and William F. Lynch.</t>
        </is>
      </c>
      <c r="F442" t="inlineStr">
        <is>
          <t>No</t>
        </is>
      </c>
      <c r="G442" t="inlineStr">
        <is>
          <t>1</t>
        </is>
      </c>
      <c r="H442" t="inlineStr">
        <is>
          <t>No</t>
        </is>
      </c>
      <c r="I442" t="inlineStr">
        <is>
          <t>No</t>
        </is>
      </c>
      <c r="J442" t="inlineStr">
        <is>
          <t>0</t>
        </is>
      </c>
      <c r="K442" t="inlineStr">
        <is>
          <t>Burghardt, Walter J. editor.</t>
        </is>
      </c>
      <c r="L442" t="inlineStr">
        <is>
          <t>[New York] Meridian Books [1960]</t>
        </is>
      </c>
      <c r="M442" t="inlineStr">
        <is>
          <t>1960</t>
        </is>
      </c>
      <c r="O442" t="inlineStr">
        <is>
          <t>eng</t>
        </is>
      </c>
      <c r="P442" t="inlineStr">
        <is>
          <t>___</t>
        </is>
      </c>
      <c r="Q442" t="inlineStr">
        <is>
          <t>Greenwich editions</t>
        </is>
      </c>
      <c r="R442" t="inlineStr">
        <is>
          <t xml:space="preserve">BX </t>
        </is>
      </c>
      <c r="S442" t="n">
        <v>6</v>
      </c>
      <c r="T442" t="n">
        <v>6</v>
      </c>
      <c r="U442" t="inlineStr">
        <is>
          <t>2005-01-25</t>
        </is>
      </c>
      <c r="V442" t="inlineStr">
        <is>
          <t>2005-01-25</t>
        </is>
      </c>
      <c r="W442" t="inlineStr">
        <is>
          <t>1991-04-09</t>
        </is>
      </c>
      <c r="X442" t="inlineStr">
        <is>
          <t>1991-04-09</t>
        </is>
      </c>
      <c r="Y442" t="n">
        <v>339</v>
      </c>
      <c r="Z442" t="n">
        <v>313</v>
      </c>
      <c r="AA442" t="n">
        <v>465</v>
      </c>
      <c r="AB442" t="n">
        <v>4</v>
      </c>
      <c r="AC442" t="n">
        <v>6</v>
      </c>
      <c r="AD442" t="n">
        <v>32</v>
      </c>
      <c r="AE442" t="n">
        <v>37</v>
      </c>
      <c r="AF442" t="n">
        <v>12</v>
      </c>
      <c r="AG442" t="n">
        <v>13</v>
      </c>
      <c r="AH442" t="n">
        <v>8</v>
      </c>
      <c r="AI442" t="n">
        <v>10</v>
      </c>
      <c r="AJ442" t="n">
        <v>24</v>
      </c>
      <c r="AK442" t="n">
        <v>24</v>
      </c>
      <c r="AL442" t="n">
        <v>1</v>
      </c>
      <c r="AM442" t="n">
        <v>3</v>
      </c>
      <c r="AN442" t="n">
        <v>0</v>
      </c>
      <c r="AO442" t="n">
        <v>0</v>
      </c>
      <c r="AP442" t="inlineStr">
        <is>
          <t>No</t>
        </is>
      </c>
      <c r="AQ442" t="inlineStr">
        <is>
          <t>No</t>
        </is>
      </c>
      <c r="AR442">
        <f>HYPERLINK("http://catalog.hathitrust.org/Record/004488332","HathiTrust Record")</f>
        <v/>
      </c>
      <c r="AS442">
        <f>HYPERLINK("https://creighton-primo.hosted.exlibrisgroup.com/primo-explore/search?tab=default_tab&amp;search_scope=EVERYTHING&amp;vid=01CRU&amp;lang=en_US&amp;offset=0&amp;query=any,contains,991003576679702656","Catalog Record")</f>
        <v/>
      </c>
      <c r="AT442">
        <f>HYPERLINK("http://www.worldcat.org/oclc/1155903","WorldCat Record")</f>
        <v/>
      </c>
      <c r="AU442" t="inlineStr">
        <is>
          <t>1459282:eng</t>
        </is>
      </c>
      <c r="AV442" t="inlineStr">
        <is>
          <t>1155903</t>
        </is>
      </c>
      <c r="AW442" t="inlineStr">
        <is>
          <t>991003576679702656</t>
        </is>
      </c>
      <c r="AX442" t="inlineStr">
        <is>
          <t>991003576679702656</t>
        </is>
      </c>
      <c r="AY442" t="inlineStr">
        <is>
          <t>2265953520002656</t>
        </is>
      </c>
      <c r="AZ442" t="inlineStr">
        <is>
          <t>BOOK</t>
        </is>
      </c>
      <c r="BC442" t="inlineStr">
        <is>
          <t>32285000531987</t>
        </is>
      </c>
      <c r="BD442" t="inlineStr">
        <is>
          <t>893246514</t>
        </is>
      </c>
    </row>
    <row r="443">
      <c r="A443" t="inlineStr">
        <is>
          <t>No</t>
        </is>
      </c>
      <c r="B443" t="inlineStr">
        <is>
          <t>BX1747.5 .C36 1996</t>
        </is>
      </c>
      <c r="C443" t="inlineStr">
        <is>
          <t>0                      BX 1747500C  36          1996</t>
        </is>
      </c>
      <c r="D443" t="inlineStr">
        <is>
          <t>The catechetical documents : a parish resource.</t>
        </is>
      </c>
      <c r="F443" t="inlineStr">
        <is>
          <t>No</t>
        </is>
      </c>
      <c r="G443" t="inlineStr">
        <is>
          <t>1</t>
        </is>
      </c>
      <c r="H443" t="inlineStr">
        <is>
          <t>No</t>
        </is>
      </c>
      <c r="I443" t="inlineStr">
        <is>
          <t>No</t>
        </is>
      </c>
      <c r="J443" t="inlineStr">
        <is>
          <t>0</t>
        </is>
      </c>
      <c r="L443" t="inlineStr">
        <is>
          <t>Chicago, IL : Liturgy Training Publications, c1996.</t>
        </is>
      </c>
      <c r="M443" t="inlineStr">
        <is>
          <t>1996</t>
        </is>
      </c>
      <c r="O443" t="inlineStr">
        <is>
          <t>eng</t>
        </is>
      </c>
      <c r="P443" t="inlineStr">
        <is>
          <t>ilu</t>
        </is>
      </c>
      <c r="R443" t="inlineStr">
        <is>
          <t xml:space="preserve">BX </t>
        </is>
      </c>
      <c r="S443" t="n">
        <v>4</v>
      </c>
      <c r="T443" t="n">
        <v>4</v>
      </c>
      <c r="U443" t="inlineStr">
        <is>
          <t>1997-12-22</t>
        </is>
      </c>
      <c r="V443" t="inlineStr">
        <is>
          <t>1997-12-22</t>
        </is>
      </c>
      <c r="W443" t="inlineStr">
        <is>
          <t>1996-09-30</t>
        </is>
      </c>
      <c r="X443" t="inlineStr">
        <is>
          <t>1996-09-30</t>
        </is>
      </c>
      <c r="Y443" t="n">
        <v>138</v>
      </c>
      <c r="Z443" t="n">
        <v>109</v>
      </c>
      <c r="AA443" t="n">
        <v>114</v>
      </c>
      <c r="AB443" t="n">
        <v>2</v>
      </c>
      <c r="AC443" t="n">
        <v>2</v>
      </c>
      <c r="AD443" t="n">
        <v>16</v>
      </c>
      <c r="AE443" t="n">
        <v>16</v>
      </c>
      <c r="AF443" t="n">
        <v>3</v>
      </c>
      <c r="AG443" t="n">
        <v>3</v>
      </c>
      <c r="AH443" t="n">
        <v>3</v>
      </c>
      <c r="AI443" t="n">
        <v>3</v>
      </c>
      <c r="AJ443" t="n">
        <v>12</v>
      </c>
      <c r="AK443" t="n">
        <v>12</v>
      </c>
      <c r="AL443" t="n">
        <v>1</v>
      </c>
      <c r="AM443" t="n">
        <v>1</v>
      </c>
      <c r="AN443" t="n">
        <v>0</v>
      </c>
      <c r="AO443" t="n">
        <v>0</v>
      </c>
      <c r="AP443" t="inlineStr">
        <is>
          <t>No</t>
        </is>
      </c>
      <c r="AQ443" t="inlineStr">
        <is>
          <t>No</t>
        </is>
      </c>
      <c r="AS443">
        <f>HYPERLINK("https://creighton-primo.hosted.exlibrisgroup.com/primo-explore/search?tab=default_tab&amp;search_scope=EVERYTHING&amp;vid=01CRU&amp;lang=en_US&amp;offset=0&amp;query=any,contains,991002589959702656","Catalog Record")</f>
        <v/>
      </c>
      <c r="AT443">
        <f>HYPERLINK("http://www.worldcat.org/oclc/33947638","WorldCat Record")</f>
        <v/>
      </c>
      <c r="AU443" t="inlineStr">
        <is>
          <t>3752915424:eng</t>
        </is>
      </c>
      <c r="AV443" t="inlineStr">
        <is>
          <t>33947638</t>
        </is>
      </c>
      <c r="AW443" t="inlineStr">
        <is>
          <t>991002589959702656</t>
        </is>
      </c>
      <c r="AX443" t="inlineStr">
        <is>
          <t>991002589959702656</t>
        </is>
      </c>
      <c r="AY443" t="inlineStr">
        <is>
          <t>2262102510002656</t>
        </is>
      </c>
      <c r="AZ443" t="inlineStr">
        <is>
          <t>BOOK</t>
        </is>
      </c>
      <c r="BB443" t="inlineStr">
        <is>
          <t>9781568541136</t>
        </is>
      </c>
      <c r="BC443" t="inlineStr">
        <is>
          <t>32285002321122</t>
        </is>
      </c>
      <c r="BD443" t="inlineStr">
        <is>
          <t>893409278</t>
        </is>
      </c>
    </row>
    <row r="444">
      <c r="A444" t="inlineStr">
        <is>
          <t>No</t>
        </is>
      </c>
      <c r="B444" t="inlineStr">
        <is>
          <t>BX1747.5 .K37 1975</t>
        </is>
      </c>
      <c r="C444" t="inlineStr">
        <is>
          <t>0                      BX 1747500K  37          1975</t>
        </is>
      </c>
      <c r="D444" t="inlineStr">
        <is>
          <t>The spirituality of Vatican II : conciliar texts concerning the spiritual life of all Christians / assembled and annotated by William A. Kaschmitter.</t>
        </is>
      </c>
      <c r="F444" t="inlineStr">
        <is>
          <t>No</t>
        </is>
      </c>
      <c r="G444" t="inlineStr">
        <is>
          <t>1</t>
        </is>
      </c>
      <c r="H444" t="inlineStr">
        <is>
          <t>No</t>
        </is>
      </c>
      <c r="I444" t="inlineStr">
        <is>
          <t>No</t>
        </is>
      </c>
      <c r="J444" t="inlineStr">
        <is>
          <t>0</t>
        </is>
      </c>
      <c r="K444" t="inlineStr">
        <is>
          <t>Kaschmitter, William A.</t>
        </is>
      </c>
      <c r="L444" t="inlineStr">
        <is>
          <t>Huntington, Ind. : Our Sunday Visitor, inc., [1975]</t>
        </is>
      </c>
      <c r="M444" t="inlineStr">
        <is>
          <t>1975</t>
        </is>
      </c>
      <c r="O444" t="inlineStr">
        <is>
          <t>eng</t>
        </is>
      </c>
      <c r="P444" t="inlineStr">
        <is>
          <t>inu</t>
        </is>
      </c>
      <c r="R444" t="inlineStr">
        <is>
          <t xml:space="preserve">BX </t>
        </is>
      </c>
      <c r="S444" t="n">
        <v>3</v>
      </c>
      <c r="T444" t="n">
        <v>3</v>
      </c>
      <c r="U444" t="inlineStr">
        <is>
          <t>1999-08-08</t>
        </is>
      </c>
      <c r="V444" t="inlineStr">
        <is>
          <t>1999-08-08</t>
        </is>
      </c>
      <c r="W444" t="inlineStr">
        <is>
          <t>1991-04-09</t>
        </is>
      </c>
      <c r="X444" t="inlineStr">
        <is>
          <t>1991-04-09</t>
        </is>
      </c>
      <c r="Y444" t="n">
        <v>238</v>
      </c>
      <c r="Z444" t="n">
        <v>226</v>
      </c>
      <c r="AA444" t="n">
        <v>231</v>
      </c>
      <c r="AB444" t="n">
        <v>3</v>
      </c>
      <c r="AC444" t="n">
        <v>3</v>
      </c>
      <c r="AD444" t="n">
        <v>32</v>
      </c>
      <c r="AE444" t="n">
        <v>32</v>
      </c>
      <c r="AF444" t="n">
        <v>9</v>
      </c>
      <c r="AG444" t="n">
        <v>9</v>
      </c>
      <c r="AH444" t="n">
        <v>9</v>
      </c>
      <c r="AI444" t="n">
        <v>9</v>
      </c>
      <c r="AJ444" t="n">
        <v>24</v>
      </c>
      <c r="AK444" t="n">
        <v>24</v>
      </c>
      <c r="AL444" t="n">
        <v>1</v>
      </c>
      <c r="AM444" t="n">
        <v>1</v>
      </c>
      <c r="AN444" t="n">
        <v>0</v>
      </c>
      <c r="AO444" t="n">
        <v>0</v>
      </c>
      <c r="AP444" t="inlineStr">
        <is>
          <t>No</t>
        </is>
      </c>
      <c r="AQ444" t="inlineStr">
        <is>
          <t>No</t>
        </is>
      </c>
      <c r="AS444">
        <f>HYPERLINK("https://creighton-primo.hosted.exlibrisgroup.com/primo-explore/search?tab=default_tab&amp;search_scope=EVERYTHING&amp;vid=01CRU&amp;lang=en_US&amp;offset=0&amp;query=any,contains,991003805199702656","Catalog Record")</f>
        <v/>
      </c>
      <c r="AT444">
        <f>HYPERLINK("http://www.worldcat.org/oclc/1530485","WorldCat Record")</f>
        <v/>
      </c>
      <c r="AU444" t="inlineStr">
        <is>
          <t>2398955:eng</t>
        </is>
      </c>
      <c r="AV444" t="inlineStr">
        <is>
          <t>1530485</t>
        </is>
      </c>
      <c r="AW444" t="inlineStr">
        <is>
          <t>991003805199702656</t>
        </is>
      </c>
      <c r="AX444" t="inlineStr">
        <is>
          <t>991003805199702656</t>
        </is>
      </c>
      <c r="AY444" t="inlineStr">
        <is>
          <t>2269553590002656</t>
        </is>
      </c>
      <c r="AZ444" t="inlineStr">
        <is>
          <t>BOOK</t>
        </is>
      </c>
      <c r="BB444" t="inlineStr">
        <is>
          <t>9780879738686</t>
        </is>
      </c>
      <c r="BC444" t="inlineStr">
        <is>
          <t>32285000531995</t>
        </is>
      </c>
      <c r="BD444" t="inlineStr">
        <is>
          <t>893800188</t>
        </is>
      </c>
    </row>
    <row r="445">
      <c r="A445" t="inlineStr">
        <is>
          <t>No</t>
        </is>
      </c>
      <c r="B445" t="inlineStr">
        <is>
          <t>BX1747.5 .N4131 1982</t>
        </is>
      </c>
      <c r="C445" t="inlineStr">
        <is>
          <t>0                      BX 1747500N  4131        1982</t>
        </is>
      </c>
      <c r="D445" t="inlineStr">
        <is>
          <t>The Christian faith in the doctrinal documents of the Catholic Church / edited by J. Neuner &amp; J. Dupuis.</t>
        </is>
      </c>
      <c r="F445" t="inlineStr">
        <is>
          <t>No</t>
        </is>
      </c>
      <c r="G445" t="inlineStr">
        <is>
          <t>1</t>
        </is>
      </c>
      <c r="H445" t="inlineStr">
        <is>
          <t>No</t>
        </is>
      </c>
      <c r="I445" t="inlineStr">
        <is>
          <t>Yes</t>
        </is>
      </c>
      <c r="J445" t="inlineStr">
        <is>
          <t>0</t>
        </is>
      </c>
      <c r="L445" t="inlineStr">
        <is>
          <t>New York : Alba House, c1982.</t>
        </is>
      </c>
      <c r="M445" t="inlineStr">
        <is>
          <t>1982</t>
        </is>
      </c>
      <c r="N445" t="inlineStr">
        <is>
          <t>Rev. ed.</t>
        </is>
      </c>
      <c r="O445" t="inlineStr">
        <is>
          <t>eng</t>
        </is>
      </c>
      <c r="P445" t="inlineStr">
        <is>
          <t>nyu</t>
        </is>
      </c>
      <c r="R445" t="inlineStr">
        <is>
          <t xml:space="preserve">BX </t>
        </is>
      </c>
      <c r="S445" t="n">
        <v>6</v>
      </c>
      <c r="T445" t="n">
        <v>6</v>
      </c>
      <c r="U445" t="inlineStr">
        <is>
          <t>2008-02-21</t>
        </is>
      </c>
      <c r="V445" t="inlineStr">
        <is>
          <t>2008-02-21</t>
        </is>
      </c>
      <c r="W445" t="inlineStr">
        <is>
          <t>1991-04-09</t>
        </is>
      </c>
      <c r="X445" t="inlineStr">
        <is>
          <t>1991-04-09</t>
        </is>
      </c>
      <c r="Y445" t="n">
        <v>200</v>
      </c>
      <c r="Z445" t="n">
        <v>174</v>
      </c>
      <c r="AA445" t="n">
        <v>360</v>
      </c>
      <c r="AB445" t="n">
        <v>3</v>
      </c>
      <c r="AC445" t="n">
        <v>4</v>
      </c>
      <c r="AD445" t="n">
        <v>18</v>
      </c>
      <c r="AE445" t="n">
        <v>32</v>
      </c>
      <c r="AF445" t="n">
        <v>5</v>
      </c>
      <c r="AG445" t="n">
        <v>11</v>
      </c>
      <c r="AH445" t="n">
        <v>5</v>
      </c>
      <c r="AI445" t="n">
        <v>8</v>
      </c>
      <c r="AJ445" t="n">
        <v>15</v>
      </c>
      <c r="AK445" t="n">
        <v>24</v>
      </c>
      <c r="AL445" t="n">
        <v>1</v>
      </c>
      <c r="AM445" t="n">
        <v>1</v>
      </c>
      <c r="AN445" t="n">
        <v>0</v>
      </c>
      <c r="AO445" t="n">
        <v>0</v>
      </c>
      <c r="AP445" t="inlineStr">
        <is>
          <t>No</t>
        </is>
      </c>
      <c r="AQ445" t="inlineStr">
        <is>
          <t>Yes</t>
        </is>
      </c>
      <c r="AR445">
        <f>HYPERLINK("http://catalog.hathitrust.org/Record/006019890","HathiTrust Record")</f>
        <v/>
      </c>
      <c r="AS445">
        <f>HYPERLINK("https://creighton-primo.hosted.exlibrisgroup.com/primo-explore/search?tab=default_tab&amp;search_scope=EVERYTHING&amp;vid=01CRU&amp;lang=en_US&amp;offset=0&amp;query=any,contains,991000117619702656","Catalog Record")</f>
        <v/>
      </c>
      <c r="AT445">
        <f>HYPERLINK("http://www.worldcat.org/oclc/9043861","WorldCat Record")</f>
        <v/>
      </c>
      <c r="AU445" t="inlineStr">
        <is>
          <t>4917041296:eng</t>
        </is>
      </c>
      <c r="AV445" t="inlineStr">
        <is>
          <t>9043861</t>
        </is>
      </c>
      <c r="AW445" t="inlineStr">
        <is>
          <t>991000117619702656</t>
        </is>
      </c>
      <c r="AX445" t="inlineStr">
        <is>
          <t>991000117619702656</t>
        </is>
      </c>
      <c r="AY445" t="inlineStr">
        <is>
          <t>2266472020002656</t>
        </is>
      </c>
      <c r="AZ445" t="inlineStr">
        <is>
          <t>BOOK</t>
        </is>
      </c>
      <c r="BB445" t="inlineStr">
        <is>
          <t>9780818904530</t>
        </is>
      </c>
      <c r="BC445" t="inlineStr">
        <is>
          <t>32285000532050</t>
        </is>
      </c>
      <c r="BD445" t="inlineStr">
        <is>
          <t>893689443</t>
        </is>
      </c>
    </row>
    <row r="446">
      <c r="A446" t="inlineStr">
        <is>
          <t>No</t>
        </is>
      </c>
      <c r="B446" t="inlineStr">
        <is>
          <t>BX1749 .A4</t>
        </is>
      </c>
      <c r="C446" t="inlineStr">
        <is>
          <t>0                      BX 1749000A  4</t>
        </is>
      </c>
      <c r="D446" t="inlineStr">
        <is>
          <t>The Church teaches ; documents of the Church in English translation / translated and prepared for publication by John F. Clarkson ... [et al.].</t>
        </is>
      </c>
      <c r="F446" t="inlineStr">
        <is>
          <t>No</t>
        </is>
      </c>
      <c r="G446" t="inlineStr">
        <is>
          <t>1</t>
        </is>
      </c>
      <c r="H446" t="inlineStr">
        <is>
          <t>No</t>
        </is>
      </c>
      <c r="I446" t="inlineStr">
        <is>
          <t>No</t>
        </is>
      </c>
      <c r="J446" t="inlineStr">
        <is>
          <t>0</t>
        </is>
      </c>
      <c r="K446" t="inlineStr">
        <is>
          <t>Catholic Church.</t>
        </is>
      </c>
      <c r="L446" t="inlineStr">
        <is>
          <t>St. Louis : B. Herder Book Co., c1955, 1960 printing.</t>
        </is>
      </c>
      <c r="M446" t="inlineStr">
        <is>
          <t>1955</t>
        </is>
      </c>
      <c r="O446" t="inlineStr">
        <is>
          <t>eng</t>
        </is>
      </c>
      <c r="P446" t="inlineStr">
        <is>
          <t>___</t>
        </is>
      </c>
      <c r="R446" t="inlineStr">
        <is>
          <t xml:space="preserve">BX </t>
        </is>
      </c>
      <c r="S446" t="n">
        <v>2</v>
      </c>
      <c r="T446" t="n">
        <v>2</v>
      </c>
      <c r="U446" t="inlineStr">
        <is>
          <t>2010-03-01</t>
        </is>
      </c>
      <c r="V446" t="inlineStr">
        <is>
          <t>2010-03-01</t>
        </is>
      </c>
      <c r="W446" t="inlineStr">
        <is>
          <t>1991-04-09</t>
        </is>
      </c>
      <c r="X446" t="inlineStr">
        <is>
          <t>1991-04-09</t>
        </is>
      </c>
      <c r="Y446" t="n">
        <v>381</v>
      </c>
      <c r="Z446" t="n">
        <v>326</v>
      </c>
      <c r="AA446" t="n">
        <v>335</v>
      </c>
      <c r="AB446" t="n">
        <v>5</v>
      </c>
      <c r="AC446" t="n">
        <v>5</v>
      </c>
      <c r="AD446" t="n">
        <v>33</v>
      </c>
      <c r="AE446" t="n">
        <v>33</v>
      </c>
      <c r="AF446" t="n">
        <v>10</v>
      </c>
      <c r="AG446" t="n">
        <v>10</v>
      </c>
      <c r="AH446" t="n">
        <v>8</v>
      </c>
      <c r="AI446" t="n">
        <v>8</v>
      </c>
      <c r="AJ446" t="n">
        <v>23</v>
      </c>
      <c r="AK446" t="n">
        <v>23</v>
      </c>
      <c r="AL446" t="n">
        <v>2</v>
      </c>
      <c r="AM446" t="n">
        <v>2</v>
      </c>
      <c r="AN446" t="n">
        <v>0</v>
      </c>
      <c r="AO446" t="n">
        <v>0</v>
      </c>
      <c r="AP446" t="inlineStr">
        <is>
          <t>No</t>
        </is>
      </c>
      <c r="AQ446" t="inlineStr">
        <is>
          <t>No</t>
        </is>
      </c>
      <c r="AS446">
        <f>HYPERLINK("https://creighton-primo.hosted.exlibrisgroup.com/primo-explore/search?tab=default_tab&amp;search_scope=EVERYTHING&amp;vid=01CRU&amp;lang=en_US&amp;offset=0&amp;query=any,contains,991002000969702656","Catalog Record")</f>
        <v/>
      </c>
      <c r="AT446">
        <f>HYPERLINK("http://www.worldcat.org/oclc/256218","WorldCat Record")</f>
        <v/>
      </c>
      <c r="AU446" t="inlineStr">
        <is>
          <t>3477335:eng</t>
        </is>
      </c>
      <c r="AV446" t="inlineStr">
        <is>
          <t>256218</t>
        </is>
      </c>
      <c r="AW446" t="inlineStr">
        <is>
          <t>991002000969702656</t>
        </is>
      </c>
      <c r="AX446" t="inlineStr">
        <is>
          <t>991002000969702656</t>
        </is>
      </c>
      <c r="AY446" t="inlineStr">
        <is>
          <t>2272292360002656</t>
        </is>
      </c>
      <c r="AZ446" t="inlineStr">
        <is>
          <t>BOOK</t>
        </is>
      </c>
      <c r="BC446" t="inlineStr">
        <is>
          <t>32285000532126</t>
        </is>
      </c>
      <c r="BD446" t="inlineStr">
        <is>
          <t>893621798</t>
        </is>
      </c>
    </row>
    <row r="447">
      <c r="A447" t="inlineStr">
        <is>
          <t>No</t>
        </is>
      </c>
      <c r="B447" t="inlineStr">
        <is>
          <t>BX1749 .A6 1924</t>
        </is>
      </c>
      <c r="C447" t="inlineStr">
        <is>
          <t>0                      BX 1749000A  6           1924</t>
        </is>
      </c>
      <c r="D447" t="inlineStr">
        <is>
          <t>Doctoris irrefragabilis Alexandri de Hales Ordinis minorum Summa theologica / iussu et auctoritate rmi p. Bernardini Klumper ... studio et cura pp. Collegii s. Bonaventurae ad fidem codicum edita ...</t>
        </is>
      </c>
      <c r="E447" t="inlineStr">
        <is>
          <t>V.3</t>
        </is>
      </c>
      <c r="F447" t="inlineStr">
        <is>
          <t>Yes</t>
        </is>
      </c>
      <c r="G447" t="inlineStr">
        <is>
          <t>1</t>
        </is>
      </c>
      <c r="H447" t="inlineStr">
        <is>
          <t>Yes</t>
        </is>
      </c>
      <c r="I447" t="inlineStr">
        <is>
          <t>No</t>
        </is>
      </c>
      <c r="J447" t="inlineStr">
        <is>
          <t>0</t>
        </is>
      </c>
      <c r="K447" t="inlineStr">
        <is>
          <t>Alexander, of Hales, approximately 1185-1245.</t>
        </is>
      </c>
      <c r="L447" t="inlineStr">
        <is>
          <t>Ad Claras Aquas (Quaracchi) prope Florentiam : ex typographia Collegii s. Bonaventurae, 1924-</t>
        </is>
      </c>
      <c r="M447" t="inlineStr">
        <is>
          <t>1924</t>
        </is>
      </c>
      <c r="O447" t="inlineStr">
        <is>
          <t>eng</t>
        </is>
      </c>
      <c r="P447" t="inlineStr">
        <is>
          <t>|||</t>
        </is>
      </c>
      <c r="R447" t="inlineStr">
        <is>
          <t xml:space="preserve">BX </t>
        </is>
      </c>
      <c r="S447" t="n">
        <v>0</v>
      </c>
      <c r="T447" t="n">
        <v>2</v>
      </c>
      <c r="U447" t="inlineStr">
        <is>
          <t>2004-03-01</t>
        </is>
      </c>
      <c r="V447" t="inlineStr">
        <is>
          <t>2009-07-13</t>
        </is>
      </c>
      <c r="W447" t="inlineStr">
        <is>
          <t>1991-04-09</t>
        </is>
      </c>
      <c r="X447" t="inlineStr">
        <is>
          <t>2000-05-09</t>
        </is>
      </c>
      <c r="Y447" t="n">
        <v>148</v>
      </c>
      <c r="Z447" t="n">
        <v>118</v>
      </c>
      <c r="AA447" t="n">
        <v>119</v>
      </c>
      <c r="AB447" t="n">
        <v>2</v>
      </c>
      <c r="AC447" t="n">
        <v>2</v>
      </c>
      <c r="AD447" t="n">
        <v>16</v>
      </c>
      <c r="AE447" t="n">
        <v>16</v>
      </c>
      <c r="AF447" t="n">
        <v>1</v>
      </c>
      <c r="AG447" t="n">
        <v>1</v>
      </c>
      <c r="AH447" t="n">
        <v>6</v>
      </c>
      <c r="AI447" t="n">
        <v>6</v>
      </c>
      <c r="AJ447" t="n">
        <v>12</v>
      </c>
      <c r="AK447" t="n">
        <v>12</v>
      </c>
      <c r="AL447" t="n">
        <v>1</v>
      </c>
      <c r="AM447" t="n">
        <v>1</v>
      </c>
      <c r="AN447" t="n">
        <v>0</v>
      </c>
      <c r="AO447" t="n">
        <v>0</v>
      </c>
      <c r="AP447" t="inlineStr">
        <is>
          <t>No</t>
        </is>
      </c>
      <c r="AQ447" t="inlineStr">
        <is>
          <t>Yes</t>
        </is>
      </c>
      <c r="AR447">
        <f>HYPERLINK("http://catalog.hathitrust.org/Record/000223500","HathiTrust Record")</f>
        <v/>
      </c>
      <c r="AS447">
        <f>HYPERLINK("https://creighton-primo.hosted.exlibrisgroup.com/primo-explore/search?tab=default_tab&amp;search_scope=EVERYTHING&amp;vid=01CRU&amp;lang=en_US&amp;offset=0&amp;query=any,contains,991003834249702656","Catalog Record")</f>
        <v/>
      </c>
      <c r="AT447">
        <f>HYPERLINK("http://www.worldcat.org/oclc/1598379","WorldCat Record")</f>
        <v/>
      </c>
      <c r="AU447" t="inlineStr">
        <is>
          <t>479051651:lat</t>
        </is>
      </c>
      <c r="AV447" t="inlineStr">
        <is>
          <t>1598379</t>
        </is>
      </c>
      <c r="AW447" t="inlineStr">
        <is>
          <t>991003834249702656</t>
        </is>
      </c>
      <c r="AX447" t="inlineStr">
        <is>
          <t>991003834249702656</t>
        </is>
      </c>
      <c r="AY447" t="inlineStr">
        <is>
          <t>2264504130002656</t>
        </is>
      </c>
      <c r="AZ447" t="inlineStr">
        <is>
          <t>BOOK</t>
        </is>
      </c>
      <c r="BC447" t="inlineStr">
        <is>
          <t>32285000532167</t>
        </is>
      </c>
      <c r="BD447" t="inlineStr">
        <is>
          <t>893693204</t>
        </is>
      </c>
    </row>
    <row r="448">
      <c r="A448" t="inlineStr">
        <is>
          <t>No</t>
        </is>
      </c>
      <c r="B448" t="inlineStr">
        <is>
          <t>BX1749 .A6 1924</t>
        </is>
      </c>
      <c r="C448" t="inlineStr">
        <is>
          <t>0                      BX 1749000A  6           1924</t>
        </is>
      </c>
      <c r="D448" t="inlineStr">
        <is>
          <t>Doctoris irrefragabilis Alexandri de Hales Ordinis minorum Summa theologica / iussu et auctoritate rmi p. Bernardini Klumper ... studio et cura pp. Collegii s. Bonaventurae ad fidem codicum edita ...</t>
        </is>
      </c>
      <c r="E448" t="inlineStr">
        <is>
          <t>V.1</t>
        </is>
      </c>
      <c r="F448" t="inlineStr">
        <is>
          <t>Yes</t>
        </is>
      </c>
      <c r="G448" t="inlineStr">
        <is>
          <t>1</t>
        </is>
      </c>
      <c r="H448" t="inlineStr">
        <is>
          <t>Yes</t>
        </is>
      </c>
      <c r="I448" t="inlineStr">
        <is>
          <t>No</t>
        </is>
      </c>
      <c r="J448" t="inlineStr">
        <is>
          <t>0</t>
        </is>
      </c>
      <c r="K448" t="inlineStr">
        <is>
          <t>Alexander, of Hales, approximately 1185-1245.</t>
        </is>
      </c>
      <c r="L448" t="inlineStr">
        <is>
          <t>Ad Claras Aquas (Quaracchi) prope Florentiam : ex typographia Collegii s. Bonaventurae, 1924-</t>
        </is>
      </c>
      <c r="M448" t="inlineStr">
        <is>
          <t>1924</t>
        </is>
      </c>
      <c r="O448" t="inlineStr">
        <is>
          <t>eng</t>
        </is>
      </c>
      <c r="P448" t="inlineStr">
        <is>
          <t>|||</t>
        </is>
      </c>
      <c r="R448" t="inlineStr">
        <is>
          <t xml:space="preserve">BX </t>
        </is>
      </c>
      <c r="S448" t="n">
        <v>1</v>
      </c>
      <c r="T448" t="n">
        <v>2</v>
      </c>
      <c r="V448" t="inlineStr">
        <is>
          <t>2009-07-13</t>
        </is>
      </c>
      <c r="W448" t="inlineStr">
        <is>
          <t>1991-04-09</t>
        </is>
      </c>
      <c r="X448" t="inlineStr">
        <is>
          <t>2000-05-09</t>
        </is>
      </c>
      <c r="Y448" t="n">
        <v>148</v>
      </c>
      <c r="Z448" t="n">
        <v>118</v>
      </c>
      <c r="AA448" t="n">
        <v>119</v>
      </c>
      <c r="AB448" t="n">
        <v>2</v>
      </c>
      <c r="AC448" t="n">
        <v>2</v>
      </c>
      <c r="AD448" t="n">
        <v>16</v>
      </c>
      <c r="AE448" t="n">
        <v>16</v>
      </c>
      <c r="AF448" t="n">
        <v>1</v>
      </c>
      <c r="AG448" t="n">
        <v>1</v>
      </c>
      <c r="AH448" t="n">
        <v>6</v>
      </c>
      <c r="AI448" t="n">
        <v>6</v>
      </c>
      <c r="AJ448" t="n">
        <v>12</v>
      </c>
      <c r="AK448" t="n">
        <v>12</v>
      </c>
      <c r="AL448" t="n">
        <v>1</v>
      </c>
      <c r="AM448" t="n">
        <v>1</v>
      </c>
      <c r="AN448" t="n">
        <v>0</v>
      </c>
      <c r="AO448" t="n">
        <v>0</v>
      </c>
      <c r="AP448" t="inlineStr">
        <is>
          <t>No</t>
        </is>
      </c>
      <c r="AQ448" t="inlineStr">
        <is>
          <t>Yes</t>
        </is>
      </c>
      <c r="AR448">
        <f>HYPERLINK("http://catalog.hathitrust.org/Record/000223500","HathiTrust Record")</f>
        <v/>
      </c>
      <c r="AS448">
        <f>HYPERLINK("https://creighton-primo.hosted.exlibrisgroup.com/primo-explore/search?tab=default_tab&amp;search_scope=EVERYTHING&amp;vid=01CRU&amp;lang=en_US&amp;offset=0&amp;query=any,contains,991003834249702656","Catalog Record")</f>
        <v/>
      </c>
      <c r="AT448">
        <f>HYPERLINK("http://www.worldcat.org/oclc/1598379","WorldCat Record")</f>
        <v/>
      </c>
      <c r="AU448" t="inlineStr">
        <is>
          <t>479051651:lat</t>
        </is>
      </c>
      <c r="AV448" t="inlineStr">
        <is>
          <t>1598379</t>
        </is>
      </c>
      <c r="AW448" t="inlineStr">
        <is>
          <t>991003834249702656</t>
        </is>
      </c>
      <c r="AX448" t="inlineStr">
        <is>
          <t>991003834249702656</t>
        </is>
      </c>
      <c r="AY448" t="inlineStr">
        <is>
          <t>2264504130002656</t>
        </is>
      </c>
      <c r="AZ448" t="inlineStr">
        <is>
          <t>BOOK</t>
        </is>
      </c>
      <c r="BC448" t="inlineStr">
        <is>
          <t>32285000532142</t>
        </is>
      </c>
      <c r="BD448" t="inlineStr">
        <is>
          <t>893711847</t>
        </is>
      </c>
    </row>
    <row r="449">
      <c r="A449" t="inlineStr">
        <is>
          <t>No</t>
        </is>
      </c>
      <c r="B449" t="inlineStr">
        <is>
          <t>BX1749 .A6 1924</t>
        </is>
      </c>
      <c r="C449" t="inlineStr">
        <is>
          <t>0                      BX 1749000A  6           1924</t>
        </is>
      </c>
      <c r="D449" t="inlineStr">
        <is>
          <t>Doctoris irrefragabilis Alexandri de Hales Ordinis minorum Summa theologica / iussu et auctoritate rmi p. Bernardini Klumper ... studio et cura pp. Collegii s. Bonaventurae ad fidem codicum edita ...</t>
        </is>
      </c>
      <c r="E449" t="inlineStr">
        <is>
          <t>V.4</t>
        </is>
      </c>
      <c r="F449" t="inlineStr">
        <is>
          <t>Yes</t>
        </is>
      </c>
      <c r="G449" t="inlineStr">
        <is>
          <t>1</t>
        </is>
      </c>
      <c r="H449" t="inlineStr">
        <is>
          <t>Yes</t>
        </is>
      </c>
      <c r="I449" t="inlineStr">
        <is>
          <t>No</t>
        </is>
      </c>
      <c r="J449" t="inlineStr">
        <is>
          <t>0</t>
        </is>
      </c>
      <c r="K449" t="inlineStr">
        <is>
          <t>Alexander, of Hales, approximately 1185-1245.</t>
        </is>
      </c>
      <c r="L449" t="inlineStr">
        <is>
          <t>Ad Claras Aquas (Quaracchi) prope Florentiam : ex typographia Collegii s. Bonaventurae, 1924-</t>
        </is>
      </c>
      <c r="M449" t="inlineStr">
        <is>
          <t>1924</t>
        </is>
      </c>
      <c r="O449" t="inlineStr">
        <is>
          <t>eng</t>
        </is>
      </c>
      <c r="P449" t="inlineStr">
        <is>
          <t>|||</t>
        </is>
      </c>
      <c r="R449" t="inlineStr">
        <is>
          <t xml:space="preserve">BX </t>
        </is>
      </c>
      <c r="S449" t="n">
        <v>0</v>
      </c>
      <c r="T449" t="n">
        <v>2</v>
      </c>
      <c r="V449" t="inlineStr">
        <is>
          <t>2009-07-13</t>
        </is>
      </c>
      <c r="W449" t="inlineStr">
        <is>
          <t>1991-04-09</t>
        </is>
      </c>
      <c r="X449" t="inlineStr">
        <is>
          <t>2000-05-09</t>
        </is>
      </c>
      <c r="Y449" t="n">
        <v>148</v>
      </c>
      <c r="Z449" t="n">
        <v>118</v>
      </c>
      <c r="AA449" t="n">
        <v>119</v>
      </c>
      <c r="AB449" t="n">
        <v>2</v>
      </c>
      <c r="AC449" t="n">
        <v>2</v>
      </c>
      <c r="AD449" t="n">
        <v>16</v>
      </c>
      <c r="AE449" t="n">
        <v>16</v>
      </c>
      <c r="AF449" t="n">
        <v>1</v>
      </c>
      <c r="AG449" t="n">
        <v>1</v>
      </c>
      <c r="AH449" t="n">
        <v>6</v>
      </c>
      <c r="AI449" t="n">
        <v>6</v>
      </c>
      <c r="AJ449" t="n">
        <v>12</v>
      </c>
      <c r="AK449" t="n">
        <v>12</v>
      </c>
      <c r="AL449" t="n">
        <v>1</v>
      </c>
      <c r="AM449" t="n">
        <v>1</v>
      </c>
      <c r="AN449" t="n">
        <v>0</v>
      </c>
      <c r="AO449" t="n">
        <v>0</v>
      </c>
      <c r="AP449" t="inlineStr">
        <is>
          <t>No</t>
        </is>
      </c>
      <c r="AQ449" t="inlineStr">
        <is>
          <t>Yes</t>
        </is>
      </c>
      <c r="AR449">
        <f>HYPERLINK("http://catalog.hathitrust.org/Record/000223500","HathiTrust Record")</f>
        <v/>
      </c>
      <c r="AS449">
        <f>HYPERLINK("https://creighton-primo.hosted.exlibrisgroup.com/primo-explore/search?tab=default_tab&amp;search_scope=EVERYTHING&amp;vid=01CRU&amp;lang=en_US&amp;offset=0&amp;query=any,contains,991003834249702656","Catalog Record")</f>
        <v/>
      </c>
      <c r="AT449">
        <f>HYPERLINK("http://www.worldcat.org/oclc/1598379","WorldCat Record")</f>
        <v/>
      </c>
      <c r="AU449" t="inlineStr">
        <is>
          <t>479051651:lat</t>
        </is>
      </c>
      <c r="AV449" t="inlineStr">
        <is>
          <t>1598379</t>
        </is>
      </c>
      <c r="AW449" t="inlineStr">
        <is>
          <t>991003834249702656</t>
        </is>
      </c>
      <c r="AX449" t="inlineStr">
        <is>
          <t>991003834249702656</t>
        </is>
      </c>
      <c r="AY449" t="inlineStr">
        <is>
          <t>2264504130002656</t>
        </is>
      </c>
      <c r="AZ449" t="inlineStr">
        <is>
          <t>BOOK</t>
        </is>
      </c>
      <c r="BC449" t="inlineStr">
        <is>
          <t>32285000532175</t>
        </is>
      </c>
      <c r="BD449" t="inlineStr">
        <is>
          <t>893722116</t>
        </is>
      </c>
    </row>
    <row r="450">
      <c r="A450" t="inlineStr">
        <is>
          <t>No</t>
        </is>
      </c>
      <c r="B450" t="inlineStr">
        <is>
          <t>BX1749 .A6 1924</t>
        </is>
      </c>
      <c r="C450" t="inlineStr">
        <is>
          <t>0                      BX 1749000A  6           1924</t>
        </is>
      </c>
      <c r="D450" t="inlineStr">
        <is>
          <t>Doctoris irrefragabilis Alexandri de Hales Ordinis minorum Summa theologica / iussu et auctoritate rmi p. Bernardini Klumper ... studio et cura pp. Collegii s. Bonaventurae ad fidem codicum edita ...</t>
        </is>
      </c>
      <c r="E450" t="inlineStr">
        <is>
          <t>V.2</t>
        </is>
      </c>
      <c r="F450" t="inlineStr">
        <is>
          <t>Yes</t>
        </is>
      </c>
      <c r="G450" t="inlineStr">
        <is>
          <t>1</t>
        </is>
      </c>
      <c r="H450" t="inlineStr">
        <is>
          <t>Yes</t>
        </is>
      </c>
      <c r="I450" t="inlineStr">
        <is>
          <t>No</t>
        </is>
      </c>
      <c r="J450" t="inlineStr">
        <is>
          <t>0</t>
        </is>
      </c>
      <c r="K450" t="inlineStr">
        <is>
          <t>Alexander, of Hales, approximately 1185-1245.</t>
        </is>
      </c>
      <c r="L450" t="inlineStr">
        <is>
          <t>Ad Claras Aquas (Quaracchi) prope Florentiam : ex typographia Collegii s. Bonaventurae, 1924-</t>
        </is>
      </c>
      <c r="M450" t="inlineStr">
        <is>
          <t>1924</t>
        </is>
      </c>
      <c r="O450" t="inlineStr">
        <is>
          <t>eng</t>
        </is>
      </c>
      <c r="P450" t="inlineStr">
        <is>
          <t>|||</t>
        </is>
      </c>
      <c r="R450" t="inlineStr">
        <is>
          <t xml:space="preserve">BX </t>
        </is>
      </c>
      <c r="S450" t="n">
        <v>0</v>
      </c>
      <c r="T450" t="n">
        <v>2</v>
      </c>
      <c r="V450" t="inlineStr">
        <is>
          <t>2009-07-13</t>
        </is>
      </c>
      <c r="W450" t="inlineStr">
        <is>
          <t>1991-04-09</t>
        </is>
      </c>
      <c r="X450" t="inlineStr">
        <is>
          <t>2000-05-09</t>
        </is>
      </c>
      <c r="Y450" t="n">
        <v>148</v>
      </c>
      <c r="Z450" t="n">
        <v>118</v>
      </c>
      <c r="AA450" t="n">
        <v>119</v>
      </c>
      <c r="AB450" t="n">
        <v>2</v>
      </c>
      <c r="AC450" t="n">
        <v>2</v>
      </c>
      <c r="AD450" t="n">
        <v>16</v>
      </c>
      <c r="AE450" t="n">
        <v>16</v>
      </c>
      <c r="AF450" t="n">
        <v>1</v>
      </c>
      <c r="AG450" t="n">
        <v>1</v>
      </c>
      <c r="AH450" t="n">
        <v>6</v>
      </c>
      <c r="AI450" t="n">
        <v>6</v>
      </c>
      <c r="AJ450" t="n">
        <v>12</v>
      </c>
      <c r="AK450" t="n">
        <v>12</v>
      </c>
      <c r="AL450" t="n">
        <v>1</v>
      </c>
      <c r="AM450" t="n">
        <v>1</v>
      </c>
      <c r="AN450" t="n">
        <v>0</v>
      </c>
      <c r="AO450" t="n">
        <v>0</v>
      </c>
      <c r="AP450" t="inlineStr">
        <is>
          <t>No</t>
        </is>
      </c>
      <c r="AQ450" t="inlineStr">
        <is>
          <t>Yes</t>
        </is>
      </c>
      <c r="AR450">
        <f>HYPERLINK("http://catalog.hathitrust.org/Record/000223500","HathiTrust Record")</f>
        <v/>
      </c>
      <c r="AS450">
        <f>HYPERLINK("https://creighton-primo.hosted.exlibrisgroup.com/primo-explore/search?tab=default_tab&amp;search_scope=EVERYTHING&amp;vid=01CRU&amp;lang=en_US&amp;offset=0&amp;query=any,contains,991003834249702656","Catalog Record")</f>
        <v/>
      </c>
      <c r="AT450">
        <f>HYPERLINK("http://www.worldcat.org/oclc/1598379","WorldCat Record")</f>
        <v/>
      </c>
      <c r="AU450" t="inlineStr">
        <is>
          <t>479051651:lat</t>
        </is>
      </c>
      <c r="AV450" t="inlineStr">
        <is>
          <t>1598379</t>
        </is>
      </c>
      <c r="AW450" t="inlineStr">
        <is>
          <t>991003834249702656</t>
        </is>
      </c>
      <c r="AX450" t="inlineStr">
        <is>
          <t>991003834249702656</t>
        </is>
      </c>
      <c r="AY450" t="inlineStr">
        <is>
          <t>2264504130002656</t>
        </is>
      </c>
      <c r="AZ450" t="inlineStr">
        <is>
          <t>BOOK</t>
        </is>
      </c>
      <c r="BC450" t="inlineStr">
        <is>
          <t>32285000532159</t>
        </is>
      </c>
      <c r="BD450" t="inlineStr">
        <is>
          <t>893693203</t>
        </is>
      </c>
    </row>
    <row r="451">
      <c r="A451" t="inlineStr">
        <is>
          <t>No</t>
        </is>
      </c>
      <c r="B451" t="inlineStr">
        <is>
          <t>BX1749 .A6 1924</t>
        </is>
      </c>
      <c r="C451" t="inlineStr">
        <is>
          <t>0                      BX 1749000A  6           1924</t>
        </is>
      </c>
      <c r="D451" t="inlineStr">
        <is>
          <t>Doctoris irrefragabilis Alexandri de Hales Ordinis minorum Summa theologica / iussu et auctoritate rmi p. Bernardini Klumper ... studio et cura pp. Collegii s. Bonaventurae ad fidem codicum edita ...</t>
        </is>
      </c>
      <c r="E451" t="inlineStr">
        <is>
          <t>V.5</t>
        </is>
      </c>
      <c r="F451" t="inlineStr">
        <is>
          <t>Yes</t>
        </is>
      </c>
      <c r="G451" t="inlineStr">
        <is>
          <t>1</t>
        </is>
      </c>
      <c r="H451" t="inlineStr">
        <is>
          <t>Yes</t>
        </is>
      </c>
      <c r="I451" t="inlineStr">
        <is>
          <t>No</t>
        </is>
      </c>
      <c r="J451" t="inlineStr">
        <is>
          <t>0</t>
        </is>
      </c>
      <c r="K451" t="inlineStr">
        <is>
          <t>Alexander, of Hales, approximately 1185-1245.</t>
        </is>
      </c>
      <c r="L451" t="inlineStr">
        <is>
          <t>Ad Claras Aquas (Quaracchi) prope Florentiam : ex typographia Collegii s. Bonaventurae, 1924-</t>
        </is>
      </c>
      <c r="M451" t="inlineStr">
        <is>
          <t>1924</t>
        </is>
      </c>
      <c r="O451" t="inlineStr">
        <is>
          <t>eng</t>
        </is>
      </c>
      <c r="P451" t="inlineStr">
        <is>
          <t>|||</t>
        </is>
      </c>
      <c r="R451" t="inlineStr">
        <is>
          <t xml:space="preserve">BX </t>
        </is>
      </c>
      <c r="S451" t="n">
        <v>1</v>
      </c>
      <c r="T451" t="n">
        <v>2</v>
      </c>
      <c r="U451" t="inlineStr">
        <is>
          <t>2009-07-13</t>
        </is>
      </c>
      <c r="V451" t="inlineStr">
        <is>
          <t>2009-07-13</t>
        </is>
      </c>
      <c r="W451" t="inlineStr">
        <is>
          <t>1991-04-09</t>
        </is>
      </c>
      <c r="X451" t="inlineStr">
        <is>
          <t>2000-05-09</t>
        </is>
      </c>
      <c r="Y451" t="n">
        <v>148</v>
      </c>
      <c r="Z451" t="n">
        <v>118</v>
      </c>
      <c r="AA451" t="n">
        <v>119</v>
      </c>
      <c r="AB451" t="n">
        <v>2</v>
      </c>
      <c r="AC451" t="n">
        <v>2</v>
      </c>
      <c r="AD451" t="n">
        <v>16</v>
      </c>
      <c r="AE451" t="n">
        <v>16</v>
      </c>
      <c r="AF451" t="n">
        <v>1</v>
      </c>
      <c r="AG451" t="n">
        <v>1</v>
      </c>
      <c r="AH451" t="n">
        <v>6</v>
      </c>
      <c r="AI451" t="n">
        <v>6</v>
      </c>
      <c r="AJ451" t="n">
        <v>12</v>
      </c>
      <c r="AK451" t="n">
        <v>12</v>
      </c>
      <c r="AL451" t="n">
        <v>1</v>
      </c>
      <c r="AM451" t="n">
        <v>1</v>
      </c>
      <c r="AN451" t="n">
        <v>0</v>
      </c>
      <c r="AO451" t="n">
        <v>0</v>
      </c>
      <c r="AP451" t="inlineStr">
        <is>
          <t>No</t>
        </is>
      </c>
      <c r="AQ451" t="inlineStr">
        <is>
          <t>Yes</t>
        </is>
      </c>
      <c r="AR451">
        <f>HYPERLINK("http://catalog.hathitrust.org/Record/000223500","HathiTrust Record")</f>
        <v/>
      </c>
      <c r="AS451">
        <f>HYPERLINK("https://creighton-primo.hosted.exlibrisgroup.com/primo-explore/search?tab=default_tab&amp;search_scope=EVERYTHING&amp;vid=01CRU&amp;lang=en_US&amp;offset=0&amp;query=any,contains,991003834249702656","Catalog Record")</f>
        <v/>
      </c>
      <c r="AT451">
        <f>HYPERLINK("http://www.worldcat.org/oclc/1598379","WorldCat Record")</f>
        <v/>
      </c>
      <c r="AU451" t="inlineStr">
        <is>
          <t>479051651:lat</t>
        </is>
      </c>
      <c r="AV451" t="inlineStr">
        <is>
          <t>1598379</t>
        </is>
      </c>
      <c r="AW451" t="inlineStr">
        <is>
          <t>991003834249702656</t>
        </is>
      </c>
      <c r="AX451" t="inlineStr">
        <is>
          <t>991003834249702656</t>
        </is>
      </c>
      <c r="AY451" t="inlineStr">
        <is>
          <t>2264504130002656</t>
        </is>
      </c>
      <c r="AZ451" t="inlineStr">
        <is>
          <t>BOOK</t>
        </is>
      </c>
      <c r="BC451" t="inlineStr">
        <is>
          <t>32285000532183</t>
        </is>
      </c>
      <c r="BD451" t="inlineStr">
        <is>
          <t>893693202</t>
        </is>
      </c>
    </row>
    <row r="452">
      <c r="A452" t="inlineStr">
        <is>
          <t>No</t>
        </is>
      </c>
      <c r="B452" t="inlineStr">
        <is>
          <t>BX1749 .D4 1947</t>
        </is>
      </c>
      <c r="C452" t="inlineStr">
        <is>
          <t>0                      BX 1749000D  4           1947</t>
        </is>
      </c>
      <c r="D452" t="inlineStr">
        <is>
          <t>Enchiridion symbolorum : definitionum et declarationum de rebus fidei et morum / Henrici Denzinger ; quod Clementem Bannwart, denuo compositum iteratis curis editit Iohannes Bapt. Umberg.</t>
        </is>
      </c>
      <c r="F452" t="inlineStr">
        <is>
          <t>No</t>
        </is>
      </c>
      <c r="G452" t="inlineStr">
        <is>
          <t>1</t>
        </is>
      </c>
      <c r="H452" t="inlineStr">
        <is>
          <t>No</t>
        </is>
      </c>
      <c r="I452" t="inlineStr">
        <is>
          <t>Yes</t>
        </is>
      </c>
      <c r="J452" t="inlineStr">
        <is>
          <t>0</t>
        </is>
      </c>
      <c r="K452" t="inlineStr">
        <is>
          <t>Denzinger, Heinrich, 1819-1883.</t>
        </is>
      </c>
      <c r="L452" t="inlineStr">
        <is>
          <t>Friburgi Brisg. (Germany, West) : Herder, 1947.</t>
        </is>
      </c>
      <c r="M452" t="inlineStr">
        <is>
          <t>1947</t>
        </is>
      </c>
      <c r="N452" t="inlineStr">
        <is>
          <t>Editio 26 augmentata.</t>
        </is>
      </c>
      <c r="O452" t="inlineStr">
        <is>
          <t>lat</t>
        </is>
      </c>
      <c r="P452" t="inlineStr">
        <is>
          <t xml:space="preserve">gw </t>
        </is>
      </c>
      <c r="R452" t="inlineStr">
        <is>
          <t xml:space="preserve">BX </t>
        </is>
      </c>
      <c r="S452" t="n">
        <v>5</v>
      </c>
      <c r="T452" t="n">
        <v>5</v>
      </c>
      <c r="U452" t="inlineStr">
        <is>
          <t>1997-11-11</t>
        </is>
      </c>
      <c r="V452" t="inlineStr">
        <is>
          <t>1997-11-11</t>
        </is>
      </c>
      <c r="W452" t="inlineStr">
        <is>
          <t>1991-04-09</t>
        </is>
      </c>
      <c r="X452" t="inlineStr">
        <is>
          <t>1991-04-09</t>
        </is>
      </c>
      <c r="Y452" t="n">
        <v>32</v>
      </c>
      <c r="Z452" t="n">
        <v>18</v>
      </c>
      <c r="AA452" t="n">
        <v>344</v>
      </c>
      <c r="AB452" t="n">
        <v>1</v>
      </c>
      <c r="AC452" t="n">
        <v>3</v>
      </c>
      <c r="AD452" t="n">
        <v>5</v>
      </c>
      <c r="AE452" t="n">
        <v>36</v>
      </c>
      <c r="AF452" t="n">
        <v>0</v>
      </c>
      <c r="AG452" t="n">
        <v>13</v>
      </c>
      <c r="AH452" t="n">
        <v>3</v>
      </c>
      <c r="AI452" t="n">
        <v>9</v>
      </c>
      <c r="AJ452" t="n">
        <v>3</v>
      </c>
      <c r="AK452" t="n">
        <v>26</v>
      </c>
      <c r="AL452" t="n">
        <v>0</v>
      </c>
      <c r="AM452" t="n">
        <v>0</v>
      </c>
      <c r="AN452" t="n">
        <v>0</v>
      </c>
      <c r="AO452" t="n">
        <v>0</v>
      </c>
      <c r="AP452" t="inlineStr">
        <is>
          <t>No</t>
        </is>
      </c>
      <c r="AQ452" t="inlineStr">
        <is>
          <t>No</t>
        </is>
      </c>
      <c r="AS452">
        <f>HYPERLINK("https://creighton-primo.hosted.exlibrisgroup.com/primo-explore/search?tab=default_tab&amp;search_scope=EVERYTHING&amp;vid=01CRU&amp;lang=en_US&amp;offset=0&amp;query=any,contains,991005109489702656","Catalog Record")</f>
        <v/>
      </c>
      <c r="AT452">
        <f>HYPERLINK("http://www.worldcat.org/oclc/7398423","WorldCat Record")</f>
        <v/>
      </c>
      <c r="AU452" t="inlineStr">
        <is>
          <t>3477335:lat</t>
        </is>
      </c>
      <c r="AV452" t="inlineStr">
        <is>
          <t>7398423</t>
        </is>
      </c>
      <c r="AW452" t="inlineStr">
        <is>
          <t>991005109489702656</t>
        </is>
      </c>
      <c r="AX452" t="inlineStr">
        <is>
          <t>991005109489702656</t>
        </is>
      </c>
      <c r="AY452" t="inlineStr">
        <is>
          <t>2263830540002656</t>
        </is>
      </c>
      <c r="AZ452" t="inlineStr">
        <is>
          <t>BOOK</t>
        </is>
      </c>
      <c r="BC452" t="inlineStr">
        <is>
          <t>32285000532217</t>
        </is>
      </c>
      <c r="BD452" t="inlineStr">
        <is>
          <t>893520440</t>
        </is>
      </c>
    </row>
    <row r="453">
      <c r="A453" t="inlineStr">
        <is>
          <t>No</t>
        </is>
      </c>
      <c r="B453" t="inlineStr">
        <is>
          <t>BX1749 .D4 1963</t>
        </is>
      </c>
      <c r="C453" t="inlineStr">
        <is>
          <t>0                      BX 1749000D  4           1963</t>
        </is>
      </c>
      <c r="D453" t="inlineStr">
        <is>
          <t>Enchiridion symbolorum : definitionum et declarationum de rebus fidei et morum. Quod primum edidit Henricus Denzinger et quod funditus retractavit, auxit, notulis, ornavit Adolfus Schönmetzer.</t>
        </is>
      </c>
      <c r="F453" t="inlineStr">
        <is>
          <t>No</t>
        </is>
      </c>
      <c r="G453" t="inlineStr">
        <is>
          <t>1</t>
        </is>
      </c>
      <c r="H453" t="inlineStr">
        <is>
          <t>Yes</t>
        </is>
      </c>
      <c r="I453" t="inlineStr">
        <is>
          <t>Yes</t>
        </is>
      </c>
      <c r="J453" t="inlineStr">
        <is>
          <t>0</t>
        </is>
      </c>
      <c r="K453" t="inlineStr">
        <is>
          <t>Denzinger, Heinrich, 1819-1883.</t>
        </is>
      </c>
      <c r="L453" t="inlineStr">
        <is>
          <t>Barcinone : Herder, 1963.</t>
        </is>
      </c>
      <c r="M453" t="inlineStr">
        <is>
          <t>1963</t>
        </is>
      </c>
      <c r="N453" t="inlineStr">
        <is>
          <t>32d ed.</t>
        </is>
      </c>
      <c r="O453" t="inlineStr">
        <is>
          <t>lat</t>
        </is>
      </c>
      <c r="P453" t="inlineStr">
        <is>
          <t xml:space="preserve">xx </t>
        </is>
      </c>
      <c r="R453" t="inlineStr">
        <is>
          <t xml:space="preserve">BX </t>
        </is>
      </c>
      <c r="S453" t="n">
        <v>4</v>
      </c>
      <c r="T453" t="n">
        <v>6</v>
      </c>
      <c r="U453" t="inlineStr">
        <is>
          <t>2002-02-20</t>
        </is>
      </c>
      <c r="V453" t="inlineStr">
        <is>
          <t>2002-02-20</t>
        </is>
      </c>
      <c r="W453" t="inlineStr">
        <is>
          <t>1991-04-09</t>
        </is>
      </c>
      <c r="X453" t="inlineStr">
        <is>
          <t>1991-04-09</t>
        </is>
      </c>
      <c r="Y453" t="n">
        <v>140</v>
      </c>
      <c r="Z453" t="n">
        <v>94</v>
      </c>
      <c r="AA453" t="n">
        <v>344</v>
      </c>
      <c r="AB453" t="n">
        <v>1</v>
      </c>
      <c r="AC453" t="n">
        <v>3</v>
      </c>
      <c r="AD453" t="n">
        <v>19</v>
      </c>
      <c r="AE453" t="n">
        <v>36</v>
      </c>
      <c r="AF453" t="n">
        <v>6</v>
      </c>
      <c r="AG453" t="n">
        <v>13</v>
      </c>
      <c r="AH453" t="n">
        <v>4</v>
      </c>
      <c r="AI453" t="n">
        <v>9</v>
      </c>
      <c r="AJ453" t="n">
        <v>17</v>
      </c>
      <c r="AK453" t="n">
        <v>26</v>
      </c>
      <c r="AL453" t="n">
        <v>0</v>
      </c>
      <c r="AM453" t="n">
        <v>0</v>
      </c>
      <c r="AN453" t="n">
        <v>0</v>
      </c>
      <c r="AO453" t="n">
        <v>0</v>
      </c>
      <c r="AP453" t="inlineStr">
        <is>
          <t>No</t>
        </is>
      </c>
      <c r="AQ453" t="inlineStr">
        <is>
          <t>Yes</t>
        </is>
      </c>
      <c r="AR453">
        <f>HYPERLINK("http://catalog.hathitrust.org/Record/102644991","HathiTrust Record")</f>
        <v/>
      </c>
      <c r="AS453">
        <f>HYPERLINK("https://creighton-primo.hosted.exlibrisgroup.com/primo-explore/search?tab=default_tab&amp;search_scope=EVERYTHING&amp;vid=01CRU&amp;lang=en_US&amp;offset=0&amp;query=any,contains,991004423399702656","Catalog Record")</f>
        <v/>
      </c>
      <c r="AT453">
        <f>HYPERLINK("http://www.worldcat.org/oclc/3392837","WorldCat Record")</f>
        <v/>
      </c>
      <c r="AU453" t="inlineStr">
        <is>
          <t>3477335:lat</t>
        </is>
      </c>
      <c r="AV453" t="inlineStr">
        <is>
          <t>3392837</t>
        </is>
      </c>
      <c r="AW453" t="inlineStr">
        <is>
          <t>991004423399702656</t>
        </is>
      </c>
      <c r="AX453" t="inlineStr">
        <is>
          <t>991004423399702656</t>
        </is>
      </c>
      <c r="AY453" t="inlineStr">
        <is>
          <t>2269814220002656</t>
        </is>
      </c>
      <c r="AZ453" t="inlineStr">
        <is>
          <t>BOOK</t>
        </is>
      </c>
      <c r="BC453" t="inlineStr">
        <is>
          <t>32285000532233</t>
        </is>
      </c>
      <c r="BD453" t="inlineStr">
        <is>
          <t>893253675</t>
        </is>
      </c>
    </row>
    <row r="454">
      <c r="A454" t="inlineStr">
        <is>
          <t>No</t>
        </is>
      </c>
      <c r="B454" t="inlineStr">
        <is>
          <t>BX1749 .D4 1963</t>
        </is>
      </c>
      <c r="C454" t="inlineStr">
        <is>
          <t>0                      BX 1749000D  4           1963</t>
        </is>
      </c>
      <c r="D454" t="inlineStr">
        <is>
          <t>Enchiridion symbolorum : definitionum et declarationum de rebus fidei et morum. Quod primum edidit Henricus Denzinger et quod funditus retractavit, auxit, notulis, ornavit Adolfus Schönmetzer.</t>
        </is>
      </c>
      <c r="F454" t="inlineStr">
        <is>
          <t>No</t>
        </is>
      </c>
      <c r="G454" t="inlineStr">
        <is>
          <t>1</t>
        </is>
      </c>
      <c r="H454" t="inlineStr">
        <is>
          <t>Yes</t>
        </is>
      </c>
      <c r="I454" t="inlineStr">
        <is>
          <t>Yes</t>
        </is>
      </c>
      <c r="J454" t="inlineStr">
        <is>
          <t>0</t>
        </is>
      </c>
      <c r="K454" t="inlineStr">
        <is>
          <t>Denzinger, Heinrich, 1819-1883.</t>
        </is>
      </c>
      <c r="L454" t="inlineStr">
        <is>
          <t>Barcinone : Herder, 1963.</t>
        </is>
      </c>
      <c r="M454" t="inlineStr">
        <is>
          <t>1963</t>
        </is>
      </c>
      <c r="N454" t="inlineStr">
        <is>
          <t>32d ed.</t>
        </is>
      </c>
      <c r="O454" t="inlineStr">
        <is>
          <t>lat</t>
        </is>
      </c>
      <c r="P454" t="inlineStr">
        <is>
          <t xml:space="preserve">xx </t>
        </is>
      </c>
      <c r="R454" t="inlineStr">
        <is>
          <t xml:space="preserve">BX </t>
        </is>
      </c>
      <c r="S454" t="n">
        <v>2</v>
      </c>
      <c r="T454" t="n">
        <v>6</v>
      </c>
      <c r="U454" t="inlineStr">
        <is>
          <t>2001-03-16</t>
        </is>
      </c>
      <c r="V454" t="inlineStr">
        <is>
          <t>2002-02-20</t>
        </is>
      </c>
      <c r="W454" t="inlineStr">
        <is>
          <t>1991-04-09</t>
        </is>
      </c>
      <c r="X454" t="inlineStr">
        <is>
          <t>1991-04-09</t>
        </is>
      </c>
      <c r="Y454" t="n">
        <v>140</v>
      </c>
      <c r="Z454" t="n">
        <v>94</v>
      </c>
      <c r="AA454" t="n">
        <v>344</v>
      </c>
      <c r="AB454" t="n">
        <v>1</v>
      </c>
      <c r="AC454" t="n">
        <v>3</v>
      </c>
      <c r="AD454" t="n">
        <v>19</v>
      </c>
      <c r="AE454" t="n">
        <v>36</v>
      </c>
      <c r="AF454" t="n">
        <v>6</v>
      </c>
      <c r="AG454" t="n">
        <v>13</v>
      </c>
      <c r="AH454" t="n">
        <v>4</v>
      </c>
      <c r="AI454" t="n">
        <v>9</v>
      </c>
      <c r="AJ454" t="n">
        <v>17</v>
      </c>
      <c r="AK454" t="n">
        <v>26</v>
      </c>
      <c r="AL454" t="n">
        <v>0</v>
      </c>
      <c r="AM454" t="n">
        <v>0</v>
      </c>
      <c r="AN454" t="n">
        <v>0</v>
      </c>
      <c r="AO454" t="n">
        <v>0</v>
      </c>
      <c r="AP454" t="inlineStr">
        <is>
          <t>No</t>
        </is>
      </c>
      <c r="AQ454" t="inlineStr">
        <is>
          <t>Yes</t>
        </is>
      </c>
      <c r="AR454">
        <f>HYPERLINK("http://catalog.hathitrust.org/Record/102644991","HathiTrust Record")</f>
        <v/>
      </c>
      <c r="AS454">
        <f>HYPERLINK("https://creighton-primo.hosted.exlibrisgroup.com/primo-explore/search?tab=default_tab&amp;search_scope=EVERYTHING&amp;vid=01CRU&amp;lang=en_US&amp;offset=0&amp;query=any,contains,991004423399702656","Catalog Record")</f>
        <v/>
      </c>
      <c r="AT454">
        <f>HYPERLINK("http://www.worldcat.org/oclc/3392837","WorldCat Record")</f>
        <v/>
      </c>
      <c r="AU454" t="inlineStr">
        <is>
          <t>3477335:lat</t>
        </is>
      </c>
      <c r="AV454" t="inlineStr">
        <is>
          <t>3392837</t>
        </is>
      </c>
      <c r="AW454" t="inlineStr">
        <is>
          <t>991004423399702656</t>
        </is>
      </c>
      <c r="AX454" t="inlineStr">
        <is>
          <t>991004423399702656</t>
        </is>
      </c>
      <c r="AY454" t="inlineStr">
        <is>
          <t>2269814220002656</t>
        </is>
      </c>
      <c r="AZ454" t="inlineStr">
        <is>
          <t>BOOK</t>
        </is>
      </c>
      <c r="BC454" t="inlineStr">
        <is>
          <t>32285000532225</t>
        </is>
      </c>
      <c r="BD454" t="inlineStr">
        <is>
          <t>893253676</t>
        </is>
      </c>
    </row>
    <row r="455">
      <c r="A455" t="inlineStr">
        <is>
          <t>No</t>
        </is>
      </c>
      <c r="B455" t="inlineStr">
        <is>
          <t>BX1749 .G8 1500a</t>
        </is>
      </c>
      <c r="C455" t="inlineStr">
        <is>
          <t>0                      BX 1749000G  8           1500a</t>
        </is>
      </c>
      <c r="D455" t="inlineStr">
        <is>
          <t>Summa aurea in quattuor libros Sententiarum: a subtilissimo doctore Magistro Guillermo Altissiodorẽsi edita; quam nuper a mendis q̃[uam]plurimus ... Guillermus de Quercu ... emendauit ac tabulam huic pernecessariam edidit.</t>
        </is>
      </c>
      <c r="F455" t="inlineStr">
        <is>
          <t>No</t>
        </is>
      </c>
      <c r="G455" t="inlineStr">
        <is>
          <t>1</t>
        </is>
      </c>
      <c r="H455" t="inlineStr">
        <is>
          <t>No</t>
        </is>
      </c>
      <c r="I455" t="inlineStr">
        <is>
          <t>No</t>
        </is>
      </c>
      <c r="J455" t="inlineStr">
        <is>
          <t>0</t>
        </is>
      </c>
      <c r="K455" t="inlineStr">
        <is>
          <t>Guillermus, Altissiodorensis, -1231.</t>
        </is>
      </c>
      <c r="L455" t="inlineStr">
        <is>
          <t>Impressa est Parisijs maxima Philippi Pigoucheti cura, impensis vero Nicolai Vaultier et Durandi Gerlier ... [1500] Frankfurt/Main, Minerva, 1964.</t>
        </is>
      </c>
      <c r="M455" t="inlineStr">
        <is>
          <t>1964</t>
        </is>
      </c>
      <c r="O455" t="inlineStr">
        <is>
          <t>lat</t>
        </is>
      </c>
      <c r="P455" t="inlineStr">
        <is>
          <t>___</t>
        </is>
      </c>
      <c r="R455" t="inlineStr">
        <is>
          <t xml:space="preserve">BX </t>
        </is>
      </c>
      <c r="S455" t="n">
        <v>0</v>
      </c>
      <c r="T455" t="n">
        <v>0</v>
      </c>
      <c r="U455" t="inlineStr">
        <is>
          <t>2009-03-09</t>
        </is>
      </c>
      <c r="V455" t="inlineStr">
        <is>
          <t>2009-03-09</t>
        </is>
      </c>
      <c r="W455" t="inlineStr">
        <is>
          <t>1991-04-09</t>
        </is>
      </c>
      <c r="X455" t="inlineStr">
        <is>
          <t>1991-04-09</t>
        </is>
      </c>
      <c r="Y455" t="n">
        <v>47</v>
      </c>
      <c r="Z455" t="n">
        <v>40</v>
      </c>
      <c r="AA455" t="n">
        <v>58</v>
      </c>
      <c r="AB455" t="n">
        <v>1</v>
      </c>
      <c r="AC455" t="n">
        <v>1</v>
      </c>
      <c r="AD455" t="n">
        <v>5</v>
      </c>
      <c r="AE455" t="n">
        <v>6</v>
      </c>
      <c r="AF455" t="n">
        <v>1</v>
      </c>
      <c r="AG455" t="n">
        <v>1</v>
      </c>
      <c r="AH455" t="n">
        <v>2</v>
      </c>
      <c r="AI455" t="n">
        <v>2</v>
      </c>
      <c r="AJ455" t="n">
        <v>4</v>
      </c>
      <c r="AK455" t="n">
        <v>5</v>
      </c>
      <c r="AL455" t="n">
        <v>0</v>
      </c>
      <c r="AM455" t="n">
        <v>0</v>
      </c>
      <c r="AN455" t="n">
        <v>0</v>
      </c>
      <c r="AO455" t="n">
        <v>0</v>
      </c>
      <c r="AP455" t="inlineStr">
        <is>
          <t>No</t>
        </is>
      </c>
      <c r="AQ455" t="inlineStr">
        <is>
          <t>Yes</t>
        </is>
      </c>
      <c r="AR455">
        <f>HYPERLINK("http://catalog.hathitrust.org/Record/100206819","HathiTrust Record")</f>
        <v/>
      </c>
      <c r="AS455">
        <f>HYPERLINK("https://creighton-primo.hosted.exlibrisgroup.com/primo-explore/search?tab=default_tab&amp;search_scope=EVERYTHING&amp;vid=01CRU&amp;lang=en_US&amp;offset=0&amp;query=any,contains,991003228129702656","Catalog Record")</f>
        <v/>
      </c>
      <c r="AT455">
        <f>HYPERLINK("http://www.worldcat.org/oclc/753334","WorldCat Record")</f>
        <v/>
      </c>
      <c r="AU455" t="inlineStr">
        <is>
          <t>2865124526:lat</t>
        </is>
      </c>
      <c r="AV455" t="inlineStr">
        <is>
          <t>753334</t>
        </is>
      </c>
      <c r="AW455" t="inlineStr">
        <is>
          <t>991003228129702656</t>
        </is>
      </c>
      <c r="AX455" t="inlineStr">
        <is>
          <t>991003228129702656</t>
        </is>
      </c>
      <c r="AY455" t="inlineStr">
        <is>
          <t>2270490700002656</t>
        </is>
      </c>
      <c r="AZ455" t="inlineStr">
        <is>
          <t>BOOK</t>
        </is>
      </c>
      <c r="BC455" t="inlineStr">
        <is>
          <t>32285000532282</t>
        </is>
      </c>
      <c r="BD455" t="inlineStr">
        <is>
          <t>893899743</t>
        </is>
      </c>
    </row>
    <row r="456">
      <c r="A456" t="inlineStr">
        <is>
          <t>No</t>
        </is>
      </c>
      <c r="B456" t="inlineStr">
        <is>
          <t>BX1749 .H4</t>
        </is>
      </c>
      <c r="C456" t="inlineStr">
        <is>
          <t>0                      BX 1749000H  4</t>
        </is>
      </c>
      <c r="D456" t="inlineStr">
        <is>
          <t>Svmmae quaestionum ordinariarum theologi recepto preconio solennis Henrici a Gandauo, cum duplici repertorio, tomos [sic] prior[-posterior.]</t>
        </is>
      </c>
      <c r="E456" t="inlineStr">
        <is>
          <t>V.1</t>
        </is>
      </c>
      <c r="F456" t="inlineStr">
        <is>
          <t>Yes</t>
        </is>
      </c>
      <c r="G456" t="inlineStr">
        <is>
          <t>1</t>
        </is>
      </c>
      <c r="H456" t="inlineStr">
        <is>
          <t>No</t>
        </is>
      </c>
      <c r="I456" t="inlineStr">
        <is>
          <t>No</t>
        </is>
      </c>
      <c r="J456" t="inlineStr">
        <is>
          <t>0</t>
        </is>
      </c>
      <c r="K456" t="inlineStr">
        <is>
          <t>Henry, of Ghent, 1217?-1293.</t>
        </is>
      </c>
      <c r="L456" t="inlineStr">
        <is>
          <t>[Parisiis] In aedibus I. Badii Ascensii, 1520. [St. Bonaventure, N. Y., Franciscan Institute, 1953.</t>
        </is>
      </c>
      <c r="M456" t="inlineStr">
        <is>
          <t>1953</t>
        </is>
      </c>
      <c r="O456" t="inlineStr">
        <is>
          <t>eng</t>
        </is>
      </c>
      <c r="P456" t="inlineStr">
        <is>
          <t xml:space="preserve">xx </t>
        </is>
      </c>
      <c r="Q456" t="inlineStr">
        <is>
          <t>Franciscan Institute publications. Text series ; no. 5</t>
        </is>
      </c>
      <c r="R456" t="inlineStr">
        <is>
          <t xml:space="preserve">BX </t>
        </is>
      </c>
      <c r="S456" t="n">
        <v>3</v>
      </c>
      <c r="T456" t="n">
        <v>6</v>
      </c>
      <c r="U456" t="inlineStr">
        <is>
          <t>2006-10-01</t>
        </is>
      </c>
      <c r="V456" t="inlineStr">
        <is>
          <t>2006-10-01</t>
        </is>
      </c>
      <c r="W456" t="inlineStr">
        <is>
          <t>1991-04-09</t>
        </is>
      </c>
      <c r="X456" t="inlineStr">
        <is>
          <t>1991-04-09</t>
        </is>
      </c>
      <c r="Y456" t="n">
        <v>79</v>
      </c>
      <c r="Z456" t="n">
        <v>78</v>
      </c>
      <c r="AA456" t="n">
        <v>90</v>
      </c>
      <c r="AB456" t="n">
        <v>1</v>
      </c>
      <c r="AC456" t="n">
        <v>1</v>
      </c>
      <c r="AD456" t="n">
        <v>12</v>
      </c>
      <c r="AE456" t="n">
        <v>12</v>
      </c>
      <c r="AF456" t="n">
        <v>3</v>
      </c>
      <c r="AG456" t="n">
        <v>3</v>
      </c>
      <c r="AH456" t="n">
        <v>6</v>
      </c>
      <c r="AI456" t="n">
        <v>6</v>
      </c>
      <c r="AJ456" t="n">
        <v>9</v>
      </c>
      <c r="AK456" t="n">
        <v>9</v>
      </c>
      <c r="AL456" t="n">
        <v>0</v>
      </c>
      <c r="AM456" t="n">
        <v>0</v>
      </c>
      <c r="AN456" t="n">
        <v>0</v>
      </c>
      <c r="AO456" t="n">
        <v>0</v>
      </c>
      <c r="AP456" t="inlineStr">
        <is>
          <t>No</t>
        </is>
      </c>
      <c r="AQ456" t="inlineStr">
        <is>
          <t>Yes</t>
        </is>
      </c>
      <c r="AR456">
        <f>HYPERLINK("http://catalog.hathitrust.org/Record/002099699","HathiTrust Record")</f>
        <v/>
      </c>
      <c r="AS456">
        <f>HYPERLINK("https://creighton-primo.hosted.exlibrisgroup.com/primo-explore/search?tab=default_tab&amp;search_scope=EVERYTHING&amp;vid=01CRU&amp;lang=en_US&amp;offset=0&amp;query=any,contains,991003893919702656","Catalog Record")</f>
        <v/>
      </c>
      <c r="AT456">
        <f>HYPERLINK("http://www.worldcat.org/oclc/1804460","WorldCat Record")</f>
        <v/>
      </c>
      <c r="AU456" t="inlineStr">
        <is>
          <t>1810349668:eng</t>
        </is>
      </c>
      <c r="AV456" t="inlineStr">
        <is>
          <t>1804460</t>
        </is>
      </c>
      <c r="AW456" t="inlineStr">
        <is>
          <t>991003893919702656</t>
        </is>
      </c>
      <c r="AX456" t="inlineStr">
        <is>
          <t>991003893919702656</t>
        </is>
      </c>
      <c r="AY456" t="inlineStr">
        <is>
          <t>2271873140002656</t>
        </is>
      </c>
      <c r="AZ456" t="inlineStr">
        <is>
          <t>BOOK</t>
        </is>
      </c>
      <c r="BC456" t="inlineStr">
        <is>
          <t>32285000532290</t>
        </is>
      </c>
      <c r="BD456" t="inlineStr">
        <is>
          <t>893349357</t>
        </is>
      </c>
    </row>
    <row r="457">
      <c r="A457" t="inlineStr">
        <is>
          <t>No</t>
        </is>
      </c>
      <c r="B457" t="inlineStr">
        <is>
          <t>BX1749 .H4</t>
        </is>
      </c>
      <c r="C457" t="inlineStr">
        <is>
          <t>0                      BX 1749000H  4</t>
        </is>
      </c>
      <c r="D457" t="inlineStr">
        <is>
          <t>Svmmae quaestionum ordinariarum theologi recepto preconio solennis Henrici a Gandauo, cum duplici repertorio, tomos [sic] prior[-posterior.]</t>
        </is>
      </c>
      <c r="E457" t="inlineStr">
        <is>
          <t>V.2</t>
        </is>
      </c>
      <c r="F457" t="inlineStr">
        <is>
          <t>Yes</t>
        </is>
      </c>
      <c r="G457" t="inlineStr">
        <is>
          <t>1</t>
        </is>
      </c>
      <c r="H457" t="inlineStr">
        <is>
          <t>No</t>
        </is>
      </c>
      <c r="I457" t="inlineStr">
        <is>
          <t>No</t>
        </is>
      </c>
      <c r="J457" t="inlineStr">
        <is>
          <t>0</t>
        </is>
      </c>
      <c r="K457" t="inlineStr">
        <is>
          <t>Henry, of Ghent, 1217?-1293.</t>
        </is>
      </c>
      <c r="L457" t="inlineStr">
        <is>
          <t>[Parisiis] In aedibus I. Badii Ascensii, 1520. [St. Bonaventure, N. Y., Franciscan Institute, 1953.</t>
        </is>
      </c>
      <c r="M457" t="inlineStr">
        <is>
          <t>1953</t>
        </is>
      </c>
      <c r="O457" t="inlineStr">
        <is>
          <t>eng</t>
        </is>
      </c>
      <c r="P457" t="inlineStr">
        <is>
          <t xml:space="preserve">xx </t>
        </is>
      </c>
      <c r="Q457" t="inlineStr">
        <is>
          <t>Franciscan Institute publications. Text series ; no. 5</t>
        </is>
      </c>
      <c r="R457" t="inlineStr">
        <is>
          <t xml:space="preserve">BX </t>
        </is>
      </c>
      <c r="S457" t="n">
        <v>3</v>
      </c>
      <c r="T457" t="n">
        <v>6</v>
      </c>
      <c r="U457" t="inlineStr">
        <is>
          <t>2006-10-01</t>
        </is>
      </c>
      <c r="V457" t="inlineStr">
        <is>
          <t>2006-10-01</t>
        </is>
      </c>
      <c r="W457" t="inlineStr">
        <is>
          <t>1991-04-09</t>
        </is>
      </c>
      <c r="X457" t="inlineStr">
        <is>
          <t>1991-04-09</t>
        </is>
      </c>
      <c r="Y457" t="n">
        <v>79</v>
      </c>
      <c r="Z457" t="n">
        <v>78</v>
      </c>
      <c r="AA457" t="n">
        <v>90</v>
      </c>
      <c r="AB457" t="n">
        <v>1</v>
      </c>
      <c r="AC457" t="n">
        <v>1</v>
      </c>
      <c r="AD457" t="n">
        <v>12</v>
      </c>
      <c r="AE457" t="n">
        <v>12</v>
      </c>
      <c r="AF457" t="n">
        <v>3</v>
      </c>
      <c r="AG457" t="n">
        <v>3</v>
      </c>
      <c r="AH457" t="n">
        <v>6</v>
      </c>
      <c r="AI457" t="n">
        <v>6</v>
      </c>
      <c r="AJ457" t="n">
        <v>9</v>
      </c>
      <c r="AK457" t="n">
        <v>9</v>
      </c>
      <c r="AL457" t="n">
        <v>0</v>
      </c>
      <c r="AM457" t="n">
        <v>0</v>
      </c>
      <c r="AN457" t="n">
        <v>0</v>
      </c>
      <c r="AO457" t="n">
        <v>0</v>
      </c>
      <c r="AP457" t="inlineStr">
        <is>
          <t>No</t>
        </is>
      </c>
      <c r="AQ457" t="inlineStr">
        <is>
          <t>Yes</t>
        </is>
      </c>
      <c r="AR457">
        <f>HYPERLINK("http://catalog.hathitrust.org/Record/002099699","HathiTrust Record")</f>
        <v/>
      </c>
      <c r="AS457">
        <f>HYPERLINK("https://creighton-primo.hosted.exlibrisgroup.com/primo-explore/search?tab=default_tab&amp;search_scope=EVERYTHING&amp;vid=01CRU&amp;lang=en_US&amp;offset=0&amp;query=any,contains,991003893919702656","Catalog Record")</f>
        <v/>
      </c>
      <c r="AT457">
        <f>HYPERLINK("http://www.worldcat.org/oclc/1804460","WorldCat Record")</f>
        <v/>
      </c>
      <c r="AU457" t="inlineStr">
        <is>
          <t>1810349668:eng</t>
        </is>
      </c>
      <c r="AV457" t="inlineStr">
        <is>
          <t>1804460</t>
        </is>
      </c>
      <c r="AW457" t="inlineStr">
        <is>
          <t>991003893919702656</t>
        </is>
      </c>
      <c r="AX457" t="inlineStr">
        <is>
          <t>991003893919702656</t>
        </is>
      </c>
      <c r="AY457" t="inlineStr">
        <is>
          <t>2271873140002656</t>
        </is>
      </c>
      <c r="AZ457" t="inlineStr">
        <is>
          <t>BOOK</t>
        </is>
      </c>
      <c r="BC457" t="inlineStr">
        <is>
          <t>32285000532308</t>
        </is>
      </c>
      <c r="BD457" t="inlineStr">
        <is>
          <t>893324680</t>
        </is>
      </c>
    </row>
    <row r="458">
      <c r="A458" t="inlineStr">
        <is>
          <t>No</t>
        </is>
      </c>
      <c r="B458" t="inlineStr">
        <is>
          <t>BX1749 .T4 1923</t>
        </is>
      </c>
      <c r="C458" t="inlineStr">
        <is>
          <t>0                      BX 1749000T  4           1923</t>
        </is>
      </c>
      <c r="D458" t="inlineStr">
        <is>
          <t>The Summa contra gentiles of Saint Thomas Aquinas / literally translated by the English Dominican fathers from the latest Leonine edition.</t>
        </is>
      </c>
      <c r="E458" t="inlineStr">
        <is>
          <t>V.4</t>
        </is>
      </c>
      <c r="F458" t="inlineStr">
        <is>
          <t>Yes</t>
        </is>
      </c>
      <c r="G458" t="inlineStr">
        <is>
          <t>1</t>
        </is>
      </c>
      <c r="H458" t="inlineStr">
        <is>
          <t>No</t>
        </is>
      </c>
      <c r="I458" t="inlineStr">
        <is>
          <t>No</t>
        </is>
      </c>
      <c r="J458" t="inlineStr">
        <is>
          <t>0</t>
        </is>
      </c>
      <c r="K458" t="inlineStr">
        <is>
          <t>Thomas, Aquinas, Saint, 1225?-1274.</t>
        </is>
      </c>
      <c r="L458" t="inlineStr">
        <is>
          <t>New York : Benziger, 1923-</t>
        </is>
      </c>
      <c r="M458" t="inlineStr">
        <is>
          <t>1923</t>
        </is>
      </c>
      <c r="O458" t="inlineStr">
        <is>
          <t>eng</t>
        </is>
      </c>
      <c r="P458" t="inlineStr">
        <is>
          <t>nyu</t>
        </is>
      </c>
      <c r="R458" t="inlineStr">
        <is>
          <t xml:space="preserve">BX </t>
        </is>
      </c>
      <c r="S458" t="n">
        <v>0</v>
      </c>
      <c r="T458" t="n">
        <v>8</v>
      </c>
      <c r="V458" t="inlineStr">
        <is>
          <t>2005-03-01</t>
        </is>
      </c>
      <c r="W458" t="inlineStr">
        <is>
          <t>1991-04-15</t>
        </is>
      </c>
      <c r="X458" t="inlineStr">
        <is>
          <t>1991-04-15</t>
        </is>
      </c>
      <c r="Y458" t="n">
        <v>33</v>
      </c>
      <c r="Z458" t="n">
        <v>33</v>
      </c>
      <c r="AA458" t="n">
        <v>200</v>
      </c>
      <c r="AB458" t="n">
        <v>1</v>
      </c>
      <c r="AC458" t="n">
        <v>1</v>
      </c>
      <c r="AD458" t="n">
        <v>8</v>
      </c>
      <c r="AE458" t="n">
        <v>26</v>
      </c>
      <c r="AF458" t="n">
        <v>2</v>
      </c>
      <c r="AG458" t="n">
        <v>8</v>
      </c>
      <c r="AH458" t="n">
        <v>1</v>
      </c>
      <c r="AI458" t="n">
        <v>7</v>
      </c>
      <c r="AJ458" t="n">
        <v>6</v>
      </c>
      <c r="AK458" t="n">
        <v>18</v>
      </c>
      <c r="AL458" t="n">
        <v>0</v>
      </c>
      <c r="AM458" t="n">
        <v>0</v>
      </c>
      <c r="AN458" t="n">
        <v>0</v>
      </c>
      <c r="AO458" t="n">
        <v>0</v>
      </c>
      <c r="AP458" t="inlineStr">
        <is>
          <t>No</t>
        </is>
      </c>
      <c r="AQ458" t="inlineStr">
        <is>
          <t>No</t>
        </is>
      </c>
      <c r="AS458">
        <f>HYPERLINK("https://creighton-primo.hosted.exlibrisgroup.com/primo-explore/search?tab=default_tab&amp;search_scope=EVERYTHING&amp;vid=01CRU&amp;lang=en_US&amp;offset=0&amp;query=any,contains,991004726489702656","Catalog Record")</f>
        <v/>
      </c>
      <c r="AT458">
        <f>HYPERLINK("http://www.worldcat.org/oclc/4816604","WorldCat Record")</f>
        <v/>
      </c>
      <c r="AU458" t="inlineStr">
        <is>
          <t>5575035272:eng</t>
        </is>
      </c>
      <c r="AV458" t="inlineStr">
        <is>
          <t>4816604</t>
        </is>
      </c>
      <c r="AW458" t="inlineStr">
        <is>
          <t>991004726489702656</t>
        </is>
      </c>
      <c r="AX458" t="inlineStr">
        <is>
          <t>991004726489702656</t>
        </is>
      </c>
      <c r="AY458" t="inlineStr">
        <is>
          <t>2264269860002656</t>
        </is>
      </c>
      <c r="AZ458" t="inlineStr">
        <is>
          <t>BOOK</t>
        </is>
      </c>
      <c r="BC458" t="inlineStr">
        <is>
          <t>32285000532449</t>
        </is>
      </c>
      <c r="BD458" t="inlineStr">
        <is>
          <t>893606393</t>
        </is>
      </c>
    </row>
    <row r="459">
      <c r="A459" t="inlineStr">
        <is>
          <t>No</t>
        </is>
      </c>
      <c r="B459" t="inlineStr">
        <is>
          <t>BX1749 .T4 1923</t>
        </is>
      </c>
      <c r="C459" t="inlineStr">
        <is>
          <t>0                      BX 1749000T  4           1923</t>
        </is>
      </c>
      <c r="D459" t="inlineStr">
        <is>
          <t>The Summa contra gentiles of Saint Thomas Aquinas / literally translated by the English Dominican fathers from the latest Leonine edition.</t>
        </is>
      </c>
      <c r="E459" t="inlineStr">
        <is>
          <t>V.3 PT.1</t>
        </is>
      </c>
      <c r="F459" t="inlineStr">
        <is>
          <t>Yes</t>
        </is>
      </c>
      <c r="G459" t="inlineStr">
        <is>
          <t>1</t>
        </is>
      </c>
      <c r="H459" t="inlineStr">
        <is>
          <t>No</t>
        </is>
      </c>
      <c r="I459" t="inlineStr">
        <is>
          <t>No</t>
        </is>
      </c>
      <c r="J459" t="inlineStr">
        <is>
          <t>0</t>
        </is>
      </c>
      <c r="K459" t="inlineStr">
        <is>
          <t>Thomas, Aquinas, Saint, 1225?-1274.</t>
        </is>
      </c>
      <c r="L459" t="inlineStr">
        <is>
          <t>New York : Benziger, 1923-</t>
        </is>
      </c>
      <c r="M459" t="inlineStr">
        <is>
          <t>1923</t>
        </is>
      </c>
      <c r="O459" t="inlineStr">
        <is>
          <t>eng</t>
        </is>
      </c>
      <c r="P459" t="inlineStr">
        <is>
          <t>nyu</t>
        </is>
      </c>
      <c r="R459" t="inlineStr">
        <is>
          <t xml:space="preserve">BX </t>
        </is>
      </c>
      <c r="S459" t="n">
        <v>7</v>
      </c>
      <c r="T459" t="n">
        <v>8</v>
      </c>
      <c r="U459" t="inlineStr">
        <is>
          <t>1998-03-20</t>
        </is>
      </c>
      <c r="V459" t="inlineStr">
        <is>
          <t>2005-03-01</t>
        </is>
      </c>
      <c r="W459" t="inlineStr">
        <is>
          <t>1991-04-15</t>
        </is>
      </c>
      <c r="X459" t="inlineStr">
        <is>
          <t>1991-04-15</t>
        </is>
      </c>
      <c r="Y459" t="n">
        <v>33</v>
      </c>
      <c r="Z459" t="n">
        <v>33</v>
      </c>
      <c r="AA459" t="n">
        <v>200</v>
      </c>
      <c r="AB459" t="n">
        <v>1</v>
      </c>
      <c r="AC459" t="n">
        <v>1</v>
      </c>
      <c r="AD459" t="n">
        <v>8</v>
      </c>
      <c r="AE459" t="n">
        <v>26</v>
      </c>
      <c r="AF459" t="n">
        <v>2</v>
      </c>
      <c r="AG459" t="n">
        <v>8</v>
      </c>
      <c r="AH459" t="n">
        <v>1</v>
      </c>
      <c r="AI459" t="n">
        <v>7</v>
      </c>
      <c r="AJ459" t="n">
        <v>6</v>
      </c>
      <c r="AK459" t="n">
        <v>18</v>
      </c>
      <c r="AL459" t="n">
        <v>0</v>
      </c>
      <c r="AM459" t="n">
        <v>0</v>
      </c>
      <c r="AN459" t="n">
        <v>0</v>
      </c>
      <c r="AO459" t="n">
        <v>0</v>
      </c>
      <c r="AP459" t="inlineStr">
        <is>
          <t>No</t>
        </is>
      </c>
      <c r="AQ459" t="inlineStr">
        <is>
          <t>No</t>
        </is>
      </c>
      <c r="AS459">
        <f>HYPERLINK("https://creighton-primo.hosted.exlibrisgroup.com/primo-explore/search?tab=default_tab&amp;search_scope=EVERYTHING&amp;vid=01CRU&amp;lang=en_US&amp;offset=0&amp;query=any,contains,991004726489702656","Catalog Record")</f>
        <v/>
      </c>
      <c r="AT459">
        <f>HYPERLINK("http://www.worldcat.org/oclc/4816604","WorldCat Record")</f>
        <v/>
      </c>
      <c r="AU459" t="inlineStr">
        <is>
          <t>5575035272:eng</t>
        </is>
      </c>
      <c r="AV459" t="inlineStr">
        <is>
          <t>4816604</t>
        </is>
      </c>
      <c r="AW459" t="inlineStr">
        <is>
          <t>991004726489702656</t>
        </is>
      </c>
      <c r="AX459" t="inlineStr">
        <is>
          <t>991004726489702656</t>
        </is>
      </c>
      <c r="AY459" t="inlineStr">
        <is>
          <t>2264269860002656</t>
        </is>
      </c>
      <c r="AZ459" t="inlineStr">
        <is>
          <t>BOOK</t>
        </is>
      </c>
      <c r="BC459" t="inlineStr">
        <is>
          <t>32285000532423</t>
        </is>
      </c>
      <c r="BD459" t="inlineStr">
        <is>
          <t>893625018</t>
        </is>
      </c>
    </row>
    <row r="460">
      <c r="A460" t="inlineStr">
        <is>
          <t>No</t>
        </is>
      </c>
      <c r="B460" t="inlineStr">
        <is>
          <t>BX1749 .T4 1923</t>
        </is>
      </c>
      <c r="C460" t="inlineStr">
        <is>
          <t>0                      BX 1749000T  4           1923</t>
        </is>
      </c>
      <c r="D460" t="inlineStr">
        <is>
          <t>The Summa contra gentiles of Saint Thomas Aquinas / literally translated by the English Dominican fathers from the latest Leonine edition.</t>
        </is>
      </c>
      <c r="E460" t="inlineStr">
        <is>
          <t>V.3 PT.2</t>
        </is>
      </c>
      <c r="F460" t="inlineStr">
        <is>
          <t>Yes</t>
        </is>
      </c>
      <c r="G460" t="inlineStr">
        <is>
          <t>1</t>
        </is>
      </c>
      <c r="H460" t="inlineStr">
        <is>
          <t>No</t>
        </is>
      </c>
      <c r="I460" t="inlineStr">
        <is>
          <t>No</t>
        </is>
      </c>
      <c r="J460" t="inlineStr">
        <is>
          <t>0</t>
        </is>
      </c>
      <c r="K460" t="inlineStr">
        <is>
          <t>Thomas, Aquinas, Saint, 1225?-1274.</t>
        </is>
      </c>
      <c r="L460" t="inlineStr">
        <is>
          <t>New York : Benziger, 1923-</t>
        </is>
      </c>
      <c r="M460" t="inlineStr">
        <is>
          <t>1923</t>
        </is>
      </c>
      <c r="O460" t="inlineStr">
        <is>
          <t>eng</t>
        </is>
      </c>
      <c r="P460" t="inlineStr">
        <is>
          <t>nyu</t>
        </is>
      </c>
      <c r="R460" t="inlineStr">
        <is>
          <t xml:space="preserve">BX </t>
        </is>
      </c>
      <c r="S460" t="n">
        <v>0</v>
      </c>
      <c r="T460" t="n">
        <v>8</v>
      </c>
      <c r="V460" t="inlineStr">
        <is>
          <t>2005-03-01</t>
        </is>
      </c>
      <c r="W460" t="inlineStr">
        <is>
          <t>1991-04-15</t>
        </is>
      </c>
      <c r="X460" t="inlineStr">
        <is>
          <t>1991-04-15</t>
        </is>
      </c>
      <c r="Y460" t="n">
        <v>33</v>
      </c>
      <c r="Z460" t="n">
        <v>33</v>
      </c>
      <c r="AA460" t="n">
        <v>200</v>
      </c>
      <c r="AB460" t="n">
        <v>1</v>
      </c>
      <c r="AC460" t="n">
        <v>1</v>
      </c>
      <c r="AD460" t="n">
        <v>8</v>
      </c>
      <c r="AE460" t="n">
        <v>26</v>
      </c>
      <c r="AF460" t="n">
        <v>2</v>
      </c>
      <c r="AG460" t="n">
        <v>8</v>
      </c>
      <c r="AH460" t="n">
        <v>1</v>
      </c>
      <c r="AI460" t="n">
        <v>7</v>
      </c>
      <c r="AJ460" t="n">
        <v>6</v>
      </c>
      <c r="AK460" t="n">
        <v>18</v>
      </c>
      <c r="AL460" t="n">
        <v>0</v>
      </c>
      <c r="AM460" t="n">
        <v>0</v>
      </c>
      <c r="AN460" t="n">
        <v>0</v>
      </c>
      <c r="AO460" t="n">
        <v>0</v>
      </c>
      <c r="AP460" t="inlineStr">
        <is>
          <t>No</t>
        </is>
      </c>
      <c r="AQ460" t="inlineStr">
        <is>
          <t>No</t>
        </is>
      </c>
      <c r="AS460">
        <f>HYPERLINK("https://creighton-primo.hosted.exlibrisgroup.com/primo-explore/search?tab=default_tab&amp;search_scope=EVERYTHING&amp;vid=01CRU&amp;lang=en_US&amp;offset=0&amp;query=any,contains,991004726489702656","Catalog Record")</f>
        <v/>
      </c>
      <c r="AT460">
        <f>HYPERLINK("http://www.worldcat.org/oclc/4816604","WorldCat Record")</f>
        <v/>
      </c>
      <c r="AU460" t="inlineStr">
        <is>
          <t>5575035272:eng</t>
        </is>
      </c>
      <c r="AV460" t="inlineStr">
        <is>
          <t>4816604</t>
        </is>
      </c>
      <c r="AW460" t="inlineStr">
        <is>
          <t>991004726489702656</t>
        </is>
      </c>
      <c r="AX460" t="inlineStr">
        <is>
          <t>991004726489702656</t>
        </is>
      </c>
      <c r="AY460" t="inlineStr">
        <is>
          <t>2264269860002656</t>
        </is>
      </c>
      <c r="AZ460" t="inlineStr">
        <is>
          <t>BOOK</t>
        </is>
      </c>
      <c r="BC460" t="inlineStr">
        <is>
          <t>32285000532431</t>
        </is>
      </c>
      <c r="BD460" t="inlineStr">
        <is>
          <t>893606394</t>
        </is>
      </c>
    </row>
    <row r="461">
      <c r="A461" t="inlineStr">
        <is>
          <t>No</t>
        </is>
      </c>
      <c r="B461" t="inlineStr">
        <is>
          <t>BX1749 .T4 1923</t>
        </is>
      </c>
      <c r="C461" t="inlineStr">
        <is>
          <t>0                      BX 1749000T  4           1923</t>
        </is>
      </c>
      <c r="D461" t="inlineStr">
        <is>
          <t>The Summa contra gentiles of Saint Thomas Aquinas / literally translated by the English Dominican fathers from the latest Leonine edition.</t>
        </is>
      </c>
      <c r="E461" t="inlineStr">
        <is>
          <t>V.2</t>
        </is>
      </c>
      <c r="F461" t="inlineStr">
        <is>
          <t>Yes</t>
        </is>
      </c>
      <c r="G461" t="inlineStr">
        <is>
          <t>1</t>
        </is>
      </c>
      <c r="H461" t="inlineStr">
        <is>
          <t>No</t>
        </is>
      </c>
      <c r="I461" t="inlineStr">
        <is>
          <t>No</t>
        </is>
      </c>
      <c r="J461" t="inlineStr">
        <is>
          <t>0</t>
        </is>
      </c>
      <c r="K461" t="inlineStr">
        <is>
          <t>Thomas, Aquinas, Saint, 1225?-1274.</t>
        </is>
      </c>
      <c r="L461" t="inlineStr">
        <is>
          <t>New York : Benziger, 1923-</t>
        </is>
      </c>
      <c r="M461" t="inlineStr">
        <is>
          <t>1923</t>
        </is>
      </c>
      <c r="O461" t="inlineStr">
        <is>
          <t>eng</t>
        </is>
      </c>
      <c r="P461" t="inlineStr">
        <is>
          <t>nyu</t>
        </is>
      </c>
      <c r="R461" t="inlineStr">
        <is>
          <t xml:space="preserve">BX </t>
        </is>
      </c>
      <c r="S461" t="n">
        <v>1</v>
      </c>
      <c r="T461" t="n">
        <v>8</v>
      </c>
      <c r="U461" t="inlineStr">
        <is>
          <t>2005-03-01</t>
        </is>
      </c>
      <c r="V461" t="inlineStr">
        <is>
          <t>2005-03-01</t>
        </is>
      </c>
      <c r="W461" t="inlineStr">
        <is>
          <t>1991-04-15</t>
        </is>
      </c>
      <c r="X461" t="inlineStr">
        <is>
          <t>1991-04-15</t>
        </is>
      </c>
      <c r="Y461" t="n">
        <v>33</v>
      </c>
      <c r="Z461" t="n">
        <v>33</v>
      </c>
      <c r="AA461" t="n">
        <v>200</v>
      </c>
      <c r="AB461" t="n">
        <v>1</v>
      </c>
      <c r="AC461" t="n">
        <v>1</v>
      </c>
      <c r="AD461" t="n">
        <v>8</v>
      </c>
      <c r="AE461" t="n">
        <v>26</v>
      </c>
      <c r="AF461" t="n">
        <v>2</v>
      </c>
      <c r="AG461" t="n">
        <v>8</v>
      </c>
      <c r="AH461" t="n">
        <v>1</v>
      </c>
      <c r="AI461" t="n">
        <v>7</v>
      </c>
      <c r="AJ461" t="n">
        <v>6</v>
      </c>
      <c r="AK461" t="n">
        <v>18</v>
      </c>
      <c r="AL461" t="n">
        <v>0</v>
      </c>
      <c r="AM461" t="n">
        <v>0</v>
      </c>
      <c r="AN461" t="n">
        <v>0</v>
      </c>
      <c r="AO461" t="n">
        <v>0</v>
      </c>
      <c r="AP461" t="inlineStr">
        <is>
          <t>No</t>
        </is>
      </c>
      <c r="AQ461" t="inlineStr">
        <is>
          <t>No</t>
        </is>
      </c>
      <c r="AS461">
        <f>HYPERLINK("https://creighton-primo.hosted.exlibrisgroup.com/primo-explore/search?tab=default_tab&amp;search_scope=EVERYTHING&amp;vid=01CRU&amp;lang=en_US&amp;offset=0&amp;query=any,contains,991004726489702656","Catalog Record")</f>
        <v/>
      </c>
      <c r="AT461">
        <f>HYPERLINK("http://www.worldcat.org/oclc/4816604","WorldCat Record")</f>
        <v/>
      </c>
      <c r="AU461" t="inlineStr">
        <is>
          <t>5575035272:eng</t>
        </is>
      </c>
      <c r="AV461" t="inlineStr">
        <is>
          <t>4816604</t>
        </is>
      </c>
      <c r="AW461" t="inlineStr">
        <is>
          <t>991004726489702656</t>
        </is>
      </c>
      <c r="AX461" t="inlineStr">
        <is>
          <t>991004726489702656</t>
        </is>
      </c>
      <c r="AY461" t="inlineStr">
        <is>
          <t>2264269860002656</t>
        </is>
      </c>
      <c r="AZ461" t="inlineStr">
        <is>
          <t>BOOK</t>
        </is>
      </c>
      <c r="BC461" t="inlineStr">
        <is>
          <t>32285000532415</t>
        </is>
      </c>
      <c r="BD461" t="inlineStr">
        <is>
          <t>893606395</t>
        </is>
      </c>
    </row>
    <row r="462">
      <c r="A462" t="inlineStr">
        <is>
          <t>No</t>
        </is>
      </c>
      <c r="B462" t="inlineStr">
        <is>
          <t>BX1749 .T48 1941</t>
        </is>
      </c>
      <c r="C462" t="inlineStr">
        <is>
          <t>0                      BX 1749000T  48          1941</t>
        </is>
      </c>
      <c r="D462" t="inlineStr">
        <is>
          <t>Summa theologiae / cura et studio Instituti Studiorum Medievalium Ottaviensis, ad textum S. Pii Pp. V iussu confectum recognita...</t>
        </is>
      </c>
      <c r="E462" t="inlineStr">
        <is>
          <t>V.4</t>
        </is>
      </c>
      <c r="F462" t="inlineStr">
        <is>
          <t>Yes</t>
        </is>
      </c>
      <c r="G462" t="inlineStr">
        <is>
          <t>1</t>
        </is>
      </c>
      <c r="H462" t="inlineStr">
        <is>
          <t>No</t>
        </is>
      </c>
      <c r="I462" t="inlineStr">
        <is>
          <t>Yes</t>
        </is>
      </c>
      <c r="J462" t="inlineStr">
        <is>
          <t>0</t>
        </is>
      </c>
      <c r="K462" t="inlineStr">
        <is>
          <t>Thomas, Aquinas, Saint, 1225?-1274.</t>
        </is>
      </c>
      <c r="L462" t="inlineStr">
        <is>
          <t>Ottawa : Studii generalis O. Pr., 1941-45.</t>
        </is>
      </c>
      <c r="M462" t="inlineStr">
        <is>
          <t>1941</t>
        </is>
      </c>
      <c r="O462" t="inlineStr">
        <is>
          <t>eng</t>
        </is>
      </c>
      <c r="P462" t="inlineStr">
        <is>
          <t>|||</t>
        </is>
      </c>
      <c r="R462" t="inlineStr">
        <is>
          <t xml:space="preserve">BX </t>
        </is>
      </c>
      <c r="S462" t="n">
        <v>4</v>
      </c>
      <c r="T462" t="n">
        <v>8</v>
      </c>
      <c r="U462" t="inlineStr">
        <is>
          <t>2017-01-18</t>
        </is>
      </c>
      <c r="V462" t="inlineStr">
        <is>
          <t>2003-04-08</t>
        </is>
      </c>
      <c r="W462" t="inlineStr">
        <is>
          <t>1991-04-15</t>
        </is>
      </c>
      <c r="X462" t="inlineStr">
        <is>
          <t>1991-04-15</t>
        </is>
      </c>
      <c r="Y462" t="n">
        <v>74</v>
      </c>
      <c r="Z462" t="n">
        <v>63</v>
      </c>
      <c r="AA462" t="n">
        <v>205</v>
      </c>
      <c r="AB462" t="n">
        <v>4</v>
      </c>
      <c r="AC462" t="n">
        <v>4</v>
      </c>
      <c r="AD462" t="n">
        <v>11</v>
      </c>
      <c r="AE462" t="n">
        <v>29</v>
      </c>
      <c r="AF462" t="n">
        <v>0</v>
      </c>
      <c r="AG462" t="n">
        <v>7</v>
      </c>
      <c r="AH462" t="n">
        <v>2</v>
      </c>
      <c r="AI462" t="n">
        <v>9</v>
      </c>
      <c r="AJ462" t="n">
        <v>10</v>
      </c>
      <c r="AK462" t="n">
        <v>21</v>
      </c>
      <c r="AL462" t="n">
        <v>1</v>
      </c>
      <c r="AM462" t="n">
        <v>1</v>
      </c>
      <c r="AN462" t="n">
        <v>0</v>
      </c>
      <c r="AO462" t="n">
        <v>0</v>
      </c>
      <c r="AP462" t="inlineStr">
        <is>
          <t>No</t>
        </is>
      </c>
      <c r="AQ462" t="inlineStr">
        <is>
          <t>No</t>
        </is>
      </c>
      <c r="AS462">
        <f>HYPERLINK("https://creighton-primo.hosted.exlibrisgroup.com/primo-explore/search?tab=default_tab&amp;search_scope=EVERYTHING&amp;vid=01CRU&amp;lang=en_US&amp;offset=0&amp;query=any,contains,991003696269702656","Catalog Record")</f>
        <v/>
      </c>
      <c r="AT462">
        <f>HYPERLINK("http://www.worldcat.org/oclc/1328857","WorldCat Record")</f>
        <v/>
      </c>
      <c r="AU462" t="inlineStr">
        <is>
          <t>3772008937:lat</t>
        </is>
      </c>
      <c r="AV462" t="inlineStr">
        <is>
          <t>1328857</t>
        </is>
      </c>
      <c r="AW462" t="inlineStr">
        <is>
          <t>991003696269702656</t>
        </is>
      </c>
      <c r="AX462" t="inlineStr">
        <is>
          <t>991003696269702656</t>
        </is>
      </c>
      <c r="AY462" t="inlineStr">
        <is>
          <t>2259234120002656</t>
        </is>
      </c>
      <c r="AZ462" t="inlineStr">
        <is>
          <t>BOOK</t>
        </is>
      </c>
      <c r="BC462" t="inlineStr">
        <is>
          <t>32285000532613</t>
        </is>
      </c>
      <c r="BD462" t="inlineStr">
        <is>
          <t>893781289</t>
        </is>
      </c>
    </row>
    <row r="463">
      <c r="A463" t="inlineStr">
        <is>
          <t>No</t>
        </is>
      </c>
      <c r="B463" t="inlineStr">
        <is>
          <t>BX1749 .T48 1941</t>
        </is>
      </c>
      <c r="C463" t="inlineStr">
        <is>
          <t>0                      BX 1749000T  48          1941</t>
        </is>
      </c>
      <c r="D463" t="inlineStr">
        <is>
          <t>Summa theologiae / cura et studio Instituti Studiorum Medievalium Ottaviensis, ad textum S. Pii Pp. V iussu confectum recognita...</t>
        </is>
      </c>
      <c r="E463" t="inlineStr">
        <is>
          <t>V.5</t>
        </is>
      </c>
      <c r="F463" t="inlineStr">
        <is>
          <t>Yes</t>
        </is>
      </c>
      <c r="G463" t="inlineStr">
        <is>
          <t>1</t>
        </is>
      </c>
      <c r="H463" t="inlineStr">
        <is>
          <t>No</t>
        </is>
      </c>
      <c r="I463" t="inlineStr">
        <is>
          <t>Yes</t>
        </is>
      </c>
      <c r="J463" t="inlineStr">
        <is>
          <t>0</t>
        </is>
      </c>
      <c r="K463" t="inlineStr">
        <is>
          <t>Thomas, Aquinas, Saint, 1225?-1274.</t>
        </is>
      </c>
      <c r="L463" t="inlineStr">
        <is>
          <t>Ottawa : Studii generalis O. Pr., 1941-45.</t>
        </is>
      </c>
      <c r="M463" t="inlineStr">
        <is>
          <t>1941</t>
        </is>
      </c>
      <c r="O463" t="inlineStr">
        <is>
          <t>eng</t>
        </is>
      </c>
      <c r="P463" t="inlineStr">
        <is>
          <t>|||</t>
        </is>
      </c>
      <c r="R463" t="inlineStr">
        <is>
          <t xml:space="preserve">BX </t>
        </is>
      </c>
      <c r="S463" t="n">
        <v>0</v>
      </c>
      <c r="T463" t="n">
        <v>8</v>
      </c>
      <c r="V463" t="inlineStr">
        <is>
          <t>2003-04-08</t>
        </is>
      </c>
      <c r="W463" t="inlineStr">
        <is>
          <t>1991-04-15</t>
        </is>
      </c>
      <c r="X463" t="inlineStr">
        <is>
          <t>1991-04-15</t>
        </is>
      </c>
      <c r="Y463" t="n">
        <v>74</v>
      </c>
      <c r="Z463" t="n">
        <v>63</v>
      </c>
      <c r="AA463" t="n">
        <v>205</v>
      </c>
      <c r="AB463" t="n">
        <v>4</v>
      </c>
      <c r="AC463" t="n">
        <v>4</v>
      </c>
      <c r="AD463" t="n">
        <v>11</v>
      </c>
      <c r="AE463" t="n">
        <v>29</v>
      </c>
      <c r="AF463" t="n">
        <v>0</v>
      </c>
      <c r="AG463" t="n">
        <v>7</v>
      </c>
      <c r="AH463" t="n">
        <v>2</v>
      </c>
      <c r="AI463" t="n">
        <v>9</v>
      </c>
      <c r="AJ463" t="n">
        <v>10</v>
      </c>
      <c r="AK463" t="n">
        <v>21</v>
      </c>
      <c r="AL463" t="n">
        <v>1</v>
      </c>
      <c r="AM463" t="n">
        <v>1</v>
      </c>
      <c r="AN463" t="n">
        <v>0</v>
      </c>
      <c r="AO463" t="n">
        <v>0</v>
      </c>
      <c r="AP463" t="inlineStr">
        <is>
          <t>No</t>
        </is>
      </c>
      <c r="AQ463" t="inlineStr">
        <is>
          <t>No</t>
        </is>
      </c>
      <c r="AS463">
        <f>HYPERLINK("https://creighton-primo.hosted.exlibrisgroup.com/primo-explore/search?tab=default_tab&amp;search_scope=EVERYTHING&amp;vid=01CRU&amp;lang=en_US&amp;offset=0&amp;query=any,contains,991003696269702656","Catalog Record")</f>
        <v/>
      </c>
      <c r="AT463">
        <f>HYPERLINK("http://www.worldcat.org/oclc/1328857","WorldCat Record")</f>
        <v/>
      </c>
      <c r="AU463" t="inlineStr">
        <is>
          <t>3772008937:lat</t>
        </is>
      </c>
      <c r="AV463" t="inlineStr">
        <is>
          <t>1328857</t>
        </is>
      </c>
      <c r="AW463" t="inlineStr">
        <is>
          <t>991003696269702656</t>
        </is>
      </c>
      <c r="AX463" t="inlineStr">
        <is>
          <t>991003696269702656</t>
        </is>
      </c>
      <c r="AY463" t="inlineStr">
        <is>
          <t>2259234120002656</t>
        </is>
      </c>
      <c r="AZ463" t="inlineStr">
        <is>
          <t>BOOK</t>
        </is>
      </c>
      <c r="BC463" t="inlineStr">
        <is>
          <t>32285000532621</t>
        </is>
      </c>
      <c r="BD463" t="inlineStr">
        <is>
          <t>893800038</t>
        </is>
      </c>
    </row>
    <row r="464">
      <c r="A464" t="inlineStr">
        <is>
          <t>No</t>
        </is>
      </c>
      <c r="B464" t="inlineStr">
        <is>
          <t>BX1749 .T48 1941</t>
        </is>
      </c>
      <c r="C464" t="inlineStr">
        <is>
          <t>0                      BX 1749000T  48          1941</t>
        </is>
      </c>
      <c r="D464" t="inlineStr">
        <is>
          <t>Summa theologiae / cura et studio Instituti Studiorum Medievalium Ottaviensis, ad textum S. Pii Pp. V iussu confectum recognita...</t>
        </is>
      </c>
      <c r="E464" t="inlineStr">
        <is>
          <t>V.2</t>
        </is>
      </c>
      <c r="F464" t="inlineStr">
        <is>
          <t>Yes</t>
        </is>
      </c>
      <c r="G464" t="inlineStr">
        <is>
          <t>1</t>
        </is>
      </c>
      <c r="H464" t="inlineStr">
        <is>
          <t>No</t>
        </is>
      </c>
      <c r="I464" t="inlineStr">
        <is>
          <t>Yes</t>
        </is>
      </c>
      <c r="J464" t="inlineStr">
        <is>
          <t>0</t>
        </is>
      </c>
      <c r="K464" t="inlineStr">
        <is>
          <t>Thomas, Aquinas, Saint, 1225?-1274.</t>
        </is>
      </c>
      <c r="L464" t="inlineStr">
        <is>
          <t>Ottawa : Studii generalis O. Pr., 1941-45.</t>
        </is>
      </c>
      <c r="M464" t="inlineStr">
        <is>
          <t>1941</t>
        </is>
      </c>
      <c r="O464" t="inlineStr">
        <is>
          <t>eng</t>
        </is>
      </c>
      <c r="P464" t="inlineStr">
        <is>
          <t>|||</t>
        </is>
      </c>
      <c r="R464" t="inlineStr">
        <is>
          <t xml:space="preserve">BX </t>
        </is>
      </c>
      <c r="S464" t="n">
        <v>0</v>
      </c>
      <c r="T464" t="n">
        <v>8</v>
      </c>
      <c r="V464" t="inlineStr">
        <is>
          <t>2003-04-08</t>
        </is>
      </c>
      <c r="W464" t="inlineStr">
        <is>
          <t>1991-04-15</t>
        </is>
      </c>
      <c r="X464" t="inlineStr">
        <is>
          <t>1991-04-15</t>
        </is>
      </c>
      <c r="Y464" t="n">
        <v>74</v>
      </c>
      <c r="Z464" t="n">
        <v>63</v>
      </c>
      <c r="AA464" t="n">
        <v>205</v>
      </c>
      <c r="AB464" t="n">
        <v>4</v>
      </c>
      <c r="AC464" t="n">
        <v>4</v>
      </c>
      <c r="AD464" t="n">
        <v>11</v>
      </c>
      <c r="AE464" t="n">
        <v>29</v>
      </c>
      <c r="AF464" t="n">
        <v>0</v>
      </c>
      <c r="AG464" t="n">
        <v>7</v>
      </c>
      <c r="AH464" t="n">
        <v>2</v>
      </c>
      <c r="AI464" t="n">
        <v>9</v>
      </c>
      <c r="AJ464" t="n">
        <v>10</v>
      </c>
      <c r="AK464" t="n">
        <v>21</v>
      </c>
      <c r="AL464" t="n">
        <v>1</v>
      </c>
      <c r="AM464" t="n">
        <v>1</v>
      </c>
      <c r="AN464" t="n">
        <v>0</v>
      </c>
      <c r="AO464" t="n">
        <v>0</v>
      </c>
      <c r="AP464" t="inlineStr">
        <is>
          <t>No</t>
        </is>
      </c>
      <c r="AQ464" t="inlineStr">
        <is>
          <t>No</t>
        </is>
      </c>
      <c r="AS464">
        <f>HYPERLINK("https://creighton-primo.hosted.exlibrisgroup.com/primo-explore/search?tab=default_tab&amp;search_scope=EVERYTHING&amp;vid=01CRU&amp;lang=en_US&amp;offset=0&amp;query=any,contains,991003696269702656","Catalog Record")</f>
        <v/>
      </c>
      <c r="AT464">
        <f>HYPERLINK("http://www.worldcat.org/oclc/1328857","WorldCat Record")</f>
        <v/>
      </c>
      <c r="AU464" t="inlineStr">
        <is>
          <t>3772008937:lat</t>
        </is>
      </c>
      <c r="AV464" t="inlineStr">
        <is>
          <t>1328857</t>
        </is>
      </c>
      <c r="AW464" t="inlineStr">
        <is>
          <t>991003696269702656</t>
        </is>
      </c>
      <c r="AX464" t="inlineStr">
        <is>
          <t>991003696269702656</t>
        </is>
      </c>
      <c r="AY464" t="inlineStr">
        <is>
          <t>2259234120002656</t>
        </is>
      </c>
      <c r="AZ464" t="inlineStr">
        <is>
          <t>BOOK</t>
        </is>
      </c>
      <c r="BC464" t="inlineStr">
        <is>
          <t>32285000532597</t>
        </is>
      </c>
      <c r="BD464" t="inlineStr">
        <is>
          <t>893787636</t>
        </is>
      </c>
    </row>
    <row r="465">
      <c r="A465" t="inlineStr">
        <is>
          <t>No</t>
        </is>
      </c>
      <c r="B465" t="inlineStr">
        <is>
          <t>BX1749 .T48 1941</t>
        </is>
      </c>
      <c r="C465" t="inlineStr">
        <is>
          <t>0                      BX 1749000T  48          1941</t>
        </is>
      </c>
      <c r="D465" t="inlineStr">
        <is>
          <t>Summa theologiae / cura et studio Instituti Studiorum Medievalium Ottaviensis, ad textum S. Pii Pp. V iussu confectum recognita...</t>
        </is>
      </c>
      <c r="E465" t="inlineStr">
        <is>
          <t>V.3</t>
        </is>
      </c>
      <c r="F465" t="inlineStr">
        <is>
          <t>Yes</t>
        </is>
      </c>
      <c r="G465" t="inlineStr">
        <is>
          <t>1</t>
        </is>
      </c>
      <c r="H465" t="inlineStr">
        <is>
          <t>No</t>
        </is>
      </c>
      <c r="I465" t="inlineStr">
        <is>
          <t>Yes</t>
        </is>
      </c>
      <c r="J465" t="inlineStr">
        <is>
          <t>0</t>
        </is>
      </c>
      <c r="K465" t="inlineStr">
        <is>
          <t>Thomas, Aquinas, Saint, 1225?-1274.</t>
        </is>
      </c>
      <c r="L465" t="inlineStr">
        <is>
          <t>Ottawa : Studii generalis O. Pr., 1941-45.</t>
        </is>
      </c>
      <c r="M465" t="inlineStr">
        <is>
          <t>1941</t>
        </is>
      </c>
      <c r="O465" t="inlineStr">
        <is>
          <t>eng</t>
        </is>
      </c>
      <c r="P465" t="inlineStr">
        <is>
          <t>|||</t>
        </is>
      </c>
      <c r="R465" t="inlineStr">
        <is>
          <t xml:space="preserve">BX </t>
        </is>
      </c>
      <c r="S465" t="n">
        <v>1</v>
      </c>
      <c r="T465" t="n">
        <v>8</v>
      </c>
      <c r="U465" t="inlineStr">
        <is>
          <t>2017-01-18</t>
        </is>
      </c>
      <c r="V465" t="inlineStr">
        <is>
          <t>2003-04-08</t>
        </is>
      </c>
      <c r="W465" t="inlineStr">
        <is>
          <t>1991-04-15</t>
        </is>
      </c>
      <c r="X465" t="inlineStr">
        <is>
          <t>1991-04-15</t>
        </is>
      </c>
      <c r="Y465" t="n">
        <v>74</v>
      </c>
      <c r="Z465" t="n">
        <v>63</v>
      </c>
      <c r="AA465" t="n">
        <v>205</v>
      </c>
      <c r="AB465" t="n">
        <v>4</v>
      </c>
      <c r="AC465" t="n">
        <v>4</v>
      </c>
      <c r="AD465" t="n">
        <v>11</v>
      </c>
      <c r="AE465" t="n">
        <v>29</v>
      </c>
      <c r="AF465" t="n">
        <v>0</v>
      </c>
      <c r="AG465" t="n">
        <v>7</v>
      </c>
      <c r="AH465" t="n">
        <v>2</v>
      </c>
      <c r="AI465" t="n">
        <v>9</v>
      </c>
      <c r="AJ465" t="n">
        <v>10</v>
      </c>
      <c r="AK465" t="n">
        <v>21</v>
      </c>
      <c r="AL465" t="n">
        <v>1</v>
      </c>
      <c r="AM465" t="n">
        <v>1</v>
      </c>
      <c r="AN465" t="n">
        <v>0</v>
      </c>
      <c r="AO465" t="n">
        <v>0</v>
      </c>
      <c r="AP465" t="inlineStr">
        <is>
          <t>No</t>
        </is>
      </c>
      <c r="AQ465" t="inlineStr">
        <is>
          <t>No</t>
        </is>
      </c>
      <c r="AS465">
        <f>HYPERLINK("https://creighton-primo.hosted.exlibrisgroup.com/primo-explore/search?tab=default_tab&amp;search_scope=EVERYTHING&amp;vid=01CRU&amp;lang=en_US&amp;offset=0&amp;query=any,contains,991003696269702656","Catalog Record")</f>
        <v/>
      </c>
      <c r="AT465">
        <f>HYPERLINK("http://www.worldcat.org/oclc/1328857","WorldCat Record")</f>
        <v/>
      </c>
      <c r="AU465" t="inlineStr">
        <is>
          <t>3772008937:lat</t>
        </is>
      </c>
      <c r="AV465" t="inlineStr">
        <is>
          <t>1328857</t>
        </is>
      </c>
      <c r="AW465" t="inlineStr">
        <is>
          <t>991003696269702656</t>
        </is>
      </c>
      <c r="AX465" t="inlineStr">
        <is>
          <t>991003696269702656</t>
        </is>
      </c>
      <c r="AY465" t="inlineStr">
        <is>
          <t>2259234120002656</t>
        </is>
      </c>
      <c r="AZ465" t="inlineStr">
        <is>
          <t>BOOK</t>
        </is>
      </c>
      <c r="BC465" t="inlineStr">
        <is>
          <t>32285000532605</t>
        </is>
      </c>
      <c r="BD465" t="inlineStr">
        <is>
          <t>893806102</t>
        </is>
      </c>
    </row>
    <row r="466">
      <c r="A466" t="inlineStr">
        <is>
          <t>No</t>
        </is>
      </c>
      <c r="B466" t="inlineStr">
        <is>
          <t>BX1749 .T48 1941</t>
        </is>
      </c>
      <c r="C466" t="inlineStr">
        <is>
          <t>0                      BX 1749000T  48          1941</t>
        </is>
      </c>
      <c r="D466" t="inlineStr">
        <is>
          <t>Summa theologiae / cura et studio Instituti Studiorum Medievalium Ottaviensis, ad textum S. Pii Pp. V iussu confectum recognita...</t>
        </is>
      </c>
      <c r="E466" t="inlineStr">
        <is>
          <t>V.1</t>
        </is>
      </c>
      <c r="F466" t="inlineStr">
        <is>
          <t>Yes</t>
        </is>
      </c>
      <c r="G466" t="inlineStr">
        <is>
          <t>1</t>
        </is>
      </c>
      <c r="H466" t="inlineStr">
        <is>
          <t>No</t>
        </is>
      </c>
      <c r="I466" t="inlineStr">
        <is>
          <t>Yes</t>
        </is>
      </c>
      <c r="J466" t="inlineStr">
        <is>
          <t>0</t>
        </is>
      </c>
      <c r="K466" t="inlineStr">
        <is>
          <t>Thomas, Aquinas, Saint, 1225?-1274.</t>
        </is>
      </c>
      <c r="L466" t="inlineStr">
        <is>
          <t>Ottawa : Studii generalis O. Pr., 1941-45.</t>
        </is>
      </c>
      <c r="M466" t="inlineStr">
        <is>
          <t>1941</t>
        </is>
      </c>
      <c r="O466" t="inlineStr">
        <is>
          <t>eng</t>
        </is>
      </c>
      <c r="P466" t="inlineStr">
        <is>
          <t>|||</t>
        </is>
      </c>
      <c r="R466" t="inlineStr">
        <is>
          <t xml:space="preserve">BX </t>
        </is>
      </c>
      <c r="S466" t="n">
        <v>3</v>
      </c>
      <c r="T466" t="n">
        <v>8</v>
      </c>
      <c r="U466" t="inlineStr">
        <is>
          <t>2003-04-08</t>
        </is>
      </c>
      <c r="V466" t="inlineStr">
        <is>
          <t>2003-04-08</t>
        </is>
      </c>
      <c r="W466" t="inlineStr">
        <is>
          <t>1991-04-15</t>
        </is>
      </c>
      <c r="X466" t="inlineStr">
        <is>
          <t>1991-04-15</t>
        </is>
      </c>
      <c r="Y466" t="n">
        <v>74</v>
      </c>
      <c r="Z466" t="n">
        <v>63</v>
      </c>
      <c r="AA466" t="n">
        <v>205</v>
      </c>
      <c r="AB466" t="n">
        <v>4</v>
      </c>
      <c r="AC466" t="n">
        <v>4</v>
      </c>
      <c r="AD466" t="n">
        <v>11</v>
      </c>
      <c r="AE466" t="n">
        <v>29</v>
      </c>
      <c r="AF466" t="n">
        <v>0</v>
      </c>
      <c r="AG466" t="n">
        <v>7</v>
      </c>
      <c r="AH466" t="n">
        <v>2</v>
      </c>
      <c r="AI466" t="n">
        <v>9</v>
      </c>
      <c r="AJ466" t="n">
        <v>10</v>
      </c>
      <c r="AK466" t="n">
        <v>21</v>
      </c>
      <c r="AL466" t="n">
        <v>1</v>
      </c>
      <c r="AM466" t="n">
        <v>1</v>
      </c>
      <c r="AN466" t="n">
        <v>0</v>
      </c>
      <c r="AO466" t="n">
        <v>0</v>
      </c>
      <c r="AP466" t="inlineStr">
        <is>
          <t>No</t>
        </is>
      </c>
      <c r="AQ466" t="inlineStr">
        <is>
          <t>No</t>
        </is>
      </c>
      <c r="AS466">
        <f>HYPERLINK("https://creighton-primo.hosted.exlibrisgroup.com/primo-explore/search?tab=default_tab&amp;search_scope=EVERYTHING&amp;vid=01CRU&amp;lang=en_US&amp;offset=0&amp;query=any,contains,991003696269702656","Catalog Record")</f>
        <v/>
      </c>
      <c r="AT466">
        <f>HYPERLINK("http://www.worldcat.org/oclc/1328857","WorldCat Record")</f>
        <v/>
      </c>
      <c r="AU466" t="inlineStr">
        <is>
          <t>3772008937:lat</t>
        </is>
      </c>
      <c r="AV466" t="inlineStr">
        <is>
          <t>1328857</t>
        </is>
      </c>
      <c r="AW466" t="inlineStr">
        <is>
          <t>991003696269702656</t>
        </is>
      </c>
      <c r="AX466" t="inlineStr">
        <is>
          <t>991003696269702656</t>
        </is>
      </c>
      <c r="AY466" t="inlineStr">
        <is>
          <t>2259234120002656</t>
        </is>
      </c>
      <c r="AZ466" t="inlineStr">
        <is>
          <t>BOOK</t>
        </is>
      </c>
      <c r="BC466" t="inlineStr">
        <is>
          <t>32285000532589</t>
        </is>
      </c>
      <c r="BD466" t="inlineStr">
        <is>
          <t>893810119</t>
        </is>
      </c>
    </row>
    <row r="467">
      <c r="A467" t="inlineStr">
        <is>
          <t>No</t>
        </is>
      </c>
      <c r="B467" t="inlineStr">
        <is>
          <t>BX1749 .T53 1950</t>
        </is>
      </c>
      <c r="C467" t="inlineStr">
        <is>
          <t>0                      BX 1749000T  53          1950</t>
        </is>
      </c>
      <c r="D467" t="inlineStr">
        <is>
          <t>Catechism of the "Summa Theologica" of Saint Thomas Aquinas; for the use of the faithful; adapted form the French and done into English by Aelred Whitacre.</t>
        </is>
      </c>
      <c r="F467" t="inlineStr">
        <is>
          <t>No</t>
        </is>
      </c>
      <c r="G467" t="inlineStr">
        <is>
          <t>1</t>
        </is>
      </c>
      <c r="H467" t="inlineStr">
        <is>
          <t>No</t>
        </is>
      </c>
      <c r="I467" t="inlineStr">
        <is>
          <t>No</t>
        </is>
      </c>
      <c r="J467" t="inlineStr">
        <is>
          <t>0</t>
        </is>
      </c>
      <c r="K467" t="inlineStr">
        <is>
          <t>Pègues, Thomas, 1866-1936.</t>
        </is>
      </c>
      <c r="L467" t="inlineStr">
        <is>
          <t>Westminster, Md., Newman Press, 1950 [c1922]</t>
        </is>
      </c>
      <c r="M467" t="inlineStr">
        <is>
          <t>1950</t>
        </is>
      </c>
      <c r="O467" t="inlineStr">
        <is>
          <t>eng</t>
        </is>
      </c>
      <c r="P467" t="inlineStr">
        <is>
          <t>___</t>
        </is>
      </c>
      <c r="R467" t="inlineStr">
        <is>
          <t xml:space="preserve">BX </t>
        </is>
      </c>
      <c r="S467" t="n">
        <v>9</v>
      </c>
      <c r="T467" t="n">
        <v>9</v>
      </c>
      <c r="U467" t="inlineStr">
        <is>
          <t>2003-11-17</t>
        </is>
      </c>
      <c r="V467" t="inlineStr">
        <is>
          <t>2003-11-17</t>
        </is>
      </c>
      <c r="W467" t="inlineStr">
        <is>
          <t>1991-04-18</t>
        </is>
      </c>
      <c r="X467" t="inlineStr">
        <is>
          <t>1991-04-18</t>
        </is>
      </c>
      <c r="Y467" t="n">
        <v>88</v>
      </c>
      <c r="Z467" t="n">
        <v>81</v>
      </c>
      <c r="AA467" t="n">
        <v>181</v>
      </c>
      <c r="AB467" t="n">
        <v>1</v>
      </c>
      <c r="AC467" t="n">
        <v>2</v>
      </c>
      <c r="AD467" t="n">
        <v>9</v>
      </c>
      <c r="AE467" t="n">
        <v>22</v>
      </c>
      <c r="AF467" t="n">
        <v>2</v>
      </c>
      <c r="AG467" t="n">
        <v>6</v>
      </c>
      <c r="AH467" t="n">
        <v>2</v>
      </c>
      <c r="AI467" t="n">
        <v>5</v>
      </c>
      <c r="AJ467" t="n">
        <v>7</v>
      </c>
      <c r="AK467" t="n">
        <v>17</v>
      </c>
      <c r="AL467" t="n">
        <v>0</v>
      </c>
      <c r="AM467" t="n">
        <v>0</v>
      </c>
      <c r="AN467" t="n">
        <v>0</v>
      </c>
      <c r="AO467" t="n">
        <v>0</v>
      </c>
      <c r="AP467" t="inlineStr">
        <is>
          <t>No</t>
        </is>
      </c>
      <c r="AQ467" t="inlineStr">
        <is>
          <t>No</t>
        </is>
      </c>
      <c r="AS467">
        <f>HYPERLINK("https://creighton-primo.hosted.exlibrisgroup.com/primo-explore/search?tab=default_tab&amp;search_scope=EVERYTHING&amp;vid=01CRU&amp;lang=en_US&amp;offset=0&amp;query=any,contains,991003048499702656","Catalog Record")</f>
        <v/>
      </c>
      <c r="AT467">
        <f>HYPERLINK("http://www.worldcat.org/oclc/608942","WorldCat Record")</f>
        <v/>
      </c>
      <c r="AU467" t="inlineStr">
        <is>
          <t>16368567:eng</t>
        </is>
      </c>
      <c r="AV467" t="inlineStr">
        <is>
          <t>608942</t>
        </is>
      </c>
      <c r="AW467" t="inlineStr">
        <is>
          <t>991003048499702656</t>
        </is>
      </c>
      <c r="AX467" t="inlineStr">
        <is>
          <t>991003048499702656</t>
        </is>
      </c>
      <c r="AY467" t="inlineStr">
        <is>
          <t>2255278250002656</t>
        </is>
      </c>
      <c r="AZ467" t="inlineStr">
        <is>
          <t>BOOK</t>
        </is>
      </c>
      <c r="BC467" t="inlineStr">
        <is>
          <t>32285000533868</t>
        </is>
      </c>
      <c r="BD467" t="inlineStr">
        <is>
          <t>893348283</t>
        </is>
      </c>
    </row>
    <row r="468">
      <c r="A468" t="inlineStr">
        <is>
          <t>No</t>
        </is>
      </c>
      <c r="B468" t="inlineStr">
        <is>
          <t>BX1749 .V55</t>
        </is>
      </c>
      <c r="C468" t="inlineStr">
        <is>
          <t>0                      BX 1749000V  55</t>
        </is>
      </c>
      <c r="D468" t="inlineStr">
        <is>
          <t>Speculum quadruplex; sive, Speculum maius.</t>
        </is>
      </c>
      <c r="E468" t="inlineStr">
        <is>
          <t>V.2</t>
        </is>
      </c>
      <c r="F468" t="inlineStr">
        <is>
          <t>Yes</t>
        </is>
      </c>
      <c r="G468" t="inlineStr">
        <is>
          <t>1</t>
        </is>
      </c>
      <c r="H468" t="inlineStr">
        <is>
          <t>No</t>
        </is>
      </c>
      <c r="I468" t="inlineStr">
        <is>
          <t>No</t>
        </is>
      </c>
      <c r="J468" t="inlineStr">
        <is>
          <t>0</t>
        </is>
      </c>
      <c r="K468" t="inlineStr">
        <is>
          <t>Vincent, of Beauvais, -1264.</t>
        </is>
      </c>
      <c r="L468" t="inlineStr">
        <is>
          <t>Graz, Akademische Druck- u. Verlaganstalt, 1964-65.</t>
        </is>
      </c>
      <c r="M468" t="inlineStr">
        <is>
          <t>1964</t>
        </is>
      </c>
      <c r="O468" t="inlineStr">
        <is>
          <t>lat</t>
        </is>
      </c>
      <c r="P468" t="inlineStr">
        <is>
          <t xml:space="preserve">au </t>
        </is>
      </c>
      <c r="R468" t="inlineStr">
        <is>
          <t xml:space="preserve">BX </t>
        </is>
      </c>
      <c r="S468" t="n">
        <v>0</v>
      </c>
      <c r="T468" t="n">
        <v>15</v>
      </c>
      <c r="V468" t="inlineStr">
        <is>
          <t>2003-03-05</t>
        </is>
      </c>
      <c r="W468" t="inlineStr">
        <is>
          <t>1995-07-25</t>
        </is>
      </c>
      <c r="X468" t="inlineStr">
        <is>
          <t>1995-07-25</t>
        </is>
      </c>
      <c r="Y468" t="n">
        <v>112</v>
      </c>
      <c r="Z468" t="n">
        <v>84</v>
      </c>
      <c r="AA468" t="n">
        <v>93</v>
      </c>
      <c r="AB468" t="n">
        <v>1</v>
      </c>
      <c r="AC468" t="n">
        <v>1</v>
      </c>
      <c r="AD468" t="n">
        <v>7</v>
      </c>
      <c r="AE468" t="n">
        <v>7</v>
      </c>
      <c r="AF468" t="n">
        <v>1</v>
      </c>
      <c r="AG468" t="n">
        <v>1</v>
      </c>
      <c r="AH468" t="n">
        <v>3</v>
      </c>
      <c r="AI468" t="n">
        <v>3</v>
      </c>
      <c r="AJ468" t="n">
        <v>4</v>
      </c>
      <c r="AK468" t="n">
        <v>4</v>
      </c>
      <c r="AL468" t="n">
        <v>0</v>
      </c>
      <c r="AM468" t="n">
        <v>0</v>
      </c>
      <c r="AN468" t="n">
        <v>0</v>
      </c>
      <c r="AO468" t="n">
        <v>0</v>
      </c>
      <c r="AP468" t="inlineStr">
        <is>
          <t>No</t>
        </is>
      </c>
      <c r="AQ468" t="inlineStr">
        <is>
          <t>Yes</t>
        </is>
      </c>
      <c r="AR468">
        <f>HYPERLINK("http://catalog.hathitrust.org/Record/101923272","HathiTrust Record")</f>
        <v/>
      </c>
      <c r="AS468">
        <f>HYPERLINK("https://creighton-primo.hosted.exlibrisgroup.com/primo-explore/search?tab=default_tab&amp;search_scope=EVERYTHING&amp;vid=01CRU&amp;lang=en_US&amp;offset=0&amp;query=any,contains,991003965079702656","Catalog Record")</f>
        <v/>
      </c>
      <c r="AT468">
        <f>HYPERLINK("http://www.worldcat.org/oclc/53169654","WorldCat Record")</f>
        <v/>
      </c>
      <c r="AU468" t="inlineStr">
        <is>
          <t>2260886660:lat</t>
        </is>
      </c>
      <c r="AV468" t="inlineStr">
        <is>
          <t>53169654</t>
        </is>
      </c>
      <c r="AW468" t="inlineStr">
        <is>
          <t>991003965079702656</t>
        </is>
      </c>
      <c r="AX468" t="inlineStr">
        <is>
          <t>991003965079702656</t>
        </is>
      </c>
      <c r="AY468" t="inlineStr">
        <is>
          <t>2262298580002656</t>
        </is>
      </c>
      <c r="AZ468" t="inlineStr">
        <is>
          <t>BOOK</t>
        </is>
      </c>
      <c r="BC468" t="inlineStr">
        <is>
          <t>32285000619691</t>
        </is>
      </c>
      <c r="BD468" t="inlineStr">
        <is>
          <t>893711999</t>
        </is>
      </c>
    </row>
    <row r="469">
      <c r="A469" t="inlineStr">
        <is>
          <t>No</t>
        </is>
      </c>
      <c r="B469" t="inlineStr">
        <is>
          <t>BX1749 .V55</t>
        </is>
      </c>
      <c r="C469" t="inlineStr">
        <is>
          <t>0                      BX 1749000V  55</t>
        </is>
      </c>
      <c r="D469" t="inlineStr">
        <is>
          <t>Speculum quadruplex; sive, Speculum maius.</t>
        </is>
      </c>
      <c r="E469" t="inlineStr">
        <is>
          <t>V.1</t>
        </is>
      </c>
      <c r="F469" t="inlineStr">
        <is>
          <t>Yes</t>
        </is>
      </c>
      <c r="G469" t="inlineStr">
        <is>
          <t>1</t>
        </is>
      </c>
      <c r="H469" t="inlineStr">
        <is>
          <t>No</t>
        </is>
      </c>
      <c r="I469" t="inlineStr">
        <is>
          <t>No</t>
        </is>
      </c>
      <c r="J469" t="inlineStr">
        <is>
          <t>0</t>
        </is>
      </c>
      <c r="K469" t="inlineStr">
        <is>
          <t>Vincent, of Beauvais, -1264.</t>
        </is>
      </c>
      <c r="L469" t="inlineStr">
        <is>
          <t>Graz, Akademische Druck- u. Verlaganstalt, 1964-65.</t>
        </is>
      </c>
      <c r="M469" t="inlineStr">
        <is>
          <t>1964</t>
        </is>
      </c>
      <c r="O469" t="inlineStr">
        <is>
          <t>lat</t>
        </is>
      </c>
      <c r="P469" t="inlineStr">
        <is>
          <t xml:space="preserve">au </t>
        </is>
      </c>
      <c r="R469" t="inlineStr">
        <is>
          <t xml:space="preserve">BX </t>
        </is>
      </c>
      <c r="S469" t="n">
        <v>10</v>
      </c>
      <c r="T469" t="n">
        <v>15</v>
      </c>
      <c r="U469" t="inlineStr">
        <is>
          <t>2003-03-05</t>
        </is>
      </c>
      <c r="V469" t="inlineStr">
        <is>
          <t>2003-03-05</t>
        </is>
      </c>
      <c r="W469" t="inlineStr">
        <is>
          <t>1992-01-10</t>
        </is>
      </c>
      <c r="X469" t="inlineStr">
        <is>
          <t>1995-07-25</t>
        </is>
      </c>
      <c r="Y469" t="n">
        <v>112</v>
      </c>
      <c r="Z469" t="n">
        <v>84</v>
      </c>
      <c r="AA469" t="n">
        <v>93</v>
      </c>
      <c r="AB469" t="n">
        <v>1</v>
      </c>
      <c r="AC469" t="n">
        <v>1</v>
      </c>
      <c r="AD469" t="n">
        <v>7</v>
      </c>
      <c r="AE469" t="n">
        <v>7</v>
      </c>
      <c r="AF469" t="n">
        <v>1</v>
      </c>
      <c r="AG469" t="n">
        <v>1</v>
      </c>
      <c r="AH469" t="n">
        <v>3</v>
      </c>
      <c r="AI469" t="n">
        <v>3</v>
      </c>
      <c r="AJ469" t="n">
        <v>4</v>
      </c>
      <c r="AK469" t="n">
        <v>4</v>
      </c>
      <c r="AL469" t="n">
        <v>0</v>
      </c>
      <c r="AM469" t="n">
        <v>0</v>
      </c>
      <c r="AN469" t="n">
        <v>0</v>
      </c>
      <c r="AO469" t="n">
        <v>0</v>
      </c>
      <c r="AP469" t="inlineStr">
        <is>
          <t>No</t>
        </is>
      </c>
      <c r="AQ469" t="inlineStr">
        <is>
          <t>Yes</t>
        </is>
      </c>
      <c r="AR469">
        <f>HYPERLINK("http://catalog.hathitrust.org/Record/101923272","HathiTrust Record")</f>
        <v/>
      </c>
      <c r="AS469">
        <f>HYPERLINK("https://creighton-primo.hosted.exlibrisgroup.com/primo-explore/search?tab=default_tab&amp;search_scope=EVERYTHING&amp;vid=01CRU&amp;lang=en_US&amp;offset=0&amp;query=any,contains,991003965079702656","Catalog Record")</f>
        <v/>
      </c>
      <c r="AT469">
        <f>HYPERLINK("http://www.worldcat.org/oclc/53169654","WorldCat Record")</f>
        <v/>
      </c>
      <c r="AU469" t="inlineStr">
        <is>
          <t>2260886660:lat</t>
        </is>
      </c>
      <c r="AV469" t="inlineStr">
        <is>
          <t>53169654</t>
        </is>
      </c>
      <c r="AW469" t="inlineStr">
        <is>
          <t>991003965079702656</t>
        </is>
      </c>
      <c r="AX469" t="inlineStr">
        <is>
          <t>991003965079702656</t>
        </is>
      </c>
      <c r="AY469" t="inlineStr">
        <is>
          <t>2262298580002656</t>
        </is>
      </c>
      <c r="AZ469" t="inlineStr">
        <is>
          <t>BOOK</t>
        </is>
      </c>
      <c r="BC469" t="inlineStr">
        <is>
          <t>32285000912963</t>
        </is>
      </c>
      <c r="BD469" t="inlineStr">
        <is>
          <t>893699644</t>
        </is>
      </c>
    </row>
    <row r="470">
      <c r="A470" t="inlineStr">
        <is>
          <t>No</t>
        </is>
      </c>
      <c r="B470" t="inlineStr">
        <is>
          <t>BX1749 .V55</t>
        </is>
      </c>
      <c r="C470" t="inlineStr">
        <is>
          <t>0                      BX 1749000V  55</t>
        </is>
      </c>
      <c r="D470" t="inlineStr">
        <is>
          <t>Speculum quadruplex; sive, Speculum maius.</t>
        </is>
      </c>
      <c r="E470" t="inlineStr">
        <is>
          <t>V.3</t>
        </is>
      </c>
      <c r="F470" t="inlineStr">
        <is>
          <t>Yes</t>
        </is>
      </c>
      <c r="G470" t="inlineStr">
        <is>
          <t>1</t>
        </is>
      </c>
      <c r="H470" t="inlineStr">
        <is>
          <t>No</t>
        </is>
      </c>
      <c r="I470" t="inlineStr">
        <is>
          <t>No</t>
        </is>
      </c>
      <c r="J470" t="inlineStr">
        <is>
          <t>0</t>
        </is>
      </c>
      <c r="K470" t="inlineStr">
        <is>
          <t>Vincent, of Beauvais, -1264.</t>
        </is>
      </c>
      <c r="L470" t="inlineStr">
        <is>
          <t>Graz, Akademische Druck- u. Verlaganstalt, 1964-65.</t>
        </is>
      </c>
      <c r="M470" t="inlineStr">
        <is>
          <t>1964</t>
        </is>
      </c>
      <c r="O470" t="inlineStr">
        <is>
          <t>lat</t>
        </is>
      </c>
      <c r="P470" t="inlineStr">
        <is>
          <t xml:space="preserve">au </t>
        </is>
      </c>
      <c r="R470" t="inlineStr">
        <is>
          <t xml:space="preserve">BX </t>
        </is>
      </c>
      <c r="S470" t="n">
        <v>0</v>
      </c>
      <c r="T470" t="n">
        <v>15</v>
      </c>
      <c r="V470" t="inlineStr">
        <is>
          <t>2003-03-05</t>
        </is>
      </c>
      <c r="W470" t="inlineStr">
        <is>
          <t>1995-07-25</t>
        </is>
      </c>
      <c r="X470" t="inlineStr">
        <is>
          <t>1995-07-25</t>
        </is>
      </c>
      <c r="Y470" t="n">
        <v>112</v>
      </c>
      <c r="Z470" t="n">
        <v>84</v>
      </c>
      <c r="AA470" t="n">
        <v>93</v>
      </c>
      <c r="AB470" t="n">
        <v>1</v>
      </c>
      <c r="AC470" t="n">
        <v>1</v>
      </c>
      <c r="AD470" t="n">
        <v>7</v>
      </c>
      <c r="AE470" t="n">
        <v>7</v>
      </c>
      <c r="AF470" t="n">
        <v>1</v>
      </c>
      <c r="AG470" t="n">
        <v>1</v>
      </c>
      <c r="AH470" t="n">
        <v>3</v>
      </c>
      <c r="AI470" t="n">
        <v>3</v>
      </c>
      <c r="AJ470" t="n">
        <v>4</v>
      </c>
      <c r="AK470" t="n">
        <v>4</v>
      </c>
      <c r="AL470" t="n">
        <v>0</v>
      </c>
      <c r="AM470" t="n">
        <v>0</v>
      </c>
      <c r="AN470" t="n">
        <v>0</v>
      </c>
      <c r="AO470" t="n">
        <v>0</v>
      </c>
      <c r="AP470" t="inlineStr">
        <is>
          <t>No</t>
        </is>
      </c>
      <c r="AQ470" t="inlineStr">
        <is>
          <t>Yes</t>
        </is>
      </c>
      <c r="AR470">
        <f>HYPERLINK("http://catalog.hathitrust.org/Record/101923272","HathiTrust Record")</f>
        <v/>
      </c>
      <c r="AS470">
        <f>HYPERLINK("https://creighton-primo.hosted.exlibrisgroup.com/primo-explore/search?tab=default_tab&amp;search_scope=EVERYTHING&amp;vid=01CRU&amp;lang=en_US&amp;offset=0&amp;query=any,contains,991003965079702656","Catalog Record")</f>
        <v/>
      </c>
      <c r="AT470">
        <f>HYPERLINK("http://www.worldcat.org/oclc/53169654","WorldCat Record")</f>
        <v/>
      </c>
      <c r="AU470" t="inlineStr">
        <is>
          <t>2260886660:lat</t>
        </is>
      </c>
      <c r="AV470" t="inlineStr">
        <is>
          <t>53169654</t>
        </is>
      </c>
      <c r="AW470" t="inlineStr">
        <is>
          <t>991003965079702656</t>
        </is>
      </c>
      <c r="AX470" t="inlineStr">
        <is>
          <t>991003965079702656</t>
        </is>
      </c>
      <c r="AY470" t="inlineStr">
        <is>
          <t>2262298580002656</t>
        </is>
      </c>
      <c r="AZ470" t="inlineStr">
        <is>
          <t>BOOK</t>
        </is>
      </c>
      <c r="BC470" t="inlineStr">
        <is>
          <t>32285000619709</t>
        </is>
      </c>
      <c r="BD470" t="inlineStr">
        <is>
          <t>893693368</t>
        </is>
      </c>
    </row>
    <row r="471">
      <c r="A471" t="inlineStr">
        <is>
          <t>No</t>
        </is>
      </c>
      <c r="B471" t="inlineStr">
        <is>
          <t>BX1749 .V55</t>
        </is>
      </c>
      <c r="C471" t="inlineStr">
        <is>
          <t>0                      BX 1749000V  55</t>
        </is>
      </c>
      <c r="D471" t="inlineStr">
        <is>
          <t>Speculum quadruplex; sive, Speculum maius.</t>
        </is>
      </c>
      <c r="E471" t="inlineStr">
        <is>
          <t>V.4</t>
        </is>
      </c>
      <c r="F471" t="inlineStr">
        <is>
          <t>Yes</t>
        </is>
      </c>
      <c r="G471" t="inlineStr">
        <is>
          <t>1</t>
        </is>
      </c>
      <c r="H471" t="inlineStr">
        <is>
          <t>No</t>
        </is>
      </c>
      <c r="I471" t="inlineStr">
        <is>
          <t>No</t>
        </is>
      </c>
      <c r="J471" t="inlineStr">
        <is>
          <t>0</t>
        </is>
      </c>
      <c r="K471" t="inlineStr">
        <is>
          <t>Vincent, of Beauvais, -1264.</t>
        </is>
      </c>
      <c r="L471" t="inlineStr">
        <is>
          <t>Graz, Akademische Druck- u. Verlaganstalt, 1964-65.</t>
        </is>
      </c>
      <c r="M471" t="inlineStr">
        <is>
          <t>1964</t>
        </is>
      </c>
      <c r="O471" t="inlineStr">
        <is>
          <t>lat</t>
        </is>
      </c>
      <c r="P471" t="inlineStr">
        <is>
          <t xml:space="preserve">au </t>
        </is>
      </c>
      <c r="R471" t="inlineStr">
        <is>
          <t xml:space="preserve">BX </t>
        </is>
      </c>
      <c r="S471" t="n">
        <v>5</v>
      </c>
      <c r="T471" t="n">
        <v>15</v>
      </c>
      <c r="U471" t="inlineStr">
        <is>
          <t>1994-06-08</t>
        </is>
      </c>
      <c r="V471" t="inlineStr">
        <is>
          <t>2003-03-05</t>
        </is>
      </c>
      <c r="W471" t="inlineStr">
        <is>
          <t>1991-12-10</t>
        </is>
      </c>
      <c r="X471" t="inlineStr">
        <is>
          <t>1995-07-25</t>
        </is>
      </c>
      <c r="Y471" t="n">
        <v>112</v>
      </c>
      <c r="Z471" t="n">
        <v>84</v>
      </c>
      <c r="AA471" t="n">
        <v>93</v>
      </c>
      <c r="AB471" t="n">
        <v>1</v>
      </c>
      <c r="AC471" t="n">
        <v>1</v>
      </c>
      <c r="AD471" t="n">
        <v>7</v>
      </c>
      <c r="AE471" t="n">
        <v>7</v>
      </c>
      <c r="AF471" t="n">
        <v>1</v>
      </c>
      <c r="AG471" t="n">
        <v>1</v>
      </c>
      <c r="AH471" t="n">
        <v>3</v>
      </c>
      <c r="AI471" t="n">
        <v>3</v>
      </c>
      <c r="AJ471" t="n">
        <v>4</v>
      </c>
      <c r="AK471" t="n">
        <v>4</v>
      </c>
      <c r="AL471" t="n">
        <v>0</v>
      </c>
      <c r="AM471" t="n">
        <v>0</v>
      </c>
      <c r="AN471" t="n">
        <v>0</v>
      </c>
      <c r="AO471" t="n">
        <v>0</v>
      </c>
      <c r="AP471" t="inlineStr">
        <is>
          <t>No</t>
        </is>
      </c>
      <c r="AQ471" t="inlineStr">
        <is>
          <t>Yes</t>
        </is>
      </c>
      <c r="AR471">
        <f>HYPERLINK("http://catalog.hathitrust.org/Record/101923272","HathiTrust Record")</f>
        <v/>
      </c>
      <c r="AS471">
        <f>HYPERLINK("https://creighton-primo.hosted.exlibrisgroup.com/primo-explore/search?tab=default_tab&amp;search_scope=EVERYTHING&amp;vid=01CRU&amp;lang=en_US&amp;offset=0&amp;query=any,contains,991003965079702656","Catalog Record")</f>
        <v/>
      </c>
      <c r="AT471">
        <f>HYPERLINK("http://www.worldcat.org/oclc/53169654","WorldCat Record")</f>
        <v/>
      </c>
      <c r="AU471" t="inlineStr">
        <is>
          <t>2260886660:lat</t>
        </is>
      </c>
      <c r="AV471" t="inlineStr">
        <is>
          <t>53169654</t>
        </is>
      </c>
      <c r="AW471" t="inlineStr">
        <is>
          <t>991003965079702656</t>
        </is>
      </c>
      <c r="AX471" t="inlineStr">
        <is>
          <t>991003965079702656</t>
        </is>
      </c>
      <c r="AY471" t="inlineStr">
        <is>
          <t>2262298580002656</t>
        </is>
      </c>
      <c r="AZ471" t="inlineStr">
        <is>
          <t>BOOK</t>
        </is>
      </c>
      <c r="BC471" t="inlineStr">
        <is>
          <t>32285000878032</t>
        </is>
      </c>
      <c r="BD471" t="inlineStr">
        <is>
          <t>893711998</t>
        </is>
      </c>
    </row>
    <row r="472">
      <c r="A472" t="inlineStr">
        <is>
          <t>No</t>
        </is>
      </c>
      <c r="B472" t="inlineStr">
        <is>
          <t>BX1749.F52 L4</t>
        </is>
      </c>
      <c r="C472" t="inlineStr">
        <is>
          <t>0                      BX 1749000F  52                 L  4</t>
        </is>
      </c>
      <c r="D472" t="inlineStr">
        <is>
          <t>Richard Fitzralph, commentator of the Sentences; a study in theological orthodoxy.</t>
        </is>
      </c>
      <c r="F472" t="inlineStr">
        <is>
          <t>No</t>
        </is>
      </c>
      <c r="G472" t="inlineStr">
        <is>
          <t>1</t>
        </is>
      </c>
      <c r="H472" t="inlineStr">
        <is>
          <t>No</t>
        </is>
      </c>
      <c r="I472" t="inlineStr">
        <is>
          <t>No</t>
        </is>
      </c>
      <c r="J472" t="inlineStr">
        <is>
          <t>0</t>
        </is>
      </c>
      <c r="K472" t="inlineStr">
        <is>
          <t>Leff, Gordon.</t>
        </is>
      </c>
      <c r="L472" t="inlineStr">
        <is>
          <t>[Manchester, England] Manchester University Press [1963]</t>
        </is>
      </c>
      <c r="M472" t="inlineStr">
        <is>
          <t>1963</t>
        </is>
      </c>
      <c r="O472" t="inlineStr">
        <is>
          <t>eng</t>
        </is>
      </c>
      <c r="P472" t="inlineStr">
        <is>
          <t>___</t>
        </is>
      </c>
      <c r="R472" t="inlineStr">
        <is>
          <t xml:space="preserve">BX </t>
        </is>
      </c>
      <c r="S472" t="n">
        <v>1</v>
      </c>
      <c r="T472" t="n">
        <v>1</v>
      </c>
      <c r="U472" t="inlineStr">
        <is>
          <t>1993-05-19</t>
        </is>
      </c>
      <c r="V472" t="inlineStr">
        <is>
          <t>1993-05-19</t>
        </is>
      </c>
      <c r="W472" t="inlineStr">
        <is>
          <t>1991-04-09</t>
        </is>
      </c>
      <c r="X472" t="inlineStr">
        <is>
          <t>1991-04-09</t>
        </is>
      </c>
      <c r="Y472" t="n">
        <v>237</v>
      </c>
      <c r="Z472" t="n">
        <v>174</v>
      </c>
      <c r="AA472" t="n">
        <v>187</v>
      </c>
      <c r="AB472" t="n">
        <v>2</v>
      </c>
      <c r="AC472" t="n">
        <v>2</v>
      </c>
      <c r="AD472" t="n">
        <v>13</v>
      </c>
      <c r="AE472" t="n">
        <v>13</v>
      </c>
      <c r="AF472" t="n">
        <v>2</v>
      </c>
      <c r="AG472" t="n">
        <v>2</v>
      </c>
      <c r="AH472" t="n">
        <v>3</v>
      </c>
      <c r="AI472" t="n">
        <v>3</v>
      </c>
      <c r="AJ472" t="n">
        <v>11</v>
      </c>
      <c r="AK472" t="n">
        <v>11</v>
      </c>
      <c r="AL472" t="n">
        <v>1</v>
      </c>
      <c r="AM472" t="n">
        <v>1</v>
      </c>
      <c r="AN472" t="n">
        <v>0</v>
      </c>
      <c r="AO472" t="n">
        <v>0</v>
      </c>
      <c r="AP472" t="inlineStr">
        <is>
          <t>No</t>
        </is>
      </c>
      <c r="AQ472" t="inlineStr">
        <is>
          <t>Yes</t>
        </is>
      </c>
      <c r="AR472">
        <f>HYPERLINK("http://catalog.hathitrust.org/Record/001416484","HathiTrust Record")</f>
        <v/>
      </c>
      <c r="AS472">
        <f>HYPERLINK("https://creighton-primo.hosted.exlibrisgroup.com/primo-explore/search?tab=default_tab&amp;search_scope=EVERYTHING&amp;vid=01CRU&amp;lang=en_US&amp;offset=0&amp;query=any,contains,991003053919702656","Catalog Record")</f>
        <v/>
      </c>
      <c r="AT472">
        <f>HYPERLINK("http://www.worldcat.org/oclc/612991","WorldCat Record")</f>
        <v/>
      </c>
      <c r="AU472" t="inlineStr">
        <is>
          <t>1651953:eng</t>
        </is>
      </c>
      <c r="AV472" t="inlineStr">
        <is>
          <t>612991</t>
        </is>
      </c>
      <c r="AW472" t="inlineStr">
        <is>
          <t>991003053919702656</t>
        </is>
      </c>
      <c r="AX472" t="inlineStr">
        <is>
          <t>991003053919702656</t>
        </is>
      </c>
      <c r="AY472" t="inlineStr">
        <is>
          <t>2266608900002656</t>
        </is>
      </c>
      <c r="AZ472" t="inlineStr">
        <is>
          <t>BOOK</t>
        </is>
      </c>
      <c r="BC472" t="inlineStr">
        <is>
          <t>32285000532266</t>
        </is>
      </c>
      <c r="BD472" t="inlineStr">
        <is>
          <t>893610679</t>
        </is>
      </c>
    </row>
    <row r="473">
      <c r="A473" t="inlineStr">
        <is>
          <t>No</t>
        </is>
      </c>
      <c r="B473" t="inlineStr">
        <is>
          <t>BX1749.T324 S7</t>
        </is>
      </c>
      <c r="C473" t="inlineStr">
        <is>
          <t>0                      BX 1749000T  324                S  7</t>
        </is>
      </c>
      <c r="D473" t="inlineStr">
        <is>
          <t>Thomas Aquinas dictionary. With an introd. by Theodore E. James.</t>
        </is>
      </c>
      <c r="F473" t="inlineStr">
        <is>
          <t>No</t>
        </is>
      </c>
      <c r="G473" t="inlineStr">
        <is>
          <t>1</t>
        </is>
      </c>
      <c r="H473" t="inlineStr">
        <is>
          <t>No</t>
        </is>
      </c>
      <c r="I473" t="inlineStr">
        <is>
          <t>No</t>
        </is>
      </c>
      <c r="J473" t="inlineStr">
        <is>
          <t>0</t>
        </is>
      </c>
      <c r="K473" t="inlineStr">
        <is>
          <t>Stockhammer, Morris, editor.</t>
        </is>
      </c>
      <c r="L473" t="inlineStr">
        <is>
          <t>New York, Philosophical Library [1965]</t>
        </is>
      </c>
      <c r="M473" t="inlineStr">
        <is>
          <t>1965</t>
        </is>
      </c>
      <c r="O473" t="inlineStr">
        <is>
          <t>eng</t>
        </is>
      </c>
      <c r="P473" t="inlineStr">
        <is>
          <t>___</t>
        </is>
      </c>
      <c r="R473" t="inlineStr">
        <is>
          <t xml:space="preserve">BX </t>
        </is>
      </c>
      <c r="S473" t="n">
        <v>2</v>
      </c>
      <c r="T473" t="n">
        <v>2</v>
      </c>
      <c r="U473" t="inlineStr">
        <is>
          <t>1994-02-21</t>
        </is>
      </c>
      <c r="V473" t="inlineStr">
        <is>
          <t>1994-02-21</t>
        </is>
      </c>
      <c r="W473" t="inlineStr">
        <is>
          <t>1991-04-15</t>
        </is>
      </c>
      <c r="X473" t="inlineStr">
        <is>
          <t>1991-04-15</t>
        </is>
      </c>
      <c r="Y473" t="n">
        <v>485</v>
      </c>
      <c r="Z473" t="n">
        <v>444</v>
      </c>
      <c r="AA473" t="n">
        <v>476</v>
      </c>
      <c r="AB473" t="n">
        <v>4</v>
      </c>
      <c r="AC473" t="n">
        <v>4</v>
      </c>
      <c r="AD473" t="n">
        <v>32</v>
      </c>
      <c r="AE473" t="n">
        <v>34</v>
      </c>
      <c r="AF473" t="n">
        <v>12</v>
      </c>
      <c r="AG473" t="n">
        <v>12</v>
      </c>
      <c r="AH473" t="n">
        <v>7</v>
      </c>
      <c r="AI473" t="n">
        <v>9</v>
      </c>
      <c r="AJ473" t="n">
        <v>22</v>
      </c>
      <c r="AK473" t="n">
        <v>23</v>
      </c>
      <c r="AL473" t="n">
        <v>2</v>
      </c>
      <c r="AM473" t="n">
        <v>2</v>
      </c>
      <c r="AN473" t="n">
        <v>0</v>
      </c>
      <c r="AO473" t="n">
        <v>0</v>
      </c>
      <c r="AP473" t="inlineStr">
        <is>
          <t>No</t>
        </is>
      </c>
      <c r="AQ473" t="inlineStr">
        <is>
          <t>Yes</t>
        </is>
      </c>
      <c r="AR473">
        <f>HYPERLINK("http://catalog.hathitrust.org/Record/001381776","HathiTrust Record")</f>
        <v/>
      </c>
      <c r="AS473">
        <f>HYPERLINK("https://creighton-primo.hosted.exlibrisgroup.com/primo-explore/search?tab=default_tab&amp;search_scope=EVERYTHING&amp;vid=01CRU&amp;lang=en_US&amp;offset=0&amp;query=any,contains,991002094359702656","Catalog Record")</f>
        <v/>
      </c>
      <c r="AT473">
        <f>HYPERLINK("http://www.worldcat.org/oclc/265433","WorldCat Record")</f>
        <v/>
      </c>
      <c r="AU473" t="inlineStr">
        <is>
          <t>3104599:eng</t>
        </is>
      </c>
      <c r="AV473" t="inlineStr">
        <is>
          <t>265433</t>
        </is>
      </c>
      <c r="AW473" t="inlineStr">
        <is>
          <t>991002094359702656</t>
        </is>
      </c>
      <c r="AX473" t="inlineStr">
        <is>
          <t>991002094359702656</t>
        </is>
      </c>
      <c r="AY473" t="inlineStr">
        <is>
          <t>2267707590002656</t>
        </is>
      </c>
      <c r="AZ473" t="inlineStr">
        <is>
          <t>BOOK</t>
        </is>
      </c>
      <c r="BC473" t="inlineStr">
        <is>
          <t>32285000532381</t>
        </is>
      </c>
      <c r="BD473" t="inlineStr">
        <is>
          <t>893497717</t>
        </is>
      </c>
    </row>
    <row r="474">
      <c r="A474" t="inlineStr">
        <is>
          <t>No</t>
        </is>
      </c>
      <c r="B474" t="inlineStr">
        <is>
          <t>BX1749.T4 S79</t>
        </is>
      </c>
      <c r="C474" t="inlineStr">
        <is>
          <t>0                      BX 1749000T  4                  S  79</t>
        </is>
      </c>
      <c r="D474" t="inlineStr">
        <is>
          <t>Why God created the world, or, The purpose of the creator and of creatures : a study in the teaching of St. Thomas Aquinas / by Johann Stufler, authorised translation by Edmund F. Sutcliffe.</t>
        </is>
      </c>
      <c r="F474" t="inlineStr">
        <is>
          <t>No</t>
        </is>
      </c>
      <c r="G474" t="inlineStr">
        <is>
          <t>1</t>
        </is>
      </c>
      <c r="H474" t="inlineStr">
        <is>
          <t>No</t>
        </is>
      </c>
      <c r="I474" t="inlineStr">
        <is>
          <t>No</t>
        </is>
      </c>
      <c r="J474" t="inlineStr">
        <is>
          <t>0</t>
        </is>
      </c>
      <c r="K474" t="inlineStr">
        <is>
          <t>Stufler, Johann, 1865-</t>
        </is>
      </c>
      <c r="L474" t="inlineStr">
        <is>
          <t>Stanbrook (Eng.) : Stanbrook Abbey Press, 1937.</t>
        </is>
      </c>
      <c r="M474" t="inlineStr">
        <is>
          <t>1937</t>
        </is>
      </c>
      <c r="O474" t="inlineStr">
        <is>
          <t>eng</t>
        </is>
      </c>
      <c r="P474" t="inlineStr">
        <is>
          <t>enk</t>
        </is>
      </c>
      <c r="R474" t="inlineStr">
        <is>
          <t xml:space="preserve">BX </t>
        </is>
      </c>
      <c r="S474" t="n">
        <v>5</v>
      </c>
      <c r="T474" t="n">
        <v>5</v>
      </c>
      <c r="U474" t="inlineStr">
        <is>
          <t>1998-12-03</t>
        </is>
      </c>
      <c r="V474" t="inlineStr">
        <is>
          <t>1998-12-03</t>
        </is>
      </c>
      <c r="W474" t="inlineStr">
        <is>
          <t>1991-04-15</t>
        </is>
      </c>
      <c r="X474" t="inlineStr">
        <is>
          <t>1991-04-15</t>
        </is>
      </c>
      <c r="Y474" t="n">
        <v>37</v>
      </c>
      <c r="Z474" t="n">
        <v>29</v>
      </c>
      <c r="AA474" t="n">
        <v>30</v>
      </c>
      <c r="AB474" t="n">
        <v>1</v>
      </c>
      <c r="AC474" t="n">
        <v>1</v>
      </c>
      <c r="AD474" t="n">
        <v>11</v>
      </c>
      <c r="AE474" t="n">
        <v>11</v>
      </c>
      <c r="AF474" t="n">
        <v>1</v>
      </c>
      <c r="AG474" t="n">
        <v>1</v>
      </c>
      <c r="AH474" t="n">
        <v>4</v>
      </c>
      <c r="AI474" t="n">
        <v>4</v>
      </c>
      <c r="AJ474" t="n">
        <v>9</v>
      </c>
      <c r="AK474" t="n">
        <v>9</v>
      </c>
      <c r="AL474" t="n">
        <v>0</v>
      </c>
      <c r="AM474" t="n">
        <v>0</v>
      </c>
      <c r="AN474" t="n">
        <v>0</v>
      </c>
      <c r="AO474" t="n">
        <v>0</v>
      </c>
      <c r="AP474" t="inlineStr">
        <is>
          <t>No</t>
        </is>
      </c>
      <c r="AQ474" t="inlineStr">
        <is>
          <t>No</t>
        </is>
      </c>
      <c r="AS474">
        <f>HYPERLINK("https://creighton-primo.hosted.exlibrisgroup.com/primo-explore/search?tab=default_tab&amp;search_scope=EVERYTHING&amp;vid=01CRU&amp;lang=en_US&amp;offset=0&amp;query=any,contains,991005094319702656","Catalog Record")</f>
        <v/>
      </c>
      <c r="AT474">
        <f>HYPERLINK("http://www.worldcat.org/oclc/7263884","WorldCat Record")</f>
        <v/>
      </c>
      <c r="AU474" t="inlineStr">
        <is>
          <t>25742479:eng</t>
        </is>
      </c>
      <c r="AV474" t="inlineStr">
        <is>
          <t>7263884</t>
        </is>
      </c>
      <c r="AW474" t="inlineStr">
        <is>
          <t>991005094319702656</t>
        </is>
      </c>
      <c r="AX474" t="inlineStr">
        <is>
          <t>991005094319702656</t>
        </is>
      </c>
      <c r="AY474" t="inlineStr">
        <is>
          <t>2256138300002656</t>
        </is>
      </c>
      <c r="AZ474" t="inlineStr">
        <is>
          <t>BOOK</t>
        </is>
      </c>
      <c r="BC474" t="inlineStr">
        <is>
          <t>32285000532514</t>
        </is>
      </c>
      <c r="BD474" t="inlineStr">
        <is>
          <t>893514027</t>
        </is>
      </c>
    </row>
    <row r="475">
      <c r="A475" t="inlineStr">
        <is>
          <t>No</t>
        </is>
      </c>
      <c r="B475" t="inlineStr">
        <is>
          <t>BX1749.T6 D4</t>
        </is>
      </c>
      <c r="C475" t="inlineStr">
        <is>
          <t>0                      BX 1749000T  6                  D  4</t>
        </is>
      </c>
      <c r="D475" t="inlineStr">
        <is>
          <t>A complete index of the Summa theologica of St.Thomas Aquinas, by Roy J. Deferrari and Sister M. Inviolata Barry.</t>
        </is>
      </c>
      <c r="F475" t="inlineStr">
        <is>
          <t>No</t>
        </is>
      </c>
      <c r="G475" t="inlineStr">
        <is>
          <t>1</t>
        </is>
      </c>
      <c r="H475" t="inlineStr">
        <is>
          <t>No</t>
        </is>
      </c>
      <c r="I475" t="inlineStr">
        <is>
          <t>No</t>
        </is>
      </c>
      <c r="J475" t="inlineStr">
        <is>
          <t>0</t>
        </is>
      </c>
      <c r="K475" t="inlineStr">
        <is>
          <t>Deferrari, Roy J. (Roy Joseph), 1890-1969.</t>
        </is>
      </c>
      <c r="L475" t="inlineStr">
        <is>
          <t>[Baltimore? Catholic University of America Press, 1956]</t>
        </is>
      </c>
      <c r="M475" t="inlineStr">
        <is>
          <t>1956</t>
        </is>
      </c>
      <c r="O475" t="inlineStr">
        <is>
          <t>eng</t>
        </is>
      </c>
      <c r="P475" t="inlineStr">
        <is>
          <t>___</t>
        </is>
      </c>
      <c r="R475" t="inlineStr">
        <is>
          <t xml:space="preserve">BX </t>
        </is>
      </c>
      <c r="S475" t="n">
        <v>5</v>
      </c>
      <c r="T475" t="n">
        <v>5</v>
      </c>
      <c r="U475" t="inlineStr">
        <is>
          <t>2003-03-05</t>
        </is>
      </c>
      <c r="V475" t="inlineStr">
        <is>
          <t>2003-03-05</t>
        </is>
      </c>
      <c r="W475" t="inlineStr">
        <is>
          <t>1991-04-18</t>
        </is>
      </c>
      <c r="X475" t="inlineStr">
        <is>
          <t>1991-04-18</t>
        </is>
      </c>
      <c r="Y475" t="n">
        <v>342</v>
      </c>
      <c r="Z475" t="n">
        <v>284</v>
      </c>
      <c r="AA475" t="n">
        <v>380</v>
      </c>
      <c r="AB475" t="n">
        <v>2</v>
      </c>
      <c r="AC475" t="n">
        <v>3</v>
      </c>
      <c r="AD475" t="n">
        <v>32</v>
      </c>
      <c r="AE475" t="n">
        <v>37</v>
      </c>
      <c r="AF475" t="n">
        <v>12</v>
      </c>
      <c r="AG475" t="n">
        <v>14</v>
      </c>
      <c r="AH475" t="n">
        <v>9</v>
      </c>
      <c r="AI475" t="n">
        <v>10</v>
      </c>
      <c r="AJ475" t="n">
        <v>20</v>
      </c>
      <c r="AK475" t="n">
        <v>20</v>
      </c>
      <c r="AL475" t="n">
        <v>1</v>
      </c>
      <c r="AM475" t="n">
        <v>2</v>
      </c>
      <c r="AN475" t="n">
        <v>1</v>
      </c>
      <c r="AO475" t="n">
        <v>3</v>
      </c>
      <c r="AP475" t="inlineStr">
        <is>
          <t>No</t>
        </is>
      </c>
      <c r="AQ475" t="inlineStr">
        <is>
          <t>No</t>
        </is>
      </c>
      <c r="AS475">
        <f>HYPERLINK("https://creighton-primo.hosted.exlibrisgroup.com/primo-explore/search?tab=default_tab&amp;search_scope=EVERYTHING&amp;vid=01CRU&amp;lang=en_US&amp;offset=0&amp;query=any,contains,991003073239702656","Catalog Record")</f>
        <v/>
      </c>
      <c r="AT475">
        <f>HYPERLINK("http://www.worldcat.org/oclc/627627","WorldCat Record")</f>
        <v/>
      </c>
      <c r="AU475" t="inlineStr">
        <is>
          <t>1724380:eng</t>
        </is>
      </c>
      <c r="AV475" t="inlineStr">
        <is>
          <t>627627</t>
        </is>
      </c>
      <c r="AW475" t="inlineStr">
        <is>
          <t>991003073239702656</t>
        </is>
      </c>
      <c r="AX475" t="inlineStr">
        <is>
          <t>991003073239702656</t>
        </is>
      </c>
      <c r="AY475" t="inlineStr">
        <is>
          <t>2258022780002656</t>
        </is>
      </c>
      <c r="AZ475" t="inlineStr">
        <is>
          <t>BOOK</t>
        </is>
      </c>
      <c r="BC475" t="inlineStr">
        <is>
          <t>32285000533918</t>
        </is>
      </c>
      <c r="BD475" t="inlineStr">
        <is>
          <t>893409892</t>
        </is>
      </c>
    </row>
    <row r="476">
      <c r="A476" t="inlineStr">
        <is>
          <t>No</t>
        </is>
      </c>
      <c r="B476" t="inlineStr">
        <is>
          <t>BX1749.T6 F3</t>
        </is>
      </c>
      <c r="C476" t="inlineStr">
        <is>
          <t>0                      BX 1749000T  6                  F  3</t>
        </is>
      </c>
      <c r="D476" t="inlineStr">
        <is>
          <t>A companion to the Summa / by Walter Farrell.</t>
        </is>
      </c>
      <c r="E476" t="inlineStr">
        <is>
          <t>V.4</t>
        </is>
      </c>
      <c r="F476" t="inlineStr">
        <is>
          <t>Yes</t>
        </is>
      </c>
      <c r="G476" t="inlineStr">
        <is>
          <t>1</t>
        </is>
      </c>
      <c r="H476" t="inlineStr">
        <is>
          <t>Yes</t>
        </is>
      </c>
      <c r="I476" t="inlineStr">
        <is>
          <t>No</t>
        </is>
      </c>
      <c r="J476" t="inlineStr">
        <is>
          <t>0</t>
        </is>
      </c>
      <c r="K476" t="inlineStr">
        <is>
          <t>Farrell, Walter, 1902-1951.</t>
        </is>
      </c>
      <c r="L476" t="inlineStr">
        <is>
          <t>New York : Sheed &amp; Ward, 1938-42.</t>
        </is>
      </c>
      <c r="M476" t="inlineStr">
        <is>
          <t>1938</t>
        </is>
      </c>
      <c r="O476" t="inlineStr">
        <is>
          <t>eng</t>
        </is>
      </c>
      <c r="P476" t="inlineStr">
        <is>
          <t>|||</t>
        </is>
      </c>
      <c r="R476" t="inlineStr">
        <is>
          <t xml:space="preserve">BX </t>
        </is>
      </c>
      <c r="S476" t="n">
        <v>7</v>
      </c>
      <c r="T476" t="n">
        <v>36</v>
      </c>
      <c r="U476" t="inlineStr">
        <is>
          <t>2002-10-20</t>
        </is>
      </c>
      <c r="V476" t="inlineStr">
        <is>
          <t>2010-03-10</t>
        </is>
      </c>
      <c r="W476" t="inlineStr">
        <is>
          <t>1991-04-18</t>
        </is>
      </c>
      <c r="X476" t="inlineStr">
        <is>
          <t>2000-05-09</t>
        </is>
      </c>
      <c r="Y476" t="n">
        <v>594</v>
      </c>
      <c r="Z476" t="n">
        <v>532</v>
      </c>
      <c r="AA476" t="n">
        <v>751</v>
      </c>
      <c r="AB476" t="n">
        <v>3</v>
      </c>
      <c r="AC476" t="n">
        <v>4</v>
      </c>
      <c r="AD476" t="n">
        <v>38</v>
      </c>
      <c r="AE476" t="n">
        <v>47</v>
      </c>
      <c r="AF476" t="n">
        <v>15</v>
      </c>
      <c r="AG476" t="n">
        <v>21</v>
      </c>
      <c r="AH476" t="n">
        <v>10</v>
      </c>
      <c r="AI476" t="n">
        <v>10</v>
      </c>
      <c r="AJ476" t="n">
        <v>25</v>
      </c>
      <c r="AK476" t="n">
        <v>27</v>
      </c>
      <c r="AL476" t="n">
        <v>1</v>
      </c>
      <c r="AM476" t="n">
        <v>1</v>
      </c>
      <c r="AN476" t="n">
        <v>0</v>
      </c>
      <c r="AO476" t="n">
        <v>2</v>
      </c>
      <c r="AP476" t="inlineStr">
        <is>
          <t>Yes</t>
        </is>
      </c>
      <c r="AQ476" t="inlineStr">
        <is>
          <t>Yes</t>
        </is>
      </c>
      <c r="AR476">
        <f>HYPERLINK("http://catalog.hathitrust.org/Record/001381701","HathiTrust Record")</f>
        <v/>
      </c>
      <c r="AS476">
        <f>HYPERLINK("https://creighton-primo.hosted.exlibrisgroup.com/primo-explore/search?tab=default_tab&amp;search_scope=EVERYTHING&amp;vid=01CRU&amp;lang=en_US&amp;offset=0&amp;query=any,contains,991003507369702656","Catalog Record")</f>
        <v/>
      </c>
      <c r="AT476">
        <f>HYPERLINK("http://www.worldcat.org/oclc/1059937","WorldCat Record")</f>
        <v/>
      </c>
      <c r="AU476" t="inlineStr">
        <is>
          <t>351212014:eng</t>
        </is>
      </c>
      <c r="AV476" t="inlineStr">
        <is>
          <t>1059937</t>
        </is>
      </c>
      <c r="AW476" t="inlineStr">
        <is>
          <t>991003507369702656</t>
        </is>
      </c>
      <c r="AX476" t="inlineStr">
        <is>
          <t>991003507369702656</t>
        </is>
      </c>
      <c r="AY476" t="inlineStr">
        <is>
          <t>2262718600002656</t>
        </is>
      </c>
      <c r="AZ476" t="inlineStr">
        <is>
          <t>BOOK</t>
        </is>
      </c>
      <c r="BC476" t="inlineStr">
        <is>
          <t>32285000533959</t>
        </is>
      </c>
      <c r="BD476" t="inlineStr">
        <is>
          <t>893604859</t>
        </is>
      </c>
    </row>
    <row r="477">
      <c r="A477" t="inlineStr">
        <is>
          <t>No</t>
        </is>
      </c>
      <c r="B477" t="inlineStr">
        <is>
          <t>BX1749.T6 G7 1930</t>
        </is>
      </c>
      <c r="C477" t="inlineStr">
        <is>
          <t>0                      BX 1749000T  6                  G  7           1930</t>
        </is>
      </c>
      <c r="D477" t="inlineStr">
        <is>
          <t>Introduction to the Theological summa of St. Thomas, by Dr. Martin Grabmann ... authorized translation from the 2d, rev. and enl. ed. of the original German, by John S. Zybura ...</t>
        </is>
      </c>
      <c r="F477" t="inlineStr">
        <is>
          <t>No</t>
        </is>
      </c>
      <c r="G477" t="inlineStr">
        <is>
          <t>1</t>
        </is>
      </c>
      <c r="H477" t="inlineStr">
        <is>
          <t>No</t>
        </is>
      </c>
      <c r="I477" t="inlineStr">
        <is>
          <t>No</t>
        </is>
      </c>
      <c r="J477" t="inlineStr">
        <is>
          <t>0</t>
        </is>
      </c>
      <c r="K477" t="inlineStr">
        <is>
          <t>Grabmann, Martin, 1875-1949.</t>
        </is>
      </c>
      <c r="L477" t="inlineStr">
        <is>
          <t>St. Louis, Mo., London, B. Herder book co., 1930.</t>
        </is>
      </c>
      <c r="M477" t="inlineStr">
        <is>
          <t>1930</t>
        </is>
      </c>
      <c r="O477" t="inlineStr">
        <is>
          <t>eng</t>
        </is>
      </c>
      <c r="P477" t="inlineStr">
        <is>
          <t>___</t>
        </is>
      </c>
      <c r="R477" t="inlineStr">
        <is>
          <t xml:space="preserve">BX </t>
        </is>
      </c>
      <c r="S477" t="n">
        <v>3</v>
      </c>
      <c r="T477" t="n">
        <v>3</v>
      </c>
      <c r="U477" t="inlineStr">
        <is>
          <t>2003-11-17</t>
        </is>
      </c>
      <c r="V477" t="inlineStr">
        <is>
          <t>2003-11-17</t>
        </is>
      </c>
      <c r="W477" t="inlineStr">
        <is>
          <t>1991-04-22</t>
        </is>
      </c>
      <c r="X477" t="inlineStr">
        <is>
          <t>1991-04-22</t>
        </is>
      </c>
      <c r="Y477" t="n">
        <v>168</v>
      </c>
      <c r="Z477" t="n">
        <v>153</v>
      </c>
      <c r="AA477" t="n">
        <v>154</v>
      </c>
      <c r="AB477" t="n">
        <v>1</v>
      </c>
      <c r="AC477" t="n">
        <v>1</v>
      </c>
      <c r="AD477" t="n">
        <v>25</v>
      </c>
      <c r="AE477" t="n">
        <v>25</v>
      </c>
      <c r="AF477" t="n">
        <v>8</v>
      </c>
      <c r="AG477" t="n">
        <v>8</v>
      </c>
      <c r="AH477" t="n">
        <v>6</v>
      </c>
      <c r="AI477" t="n">
        <v>6</v>
      </c>
      <c r="AJ477" t="n">
        <v>21</v>
      </c>
      <c r="AK477" t="n">
        <v>21</v>
      </c>
      <c r="AL477" t="n">
        <v>0</v>
      </c>
      <c r="AM477" t="n">
        <v>0</v>
      </c>
      <c r="AN477" t="n">
        <v>0</v>
      </c>
      <c r="AO477" t="n">
        <v>0</v>
      </c>
      <c r="AP477" t="inlineStr">
        <is>
          <t>No</t>
        </is>
      </c>
      <c r="AQ477" t="inlineStr">
        <is>
          <t>No</t>
        </is>
      </c>
      <c r="AR477">
        <f>HYPERLINK("http://catalog.hathitrust.org/Record/001416489","HathiTrust Record")</f>
        <v/>
      </c>
      <c r="AS477">
        <f>HYPERLINK("https://creighton-primo.hosted.exlibrisgroup.com/primo-explore/search?tab=default_tab&amp;search_scope=EVERYTHING&amp;vid=01CRU&amp;lang=en_US&amp;offset=0&amp;query=any,contains,991003513549702656","Catalog Record")</f>
        <v/>
      </c>
      <c r="AT477">
        <f>HYPERLINK("http://www.worldcat.org/oclc/1069499","WorldCat Record")</f>
        <v/>
      </c>
      <c r="AU477" t="inlineStr">
        <is>
          <t>2908474078:eng</t>
        </is>
      </c>
      <c r="AV477" t="inlineStr">
        <is>
          <t>1069499</t>
        </is>
      </c>
      <c r="AW477" t="inlineStr">
        <is>
          <t>991003513549702656</t>
        </is>
      </c>
      <c r="AX477" t="inlineStr">
        <is>
          <t>991003513549702656</t>
        </is>
      </c>
      <c r="AY477" t="inlineStr">
        <is>
          <t>2272808180002656</t>
        </is>
      </c>
      <c r="AZ477" t="inlineStr">
        <is>
          <t>BOOK</t>
        </is>
      </c>
      <c r="BC477" t="inlineStr">
        <is>
          <t>32285000534056</t>
        </is>
      </c>
      <c r="BD477" t="inlineStr">
        <is>
          <t>893611123</t>
        </is>
      </c>
    </row>
    <row r="478">
      <c r="A478" t="inlineStr">
        <is>
          <t>No</t>
        </is>
      </c>
      <c r="B478" t="inlineStr">
        <is>
          <t>BX1749.T7 P7</t>
        </is>
      </c>
      <c r="C478" t="inlineStr">
        <is>
          <t>0                      BX 1749000T  7                  P  7</t>
        </is>
      </c>
      <c r="D478" t="inlineStr">
        <is>
          <t>Divine science and the science of God; a reformulation of Thomas Aquinas.</t>
        </is>
      </c>
      <c r="F478" t="inlineStr">
        <is>
          <t>No</t>
        </is>
      </c>
      <c r="G478" t="inlineStr">
        <is>
          <t>1</t>
        </is>
      </c>
      <c r="H478" t="inlineStr">
        <is>
          <t>No</t>
        </is>
      </c>
      <c r="I478" t="inlineStr">
        <is>
          <t>No</t>
        </is>
      </c>
      <c r="J478" t="inlineStr">
        <is>
          <t>0</t>
        </is>
      </c>
      <c r="K478" t="inlineStr">
        <is>
          <t>Preller, Victor.</t>
        </is>
      </c>
      <c r="L478" t="inlineStr">
        <is>
          <t>Princeton, N.J., Princeton University Press, 1967.</t>
        </is>
      </c>
      <c r="M478" t="inlineStr">
        <is>
          <t>1967</t>
        </is>
      </c>
      <c r="O478" t="inlineStr">
        <is>
          <t>eng</t>
        </is>
      </c>
      <c r="P478" t="inlineStr">
        <is>
          <t>nju</t>
        </is>
      </c>
      <c r="R478" t="inlineStr">
        <is>
          <t xml:space="preserve">BX </t>
        </is>
      </c>
      <c r="S478" t="n">
        <v>7</v>
      </c>
      <c r="T478" t="n">
        <v>7</v>
      </c>
      <c r="U478" t="inlineStr">
        <is>
          <t>2005-10-11</t>
        </is>
      </c>
      <c r="V478" t="inlineStr">
        <is>
          <t>2005-10-11</t>
        </is>
      </c>
      <c r="W478" t="inlineStr">
        <is>
          <t>1991-04-22</t>
        </is>
      </c>
      <c r="X478" t="inlineStr">
        <is>
          <t>1991-04-22</t>
        </is>
      </c>
      <c r="Y478" t="n">
        <v>692</v>
      </c>
      <c r="Z478" t="n">
        <v>594</v>
      </c>
      <c r="AA478" t="n">
        <v>614</v>
      </c>
      <c r="AB478" t="n">
        <v>4</v>
      </c>
      <c r="AC478" t="n">
        <v>5</v>
      </c>
      <c r="AD478" t="n">
        <v>36</v>
      </c>
      <c r="AE478" t="n">
        <v>39</v>
      </c>
      <c r="AF478" t="n">
        <v>11</v>
      </c>
      <c r="AG478" t="n">
        <v>13</v>
      </c>
      <c r="AH478" t="n">
        <v>10</v>
      </c>
      <c r="AI478" t="n">
        <v>11</v>
      </c>
      <c r="AJ478" t="n">
        <v>23</v>
      </c>
      <c r="AK478" t="n">
        <v>23</v>
      </c>
      <c r="AL478" t="n">
        <v>2</v>
      </c>
      <c r="AM478" t="n">
        <v>3</v>
      </c>
      <c r="AN478" t="n">
        <v>0</v>
      </c>
      <c r="AO478" t="n">
        <v>0</v>
      </c>
      <c r="AP478" t="inlineStr">
        <is>
          <t>No</t>
        </is>
      </c>
      <c r="AQ478" t="inlineStr">
        <is>
          <t>Yes</t>
        </is>
      </c>
      <c r="AR478">
        <f>HYPERLINK("http://catalog.hathitrust.org/Record/001416491","HathiTrust Record")</f>
        <v/>
      </c>
      <c r="AS478">
        <f>HYPERLINK("https://creighton-primo.hosted.exlibrisgroup.com/primo-explore/search?tab=default_tab&amp;search_scope=EVERYTHING&amp;vid=01CRU&amp;lang=en_US&amp;offset=0&amp;query=any,contains,991002241959702656","Catalog Record")</f>
        <v/>
      </c>
      <c r="AT478">
        <f>HYPERLINK("http://www.worldcat.org/oclc/297187","WorldCat Record")</f>
        <v/>
      </c>
      <c r="AU478" t="inlineStr">
        <is>
          <t>288149973:eng</t>
        </is>
      </c>
      <c r="AV478" t="inlineStr">
        <is>
          <t>297187</t>
        </is>
      </c>
      <c r="AW478" t="inlineStr">
        <is>
          <t>991002241959702656</t>
        </is>
      </c>
      <c r="AX478" t="inlineStr">
        <is>
          <t>991002241959702656</t>
        </is>
      </c>
      <c r="AY478" t="inlineStr">
        <is>
          <t>2262960070002656</t>
        </is>
      </c>
      <c r="AZ478" t="inlineStr">
        <is>
          <t>BOOK</t>
        </is>
      </c>
      <c r="BC478" t="inlineStr">
        <is>
          <t>32285000534429</t>
        </is>
      </c>
      <c r="BD478" t="inlineStr">
        <is>
          <t>893785890</t>
        </is>
      </c>
    </row>
    <row r="479">
      <c r="A479" t="inlineStr">
        <is>
          <t>No</t>
        </is>
      </c>
      <c r="B479" t="inlineStr">
        <is>
          <t>BX1749.T7 S29</t>
        </is>
      </c>
      <c r="C479" t="inlineStr">
        <is>
          <t>0                      BX 1749000T  7                  S  29</t>
        </is>
      </c>
      <c r="D479" t="inlineStr">
        <is>
          <t>Thomas Aquinas and John Gerhard.</t>
        </is>
      </c>
      <c r="F479" t="inlineStr">
        <is>
          <t>No</t>
        </is>
      </c>
      <c r="G479" t="inlineStr">
        <is>
          <t>1</t>
        </is>
      </c>
      <c r="H479" t="inlineStr">
        <is>
          <t>No</t>
        </is>
      </c>
      <c r="I479" t="inlineStr">
        <is>
          <t>No</t>
        </is>
      </c>
      <c r="J479" t="inlineStr">
        <is>
          <t>0</t>
        </is>
      </c>
      <c r="K479" t="inlineStr">
        <is>
          <t>Scharlemann, Robert P.</t>
        </is>
      </c>
      <c r="L479" t="inlineStr">
        <is>
          <t>New Haven, Yale University Press, 1964.</t>
        </is>
      </c>
      <c r="M479" t="inlineStr">
        <is>
          <t>1964</t>
        </is>
      </c>
      <c r="O479" t="inlineStr">
        <is>
          <t>eng</t>
        </is>
      </c>
      <c r="P479" t="inlineStr">
        <is>
          <t>___</t>
        </is>
      </c>
      <c r="Q479" t="inlineStr">
        <is>
          <t>Yale publications in religion ; 7</t>
        </is>
      </c>
      <c r="R479" t="inlineStr">
        <is>
          <t xml:space="preserve">BX </t>
        </is>
      </c>
      <c r="S479" t="n">
        <v>5</v>
      </c>
      <c r="T479" t="n">
        <v>5</v>
      </c>
      <c r="U479" t="inlineStr">
        <is>
          <t>2004-04-13</t>
        </is>
      </c>
      <c r="V479" t="inlineStr">
        <is>
          <t>2004-04-13</t>
        </is>
      </c>
      <c r="W479" t="inlineStr">
        <is>
          <t>1991-04-22</t>
        </is>
      </c>
      <c r="X479" t="inlineStr">
        <is>
          <t>1991-04-22</t>
        </is>
      </c>
      <c r="Y479" t="n">
        <v>570</v>
      </c>
      <c r="Z479" t="n">
        <v>478</v>
      </c>
      <c r="AA479" t="n">
        <v>487</v>
      </c>
      <c r="AB479" t="n">
        <v>4</v>
      </c>
      <c r="AC479" t="n">
        <v>4</v>
      </c>
      <c r="AD479" t="n">
        <v>36</v>
      </c>
      <c r="AE479" t="n">
        <v>36</v>
      </c>
      <c r="AF479" t="n">
        <v>13</v>
      </c>
      <c r="AG479" t="n">
        <v>13</v>
      </c>
      <c r="AH479" t="n">
        <v>8</v>
      </c>
      <c r="AI479" t="n">
        <v>8</v>
      </c>
      <c r="AJ479" t="n">
        <v>23</v>
      </c>
      <c r="AK479" t="n">
        <v>23</v>
      </c>
      <c r="AL479" t="n">
        <v>3</v>
      </c>
      <c r="AM479" t="n">
        <v>3</v>
      </c>
      <c r="AN479" t="n">
        <v>0</v>
      </c>
      <c r="AO479" t="n">
        <v>0</v>
      </c>
      <c r="AP479" t="inlineStr">
        <is>
          <t>No</t>
        </is>
      </c>
      <c r="AQ479" t="inlineStr">
        <is>
          <t>Yes</t>
        </is>
      </c>
      <c r="AR479">
        <f>HYPERLINK("http://catalog.hathitrust.org/Record/001381771","HathiTrust Record")</f>
        <v/>
      </c>
      <c r="AS479">
        <f>HYPERLINK("https://creighton-primo.hosted.exlibrisgroup.com/primo-explore/search?tab=default_tab&amp;search_scope=EVERYTHING&amp;vid=01CRU&amp;lang=en_US&amp;offset=0&amp;query=any,contains,991003089319702656","Catalog Record")</f>
        <v/>
      </c>
      <c r="AT479">
        <f>HYPERLINK("http://www.worldcat.org/oclc/639827","WorldCat Record")</f>
        <v/>
      </c>
      <c r="AU479" t="inlineStr">
        <is>
          <t>1784291:eng</t>
        </is>
      </c>
      <c r="AV479" t="inlineStr">
        <is>
          <t>639827</t>
        </is>
      </c>
      <c r="AW479" t="inlineStr">
        <is>
          <t>991003089319702656</t>
        </is>
      </c>
      <c r="AX479" t="inlineStr">
        <is>
          <t>991003089319702656</t>
        </is>
      </c>
      <c r="AY479" t="inlineStr">
        <is>
          <t>2258188120002656</t>
        </is>
      </c>
      <c r="AZ479" t="inlineStr">
        <is>
          <t>BOOK</t>
        </is>
      </c>
      <c r="BC479" t="inlineStr">
        <is>
          <t>32285000534437</t>
        </is>
      </c>
      <c r="BD479" t="inlineStr">
        <is>
          <t>893422154</t>
        </is>
      </c>
    </row>
    <row r="480">
      <c r="A480" t="inlineStr">
        <is>
          <t>No</t>
        </is>
      </c>
      <c r="B480" t="inlineStr">
        <is>
          <t>BX1751 .A4 1935</t>
        </is>
      </c>
      <c r="C480" t="inlineStr">
        <is>
          <t>0                      BX 1751000A  4           1935</t>
        </is>
      </c>
      <c r="D480" t="inlineStr">
        <is>
          <t>The spirit of Catholicism / by Karl Adam. Translated by Dom Justin McCann.</t>
        </is>
      </c>
      <c r="F480" t="inlineStr">
        <is>
          <t>No</t>
        </is>
      </c>
      <c r="G480" t="inlineStr">
        <is>
          <t>1</t>
        </is>
      </c>
      <c r="H480" t="inlineStr">
        <is>
          <t>No</t>
        </is>
      </c>
      <c r="I480" t="inlineStr">
        <is>
          <t>No</t>
        </is>
      </c>
      <c r="J480" t="inlineStr">
        <is>
          <t>0</t>
        </is>
      </c>
      <c r="K480" t="inlineStr">
        <is>
          <t>Adam, Karl, 1876-1966.</t>
        </is>
      </c>
      <c r="L480" t="inlineStr">
        <is>
          <t>New York, Macmillan co., 1935.</t>
        </is>
      </c>
      <c r="M480" t="inlineStr">
        <is>
          <t>1935</t>
        </is>
      </c>
      <c r="N480" t="inlineStr">
        <is>
          <t>Rev. ed.</t>
        </is>
      </c>
      <c r="O480" t="inlineStr">
        <is>
          <t>eng</t>
        </is>
      </c>
      <c r="P480" t="inlineStr">
        <is>
          <t>___</t>
        </is>
      </c>
      <c r="R480" t="inlineStr">
        <is>
          <t xml:space="preserve">BX </t>
        </is>
      </c>
      <c r="S480" t="n">
        <v>4</v>
      </c>
      <c r="T480" t="n">
        <v>4</v>
      </c>
      <c r="U480" t="inlineStr">
        <is>
          <t>2009-02-20</t>
        </is>
      </c>
      <c r="V480" t="inlineStr">
        <is>
          <t>2009-02-20</t>
        </is>
      </c>
      <c r="W480" t="inlineStr">
        <is>
          <t>1991-04-22</t>
        </is>
      </c>
      <c r="X480" t="inlineStr">
        <is>
          <t>1991-04-22</t>
        </is>
      </c>
      <c r="Y480" t="n">
        <v>117</v>
      </c>
      <c r="Z480" t="n">
        <v>113</v>
      </c>
      <c r="AA480" t="n">
        <v>899</v>
      </c>
      <c r="AB480" t="n">
        <v>3</v>
      </c>
      <c r="AC480" t="n">
        <v>9</v>
      </c>
      <c r="AD480" t="n">
        <v>15</v>
      </c>
      <c r="AE480" t="n">
        <v>48</v>
      </c>
      <c r="AF480" t="n">
        <v>5</v>
      </c>
      <c r="AG480" t="n">
        <v>20</v>
      </c>
      <c r="AH480" t="n">
        <v>2</v>
      </c>
      <c r="AI480" t="n">
        <v>9</v>
      </c>
      <c r="AJ480" t="n">
        <v>11</v>
      </c>
      <c r="AK480" t="n">
        <v>28</v>
      </c>
      <c r="AL480" t="n">
        <v>1</v>
      </c>
      <c r="AM480" t="n">
        <v>4</v>
      </c>
      <c r="AN480" t="n">
        <v>0</v>
      </c>
      <c r="AO480" t="n">
        <v>0</v>
      </c>
      <c r="AP480" t="inlineStr">
        <is>
          <t>No</t>
        </is>
      </c>
      <c r="AQ480" t="inlineStr">
        <is>
          <t>No</t>
        </is>
      </c>
      <c r="AS480">
        <f>HYPERLINK("https://creighton-primo.hosted.exlibrisgroup.com/primo-explore/search?tab=default_tab&amp;search_scope=EVERYTHING&amp;vid=01CRU&amp;lang=en_US&amp;offset=0&amp;query=any,contains,991002955619702656","Catalog Record")</f>
        <v/>
      </c>
      <c r="AT480">
        <f>HYPERLINK("http://www.worldcat.org/oclc/541925","WorldCat Record")</f>
        <v/>
      </c>
      <c r="AU480" t="inlineStr">
        <is>
          <t>628184:eng</t>
        </is>
      </c>
      <c r="AV480" t="inlineStr">
        <is>
          <t>541925</t>
        </is>
      </c>
      <c r="AW480" t="inlineStr">
        <is>
          <t>991002955619702656</t>
        </is>
      </c>
      <c r="AX480" t="inlineStr">
        <is>
          <t>991002955619702656</t>
        </is>
      </c>
      <c r="AY480" t="inlineStr">
        <is>
          <t>2268312880002656</t>
        </is>
      </c>
      <c r="AZ480" t="inlineStr">
        <is>
          <t>BOOK</t>
        </is>
      </c>
      <c r="BC480" t="inlineStr">
        <is>
          <t>32285000534486</t>
        </is>
      </c>
      <c r="BD480" t="inlineStr">
        <is>
          <t>893233656</t>
        </is>
      </c>
    </row>
    <row r="481">
      <c r="A481" t="inlineStr">
        <is>
          <t>No</t>
        </is>
      </c>
      <c r="B481" t="inlineStr">
        <is>
          <t>BX1751 .A46</t>
        </is>
      </c>
      <c r="C481" t="inlineStr">
        <is>
          <t>0                      BX 1751000A  46</t>
        </is>
      </c>
      <c r="D481" t="inlineStr">
        <is>
          <t>College apologetics / by Anthony F. Alexander.</t>
        </is>
      </c>
      <c r="F481" t="inlineStr">
        <is>
          <t>No</t>
        </is>
      </c>
      <c r="G481" t="inlineStr">
        <is>
          <t>1</t>
        </is>
      </c>
      <c r="H481" t="inlineStr">
        <is>
          <t>No</t>
        </is>
      </c>
      <c r="I481" t="inlineStr">
        <is>
          <t>No</t>
        </is>
      </c>
      <c r="J481" t="inlineStr">
        <is>
          <t>0</t>
        </is>
      </c>
      <c r="K481" t="inlineStr">
        <is>
          <t>Alexander, Anthony F., 1920-2005.</t>
        </is>
      </c>
      <c r="L481" t="inlineStr">
        <is>
          <t>Chicago : H. Regnery Co., [1954]</t>
        </is>
      </c>
      <c r="M481" t="inlineStr">
        <is>
          <t>1954</t>
        </is>
      </c>
      <c r="O481" t="inlineStr">
        <is>
          <t>eng</t>
        </is>
      </c>
      <c r="P481" t="inlineStr">
        <is>
          <t>___</t>
        </is>
      </c>
      <c r="R481" t="inlineStr">
        <is>
          <t xml:space="preserve">BX </t>
        </is>
      </c>
      <c r="S481" t="n">
        <v>1</v>
      </c>
      <c r="T481" t="n">
        <v>1</v>
      </c>
      <c r="U481" t="inlineStr">
        <is>
          <t>2005-10-31</t>
        </is>
      </c>
      <c r="V481" t="inlineStr">
        <is>
          <t>2005-10-31</t>
        </is>
      </c>
      <c r="W481" t="inlineStr">
        <is>
          <t>1991-04-22</t>
        </is>
      </c>
      <c r="X481" t="inlineStr">
        <is>
          <t>1991-04-22</t>
        </is>
      </c>
      <c r="Y481" t="n">
        <v>154</v>
      </c>
      <c r="Z481" t="n">
        <v>141</v>
      </c>
      <c r="AA481" t="n">
        <v>165</v>
      </c>
      <c r="AB481" t="n">
        <v>3</v>
      </c>
      <c r="AC481" t="n">
        <v>3</v>
      </c>
      <c r="AD481" t="n">
        <v>21</v>
      </c>
      <c r="AE481" t="n">
        <v>23</v>
      </c>
      <c r="AF481" t="n">
        <v>7</v>
      </c>
      <c r="AG481" t="n">
        <v>8</v>
      </c>
      <c r="AH481" t="n">
        <v>5</v>
      </c>
      <c r="AI481" t="n">
        <v>6</v>
      </c>
      <c r="AJ481" t="n">
        <v>17</v>
      </c>
      <c r="AK481" t="n">
        <v>18</v>
      </c>
      <c r="AL481" t="n">
        <v>0</v>
      </c>
      <c r="AM481" t="n">
        <v>0</v>
      </c>
      <c r="AN481" t="n">
        <v>0</v>
      </c>
      <c r="AO481" t="n">
        <v>0</v>
      </c>
      <c r="AP481" t="inlineStr">
        <is>
          <t>No</t>
        </is>
      </c>
      <c r="AQ481" t="inlineStr">
        <is>
          <t>No</t>
        </is>
      </c>
      <c r="AS481">
        <f>HYPERLINK("https://creighton-primo.hosted.exlibrisgroup.com/primo-explore/search?tab=default_tab&amp;search_scope=EVERYTHING&amp;vid=01CRU&amp;lang=en_US&amp;offset=0&amp;query=any,contains,991003447059702656","Catalog Record")</f>
        <v/>
      </c>
      <c r="AT481">
        <f>HYPERLINK("http://www.worldcat.org/oclc/982663","WorldCat Record")</f>
        <v/>
      </c>
      <c r="AU481" t="inlineStr">
        <is>
          <t>1949309:eng</t>
        </is>
      </c>
      <c r="AV481" t="inlineStr">
        <is>
          <t>982663</t>
        </is>
      </c>
      <c r="AW481" t="inlineStr">
        <is>
          <t>991003447059702656</t>
        </is>
      </c>
      <c r="AX481" t="inlineStr">
        <is>
          <t>991003447059702656</t>
        </is>
      </c>
      <c r="AY481" t="inlineStr">
        <is>
          <t>2271958010002656</t>
        </is>
      </c>
      <c r="AZ481" t="inlineStr">
        <is>
          <t>BOOK</t>
        </is>
      </c>
      <c r="BC481" t="inlineStr">
        <is>
          <t>32285000534510</t>
        </is>
      </c>
      <c r="BD481" t="inlineStr">
        <is>
          <t>893348683</t>
        </is>
      </c>
    </row>
    <row r="482">
      <c r="A482" t="inlineStr">
        <is>
          <t>No</t>
        </is>
      </c>
      <c r="B482" t="inlineStr">
        <is>
          <t>BX1751 .B78</t>
        </is>
      </c>
      <c r="C482" t="inlineStr">
        <is>
          <t>0                      BX 1751000B  78</t>
        </is>
      </c>
      <c r="D482" t="inlineStr">
        <is>
          <t>A handbook of fundamental theology / by the Reverend John Brunsmann, S.V.D., freely adapted and edited by Arthur Preuss.</t>
        </is>
      </c>
      <c r="E482" t="inlineStr">
        <is>
          <t>V.1</t>
        </is>
      </c>
      <c r="F482" t="inlineStr">
        <is>
          <t>Yes</t>
        </is>
      </c>
      <c r="G482" t="inlineStr">
        <is>
          <t>1</t>
        </is>
      </c>
      <c r="H482" t="inlineStr">
        <is>
          <t>No</t>
        </is>
      </c>
      <c r="I482" t="inlineStr">
        <is>
          <t>No</t>
        </is>
      </c>
      <c r="J482" t="inlineStr">
        <is>
          <t>0</t>
        </is>
      </c>
      <c r="K482" t="inlineStr">
        <is>
          <t>Brunsmann, Johannes, 1870-</t>
        </is>
      </c>
      <c r="L482" t="inlineStr">
        <is>
          <t>St. Louis, Mo., London, B. Herder book co., 1928-32.</t>
        </is>
      </c>
      <c r="M482" t="inlineStr">
        <is>
          <t>1928</t>
        </is>
      </c>
      <c r="O482" t="inlineStr">
        <is>
          <t>eng</t>
        </is>
      </c>
      <c r="P482" t="inlineStr">
        <is>
          <t>mou</t>
        </is>
      </c>
      <c r="R482" t="inlineStr">
        <is>
          <t xml:space="preserve">BX </t>
        </is>
      </c>
      <c r="S482" t="n">
        <v>0</v>
      </c>
      <c r="T482" t="n">
        <v>11</v>
      </c>
      <c r="V482" t="inlineStr">
        <is>
          <t>2009-10-06</t>
        </is>
      </c>
      <c r="W482" t="inlineStr">
        <is>
          <t>1991-04-22</t>
        </is>
      </c>
      <c r="X482" t="inlineStr">
        <is>
          <t>1991-04-22</t>
        </is>
      </c>
      <c r="Y482" t="n">
        <v>99</v>
      </c>
      <c r="Z482" t="n">
        <v>85</v>
      </c>
      <c r="AA482" t="n">
        <v>86</v>
      </c>
      <c r="AB482" t="n">
        <v>3</v>
      </c>
      <c r="AC482" t="n">
        <v>3</v>
      </c>
      <c r="AD482" t="n">
        <v>19</v>
      </c>
      <c r="AE482" t="n">
        <v>19</v>
      </c>
      <c r="AF482" t="n">
        <v>3</v>
      </c>
      <c r="AG482" t="n">
        <v>3</v>
      </c>
      <c r="AH482" t="n">
        <v>6</v>
      </c>
      <c r="AI482" t="n">
        <v>6</v>
      </c>
      <c r="AJ482" t="n">
        <v>16</v>
      </c>
      <c r="AK482" t="n">
        <v>16</v>
      </c>
      <c r="AL482" t="n">
        <v>0</v>
      </c>
      <c r="AM482" t="n">
        <v>0</v>
      </c>
      <c r="AN482" t="n">
        <v>0</v>
      </c>
      <c r="AO482" t="n">
        <v>0</v>
      </c>
      <c r="AP482" t="inlineStr">
        <is>
          <t>No</t>
        </is>
      </c>
      <c r="AQ482" t="inlineStr">
        <is>
          <t>No</t>
        </is>
      </c>
      <c r="AS482">
        <f>HYPERLINK("https://creighton-primo.hosted.exlibrisgroup.com/primo-explore/search?tab=default_tab&amp;search_scope=EVERYTHING&amp;vid=01CRU&amp;lang=en_US&amp;offset=0&amp;query=any,contains,991004045429702656","Catalog Record")</f>
        <v/>
      </c>
      <c r="AT482">
        <f>HYPERLINK("http://www.worldcat.org/oclc/2200237","WorldCat Record")</f>
        <v/>
      </c>
      <c r="AU482" t="inlineStr">
        <is>
          <t>3372628912:eng</t>
        </is>
      </c>
      <c r="AV482" t="inlineStr">
        <is>
          <t>2200237</t>
        </is>
      </c>
      <c r="AW482" t="inlineStr">
        <is>
          <t>991004045429702656</t>
        </is>
      </c>
      <c r="AX482" t="inlineStr">
        <is>
          <t>991004045429702656</t>
        </is>
      </c>
      <c r="AY482" t="inlineStr">
        <is>
          <t>2257152170002656</t>
        </is>
      </c>
      <c r="AZ482" t="inlineStr">
        <is>
          <t>BOOK</t>
        </is>
      </c>
      <c r="BC482" t="inlineStr">
        <is>
          <t>32285000534593</t>
        </is>
      </c>
      <c r="BD482" t="inlineStr">
        <is>
          <t>893712085</t>
        </is>
      </c>
    </row>
    <row r="483">
      <c r="A483" t="inlineStr">
        <is>
          <t>No</t>
        </is>
      </c>
      <c r="B483" t="inlineStr">
        <is>
          <t>BX1751 .B78</t>
        </is>
      </c>
      <c r="C483" t="inlineStr">
        <is>
          <t>0                      BX 1751000B  78</t>
        </is>
      </c>
      <c r="D483" t="inlineStr">
        <is>
          <t>A handbook of fundamental theology / by the Reverend John Brunsmann, S.V.D., freely adapted and edited by Arthur Preuss.</t>
        </is>
      </c>
      <c r="E483" t="inlineStr">
        <is>
          <t>V.3</t>
        </is>
      </c>
      <c r="F483" t="inlineStr">
        <is>
          <t>Yes</t>
        </is>
      </c>
      <c r="G483" t="inlineStr">
        <is>
          <t>1</t>
        </is>
      </c>
      <c r="H483" t="inlineStr">
        <is>
          <t>No</t>
        </is>
      </c>
      <c r="I483" t="inlineStr">
        <is>
          <t>No</t>
        </is>
      </c>
      <c r="J483" t="inlineStr">
        <is>
          <t>0</t>
        </is>
      </c>
      <c r="K483" t="inlineStr">
        <is>
          <t>Brunsmann, Johannes, 1870-</t>
        </is>
      </c>
      <c r="L483" t="inlineStr">
        <is>
          <t>St. Louis, Mo., London, B. Herder book co., 1928-32.</t>
        </is>
      </c>
      <c r="M483" t="inlineStr">
        <is>
          <t>1928</t>
        </is>
      </c>
      <c r="O483" t="inlineStr">
        <is>
          <t>eng</t>
        </is>
      </c>
      <c r="P483" t="inlineStr">
        <is>
          <t>mou</t>
        </is>
      </c>
      <c r="R483" t="inlineStr">
        <is>
          <t xml:space="preserve">BX </t>
        </is>
      </c>
      <c r="S483" t="n">
        <v>1</v>
      </c>
      <c r="T483" t="n">
        <v>11</v>
      </c>
      <c r="U483" t="inlineStr">
        <is>
          <t>2000-06-15</t>
        </is>
      </c>
      <c r="V483" t="inlineStr">
        <is>
          <t>2009-10-06</t>
        </is>
      </c>
      <c r="W483" t="inlineStr">
        <is>
          <t>1991-04-22</t>
        </is>
      </c>
      <c r="X483" t="inlineStr">
        <is>
          <t>1991-04-22</t>
        </is>
      </c>
      <c r="Y483" t="n">
        <v>99</v>
      </c>
      <c r="Z483" t="n">
        <v>85</v>
      </c>
      <c r="AA483" t="n">
        <v>86</v>
      </c>
      <c r="AB483" t="n">
        <v>3</v>
      </c>
      <c r="AC483" t="n">
        <v>3</v>
      </c>
      <c r="AD483" t="n">
        <v>19</v>
      </c>
      <c r="AE483" t="n">
        <v>19</v>
      </c>
      <c r="AF483" t="n">
        <v>3</v>
      </c>
      <c r="AG483" t="n">
        <v>3</v>
      </c>
      <c r="AH483" t="n">
        <v>6</v>
      </c>
      <c r="AI483" t="n">
        <v>6</v>
      </c>
      <c r="AJ483" t="n">
        <v>16</v>
      </c>
      <c r="AK483" t="n">
        <v>16</v>
      </c>
      <c r="AL483" t="n">
        <v>0</v>
      </c>
      <c r="AM483" t="n">
        <v>0</v>
      </c>
      <c r="AN483" t="n">
        <v>0</v>
      </c>
      <c r="AO483" t="n">
        <v>0</v>
      </c>
      <c r="AP483" t="inlineStr">
        <is>
          <t>No</t>
        </is>
      </c>
      <c r="AQ483" t="inlineStr">
        <is>
          <t>No</t>
        </is>
      </c>
      <c r="AS483">
        <f>HYPERLINK("https://creighton-primo.hosted.exlibrisgroup.com/primo-explore/search?tab=default_tab&amp;search_scope=EVERYTHING&amp;vid=01CRU&amp;lang=en_US&amp;offset=0&amp;query=any,contains,991004045429702656","Catalog Record")</f>
        <v/>
      </c>
      <c r="AT483">
        <f>HYPERLINK("http://www.worldcat.org/oclc/2200237","WorldCat Record")</f>
        <v/>
      </c>
      <c r="AU483" t="inlineStr">
        <is>
          <t>3372628912:eng</t>
        </is>
      </c>
      <c r="AV483" t="inlineStr">
        <is>
          <t>2200237</t>
        </is>
      </c>
      <c r="AW483" t="inlineStr">
        <is>
          <t>991004045429702656</t>
        </is>
      </c>
      <c r="AX483" t="inlineStr">
        <is>
          <t>991004045429702656</t>
        </is>
      </c>
      <c r="AY483" t="inlineStr">
        <is>
          <t>2257152170002656</t>
        </is>
      </c>
      <c r="AZ483" t="inlineStr">
        <is>
          <t>BOOK</t>
        </is>
      </c>
      <c r="BC483" t="inlineStr">
        <is>
          <t>32285000534619</t>
        </is>
      </c>
      <c r="BD483" t="inlineStr">
        <is>
          <t>893722227</t>
        </is>
      </c>
    </row>
    <row r="484">
      <c r="A484" t="inlineStr">
        <is>
          <t>No</t>
        </is>
      </c>
      <c r="B484" t="inlineStr">
        <is>
          <t>BX1751 .B78</t>
        </is>
      </c>
      <c r="C484" t="inlineStr">
        <is>
          <t>0                      BX 1751000B  78</t>
        </is>
      </c>
      <c r="D484" t="inlineStr">
        <is>
          <t>A handbook of fundamental theology / by the Reverend John Brunsmann, S.V.D., freely adapted and edited by Arthur Preuss.</t>
        </is>
      </c>
      <c r="E484" t="inlineStr">
        <is>
          <t>V.2</t>
        </is>
      </c>
      <c r="F484" t="inlineStr">
        <is>
          <t>Yes</t>
        </is>
      </c>
      <c r="G484" t="inlineStr">
        <is>
          <t>1</t>
        </is>
      </c>
      <c r="H484" t="inlineStr">
        <is>
          <t>No</t>
        </is>
      </c>
      <c r="I484" t="inlineStr">
        <is>
          <t>No</t>
        </is>
      </c>
      <c r="J484" t="inlineStr">
        <is>
          <t>0</t>
        </is>
      </c>
      <c r="K484" t="inlineStr">
        <is>
          <t>Brunsmann, Johannes, 1870-</t>
        </is>
      </c>
      <c r="L484" t="inlineStr">
        <is>
          <t>St. Louis, Mo., London, B. Herder book co., 1928-32.</t>
        </is>
      </c>
      <c r="M484" t="inlineStr">
        <is>
          <t>1928</t>
        </is>
      </c>
      <c r="O484" t="inlineStr">
        <is>
          <t>eng</t>
        </is>
      </c>
      <c r="P484" t="inlineStr">
        <is>
          <t>mou</t>
        </is>
      </c>
      <c r="R484" t="inlineStr">
        <is>
          <t xml:space="preserve">BX </t>
        </is>
      </c>
      <c r="S484" t="n">
        <v>9</v>
      </c>
      <c r="T484" t="n">
        <v>11</v>
      </c>
      <c r="U484" t="inlineStr">
        <is>
          <t>2009-10-06</t>
        </is>
      </c>
      <c r="V484" t="inlineStr">
        <is>
          <t>2009-10-06</t>
        </is>
      </c>
      <c r="W484" t="inlineStr">
        <is>
          <t>1991-04-22</t>
        </is>
      </c>
      <c r="X484" t="inlineStr">
        <is>
          <t>1991-04-22</t>
        </is>
      </c>
      <c r="Y484" t="n">
        <v>99</v>
      </c>
      <c r="Z484" t="n">
        <v>85</v>
      </c>
      <c r="AA484" t="n">
        <v>86</v>
      </c>
      <c r="AB484" t="n">
        <v>3</v>
      </c>
      <c r="AC484" t="n">
        <v>3</v>
      </c>
      <c r="AD484" t="n">
        <v>19</v>
      </c>
      <c r="AE484" t="n">
        <v>19</v>
      </c>
      <c r="AF484" t="n">
        <v>3</v>
      </c>
      <c r="AG484" t="n">
        <v>3</v>
      </c>
      <c r="AH484" t="n">
        <v>6</v>
      </c>
      <c r="AI484" t="n">
        <v>6</v>
      </c>
      <c r="AJ484" t="n">
        <v>16</v>
      </c>
      <c r="AK484" t="n">
        <v>16</v>
      </c>
      <c r="AL484" t="n">
        <v>0</v>
      </c>
      <c r="AM484" t="n">
        <v>0</v>
      </c>
      <c r="AN484" t="n">
        <v>0</v>
      </c>
      <c r="AO484" t="n">
        <v>0</v>
      </c>
      <c r="AP484" t="inlineStr">
        <is>
          <t>No</t>
        </is>
      </c>
      <c r="AQ484" t="inlineStr">
        <is>
          <t>No</t>
        </is>
      </c>
      <c r="AS484">
        <f>HYPERLINK("https://creighton-primo.hosted.exlibrisgroup.com/primo-explore/search?tab=default_tab&amp;search_scope=EVERYTHING&amp;vid=01CRU&amp;lang=en_US&amp;offset=0&amp;query=any,contains,991004045429702656","Catalog Record")</f>
        <v/>
      </c>
      <c r="AT484">
        <f>HYPERLINK("http://www.worldcat.org/oclc/2200237","WorldCat Record")</f>
        <v/>
      </c>
      <c r="AU484" t="inlineStr">
        <is>
          <t>3372628912:eng</t>
        </is>
      </c>
      <c r="AV484" t="inlineStr">
        <is>
          <t>2200237</t>
        </is>
      </c>
      <c r="AW484" t="inlineStr">
        <is>
          <t>991004045429702656</t>
        </is>
      </c>
      <c r="AX484" t="inlineStr">
        <is>
          <t>991004045429702656</t>
        </is>
      </c>
      <c r="AY484" t="inlineStr">
        <is>
          <t>2257152170002656</t>
        </is>
      </c>
      <c r="AZ484" t="inlineStr">
        <is>
          <t>BOOK</t>
        </is>
      </c>
      <c r="BC484" t="inlineStr">
        <is>
          <t>32285000534601</t>
        </is>
      </c>
      <c r="BD484" t="inlineStr">
        <is>
          <t>893712084</t>
        </is>
      </c>
    </row>
    <row r="485">
      <c r="A485" t="inlineStr">
        <is>
          <t>No</t>
        </is>
      </c>
      <c r="B485" t="inlineStr">
        <is>
          <t>BX1751 .B78</t>
        </is>
      </c>
      <c r="C485" t="inlineStr">
        <is>
          <t>0                      BX 1751000B  78</t>
        </is>
      </c>
      <c r="D485" t="inlineStr">
        <is>
          <t>A handbook of fundamental theology / by the Reverend John Brunsmann, S.V.D., freely adapted and edited by Arthur Preuss.</t>
        </is>
      </c>
      <c r="E485" t="inlineStr">
        <is>
          <t>V.4</t>
        </is>
      </c>
      <c r="F485" t="inlineStr">
        <is>
          <t>Yes</t>
        </is>
      </c>
      <c r="G485" t="inlineStr">
        <is>
          <t>1</t>
        </is>
      </c>
      <c r="H485" t="inlineStr">
        <is>
          <t>No</t>
        </is>
      </c>
      <c r="I485" t="inlineStr">
        <is>
          <t>No</t>
        </is>
      </c>
      <c r="J485" t="inlineStr">
        <is>
          <t>0</t>
        </is>
      </c>
      <c r="K485" t="inlineStr">
        <is>
          <t>Brunsmann, Johannes, 1870-</t>
        </is>
      </c>
      <c r="L485" t="inlineStr">
        <is>
          <t>St. Louis, Mo., London, B. Herder book co., 1928-32.</t>
        </is>
      </c>
      <c r="M485" t="inlineStr">
        <is>
          <t>1928</t>
        </is>
      </c>
      <c r="O485" t="inlineStr">
        <is>
          <t>eng</t>
        </is>
      </c>
      <c r="P485" t="inlineStr">
        <is>
          <t>mou</t>
        </is>
      </c>
      <c r="R485" t="inlineStr">
        <is>
          <t xml:space="preserve">BX </t>
        </is>
      </c>
      <c r="S485" t="n">
        <v>1</v>
      </c>
      <c r="T485" t="n">
        <v>11</v>
      </c>
      <c r="U485" t="inlineStr">
        <is>
          <t>2000-06-15</t>
        </is>
      </c>
      <c r="V485" t="inlineStr">
        <is>
          <t>2009-10-06</t>
        </is>
      </c>
      <c r="W485" t="inlineStr">
        <is>
          <t>1991-04-22</t>
        </is>
      </c>
      <c r="X485" t="inlineStr">
        <is>
          <t>1991-04-22</t>
        </is>
      </c>
      <c r="Y485" t="n">
        <v>99</v>
      </c>
      <c r="Z485" t="n">
        <v>85</v>
      </c>
      <c r="AA485" t="n">
        <v>86</v>
      </c>
      <c r="AB485" t="n">
        <v>3</v>
      </c>
      <c r="AC485" t="n">
        <v>3</v>
      </c>
      <c r="AD485" t="n">
        <v>19</v>
      </c>
      <c r="AE485" t="n">
        <v>19</v>
      </c>
      <c r="AF485" t="n">
        <v>3</v>
      </c>
      <c r="AG485" t="n">
        <v>3</v>
      </c>
      <c r="AH485" t="n">
        <v>6</v>
      </c>
      <c r="AI485" t="n">
        <v>6</v>
      </c>
      <c r="AJ485" t="n">
        <v>16</v>
      </c>
      <c r="AK485" t="n">
        <v>16</v>
      </c>
      <c r="AL485" t="n">
        <v>0</v>
      </c>
      <c r="AM485" t="n">
        <v>0</v>
      </c>
      <c r="AN485" t="n">
        <v>0</v>
      </c>
      <c r="AO485" t="n">
        <v>0</v>
      </c>
      <c r="AP485" t="inlineStr">
        <is>
          <t>No</t>
        </is>
      </c>
      <c r="AQ485" t="inlineStr">
        <is>
          <t>No</t>
        </is>
      </c>
      <c r="AS485">
        <f>HYPERLINK("https://creighton-primo.hosted.exlibrisgroup.com/primo-explore/search?tab=default_tab&amp;search_scope=EVERYTHING&amp;vid=01CRU&amp;lang=en_US&amp;offset=0&amp;query=any,contains,991004045429702656","Catalog Record")</f>
        <v/>
      </c>
      <c r="AT485">
        <f>HYPERLINK("http://www.worldcat.org/oclc/2200237","WorldCat Record")</f>
        <v/>
      </c>
      <c r="AU485" t="inlineStr">
        <is>
          <t>3372628912:eng</t>
        </is>
      </c>
      <c r="AV485" t="inlineStr">
        <is>
          <t>2200237</t>
        </is>
      </c>
      <c r="AW485" t="inlineStr">
        <is>
          <t>991004045429702656</t>
        </is>
      </c>
      <c r="AX485" t="inlineStr">
        <is>
          <t>991004045429702656</t>
        </is>
      </c>
      <c r="AY485" t="inlineStr">
        <is>
          <t>2257152170002656</t>
        </is>
      </c>
      <c r="AZ485" t="inlineStr">
        <is>
          <t>BOOK</t>
        </is>
      </c>
      <c r="BC485" t="inlineStr">
        <is>
          <t>32285000534627</t>
        </is>
      </c>
      <c r="BD485" t="inlineStr">
        <is>
          <t>893722226</t>
        </is>
      </c>
    </row>
    <row r="486">
      <c r="A486" t="inlineStr">
        <is>
          <t>No</t>
        </is>
      </c>
      <c r="B486" t="inlineStr">
        <is>
          <t>BX1751 .C34</t>
        </is>
      </c>
      <c r="C486" t="inlineStr">
        <is>
          <t>0                      BX 1751000C  34</t>
        </is>
      </c>
      <c r="D486" t="inlineStr">
        <is>
          <t>Evidence for our faith / by Joseph H. Cavanaugh.</t>
        </is>
      </c>
      <c r="F486" t="inlineStr">
        <is>
          <t>No</t>
        </is>
      </c>
      <c r="G486" t="inlineStr">
        <is>
          <t>1</t>
        </is>
      </c>
      <c r="H486" t="inlineStr">
        <is>
          <t>No</t>
        </is>
      </c>
      <c r="I486" t="inlineStr">
        <is>
          <t>No</t>
        </is>
      </c>
      <c r="J486" t="inlineStr">
        <is>
          <t>0</t>
        </is>
      </c>
      <c r="K486" t="inlineStr">
        <is>
          <t>Cavanaugh, Joseph H.</t>
        </is>
      </c>
      <c r="L486" t="inlineStr">
        <is>
          <t>Notre Dame, Indiana, University of Notre Dame Press [c1952]</t>
        </is>
      </c>
      <c r="M486" t="inlineStr">
        <is>
          <t>1952</t>
        </is>
      </c>
      <c r="O486" t="inlineStr">
        <is>
          <t>eng</t>
        </is>
      </c>
      <c r="P486" t="inlineStr">
        <is>
          <t>___</t>
        </is>
      </c>
      <c r="Q486" t="inlineStr">
        <is>
          <t>University religion series</t>
        </is>
      </c>
      <c r="R486" t="inlineStr">
        <is>
          <t xml:space="preserve">BX </t>
        </is>
      </c>
      <c r="S486" t="n">
        <v>2</v>
      </c>
      <c r="T486" t="n">
        <v>2</v>
      </c>
      <c r="U486" t="inlineStr">
        <is>
          <t>2005-10-31</t>
        </is>
      </c>
      <c r="V486" t="inlineStr">
        <is>
          <t>2005-10-31</t>
        </is>
      </c>
      <c r="W486" t="inlineStr">
        <is>
          <t>1991-04-23</t>
        </is>
      </c>
      <c r="X486" t="inlineStr">
        <is>
          <t>1991-04-23</t>
        </is>
      </c>
      <c r="Y486" t="n">
        <v>111</v>
      </c>
      <c r="Z486" t="n">
        <v>101</v>
      </c>
      <c r="AA486" t="n">
        <v>238</v>
      </c>
      <c r="AB486" t="n">
        <v>1</v>
      </c>
      <c r="AC486" t="n">
        <v>4</v>
      </c>
      <c r="AD486" t="n">
        <v>14</v>
      </c>
      <c r="AE486" t="n">
        <v>29</v>
      </c>
      <c r="AF486" t="n">
        <v>6</v>
      </c>
      <c r="AG486" t="n">
        <v>10</v>
      </c>
      <c r="AH486" t="n">
        <v>3</v>
      </c>
      <c r="AI486" t="n">
        <v>7</v>
      </c>
      <c r="AJ486" t="n">
        <v>10</v>
      </c>
      <c r="AK486" t="n">
        <v>19</v>
      </c>
      <c r="AL486" t="n">
        <v>0</v>
      </c>
      <c r="AM486" t="n">
        <v>1</v>
      </c>
      <c r="AN486" t="n">
        <v>0</v>
      </c>
      <c r="AO486" t="n">
        <v>0</v>
      </c>
      <c r="AP486" t="inlineStr">
        <is>
          <t>No</t>
        </is>
      </c>
      <c r="AQ486" t="inlineStr">
        <is>
          <t>Yes</t>
        </is>
      </c>
      <c r="AR486">
        <f>HYPERLINK("http://catalog.hathitrust.org/Record/101872743","HathiTrust Record")</f>
        <v/>
      </c>
      <c r="AS486">
        <f>HYPERLINK("https://creighton-primo.hosted.exlibrisgroup.com/primo-explore/search?tab=default_tab&amp;search_scope=EVERYTHING&amp;vid=01CRU&amp;lang=en_US&amp;offset=0&amp;query=any,contains,991002932719702656","Catalog Record")</f>
        <v/>
      </c>
      <c r="AT486">
        <f>HYPERLINK("http://www.worldcat.org/oclc/531458","WorldCat Record")</f>
        <v/>
      </c>
      <c r="AU486" t="inlineStr">
        <is>
          <t>1545709:eng</t>
        </is>
      </c>
      <c r="AV486" t="inlineStr">
        <is>
          <t>531458</t>
        </is>
      </c>
      <c r="AW486" t="inlineStr">
        <is>
          <t>991002932719702656</t>
        </is>
      </c>
      <c r="AX486" t="inlineStr">
        <is>
          <t>991002932719702656</t>
        </is>
      </c>
      <c r="AY486" t="inlineStr">
        <is>
          <t>2262957020002656</t>
        </is>
      </c>
      <c r="AZ486" t="inlineStr">
        <is>
          <t>BOOK</t>
        </is>
      </c>
      <c r="BC486" t="inlineStr">
        <is>
          <t>32285000534676</t>
        </is>
      </c>
      <c r="BD486" t="inlineStr">
        <is>
          <t>893421968</t>
        </is>
      </c>
    </row>
    <row r="487">
      <c r="A487" t="inlineStr">
        <is>
          <t>No</t>
        </is>
      </c>
      <c r="B487" t="inlineStr">
        <is>
          <t>BX1751 .C7 1903</t>
        </is>
      </c>
      <c r="C487" t="inlineStr">
        <is>
          <t>0                      BX 1751000C  7           1903</t>
        </is>
      </c>
      <c r="D487" t="inlineStr">
        <is>
          <t>A systematic study of the Catholic religion / by Charles Coppens.</t>
        </is>
      </c>
      <c r="F487" t="inlineStr">
        <is>
          <t>No</t>
        </is>
      </c>
      <c r="G487" t="inlineStr">
        <is>
          <t>1</t>
        </is>
      </c>
      <c r="H487" t="inlineStr">
        <is>
          <t>No</t>
        </is>
      </c>
      <c r="I487" t="inlineStr">
        <is>
          <t>No</t>
        </is>
      </c>
      <c r="J487" t="inlineStr">
        <is>
          <t>0</t>
        </is>
      </c>
      <c r="K487" t="inlineStr">
        <is>
          <t>Coppens, Charles, 1835-1920.</t>
        </is>
      </c>
      <c r="L487" t="inlineStr">
        <is>
          <t>St. Louis, Mo. : B. Herder, 1903.</t>
        </is>
      </c>
      <c r="M487" t="inlineStr">
        <is>
          <t>1903</t>
        </is>
      </c>
      <c r="O487" t="inlineStr">
        <is>
          <t>eng</t>
        </is>
      </c>
      <c r="P487" t="inlineStr">
        <is>
          <t>mou</t>
        </is>
      </c>
      <c r="R487" t="inlineStr">
        <is>
          <t xml:space="preserve">BX </t>
        </is>
      </c>
      <c r="S487" t="n">
        <v>2</v>
      </c>
      <c r="T487" t="n">
        <v>2</v>
      </c>
      <c r="U487" t="inlineStr">
        <is>
          <t>2006-11-26</t>
        </is>
      </c>
      <c r="V487" t="inlineStr">
        <is>
          <t>2006-11-26</t>
        </is>
      </c>
      <c r="W487" t="inlineStr">
        <is>
          <t>2006-10-30</t>
        </is>
      </c>
      <c r="X487" t="inlineStr">
        <is>
          <t>2006-10-30</t>
        </is>
      </c>
      <c r="Y487" t="n">
        <v>56</v>
      </c>
      <c r="Z487" t="n">
        <v>55</v>
      </c>
      <c r="AA487" t="n">
        <v>56</v>
      </c>
      <c r="AB487" t="n">
        <v>2</v>
      </c>
      <c r="AC487" t="n">
        <v>2</v>
      </c>
      <c r="AD487" t="n">
        <v>13</v>
      </c>
      <c r="AE487" t="n">
        <v>13</v>
      </c>
      <c r="AF487" t="n">
        <v>3</v>
      </c>
      <c r="AG487" t="n">
        <v>3</v>
      </c>
      <c r="AH487" t="n">
        <v>4</v>
      </c>
      <c r="AI487" t="n">
        <v>4</v>
      </c>
      <c r="AJ487" t="n">
        <v>11</v>
      </c>
      <c r="AK487" t="n">
        <v>11</v>
      </c>
      <c r="AL487" t="n">
        <v>0</v>
      </c>
      <c r="AM487" t="n">
        <v>0</v>
      </c>
      <c r="AN487" t="n">
        <v>0</v>
      </c>
      <c r="AO487" t="n">
        <v>0</v>
      </c>
      <c r="AP487" t="inlineStr">
        <is>
          <t>No</t>
        </is>
      </c>
      <c r="AQ487" t="inlineStr">
        <is>
          <t>No</t>
        </is>
      </c>
      <c r="AS487">
        <f>HYPERLINK("https://creighton-primo.hosted.exlibrisgroup.com/primo-explore/search?tab=default_tab&amp;search_scope=EVERYTHING&amp;vid=01CRU&amp;lang=en_US&amp;offset=0&amp;query=any,contains,991004960909702656","Catalog Record")</f>
        <v/>
      </c>
      <c r="AT487">
        <f>HYPERLINK("http://www.worldcat.org/oclc/6523823","WorldCat Record")</f>
        <v/>
      </c>
      <c r="AU487" t="inlineStr">
        <is>
          <t>5578581314:eng</t>
        </is>
      </c>
      <c r="AV487" t="inlineStr">
        <is>
          <t>6523823</t>
        </is>
      </c>
      <c r="AW487" t="inlineStr">
        <is>
          <t>991004960909702656</t>
        </is>
      </c>
      <c r="AX487" t="inlineStr">
        <is>
          <t>991004960909702656</t>
        </is>
      </c>
      <c r="AY487" t="inlineStr">
        <is>
          <t>2259186390002656</t>
        </is>
      </c>
      <c r="AZ487" t="inlineStr">
        <is>
          <t>BOOK</t>
        </is>
      </c>
      <c r="BC487" t="inlineStr">
        <is>
          <t>32285005229983</t>
        </is>
      </c>
      <c r="BD487" t="inlineStr">
        <is>
          <t>893242025</t>
        </is>
      </c>
    </row>
    <row r="488">
      <c r="A488" t="inlineStr">
        <is>
          <t>No</t>
        </is>
      </c>
      <c r="B488" t="inlineStr">
        <is>
          <t>BX1751 .C8</t>
        </is>
      </c>
      <c r="C488" t="inlineStr">
        <is>
          <t>0                      BX 1751000C  8</t>
        </is>
      </c>
      <c r="D488" t="inlineStr">
        <is>
          <t>God and the supernatural : a Catholic statement of the Christian faith / ed. by Father Cuthber.</t>
        </is>
      </c>
      <c r="F488" t="inlineStr">
        <is>
          <t>No</t>
        </is>
      </c>
      <c r="G488" t="inlineStr">
        <is>
          <t>1</t>
        </is>
      </c>
      <c r="H488" t="inlineStr">
        <is>
          <t>No</t>
        </is>
      </c>
      <c r="I488" t="inlineStr">
        <is>
          <t>No</t>
        </is>
      </c>
      <c r="J488" t="inlineStr">
        <is>
          <t>0</t>
        </is>
      </c>
      <c r="K488" t="inlineStr">
        <is>
          <t>Cuthbert, Father, O.S.F.C., 1866-1939.</t>
        </is>
      </c>
      <c r="L488" t="inlineStr">
        <is>
          <t>London, New York [etc.] Longmans, Green and co., 1920.</t>
        </is>
      </c>
      <c r="M488" t="inlineStr">
        <is>
          <t>1920</t>
        </is>
      </c>
      <c r="O488" t="inlineStr">
        <is>
          <t>eng</t>
        </is>
      </c>
      <c r="P488" t="inlineStr">
        <is>
          <t>___</t>
        </is>
      </c>
      <c r="R488" t="inlineStr">
        <is>
          <t xml:space="preserve">BX </t>
        </is>
      </c>
      <c r="S488" t="n">
        <v>3</v>
      </c>
      <c r="T488" t="n">
        <v>3</v>
      </c>
      <c r="U488" t="inlineStr">
        <is>
          <t>2002-05-06</t>
        </is>
      </c>
      <c r="V488" t="inlineStr">
        <is>
          <t>2002-05-06</t>
        </is>
      </c>
      <c r="W488" t="inlineStr">
        <is>
          <t>1991-04-23</t>
        </is>
      </c>
      <c r="X488" t="inlineStr">
        <is>
          <t>1991-04-23</t>
        </is>
      </c>
      <c r="Y488" t="n">
        <v>118</v>
      </c>
      <c r="Z488" t="n">
        <v>89</v>
      </c>
      <c r="AA488" t="n">
        <v>243</v>
      </c>
      <c r="AB488" t="n">
        <v>1</v>
      </c>
      <c r="AC488" t="n">
        <v>2</v>
      </c>
      <c r="AD488" t="n">
        <v>14</v>
      </c>
      <c r="AE488" t="n">
        <v>29</v>
      </c>
      <c r="AF488" t="n">
        <v>3</v>
      </c>
      <c r="AG488" t="n">
        <v>12</v>
      </c>
      <c r="AH488" t="n">
        <v>3</v>
      </c>
      <c r="AI488" t="n">
        <v>6</v>
      </c>
      <c r="AJ488" t="n">
        <v>10</v>
      </c>
      <c r="AK488" t="n">
        <v>21</v>
      </c>
      <c r="AL488" t="n">
        <v>0</v>
      </c>
      <c r="AM488" t="n">
        <v>0</v>
      </c>
      <c r="AN488" t="n">
        <v>0</v>
      </c>
      <c r="AO488" t="n">
        <v>0</v>
      </c>
      <c r="AP488" t="inlineStr">
        <is>
          <t>Yes</t>
        </is>
      </c>
      <c r="AQ488" t="inlineStr">
        <is>
          <t>No</t>
        </is>
      </c>
      <c r="AR488">
        <f>HYPERLINK("http://catalog.hathitrust.org/Record/007647100","HathiTrust Record")</f>
        <v/>
      </c>
      <c r="AS488">
        <f>HYPERLINK("https://creighton-primo.hosted.exlibrisgroup.com/primo-explore/search?tab=default_tab&amp;search_scope=EVERYTHING&amp;vid=01CRU&amp;lang=en_US&amp;offset=0&amp;query=any,contains,991003757979702656","Catalog Record")</f>
        <v/>
      </c>
      <c r="AT488">
        <f>HYPERLINK("http://www.worldcat.org/oclc/1441409","WorldCat Record")</f>
        <v/>
      </c>
      <c r="AU488" t="inlineStr">
        <is>
          <t>2346997:eng</t>
        </is>
      </c>
      <c r="AV488" t="inlineStr">
        <is>
          <t>1441409</t>
        </is>
      </c>
      <c r="AW488" t="inlineStr">
        <is>
          <t>991003757979702656</t>
        </is>
      </c>
      <c r="AX488" t="inlineStr">
        <is>
          <t>991003757979702656</t>
        </is>
      </c>
      <c r="AY488" t="inlineStr">
        <is>
          <t>2257512880002656</t>
        </is>
      </c>
      <c r="AZ488" t="inlineStr">
        <is>
          <t>BOOK</t>
        </is>
      </c>
      <c r="BC488" t="inlineStr">
        <is>
          <t>32285000534692</t>
        </is>
      </c>
      <c r="BD488" t="inlineStr">
        <is>
          <t>893435395</t>
        </is>
      </c>
    </row>
    <row r="489">
      <c r="A489" t="inlineStr">
        <is>
          <t>No</t>
        </is>
      </c>
      <c r="B489" t="inlineStr">
        <is>
          <t>BX1751 .D51</t>
        </is>
      </c>
      <c r="C489" t="inlineStr">
        <is>
          <t>0                      BX 1751000D  51</t>
        </is>
      </c>
      <c r="D489" t="inlineStr">
        <is>
          <t>Christian apologetics : a defense of the Catholic faith / by Rev. W. Devivier, S.J., edited by the Rt. Rev. S.G. Messmer ...</t>
        </is>
      </c>
      <c r="F489" t="inlineStr">
        <is>
          <t>No</t>
        </is>
      </c>
      <c r="G489" t="inlineStr">
        <is>
          <t>1</t>
        </is>
      </c>
      <c r="H489" t="inlineStr">
        <is>
          <t>No</t>
        </is>
      </c>
      <c r="I489" t="inlineStr">
        <is>
          <t>No</t>
        </is>
      </c>
      <c r="J489" t="inlineStr">
        <is>
          <t>0</t>
        </is>
      </c>
      <c r="K489" t="inlineStr">
        <is>
          <t>Devivier, W. (Walter), 1833-1915.</t>
        </is>
      </c>
      <c r="L489" t="inlineStr">
        <is>
          <t>New York, Cincinnati [etc.] Benziger brothers [c1903]</t>
        </is>
      </c>
      <c r="M489" t="inlineStr">
        <is>
          <t>1903</t>
        </is>
      </c>
      <c r="O489" t="inlineStr">
        <is>
          <t>eng</t>
        </is>
      </c>
      <c r="P489" t="inlineStr">
        <is>
          <t>nyu</t>
        </is>
      </c>
      <c r="R489" t="inlineStr">
        <is>
          <t xml:space="preserve">BX </t>
        </is>
      </c>
      <c r="S489" t="n">
        <v>3</v>
      </c>
      <c r="T489" t="n">
        <v>3</v>
      </c>
      <c r="U489" t="inlineStr">
        <is>
          <t>2002-11-06</t>
        </is>
      </c>
      <c r="V489" t="inlineStr">
        <is>
          <t>2002-11-06</t>
        </is>
      </c>
      <c r="W489" t="inlineStr">
        <is>
          <t>1991-04-23</t>
        </is>
      </c>
      <c r="X489" t="inlineStr">
        <is>
          <t>1991-04-23</t>
        </is>
      </c>
      <c r="Y489" t="n">
        <v>102</v>
      </c>
      <c r="Z489" t="n">
        <v>94</v>
      </c>
      <c r="AA489" t="n">
        <v>121</v>
      </c>
      <c r="AB489" t="n">
        <v>3</v>
      </c>
      <c r="AC489" t="n">
        <v>4</v>
      </c>
      <c r="AD489" t="n">
        <v>14</v>
      </c>
      <c r="AE489" t="n">
        <v>15</v>
      </c>
      <c r="AF489" t="n">
        <v>1</v>
      </c>
      <c r="AG489" t="n">
        <v>1</v>
      </c>
      <c r="AH489" t="n">
        <v>4</v>
      </c>
      <c r="AI489" t="n">
        <v>4</v>
      </c>
      <c r="AJ489" t="n">
        <v>8</v>
      </c>
      <c r="AK489" t="n">
        <v>8</v>
      </c>
      <c r="AL489" t="n">
        <v>1</v>
      </c>
      <c r="AM489" t="n">
        <v>2</v>
      </c>
      <c r="AN489" t="n">
        <v>0</v>
      </c>
      <c r="AO489" t="n">
        <v>0</v>
      </c>
      <c r="AP489" t="inlineStr">
        <is>
          <t>Yes</t>
        </is>
      </c>
      <c r="AQ489" t="inlineStr">
        <is>
          <t>No</t>
        </is>
      </c>
      <c r="AR489">
        <f>HYPERLINK("http://catalog.hathitrust.org/Record/006632916","HathiTrust Record")</f>
        <v/>
      </c>
      <c r="AS489">
        <f>HYPERLINK("https://creighton-primo.hosted.exlibrisgroup.com/primo-explore/search?tab=default_tab&amp;search_scope=EVERYTHING&amp;vid=01CRU&amp;lang=en_US&amp;offset=0&amp;query=any,contains,991004996709702656","Catalog Record")</f>
        <v/>
      </c>
      <c r="AT489">
        <f>HYPERLINK("http://www.worldcat.org/oclc/6523950","WorldCat Record")</f>
        <v/>
      </c>
      <c r="AU489" t="inlineStr">
        <is>
          <t>4663594684:eng</t>
        </is>
      </c>
      <c r="AV489" t="inlineStr">
        <is>
          <t>6523950</t>
        </is>
      </c>
      <c r="AW489" t="inlineStr">
        <is>
          <t>991004996709702656</t>
        </is>
      </c>
      <c r="AX489" t="inlineStr">
        <is>
          <t>991004996709702656</t>
        </is>
      </c>
      <c r="AY489" t="inlineStr">
        <is>
          <t>2259193670002656</t>
        </is>
      </c>
      <c r="AZ489" t="inlineStr">
        <is>
          <t>BOOK</t>
        </is>
      </c>
      <c r="BC489" t="inlineStr">
        <is>
          <t>32285000534759</t>
        </is>
      </c>
      <c r="BD489" t="inlineStr">
        <is>
          <t>893418246</t>
        </is>
      </c>
    </row>
    <row r="490">
      <c r="A490" t="inlineStr">
        <is>
          <t>No</t>
        </is>
      </c>
      <c r="B490" t="inlineStr">
        <is>
          <t>BX1751 .D66</t>
        </is>
      </c>
      <c r="C490" t="inlineStr">
        <is>
          <t>0                      BX 1751000D  66</t>
        </is>
      </c>
      <c r="D490" t="inlineStr">
        <is>
          <t>A handbook of the Catholic faith : the triptych of the kingdom / by N. G. M. van Doornik, S. Jelsma [and] A. van de Lisdonk ; Edited by John Greenwood. Translated from the Dutch.</t>
        </is>
      </c>
      <c r="F490" t="inlineStr">
        <is>
          <t>No</t>
        </is>
      </c>
      <c r="G490" t="inlineStr">
        <is>
          <t>1</t>
        </is>
      </c>
      <c r="H490" t="inlineStr">
        <is>
          <t>No</t>
        </is>
      </c>
      <c r="I490" t="inlineStr">
        <is>
          <t>No</t>
        </is>
      </c>
      <c r="J490" t="inlineStr">
        <is>
          <t>0</t>
        </is>
      </c>
      <c r="K490" t="inlineStr">
        <is>
          <t>Doornik, N. G. M. van (Nicolaas Gerardus Maria)</t>
        </is>
      </c>
      <c r="L490" t="inlineStr">
        <is>
          <t>Garden City, N. Y. : Image Books, 1956.</t>
        </is>
      </c>
      <c r="M490" t="inlineStr">
        <is>
          <t>1956</t>
        </is>
      </c>
      <c r="O490" t="inlineStr">
        <is>
          <t>eng</t>
        </is>
      </c>
      <c r="P490" t="inlineStr">
        <is>
          <t>nyu</t>
        </is>
      </c>
      <c r="Q490" t="inlineStr">
        <is>
          <t>Image D38</t>
        </is>
      </c>
      <c r="R490" t="inlineStr">
        <is>
          <t xml:space="preserve">BX </t>
        </is>
      </c>
      <c r="S490" t="n">
        <v>3</v>
      </c>
      <c r="T490" t="n">
        <v>3</v>
      </c>
      <c r="U490" t="inlineStr">
        <is>
          <t>1995-03-23</t>
        </is>
      </c>
      <c r="V490" t="inlineStr">
        <is>
          <t>1995-03-23</t>
        </is>
      </c>
      <c r="W490" t="inlineStr">
        <is>
          <t>1991-04-23</t>
        </is>
      </c>
      <c r="X490" t="inlineStr">
        <is>
          <t>1991-04-23</t>
        </is>
      </c>
      <c r="Y490" t="n">
        <v>137</v>
      </c>
      <c r="Z490" t="n">
        <v>133</v>
      </c>
      <c r="AA490" t="n">
        <v>147</v>
      </c>
      <c r="AB490" t="n">
        <v>1</v>
      </c>
      <c r="AC490" t="n">
        <v>1</v>
      </c>
      <c r="AD490" t="n">
        <v>13</v>
      </c>
      <c r="AE490" t="n">
        <v>13</v>
      </c>
      <c r="AF490" t="n">
        <v>5</v>
      </c>
      <c r="AG490" t="n">
        <v>5</v>
      </c>
      <c r="AH490" t="n">
        <v>3</v>
      </c>
      <c r="AI490" t="n">
        <v>3</v>
      </c>
      <c r="AJ490" t="n">
        <v>8</v>
      </c>
      <c r="AK490" t="n">
        <v>8</v>
      </c>
      <c r="AL490" t="n">
        <v>0</v>
      </c>
      <c r="AM490" t="n">
        <v>0</v>
      </c>
      <c r="AN490" t="n">
        <v>0</v>
      </c>
      <c r="AO490" t="n">
        <v>0</v>
      </c>
      <c r="AP490" t="inlineStr">
        <is>
          <t>No</t>
        </is>
      </c>
      <c r="AQ490" t="inlineStr">
        <is>
          <t>No</t>
        </is>
      </c>
      <c r="AS490">
        <f>HYPERLINK("https://creighton-primo.hosted.exlibrisgroup.com/primo-explore/search?tab=default_tab&amp;search_scope=EVERYTHING&amp;vid=01CRU&amp;lang=en_US&amp;offset=0&amp;query=any,contains,991004331739702656","Catalog Record")</f>
        <v/>
      </c>
      <c r="AT490">
        <f>HYPERLINK("http://www.worldcat.org/oclc/3062728","WorldCat Record")</f>
        <v/>
      </c>
      <c r="AU490" t="inlineStr">
        <is>
          <t>4020199594:eng</t>
        </is>
      </c>
      <c r="AV490" t="inlineStr">
        <is>
          <t>3062728</t>
        </is>
      </c>
      <c r="AW490" t="inlineStr">
        <is>
          <t>991004331739702656</t>
        </is>
      </c>
      <c r="AX490" t="inlineStr">
        <is>
          <t>991004331739702656</t>
        </is>
      </c>
      <c r="AY490" t="inlineStr">
        <is>
          <t>2272533280002656</t>
        </is>
      </c>
      <c r="AZ490" t="inlineStr">
        <is>
          <t>BOOK</t>
        </is>
      </c>
      <c r="BC490" t="inlineStr">
        <is>
          <t>32285000534858</t>
        </is>
      </c>
      <c r="BD490" t="inlineStr">
        <is>
          <t>893343704</t>
        </is>
      </c>
    </row>
    <row r="491">
      <c r="A491" t="inlineStr">
        <is>
          <t>No</t>
        </is>
      </c>
      <c r="B491" t="inlineStr">
        <is>
          <t>BX1751 .F48</t>
        </is>
      </c>
      <c r="C491" t="inlineStr">
        <is>
          <t>0                      BX 1751000F  48</t>
        </is>
      </c>
      <c r="D491" t="inlineStr">
        <is>
          <t>Textbook in apologetics / Joseph H. Fichter.</t>
        </is>
      </c>
      <c r="F491" t="inlineStr">
        <is>
          <t>No</t>
        </is>
      </c>
      <c r="G491" t="inlineStr">
        <is>
          <t>1</t>
        </is>
      </c>
      <c r="H491" t="inlineStr">
        <is>
          <t>No</t>
        </is>
      </c>
      <c r="I491" t="inlineStr">
        <is>
          <t>No</t>
        </is>
      </c>
      <c r="J491" t="inlineStr">
        <is>
          <t>0</t>
        </is>
      </c>
      <c r="K491" t="inlineStr">
        <is>
          <t>Fichter, Joseph Henry, 1908-1994.</t>
        </is>
      </c>
      <c r="L491" t="inlineStr">
        <is>
          <t>Milwaukee, Bruce Pub. Co. [1947]</t>
        </is>
      </c>
      <c r="M491" t="inlineStr">
        <is>
          <t>1947</t>
        </is>
      </c>
      <c r="O491" t="inlineStr">
        <is>
          <t>eng</t>
        </is>
      </c>
      <c r="P491" t="inlineStr">
        <is>
          <t>___</t>
        </is>
      </c>
      <c r="R491" t="inlineStr">
        <is>
          <t xml:space="preserve">BX </t>
        </is>
      </c>
      <c r="S491" t="n">
        <v>1</v>
      </c>
      <c r="T491" t="n">
        <v>1</v>
      </c>
      <c r="U491" t="inlineStr">
        <is>
          <t>1994-06-02</t>
        </is>
      </c>
      <c r="V491" t="inlineStr">
        <is>
          <t>1994-06-02</t>
        </is>
      </c>
      <c r="W491" t="inlineStr">
        <is>
          <t>1991-04-23</t>
        </is>
      </c>
      <c r="X491" t="inlineStr">
        <is>
          <t>1991-04-23</t>
        </is>
      </c>
      <c r="Y491" t="n">
        <v>100</v>
      </c>
      <c r="Z491" t="n">
        <v>91</v>
      </c>
      <c r="AA491" t="n">
        <v>91</v>
      </c>
      <c r="AB491" t="n">
        <v>3</v>
      </c>
      <c r="AC491" t="n">
        <v>3</v>
      </c>
      <c r="AD491" t="n">
        <v>20</v>
      </c>
      <c r="AE491" t="n">
        <v>20</v>
      </c>
      <c r="AF491" t="n">
        <v>7</v>
      </c>
      <c r="AG491" t="n">
        <v>7</v>
      </c>
      <c r="AH491" t="n">
        <v>3</v>
      </c>
      <c r="AI491" t="n">
        <v>3</v>
      </c>
      <c r="AJ491" t="n">
        <v>17</v>
      </c>
      <c r="AK491" t="n">
        <v>17</v>
      </c>
      <c r="AL491" t="n">
        <v>0</v>
      </c>
      <c r="AM491" t="n">
        <v>0</v>
      </c>
      <c r="AN491" t="n">
        <v>0</v>
      </c>
      <c r="AO491" t="n">
        <v>0</v>
      </c>
      <c r="AP491" t="inlineStr">
        <is>
          <t>No</t>
        </is>
      </c>
      <c r="AQ491" t="inlineStr">
        <is>
          <t>No</t>
        </is>
      </c>
      <c r="AS491">
        <f>HYPERLINK("https://creighton-primo.hosted.exlibrisgroup.com/primo-explore/search?tab=default_tab&amp;search_scope=EVERYTHING&amp;vid=01CRU&amp;lang=en_US&amp;offset=0&amp;query=any,contains,991003561099702656","Catalog Record")</f>
        <v/>
      </c>
      <c r="AT491">
        <f>HYPERLINK("http://www.worldcat.org/oclc/1131628","WorldCat Record")</f>
        <v/>
      </c>
      <c r="AU491" t="inlineStr">
        <is>
          <t>1780618312:eng</t>
        </is>
      </c>
      <c r="AV491" t="inlineStr">
        <is>
          <t>1131628</t>
        </is>
      </c>
      <c r="AW491" t="inlineStr">
        <is>
          <t>991003561099702656</t>
        </is>
      </c>
      <c r="AX491" t="inlineStr">
        <is>
          <t>991003561099702656</t>
        </is>
      </c>
      <c r="AY491" t="inlineStr">
        <is>
          <t>2264981190002656</t>
        </is>
      </c>
      <c r="AZ491" t="inlineStr">
        <is>
          <t>BOOK</t>
        </is>
      </c>
      <c r="BC491" t="inlineStr">
        <is>
          <t>32285000534890</t>
        </is>
      </c>
      <c r="BD491" t="inlineStr">
        <is>
          <t>893258564</t>
        </is>
      </c>
    </row>
    <row r="492">
      <c r="A492" t="inlineStr">
        <is>
          <t>No</t>
        </is>
      </c>
      <c r="B492" t="inlineStr">
        <is>
          <t>BX1751 .H84 1965</t>
        </is>
      </c>
      <c r="C492" t="inlineStr">
        <is>
          <t>0                      BX 1751000H  84          1965</t>
        </is>
      </c>
      <c r="D492" t="inlineStr">
        <is>
          <t>The Catholic faith in practice.</t>
        </is>
      </c>
      <c r="F492" t="inlineStr">
        <is>
          <t>No</t>
        </is>
      </c>
      <c r="G492" t="inlineStr">
        <is>
          <t>1</t>
        </is>
      </c>
      <c r="H492" t="inlineStr">
        <is>
          <t>No</t>
        </is>
      </c>
      <c r="I492" t="inlineStr">
        <is>
          <t>No</t>
        </is>
      </c>
      <c r="J492" t="inlineStr">
        <is>
          <t>0</t>
        </is>
      </c>
      <c r="K492" t="inlineStr">
        <is>
          <t>Hughes, Philip, 1895-1967.</t>
        </is>
      </c>
      <c r="L492" t="inlineStr">
        <is>
          <t>Wilkes-Barre, Pa., Dimension Books [1965]</t>
        </is>
      </c>
      <c r="M492" t="inlineStr">
        <is>
          <t>1965</t>
        </is>
      </c>
      <c r="N492" t="inlineStr">
        <is>
          <t>[1st American ed.]</t>
        </is>
      </c>
      <c r="O492" t="inlineStr">
        <is>
          <t>eng</t>
        </is>
      </c>
      <c r="P492" t="inlineStr">
        <is>
          <t xml:space="preserve">xx </t>
        </is>
      </c>
      <c r="R492" t="inlineStr">
        <is>
          <t xml:space="preserve">BX </t>
        </is>
      </c>
      <c r="S492" t="n">
        <v>3</v>
      </c>
      <c r="T492" t="n">
        <v>3</v>
      </c>
      <c r="U492" t="inlineStr">
        <is>
          <t>1995-03-23</t>
        </is>
      </c>
      <c r="V492" t="inlineStr">
        <is>
          <t>1995-03-23</t>
        </is>
      </c>
      <c r="W492" t="inlineStr">
        <is>
          <t>1991-04-23</t>
        </is>
      </c>
      <c r="X492" t="inlineStr">
        <is>
          <t>1991-04-23</t>
        </is>
      </c>
      <c r="Y492" t="n">
        <v>98</v>
      </c>
      <c r="Z492" t="n">
        <v>94</v>
      </c>
      <c r="AA492" t="n">
        <v>94</v>
      </c>
      <c r="AB492" t="n">
        <v>2</v>
      </c>
      <c r="AC492" t="n">
        <v>2</v>
      </c>
      <c r="AD492" t="n">
        <v>13</v>
      </c>
      <c r="AE492" t="n">
        <v>13</v>
      </c>
      <c r="AF492" t="n">
        <v>1</v>
      </c>
      <c r="AG492" t="n">
        <v>1</v>
      </c>
      <c r="AH492" t="n">
        <v>4</v>
      </c>
      <c r="AI492" t="n">
        <v>4</v>
      </c>
      <c r="AJ492" t="n">
        <v>10</v>
      </c>
      <c r="AK492" t="n">
        <v>10</v>
      </c>
      <c r="AL492" t="n">
        <v>0</v>
      </c>
      <c r="AM492" t="n">
        <v>0</v>
      </c>
      <c r="AN492" t="n">
        <v>0</v>
      </c>
      <c r="AO492" t="n">
        <v>0</v>
      </c>
      <c r="AP492" t="inlineStr">
        <is>
          <t>No</t>
        </is>
      </c>
      <c r="AQ492" t="inlineStr">
        <is>
          <t>No</t>
        </is>
      </c>
      <c r="AS492">
        <f>HYPERLINK("https://creighton-primo.hosted.exlibrisgroup.com/primo-explore/search?tab=default_tab&amp;search_scope=EVERYTHING&amp;vid=01CRU&amp;lang=en_US&amp;offset=0&amp;query=any,contains,991003985369702656","Catalog Record")</f>
        <v/>
      </c>
      <c r="AT492">
        <f>HYPERLINK("http://www.worldcat.org/oclc/2029114","WorldCat Record")</f>
        <v/>
      </c>
      <c r="AU492" t="inlineStr">
        <is>
          <t>2750869:eng</t>
        </is>
      </c>
      <c r="AV492" t="inlineStr">
        <is>
          <t>2029114</t>
        </is>
      </c>
      <c r="AW492" t="inlineStr">
        <is>
          <t>991003985369702656</t>
        </is>
      </c>
      <c r="AX492" t="inlineStr">
        <is>
          <t>991003985369702656</t>
        </is>
      </c>
      <c r="AY492" t="inlineStr">
        <is>
          <t>2266531950002656</t>
        </is>
      </c>
      <c r="AZ492" t="inlineStr">
        <is>
          <t>BOOK</t>
        </is>
      </c>
      <c r="BC492" t="inlineStr">
        <is>
          <t>32285000534981</t>
        </is>
      </c>
      <c r="BD492" t="inlineStr">
        <is>
          <t>893318660</t>
        </is>
      </c>
    </row>
    <row r="493">
      <c r="A493" t="inlineStr">
        <is>
          <t>No</t>
        </is>
      </c>
      <c r="B493" t="inlineStr">
        <is>
          <t>BX1751 .K68 2000</t>
        </is>
      </c>
      <c r="C493" t="inlineStr">
        <is>
          <t>0                      BX 1751000K  68          2000</t>
        </is>
      </c>
      <c r="D493" t="inlineStr">
        <is>
          <t>The belief of Catholics / Ronald Knox.</t>
        </is>
      </c>
      <c r="F493" t="inlineStr">
        <is>
          <t>No</t>
        </is>
      </c>
      <c r="G493" t="inlineStr">
        <is>
          <t>1</t>
        </is>
      </c>
      <c r="H493" t="inlineStr">
        <is>
          <t>No</t>
        </is>
      </c>
      <c r="I493" t="inlineStr">
        <is>
          <t>No</t>
        </is>
      </c>
      <c r="J493" t="inlineStr">
        <is>
          <t>0</t>
        </is>
      </c>
      <c r="K493" t="inlineStr">
        <is>
          <t>Knox, Ronald Arbuthnott, 1888-1957.</t>
        </is>
      </c>
      <c r="L493" t="inlineStr">
        <is>
          <t>San Francisco, CA. : Ignatius Press, 2000.</t>
        </is>
      </c>
      <c r="M493" t="inlineStr">
        <is>
          <t>2000</t>
        </is>
      </c>
      <c r="O493" t="inlineStr">
        <is>
          <t>eng</t>
        </is>
      </c>
      <c r="P493" t="inlineStr">
        <is>
          <t>cau</t>
        </is>
      </c>
      <c r="R493" t="inlineStr">
        <is>
          <t xml:space="preserve">BX </t>
        </is>
      </c>
      <c r="S493" t="n">
        <v>5</v>
      </c>
      <c r="T493" t="n">
        <v>5</v>
      </c>
      <c r="U493" t="inlineStr">
        <is>
          <t>2004-08-23</t>
        </is>
      </c>
      <c r="V493" t="inlineStr">
        <is>
          <t>2004-08-23</t>
        </is>
      </c>
      <c r="W493" t="inlineStr">
        <is>
          <t>2001-01-09</t>
        </is>
      </c>
      <c r="X493" t="inlineStr">
        <is>
          <t>2001-01-09</t>
        </is>
      </c>
      <c r="Y493" t="n">
        <v>74</v>
      </c>
      <c r="Z493" t="n">
        <v>66</v>
      </c>
      <c r="AA493" t="n">
        <v>485</v>
      </c>
      <c r="AB493" t="n">
        <v>2</v>
      </c>
      <c r="AC493" t="n">
        <v>6</v>
      </c>
      <c r="AD493" t="n">
        <v>5</v>
      </c>
      <c r="AE493" t="n">
        <v>43</v>
      </c>
      <c r="AF493" t="n">
        <v>3</v>
      </c>
      <c r="AG493" t="n">
        <v>17</v>
      </c>
      <c r="AH493" t="n">
        <v>1</v>
      </c>
      <c r="AI493" t="n">
        <v>10</v>
      </c>
      <c r="AJ493" t="n">
        <v>2</v>
      </c>
      <c r="AK493" t="n">
        <v>25</v>
      </c>
      <c r="AL493" t="n">
        <v>0</v>
      </c>
      <c r="AM493" t="n">
        <v>3</v>
      </c>
      <c r="AN493" t="n">
        <v>0</v>
      </c>
      <c r="AO493" t="n">
        <v>0</v>
      </c>
      <c r="AP493" t="inlineStr">
        <is>
          <t>No</t>
        </is>
      </c>
      <c r="AQ493" t="inlineStr">
        <is>
          <t>No</t>
        </is>
      </c>
      <c r="AS493">
        <f>HYPERLINK("https://creighton-primo.hosted.exlibrisgroup.com/primo-explore/search?tab=default_tab&amp;search_scope=EVERYTHING&amp;vid=01CRU&amp;lang=en_US&amp;offset=0&amp;query=any,contains,991003359069702656","Catalog Record")</f>
        <v/>
      </c>
      <c r="AT493">
        <f>HYPERLINK("http://www.worldcat.org/oclc/45076024","WorldCat Record")</f>
        <v/>
      </c>
      <c r="AU493" t="inlineStr">
        <is>
          <t>2314343:eng</t>
        </is>
      </c>
      <c r="AV493" t="inlineStr">
        <is>
          <t>45076024</t>
        </is>
      </c>
      <c r="AW493" t="inlineStr">
        <is>
          <t>991003359069702656</t>
        </is>
      </c>
      <c r="AX493" t="inlineStr">
        <is>
          <t>991003359069702656</t>
        </is>
      </c>
      <c r="AY493" t="inlineStr">
        <is>
          <t>2271585980002656</t>
        </is>
      </c>
      <c r="AZ493" t="inlineStr">
        <is>
          <t>BOOK</t>
        </is>
      </c>
      <c r="BB493" t="inlineStr">
        <is>
          <t>9780898705867</t>
        </is>
      </c>
      <c r="BC493" t="inlineStr">
        <is>
          <t>32285004281613</t>
        </is>
      </c>
      <c r="BD493" t="inlineStr">
        <is>
          <t>893692657</t>
        </is>
      </c>
    </row>
    <row r="494">
      <c r="A494" t="inlineStr">
        <is>
          <t>No</t>
        </is>
      </c>
      <c r="B494" t="inlineStr">
        <is>
          <t>BX1751 .K692</t>
        </is>
      </c>
      <c r="C494" t="inlineStr">
        <is>
          <t>0                      BX 1751000K  692</t>
        </is>
      </c>
      <c r="D494" t="inlineStr">
        <is>
          <t>The hidden stream / by Ronald A. Knox.</t>
        </is>
      </c>
      <c r="F494" t="inlineStr">
        <is>
          <t>No</t>
        </is>
      </c>
      <c r="G494" t="inlineStr">
        <is>
          <t>1</t>
        </is>
      </c>
      <c r="H494" t="inlineStr">
        <is>
          <t>No</t>
        </is>
      </c>
      <c r="I494" t="inlineStr">
        <is>
          <t>No</t>
        </is>
      </c>
      <c r="J494" t="inlineStr">
        <is>
          <t>0</t>
        </is>
      </c>
      <c r="K494" t="inlineStr">
        <is>
          <t>Knox, Ronald Arbuthnott, 1888-1957.</t>
        </is>
      </c>
      <c r="L494" t="inlineStr">
        <is>
          <t>New York, Sheed &amp; Ward, 1953.</t>
        </is>
      </c>
      <c r="M494" t="inlineStr">
        <is>
          <t>1953</t>
        </is>
      </c>
      <c r="O494" t="inlineStr">
        <is>
          <t>eng</t>
        </is>
      </c>
      <c r="P494" t="inlineStr">
        <is>
          <t>nyu</t>
        </is>
      </c>
      <c r="R494" t="inlineStr">
        <is>
          <t xml:space="preserve">BX </t>
        </is>
      </c>
      <c r="S494" t="n">
        <v>1</v>
      </c>
      <c r="T494" t="n">
        <v>1</v>
      </c>
      <c r="U494" t="inlineStr">
        <is>
          <t>2008-07-09</t>
        </is>
      </c>
      <c r="V494" t="inlineStr">
        <is>
          <t>2008-07-09</t>
        </is>
      </c>
      <c r="W494" t="inlineStr">
        <is>
          <t>1991-04-24</t>
        </is>
      </c>
      <c r="X494" t="inlineStr">
        <is>
          <t>1991-04-24</t>
        </is>
      </c>
      <c r="Y494" t="n">
        <v>276</v>
      </c>
      <c r="Z494" t="n">
        <v>261</v>
      </c>
      <c r="AA494" t="n">
        <v>335</v>
      </c>
      <c r="AB494" t="n">
        <v>3</v>
      </c>
      <c r="AC494" t="n">
        <v>3</v>
      </c>
      <c r="AD494" t="n">
        <v>29</v>
      </c>
      <c r="AE494" t="n">
        <v>33</v>
      </c>
      <c r="AF494" t="n">
        <v>9</v>
      </c>
      <c r="AG494" t="n">
        <v>11</v>
      </c>
      <c r="AH494" t="n">
        <v>10</v>
      </c>
      <c r="AI494" t="n">
        <v>10</v>
      </c>
      <c r="AJ494" t="n">
        <v>21</v>
      </c>
      <c r="AK494" t="n">
        <v>24</v>
      </c>
      <c r="AL494" t="n">
        <v>1</v>
      </c>
      <c r="AM494" t="n">
        <v>1</v>
      </c>
      <c r="AN494" t="n">
        <v>0</v>
      </c>
      <c r="AO494" t="n">
        <v>0</v>
      </c>
      <c r="AP494" t="inlineStr">
        <is>
          <t>No</t>
        </is>
      </c>
      <c r="AQ494" t="inlineStr">
        <is>
          <t>No</t>
        </is>
      </c>
      <c r="AR494">
        <f>HYPERLINK("http://catalog.hathitrust.org/Record/010014374","HathiTrust Record")</f>
        <v/>
      </c>
      <c r="AS494">
        <f>HYPERLINK("https://creighton-primo.hosted.exlibrisgroup.com/primo-explore/search?tab=default_tab&amp;search_scope=EVERYTHING&amp;vid=01CRU&amp;lang=en_US&amp;offset=0&amp;query=any,contains,991002652369702656","Catalog Record")</f>
        <v/>
      </c>
      <c r="AT494">
        <f>HYPERLINK("http://www.worldcat.org/oclc/387452","WorldCat Record")</f>
        <v/>
      </c>
      <c r="AU494" t="inlineStr">
        <is>
          <t>2864294195:eng</t>
        </is>
      </c>
      <c r="AV494" t="inlineStr">
        <is>
          <t>387452</t>
        </is>
      </c>
      <c r="AW494" t="inlineStr">
        <is>
          <t>991002652369702656</t>
        </is>
      </c>
      <c r="AX494" t="inlineStr">
        <is>
          <t>991002652369702656</t>
        </is>
      </c>
      <c r="AY494" t="inlineStr">
        <is>
          <t>2258154420002656</t>
        </is>
      </c>
      <c r="AZ494" t="inlineStr">
        <is>
          <t>BOOK</t>
        </is>
      </c>
      <c r="BC494" t="inlineStr">
        <is>
          <t>32285000605104</t>
        </is>
      </c>
      <c r="BD494" t="inlineStr">
        <is>
          <t>893323187</t>
        </is>
      </c>
    </row>
    <row r="495">
      <c r="A495" t="inlineStr">
        <is>
          <t>No</t>
        </is>
      </c>
      <c r="B495" t="inlineStr">
        <is>
          <t>BX1751 .K72 1937</t>
        </is>
      </c>
      <c r="C495" t="inlineStr">
        <is>
          <t>0                      BX 1751000K  72          1937</t>
        </is>
      </c>
      <c r="D495" t="inlineStr">
        <is>
          <t>God, man and the universe : an answer to the godless / edited by Ivan Kologriwof, S. J., English translation edited by Aloysius Ambruzzi, S. J.</t>
        </is>
      </c>
      <c r="F495" t="inlineStr">
        <is>
          <t>No</t>
        </is>
      </c>
      <c r="G495" t="inlineStr">
        <is>
          <t>1</t>
        </is>
      </c>
      <c r="H495" t="inlineStr">
        <is>
          <t>No</t>
        </is>
      </c>
      <c r="I495" t="inlineStr">
        <is>
          <t>No</t>
        </is>
      </c>
      <c r="J495" t="inlineStr">
        <is>
          <t>0</t>
        </is>
      </c>
      <c r="K495" t="inlineStr">
        <is>
          <t>Kologrivov, Ivan, 1890-1955, editor.</t>
        </is>
      </c>
      <c r="L495" t="inlineStr">
        <is>
          <t>London, G. E. J. Coldwell, ltd., 1937.</t>
        </is>
      </c>
      <c r="M495" t="inlineStr">
        <is>
          <t>1937</t>
        </is>
      </c>
      <c r="O495" t="inlineStr">
        <is>
          <t>eng</t>
        </is>
      </c>
      <c r="P495" t="inlineStr">
        <is>
          <t>enk</t>
        </is>
      </c>
      <c r="R495" t="inlineStr">
        <is>
          <t xml:space="preserve">BX </t>
        </is>
      </c>
      <c r="S495" t="n">
        <v>7</v>
      </c>
      <c r="T495" t="n">
        <v>7</v>
      </c>
      <c r="U495" t="inlineStr">
        <is>
          <t>1997-05-21</t>
        </is>
      </c>
      <c r="V495" t="inlineStr">
        <is>
          <t>1997-05-21</t>
        </is>
      </c>
      <c r="W495" t="inlineStr">
        <is>
          <t>1991-04-24</t>
        </is>
      </c>
      <c r="X495" t="inlineStr">
        <is>
          <t>1991-04-24</t>
        </is>
      </c>
      <c r="Y495" t="n">
        <v>34</v>
      </c>
      <c r="Z495" t="n">
        <v>27</v>
      </c>
      <c r="AA495" t="n">
        <v>32</v>
      </c>
      <c r="AB495" t="n">
        <v>1</v>
      </c>
      <c r="AC495" t="n">
        <v>1</v>
      </c>
      <c r="AD495" t="n">
        <v>10</v>
      </c>
      <c r="AE495" t="n">
        <v>10</v>
      </c>
      <c r="AF495" t="n">
        <v>2</v>
      </c>
      <c r="AG495" t="n">
        <v>2</v>
      </c>
      <c r="AH495" t="n">
        <v>3</v>
      </c>
      <c r="AI495" t="n">
        <v>3</v>
      </c>
      <c r="AJ495" t="n">
        <v>9</v>
      </c>
      <c r="AK495" t="n">
        <v>9</v>
      </c>
      <c r="AL495" t="n">
        <v>0</v>
      </c>
      <c r="AM495" t="n">
        <v>0</v>
      </c>
      <c r="AN495" t="n">
        <v>0</v>
      </c>
      <c r="AO495" t="n">
        <v>0</v>
      </c>
      <c r="AP495" t="inlineStr">
        <is>
          <t>No</t>
        </is>
      </c>
      <c r="AQ495" t="inlineStr">
        <is>
          <t>No</t>
        </is>
      </c>
      <c r="AS495">
        <f>HYPERLINK("https://creighton-primo.hosted.exlibrisgroup.com/primo-explore/search?tab=default_tab&amp;search_scope=EVERYTHING&amp;vid=01CRU&amp;lang=en_US&amp;offset=0&amp;query=any,contains,991005014649702656","Catalog Record")</f>
        <v/>
      </c>
      <c r="AT495">
        <f>HYPERLINK("http://www.worldcat.org/oclc/6620976","WorldCat Record")</f>
        <v/>
      </c>
      <c r="AU495" t="inlineStr">
        <is>
          <t>1060453604:eng</t>
        </is>
      </c>
      <c r="AV495" t="inlineStr">
        <is>
          <t>6620976</t>
        </is>
      </c>
      <c r="AW495" t="inlineStr">
        <is>
          <t>991005014649702656</t>
        </is>
      </c>
      <c r="AX495" t="inlineStr">
        <is>
          <t>991005014649702656</t>
        </is>
      </c>
      <c r="AY495" t="inlineStr">
        <is>
          <t>2264121400002656</t>
        </is>
      </c>
      <c r="AZ495" t="inlineStr">
        <is>
          <t>BOOK</t>
        </is>
      </c>
      <c r="BC495" t="inlineStr">
        <is>
          <t>32285000605120</t>
        </is>
      </c>
      <c r="BD495" t="inlineStr">
        <is>
          <t>893536308</t>
        </is>
      </c>
    </row>
    <row r="496">
      <c r="A496" t="inlineStr">
        <is>
          <t>No</t>
        </is>
      </c>
      <c r="B496" t="inlineStr">
        <is>
          <t>BX1751 .L73</t>
        </is>
      </c>
      <c r="C496" t="inlineStr">
        <is>
          <t>0                      BX 1751000L  73</t>
        </is>
      </c>
      <c r="D496" t="inlineStr">
        <is>
          <t>The truth of the Catholic religion : an explanation of its fundamental doctrines and of the essential points of difference between Catholic and Protestant belief / by James Linden, S. J.</t>
        </is>
      </c>
      <c r="F496" t="inlineStr">
        <is>
          <t>No</t>
        </is>
      </c>
      <c r="G496" t="inlineStr">
        <is>
          <t>1</t>
        </is>
      </c>
      <c r="H496" t="inlineStr">
        <is>
          <t>No</t>
        </is>
      </c>
      <c r="I496" t="inlineStr">
        <is>
          <t>No</t>
        </is>
      </c>
      <c r="J496" t="inlineStr">
        <is>
          <t>0</t>
        </is>
      </c>
      <c r="K496" t="inlineStr">
        <is>
          <t>Linden, Jakob, 1853-1915.</t>
        </is>
      </c>
      <c r="L496" t="inlineStr">
        <is>
          <t>St. Louis, Mo., and London, B. Herder book co., 1923.</t>
        </is>
      </c>
      <c r="M496" t="inlineStr">
        <is>
          <t>1923</t>
        </is>
      </c>
      <c r="O496" t="inlineStr">
        <is>
          <t>eng</t>
        </is>
      </c>
      <c r="P496" t="inlineStr">
        <is>
          <t>___</t>
        </is>
      </c>
      <c r="R496" t="inlineStr">
        <is>
          <t xml:space="preserve">BX </t>
        </is>
      </c>
      <c r="S496" t="n">
        <v>5</v>
      </c>
      <c r="T496" t="n">
        <v>5</v>
      </c>
      <c r="U496" t="inlineStr">
        <is>
          <t>1996-01-17</t>
        </is>
      </c>
      <c r="V496" t="inlineStr">
        <is>
          <t>1996-01-17</t>
        </is>
      </c>
      <c r="W496" t="inlineStr">
        <is>
          <t>1991-04-24</t>
        </is>
      </c>
      <c r="X496" t="inlineStr">
        <is>
          <t>1991-04-24</t>
        </is>
      </c>
      <c r="Y496" t="n">
        <v>26</v>
      </c>
      <c r="Z496" t="n">
        <v>26</v>
      </c>
      <c r="AA496" t="n">
        <v>35</v>
      </c>
      <c r="AB496" t="n">
        <v>1</v>
      </c>
      <c r="AC496" t="n">
        <v>1</v>
      </c>
      <c r="AD496" t="n">
        <v>7</v>
      </c>
      <c r="AE496" t="n">
        <v>9</v>
      </c>
      <c r="AF496" t="n">
        <v>1</v>
      </c>
      <c r="AG496" t="n">
        <v>2</v>
      </c>
      <c r="AH496" t="n">
        <v>2</v>
      </c>
      <c r="AI496" t="n">
        <v>2</v>
      </c>
      <c r="AJ496" t="n">
        <v>6</v>
      </c>
      <c r="AK496" t="n">
        <v>8</v>
      </c>
      <c r="AL496" t="n">
        <v>0</v>
      </c>
      <c r="AM496" t="n">
        <v>0</v>
      </c>
      <c r="AN496" t="n">
        <v>0</v>
      </c>
      <c r="AO496" t="n">
        <v>0</v>
      </c>
      <c r="AP496" t="inlineStr">
        <is>
          <t>No</t>
        </is>
      </c>
      <c r="AQ496" t="inlineStr">
        <is>
          <t>No</t>
        </is>
      </c>
      <c r="AS496">
        <f>HYPERLINK("https://creighton-primo.hosted.exlibrisgroup.com/primo-explore/search?tab=default_tab&amp;search_scope=EVERYTHING&amp;vid=01CRU&amp;lang=en_US&amp;offset=0&amp;query=any,contains,991003308969702656","Catalog Record")</f>
        <v/>
      </c>
      <c r="AT496">
        <f>HYPERLINK("http://www.worldcat.org/oclc/832606","WorldCat Record")</f>
        <v/>
      </c>
      <c r="AU496" t="inlineStr">
        <is>
          <t>1747170:eng</t>
        </is>
      </c>
      <c r="AV496" t="inlineStr">
        <is>
          <t>832606</t>
        </is>
      </c>
      <c r="AW496" t="inlineStr">
        <is>
          <t>991003308969702656</t>
        </is>
      </c>
      <c r="AX496" t="inlineStr">
        <is>
          <t>991003308969702656</t>
        </is>
      </c>
      <c r="AY496" t="inlineStr">
        <is>
          <t>2272382000002656</t>
        </is>
      </c>
      <c r="AZ496" t="inlineStr">
        <is>
          <t>BOOK</t>
        </is>
      </c>
      <c r="BC496" t="inlineStr">
        <is>
          <t>32285000605153</t>
        </is>
      </c>
      <c r="BD496" t="inlineStr">
        <is>
          <t>893799589</t>
        </is>
      </c>
    </row>
    <row r="497">
      <c r="A497" t="inlineStr">
        <is>
          <t>No</t>
        </is>
      </c>
      <c r="B497" t="inlineStr">
        <is>
          <t>BX1751 .L9333</t>
        </is>
      </c>
      <c r="C497" t="inlineStr">
        <is>
          <t>0                      BX 1751000L  9333</t>
        </is>
      </c>
      <c r="D497" t="inlineStr">
        <is>
          <t>The Catholic and his church / by Henri de Lubac.</t>
        </is>
      </c>
      <c r="F497" t="inlineStr">
        <is>
          <t>No</t>
        </is>
      </c>
      <c r="G497" t="inlineStr">
        <is>
          <t>1</t>
        </is>
      </c>
      <c r="H497" t="inlineStr">
        <is>
          <t>No</t>
        </is>
      </c>
      <c r="I497" t="inlineStr">
        <is>
          <t>No</t>
        </is>
      </c>
      <c r="J497" t="inlineStr">
        <is>
          <t>0</t>
        </is>
      </c>
      <c r="K497" t="inlineStr">
        <is>
          <t>Lubac, Henri de, 1896-1991.</t>
        </is>
      </c>
      <c r="L497" t="inlineStr">
        <is>
          <t>New York : Sheed and Ward, c1956.</t>
        </is>
      </c>
      <c r="M497" t="inlineStr">
        <is>
          <t>1956</t>
        </is>
      </c>
      <c r="O497" t="inlineStr">
        <is>
          <t>eng</t>
        </is>
      </c>
      <c r="P497" t="inlineStr">
        <is>
          <t>nyu</t>
        </is>
      </c>
      <c r="Q497" t="inlineStr">
        <is>
          <t>Canterbury books</t>
        </is>
      </c>
      <c r="R497" t="inlineStr">
        <is>
          <t xml:space="preserve">BX </t>
        </is>
      </c>
      <c r="S497" t="n">
        <v>5</v>
      </c>
      <c r="T497" t="n">
        <v>5</v>
      </c>
      <c r="U497" t="inlineStr">
        <is>
          <t>2006-12-06</t>
        </is>
      </c>
      <c r="V497" t="inlineStr">
        <is>
          <t>2006-12-06</t>
        </is>
      </c>
      <c r="W497" t="inlineStr">
        <is>
          <t>1991-04-24</t>
        </is>
      </c>
      <c r="X497" t="inlineStr">
        <is>
          <t>1991-04-24</t>
        </is>
      </c>
      <c r="Y497" t="n">
        <v>112</v>
      </c>
      <c r="Z497" t="n">
        <v>104</v>
      </c>
      <c r="AA497" t="n">
        <v>107</v>
      </c>
      <c r="AB497" t="n">
        <v>1</v>
      </c>
      <c r="AC497" t="n">
        <v>1</v>
      </c>
      <c r="AD497" t="n">
        <v>15</v>
      </c>
      <c r="AE497" t="n">
        <v>15</v>
      </c>
      <c r="AF497" t="n">
        <v>3</v>
      </c>
      <c r="AG497" t="n">
        <v>3</v>
      </c>
      <c r="AH497" t="n">
        <v>6</v>
      </c>
      <c r="AI497" t="n">
        <v>6</v>
      </c>
      <c r="AJ497" t="n">
        <v>11</v>
      </c>
      <c r="AK497" t="n">
        <v>11</v>
      </c>
      <c r="AL497" t="n">
        <v>0</v>
      </c>
      <c r="AM497" t="n">
        <v>0</v>
      </c>
      <c r="AN497" t="n">
        <v>0</v>
      </c>
      <c r="AO497" t="n">
        <v>0</v>
      </c>
      <c r="AP497" t="inlineStr">
        <is>
          <t>No</t>
        </is>
      </c>
      <c r="AQ497" t="inlineStr">
        <is>
          <t>Yes</t>
        </is>
      </c>
      <c r="AR497">
        <f>HYPERLINK("http://catalog.hathitrust.org/Record/001931040","HathiTrust Record")</f>
        <v/>
      </c>
      <c r="AS497">
        <f>HYPERLINK("https://creighton-primo.hosted.exlibrisgroup.com/primo-explore/search?tab=default_tab&amp;search_scope=EVERYTHING&amp;vid=01CRU&amp;lang=en_US&amp;offset=0&amp;query=any,contains,991004679549702656","Catalog Record")</f>
        <v/>
      </c>
      <c r="AT497">
        <f>HYPERLINK("http://www.worldcat.org/oclc/4554421","WorldCat Record")</f>
        <v/>
      </c>
      <c r="AU497" t="inlineStr">
        <is>
          <t>14791066:eng</t>
        </is>
      </c>
      <c r="AV497" t="inlineStr">
        <is>
          <t>4554421</t>
        </is>
      </c>
      <c r="AW497" t="inlineStr">
        <is>
          <t>991004679549702656</t>
        </is>
      </c>
      <c r="AX497" t="inlineStr">
        <is>
          <t>991004679549702656</t>
        </is>
      </c>
      <c r="AY497" t="inlineStr">
        <is>
          <t>2257883900002656</t>
        </is>
      </c>
      <c r="AZ497" t="inlineStr">
        <is>
          <t>BOOK</t>
        </is>
      </c>
      <c r="BC497" t="inlineStr">
        <is>
          <t>32285000605187</t>
        </is>
      </c>
      <c r="BD497" t="inlineStr">
        <is>
          <t>893612635</t>
        </is>
      </c>
    </row>
    <row r="498">
      <c r="A498" t="inlineStr">
        <is>
          <t>No</t>
        </is>
      </c>
      <c r="B498" t="inlineStr">
        <is>
          <t>BX1751 .M62</t>
        </is>
      </c>
      <c r="C498" t="inlineStr">
        <is>
          <t>0                      BX 1751000M  62</t>
        </is>
      </c>
      <c r="D498" t="inlineStr">
        <is>
          <t>I also send you : Christ and His church / by Thomas H. Moore.</t>
        </is>
      </c>
      <c r="F498" t="inlineStr">
        <is>
          <t>No</t>
        </is>
      </c>
      <c r="G498" t="inlineStr">
        <is>
          <t>1</t>
        </is>
      </c>
      <c r="H498" t="inlineStr">
        <is>
          <t>No</t>
        </is>
      </c>
      <c r="I498" t="inlineStr">
        <is>
          <t>No</t>
        </is>
      </c>
      <c r="J498" t="inlineStr">
        <is>
          <t>0</t>
        </is>
      </c>
      <c r="K498" t="inlineStr">
        <is>
          <t>Moore, Thomas H. (Thomas Hendrick), 1898-</t>
        </is>
      </c>
      <c r="L498" t="inlineStr">
        <is>
          <t>New York, Fordham University Press [c1937]</t>
        </is>
      </c>
      <c r="M498" t="inlineStr">
        <is>
          <t>1937</t>
        </is>
      </c>
      <c r="O498" t="inlineStr">
        <is>
          <t>eng</t>
        </is>
      </c>
      <c r="P498" t="inlineStr">
        <is>
          <t>___</t>
        </is>
      </c>
      <c r="R498" t="inlineStr">
        <is>
          <t xml:space="preserve">BX </t>
        </is>
      </c>
      <c r="S498" t="n">
        <v>1</v>
      </c>
      <c r="T498" t="n">
        <v>1</v>
      </c>
      <c r="U498" t="inlineStr">
        <is>
          <t>2001-10-30</t>
        </is>
      </c>
      <c r="V498" t="inlineStr">
        <is>
          <t>2001-10-30</t>
        </is>
      </c>
      <c r="W498" t="inlineStr">
        <is>
          <t>1991-04-24</t>
        </is>
      </c>
      <c r="X498" t="inlineStr">
        <is>
          <t>1991-04-24</t>
        </is>
      </c>
      <c r="Y498" t="n">
        <v>48</v>
      </c>
      <c r="Z498" t="n">
        <v>46</v>
      </c>
      <c r="AA498" t="n">
        <v>52</v>
      </c>
      <c r="AB498" t="n">
        <v>1</v>
      </c>
      <c r="AC498" t="n">
        <v>1</v>
      </c>
      <c r="AD498" t="n">
        <v>20</v>
      </c>
      <c r="AE498" t="n">
        <v>20</v>
      </c>
      <c r="AF498" t="n">
        <v>6</v>
      </c>
      <c r="AG498" t="n">
        <v>6</v>
      </c>
      <c r="AH498" t="n">
        <v>4</v>
      </c>
      <c r="AI498" t="n">
        <v>4</v>
      </c>
      <c r="AJ498" t="n">
        <v>19</v>
      </c>
      <c r="AK498" t="n">
        <v>19</v>
      </c>
      <c r="AL498" t="n">
        <v>0</v>
      </c>
      <c r="AM498" t="n">
        <v>0</v>
      </c>
      <c r="AN498" t="n">
        <v>0</v>
      </c>
      <c r="AO498" t="n">
        <v>0</v>
      </c>
      <c r="AP498" t="inlineStr">
        <is>
          <t>No</t>
        </is>
      </c>
      <c r="AQ498" t="inlineStr">
        <is>
          <t>No</t>
        </is>
      </c>
      <c r="AS498">
        <f>HYPERLINK("https://creighton-primo.hosted.exlibrisgroup.com/primo-explore/search?tab=default_tab&amp;search_scope=EVERYTHING&amp;vid=01CRU&amp;lang=en_US&amp;offset=0&amp;query=any,contains,991003477219702656","Catalog Record")</f>
        <v/>
      </c>
      <c r="AT498">
        <f>HYPERLINK("http://www.worldcat.org/oclc/1022479","WorldCat Record")</f>
        <v/>
      </c>
      <c r="AU498" t="inlineStr">
        <is>
          <t>422907604:eng</t>
        </is>
      </c>
      <c r="AV498" t="inlineStr">
        <is>
          <t>1022479</t>
        </is>
      </c>
      <c r="AW498" t="inlineStr">
        <is>
          <t>991003477219702656</t>
        </is>
      </c>
      <c r="AX498" t="inlineStr">
        <is>
          <t>991003477219702656</t>
        </is>
      </c>
      <c r="AY498" t="inlineStr">
        <is>
          <t>2272597100002656</t>
        </is>
      </c>
      <c r="AZ498" t="inlineStr">
        <is>
          <t>BOOK</t>
        </is>
      </c>
      <c r="BC498" t="inlineStr">
        <is>
          <t>32285000605229</t>
        </is>
      </c>
      <c r="BD498" t="inlineStr">
        <is>
          <t>893246385</t>
        </is>
      </c>
    </row>
    <row r="499">
      <c r="A499" t="inlineStr">
        <is>
          <t>No</t>
        </is>
      </c>
      <c r="B499" t="inlineStr">
        <is>
          <t>BX1751 .S22</t>
        </is>
      </c>
      <c r="C499" t="inlineStr">
        <is>
          <t>0                      BX 1751000S  22</t>
        </is>
      </c>
      <c r="D499" t="inlineStr">
        <is>
          <t>A Christian apology / by Paul Schanz ; translated by Michael F. Glancey and Victor J. Schobel.</t>
        </is>
      </c>
      <c r="E499" t="inlineStr">
        <is>
          <t>V.2</t>
        </is>
      </c>
      <c r="F499" t="inlineStr">
        <is>
          <t>Yes</t>
        </is>
      </c>
      <c r="G499" t="inlineStr">
        <is>
          <t>1</t>
        </is>
      </c>
      <c r="H499" t="inlineStr">
        <is>
          <t>No</t>
        </is>
      </c>
      <c r="I499" t="inlineStr">
        <is>
          <t>No</t>
        </is>
      </c>
      <c r="J499" t="inlineStr">
        <is>
          <t>0</t>
        </is>
      </c>
      <c r="K499" t="inlineStr">
        <is>
          <t>Schanz, Paul, 1841-1905.</t>
        </is>
      </c>
      <c r="L499" t="inlineStr">
        <is>
          <t>New York : Pustet, 1896, c1891.</t>
        </is>
      </c>
      <c r="M499" t="inlineStr">
        <is>
          <t>1896</t>
        </is>
      </c>
      <c r="N499" t="inlineStr">
        <is>
          <t>2nd rev. ed.</t>
        </is>
      </c>
      <c r="O499" t="inlineStr">
        <is>
          <t>eng</t>
        </is>
      </c>
      <c r="P499" t="inlineStr">
        <is>
          <t>nyu</t>
        </is>
      </c>
      <c r="R499" t="inlineStr">
        <is>
          <t xml:space="preserve">BX </t>
        </is>
      </c>
      <c r="S499" t="n">
        <v>1</v>
      </c>
      <c r="T499" t="n">
        <v>2</v>
      </c>
      <c r="U499" t="inlineStr">
        <is>
          <t>2005-10-31</t>
        </is>
      </c>
      <c r="V499" t="inlineStr">
        <is>
          <t>2005-10-31</t>
        </is>
      </c>
      <c r="W499" t="inlineStr">
        <is>
          <t>1991-04-25</t>
        </is>
      </c>
      <c r="X499" t="inlineStr">
        <is>
          <t>1991-04-25</t>
        </is>
      </c>
      <c r="Y499" t="n">
        <v>23</v>
      </c>
      <c r="Z499" t="n">
        <v>19</v>
      </c>
      <c r="AA499" t="n">
        <v>53</v>
      </c>
      <c r="AB499" t="n">
        <v>1</v>
      </c>
      <c r="AC499" t="n">
        <v>1</v>
      </c>
      <c r="AD499" t="n">
        <v>5</v>
      </c>
      <c r="AE499" t="n">
        <v>8</v>
      </c>
      <c r="AF499" t="n">
        <v>0</v>
      </c>
      <c r="AG499" t="n">
        <v>1</v>
      </c>
      <c r="AH499" t="n">
        <v>3</v>
      </c>
      <c r="AI499" t="n">
        <v>4</v>
      </c>
      <c r="AJ499" t="n">
        <v>3</v>
      </c>
      <c r="AK499" t="n">
        <v>5</v>
      </c>
      <c r="AL499" t="n">
        <v>0</v>
      </c>
      <c r="AM499" t="n">
        <v>0</v>
      </c>
      <c r="AN499" t="n">
        <v>0</v>
      </c>
      <c r="AO499" t="n">
        <v>0</v>
      </c>
      <c r="AP499" t="inlineStr">
        <is>
          <t>No</t>
        </is>
      </c>
      <c r="AQ499" t="inlineStr">
        <is>
          <t>No</t>
        </is>
      </c>
      <c r="AS499">
        <f>HYPERLINK("https://creighton-primo.hosted.exlibrisgroup.com/primo-explore/search?tab=default_tab&amp;search_scope=EVERYTHING&amp;vid=01CRU&amp;lang=en_US&amp;offset=0&amp;query=any,contains,991000141769702656","Catalog Record")</f>
        <v/>
      </c>
      <c r="AT499">
        <f>HYPERLINK("http://www.worldcat.org/oclc/9159525","WorldCat Record")</f>
        <v/>
      </c>
      <c r="AU499" t="inlineStr">
        <is>
          <t>2908430210:eng</t>
        </is>
      </c>
      <c r="AV499" t="inlineStr">
        <is>
          <t>9159525</t>
        </is>
      </c>
      <c r="AW499" t="inlineStr">
        <is>
          <t>991000141769702656</t>
        </is>
      </c>
      <c r="AX499" t="inlineStr">
        <is>
          <t>991000141769702656</t>
        </is>
      </c>
      <c r="AY499" t="inlineStr">
        <is>
          <t>2268385810002656</t>
        </is>
      </c>
      <c r="AZ499" t="inlineStr">
        <is>
          <t>BOOK</t>
        </is>
      </c>
      <c r="BC499" t="inlineStr">
        <is>
          <t>32285000605526</t>
        </is>
      </c>
      <c r="BD499" t="inlineStr">
        <is>
          <t>893771426</t>
        </is>
      </c>
    </row>
    <row r="500">
      <c r="A500" t="inlineStr">
        <is>
          <t>No</t>
        </is>
      </c>
      <c r="B500" t="inlineStr">
        <is>
          <t>BX1751 .S22</t>
        </is>
      </c>
      <c r="C500" t="inlineStr">
        <is>
          <t>0                      BX 1751000S  22</t>
        </is>
      </c>
      <c r="D500" t="inlineStr">
        <is>
          <t>A Christian apology / by Paul Schanz ; translated by Michael F. Glancey and Victor J. Schobel.</t>
        </is>
      </c>
      <c r="E500" t="inlineStr">
        <is>
          <t>V.1</t>
        </is>
      </c>
      <c r="F500" t="inlineStr">
        <is>
          <t>Yes</t>
        </is>
      </c>
      <c r="G500" t="inlineStr">
        <is>
          <t>1</t>
        </is>
      </c>
      <c r="H500" t="inlineStr">
        <is>
          <t>No</t>
        </is>
      </c>
      <c r="I500" t="inlineStr">
        <is>
          <t>No</t>
        </is>
      </c>
      <c r="J500" t="inlineStr">
        <is>
          <t>0</t>
        </is>
      </c>
      <c r="K500" t="inlineStr">
        <is>
          <t>Schanz, Paul, 1841-1905.</t>
        </is>
      </c>
      <c r="L500" t="inlineStr">
        <is>
          <t>New York : Pustet, 1896, c1891.</t>
        </is>
      </c>
      <c r="M500" t="inlineStr">
        <is>
          <t>1896</t>
        </is>
      </c>
      <c r="N500" t="inlineStr">
        <is>
          <t>2nd rev. ed.</t>
        </is>
      </c>
      <c r="O500" t="inlineStr">
        <is>
          <t>eng</t>
        </is>
      </c>
      <c r="P500" t="inlineStr">
        <is>
          <t>nyu</t>
        </is>
      </c>
      <c r="R500" t="inlineStr">
        <is>
          <t xml:space="preserve">BX </t>
        </is>
      </c>
      <c r="S500" t="n">
        <v>1</v>
      </c>
      <c r="T500" t="n">
        <v>2</v>
      </c>
      <c r="U500" t="inlineStr">
        <is>
          <t>2005-10-31</t>
        </is>
      </c>
      <c r="V500" t="inlineStr">
        <is>
          <t>2005-10-31</t>
        </is>
      </c>
      <c r="W500" t="inlineStr">
        <is>
          <t>1991-04-25</t>
        </is>
      </c>
      <c r="X500" t="inlineStr">
        <is>
          <t>1991-04-25</t>
        </is>
      </c>
      <c r="Y500" t="n">
        <v>23</v>
      </c>
      <c r="Z500" t="n">
        <v>19</v>
      </c>
      <c r="AA500" t="n">
        <v>53</v>
      </c>
      <c r="AB500" t="n">
        <v>1</v>
      </c>
      <c r="AC500" t="n">
        <v>1</v>
      </c>
      <c r="AD500" t="n">
        <v>5</v>
      </c>
      <c r="AE500" t="n">
        <v>8</v>
      </c>
      <c r="AF500" t="n">
        <v>0</v>
      </c>
      <c r="AG500" t="n">
        <v>1</v>
      </c>
      <c r="AH500" t="n">
        <v>3</v>
      </c>
      <c r="AI500" t="n">
        <v>4</v>
      </c>
      <c r="AJ500" t="n">
        <v>3</v>
      </c>
      <c r="AK500" t="n">
        <v>5</v>
      </c>
      <c r="AL500" t="n">
        <v>0</v>
      </c>
      <c r="AM500" t="n">
        <v>0</v>
      </c>
      <c r="AN500" t="n">
        <v>0</v>
      </c>
      <c r="AO500" t="n">
        <v>0</v>
      </c>
      <c r="AP500" t="inlineStr">
        <is>
          <t>No</t>
        </is>
      </c>
      <c r="AQ500" t="inlineStr">
        <is>
          <t>No</t>
        </is>
      </c>
      <c r="AS500">
        <f>HYPERLINK("https://creighton-primo.hosted.exlibrisgroup.com/primo-explore/search?tab=default_tab&amp;search_scope=EVERYTHING&amp;vid=01CRU&amp;lang=en_US&amp;offset=0&amp;query=any,contains,991000141769702656","Catalog Record")</f>
        <v/>
      </c>
      <c r="AT500">
        <f>HYPERLINK("http://www.worldcat.org/oclc/9159525","WorldCat Record")</f>
        <v/>
      </c>
      <c r="AU500" t="inlineStr">
        <is>
          <t>2908430210:eng</t>
        </is>
      </c>
      <c r="AV500" t="inlineStr">
        <is>
          <t>9159525</t>
        </is>
      </c>
      <c r="AW500" t="inlineStr">
        <is>
          <t>991000141769702656</t>
        </is>
      </c>
      <c r="AX500" t="inlineStr">
        <is>
          <t>991000141769702656</t>
        </is>
      </c>
      <c r="AY500" t="inlineStr">
        <is>
          <t>2268385810002656</t>
        </is>
      </c>
      <c r="AZ500" t="inlineStr">
        <is>
          <t>BOOK</t>
        </is>
      </c>
      <c r="BC500" t="inlineStr">
        <is>
          <t>32285000605518</t>
        </is>
      </c>
      <c r="BD500" t="inlineStr">
        <is>
          <t>893790278</t>
        </is>
      </c>
    </row>
    <row r="501">
      <c r="A501" t="inlineStr">
        <is>
          <t>No</t>
        </is>
      </c>
      <c r="B501" t="inlineStr">
        <is>
          <t>BX1751 .S22</t>
        </is>
      </c>
      <c r="C501" t="inlineStr">
        <is>
          <t>0                      BX 1751000S  22</t>
        </is>
      </c>
      <c r="D501" t="inlineStr">
        <is>
          <t>A Christian apology / by Paul Schanz ; translated by Michael F. Glancey and Victor J. Schobel.</t>
        </is>
      </c>
      <c r="E501" t="inlineStr">
        <is>
          <t>V.3</t>
        </is>
      </c>
      <c r="F501" t="inlineStr">
        <is>
          <t>Yes</t>
        </is>
      </c>
      <c r="G501" t="inlineStr">
        <is>
          <t>1</t>
        </is>
      </c>
      <c r="H501" t="inlineStr">
        <is>
          <t>No</t>
        </is>
      </c>
      <c r="I501" t="inlineStr">
        <is>
          <t>No</t>
        </is>
      </c>
      <c r="J501" t="inlineStr">
        <is>
          <t>0</t>
        </is>
      </c>
      <c r="K501" t="inlineStr">
        <is>
          <t>Schanz, Paul, 1841-1905.</t>
        </is>
      </c>
      <c r="L501" t="inlineStr">
        <is>
          <t>New York : Pustet, 1896, c1891.</t>
        </is>
      </c>
      <c r="M501" t="inlineStr">
        <is>
          <t>1896</t>
        </is>
      </c>
      <c r="N501" t="inlineStr">
        <is>
          <t>2nd rev. ed.</t>
        </is>
      </c>
      <c r="O501" t="inlineStr">
        <is>
          <t>eng</t>
        </is>
      </c>
      <c r="P501" t="inlineStr">
        <is>
          <t>nyu</t>
        </is>
      </c>
      <c r="R501" t="inlineStr">
        <is>
          <t xml:space="preserve">BX </t>
        </is>
      </c>
      <c r="S501" t="n">
        <v>0</v>
      </c>
      <c r="T501" t="n">
        <v>2</v>
      </c>
      <c r="V501" t="inlineStr">
        <is>
          <t>2005-10-31</t>
        </is>
      </c>
      <c r="W501" t="inlineStr">
        <is>
          <t>1991-04-25</t>
        </is>
      </c>
      <c r="X501" t="inlineStr">
        <is>
          <t>1991-04-25</t>
        </is>
      </c>
      <c r="Y501" t="n">
        <v>23</v>
      </c>
      <c r="Z501" t="n">
        <v>19</v>
      </c>
      <c r="AA501" t="n">
        <v>53</v>
      </c>
      <c r="AB501" t="n">
        <v>1</v>
      </c>
      <c r="AC501" t="n">
        <v>1</v>
      </c>
      <c r="AD501" t="n">
        <v>5</v>
      </c>
      <c r="AE501" t="n">
        <v>8</v>
      </c>
      <c r="AF501" t="n">
        <v>0</v>
      </c>
      <c r="AG501" t="n">
        <v>1</v>
      </c>
      <c r="AH501" t="n">
        <v>3</v>
      </c>
      <c r="AI501" t="n">
        <v>4</v>
      </c>
      <c r="AJ501" t="n">
        <v>3</v>
      </c>
      <c r="AK501" t="n">
        <v>5</v>
      </c>
      <c r="AL501" t="n">
        <v>0</v>
      </c>
      <c r="AM501" t="n">
        <v>0</v>
      </c>
      <c r="AN501" t="n">
        <v>0</v>
      </c>
      <c r="AO501" t="n">
        <v>0</v>
      </c>
      <c r="AP501" t="inlineStr">
        <is>
          <t>No</t>
        </is>
      </c>
      <c r="AQ501" t="inlineStr">
        <is>
          <t>No</t>
        </is>
      </c>
      <c r="AS501">
        <f>HYPERLINK("https://creighton-primo.hosted.exlibrisgroup.com/primo-explore/search?tab=default_tab&amp;search_scope=EVERYTHING&amp;vid=01CRU&amp;lang=en_US&amp;offset=0&amp;query=any,contains,991000141769702656","Catalog Record")</f>
        <v/>
      </c>
      <c r="AT501">
        <f>HYPERLINK("http://www.worldcat.org/oclc/9159525","WorldCat Record")</f>
        <v/>
      </c>
      <c r="AU501" t="inlineStr">
        <is>
          <t>2908430210:eng</t>
        </is>
      </c>
      <c r="AV501" t="inlineStr">
        <is>
          <t>9159525</t>
        </is>
      </c>
      <c r="AW501" t="inlineStr">
        <is>
          <t>991000141769702656</t>
        </is>
      </c>
      <c r="AX501" t="inlineStr">
        <is>
          <t>991000141769702656</t>
        </is>
      </c>
      <c r="AY501" t="inlineStr">
        <is>
          <t>2268385810002656</t>
        </is>
      </c>
      <c r="AZ501" t="inlineStr">
        <is>
          <t>BOOK</t>
        </is>
      </c>
      <c r="BC501" t="inlineStr">
        <is>
          <t>32285000605534</t>
        </is>
      </c>
      <c r="BD501" t="inlineStr">
        <is>
          <t>893796459</t>
        </is>
      </c>
    </row>
    <row r="502">
      <c r="A502" t="inlineStr">
        <is>
          <t>No</t>
        </is>
      </c>
      <c r="B502" t="inlineStr">
        <is>
          <t>BX1751 .S32</t>
        </is>
      </c>
      <c r="C502" t="inlineStr">
        <is>
          <t>0                      BX 1751000S  32</t>
        </is>
      </c>
      <c r="D502" t="inlineStr">
        <is>
          <t>Religious certainty / by Martin J. Scott.</t>
        </is>
      </c>
      <c r="F502" t="inlineStr">
        <is>
          <t>No</t>
        </is>
      </c>
      <c r="G502" t="inlineStr">
        <is>
          <t>1</t>
        </is>
      </c>
      <c r="H502" t="inlineStr">
        <is>
          <t>No</t>
        </is>
      </c>
      <c r="I502" t="inlineStr">
        <is>
          <t>No</t>
        </is>
      </c>
      <c r="J502" t="inlineStr">
        <is>
          <t>0</t>
        </is>
      </c>
      <c r="K502" t="inlineStr">
        <is>
          <t>Scott, Martin J. (Martin Jerome), 1865-1964.</t>
        </is>
      </c>
      <c r="L502" t="inlineStr">
        <is>
          <t>New York, Kenedy, c1933.</t>
        </is>
      </c>
      <c r="M502" t="inlineStr">
        <is>
          <t>1933</t>
        </is>
      </c>
      <c r="O502" t="inlineStr">
        <is>
          <t>eng</t>
        </is>
      </c>
      <c r="P502" t="inlineStr">
        <is>
          <t>___</t>
        </is>
      </c>
      <c r="R502" t="inlineStr">
        <is>
          <t xml:space="preserve">BX </t>
        </is>
      </c>
      <c r="S502" t="n">
        <v>1</v>
      </c>
      <c r="T502" t="n">
        <v>1</v>
      </c>
      <c r="U502" t="inlineStr">
        <is>
          <t>2009-09-06</t>
        </is>
      </c>
      <c r="V502" t="inlineStr">
        <is>
          <t>2009-09-06</t>
        </is>
      </c>
      <c r="W502" t="inlineStr">
        <is>
          <t>1991-04-25</t>
        </is>
      </c>
      <c r="X502" t="inlineStr">
        <is>
          <t>1991-04-25</t>
        </is>
      </c>
      <c r="Y502" t="n">
        <v>51</v>
      </c>
      <c r="Z502" t="n">
        <v>42</v>
      </c>
      <c r="AA502" t="n">
        <v>42</v>
      </c>
      <c r="AB502" t="n">
        <v>1</v>
      </c>
      <c r="AC502" t="n">
        <v>1</v>
      </c>
      <c r="AD502" t="n">
        <v>12</v>
      </c>
      <c r="AE502" t="n">
        <v>12</v>
      </c>
      <c r="AF502" t="n">
        <v>0</v>
      </c>
      <c r="AG502" t="n">
        <v>0</v>
      </c>
      <c r="AH502" t="n">
        <v>4</v>
      </c>
      <c r="AI502" t="n">
        <v>4</v>
      </c>
      <c r="AJ502" t="n">
        <v>10</v>
      </c>
      <c r="AK502" t="n">
        <v>10</v>
      </c>
      <c r="AL502" t="n">
        <v>0</v>
      </c>
      <c r="AM502" t="n">
        <v>0</v>
      </c>
      <c r="AN502" t="n">
        <v>0</v>
      </c>
      <c r="AO502" t="n">
        <v>0</v>
      </c>
      <c r="AP502" t="inlineStr">
        <is>
          <t>No</t>
        </is>
      </c>
      <c r="AQ502" t="inlineStr">
        <is>
          <t>No</t>
        </is>
      </c>
      <c r="AS502">
        <f>HYPERLINK("https://creighton-primo.hosted.exlibrisgroup.com/primo-explore/search?tab=default_tab&amp;search_scope=EVERYTHING&amp;vid=01CRU&amp;lang=en_US&amp;offset=0&amp;query=any,contains,991003100189702656","Catalog Record")</f>
        <v/>
      </c>
      <c r="AT502">
        <f>HYPERLINK("http://www.worldcat.org/oclc/649322","WorldCat Record")</f>
        <v/>
      </c>
      <c r="AU502" t="inlineStr">
        <is>
          <t>1823397:eng</t>
        </is>
      </c>
      <c r="AV502" t="inlineStr">
        <is>
          <t>649322</t>
        </is>
      </c>
      <c r="AW502" t="inlineStr">
        <is>
          <t>991003100189702656</t>
        </is>
      </c>
      <c r="AX502" t="inlineStr">
        <is>
          <t>991003100189702656</t>
        </is>
      </c>
      <c r="AY502" t="inlineStr">
        <is>
          <t>2259110990002656</t>
        </is>
      </c>
      <c r="AZ502" t="inlineStr">
        <is>
          <t>BOOK</t>
        </is>
      </c>
      <c r="BC502" t="inlineStr">
        <is>
          <t>32285000605609</t>
        </is>
      </c>
      <c r="BD502" t="inlineStr">
        <is>
          <t>893409920</t>
        </is>
      </c>
    </row>
    <row r="503">
      <c r="A503" t="inlineStr">
        <is>
          <t>No</t>
        </is>
      </c>
      <c r="B503" t="inlineStr">
        <is>
          <t>BX1751 .S42</t>
        </is>
      </c>
      <c r="C503" t="inlineStr">
        <is>
          <t>0                      BX 1751000S  42</t>
        </is>
      </c>
      <c r="D503" t="inlineStr">
        <is>
          <t>Theology and sanity / by F.J. Sheed.</t>
        </is>
      </c>
      <c r="F503" t="inlineStr">
        <is>
          <t>No</t>
        </is>
      </c>
      <c r="G503" t="inlineStr">
        <is>
          <t>1</t>
        </is>
      </c>
      <c r="H503" t="inlineStr">
        <is>
          <t>No</t>
        </is>
      </c>
      <c r="I503" t="inlineStr">
        <is>
          <t>No</t>
        </is>
      </c>
      <c r="J503" t="inlineStr">
        <is>
          <t>0</t>
        </is>
      </c>
      <c r="K503" t="inlineStr">
        <is>
          <t>Sheed, F. J. (Francis Joseph), 1897-1981.</t>
        </is>
      </c>
      <c r="L503" t="inlineStr">
        <is>
          <t>New York, Sheed &amp; Ward, 1946.</t>
        </is>
      </c>
      <c r="M503" t="inlineStr">
        <is>
          <t>1946</t>
        </is>
      </c>
      <c r="O503" t="inlineStr">
        <is>
          <t>eng</t>
        </is>
      </c>
      <c r="P503" t="inlineStr">
        <is>
          <t>nyu</t>
        </is>
      </c>
      <c r="R503" t="inlineStr">
        <is>
          <t xml:space="preserve">BX </t>
        </is>
      </c>
      <c r="S503" t="n">
        <v>2</v>
      </c>
      <c r="T503" t="n">
        <v>2</v>
      </c>
      <c r="U503" t="inlineStr">
        <is>
          <t>1992-10-03</t>
        </is>
      </c>
      <c r="V503" t="inlineStr">
        <is>
          <t>1992-10-03</t>
        </is>
      </c>
      <c r="W503" t="inlineStr">
        <is>
          <t>1991-04-25</t>
        </is>
      </c>
      <c r="X503" t="inlineStr">
        <is>
          <t>1991-04-25</t>
        </is>
      </c>
      <c r="Y503" t="n">
        <v>507</v>
      </c>
      <c r="Z503" t="n">
        <v>467</v>
      </c>
      <c r="AA503" t="n">
        <v>698</v>
      </c>
      <c r="AB503" t="n">
        <v>4</v>
      </c>
      <c r="AC503" t="n">
        <v>5</v>
      </c>
      <c r="AD503" t="n">
        <v>35</v>
      </c>
      <c r="AE503" t="n">
        <v>41</v>
      </c>
      <c r="AF503" t="n">
        <v>14</v>
      </c>
      <c r="AG503" t="n">
        <v>17</v>
      </c>
      <c r="AH503" t="n">
        <v>8</v>
      </c>
      <c r="AI503" t="n">
        <v>10</v>
      </c>
      <c r="AJ503" t="n">
        <v>22</v>
      </c>
      <c r="AK503" t="n">
        <v>25</v>
      </c>
      <c r="AL503" t="n">
        <v>2</v>
      </c>
      <c r="AM503" t="n">
        <v>2</v>
      </c>
      <c r="AN503" t="n">
        <v>0</v>
      </c>
      <c r="AO503" t="n">
        <v>0</v>
      </c>
      <c r="AP503" t="inlineStr">
        <is>
          <t>No</t>
        </is>
      </c>
      <c r="AQ503" t="inlineStr">
        <is>
          <t>No</t>
        </is>
      </c>
      <c r="AS503">
        <f>HYPERLINK("https://creighton-primo.hosted.exlibrisgroup.com/primo-explore/search?tab=default_tab&amp;search_scope=EVERYTHING&amp;vid=01CRU&amp;lang=en_US&amp;offset=0&amp;query=any,contains,991002592669702656","Catalog Record")</f>
        <v/>
      </c>
      <c r="AT503">
        <f>HYPERLINK("http://www.worldcat.org/oclc/376325","WorldCat Record")</f>
        <v/>
      </c>
      <c r="AU503" t="inlineStr">
        <is>
          <t>50133832:eng</t>
        </is>
      </c>
      <c r="AV503" t="inlineStr">
        <is>
          <t>376325</t>
        </is>
      </c>
      <c r="AW503" t="inlineStr">
        <is>
          <t>991002592669702656</t>
        </is>
      </c>
      <c r="AX503" t="inlineStr">
        <is>
          <t>991002592669702656</t>
        </is>
      </c>
      <c r="AY503" t="inlineStr">
        <is>
          <t>2263613520002656</t>
        </is>
      </c>
      <c r="AZ503" t="inlineStr">
        <is>
          <t>BOOK</t>
        </is>
      </c>
      <c r="BC503" t="inlineStr">
        <is>
          <t>32285000605625</t>
        </is>
      </c>
      <c r="BD503" t="inlineStr">
        <is>
          <t>893792647</t>
        </is>
      </c>
    </row>
    <row r="504">
      <c r="A504" t="inlineStr">
        <is>
          <t>No</t>
        </is>
      </c>
      <c r="B504" t="inlineStr">
        <is>
          <t>BX1751 .S8 1922</t>
        </is>
      </c>
      <c r="C504" t="inlineStr">
        <is>
          <t>0                      BX 1751000S  8           1922</t>
        </is>
      </c>
      <c r="D504" t="inlineStr">
        <is>
          <t>Rebuilding a lost faith / by an American agnostic, John L. Stoddard.</t>
        </is>
      </c>
      <c r="F504" t="inlineStr">
        <is>
          <t>No</t>
        </is>
      </c>
      <c r="G504" t="inlineStr">
        <is>
          <t>1</t>
        </is>
      </c>
      <c r="H504" t="inlineStr">
        <is>
          <t>No</t>
        </is>
      </c>
      <c r="I504" t="inlineStr">
        <is>
          <t>No</t>
        </is>
      </c>
      <c r="J504" t="inlineStr">
        <is>
          <t>0</t>
        </is>
      </c>
      <c r="K504" t="inlineStr">
        <is>
          <t>Stoddard, John L. (John Lawson), 1850-1931.</t>
        </is>
      </c>
      <c r="L504" t="inlineStr">
        <is>
          <t>New York, Kennedy, [1922]</t>
        </is>
      </c>
      <c r="M504" t="inlineStr">
        <is>
          <t>1922</t>
        </is>
      </c>
      <c r="N504" t="inlineStr">
        <is>
          <t>New ed.</t>
        </is>
      </c>
      <c r="O504" t="inlineStr">
        <is>
          <t>eng</t>
        </is>
      </c>
      <c r="P504" t="inlineStr">
        <is>
          <t>___</t>
        </is>
      </c>
      <c r="R504" t="inlineStr">
        <is>
          <t xml:space="preserve">BX </t>
        </is>
      </c>
      <c r="S504" t="n">
        <v>3</v>
      </c>
      <c r="T504" t="n">
        <v>3</v>
      </c>
      <c r="U504" t="inlineStr">
        <is>
          <t>2000-12-06</t>
        </is>
      </c>
      <c r="V504" t="inlineStr">
        <is>
          <t>2000-12-06</t>
        </is>
      </c>
      <c r="W504" t="inlineStr">
        <is>
          <t>1991-04-25</t>
        </is>
      </c>
      <c r="X504" t="inlineStr">
        <is>
          <t>1991-04-25</t>
        </is>
      </c>
      <c r="Y504" t="n">
        <v>133</v>
      </c>
      <c r="Z504" t="n">
        <v>126</v>
      </c>
      <c r="AA504" t="n">
        <v>334</v>
      </c>
      <c r="AB504" t="n">
        <v>1</v>
      </c>
      <c r="AC504" t="n">
        <v>6</v>
      </c>
      <c r="AD504" t="n">
        <v>17</v>
      </c>
      <c r="AE504" t="n">
        <v>35</v>
      </c>
      <c r="AF504" t="n">
        <v>6</v>
      </c>
      <c r="AG504" t="n">
        <v>12</v>
      </c>
      <c r="AH504" t="n">
        <v>3</v>
      </c>
      <c r="AI504" t="n">
        <v>9</v>
      </c>
      <c r="AJ504" t="n">
        <v>12</v>
      </c>
      <c r="AK504" t="n">
        <v>21</v>
      </c>
      <c r="AL504" t="n">
        <v>0</v>
      </c>
      <c r="AM504" t="n">
        <v>3</v>
      </c>
      <c r="AN504" t="n">
        <v>0</v>
      </c>
      <c r="AO504" t="n">
        <v>0</v>
      </c>
      <c r="AP504" t="inlineStr">
        <is>
          <t>Yes</t>
        </is>
      </c>
      <c r="AQ504" t="inlineStr">
        <is>
          <t>No</t>
        </is>
      </c>
      <c r="AR504">
        <f>HYPERLINK("http://catalog.hathitrust.org/Record/006632900","HathiTrust Record")</f>
        <v/>
      </c>
      <c r="AS504">
        <f>HYPERLINK("https://creighton-primo.hosted.exlibrisgroup.com/primo-explore/search?tab=default_tab&amp;search_scope=EVERYTHING&amp;vid=01CRU&amp;lang=en_US&amp;offset=0&amp;query=any,contains,991003392139702656","Catalog Record")</f>
        <v/>
      </c>
      <c r="AT504">
        <f>HYPERLINK("http://www.worldcat.org/oclc/930516","WorldCat Record")</f>
        <v/>
      </c>
      <c r="AU504" t="inlineStr">
        <is>
          <t>1806657:eng</t>
        </is>
      </c>
      <c r="AV504" t="inlineStr">
        <is>
          <t>930516</t>
        </is>
      </c>
      <c r="AW504" t="inlineStr">
        <is>
          <t>991003392139702656</t>
        </is>
      </c>
      <c r="AX504" t="inlineStr">
        <is>
          <t>991003392139702656</t>
        </is>
      </c>
      <c r="AY504" t="inlineStr">
        <is>
          <t>2269472520002656</t>
        </is>
      </c>
      <c r="AZ504" t="inlineStr">
        <is>
          <t>BOOK</t>
        </is>
      </c>
      <c r="BC504" t="inlineStr">
        <is>
          <t>32285000605666</t>
        </is>
      </c>
      <c r="BD504" t="inlineStr">
        <is>
          <t>893617307</t>
        </is>
      </c>
    </row>
    <row r="505">
      <c r="A505" t="inlineStr">
        <is>
          <t>No</t>
        </is>
      </c>
      <c r="B505" t="inlineStr">
        <is>
          <t>BX1751 .T76 2003</t>
        </is>
      </c>
      <c r="C505" t="inlineStr">
        <is>
          <t>0                      BX 1751000T  76          2003</t>
        </is>
      </c>
      <c r="D505" t="inlineStr">
        <is>
          <t>Turmoil &amp; truth : the historical roots of the modern crisis in the Catholic Church / Philip Trower</t>
        </is>
      </c>
      <c r="F505" t="inlineStr">
        <is>
          <t>No</t>
        </is>
      </c>
      <c r="G505" t="inlineStr">
        <is>
          <t>1</t>
        </is>
      </c>
      <c r="H505" t="inlineStr">
        <is>
          <t>No</t>
        </is>
      </c>
      <c r="I505" t="inlineStr">
        <is>
          <t>No</t>
        </is>
      </c>
      <c r="J505" t="inlineStr">
        <is>
          <t>0</t>
        </is>
      </c>
      <c r="K505" t="inlineStr">
        <is>
          <t>Trower, Philip, 1923-</t>
        </is>
      </c>
      <c r="L505" t="inlineStr">
        <is>
          <t>San Francisco, Calif., Ignatius Press : 2003.</t>
        </is>
      </c>
      <c r="M505" t="inlineStr">
        <is>
          <t>2003</t>
        </is>
      </c>
      <c r="O505" t="inlineStr">
        <is>
          <t>eng</t>
        </is>
      </c>
      <c r="P505" t="inlineStr">
        <is>
          <t>cau</t>
        </is>
      </c>
      <c r="R505" t="inlineStr">
        <is>
          <t xml:space="preserve">BX </t>
        </is>
      </c>
      <c r="S505" t="n">
        <v>5</v>
      </c>
      <c r="T505" t="n">
        <v>5</v>
      </c>
      <c r="U505" t="inlineStr">
        <is>
          <t>2010-05-17</t>
        </is>
      </c>
      <c r="V505" t="inlineStr">
        <is>
          <t>2010-05-17</t>
        </is>
      </c>
      <c r="W505" t="inlineStr">
        <is>
          <t>2004-03-30</t>
        </is>
      </c>
      <c r="X505" t="inlineStr">
        <is>
          <t>2004-03-30</t>
        </is>
      </c>
      <c r="Y505" t="n">
        <v>64</v>
      </c>
      <c r="Z505" t="n">
        <v>61</v>
      </c>
      <c r="AA505" t="n">
        <v>96</v>
      </c>
      <c r="AB505" t="n">
        <v>3</v>
      </c>
      <c r="AC505" t="n">
        <v>3</v>
      </c>
      <c r="AD505" t="n">
        <v>7</v>
      </c>
      <c r="AE505" t="n">
        <v>12</v>
      </c>
      <c r="AF505" t="n">
        <v>0</v>
      </c>
      <c r="AG505" t="n">
        <v>3</v>
      </c>
      <c r="AH505" t="n">
        <v>2</v>
      </c>
      <c r="AI505" t="n">
        <v>4</v>
      </c>
      <c r="AJ505" t="n">
        <v>4</v>
      </c>
      <c r="AK505" t="n">
        <v>8</v>
      </c>
      <c r="AL505" t="n">
        <v>1</v>
      </c>
      <c r="AM505" t="n">
        <v>1</v>
      </c>
      <c r="AN505" t="n">
        <v>0</v>
      </c>
      <c r="AO505" t="n">
        <v>0</v>
      </c>
      <c r="AP505" t="inlineStr">
        <is>
          <t>No</t>
        </is>
      </c>
      <c r="AQ505" t="inlineStr">
        <is>
          <t>No</t>
        </is>
      </c>
      <c r="AS505">
        <f>HYPERLINK("https://creighton-primo.hosted.exlibrisgroup.com/primo-explore/search?tab=default_tab&amp;search_scope=EVERYTHING&amp;vid=01CRU&amp;lang=en_US&amp;offset=0&amp;query=any,contains,991004254149702656","Catalog Record")</f>
        <v/>
      </c>
      <c r="AT505">
        <f>HYPERLINK("http://www.worldcat.org/oclc/53883349","WorldCat Record")</f>
        <v/>
      </c>
      <c r="AU505" t="inlineStr">
        <is>
          <t>738986:eng</t>
        </is>
      </c>
      <c r="AV505" t="inlineStr">
        <is>
          <t>53883349</t>
        </is>
      </c>
      <c r="AW505" t="inlineStr">
        <is>
          <t>991004254149702656</t>
        </is>
      </c>
      <c r="AX505" t="inlineStr">
        <is>
          <t>991004254149702656</t>
        </is>
      </c>
      <c r="AY505" t="inlineStr">
        <is>
          <t>2272285400002656</t>
        </is>
      </c>
      <c r="AZ505" t="inlineStr">
        <is>
          <t>BOOK</t>
        </is>
      </c>
      <c r="BB505" t="inlineStr">
        <is>
          <t>9780898709803</t>
        </is>
      </c>
      <c r="BC505" t="inlineStr">
        <is>
          <t>32285004897392</t>
        </is>
      </c>
      <c r="BD505" t="inlineStr">
        <is>
          <t>893259513</t>
        </is>
      </c>
    </row>
    <row r="506">
      <c r="A506" t="inlineStr">
        <is>
          <t>No</t>
        </is>
      </c>
      <c r="B506" t="inlineStr">
        <is>
          <t>BX1751.2 .A795</t>
        </is>
      </c>
      <c r="C506" t="inlineStr">
        <is>
          <t>0                      BX 1751200A  795</t>
        </is>
      </c>
      <c r="D506" t="inlineStr">
        <is>
          <t>An American Catholic catechism / [edited by George J. Dyer].</t>
        </is>
      </c>
      <c r="F506" t="inlineStr">
        <is>
          <t>No</t>
        </is>
      </c>
      <c r="G506" t="inlineStr">
        <is>
          <t>1</t>
        </is>
      </c>
      <c r="H506" t="inlineStr">
        <is>
          <t>No</t>
        </is>
      </c>
      <c r="I506" t="inlineStr">
        <is>
          <t>No</t>
        </is>
      </c>
      <c r="J506" t="inlineStr">
        <is>
          <t>0</t>
        </is>
      </c>
      <c r="L506" t="inlineStr">
        <is>
          <t>New York : Seabury Press, [1975]</t>
        </is>
      </c>
      <c r="M506" t="inlineStr">
        <is>
          <t>1975</t>
        </is>
      </c>
      <c r="O506" t="inlineStr">
        <is>
          <t>eng</t>
        </is>
      </c>
      <c r="P506" t="inlineStr">
        <is>
          <t>nyu</t>
        </is>
      </c>
      <c r="R506" t="inlineStr">
        <is>
          <t xml:space="preserve">BX </t>
        </is>
      </c>
      <c r="S506" t="n">
        <v>9</v>
      </c>
      <c r="T506" t="n">
        <v>9</v>
      </c>
      <c r="U506" t="inlineStr">
        <is>
          <t>1998-06-17</t>
        </is>
      </c>
      <c r="V506" t="inlineStr">
        <is>
          <t>1998-06-17</t>
        </is>
      </c>
      <c r="W506" t="inlineStr">
        <is>
          <t>1991-05-08</t>
        </is>
      </c>
      <c r="X506" t="inlineStr">
        <is>
          <t>1991-05-08</t>
        </is>
      </c>
      <c r="Y506" t="n">
        <v>426</v>
      </c>
      <c r="Z506" t="n">
        <v>385</v>
      </c>
      <c r="AA506" t="n">
        <v>399</v>
      </c>
      <c r="AB506" t="n">
        <v>2</v>
      </c>
      <c r="AC506" t="n">
        <v>2</v>
      </c>
      <c r="AD506" t="n">
        <v>26</v>
      </c>
      <c r="AE506" t="n">
        <v>26</v>
      </c>
      <c r="AF506" t="n">
        <v>8</v>
      </c>
      <c r="AG506" t="n">
        <v>8</v>
      </c>
      <c r="AH506" t="n">
        <v>8</v>
      </c>
      <c r="AI506" t="n">
        <v>8</v>
      </c>
      <c r="AJ506" t="n">
        <v>20</v>
      </c>
      <c r="AK506" t="n">
        <v>20</v>
      </c>
      <c r="AL506" t="n">
        <v>0</v>
      </c>
      <c r="AM506" t="n">
        <v>0</v>
      </c>
      <c r="AN506" t="n">
        <v>0</v>
      </c>
      <c r="AO506" t="n">
        <v>0</v>
      </c>
      <c r="AP506" t="inlineStr">
        <is>
          <t>No</t>
        </is>
      </c>
      <c r="AQ506" t="inlineStr">
        <is>
          <t>Yes</t>
        </is>
      </c>
      <c r="AR506">
        <f>HYPERLINK("http://catalog.hathitrust.org/Record/011808775","HathiTrust Record")</f>
        <v/>
      </c>
      <c r="AS506">
        <f>HYPERLINK("https://creighton-primo.hosted.exlibrisgroup.com/primo-explore/search?tab=default_tab&amp;search_scope=EVERYTHING&amp;vid=01CRU&amp;lang=en_US&amp;offset=0&amp;query=any,contains,991003670679702656","Catalog Record")</f>
        <v/>
      </c>
      <c r="AT506">
        <f>HYPERLINK("http://www.worldcat.org/oclc/1288286","WorldCat Record")</f>
        <v/>
      </c>
      <c r="AU506" t="inlineStr">
        <is>
          <t>1909286985:eng</t>
        </is>
      </c>
      <c r="AV506" t="inlineStr">
        <is>
          <t>1288286</t>
        </is>
      </c>
      <c r="AW506" t="inlineStr">
        <is>
          <t>991003670679702656</t>
        </is>
      </c>
      <c r="AX506" t="inlineStr">
        <is>
          <t>991003670679702656</t>
        </is>
      </c>
      <c r="AY506" t="inlineStr">
        <is>
          <t>2266845140002656</t>
        </is>
      </c>
      <c r="AZ506" t="inlineStr">
        <is>
          <t>BOOK</t>
        </is>
      </c>
      <c r="BB506" t="inlineStr">
        <is>
          <t>9780816411962</t>
        </is>
      </c>
      <c r="BC506" t="inlineStr">
        <is>
          <t>32285000607886</t>
        </is>
      </c>
      <c r="BD506" t="inlineStr">
        <is>
          <t>893518744</t>
        </is>
      </c>
    </row>
    <row r="507">
      <c r="A507" t="inlineStr">
        <is>
          <t>No</t>
        </is>
      </c>
      <c r="B507" t="inlineStr">
        <is>
          <t>BX1751.2 .A888 1998</t>
        </is>
      </c>
      <c r="C507" t="inlineStr">
        <is>
          <t>0                      BX 1751200A  888         1998</t>
        </is>
      </c>
      <c r="D507" t="inlineStr">
        <is>
          <t>At the threshold of the third millennium / Francis A. Eigo, editor.</t>
        </is>
      </c>
      <c r="F507" t="inlineStr">
        <is>
          <t>No</t>
        </is>
      </c>
      <c r="G507" t="inlineStr">
        <is>
          <t>1</t>
        </is>
      </c>
      <c r="H507" t="inlineStr">
        <is>
          <t>No</t>
        </is>
      </c>
      <c r="I507" t="inlineStr">
        <is>
          <t>No</t>
        </is>
      </c>
      <c r="J507" t="inlineStr">
        <is>
          <t>0</t>
        </is>
      </c>
      <c r="L507" t="inlineStr">
        <is>
          <t>Villanova, Pa. : Villanova University Press, 1998.</t>
        </is>
      </c>
      <c r="M507" t="inlineStr">
        <is>
          <t>1998</t>
        </is>
      </c>
      <c r="O507" t="inlineStr">
        <is>
          <t>eng</t>
        </is>
      </c>
      <c r="P507" t="inlineStr">
        <is>
          <t>pau</t>
        </is>
      </c>
      <c r="Q507" t="inlineStr">
        <is>
          <t>Proceedings of the Theology Institute of Villanova University</t>
        </is>
      </c>
      <c r="R507" t="inlineStr">
        <is>
          <t xml:space="preserve">BX </t>
        </is>
      </c>
      <c r="S507" t="n">
        <v>3</v>
      </c>
      <c r="T507" t="n">
        <v>3</v>
      </c>
      <c r="U507" t="inlineStr">
        <is>
          <t>2003-04-08</t>
        </is>
      </c>
      <c r="V507" t="inlineStr">
        <is>
          <t>2003-04-08</t>
        </is>
      </c>
      <c r="W507" t="inlineStr">
        <is>
          <t>1998-07-29</t>
        </is>
      </c>
      <c r="X507" t="inlineStr">
        <is>
          <t>1998-07-29</t>
        </is>
      </c>
      <c r="Y507" t="n">
        <v>68</v>
      </c>
      <c r="Z507" t="n">
        <v>66</v>
      </c>
      <c r="AA507" t="n">
        <v>66</v>
      </c>
      <c r="AB507" t="n">
        <v>1</v>
      </c>
      <c r="AC507" t="n">
        <v>1</v>
      </c>
      <c r="AD507" t="n">
        <v>10</v>
      </c>
      <c r="AE507" t="n">
        <v>10</v>
      </c>
      <c r="AF507" t="n">
        <v>2</v>
      </c>
      <c r="AG507" t="n">
        <v>2</v>
      </c>
      <c r="AH507" t="n">
        <v>4</v>
      </c>
      <c r="AI507" t="n">
        <v>4</v>
      </c>
      <c r="AJ507" t="n">
        <v>6</v>
      </c>
      <c r="AK507" t="n">
        <v>6</v>
      </c>
      <c r="AL507" t="n">
        <v>0</v>
      </c>
      <c r="AM507" t="n">
        <v>0</v>
      </c>
      <c r="AN507" t="n">
        <v>0</v>
      </c>
      <c r="AO507" t="n">
        <v>0</v>
      </c>
      <c r="AP507" t="inlineStr">
        <is>
          <t>No</t>
        </is>
      </c>
      <c r="AQ507" t="inlineStr">
        <is>
          <t>No</t>
        </is>
      </c>
      <c r="AS507">
        <f>HYPERLINK("https://creighton-primo.hosted.exlibrisgroup.com/primo-explore/search?tab=default_tab&amp;search_scope=EVERYTHING&amp;vid=01CRU&amp;lang=en_US&amp;offset=0&amp;query=any,contains,991002896669702656","Catalog Record")</f>
        <v/>
      </c>
      <c r="AT507">
        <f>HYPERLINK("http://www.worldcat.org/oclc/38168253","WorldCat Record")</f>
        <v/>
      </c>
      <c r="AU507" t="inlineStr">
        <is>
          <t>41794906:eng</t>
        </is>
      </c>
      <c r="AV507" t="inlineStr">
        <is>
          <t>38168253</t>
        </is>
      </c>
      <c r="AW507" t="inlineStr">
        <is>
          <t>991002896669702656</t>
        </is>
      </c>
      <c r="AX507" t="inlineStr">
        <is>
          <t>991002896669702656</t>
        </is>
      </c>
      <c r="AY507" t="inlineStr">
        <is>
          <t>2268618340002656</t>
        </is>
      </c>
      <c r="AZ507" t="inlineStr">
        <is>
          <t>BOOK</t>
        </is>
      </c>
      <c r="BB507" t="inlineStr">
        <is>
          <t>9780877230663</t>
        </is>
      </c>
      <c r="BC507" t="inlineStr">
        <is>
          <t>32285003447470</t>
        </is>
      </c>
      <c r="BD507" t="inlineStr">
        <is>
          <t>893805186</t>
        </is>
      </c>
    </row>
    <row r="508">
      <c r="A508" t="inlineStr">
        <is>
          <t>No</t>
        </is>
      </c>
      <c r="B508" t="inlineStr">
        <is>
          <t>BX1751.2 .B2413</t>
        </is>
      </c>
      <c r="C508" t="inlineStr">
        <is>
          <t>0                      BX 1751200B  2413</t>
        </is>
      </c>
      <c r="D508" t="inlineStr">
        <is>
          <t>Elucidations / Hans Urs von Balthasar ; translated [from the German] by John Riches.</t>
        </is>
      </c>
      <c r="F508" t="inlineStr">
        <is>
          <t>No</t>
        </is>
      </c>
      <c r="G508" t="inlineStr">
        <is>
          <t>1</t>
        </is>
      </c>
      <c r="H508" t="inlineStr">
        <is>
          <t>No</t>
        </is>
      </c>
      <c r="I508" t="inlineStr">
        <is>
          <t>No</t>
        </is>
      </c>
      <c r="J508" t="inlineStr">
        <is>
          <t>0</t>
        </is>
      </c>
      <c r="K508" t="inlineStr">
        <is>
          <t>Balthasar, Hans Urs von, 1905-1988.</t>
        </is>
      </c>
      <c r="L508" t="inlineStr">
        <is>
          <t>London : S. P. C. K., 1975.</t>
        </is>
      </c>
      <c r="M508" t="inlineStr">
        <is>
          <t>1975</t>
        </is>
      </c>
      <c r="O508" t="inlineStr">
        <is>
          <t>eng</t>
        </is>
      </c>
      <c r="P508" t="inlineStr">
        <is>
          <t>enk</t>
        </is>
      </c>
      <c r="R508" t="inlineStr">
        <is>
          <t xml:space="preserve">BX </t>
        </is>
      </c>
      <c r="S508" t="n">
        <v>6</v>
      </c>
      <c r="T508" t="n">
        <v>6</v>
      </c>
      <c r="U508" t="inlineStr">
        <is>
          <t>2003-05-04</t>
        </is>
      </c>
      <c r="V508" t="inlineStr">
        <is>
          <t>2003-05-04</t>
        </is>
      </c>
      <c r="W508" t="inlineStr">
        <is>
          <t>1992-01-02</t>
        </is>
      </c>
      <c r="X508" t="inlineStr">
        <is>
          <t>1992-01-02</t>
        </is>
      </c>
      <c r="Y508" t="n">
        <v>216</v>
      </c>
      <c r="Z508" t="n">
        <v>127</v>
      </c>
      <c r="AA508" t="n">
        <v>180</v>
      </c>
      <c r="AB508" t="n">
        <v>2</v>
      </c>
      <c r="AC508" t="n">
        <v>2</v>
      </c>
      <c r="AD508" t="n">
        <v>10</v>
      </c>
      <c r="AE508" t="n">
        <v>17</v>
      </c>
      <c r="AF508" t="n">
        <v>1</v>
      </c>
      <c r="AG508" t="n">
        <v>4</v>
      </c>
      <c r="AH508" t="n">
        <v>2</v>
      </c>
      <c r="AI508" t="n">
        <v>5</v>
      </c>
      <c r="AJ508" t="n">
        <v>9</v>
      </c>
      <c r="AK508" t="n">
        <v>13</v>
      </c>
      <c r="AL508" t="n">
        <v>0</v>
      </c>
      <c r="AM508" t="n">
        <v>0</v>
      </c>
      <c r="AN508" t="n">
        <v>0</v>
      </c>
      <c r="AO508" t="n">
        <v>0</v>
      </c>
      <c r="AP508" t="inlineStr">
        <is>
          <t>No</t>
        </is>
      </c>
      <c r="AQ508" t="inlineStr">
        <is>
          <t>Yes</t>
        </is>
      </c>
      <c r="AR508">
        <f>HYPERLINK("http://catalog.hathitrust.org/Record/001416517","HathiTrust Record")</f>
        <v/>
      </c>
      <c r="AS508">
        <f>HYPERLINK("https://creighton-primo.hosted.exlibrisgroup.com/primo-explore/search?tab=default_tab&amp;search_scope=EVERYTHING&amp;vid=01CRU&amp;lang=en_US&amp;offset=0&amp;query=any,contains,991003764209702656","Catalog Record")</f>
        <v/>
      </c>
      <c r="AT508">
        <f>HYPERLINK("http://www.worldcat.org/oclc/1455535","WorldCat Record")</f>
        <v/>
      </c>
      <c r="AU508" t="inlineStr">
        <is>
          <t>48536076:eng</t>
        </is>
      </c>
      <c r="AV508" t="inlineStr">
        <is>
          <t>1455535</t>
        </is>
      </c>
      <c r="AW508" t="inlineStr">
        <is>
          <t>991003764209702656</t>
        </is>
      </c>
      <c r="AX508" t="inlineStr">
        <is>
          <t>991003764209702656</t>
        </is>
      </c>
      <c r="AY508" t="inlineStr">
        <is>
          <t>2258593360002656</t>
        </is>
      </c>
      <c r="AZ508" t="inlineStr">
        <is>
          <t>BOOK</t>
        </is>
      </c>
      <c r="BB508" t="inlineStr">
        <is>
          <t>9780281027682</t>
        </is>
      </c>
      <c r="BC508" t="inlineStr">
        <is>
          <t>32285000882349</t>
        </is>
      </c>
      <c r="BD508" t="inlineStr">
        <is>
          <t>893252755</t>
        </is>
      </c>
    </row>
    <row r="509">
      <c r="A509" t="inlineStr">
        <is>
          <t>No</t>
        </is>
      </c>
      <c r="B509" t="inlineStr">
        <is>
          <t>BX1751.2 .B348 1986</t>
        </is>
      </c>
      <c r="C509" t="inlineStr">
        <is>
          <t>0                      BX 1751200B  348         1986</t>
        </is>
      </c>
      <c r="D509" t="inlineStr">
        <is>
          <t>New elucidations / Hans Urs von Balthasar ; translated by Mary Theresilde Skerry.</t>
        </is>
      </c>
      <c r="F509" t="inlineStr">
        <is>
          <t>No</t>
        </is>
      </c>
      <c r="G509" t="inlineStr">
        <is>
          <t>1</t>
        </is>
      </c>
      <c r="H509" t="inlineStr">
        <is>
          <t>No</t>
        </is>
      </c>
      <c r="I509" t="inlineStr">
        <is>
          <t>No</t>
        </is>
      </c>
      <c r="J509" t="inlineStr">
        <is>
          <t>0</t>
        </is>
      </c>
      <c r="K509" t="inlineStr">
        <is>
          <t>Balthasar, Hans Urs von, 1905-1988.</t>
        </is>
      </c>
      <c r="L509" t="inlineStr">
        <is>
          <t>San Francisco : Ignatius Press, c1986.</t>
        </is>
      </c>
      <c r="M509" t="inlineStr">
        <is>
          <t>1986</t>
        </is>
      </c>
      <c r="O509" t="inlineStr">
        <is>
          <t>eng</t>
        </is>
      </c>
      <c r="P509" t="inlineStr">
        <is>
          <t>cau</t>
        </is>
      </c>
      <c r="R509" t="inlineStr">
        <is>
          <t xml:space="preserve">BX </t>
        </is>
      </c>
      <c r="S509" t="n">
        <v>7</v>
      </c>
      <c r="T509" t="n">
        <v>7</v>
      </c>
      <c r="U509" t="inlineStr">
        <is>
          <t>2007-05-30</t>
        </is>
      </c>
      <c r="V509" t="inlineStr">
        <is>
          <t>2007-05-30</t>
        </is>
      </c>
      <c r="W509" t="inlineStr">
        <is>
          <t>1990-03-02</t>
        </is>
      </c>
      <c r="X509" t="inlineStr">
        <is>
          <t>1990-03-02</t>
        </is>
      </c>
      <c r="Y509" t="n">
        <v>200</v>
      </c>
      <c r="Z509" t="n">
        <v>155</v>
      </c>
      <c r="AA509" t="n">
        <v>166</v>
      </c>
      <c r="AB509" t="n">
        <v>3</v>
      </c>
      <c r="AC509" t="n">
        <v>3</v>
      </c>
      <c r="AD509" t="n">
        <v>12</v>
      </c>
      <c r="AE509" t="n">
        <v>12</v>
      </c>
      <c r="AF509" t="n">
        <v>4</v>
      </c>
      <c r="AG509" t="n">
        <v>4</v>
      </c>
      <c r="AH509" t="n">
        <v>3</v>
      </c>
      <c r="AI509" t="n">
        <v>3</v>
      </c>
      <c r="AJ509" t="n">
        <v>10</v>
      </c>
      <c r="AK509" t="n">
        <v>10</v>
      </c>
      <c r="AL509" t="n">
        <v>0</v>
      </c>
      <c r="AM509" t="n">
        <v>0</v>
      </c>
      <c r="AN509" t="n">
        <v>0</v>
      </c>
      <c r="AO509" t="n">
        <v>0</v>
      </c>
      <c r="AP509" t="inlineStr">
        <is>
          <t>No</t>
        </is>
      </c>
      <c r="AQ509" t="inlineStr">
        <is>
          <t>No</t>
        </is>
      </c>
      <c r="AS509">
        <f>HYPERLINK("https://creighton-primo.hosted.exlibrisgroup.com/primo-explore/search?tab=default_tab&amp;search_scope=EVERYTHING&amp;vid=01CRU&amp;lang=en_US&amp;offset=0&amp;query=any,contains,991000896799702656","Catalog Record")</f>
        <v/>
      </c>
      <c r="AT509">
        <f>HYPERLINK("http://www.worldcat.org/oclc/14355155","WorldCat Record")</f>
        <v/>
      </c>
      <c r="AU509" t="inlineStr">
        <is>
          <t>3373092382:eng</t>
        </is>
      </c>
      <c r="AV509" t="inlineStr">
        <is>
          <t>14355155</t>
        </is>
      </c>
      <c r="AW509" t="inlineStr">
        <is>
          <t>991000896799702656</t>
        </is>
      </c>
      <c r="AX509" t="inlineStr">
        <is>
          <t>991000896799702656</t>
        </is>
      </c>
      <c r="AY509" t="inlineStr">
        <is>
          <t>2258914340002656</t>
        </is>
      </c>
      <c r="AZ509" t="inlineStr">
        <is>
          <t>BOOK</t>
        </is>
      </c>
      <c r="BB509" t="inlineStr">
        <is>
          <t>9780898700411</t>
        </is>
      </c>
      <c r="BC509" t="inlineStr">
        <is>
          <t>32285000074376</t>
        </is>
      </c>
      <c r="BD509" t="inlineStr">
        <is>
          <t>893243696</t>
        </is>
      </c>
    </row>
    <row r="510">
      <c r="A510" t="inlineStr">
        <is>
          <t>No</t>
        </is>
      </c>
      <c r="B510" t="inlineStr">
        <is>
          <t>BX1751.2 .B4</t>
        </is>
      </c>
      <c r="C510" t="inlineStr">
        <is>
          <t>0                      BX 1751200B  4</t>
        </is>
      </c>
      <c r="D510" t="inlineStr">
        <is>
          <t>The bride; essays in the church / [by] Daniel Berrigan.</t>
        </is>
      </c>
      <c r="F510" t="inlineStr">
        <is>
          <t>No</t>
        </is>
      </c>
      <c r="G510" t="inlineStr">
        <is>
          <t>1</t>
        </is>
      </c>
      <c r="H510" t="inlineStr">
        <is>
          <t>No</t>
        </is>
      </c>
      <c r="I510" t="inlineStr">
        <is>
          <t>No</t>
        </is>
      </c>
      <c r="J510" t="inlineStr">
        <is>
          <t>0</t>
        </is>
      </c>
      <c r="K510" t="inlineStr">
        <is>
          <t>Berrigan, Daniel.</t>
        </is>
      </c>
      <c r="L510" t="inlineStr">
        <is>
          <t>New York : Macmillan, 1959.</t>
        </is>
      </c>
      <c r="M510" t="inlineStr">
        <is>
          <t>1959</t>
        </is>
      </c>
      <c r="O510" t="inlineStr">
        <is>
          <t>eng</t>
        </is>
      </c>
      <c r="P510" t="inlineStr">
        <is>
          <t>___</t>
        </is>
      </c>
      <c r="R510" t="inlineStr">
        <is>
          <t xml:space="preserve">BX </t>
        </is>
      </c>
      <c r="S510" t="n">
        <v>4</v>
      </c>
      <c r="T510" t="n">
        <v>4</v>
      </c>
      <c r="U510" t="inlineStr">
        <is>
          <t>2002-07-12</t>
        </is>
      </c>
      <c r="V510" t="inlineStr">
        <is>
          <t>2002-07-12</t>
        </is>
      </c>
      <c r="W510" t="inlineStr">
        <is>
          <t>1991-05-08</t>
        </is>
      </c>
      <c r="X510" t="inlineStr">
        <is>
          <t>1991-05-08</t>
        </is>
      </c>
      <c r="Y510" t="n">
        <v>289</v>
      </c>
      <c r="Z510" t="n">
        <v>253</v>
      </c>
      <c r="AA510" t="n">
        <v>260</v>
      </c>
      <c r="AB510" t="n">
        <v>2</v>
      </c>
      <c r="AC510" t="n">
        <v>2</v>
      </c>
      <c r="AD510" t="n">
        <v>32</v>
      </c>
      <c r="AE510" t="n">
        <v>32</v>
      </c>
      <c r="AF510" t="n">
        <v>9</v>
      </c>
      <c r="AG510" t="n">
        <v>9</v>
      </c>
      <c r="AH510" t="n">
        <v>9</v>
      </c>
      <c r="AI510" t="n">
        <v>9</v>
      </c>
      <c r="AJ510" t="n">
        <v>25</v>
      </c>
      <c r="AK510" t="n">
        <v>25</v>
      </c>
      <c r="AL510" t="n">
        <v>1</v>
      </c>
      <c r="AM510" t="n">
        <v>1</v>
      </c>
      <c r="AN510" t="n">
        <v>0</v>
      </c>
      <c r="AO510" t="n">
        <v>0</v>
      </c>
      <c r="AP510" t="inlineStr">
        <is>
          <t>No</t>
        </is>
      </c>
      <c r="AQ510" t="inlineStr">
        <is>
          <t>Yes</t>
        </is>
      </c>
      <c r="AR510">
        <f>HYPERLINK("http://catalog.hathitrust.org/Record/000314997","HathiTrust Record")</f>
        <v/>
      </c>
      <c r="AS510">
        <f>HYPERLINK("https://creighton-primo.hosted.exlibrisgroup.com/primo-explore/search?tab=default_tab&amp;search_scope=EVERYTHING&amp;vid=01CRU&amp;lang=en_US&amp;offset=0&amp;query=any,contains,991003173509702656","Catalog Record")</f>
        <v/>
      </c>
      <c r="AT510">
        <f>HYPERLINK("http://www.worldcat.org/oclc/708914","WorldCat Record")</f>
        <v/>
      </c>
      <c r="AU510" t="inlineStr">
        <is>
          <t>1647649:eng</t>
        </is>
      </c>
      <c r="AV510" t="inlineStr">
        <is>
          <t>708914</t>
        </is>
      </c>
      <c r="AW510" t="inlineStr">
        <is>
          <t>991003173509702656</t>
        </is>
      </c>
      <c r="AX510" t="inlineStr">
        <is>
          <t>991003173509702656</t>
        </is>
      </c>
      <c r="AY510" t="inlineStr">
        <is>
          <t>2269458660002656</t>
        </is>
      </c>
      <c r="AZ510" t="inlineStr">
        <is>
          <t>BOOK</t>
        </is>
      </c>
      <c r="BC510" t="inlineStr">
        <is>
          <t>32285000607910</t>
        </is>
      </c>
      <c r="BD510" t="inlineStr">
        <is>
          <t>893416115</t>
        </is>
      </c>
    </row>
    <row r="511">
      <c r="A511" t="inlineStr">
        <is>
          <t>No</t>
        </is>
      </c>
      <c r="B511" t="inlineStr">
        <is>
          <t>BX1751.2 .B613</t>
        </is>
      </c>
      <c r="C511" t="inlineStr">
        <is>
          <t>0                      BX 1751200B  613</t>
        </is>
      </c>
      <c r="D511" t="inlineStr">
        <is>
          <t>Christian humanism / by Louis Bouyer. Translated by A.V. Littledale.</t>
        </is>
      </c>
      <c r="F511" t="inlineStr">
        <is>
          <t>No</t>
        </is>
      </c>
      <c r="G511" t="inlineStr">
        <is>
          <t>1</t>
        </is>
      </c>
      <c r="H511" t="inlineStr">
        <is>
          <t>No</t>
        </is>
      </c>
      <c r="I511" t="inlineStr">
        <is>
          <t>No</t>
        </is>
      </c>
      <c r="J511" t="inlineStr">
        <is>
          <t>0</t>
        </is>
      </c>
      <c r="K511" t="inlineStr">
        <is>
          <t>Bouyer, Louis, 1913-2004.</t>
        </is>
      </c>
      <c r="L511" t="inlineStr">
        <is>
          <t>Westminster, Md., Newman Press, 1959 [c1958]</t>
        </is>
      </c>
      <c r="M511" t="inlineStr">
        <is>
          <t>1959</t>
        </is>
      </c>
      <c r="O511" t="inlineStr">
        <is>
          <t>eng</t>
        </is>
      </c>
      <c r="P511" t="inlineStr">
        <is>
          <t>___</t>
        </is>
      </c>
      <c r="R511" t="inlineStr">
        <is>
          <t xml:space="preserve">BX </t>
        </is>
      </c>
      <c r="S511" t="n">
        <v>8</v>
      </c>
      <c r="T511" t="n">
        <v>8</v>
      </c>
      <c r="U511" t="inlineStr">
        <is>
          <t>2001-04-18</t>
        </is>
      </c>
      <c r="V511" t="inlineStr">
        <is>
          <t>2001-04-18</t>
        </is>
      </c>
      <c r="W511" t="inlineStr">
        <is>
          <t>1991-05-08</t>
        </is>
      </c>
      <c r="X511" t="inlineStr">
        <is>
          <t>1991-05-08</t>
        </is>
      </c>
      <c r="Y511" t="n">
        <v>168</v>
      </c>
      <c r="Z511" t="n">
        <v>152</v>
      </c>
      <c r="AA511" t="n">
        <v>185</v>
      </c>
      <c r="AB511" t="n">
        <v>2</v>
      </c>
      <c r="AC511" t="n">
        <v>2</v>
      </c>
      <c r="AD511" t="n">
        <v>21</v>
      </c>
      <c r="AE511" t="n">
        <v>25</v>
      </c>
      <c r="AF511" t="n">
        <v>7</v>
      </c>
      <c r="AG511" t="n">
        <v>8</v>
      </c>
      <c r="AH511" t="n">
        <v>7</v>
      </c>
      <c r="AI511" t="n">
        <v>8</v>
      </c>
      <c r="AJ511" t="n">
        <v>15</v>
      </c>
      <c r="AK511" t="n">
        <v>18</v>
      </c>
      <c r="AL511" t="n">
        <v>0</v>
      </c>
      <c r="AM511" t="n">
        <v>0</v>
      </c>
      <c r="AN511" t="n">
        <v>0</v>
      </c>
      <c r="AO511" t="n">
        <v>0</v>
      </c>
      <c r="AP511" t="inlineStr">
        <is>
          <t>No</t>
        </is>
      </c>
      <c r="AQ511" t="inlineStr">
        <is>
          <t>No</t>
        </is>
      </c>
      <c r="AS511">
        <f>HYPERLINK("https://creighton-primo.hosted.exlibrisgroup.com/primo-explore/search?tab=default_tab&amp;search_scope=EVERYTHING&amp;vid=01CRU&amp;lang=en_US&amp;offset=0&amp;query=any,contains,991002744119702656","Catalog Record")</f>
        <v/>
      </c>
      <c r="AT511">
        <f>HYPERLINK("http://www.worldcat.org/oclc/422142","WorldCat Record")</f>
        <v/>
      </c>
      <c r="AU511" t="inlineStr">
        <is>
          <t>4159892182:eng</t>
        </is>
      </c>
      <c r="AV511" t="inlineStr">
        <is>
          <t>422142</t>
        </is>
      </c>
      <c r="AW511" t="inlineStr">
        <is>
          <t>991002744119702656</t>
        </is>
      </c>
      <c r="AX511" t="inlineStr">
        <is>
          <t>991002744119702656</t>
        </is>
      </c>
      <c r="AY511" t="inlineStr">
        <is>
          <t>2267537350002656</t>
        </is>
      </c>
      <c r="AZ511" t="inlineStr">
        <is>
          <t>BOOK</t>
        </is>
      </c>
      <c r="BC511" t="inlineStr">
        <is>
          <t>32285000607936</t>
        </is>
      </c>
      <c r="BD511" t="inlineStr">
        <is>
          <t>893710628</t>
        </is>
      </c>
    </row>
    <row r="512">
      <c r="A512" t="inlineStr">
        <is>
          <t>No</t>
        </is>
      </c>
      <c r="B512" t="inlineStr">
        <is>
          <t>BX1751.2 .B76</t>
        </is>
      </c>
      <c r="C512" t="inlineStr">
        <is>
          <t>0                      BX 1751200B  76</t>
        </is>
      </c>
      <c r="D512" t="inlineStr">
        <is>
          <t>Biblical reflections on crises facing the church / by Raymond E. Brown.</t>
        </is>
      </c>
      <c r="F512" t="inlineStr">
        <is>
          <t>No</t>
        </is>
      </c>
      <c r="G512" t="inlineStr">
        <is>
          <t>1</t>
        </is>
      </c>
      <c r="H512" t="inlineStr">
        <is>
          <t>No</t>
        </is>
      </c>
      <c r="I512" t="inlineStr">
        <is>
          <t>No</t>
        </is>
      </c>
      <c r="J512" t="inlineStr">
        <is>
          <t>0</t>
        </is>
      </c>
      <c r="K512" t="inlineStr">
        <is>
          <t>Brown, Raymond E. (Raymond Edward), 1928-1998.</t>
        </is>
      </c>
      <c r="L512" t="inlineStr">
        <is>
          <t>New York : Paulist Press, 1975.</t>
        </is>
      </c>
      <c r="M512" t="inlineStr">
        <is>
          <t>1975</t>
        </is>
      </c>
      <c r="O512" t="inlineStr">
        <is>
          <t>eng</t>
        </is>
      </c>
      <c r="P512" t="inlineStr">
        <is>
          <t>nyu</t>
        </is>
      </c>
      <c r="R512" t="inlineStr">
        <is>
          <t xml:space="preserve">BX </t>
        </is>
      </c>
      <c r="S512" t="n">
        <v>7</v>
      </c>
      <c r="T512" t="n">
        <v>7</v>
      </c>
      <c r="U512" t="inlineStr">
        <is>
          <t>2000-11-08</t>
        </is>
      </c>
      <c r="V512" t="inlineStr">
        <is>
          <t>2000-11-08</t>
        </is>
      </c>
      <c r="W512" t="inlineStr">
        <is>
          <t>1991-05-08</t>
        </is>
      </c>
      <c r="X512" t="inlineStr">
        <is>
          <t>1991-05-08</t>
        </is>
      </c>
      <c r="Y512" t="n">
        <v>480</v>
      </c>
      <c r="Z512" t="n">
        <v>412</v>
      </c>
      <c r="AA512" t="n">
        <v>420</v>
      </c>
      <c r="AB512" t="n">
        <v>3</v>
      </c>
      <c r="AC512" t="n">
        <v>3</v>
      </c>
      <c r="AD512" t="n">
        <v>33</v>
      </c>
      <c r="AE512" t="n">
        <v>33</v>
      </c>
      <c r="AF512" t="n">
        <v>12</v>
      </c>
      <c r="AG512" t="n">
        <v>12</v>
      </c>
      <c r="AH512" t="n">
        <v>7</v>
      </c>
      <c r="AI512" t="n">
        <v>7</v>
      </c>
      <c r="AJ512" t="n">
        <v>25</v>
      </c>
      <c r="AK512" t="n">
        <v>25</v>
      </c>
      <c r="AL512" t="n">
        <v>1</v>
      </c>
      <c r="AM512" t="n">
        <v>1</v>
      </c>
      <c r="AN512" t="n">
        <v>0</v>
      </c>
      <c r="AO512" t="n">
        <v>0</v>
      </c>
      <c r="AP512" t="inlineStr">
        <is>
          <t>No</t>
        </is>
      </c>
      <c r="AQ512" t="inlineStr">
        <is>
          <t>Yes</t>
        </is>
      </c>
      <c r="AR512">
        <f>HYPERLINK("http://catalog.hathitrust.org/Record/002885362","HathiTrust Record")</f>
        <v/>
      </c>
      <c r="AS512">
        <f>HYPERLINK("https://creighton-primo.hosted.exlibrisgroup.com/primo-explore/search?tab=default_tab&amp;search_scope=EVERYTHING&amp;vid=01CRU&amp;lang=en_US&amp;offset=0&amp;query=any,contains,991003873509702656","Catalog Record")</f>
        <v/>
      </c>
      <c r="AT512">
        <f>HYPERLINK("http://www.worldcat.org/oclc/1699188","WorldCat Record")</f>
        <v/>
      </c>
      <c r="AU512" t="inlineStr">
        <is>
          <t>466105:eng</t>
        </is>
      </c>
      <c r="AV512" t="inlineStr">
        <is>
          <t>1699188</t>
        </is>
      </c>
      <c r="AW512" t="inlineStr">
        <is>
          <t>991003873509702656</t>
        </is>
      </c>
      <c r="AX512" t="inlineStr">
        <is>
          <t>991003873509702656</t>
        </is>
      </c>
      <c r="AY512" t="inlineStr">
        <is>
          <t>2269811480002656</t>
        </is>
      </c>
      <c r="AZ512" t="inlineStr">
        <is>
          <t>BOOK</t>
        </is>
      </c>
      <c r="BB512" t="inlineStr">
        <is>
          <t>9780809118915</t>
        </is>
      </c>
      <c r="BC512" t="inlineStr">
        <is>
          <t>32285000607944</t>
        </is>
      </c>
      <c r="BD512" t="inlineStr">
        <is>
          <t>893617890</t>
        </is>
      </c>
    </row>
    <row r="513">
      <c r="A513" t="inlineStr">
        <is>
          <t>No</t>
        </is>
      </c>
      <c r="B513" t="inlineStr">
        <is>
          <t>BX1751.2 .C33</t>
        </is>
      </c>
      <c r="C513" t="inlineStr">
        <is>
          <t>0                      BX 1751200C  33</t>
        </is>
      </c>
      <c r="D513" t="inlineStr">
        <is>
          <t>Spectrum of Catholic attitudes, edited by Robert Campbell. Contributors: William F. Buckley, Jr. [and others]</t>
        </is>
      </c>
      <c r="F513" t="inlineStr">
        <is>
          <t>No</t>
        </is>
      </c>
      <c r="G513" t="inlineStr">
        <is>
          <t>1</t>
        </is>
      </c>
      <c r="H513" t="inlineStr">
        <is>
          <t>No</t>
        </is>
      </c>
      <c r="I513" t="inlineStr">
        <is>
          <t>No</t>
        </is>
      </c>
      <c r="J513" t="inlineStr">
        <is>
          <t>0</t>
        </is>
      </c>
      <c r="K513" t="inlineStr">
        <is>
          <t>Campbell, Robert, 1919-</t>
        </is>
      </c>
      <c r="L513" t="inlineStr">
        <is>
          <t>Milwaukee, Bruce Pub. Co. [1969]</t>
        </is>
      </c>
      <c r="M513" t="inlineStr">
        <is>
          <t>1969</t>
        </is>
      </c>
      <c r="O513" t="inlineStr">
        <is>
          <t>eng</t>
        </is>
      </c>
      <c r="P513" t="inlineStr">
        <is>
          <t>wiu</t>
        </is>
      </c>
      <c r="R513" t="inlineStr">
        <is>
          <t xml:space="preserve">BX </t>
        </is>
      </c>
      <c r="S513" t="n">
        <v>2</v>
      </c>
      <c r="T513" t="n">
        <v>2</v>
      </c>
      <c r="U513" t="inlineStr">
        <is>
          <t>1998-12-06</t>
        </is>
      </c>
      <c r="V513" t="inlineStr">
        <is>
          <t>1998-12-06</t>
        </is>
      </c>
      <c r="W513" t="inlineStr">
        <is>
          <t>1991-05-08</t>
        </is>
      </c>
      <c r="X513" t="inlineStr">
        <is>
          <t>1991-05-08</t>
        </is>
      </c>
      <c r="Y513" t="n">
        <v>347</v>
      </c>
      <c r="Z513" t="n">
        <v>320</v>
      </c>
      <c r="AA513" t="n">
        <v>325</v>
      </c>
      <c r="AB513" t="n">
        <v>6</v>
      </c>
      <c r="AC513" t="n">
        <v>6</v>
      </c>
      <c r="AD513" t="n">
        <v>27</v>
      </c>
      <c r="AE513" t="n">
        <v>27</v>
      </c>
      <c r="AF513" t="n">
        <v>9</v>
      </c>
      <c r="AG513" t="n">
        <v>9</v>
      </c>
      <c r="AH513" t="n">
        <v>9</v>
      </c>
      <c r="AI513" t="n">
        <v>9</v>
      </c>
      <c r="AJ513" t="n">
        <v>13</v>
      </c>
      <c r="AK513" t="n">
        <v>13</v>
      </c>
      <c r="AL513" t="n">
        <v>3</v>
      </c>
      <c r="AM513" t="n">
        <v>3</v>
      </c>
      <c r="AN513" t="n">
        <v>0</v>
      </c>
      <c r="AO513" t="n">
        <v>0</v>
      </c>
      <c r="AP513" t="inlineStr">
        <is>
          <t>No</t>
        </is>
      </c>
      <c r="AQ513" t="inlineStr">
        <is>
          <t>Yes</t>
        </is>
      </c>
      <c r="AR513">
        <f>HYPERLINK("http://catalog.hathitrust.org/Record/009957835","HathiTrust Record")</f>
        <v/>
      </c>
      <c r="AS513">
        <f>HYPERLINK("https://creighton-primo.hosted.exlibrisgroup.com/primo-explore/search?tab=default_tab&amp;search_scope=EVERYTHING&amp;vid=01CRU&amp;lang=en_US&amp;offset=0&amp;query=any,contains,991000097449702656","Catalog Record")</f>
        <v/>
      </c>
      <c r="AT513">
        <f>HYPERLINK("http://www.worldcat.org/oclc/42235","WorldCat Record")</f>
        <v/>
      </c>
      <c r="AU513" t="inlineStr">
        <is>
          <t>1211369:eng</t>
        </is>
      </c>
      <c r="AV513" t="inlineStr">
        <is>
          <t>42235</t>
        </is>
      </c>
      <c r="AW513" t="inlineStr">
        <is>
          <t>991000097449702656</t>
        </is>
      </c>
      <c r="AX513" t="inlineStr">
        <is>
          <t>991000097449702656</t>
        </is>
      </c>
      <c r="AY513" t="inlineStr">
        <is>
          <t>2260314850002656</t>
        </is>
      </c>
      <c r="AZ513" t="inlineStr">
        <is>
          <t>BOOK</t>
        </is>
      </c>
      <c r="BC513" t="inlineStr">
        <is>
          <t>32285000607951</t>
        </is>
      </c>
      <c r="BD513" t="inlineStr">
        <is>
          <t>893521395</t>
        </is>
      </c>
    </row>
    <row r="514">
      <c r="A514" t="inlineStr">
        <is>
          <t>No</t>
        </is>
      </c>
      <c r="B514" t="inlineStr">
        <is>
          <t>BX1751.2 .C3464 1988</t>
        </is>
      </c>
      <c r="C514" t="inlineStr">
        <is>
          <t>0                      BX 1751200C  3464        1988</t>
        </is>
      </c>
      <c r="D514" t="inlineStr">
        <is>
          <t>The Catholic faith : a reader / Lawrence S. Cunningham, editor.</t>
        </is>
      </c>
      <c r="F514" t="inlineStr">
        <is>
          <t>No</t>
        </is>
      </c>
      <c r="G514" t="inlineStr">
        <is>
          <t>1</t>
        </is>
      </c>
      <c r="H514" t="inlineStr">
        <is>
          <t>No</t>
        </is>
      </c>
      <c r="I514" t="inlineStr">
        <is>
          <t>No</t>
        </is>
      </c>
      <c r="J514" t="inlineStr">
        <is>
          <t>0</t>
        </is>
      </c>
      <c r="L514" t="inlineStr">
        <is>
          <t>New York : Paulist Press, c1988.</t>
        </is>
      </c>
      <c r="M514" t="inlineStr">
        <is>
          <t>1988</t>
        </is>
      </c>
      <c r="O514" t="inlineStr">
        <is>
          <t>eng</t>
        </is>
      </c>
      <c r="P514" t="inlineStr">
        <is>
          <t>nyu</t>
        </is>
      </c>
      <c r="R514" t="inlineStr">
        <is>
          <t xml:space="preserve">BX </t>
        </is>
      </c>
      <c r="S514" t="n">
        <v>3</v>
      </c>
      <c r="T514" t="n">
        <v>3</v>
      </c>
      <c r="U514" t="inlineStr">
        <is>
          <t>2008-05-02</t>
        </is>
      </c>
      <c r="V514" t="inlineStr">
        <is>
          <t>2008-05-02</t>
        </is>
      </c>
      <c r="W514" t="inlineStr">
        <is>
          <t>1990-05-24</t>
        </is>
      </c>
      <c r="X514" t="inlineStr">
        <is>
          <t>1990-05-24</t>
        </is>
      </c>
      <c r="Y514" t="n">
        <v>150</v>
      </c>
      <c r="Z514" t="n">
        <v>133</v>
      </c>
      <c r="AA514" t="n">
        <v>133</v>
      </c>
      <c r="AB514" t="n">
        <v>1</v>
      </c>
      <c r="AC514" t="n">
        <v>1</v>
      </c>
      <c r="AD514" t="n">
        <v>19</v>
      </c>
      <c r="AE514" t="n">
        <v>19</v>
      </c>
      <c r="AF514" t="n">
        <v>3</v>
      </c>
      <c r="AG514" t="n">
        <v>3</v>
      </c>
      <c r="AH514" t="n">
        <v>7</v>
      </c>
      <c r="AI514" t="n">
        <v>7</v>
      </c>
      <c r="AJ514" t="n">
        <v>13</v>
      </c>
      <c r="AK514" t="n">
        <v>13</v>
      </c>
      <c r="AL514" t="n">
        <v>0</v>
      </c>
      <c r="AM514" t="n">
        <v>0</v>
      </c>
      <c r="AN514" t="n">
        <v>0</v>
      </c>
      <c r="AO514" t="n">
        <v>0</v>
      </c>
      <c r="AP514" t="inlineStr">
        <is>
          <t>No</t>
        </is>
      </c>
      <c r="AQ514" t="inlineStr">
        <is>
          <t>No</t>
        </is>
      </c>
      <c r="AS514">
        <f>HYPERLINK("https://creighton-primo.hosted.exlibrisgroup.com/primo-explore/search?tab=default_tab&amp;search_scope=EVERYTHING&amp;vid=01CRU&amp;lang=en_US&amp;offset=0&amp;query=any,contains,991001316239702656","Catalog Record")</f>
        <v/>
      </c>
      <c r="AT514">
        <f>HYPERLINK("http://www.worldcat.org/oclc/18190818","WorldCat Record")</f>
        <v/>
      </c>
      <c r="AU514" t="inlineStr">
        <is>
          <t>3372470562:eng</t>
        </is>
      </c>
      <c r="AV514" t="inlineStr">
        <is>
          <t>18190818</t>
        </is>
      </c>
      <c r="AW514" t="inlineStr">
        <is>
          <t>991001316239702656</t>
        </is>
      </c>
      <c r="AX514" t="inlineStr">
        <is>
          <t>991001316239702656</t>
        </is>
      </c>
      <c r="AY514" t="inlineStr">
        <is>
          <t>2270506770002656</t>
        </is>
      </c>
      <c r="AZ514" t="inlineStr">
        <is>
          <t>BOOK</t>
        </is>
      </c>
      <c r="BB514" t="inlineStr">
        <is>
          <t>9780809130207</t>
        </is>
      </c>
      <c r="BC514" t="inlineStr">
        <is>
          <t>32285000166461</t>
        </is>
      </c>
      <c r="BD514" t="inlineStr">
        <is>
          <t>893891489</t>
        </is>
      </c>
    </row>
    <row r="515">
      <c r="A515" t="inlineStr">
        <is>
          <t>No</t>
        </is>
      </c>
      <c r="B515" t="inlineStr">
        <is>
          <t>BX1751.2 .C45 1975</t>
        </is>
      </c>
      <c r="C515" t="inlineStr">
        <is>
          <t>0                      BX 1751200C  45          1975</t>
        </is>
      </c>
      <c r="D515" t="inlineStr">
        <is>
          <t>An introduction to the faith of Catholics / Richard Chilson.</t>
        </is>
      </c>
      <c r="F515" t="inlineStr">
        <is>
          <t>No</t>
        </is>
      </c>
      <c r="G515" t="inlineStr">
        <is>
          <t>1</t>
        </is>
      </c>
      <c r="H515" t="inlineStr">
        <is>
          <t>No</t>
        </is>
      </c>
      <c r="I515" t="inlineStr">
        <is>
          <t>No</t>
        </is>
      </c>
      <c r="J515" t="inlineStr">
        <is>
          <t>0</t>
        </is>
      </c>
      <c r="K515" t="inlineStr">
        <is>
          <t>Chilson, Richard.</t>
        </is>
      </c>
      <c r="L515" t="inlineStr">
        <is>
          <t>New York : Paulist Press, 1975, c1972.</t>
        </is>
      </c>
      <c r="M515" t="inlineStr">
        <is>
          <t>1975</t>
        </is>
      </c>
      <c r="N515" t="inlineStr">
        <is>
          <t>Newly rev. and expanded ed.</t>
        </is>
      </c>
      <c r="O515" t="inlineStr">
        <is>
          <t>eng</t>
        </is>
      </c>
      <c r="P515" t="inlineStr">
        <is>
          <t>nyu</t>
        </is>
      </c>
      <c r="Q515" t="inlineStr">
        <is>
          <t>Deus books</t>
        </is>
      </c>
      <c r="R515" t="inlineStr">
        <is>
          <t xml:space="preserve">BX </t>
        </is>
      </c>
      <c r="S515" t="n">
        <v>1</v>
      </c>
      <c r="T515" t="n">
        <v>1</v>
      </c>
      <c r="U515" t="inlineStr">
        <is>
          <t>1992-07-22</t>
        </is>
      </c>
      <c r="V515" t="inlineStr">
        <is>
          <t>1992-07-22</t>
        </is>
      </c>
      <c r="W515" t="inlineStr">
        <is>
          <t>1991-05-08</t>
        </is>
      </c>
      <c r="X515" t="inlineStr">
        <is>
          <t>1991-05-08</t>
        </is>
      </c>
      <c r="Y515" t="n">
        <v>114</v>
      </c>
      <c r="Z515" t="n">
        <v>110</v>
      </c>
      <c r="AA515" t="n">
        <v>213</v>
      </c>
      <c r="AB515" t="n">
        <v>2</v>
      </c>
      <c r="AC515" t="n">
        <v>2</v>
      </c>
      <c r="AD515" t="n">
        <v>10</v>
      </c>
      <c r="AE515" t="n">
        <v>17</v>
      </c>
      <c r="AF515" t="n">
        <v>2</v>
      </c>
      <c r="AG515" t="n">
        <v>4</v>
      </c>
      <c r="AH515" t="n">
        <v>2</v>
      </c>
      <c r="AI515" t="n">
        <v>3</v>
      </c>
      <c r="AJ515" t="n">
        <v>8</v>
      </c>
      <c r="AK515" t="n">
        <v>15</v>
      </c>
      <c r="AL515" t="n">
        <v>0</v>
      </c>
      <c r="AM515" t="n">
        <v>0</v>
      </c>
      <c r="AN515" t="n">
        <v>0</v>
      </c>
      <c r="AO515" t="n">
        <v>0</v>
      </c>
      <c r="AP515" t="inlineStr">
        <is>
          <t>No</t>
        </is>
      </c>
      <c r="AQ515" t="inlineStr">
        <is>
          <t>No</t>
        </is>
      </c>
      <c r="AS515">
        <f>HYPERLINK("https://creighton-primo.hosted.exlibrisgroup.com/primo-explore/search?tab=default_tab&amp;search_scope=EVERYTHING&amp;vid=01CRU&amp;lang=en_US&amp;offset=0&amp;query=any,contains,991004339549702656","Catalog Record")</f>
        <v/>
      </c>
      <c r="AT515">
        <f>HYPERLINK("http://www.worldcat.org/oclc/3086057","WorldCat Record")</f>
        <v/>
      </c>
      <c r="AU515" t="inlineStr">
        <is>
          <t>579476:eng</t>
        </is>
      </c>
      <c r="AV515" t="inlineStr">
        <is>
          <t>3086057</t>
        </is>
      </c>
      <c r="AW515" t="inlineStr">
        <is>
          <t>991004339549702656</t>
        </is>
      </c>
      <c r="AX515" t="inlineStr">
        <is>
          <t>991004339549702656</t>
        </is>
      </c>
      <c r="AY515" t="inlineStr">
        <is>
          <t>2266860370002656</t>
        </is>
      </c>
      <c r="AZ515" t="inlineStr">
        <is>
          <t>BOOK</t>
        </is>
      </c>
      <c r="BB515" t="inlineStr">
        <is>
          <t>9780809118731</t>
        </is>
      </c>
      <c r="BC515" t="inlineStr">
        <is>
          <t>32285000607969</t>
        </is>
      </c>
      <c r="BD515" t="inlineStr">
        <is>
          <t>893532286</t>
        </is>
      </c>
    </row>
    <row r="516">
      <c r="A516" t="inlineStr">
        <is>
          <t>No</t>
        </is>
      </c>
      <c r="B516" t="inlineStr">
        <is>
          <t>BX1751.2 .C646 2001</t>
        </is>
      </c>
      <c r="C516" t="inlineStr">
        <is>
          <t>0                      BX 1751200C  646         2001</t>
        </is>
      </c>
      <c r="D516" t="inlineStr">
        <is>
          <t>The convergence of theology : a festschrift honoring Gerald O'Collins, S.J. / edited by Daniel Kendall and Stephen T. Davis ; foreword by George Carey.</t>
        </is>
      </c>
      <c r="F516" t="inlineStr">
        <is>
          <t>No</t>
        </is>
      </c>
      <c r="G516" t="inlineStr">
        <is>
          <t>1</t>
        </is>
      </c>
      <c r="H516" t="inlineStr">
        <is>
          <t>No</t>
        </is>
      </c>
      <c r="I516" t="inlineStr">
        <is>
          <t>No</t>
        </is>
      </c>
      <c r="J516" t="inlineStr">
        <is>
          <t>0</t>
        </is>
      </c>
      <c r="L516" t="inlineStr">
        <is>
          <t>New York : Paulist Press, c2001.</t>
        </is>
      </c>
      <c r="M516" t="inlineStr">
        <is>
          <t>2001</t>
        </is>
      </c>
      <c r="O516" t="inlineStr">
        <is>
          <t>eng</t>
        </is>
      </c>
      <c r="P516" t="inlineStr">
        <is>
          <t>nyu</t>
        </is>
      </c>
      <c r="R516" t="inlineStr">
        <is>
          <t xml:space="preserve">BX </t>
        </is>
      </c>
      <c r="S516" t="n">
        <v>1</v>
      </c>
      <c r="T516" t="n">
        <v>1</v>
      </c>
      <c r="U516" t="inlineStr">
        <is>
          <t>2001-08-28</t>
        </is>
      </c>
      <c r="V516" t="inlineStr">
        <is>
          <t>2001-08-28</t>
        </is>
      </c>
      <c r="W516" t="inlineStr">
        <is>
          <t>2001-08-27</t>
        </is>
      </c>
      <c r="X516" t="inlineStr">
        <is>
          <t>2001-08-27</t>
        </is>
      </c>
      <c r="Y516" t="n">
        <v>173</v>
      </c>
      <c r="Z516" t="n">
        <v>145</v>
      </c>
      <c r="AA516" t="n">
        <v>145</v>
      </c>
      <c r="AB516" t="n">
        <v>1</v>
      </c>
      <c r="AC516" t="n">
        <v>1</v>
      </c>
      <c r="AD516" t="n">
        <v>19</v>
      </c>
      <c r="AE516" t="n">
        <v>19</v>
      </c>
      <c r="AF516" t="n">
        <v>5</v>
      </c>
      <c r="AG516" t="n">
        <v>5</v>
      </c>
      <c r="AH516" t="n">
        <v>5</v>
      </c>
      <c r="AI516" t="n">
        <v>5</v>
      </c>
      <c r="AJ516" t="n">
        <v>14</v>
      </c>
      <c r="AK516" t="n">
        <v>14</v>
      </c>
      <c r="AL516" t="n">
        <v>0</v>
      </c>
      <c r="AM516" t="n">
        <v>0</v>
      </c>
      <c r="AN516" t="n">
        <v>0</v>
      </c>
      <c r="AO516" t="n">
        <v>0</v>
      </c>
      <c r="AP516" t="inlineStr">
        <is>
          <t>No</t>
        </is>
      </c>
      <c r="AQ516" t="inlineStr">
        <is>
          <t>No</t>
        </is>
      </c>
      <c r="AS516">
        <f>HYPERLINK("https://creighton-primo.hosted.exlibrisgroup.com/primo-explore/search?tab=default_tab&amp;search_scope=EVERYTHING&amp;vid=01CRU&amp;lang=en_US&amp;offset=0&amp;query=any,contains,991003576169702656","Catalog Record")</f>
        <v/>
      </c>
      <c r="AT516">
        <f>HYPERLINK("http://www.worldcat.org/oclc/45393406","WorldCat Record")</f>
        <v/>
      </c>
      <c r="AU516" t="inlineStr">
        <is>
          <t>366181780:eng</t>
        </is>
      </c>
      <c r="AV516" t="inlineStr">
        <is>
          <t>45393406</t>
        </is>
      </c>
      <c r="AW516" t="inlineStr">
        <is>
          <t>991003576169702656</t>
        </is>
      </c>
      <c r="AX516" t="inlineStr">
        <is>
          <t>991003576169702656</t>
        </is>
      </c>
      <c r="AY516" t="inlineStr">
        <is>
          <t>2264714260002656</t>
        </is>
      </c>
      <c r="AZ516" t="inlineStr">
        <is>
          <t>BOOK</t>
        </is>
      </c>
      <c r="BB516" t="inlineStr">
        <is>
          <t>9780809140152</t>
        </is>
      </c>
      <c r="BC516" t="inlineStr">
        <is>
          <t>32285004381009</t>
        </is>
      </c>
      <c r="BD516" t="inlineStr">
        <is>
          <t>893352902</t>
        </is>
      </c>
    </row>
    <row r="517">
      <c r="A517" t="inlineStr">
        <is>
          <t>No</t>
        </is>
      </c>
      <c r="B517" t="inlineStr">
        <is>
          <t>BX1751.2 .C66 1964</t>
        </is>
      </c>
      <c r="C517" t="inlineStr">
        <is>
          <t>0                      BX 1751200C  66          1964</t>
        </is>
      </c>
      <c r="D517" t="inlineStr">
        <is>
          <t>Roman Catholicism / by Thomas Corbishley.</t>
        </is>
      </c>
      <c r="F517" t="inlineStr">
        <is>
          <t>No</t>
        </is>
      </c>
      <c r="G517" t="inlineStr">
        <is>
          <t>1</t>
        </is>
      </c>
      <c r="H517" t="inlineStr">
        <is>
          <t>No</t>
        </is>
      </c>
      <c r="I517" t="inlineStr">
        <is>
          <t>No</t>
        </is>
      </c>
      <c r="J517" t="inlineStr">
        <is>
          <t>0</t>
        </is>
      </c>
      <c r="K517" t="inlineStr">
        <is>
          <t>Corbishley, Thomas.</t>
        </is>
      </c>
      <c r="L517" t="inlineStr">
        <is>
          <t>New York, Harper &amp; Row [1964]</t>
        </is>
      </c>
      <c r="M517" t="inlineStr">
        <is>
          <t>1964</t>
        </is>
      </c>
      <c r="O517" t="inlineStr">
        <is>
          <t>eng</t>
        </is>
      </c>
      <c r="P517" t="inlineStr">
        <is>
          <t>nyu</t>
        </is>
      </c>
      <c r="Q517" t="inlineStr">
        <is>
          <t>Harper torchbooks. The Cloister library</t>
        </is>
      </c>
      <c r="R517" t="inlineStr">
        <is>
          <t xml:space="preserve">BX </t>
        </is>
      </c>
      <c r="S517" t="n">
        <v>6</v>
      </c>
      <c r="T517" t="n">
        <v>6</v>
      </c>
      <c r="U517" t="inlineStr">
        <is>
          <t>2008-12-01</t>
        </is>
      </c>
      <c r="V517" t="inlineStr">
        <is>
          <t>2008-12-01</t>
        </is>
      </c>
      <c r="W517" t="inlineStr">
        <is>
          <t>1991-05-08</t>
        </is>
      </c>
      <c r="X517" t="inlineStr">
        <is>
          <t>1991-05-08</t>
        </is>
      </c>
      <c r="Y517" t="n">
        <v>140</v>
      </c>
      <c r="Z517" t="n">
        <v>122</v>
      </c>
      <c r="AA517" t="n">
        <v>162</v>
      </c>
      <c r="AB517" t="n">
        <v>1</v>
      </c>
      <c r="AC517" t="n">
        <v>1</v>
      </c>
      <c r="AD517" t="n">
        <v>8</v>
      </c>
      <c r="AE517" t="n">
        <v>9</v>
      </c>
      <c r="AF517" t="n">
        <v>3</v>
      </c>
      <c r="AG517" t="n">
        <v>3</v>
      </c>
      <c r="AH517" t="n">
        <v>2</v>
      </c>
      <c r="AI517" t="n">
        <v>3</v>
      </c>
      <c r="AJ517" t="n">
        <v>5</v>
      </c>
      <c r="AK517" t="n">
        <v>5</v>
      </c>
      <c r="AL517" t="n">
        <v>0</v>
      </c>
      <c r="AM517" t="n">
        <v>0</v>
      </c>
      <c r="AN517" t="n">
        <v>0</v>
      </c>
      <c r="AO517" t="n">
        <v>0</v>
      </c>
      <c r="AP517" t="inlineStr">
        <is>
          <t>No</t>
        </is>
      </c>
      <c r="AQ517" t="inlineStr">
        <is>
          <t>No</t>
        </is>
      </c>
      <c r="AS517">
        <f>HYPERLINK("https://creighton-primo.hosted.exlibrisgroup.com/primo-explore/search?tab=default_tab&amp;search_scope=EVERYTHING&amp;vid=01CRU&amp;lang=en_US&amp;offset=0&amp;query=any,contains,991004311579702656","Catalog Record")</f>
        <v/>
      </c>
      <c r="AT517">
        <f>HYPERLINK("http://www.worldcat.org/oclc/2996938","WorldCat Record")</f>
        <v/>
      </c>
      <c r="AU517" t="inlineStr">
        <is>
          <t>1136397:eng</t>
        </is>
      </c>
      <c r="AV517" t="inlineStr">
        <is>
          <t>2996938</t>
        </is>
      </c>
      <c r="AW517" t="inlineStr">
        <is>
          <t>991004311579702656</t>
        </is>
      </c>
      <c r="AX517" t="inlineStr">
        <is>
          <t>991004311579702656</t>
        </is>
      </c>
      <c r="AY517" t="inlineStr">
        <is>
          <t>2258426710002656</t>
        </is>
      </c>
      <c r="AZ517" t="inlineStr">
        <is>
          <t>BOOK</t>
        </is>
      </c>
      <c r="BC517" t="inlineStr">
        <is>
          <t>32285000607993</t>
        </is>
      </c>
      <c r="BD517" t="inlineStr">
        <is>
          <t>893513079</t>
        </is>
      </c>
    </row>
    <row r="518">
      <c r="A518" t="inlineStr">
        <is>
          <t>No</t>
        </is>
      </c>
      <c r="B518" t="inlineStr">
        <is>
          <t>BX1751.2 .C684 1992</t>
        </is>
      </c>
      <c r="C518" t="inlineStr">
        <is>
          <t>0                      BX 1751200C  684         1992</t>
        </is>
      </c>
      <c r="D518" t="inlineStr">
        <is>
          <t>Christ of the 21st century / Ewert H. Cousins.</t>
        </is>
      </c>
      <c r="F518" t="inlineStr">
        <is>
          <t>No</t>
        </is>
      </c>
      <c r="G518" t="inlineStr">
        <is>
          <t>1</t>
        </is>
      </c>
      <c r="H518" t="inlineStr">
        <is>
          <t>No</t>
        </is>
      </c>
      <c r="I518" t="inlineStr">
        <is>
          <t>No</t>
        </is>
      </c>
      <c r="J518" t="inlineStr">
        <is>
          <t>0</t>
        </is>
      </c>
      <c r="K518" t="inlineStr">
        <is>
          <t>Cousins, Ewert H.</t>
        </is>
      </c>
      <c r="L518" t="inlineStr">
        <is>
          <t>Rockport, Mass. : Element, 1992.</t>
        </is>
      </c>
      <c r="M518" t="inlineStr">
        <is>
          <t>1992</t>
        </is>
      </c>
      <c r="O518" t="inlineStr">
        <is>
          <t>eng</t>
        </is>
      </c>
      <c r="P518" t="inlineStr">
        <is>
          <t>mau</t>
        </is>
      </c>
      <c r="R518" t="inlineStr">
        <is>
          <t xml:space="preserve">BX </t>
        </is>
      </c>
      <c r="S518" t="n">
        <v>2</v>
      </c>
      <c r="T518" t="n">
        <v>2</v>
      </c>
      <c r="U518" t="inlineStr">
        <is>
          <t>2007-09-05</t>
        </is>
      </c>
      <c r="V518" t="inlineStr">
        <is>
          <t>2007-09-05</t>
        </is>
      </c>
      <c r="W518" t="inlineStr">
        <is>
          <t>1995-11-09</t>
        </is>
      </c>
      <c r="X518" t="inlineStr">
        <is>
          <t>1995-11-09</t>
        </is>
      </c>
      <c r="Y518" t="n">
        <v>106</v>
      </c>
      <c r="Z518" t="n">
        <v>78</v>
      </c>
      <c r="AA518" t="n">
        <v>102</v>
      </c>
      <c r="AB518" t="n">
        <v>1</v>
      </c>
      <c r="AC518" t="n">
        <v>1</v>
      </c>
      <c r="AD518" t="n">
        <v>13</v>
      </c>
      <c r="AE518" t="n">
        <v>15</v>
      </c>
      <c r="AF518" t="n">
        <v>6</v>
      </c>
      <c r="AG518" t="n">
        <v>6</v>
      </c>
      <c r="AH518" t="n">
        <v>3</v>
      </c>
      <c r="AI518" t="n">
        <v>4</v>
      </c>
      <c r="AJ518" t="n">
        <v>7</v>
      </c>
      <c r="AK518" t="n">
        <v>8</v>
      </c>
      <c r="AL518" t="n">
        <v>0</v>
      </c>
      <c r="AM518" t="n">
        <v>0</v>
      </c>
      <c r="AN518" t="n">
        <v>0</v>
      </c>
      <c r="AO518" t="n">
        <v>0</v>
      </c>
      <c r="AP518" t="inlineStr">
        <is>
          <t>No</t>
        </is>
      </c>
      <c r="AQ518" t="inlineStr">
        <is>
          <t>No</t>
        </is>
      </c>
      <c r="AS518">
        <f>HYPERLINK("https://creighton-primo.hosted.exlibrisgroup.com/primo-explore/search?tab=default_tab&amp;search_scope=EVERYTHING&amp;vid=01CRU&amp;lang=en_US&amp;offset=0&amp;query=any,contains,991001920709702656","Catalog Record")</f>
        <v/>
      </c>
      <c r="AT518">
        <f>HYPERLINK("http://www.worldcat.org/oclc/24246645","WorldCat Record")</f>
        <v/>
      </c>
      <c r="AU518" t="inlineStr">
        <is>
          <t>27294758:eng</t>
        </is>
      </c>
      <c r="AV518" t="inlineStr">
        <is>
          <t>24246645</t>
        </is>
      </c>
      <c r="AW518" t="inlineStr">
        <is>
          <t>991001920709702656</t>
        </is>
      </c>
      <c r="AX518" t="inlineStr">
        <is>
          <t>991001920709702656</t>
        </is>
      </c>
      <c r="AY518" t="inlineStr">
        <is>
          <t>2264165020002656</t>
        </is>
      </c>
      <c r="AZ518" t="inlineStr">
        <is>
          <t>BOOK</t>
        </is>
      </c>
      <c r="BB518" t="inlineStr">
        <is>
          <t>9781852302764</t>
        </is>
      </c>
      <c r="BC518" t="inlineStr">
        <is>
          <t>32285002101516</t>
        </is>
      </c>
      <c r="BD518" t="inlineStr">
        <is>
          <t>893244535</t>
        </is>
      </c>
    </row>
    <row r="519">
      <c r="A519" t="inlineStr">
        <is>
          <t>No</t>
        </is>
      </c>
      <c r="B519" t="inlineStr">
        <is>
          <t>BX1751.2 .D4 1966</t>
        </is>
      </c>
      <c r="C519" t="inlineStr">
        <is>
          <t>0                      BX 1751200D  4           1966</t>
        </is>
      </c>
      <c r="D519" t="inlineStr">
        <is>
          <t>Catholic belief and practice in an ecumenical age : with study-club questions / by Wilfrid F. Dewan.</t>
        </is>
      </c>
      <c r="F519" t="inlineStr">
        <is>
          <t>No</t>
        </is>
      </c>
      <c r="G519" t="inlineStr">
        <is>
          <t>1</t>
        </is>
      </c>
      <c r="H519" t="inlineStr">
        <is>
          <t>No</t>
        </is>
      </c>
      <c r="I519" t="inlineStr">
        <is>
          <t>No</t>
        </is>
      </c>
      <c r="J519" t="inlineStr">
        <is>
          <t>0</t>
        </is>
      </c>
      <c r="K519" t="inlineStr">
        <is>
          <t>Dewan, Wilfrid F.</t>
        </is>
      </c>
      <c r="L519" t="inlineStr">
        <is>
          <t>Glen Rock, N.J. : Paulist Press, [1966]</t>
        </is>
      </c>
      <c r="M519" t="inlineStr">
        <is>
          <t>1966</t>
        </is>
      </c>
      <c r="O519" t="inlineStr">
        <is>
          <t>eng</t>
        </is>
      </c>
      <c r="P519" t="inlineStr">
        <is>
          <t>nju</t>
        </is>
      </c>
      <c r="Q519" t="inlineStr">
        <is>
          <t>Deus books</t>
        </is>
      </c>
      <c r="R519" t="inlineStr">
        <is>
          <t xml:space="preserve">BX </t>
        </is>
      </c>
      <c r="S519" t="n">
        <v>1</v>
      </c>
      <c r="T519" t="n">
        <v>1</v>
      </c>
      <c r="U519" t="inlineStr">
        <is>
          <t>1995-03-23</t>
        </is>
      </c>
      <c r="V519" t="inlineStr">
        <is>
          <t>1995-03-23</t>
        </is>
      </c>
      <c r="W519" t="inlineStr">
        <is>
          <t>1991-05-08</t>
        </is>
      </c>
      <c r="X519" t="inlineStr">
        <is>
          <t>1991-05-08</t>
        </is>
      </c>
      <c r="Y519" t="n">
        <v>111</v>
      </c>
      <c r="Z519" t="n">
        <v>94</v>
      </c>
      <c r="AA519" t="n">
        <v>95</v>
      </c>
      <c r="AB519" t="n">
        <v>2</v>
      </c>
      <c r="AC519" t="n">
        <v>2</v>
      </c>
      <c r="AD519" t="n">
        <v>10</v>
      </c>
      <c r="AE519" t="n">
        <v>10</v>
      </c>
      <c r="AF519" t="n">
        <v>4</v>
      </c>
      <c r="AG519" t="n">
        <v>4</v>
      </c>
      <c r="AH519" t="n">
        <v>2</v>
      </c>
      <c r="AI519" t="n">
        <v>2</v>
      </c>
      <c r="AJ519" t="n">
        <v>8</v>
      </c>
      <c r="AK519" t="n">
        <v>8</v>
      </c>
      <c r="AL519" t="n">
        <v>0</v>
      </c>
      <c r="AM519" t="n">
        <v>0</v>
      </c>
      <c r="AN519" t="n">
        <v>0</v>
      </c>
      <c r="AO519" t="n">
        <v>0</v>
      </c>
      <c r="AP519" t="inlineStr">
        <is>
          <t>No</t>
        </is>
      </c>
      <c r="AQ519" t="inlineStr">
        <is>
          <t>No</t>
        </is>
      </c>
      <c r="AS519">
        <f>HYPERLINK("https://creighton-primo.hosted.exlibrisgroup.com/primo-explore/search?tab=default_tab&amp;search_scope=EVERYTHING&amp;vid=01CRU&amp;lang=en_US&amp;offset=0&amp;query=any,contains,991002633859702656","Catalog Record")</f>
        <v/>
      </c>
      <c r="AT519">
        <f>HYPERLINK("http://www.worldcat.org/oclc/382329","WorldCat Record")</f>
        <v/>
      </c>
      <c r="AU519" t="inlineStr">
        <is>
          <t>1781901586:eng</t>
        </is>
      </c>
      <c r="AV519" t="inlineStr">
        <is>
          <t>382329</t>
        </is>
      </c>
      <c r="AW519" t="inlineStr">
        <is>
          <t>991002633859702656</t>
        </is>
      </c>
      <c r="AX519" t="inlineStr">
        <is>
          <t>991002633859702656</t>
        </is>
      </c>
      <c r="AY519" t="inlineStr">
        <is>
          <t>2259996400002656</t>
        </is>
      </c>
      <c r="AZ519" t="inlineStr">
        <is>
          <t>BOOK</t>
        </is>
      </c>
      <c r="BC519" t="inlineStr">
        <is>
          <t>32285000608017</t>
        </is>
      </c>
      <c r="BD519" t="inlineStr">
        <is>
          <t>893873772</t>
        </is>
      </c>
    </row>
    <row r="520">
      <c r="A520" t="inlineStr">
        <is>
          <t>No</t>
        </is>
      </c>
      <c r="B520" t="inlineStr">
        <is>
          <t>BX1751.2 .D42 1999</t>
        </is>
      </c>
      <c r="C520" t="inlineStr">
        <is>
          <t>0                      BX 1751200D  42          1999</t>
        </is>
      </c>
      <c r="D520" t="inlineStr">
        <is>
          <t>Science and religion in dialogue : tenth anniversary publication the Catholic Academy of Sciences in the United States of America / Charles DeCelles, editor.</t>
        </is>
      </c>
      <c r="F520" t="inlineStr">
        <is>
          <t>No</t>
        </is>
      </c>
      <c r="G520" t="inlineStr">
        <is>
          <t>1</t>
        </is>
      </c>
      <c r="H520" t="inlineStr">
        <is>
          <t>No</t>
        </is>
      </c>
      <c r="I520" t="inlineStr">
        <is>
          <t>No</t>
        </is>
      </c>
      <c r="J520" t="inlineStr">
        <is>
          <t>0</t>
        </is>
      </c>
      <c r="K520" t="inlineStr">
        <is>
          <t>Catholic Academy of Sciences in the United States of America.</t>
        </is>
      </c>
      <c r="L520" t="inlineStr">
        <is>
          <t>Washington, D.C. : The Academy, 1999, c1998.</t>
        </is>
      </c>
      <c r="M520" t="inlineStr">
        <is>
          <t>1999</t>
        </is>
      </c>
      <c r="O520" t="inlineStr">
        <is>
          <t>eng</t>
        </is>
      </c>
      <c r="P520" t="inlineStr">
        <is>
          <t>dcu</t>
        </is>
      </c>
      <c r="Q520" t="inlineStr">
        <is>
          <t>The Catholic Academy of Sciences in the united States of America. Proceedings ; no.10</t>
        </is>
      </c>
      <c r="R520" t="inlineStr">
        <is>
          <t xml:space="preserve">BX </t>
        </is>
      </c>
      <c r="S520" t="n">
        <v>6</v>
      </c>
      <c r="T520" t="n">
        <v>6</v>
      </c>
      <c r="U520" t="inlineStr">
        <is>
          <t>2008-04-21</t>
        </is>
      </c>
      <c r="V520" t="inlineStr">
        <is>
          <t>2008-04-21</t>
        </is>
      </c>
      <c r="W520" t="inlineStr">
        <is>
          <t>1999-01-25</t>
        </is>
      </c>
      <c r="X520" t="inlineStr">
        <is>
          <t>1999-01-25</t>
        </is>
      </c>
      <c r="Y520" t="n">
        <v>145</v>
      </c>
      <c r="Z520" t="n">
        <v>145</v>
      </c>
      <c r="AA520" t="n">
        <v>157</v>
      </c>
      <c r="AB520" t="n">
        <v>2</v>
      </c>
      <c r="AC520" t="n">
        <v>2</v>
      </c>
      <c r="AD520" t="n">
        <v>25</v>
      </c>
      <c r="AE520" t="n">
        <v>26</v>
      </c>
      <c r="AF520" t="n">
        <v>5</v>
      </c>
      <c r="AG520" t="n">
        <v>6</v>
      </c>
      <c r="AH520" t="n">
        <v>5</v>
      </c>
      <c r="AI520" t="n">
        <v>5</v>
      </c>
      <c r="AJ520" t="n">
        <v>19</v>
      </c>
      <c r="AK520" t="n">
        <v>20</v>
      </c>
      <c r="AL520" t="n">
        <v>1</v>
      </c>
      <c r="AM520" t="n">
        <v>1</v>
      </c>
      <c r="AN520" t="n">
        <v>0</v>
      </c>
      <c r="AO520" t="n">
        <v>0</v>
      </c>
      <c r="AP520" t="inlineStr">
        <is>
          <t>No</t>
        </is>
      </c>
      <c r="AQ520" t="inlineStr">
        <is>
          <t>No</t>
        </is>
      </c>
      <c r="AS520">
        <f>HYPERLINK("https://creighton-primo.hosted.exlibrisgroup.com/primo-explore/search?tab=default_tab&amp;search_scope=EVERYTHING&amp;vid=01CRU&amp;lang=en_US&amp;offset=0&amp;query=any,contains,991002996049702656","Catalog Record")</f>
        <v/>
      </c>
      <c r="AT520">
        <f>HYPERLINK("http://www.worldcat.org/oclc/40511872","WorldCat Record")</f>
        <v/>
      </c>
      <c r="AU520" t="inlineStr">
        <is>
          <t>23758094:eng</t>
        </is>
      </c>
      <c r="AV520" t="inlineStr">
        <is>
          <t>40511872</t>
        </is>
      </c>
      <c r="AW520" t="inlineStr">
        <is>
          <t>991002996049702656</t>
        </is>
      </c>
      <c r="AX520" t="inlineStr">
        <is>
          <t>991002996049702656</t>
        </is>
      </c>
      <c r="AY520" t="inlineStr">
        <is>
          <t>2271251210002656</t>
        </is>
      </c>
      <c r="AZ520" t="inlineStr">
        <is>
          <t>BOOK</t>
        </is>
      </c>
      <c r="BC520" t="inlineStr">
        <is>
          <t>32285003515755</t>
        </is>
      </c>
      <c r="BD520" t="inlineStr">
        <is>
          <t>893887016</t>
        </is>
      </c>
    </row>
    <row r="521">
      <c r="A521" t="inlineStr">
        <is>
          <t>No</t>
        </is>
      </c>
      <c r="B521" t="inlineStr">
        <is>
          <t>BX1751.2 .G483 1989</t>
        </is>
      </c>
      <c r="C521" t="inlineStr">
        <is>
          <t>0                      BX 1751200G  483         1989</t>
        </is>
      </c>
      <c r="D521" t="inlineStr">
        <is>
          <t>John Paul II--a panorama of his teachings / [G.] Biffi ... [et al.].</t>
        </is>
      </c>
      <c r="F521" t="inlineStr">
        <is>
          <t>No</t>
        </is>
      </c>
      <c r="G521" t="inlineStr">
        <is>
          <t>1</t>
        </is>
      </c>
      <c r="H521" t="inlineStr">
        <is>
          <t>No</t>
        </is>
      </c>
      <c r="I521" t="inlineStr">
        <is>
          <t>No</t>
        </is>
      </c>
      <c r="J521" t="inlineStr">
        <is>
          <t>0</t>
        </is>
      </c>
      <c r="K521" t="inlineStr">
        <is>
          <t>Giovanni Paolo II--linee di un magistero. English.</t>
        </is>
      </c>
      <c r="L521" t="inlineStr">
        <is>
          <t>Brooklyn, N.Y. : New City Press, c1989.</t>
        </is>
      </c>
      <c r="M521" t="inlineStr">
        <is>
          <t>1989</t>
        </is>
      </c>
      <c r="O521" t="inlineStr">
        <is>
          <t>eng</t>
        </is>
      </c>
      <c r="P521" t="inlineStr">
        <is>
          <t>nyu</t>
        </is>
      </c>
      <c r="R521" t="inlineStr">
        <is>
          <t xml:space="preserve">BX </t>
        </is>
      </c>
      <c r="S521" t="n">
        <v>6</v>
      </c>
      <c r="T521" t="n">
        <v>6</v>
      </c>
      <c r="U521" t="inlineStr">
        <is>
          <t>1998-11-03</t>
        </is>
      </c>
      <c r="V521" t="inlineStr">
        <is>
          <t>1998-11-03</t>
        </is>
      </c>
      <c r="W521" t="inlineStr">
        <is>
          <t>1990-07-20</t>
        </is>
      </c>
      <c r="X521" t="inlineStr">
        <is>
          <t>1990-07-20</t>
        </is>
      </c>
      <c r="Y521" t="n">
        <v>86</v>
      </c>
      <c r="Z521" t="n">
        <v>75</v>
      </c>
      <c r="AA521" t="n">
        <v>80</v>
      </c>
      <c r="AB521" t="n">
        <v>2</v>
      </c>
      <c r="AC521" t="n">
        <v>2</v>
      </c>
      <c r="AD521" t="n">
        <v>7</v>
      </c>
      <c r="AE521" t="n">
        <v>7</v>
      </c>
      <c r="AF521" t="n">
        <v>1</v>
      </c>
      <c r="AG521" t="n">
        <v>1</v>
      </c>
      <c r="AH521" t="n">
        <v>0</v>
      </c>
      <c r="AI521" t="n">
        <v>0</v>
      </c>
      <c r="AJ521" t="n">
        <v>6</v>
      </c>
      <c r="AK521" t="n">
        <v>6</v>
      </c>
      <c r="AL521" t="n">
        <v>1</v>
      </c>
      <c r="AM521" t="n">
        <v>1</v>
      </c>
      <c r="AN521" t="n">
        <v>0</v>
      </c>
      <c r="AO521" t="n">
        <v>0</v>
      </c>
      <c r="AP521" t="inlineStr">
        <is>
          <t>No</t>
        </is>
      </c>
      <c r="AQ521" t="inlineStr">
        <is>
          <t>No</t>
        </is>
      </c>
      <c r="AS521">
        <f>HYPERLINK("https://creighton-primo.hosted.exlibrisgroup.com/primo-explore/search?tab=default_tab&amp;search_scope=EVERYTHING&amp;vid=01CRU&amp;lang=en_US&amp;offset=0&amp;query=any,contains,991001559039702656","Catalog Record")</f>
        <v/>
      </c>
      <c r="AT521">
        <f>HYPERLINK("http://www.worldcat.org/oclc/20295815","WorldCat Record")</f>
        <v/>
      </c>
      <c r="AU521" t="inlineStr">
        <is>
          <t>55251975:eng</t>
        </is>
      </c>
      <c r="AV521" t="inlineStr">
        <is>
          <t>20295815</t>
        </is>
      </c>
      <c r="AW521" t="inlineStr">
        <is>
          <t>991001559039702656</t>
        </is>
      </c>
      <c r="AX521" t="inlineStr">
        <is>
          <t>991001559039702656</t>
        </is>
      </c>
      <c r="AY521" t="inlineStr">
        <is>
          <t>2259751770002656</t>
        </is>
      </c>
      <c r="AZ521" t="inlineStr">
        <is>
          <t>BOOK</t>
        </is>
      </c>
      <c r="BB521" t="inlineStr">
        <is>
          <t>9780911782721</t>
        </is>
      </c>
      <c r="BC521" t="inlineStr">
        <is>
          <t>32285000209865</t>
        </is>
      </c>
      <c r="BD521" t="inlineStr">
        <is>
          <t>893797630</t>
        </is>
      </c>
    </row>
    <row r="522">
      <c r="A522" t="inlineStr">
        <is>
          <t>No</t>
        </is>
      </c>
      <c r="B522" t="inlineStr">
        <is>
          <t>BX1751.2 .H38</t>
        </is>
      </c>
      <c r="C522" t="inlineStr">
        <is>
          <t>0                      BX 1751200H  38</t>
        </is>
      </c>
      <c r="D522" t="inlineStr">
        <is>
          <t>The Catholic thing / Rosemary Haughton.</t>
        </is>
      </c>
      <c r="F522" t="inlineStr">
        <is>
          <t>No</t>
        </is>
      </c>
      <c r="G522" t="inlineStr">
        <is>
          <t>1</t>
        </is>
      </c>
      <c r="H522" t="inlineStr">
        <is>
          <t>No</t>
        </is>
      </c>
      <c r="I522" t="inlineStr">
        <is>
          <t>No</t>
        </is>
      </c>
      <c r="J522" t="inlineStr">
        <is>
          <t>0</t>
        </is>
      </c>
      <c r="K522" t="inlineStr">
        <is>
          <t>Haughton, Rosemary.</t>
        </is>
      </c>
      <c r="L522" t="inlineStr">
        <is>
          <t>Springfield, Ill. : Templegate, c1979.</t>
        </is>
      </c>
      <c r="M522" t="inlineStr">
        <is>
          <t>1979</t>
        </is>
      </c>
      <c r="O522" t="inlineStr">
        <is>
          <t>eng</t>
        </is>
      </c>
      <c r="P522" t="inlineStr">
        <is>
          <t>ilu</t>
        </is>
      </c>
      <c r="R522" t="inlineStr">
        <is>
          <t xml:space="preserve">BX </t>
        </is>
      </c>
      <c r="S522" t="n">
        <v>4</v>
      </c>
      <c r="T522" t="n">
        <v>4</v>
      </c>
      <c r="U522" t="inlineStr">
        <is>
          <t>1994-01-06</t>
        </is>
      </c>
      <c r="V522" t="inlineStr">
        <is>
          <t>1994-01-06</t>
        </is>
      </c>
      <c r="W522" t="inlineStr">
        <is>
          <t>1990-03-02</t>
        </is>
      </c>
      <c r="X522" t="inlineStr">
        <is>
          <t>1990-03-02</t>
        </is>
      </c>
      <c r="Y522" t="n">
        <v>275</v>
      </c>
      <c r="Z522" t="n">
        <v>225</v>
      </c>
      <c r="AA522" t="n">
        <v>231</v>
      </c>
      <c r="AB522" t="n">
        <v>2</v>
      </c>
      <c r="AC522" t="n">
        <v>2</v>
      </c>
      <c r="AD522" t="n">
        <v>32</v>
      </c>
      <c r="AE522" t="n">
        <v>32</v>
      </c>
      <c r="AF522" t="n">
        <v>11</v>
      </c>
      <c r="AG522" t="n">
        <v>11</v>
      </c>
      <c r="AH522" t="n">
        <v>9</v>
      </c>
      <c r="AI522" t="n">
        <v>9</v>
      </c>
      <c r="AJ522" t="n">
        <v>23</v>
      </c>
      <c r="AK522" t="n">
        <v>23</v>
      </c>
      <c r="AL522" t="n">
        <v>1</v>
      </c>
      <c r="AM522" t="n">
        <v>1</v>
      </c>
      <c r="AN522" t="n">
        <v>0</v>
      </c>
      <c r="AO522" t="n">
        <v>0</v>
      </c>
      <c r="AP522" t="inlineStr">
        <is>
          <t>No</t>
        </is>
      </c>
      <c r="AQ522" t="inlineStr">
        <is>
          <t>Yes</t>
        </is>
      </c>
      <c r="AR522">
        <f>HYPERLINK("http://catalog.hathitrust.org/Record/000770354","HathiTrust Record")</f>
        <v/>
      </c>
      <c r="AS522">
        <f>HYPERLINK("https://creighton-primo.hosted.exlibrisgroup.com/primo-explore/search?tab=default_tab&amp;search_scope=EVERYTHING&amp;vid=01CRU&amp;lang=en_US&amp;offset=0&amp;query=any,contains,991004892159702656","Catalog Record")</f>
        <v/>
      </c>
      <c r="AT522">
        <f>HYPERLINK("http://www.worldcat.org/oclc/5882463","WorldCat Record")</f>
        <v/>
      </c>
      <c r="AU522" t="inlineStr">
        <is>
          <t>519764:eng</t>
        </is>
      </c>
      <c r="AV522" t="inlineStr">
        <is>
          <t>5882463</t>
        </is>
      </c>
      <c r="AW522" t="inlineStr">
        <is>
          <t>991004892159702656</t>
        </is>
      </c>
      <c r="AX522" t="inlineStr">
        <is>
          <t>991004892159702656</t>
        </is>
      </c>
      <c r="AY522" t="inlineStr">
        <is>
          <t>2268741470002656</t>
        </is>
      </c>
      <c r="AZ522" t="inlineStr">
        <is>
          <t>BOOK</t>
        </is>
      </c>
      <c r="BB522" t="inlineStr">
        <is>
          <t>9780872430808</t>
        </is>
      </c>
      <c r="BC522" t="inlineStr">
        <is>
          <t>32285000074384</t>
        </is>
      </c>
      <c r="BD522" t="inlineStr">
        <is>
          <t>893876669</t>
        </is>
      </c>
    </row>
    <row r="523">
      <c r="A523" t="inlineStr">
        <is>
          <t>No</t>
        </is>
      </c>
      <c r="B523" t="inlineStr">
        <is>
          <t>BX1751.2 .H39 1990</t>
        </is>
      </c>
      <c r="C523" t="inlineStr">
        <is>
          <t>0                      BX 1751200H  39          1990</t>
        </is>
      </c>
      <c r="D523" t="inlineStr">
        <is>
          <t>The theology of a Protestant Catholic / Adrian Hastings.</t>
        </is>
      </c>
      <c r="F523" t="inlineStr">
        <is>
          <t>No</t>
        </is>
      </c>
      <c r="G523" t="inlineStr">
        <is>
          <t>1</t>
        </is>
      </c>
      <c r="H523" t="inlineStr">
        <is>
          <t>No</t>
        </is>
      </c>
      <c r="I523" t="inlineStr">
        <is>
          <t>No</t>
        </is>
      </c>
      <c r="J523" t="inlineStr">
        <is>
          <t>0</t>
        </is>
      </c>
      <c r="K523" t="inlineStr">
        <is>
          <t>Hastings, Adrian.</t>
        </is>
      </c>
      <c r="L523" t="inlineStr">
        <is>
          <t>London : SCM Press ; Philadelphia : Trinity Press International, 1990.</t>
        </is>
      </c>
      <c r="M523" t="inlineStr">
        <is>
          <t>1990</t>
        </is>
      </c>
      <c r="O523" t="inlineStr">
        <is>
          <t>eng</t>
        </is>
      </c>
      <c r="P523" t="inlineStr">
        <is>
          <t>enk</t>
        </is>
      </c>
      <c r="R523" t="inlineStr">
        <is>
          <t xml:space="preserve">BX </t>
        </is>
      </c>
      <c r="S523" t="n">
        <v>4</v>
      </c>
      <c r="T523" t="n">
        <v>4</v>
      </c>
      <c r="U523" t="inlineStr">
        <is>
          <t>1997-09-12</t>
        </is>
      </c>
      <c r="V523" t="inlineStr">
        <is>
          <t>1997-09-12</t>
        </is>
      </c>
      <c r="W523" t="inlineStr">
        <is>
          <t>1992-02-21</t>
        </is>
      </c>
      <c r="X523" t="inlineStr">
        <is>
          <t>1992-02-21</t>
        </is>
      </c>
      <c r="Y523" t="n">
        <v>206</v>
      </c>
      <c r="Z523" t="n">
        <v>138</v>
      </c>
      <c r="AA523" t="n">
        <v>140</v>
      </c>
      <c r="AB523" t="n">
        <v>1</v>
      </c>
      <c r="AC523" t="n">
        <v>1</v>
      </c>
      <c r="AD523" t="n">
        <v>16</v>
      </c>
      <c r="AE523" t="n">
        <v>16</v>
      </c>
      <c r="AF523" t="n">
        <v>7</v>
      </c>
      <c r="AG523" t="n">
        <v>7</v>
      </c>
      <c r="AH523" t="n">
        <v>4</v>
      </c>
      <c r="AI523" t="n">
        <v>4</v>
      </c>
      <c r="AJ523" t="n">
        <v>10</v>
      </c>
      <c r="AK523" t="n">
        <v>10</v>
      </c>
      <c r="AL523" t="n">
        <v>0</v>
      </c>
      <c r="AM523" t="n">
        <v>0</v>
      </c>
      <c r="AN523" t="n">
        <v>0</v>
      </c>
      <c r="AO523" t="n">
        <v>0</v>
      </c>
      <c r="AP523" t="inlineStr">
        <is>
          <t>No</t>
        </is>
      </c>
      <c r="AQ523" t="inlineStr">
        <is>
          <t>Yes</t>
        </is>
      </c>
      <c r="AR523">
        <f>HYPERLINK("http://catalog.hathitrust.org/Record/002171336","HathiTrust Record")</f>
        <v/>
      </c>
      <c r="AS523">
        <f>HYPERLINK("https://creighton-primo.hosted.exlibrisgroup.com/primo-explore/search?tab=default_tab&amp;search_scope=EVERYTHING&amp;vid=01CRU&amp;lang=en_US&amp;offset=0&amp;query=any,contains,991001651919702656","Catalog Record")</f>
        <v/>
      </c>
      <c r="AT523">
        <f>HYPERLINK("http://www.worldcat.org/oclc/21081742","WorldCat Record")</f>
        <v/>
      </c>
      <c r="AU523" t="inlineStr">
        <is>
          <t>19799255:eng</t>
        </is>
      </c>
      <c r="AV523" t="inlineStr">
        <is>
          <t>21081742</t>
        </is>
      </c>
      <c r="AW523" t="inlineStr">
        <is>
          <t>991001651919702656</t>
        </is>
      </c>
      <c r="AX523" t="inlineStr">
        <is>
          <t>991001651919702656</t>
        </is>
      </c>
      <c r="AY523" t="inlineStr">
        <is>
          <t>2256627310002656</t>
        </is>
      </c>
      <c r="AZ523" t="inlineStr">
        <is>
          <t>BOOK</t>
        </is>
      </c>
      <c r="BB523" t="inlineStr">
        <is>
          <t>9780334024415</t>
        </is>
      </c>
      <c r="BC523" t="inlineStr">
        <is>
          <t>32285000936137</t>
        </is>
      </c>
      <c r="BD523" t="inlineStr">
        <is>
          <t>893322118</t>
        </is>
      </c>
    </row>
    <row r="524">
      <c r="A524" t="inlineStr">
        <is>
          <t>No</t>
        </is>
      </c>
      <c r="B524" t="inlineStr">
        <is>
          <t>BX1751.2 .J625613 1984</t>
        </is>
      </c>
      <c r="C524" t="inlineStr">
        <is>
          <t>0                      BX 1751200J  625613      1984</t>
        </is>
      </c>
      <c r="D524" t="inlineStr">
        <is>
          <t>Be not afraid : Pope John Paul II speaks out on his life, his beliefs, and his inspiring vision for humanity / André Frossard ; translated from the French by J.R. Foster.</t>
        </is>
      </c>
      <c r="F524" t="inlineStr">
        <is>
          <t>No</t>
        </is>
      </c>
      <c r="G524" t="inlineStr">
        <is>
          <t>1</t>
        </is>
      </c>
      <c r="H524" t="inlineStr">
        <is>
          <t>No</t>
        </is>
      </c>
      <c r="I524" t="inlineStr">
        <is>
          <t>No</t>
        </is>
      </c>
      <c r="J524" t="inlineStr">
        <is>
          <t>0</t>
        </is>
      </c>
      <c r="K524" t="inlineStr">
        <is>
          <t>John Paul II, Pope, 1920-2005.</t>
        </is>
      </c>
      <c r="L524" t="inlineStr">
        <is>
          <t>New York : St. Martin's Press, 1984, c1982.</t>
        </is>
      </c>
      <c r="M524" t="inlineStr">
        <is>
          <t>1984</t>
        </is>
      </c>
      <c r="O524" t="inlineStr">
        <is>
          <t>eng</t>
        </is>
      </c>
      <c r="P524" t="inlineStr">
        <is>
          <t>nyu</t>
        </is>
      </c>
      <c r="R524" t="inlineStr">
        <is>
          <t xml:space="preserve">BX </t>
        </is>
      </c>
      <c r="S524" t="n">
        <v>9</v>
      </c>
      <c r="T524" t="n">
        <v>9</v>
      </c>
      <c r="U524" t="inlineStr">
        <is>
          <t>2010-06-18</t>
        </is>
      </c>
      <c r="V524" t="inlineStr">
        <is>
          <t>2010-06-18</t>
        </is>
      </c>
      <c r="W524" t="inlineStr">
        <is>
          <t>1990-05-10</t>
        </is>
      </c>
      <c r="X524" t="inlineStr">
        <is>
          <t>1990-05-10</t>
        </is>
      </c>
      <c r="Y524" t="n">
        <v>516</v>
      </c>
      <c r="Z524" t="n">
        <v>496</v>
      </c>
      <c r="AA524" t="n">
        <v>538</v>
      </c>
      <c r="AB524" t="n">
        <v>6</v>
      </c>
      <c r="AC524" t="n">
        <v>6</v>
      </c>
      <c r="AD524" t="n">
        <v>23</v>
      </c>
      <c r="AE524" t="n">
        <v>26</v>
      </c>
      <c r="AF524" t="n">
        <v>8</v>
      </c>
      <c r="AG524" t="n">
        <v>10</v>
      </c>
      <c r="AH524" t="n">
        <v>7</v>
      </c>
      <c r="AI524" t="n">
        <v>7</v>
      </c>
      <c r="AJ524" t="n">
        <v>15</v>
      </c>
      <c r="AK524" t="n">
        <v>18</v>
      </c>
      <c r="AL524" t="n">
        <v>1</v>
      </c>
      <c r="AM524" t="n">
        <v>1</v>
      </c>
      <c r="AN524" t="n">
        <v>0</v>
      </c>
      <c r="AO524" t="n">
        <v>0</v>
      </c>
      <c r="AP524" t="inlineStr">
        <is>
          <t>No</t>
        </is>
      </c>
      <c r="AQ524" t="inlineStr">
        <is>
          <t>No</t>
        </is>
      </c>
      <c r="AS524">
        <f>HYPERLINK("https://creighton-primo.hosted.exlibrisgroup.com/primo-explore/search?tab=default_tab&amp;search_scope=EVERYTHING&amp;vid=01CRU&amp;lang=en_US&amp;offset=0&amp;query=any,contains,991000349999702656","Catalog Record")</f>
        <v/>
      </c>
      <c r="AT524">
        <f>HYPERLINK("http://www.worldcat.org/oclc/10300955","WorldCat Record")</f>
        <v/>
      </c>
      <c r="AU524" t="inlineStr">
        <is>
          <t>2908441556:eng</t>
        </is>
      </c>
      <c r="AV524" t="inlineStr">
        <is>
          <t>10300955</t>
        </is>
      </c>
      <c r="AW524" t="inlineStr">
        <is>
          <t>991000349999702656</t>
        </is>
      </c>
      <c r="AX524" t="inlineStr">
        <is>
          <t>991000349999702656</t>
        </is>
      </c>
      <c r="AY524" t="inlineStr">
        <is>
          <t>2269761980002656</t>
        </is>
      </c>
      <c r="AZ524" t="inlineStr">
        <is>
          <t>BOOK</t>
        </is>
      </c>
      <c r="BB524" t="inlineStr">
        <is>
          <t>9780312070212</t>
        </is>
      </c>
      <c r="BC524" t="inlineStr">
        <is>
          <t>32285000151570</t>
        </is>
      </c>
      <c r="BD524" t="inlineStr">
        <is>
          <t>893534124</t>
        </is>
      </c>
    </row>
    <row r="525">
      <c r="A525" t="inlineStr">
        <is>
          <t>No</t>
        </is>
      </c>
      <c r="B525" t="inlineStr">
        <is>
          <t>BX1751.2 .K34</t>
        </is>
      </c>
      <c r="C525" t="inlineStr">
        <is>
          <t>0                      BX 1751200K  34</t>
        </is>
      </c>
      <c r="D525" t="inlineStr">
        <is>
          <t>A modern priest looks at his outdated church / by James Kavanaugh.</t>
        </is>
      </c>
      <c r="F525" t="inlineStr">
        <is>
          <t>No</t>
        </is>
      </c>
      <c r="G525" t="inlineStr">
        <is>
          <t>1</t>
        </is>
      </c>
      <c r="H525" t="inlineStr">
        <is>
          <t>No</t>
        </is>
      </c>
      <c r="I525" t="inlineStr">
        <is>
          <t>No</t>
        </is>
      </c>
      <c r="J525" t="inlineStr">
        <is>
          <t>0</t>
        </is>
      </c>
      <c r="K525" t="inlineStr">
        <is>
          <t>Kavanaugh, James J., 1928-2009.</t>
        </is>
      </c>
      <c r="L525" t="inlineStr">
        <is>
          <t>New York : Trident Press, 1967.</t>
        </is>
      </c>
      <c r="M525" t="inlineStr">
        <is>
          <t>1967</t>
        </is>
      </c>
      <c r="O525" t="inlineStr">
        <is>
          <t>eng</t>
        </is>
      </c>
      <c r="P525" t="inlineStr">
        <is>
          <t>nyu</t>
        </is>
      </c>
      <c r="R525" t="inlineStr">
        <is>
          <t xml:space="preserve">BX </t>
        </is>
      </c>
      <c r="S525" t="n">
        <v>3</v>
      </c>
      <c r="T525" t="n">
        <v>3</v>
      </c>
      <c r="U525" t="inlineStr">
        <is>
          <t>2003-04-01</t>
        </is>
      </c>
      <c r="V525" t="inlineStr">
        <is>
          <t>2003-04-01</t>
        </is>
      </c>
      <c r="W525" t="inlineStr">
        <is>
          <t>1991-05-08</t>
        </is>
      </c>
      <c r="X525" t="inlineStr">
        <is>
          <t>1991-05-08</t>
        </is>
      </c>
      <c r="Y525" t="n">
        <v>1123</v>
      </c>
      <c r="Z525" t="n">
        <v>1058</v>
      </c>
      <c r="AA525" t="n">
        <v>1169</v>
      </c>
      <c r="AB525" t="n">
        <v>10</v>
      </c>
      <c r="AC525" t="n">
        <v>10</v>
      </c>
      <c r="AD525" t="n">
        <v>41</v>
      </c>
      <c r="AE525" t="n">
        <v>43</v>
      </c>
      <c r="AF525" t="n">
        <v>16</v>
      </c>
      <c r="AG525" t="n">
        <v>17</v>
      </c>
      <c r="AH525" t="n">
        <v>9</v>
      </c>
      <c r="AI525" t="n">
        <v>9</v>
      </c>
      <c r="AJ525" t="n">
        <v>21</v>
      </c>
      <c r="AK525" t="n">
        <v>22</v>
      </c>
      <c r="AL525" t="n">
        <v>6</v>
      </c>
      <c r="AM525" t="n">
        <v>6</v>
      </c>
      <c r="AN525" t="n">
        <v>0</v>
      </c>
      <c r="AO525" t="n">
        <v>0</v>
      </c>
      <c r="AP525" t="inlineStr">
        <is>
          <t>No</t>
        </is>
      </c>
      <c r="AQ525" t="inlineStr">
        <is>
          <t>Yes</t>
        </is>
      </c>
      <c r="AR525">
        <f>HYPERLINK("http://catalog.hathitrust.org/Record/001416522","HathiTrust Record")</f>
        <v/>
      </c>
      <c r="AS525">
        <f>HYPERLINK("https://creighton-primo.hosted.exlibrisgroup.com/primo-explore/search?tab=default_tab&amp;search_scope=EVERYTHING&amp;vid=01CRU&amp;lang=en_US&amp;offset=0&amp;query=any,contains,991002660199702656","Catalog Record")</f>
        <v/>
      </c>
      <c r="AT525">
        <f>HYPERLINK("http://www.worldcat.org/oclc/391159","WorldCat Record")</f>
        <v/>
      </c>
      <c r="AU525" t="inlineStr">
        <is>
          <t>1526235:eng</t>
        </is>
      </c>
      <c r="AV525" t="inlineStr">
        <is>
          <t>391159</t>
        </is>
      </c>
      <c r="AW525" t="inlineStr">
        <is>
          <t>991002660199702656</t>
        </is>
      </c>
      <c r="AX525" t="inlineStr">
        <is>
          <t>991002660199702656</t>
        </is>
      </c>
      <c r="AY525" t="inlineStr">
        <is>
          <t>2260784140002656</t>
        </is>
      </c>
      <c r="AZ525" t="inlineStr">
        <is>
          <t>BOOK</t>
        </is>
      </c>
      <c r="BC525" t="inlineStr">
        <is>
          <t>32285000608165</t>
        </is>
      </c>
      <c r="BD525" t="inlineStr">
        <is>
          <t>893873806</t>
        </is>
      </c>
    </row>
    <row r="526">
      <c r="A526" t="inlineStr">
        <is>
          <t>No</t>
        </is>
      </c>
      <c r="B526" t="inlineStr">
        <is>
          <t>BX1751.2 .K36 1991</t>
        </is>
      </c>
      <c r="C526" t="inlineStr">
        <is>
          <t>0                      BX 1751200K  36          1991</t>
        </is>
      </c>
      <c r="D526" t="inlineStr">
        <is>
          <t>Covenantal theology : the eucharistic order of history / Donald J. Keefe.</t>
        </is>
      </c>
      <c r="E526" t="inlineStr">
        <is>
          <t>V.1</t>
        </is>
      </c>
      <c r="F526" t="inlineStr">
        <is>
          <t>Yes</t>
        </is>
      </c>
      <c r="G526" t="inlineStr">
        <is>
          <t>1</t>
        </is>
      </c>
      <c r="H526" t="inlineStr">
        <is>
          <t>No</t>
        </is>
      </c>
      <c r="I526" t="inlineStr">
        <is>
          <t>No</t>
        </is>
      </c>
      <c r="J526" t="inlineStr">
        <is>
          <t>0</t>
        </is>
      </c>
      <c r="K526" t="inlineStr">
        <is>
          <t>Keefe, Donald J.</t>
        </is>
      </c>
      <c r="L526" t="inlineStr">
        <is>
          <t>Lanham, Md. : University Press of America, c1991.</t>
        </is>
      </c>
      <c r="M526" t="inlineStr">
        <is>
          <t>1991</t>
        </is>
      </c>
      <c r="O526" t="inlineStr">
        <is>
          <t>eng</t>
        </is>
      </c>
      <c r="P526" t="inlineStr">
        <is>
          <t>mdu</t>
        </is>
      </c>
      <c r="R526" t="inlineStr">
        <is>
          <t xml:space="preserve">BX </t>
        </is>
      </c>
      <c r="S526" t="n">
        <v>8</v>
      </c>
      <c r="T526" t="n">
        <v>14</v>
      </c>
      <c r="U526" t="inlineStr">
        <is>
          <t>2004-07-01</t>
        </is>
      </c>
      <c r="V526" t="inlineStr">
        <is>
          <t>2004-07-01</t>
        </is>
      </c>
      <c r="W526" t="inlineStr">
        <is>
          <t>1991-09-06</t>
        </is>
      </c>
      <c r="X526" t="inlineStr">
        <is>
          <t>1991-09-06</t>
        </is>
      </c>
      <c r="Y526" t="n">
        <v>102</v>
      </c>
      <c r="Z526" t="n">
        <v>95</v>
      </c>
      <c r="AA526" t="n">
        <v>112</v>
      </c>
      <c r="AB526" t="n">
        <v>2</v>
      </c>
      <c r="AC526" t="n">
        <v>2</v>
      </c>
      <c r="AD526" t="n">
        <v>11</v>
      </c>
      <c r="AE526" t="n">
        <v>14</v>
      </c>
      <c r="AF526" t="n">
        <v>3</v>
      </c>
      <c r="AG526" t="n">
        <v>5</v>
      </c>
      <c r="AH526" t="n">
        <v>2</v>
      </c>
      <c r="AI526" t="n">
        <v>4</v>
      </c>
      <c r="AJ526" t="n">
        <v>7</v>
      </c>
      <c r="AK526" t="n">
        <v>8</v>
      </c>
      <c r="AL526" t="n">
        <v>0</v>
      </c>
      <c r="AM526" t="n">
        <v>0</v>
      </c>
      <c r="AN526" t="n">
        <v>0</v>
      </c>
      <c r="AO526" t="n">
        <v>0</v>
      </c>
      <c r="AP526" t="inlineStr">
        <is>
          <t>No</t>
        </is>
      </c>
      <c r="AQ526" t="inlineStr">
        <is>
          <t>No</t>
        </is>
      </c>
      <c r="AS526">
        <f>HYPERLINK("https://creighton-primo.hosted.exlibrisgroup.com/primo-explore/search?tab=default_tab&amp;search_scope=EVERYTHING&amp;vid=01CRU&amp;lang=en_US&amp;offset=0&amp;query=any,contains,991001827779702656","Catalog Record")</f>
        <v/>
      </c>
      <c r="AT526">
        <f>HYPERLINK("http://www.worldcat.org/oclc/22956543","WorldCat Record")</f>
        <v/>
      </c>
      <c r="AU526" t="inlineStr">
        <is>
          <t>793835438:eng</t>
        </is>
      </c>
      <c r="AV526" t="inlineStr">
        <is>
          <t>22956543</t>
        </is>
      </c>
      <c r="AW526" t="inlineStr">
        <is>
          <t>991001827779702656</t>
        </is>
      </c>
      <c r="AX526" t="inlineStr">
        <is>
          <t>991001827779702656</t>
        </is>
      </c>
      <c r="AY526" t="inlineStr">
        <is>
          <t>2260435970002656</t>
        </is>
      </c>
      <c r="AZ526" t="inlineStr">
        <is>
          <t>BOOK</t>
        </is>
      </c>
      <c r="BB526" t="inlineStr">
        <is>
          <t>9780819180872</t>
        </is>
      </c>
      <c r="BC526" t="inlineStr">
        <is>
          <t>32285000702943</t>
        </is>
      </c>
      <c r="BD526" t="inlineStr">
        <is>
          <t>893516606</t>
        </is>
      </c>
    </row>
    <row r="527">
      <c r="A527" t="inlineStr">
        <is>
          <t>No</t>
        </is>
      </c>
      <c r="B527" t="inlineStr">
        <is>
          <t>BX1751.2 .K36 1991</t>
        </is>
      </c>
      <c r="C527" t="inlineStr">
        <is>
          <t>0                      BX 1751200K  36          1991</t>
        </is>
      </c>
      <c r="D527" t="inlineStr">
        <is>
          <t>Covenantal theology : the eucharistic order of history / Donald J. Keefe.</t>
        </is>
      </c>
      <c r="E527" t="inlineStr">
        <is>
          <t>V.2</t>
        </is>
      </c>
      <c r="F527" t="inlineStr">
        <is>
          <t>Yes</t>
        </is>
      </c>
      <c r="G527" t="inlineStr">
        <is>
          <t>1</t>
        </is>
      </c>
      <c r="H527" t="inlineStr">
        <is>
          <t>No</t>
        </is>
      </c>
      <c r="I527" t="inlineStr">
        <is>
          <t>No</t>
        </is>
      </c>
      <c r="J527" t="inlineStr">
        <is>
          <t>0</t>
        </is>
      </c>
      <c r="K527" t="inlineStr">
        <is>
          <t>Keefe, Donald J.</t>
        </is>
      </c>
      <c r="L527" t="inlineStr">
        <is>
          <t>Lanham, Md. : University Press of America, c1991.</t>
        </is>
      </c>
      <c r="M527" t="inlineStr">
        <is>
          <t>1991</t>
        </is>
      </c>
      <c r="O527" t="inlineStr">
        <is>
          <t>eng</t>
        </is>
      </c>
      <c r="P527" t="inlineStr">
        <is>
          <t>mdu</t>
        </is>
      </c>
      <c r="R527" t="inlineStr">
        <is>
          <t xml:space="preserve">BX </t>
        </is>
      </c>
      <c r="S527" t="n">
        <v>6</v>
      </c>
      <c r="T527" t="n">
        <v>14</v>
      </c>
      <c r="U527" t="inlineStr">
        <is>
          <t>2001-07-17</t>
        </is>
      </c>
      <c r="V527" t="inlineStr">
        <is>
          <t>2004-07-01</t>
        </is>
      </c>
      <c r="W527" t="inlineStr">
        <is>
          <t>1991-09-06</t>
        </is>
      </c>
      <c r="X527" t="inlineStr">
        <is>
          <t>1991-09-06</t>
        </is>
      </c>
      <c r="Y527" t="n">
        <v>102</v>
      </c>
      <c r="Z527" t="n">
        <v>95</v>
      </c>
      <c r="AA527" t="n">
        <v>112</v>
      </c>
      <c r="AB527" t="n">
        <v>2</v>
      </c>
      <c r="AC527" t="n">
        <v>2</v>
      </c>
      <c r="AD527" t="n">
        <v>11</v>
      </c>
      <c r="AE527" t="n">
        <v>14</v>
      </c>
      <c r="AF527" t="n">
        <v>3</v>
      </c>
      <c r="AG527" t="n">
        <v>5</v>
      </c>
      <c r="AH527" t="n">
        <v>2</v>
      </c>
      <c r="AI527" t="n">
        <v>4</v>
      </c>
      <c r="AJ527" t="n">
        <v>7</v>
      </c>
      <c r="AK527" t="n">
        <v>8</v>
      </c>
      <c r="AL527" t="n">
        <v>0</v>
      </c>
      <c r="AM527" t="n">
        <v>0</v>
      </c>
      <c r="AN527" t="n">
        <v>0</v>
      </c>
      <c r="AO527" t="n">
        <v>0</v>
      </c>
      <c r="AP527" t="inlineStr">
        <is>
          <t>No</t>
        </is>
      </c>
      <c r="AQ527" t="inlineStr">
        <is>
          <t>No</t>
        </is>
      </c>
      <c r="AS527">
        <f>HYPERLINK("https://creighton-primo.hosted.exlibrisgroup.com/primo-explore/search?tab=default_tab&amp;search_scope=EVERYTHING&amp;vid=01CRU&amp;lang=en_US&amp;offset=0&amp;query=any,contains,991001827779702656","Catalog Record")</f>
        <v/>
      </c>
      <c r="AT527">
        <f>HYPERLINK("http://www.worldcat.org/oclc/22956543","WorldCat Record")</f>
        <v/>
      </c>
      <c r="AU527" t="inlineStr">
        <is>
          <t>793835438:eng</t>
        </is>
      </c>
      <c r="AV527" t="inlineStr">
        <is>
          <t>22956543</t>
        </is>
      </c>
      <c r="AW527" t="inlineStr">
        <is>
          <t>991001827779702656</t>
        </is>
      </c>
      <c r="AX527" t="inlineStr">
        <is>
          <t>991001827779702656</t>
        </is>
      </c>
      <c r="AY527" t="inlineStr">
        <is>
          <t>2260435970002656</t>
        </is>
      </c>
      <c r="AZ527" t="inlineStr">
        <is>
          <t>BOOK</t>
        </is>
      </c>
      <c r="BB527" t="inlineStr">
        <is>
          <t>9780819180872</t>
        </is>
      </c>
      <c r="BC527" t="inlineStr">
        <is>
          <t>32285000702950</t>
        </is>
      </c>
      <c r="BD527" t="inlineStr">
        <is>
          <t>893509993</t>
        </is>
      </c>
    </row>
    <row r="528">
      <c r="A528" t="inlineStr">
        <is>
          <t>No</t>
        </is>
      </c>
      <c r="B528" t="inlineStr">
        <is>
          <t>BX1751.2 .M64</t>
        </is>
      </c>
      <c r="C528" t="inlineStr">
        <is>
          <t>0                      BX 1751200M  64</t>
        </is>
      </c>
      <c r="D528" t="inlineStr">
        <is>
          <t>The dreamer not the dream [by] Sebastian Moore and Kevin Maguire.</t>
        </is>
      </c>
      <c r="F528" t="inlineStr">
        <is>
          <t>No</t>
        </is>
      </c>
      <c r="G528" t="inlineStr">
        <is>
          <t>1</t>
        </is>
      </c>
      <c r="H528" t="inlineStr">
        <is>
          <t>No</t>
        </is>
      </c>
      <c r="I528" t="inlineStr">
        <is>
          <t>No</t>
        </is>
      </c>
      <c r="J528" t="inlineStr">
        <is>
          <t>0</t>
        </is>
      </c>
      <c r="K528" t="inlineStr">
        <is>
          <t>Moore, Sebastian, 1917-2014.</t>
        </is>
      </c>
      <c r="L528" t="inlineStr">
        <is>
          <t>New York, Newman Press [c1970]</t>
        </is>
      </c>
      <c r="M528" t="inlineStr">
        <is>
          <t>1970</t>
        </is>
      </c>
      <c r="O528" t="inlineStr">
        <is>
          <t>eng</t>
        </is>
      </c>
      <c r="P528" t="inlineStr">
        <is>
          <t>nyu</t>
        </is>
      </c>
      <c r="R528" t="inlineStr">
        <is>
          <t xml:space="preserve">BX </t>
        </is>
      </c>
      <c r="S528" t="n">
        <v>5</v>
      </c>
      <c r="T528" t="n">
        <v>5</v>
      </c>
      <c r="U528" t="inlineStr">
        <is>
          <t>2006-12-08</t>
        </is>
      </c>
      <c r="V528" t="inlineStr">
        <is>
          <t>2006-12-08</t>
        </is>
      </c>
      <c r="W528" t="inlineStr">
        <is>
          <t>1991-05-09</t>
        </is>
      </c>
      <c r="X528" t="inlineStr">
        <is>
          <t>1991-05-09</t>
        </is>
      </c>
      <c r="Y528" t="n">
        <v>82</v>
      </c>
      <c r="Z528" t="n">
        <v>80</v>
      </c>
      <c r="AA528" t="n">
        <v>89</v>
      </c>
      <c r="AB528" t="n">
        <v>2</v>
      </c>
      <c r="AC528" t="n">
        <v>2</v>
      </c>
      <c r="AD528" t="n">
        <v>16</v>
      </c>
      <c r="AE528" t="n">
        <v>16</v>
      </c>
      <c r="AF528" t="n">
        <v>5</v>
      </c>
      <c r="AG528" t="n">
        <v>5</v>
      </c>
      <c r="AH528" t="n">
        <v>6</v>
      </c>
      <c r="AI528" t="n">
        <v>6</v>
      </c>
      <c r="AJ528" t="n">
        <v>11</v>
      </c>
      <c r="AK528" t="n">
        <v>11</v>
      </c>
      <c r="AL528" t="n">
        <v>1</v>
      </c>
      <c r="AM528" t="n">
        <v>1</v>
      </c>
      <c r="AN528" t="n">
        <v>0</v>
      </c>
      <c r="AO528" t="n">
        <v>0</v>
      </c>
      <c r="AP528" t="inlineStr">
        <is>
          <t>No</t>
        </is>
      </c>
      <c r="AQ528" t="inlineStr">
        <is>
          <t>No</t>
        </is>
      </c>
      <c r="AS528">
        <f>HYPERLINK("https://creighton-primo.hosted.exlibrisgroup.com/primo-explore/search?tab=default_tab&amp;search_scope=EVERYTHING&amp;vid=01CRU&amp;lang=en_US&amp;offset=0&amp;query=any,contains,991000924099702656","Catalog Record")</f>
        <v/>
      </c>
      <c r="AT528">
        <f>HYPERLINK("http://www.worldcat.org/oclc/162608","WorldCat Record")</f>
        <v/>
      </c>
      <c r="AU528" t="inlineStr">
        <is>
          <t>1272420:eng</t>
        </is>
      </c>
      <c r="AV528" t="inlineStr">
        <is>
          <t>162608</t>
        </is>
      </c>
      <c r="AW528" t="inlineStr">
        <is>
          <t>991000924099702656</t>
        </is>
      </c>
      <c r="AX528" t="inlineStr">
        <is>
          <t>991000924099702656</t>
        </is>
      </c>
      <c r="AY528" t="inlineStr">
        <is>
          <t>2268881730002656</t>
        </is>
      </c>
      <c r="AZ528" t="inlineStr">
        <is>
          <t>BOOK</t>
        </is>
      </c>
      <c r="BC528" t="inlineStr">
        <is>
          <t>32285000608272</t>
        </is>
      </c>
      <c r="BD528" t="inlineStr">
        <is>
          <t>893502936</t>
        </is>
      </c>
    </row>
    <row r="529">
      <c r="A529" t="inlineStr">
        <is>
          <t>No</t>
        </is>
      </c>
      <c r="B529" t="inlineStr">
        <is>
          <t>BX1751.2 .O67 1983</t>
        </is>
      </c>
      <c r="C529" t="inlineStr">
        <is>
          <t>0                      BX 1751200O  67          1983</t>
        </is>
      </c>
      <c r="D529" t="inlineStr">
        <is>
          <t>Options in Roman Catholicism : an introduction / Nathan R. Kollar, editor.</t>
        </is>
      </c>
      <c r="F529" t="inlineStr">
        <is>
          <t>No</t>
        </is>
      </c>
      <c r="G529" t="inlineStr">
        <is>
          <t>1</t>
        </is>
      </c>
      <c r="H529" t="inlineStr">
        <is>
          <t>No</t>
        </is>
      </c>
      <c r="I529" t="inlineStr">
        <is>
          <t>No</t>
        </is>
      </c>
      <c r="J529" t="inlineStr">
        <is>
          <t>0</t>
        </is>
      </c>
      <c r="L529" t="inlineStr">
        <is>
          <t>Washington, D.C. : University Press of America, c1983.</t>
        </is>
      </c>
      <c r="M529" t="inlineStr">
        <is>
          <t>1983</t>
        </is>
      </c>
      <c r="O529" t="inlineStr">
        <is>
          <t>eng</t>
        </is>
      </c>
      <c r="P529" t="inlineStr">
        <is>
          <t>dcu</t>
        </is>
      </c>
      <c r="R529" t="inlineStr">
        <is>
          <t xml:space="preserve">BX </t>
        </is>
      </c>
      <c r="S529" t="n">
        <v>0</v>
      </c>
      <c r="T529" t="n">
        <v>0</v>
      </c>
      <c r="U529" t="inlineStr">
        <is>
          <t>2010-03-09</t>
        </is>
      </c>
      <c r="V529" t="inlineStr">
        <is>
          <t>2010-03-09</t>
        </is>
      </c>
      <c r="W529" t="inlineStr">
        <is>
          <t>1991-05-09</t>
        </is>
      </c>
      <c r="X529" t="inlineStr">
        <is>
          <t>1991-05-09</t>
        </is>
      </c>
      <c r="Y529" t="n">
        <v>141</v>
      </c>
      <c r="Z529" t="n">
        <v>120</v>
      </c>
      <c r="AA529" t="n">
        <v>122</v>
      </c>
      <c r="AB529" t="n">
        <v>2</v>
      </c>
      <c r="AC529" t="n">
        <v>2</v>
      </c>
      <c r="AD529" t="n">
        <v>14</v>
      </c>
      <c r="AE529" t="n">
        <v>14</v>
      </c>
      <c r="AF529" t="n">
        <v>3</v>
      </c>
      <c r="AG529" t="n">
        <v>3</v>
      </c>
      <c r="AH529" t="n">
        <v>4</v>
      </c>
      <c r="AI529" t="n">
        <v>4</v>
      </c>
      <c r="AJ529" t="n">
        <v>10</v>
      </c>
      <c r="AK529" t="n">
        <v>10</v>
      </c>
      <c r="AL529" t="n">
        <v>1</v>
      </c>
      <c r="AM529" t="n">
        <v>1</v>
      </c>
      <c r="AN529" t="n">
        <v>0</v>
      </c>
      <c r="AO529" t="n">
        <v>0</v>
      </c>
      <c r="AP529" t="inlineStr">
        <is>
          <t>No</t>
        </is>
      </c>
      <c r="AQ529" t="inlineStr">
        <is>
          <t>Yes</t>
        </is>
      </c>
      <c r="AR529">
        <f>HYPERLINK("http://catalog.hathitrust.org/Record/009527956","HathiTrust Record")</f>
        <v/>
      </c>
      <c r="AS529">
        <f>HYPERLINK("https://creighton-primo.hosted.exlibrisgroup.com/primo-explore/search?tab=default_tab&amp;search_scope=EVERYTHING&amp;vid=01CRU&amp;lang=en_US&amp;offset=0&amp;query=any,contains,991000121129702656","Catalog Record")</f>
        <v/>
      </c>
      <c r="AT529">
        <f>HYPERLINK("http://www.worldcat.org/oclc/9066770","WorldCat Record")</f>
        <v/>
      </c>
      <c r="AU529" t="inlineStr">
        <is>
          <t>1044059816:eng</t>
        </is>
      </c>
      <c r="AV529" t="inlineStr">
        <is>
          <t>9066770</t>
        </is>
      </c>
      <c r="AW529" t="inlineStr">
        <is>
          <t>991000121129702656</t>
        </is>
      </c>
      <c r="AX529" t="inlineStr">
        <is>
          <t>991000121129702656</t>
        </is>
      </c>
      <c r="AY529" t="inlineStr">
        <is>
          <t>2269844750002656</t>
        </is>
      </c>
      <c r="AZ529" t="inlineStr">
        <is>
          <t>BOOK</t>
        </is>
      </c>
      <c r="BB529" t="inlineStr">
        <is>
          <t>9780819129598</t>
        </is>
      </c>
      <c r="BC529" t="inlineStr">
        <is>
          <t>32285000608306</t>
        </is>
      </c>
      <c r="BD529" t="inlineStr">
        <is>
          <t>893601473</t>
        </is>
      </c>
    </row>
    <row r="530">
      <c r="A530" t="inlineStr">
        <is>
          <t>No</t>
        </is>
      </c>
      <c r="B530" t="inlineStr">
        <is>
          <t>BX1751.2 .R3413 1997</t>
        </is>
      </c>
      <c r="C530" t="inlineStr">
        <is>
          <t>0                      BX 1751200R  3413        1997</t>
        </is>
      </c>
      <c r="D530" t="inlineStr">
        <is>
          <t>Salt of the earth : Christianity and the Catholic Church at the end of the millennium / Joseph Cardinal Ratzinger ; an interview with Peter Seewald ; translated by Adrian Walker.</t>
        </is>
      </c>
      <c r="F530" t="inlineStr">
        <is>
          <t>No</t>
        </is>
      </c>
      <c r="G530" t="inlineStr">
        <is>
          <t>1</t>
        </is>
      </c>
      <c r="H530" t="inlineStr">
        <is>
          <t>No</t>
        </is>
      </c>
      <c r="I530" t="inlineStr">
        <is>
          <t>No</t>
        </is>
      </c>
      <c r="J530" t="inlineStr">
        <is>
          <t>0</t>
        </is>
      </c>
      <c r="K530" t="inlineStr">
        <is>
          <t>Benedict XVI, Pope, 1927-</t>
        </is>
      </c>
      <c r="L530" t="inlineStr">
        <is>
          <t>San Francisco : Ignatius Press, c1997.</t>
        </is>
      </c>
      <c r="M530" t="inlineStr">
        <is>
          <t>1997</t>
        </is>
      </c>
      <c r="O530" t="inlineStr">
        <is>
          <t>eng</t>
        </is>
      </c>
      <c r="P530" t="inlineStr">
        <is>
          <t>cau</t>
        </is>
      </c>
      <c r="R530" t="inlineStr">
        <is>
          <t xml:space="preserve">BX </t>
        </is>
      </c>
      <c r="S530" t="n">
        <v>2</v>
      </c>
      <c r="T530" t="n">
        <v>2</v>
      </c>
      <c r="U530" t="inlineStr">
        <is>
          <t>2006-09-07</t>
        </is>
      </c>
      <c r="V530" t="inlineStr">
        <is>
          <t>2006-09-07</t>
        </is>
      </c>
      <c r="W530" t="inlineStr">
        <is>
          <t>2006-09-07</t>
        </is>
      </c>
      <c r="X530" t="inlineStr">
        <is>
          <t>2006-09-07</t>
        </is>
      </c>
      <c r="Y530" t="n">
        <v>542</v>
      </c>
      <c r="Z530" t="n">
        <v>485</v>
      </c>
      <c r="AA530" t="n">
        <v>491</v>
      </c>
      <c r="AB530" t="n">
        <v>4</v>
      </c>
      <c r="AC530" t="n">
        <v>4</v>
      </c>
      <c r="AD530" t="n">
        <v>29</v>
      </c>
      <c r="AE530" t="n">
        <v>29</v>
      </c>
      <c r="AF530" t="n">
        <v>10</v>
      </c>
      <c r="AG530" t="n">
        <v>10</v>
      </c>
      <c r="AH530" t="n">
        <v>6</v>
      </c>
      <c r="AI530" t="n">
        <v>6</v>
      </c>
      <c r="AJ530" t="n">
        <v>20</v>
      </c>
      <c r="AK530" t="n">
        <v>20</v>
      </c>
      <c r="AL530" t="n">
        <v>1</v>
      </c>
      <c r="AM530" t="n">
        <v>1</v>
      </c>
      <c r="AN530" t="n">
        <v>0</v>
      </c>
      <c r="AO530" t="n">
        <v>0</v>
      </c>
      <c r="AP530" t="inlineStr">
        <is>
          <t>No</t>
        </is>
      </c>
      <c r="AQ530" t="inlineStr">
        <is>
          <t>No</t>
        </is>
      </c>
      <c r="AS530">
        <f>HYPERLINK("https://creighton-primo.hosted.exlibrisgroup.com/primo-explore/search?tab=default_tab&amp;search_scope=EVERYTHING&amp;vid=01CRU&amp;lang=en_US&amp;offset=0&amp;query=any,contains,991004913919702656","Catalog Record")</f>
        <v/>
      </c>
      <c r="AT530">
        <f>HYPERLINK("http://www.worldcat.org/oclc/61228144","WorldCat Record")</f>
        <v/>
      </c>
      <c r="AU530" t="inlineStr">
        <is>
          <t>2865120577:eng</t>
        </is>
      </c>
      <c r="AV530" t="inlineStr">
        <is>
          <t>61228144</t>
        </is>
      </c>
      <c r="AW530" t="inlineStr">
        <is>
          <t>991004913919702656</t>
        </is>
      </c>
      <c r="AX530" t="inlineStr">
        <is>
          <t>991004913919702656</t>
        </is>
      </c>
      <c r="AY530" t="inlineStr">
        <is>
          <t>2255228860002656</t>
        </is>
      </c>
      <c r="AZ530" t="inlineStr">
        <is>
          <t>BOOK</t>
        </is>
      </c>
      <c r="BB530" t="inlineStr">
        <is>
          <t>9780898706406</t>
        </is>
      </c>
      <c r="BC530" t="inlineStr">
        <is>
          <t>32285005221840</t>
        </is>
      </c>
      <c r="BD530" t="inlineStr">
        <is>
          <t>893700816</t>
        </is>
      </c>
    </row>
    <row r="531">
      <c r="A531" t="inlineStr">
        <is>
          <t>No</t>
        </is>
      </c>
      <c r="B531" t="inlineStr">
        <is>
          <t>BX1751.2 .R353 1995</t>
        </is>
      </c>
      <c r="C531" t="inlineStr">
        <is>
          <t>0                      BX 1751200R  353         1995</t>
        </is>
      </c>
      <c r="D531" t="inlineStr">
        <is>
          <t>The nature and mission of theology : essays to orient theology in today's debates / Joseph Ratzinger ; translated by Adrian Walker.</t>
        </is>
      </c>
      <c r="F531" t="inlineStr">
        <is>
          <t>No</t>
        </is>
      </c>
      <c r="G531" t="inlineStr">
        <is>
          <t>1</t>
        </is>
      </c>
      <c r="H531" t="inlineStr">
        <is>
          <t>No</t>
        </is>
      </c>
      <c r="I531" t="inlineStr">
        <is>
          <t>No</t>
        </is>
      </c>
      <c r="J531" t="inlineStr">
        <is>
          <t>0</t>
        </is>
      </c>
      <c r="K531" t="inlineStr">
        <is>
          <t>Benedict XVI, Pope, 1927-</t>
        </is>
      </c>
      <c r="L531" t="inlineStr">
        <is>
          <t>San Francisco : Ignatius Press, c1995.</t>
        </is>
      </c>
      <c r="M531" t="inlineStr">
        <is>
          <t>1995</t>
        </is>
      </c>
      <c r="O531" t="inlineStr">
        <is>
          <t>eng</t>
        </is>
      </c>
      <c r="P531" t="inlineStr">
        <is>
          <t>cau</t>
        </is>
      </c>
      <c r="R531" t="inlineStr">
        <is>
          <t xml:space="preserve">BX </t>
        </is>
      </c>
      <c r="S531" t="n">
        <v>9</v>
      </c>
      <c r="T531" t="n">
        <v>9</v>
      </c>
      <c r="U531" t="inlineStr">
        <is>
          <t>2009-01-30</t>
        </is>
      </c>
      <c r="V531" t="inlineStr">
        <is>
          <t>2009-01-30</t>
        </is>
      </c>
      <c r="W531" t="inlineStr">
        <is>
          <t>2005-06-02</t>
        </is>
      </c>
      <c r="X531" t="inlineStr">
        <is>
          <t>2005-06-02</t>
        </is>
      </c>
      <c r="Y531" t="n">
        <v>251</v>
      </c>
      <c r="Z531" t="n">
        <v>210</v>
      </c>
      <c r="AA531" t="n">
        <v>222</v>
      </c>
      <c r="AB531" t="n">
        <v>2</v>
      </c>
      <c r="AC531" t="n">
        <v>2</v>
      </c>
      <c r="AD531" t="n">
        <v>22</v>
      </c>
      <c r="AE531" t="n">
        <v>22</v>
      </c>
      <c r="AF531" t="n">
        <v>8</v>
      </c>
      <c r="AG531" t="n">
        <v>8</v>
      </c>
      <c r="AH531" t="n">
        <v>6</v>
      </c>
      <c r="AI531" t="n">
        <v>6</v>
      </c>
      <c r="AJ531" t="n">
        <v>14</v>
      </c>
      <c r="AK531" t="n">
        <v>14</v>
      </c>
      <c r="AL531" t="n">
        <v>0</v>
      </c>
      <c r="AM531" t="n">
        <v>0</v>
      </c>
      <c r="AN531" t="n">
        <v>0</v>
      </c>
      <c r="AO531" t="n">
        <v>0</v>
      </c>
      <c r="AP531" t="inlineStr">
        <is>
          <t>No</t>
        </is>
      </c>
      <c r="AQ531" t="inlineStr">
        <is>
          <t>No</t>
        </is>
      </c>
      <c r="AS531">
        <f>HYPERLINK("https://creighton-primo.hosted.exlibrisgroup.com/primo-explore/search?tab=default_tab&amp;search_scope=EVERYTHING&amp;vid=01CRU&amp;lang=en_US&amp;offset=0&amp;query=any,contains,991004538499702656","Catalog Record")</f>
        <v/>
      </c>
      <c r="AT531">
        <f>HYPERLINK("http://www.worldcat.org/oclc/32427272","WorldCat Record")</f>
        <v/>
      </c>
      <c r="AU531" t="inlineStr">
        <is>
          <t>2973836946:eng</t>
        </is>
      </c>
      <c r="AV531" t="inlineStr">
        <is>
          <t>32427272</t>
        </is>
      </c>
      <c r="AW531" t="inlineStr">
        <is>
          <t>991004538499702656</t>
        </is>
      </c>
      <c r="AX531" t="inlineStr">
        <is>
          <t>991004538499702656</t>
        </is>
      </c>
      <c r="AY531" t="inlineStr">
        <is>
          <t>2263919190002656</t>
        </is>
      </c>
      <c r="AZ531" t="inlineStr">
        <is>
          <t>BOOK</t>
        </is>
      </c>
      <c r="BB531" t="inlineStr">
        <is>
          <t>9780898705386</t>
        </is>
      </c>
      <c r="BC531" t="inlineStr">
        <is>
          <t>32285005092597</t>
        </is>
      </c>
      <c r="BD531" t="inlineStr">
        <is>
          <t>893801068</t>
        </is>
      </c>
    </row>
    <row r="532">
      <c r="A532" t="inlineStr">
        <is>
          <t>No</t>
        </is>
      </c>
      <c r="B532" t="inlineStr">
        <is>
          <t>BX1751.2 .R9</t>
        </is>
      </c>
      <c r="C532" t="inlineStr">
        <is>
          <t>0                      BX 1751200R  9</t>
        </is>
      </c>
      <c r="D532" t="inlineStr">
        <is>
          <t>What would you like to know about the Catholic Church? / answers by Kenneth Ryan and J. D. Conway.</t>
        </is>
      </c>
      <c r="F532" t="inlineStr">
        <is>
          <t>No</t>
        </is>
      </c>
      <c r="G532" t="inlineStr">
        <is>
          <t>1</t>
        </is>
      </c>
      <c r="H532" t="inlineStr">
        <is>
          <t>No</t>
        </is>
      </c>
      <c r="I532" t="inlineStr">
        <is>
          <t>No</t>
        </is>
      </c>
      <c r="J532" t="inlineStr">
        <is>
          <t>0</t>
        </is>
      </c>
      <c r="K532" t="inlineStr">
        <is>
          <t>Ryan, Kenneth.</t>
        </is>
      </c>
      <c r="L532" t="inlineStr">
        <is>
          <t>St. Paul : Carillon Books, c1976.</t>
        </is>
      </c>
      <c r="M532" t="inlineStr">
        <is>
          <t>1976</t>
        </is>
      </c>
      <c r="O532" t="inlineStr">
        <is>
          <t>eng</t>
        </is>
      </c>
      <c r="P532" t="inlineStr">
        <is>
          <t>mnu</t>
        </is>
      </c>
      <c r="R532" t="inlineStr">
        <is>
          <t xml:space="preserve">BX </t>
        </is>
      </c>
      <c r="S532" t="n">
        <v>3</v>
      </c>
      <c r="T532" t="n">
        <v>3</v>
      </c>
      <c r="U532" t="inlineStr">
        <is>
          <t>1999-10-31</t>
        </is>
      </c>
      <c r="V532" t="inlineStr">
        <is>
          <t>1999-10-31</t>
        </is>
      </c>
      <c r="W532" t="inlineStr">
        <is>
          <t>1991-05-09</t>
        </is>
      </c>
      <c r="X532" t="inlineStr">
        <is>
          <t>1991-05-09</t>
        </is>
      </c>
      <c r="Y532" t="n">
        <v>89</v>
      </c>
      <c r="Z532" t="n">
        <v>85</v>
      </c>
      <c r="AA532" t="n">
        <v>99</v>
      </c>
      <c r="AB532" t="n">
        <v>3</v>
      </c>
      <c r="AC532" t="n">
        <v>4</v>
      </c>
      <c r="AD532" t="n">
        <v>6</v>
      </c>
      <c r="AE532" t="n">
        <v>6</v>
      </c>
      <c r="AF532" t="n">
        <v>0</v>
      </c>
      <c r="AG532" t="n">
        <v>0</v>
      </c>
      <c r="AH532" t="n">
        <v>1</v>
      </c>
      <c r="AI532" t="n">
        <v>1</v>
      </c>
      <c r="AJ532" t="n">
        <v>4</v>
      </c>
      <c r="AK532" t="n">
        <v>4</v>
      </c>
      <c r="AL532" t="n">
        <v>1</v>
      </c>
      <c r="AM532" t="n">
        <v>1</v>
      </c>
      <c r="AN532" t="n">
        <v>0</v>
      </c>
      <c r="AO532" t="n">
        <v>0</v>
      </c>
      <c r="AP532" t="inlineStr">
        <is>
          <t>No</t>
        </is>
      </c>
      <c r="AQ532" t="inlineStr">
        <is>
          <t>No</t>
        </is>
      </c>
      <c r="AS532">
        <f>HYPERLINK("https://creighton-primo.hosted.exlibrisgroup.com/primo-explore/search?tab=default_tab&amp;search_scope=EVERYTHING&amp;vid=01CRU&amp;lang=en_US&amp;offset=0&amp;query=any,contains,991004435669702656","Catalog Record")</f>
        <v/>
      </c>
      <c r="AT532">
        <f>HYPERLINK("http://www.worldcat.org/oclc/3441399","WorldCat Record")</f>
        <v/>
      </c>
      <c r="AU532" t="inlineStr">
        <is>
          <t>10682455:eng</t>
        </is>
      </c>
      <c r="AV532" t="inlineStr">
        <is>
          <t>3441399</t>
        </is>
      </c>
      <c r="AW532" t="inlineStr">
        <is>
          <t>991004435669702656</t>
        </is>
      </c>
      <c r="AX532" t="inlineStr">
        <is>
          <t>991004435669702656</t>
        </is>
      </c>
      <c r="AY532" t="inlineStr">
        <is>
          <t>2269276910002656</t>
        </is>
      </c>
      <c r="AZ532" t="inlineStr">
        <is>
          <t>BOOK</t>
        </is>
      </c>
      <c r="BB532" t="inlineStr">
        <is>
          <t>9780893100049</t>
        </is>
      </c>
      <c r="BC532" t="inlineStr">
        <is>
          <t>32285000608579</t>
        </is>
      </c>
      <c r="BD532" t="inlineStr">
        <is>
          <t>893882475</t>
        </is>
      </c>
    </row>
    <row r="533">
      <c r="A533" t="inlineStr">
        <is>
          <t>No</t>
        </is>
      </c>
      <c r="B533" t="inlineStr">
        <is>
          <t>BX1751.2 .R9 1998</t>
        </is>
      </c>
      <c r="C533" t="inlineStr">
        <is>
          <t>0                      BX 1751200R  9           1998</t>
        </is>
      </c>
      <c r="D533" t="inlineStr">
        <is>
          <t>Practicing Catholic : the search for a livable Catholicism / Penelope J. Ryan.</t>
        </is>
      </c>
      <c r="F533" t="inlineStr">
        <is>
          <t>No</t>
        </is>
      </c>
      <c r="G533" t="inlineStr">
        <is>
          <t>1</t>
        </is>
      </c>
      <c r="H533" t="inlineStr">
        <is>
          <t>No</t>
        </is>
      </c>
      <c r="I533" t="inlineStr">
        <is>
          <t>No</t>
        </is>
      </c>
      <c r="J533" t="inlineStr">
        <is>
          <t>0</t>
        </is>
      </c>
      <c r="K533" t="inlineStr">
        <is>
          <t>Ryan, Penelope J.</t>
        </is>
      </c>
      <c r="L533" t="inlineStr">
        <is>
          <t>New York : H. Holt, 1998.</t>
        </is>
      </c>
      <c r="M533" t="inlineStr">
        <is>
          <t>1998</t>
        </is>
      </c>
      <c r="N533" t="inlineStr">
        <is>
          <t>1st ed.</t>
        </is>
      </c>
      <c r="O533" t="inlineStr">
        <is>
          <t>eng</t>
        </is>
      </c>
      <c r="P533" t="inlineStr">
        <is>
          <t>nyu</t>
        </is>
      </c>
      <c r="R533" t="inlineStr">
        <is>
          <t xml:space="preserve">BX </t>
        </is>
      </c>
      <c r="S533" t="n">
        <v>4</v>
      </c>
      <c r="T533" t="n">
        <v>4</v>
      </c>
      <c r="U533" t="inlineStr">
        <is>
          <t>2004-12-05</t>
        </is>
      </c>
      <c r="V533" t="inlineStr">
        <is>
          <t>2004-12-05</t>
        </is>
      </c>
      <c r="W533" t="inlineStr">
        <is>
          <t>1998-06-29</t>
        </is>
      </c>
      <c r="X533" t="inlineStr">
        <is>
          <t>1998-06-29</t>
        </is>
      </c>
      <c r="Y533" t="n">
        <v>398</v>
      </c>
      <c r="Z533" t="n">
        <v>366</v>
      </c>
      <c r="AA533" t="n">
        <v>371</v>
      </c>
      <c r="AB533" t="n">
        <v>5</v>
      </c>
      <c r="AC533" t="n">
        <v>5</v>
      </c>
      <c r="AD533" t="n">
        <v>22</v>
      </c>
      <c r="AE533" t="n">
        <v>22</v>
      </c>
      <c r="AF533" t="n">
        <v>6</v>
      </c>
      <c r="AG533" t="n">
        <v>6</v>
      </c>
      <c r="AH533" t="n">
        <v>7</v>
      </c>
      <c r="AI533" t="n">
        <v>7</v>
      </c>
      <c r="AJ533" t="n">
        <v>12</v>
      </c>
      <c r="AK533" t="n">
        <v>12</v>
      </c>
      <c r="AL533" t="n">
        <v>3</v>
      </c>
      <c r="AM533" t="n">
        <v>3</v>
      </c>
      <c r="AN533" t="n">
        <v>0</v>
      </c>
      <c r="AO533" t="n">
        <v>0</v>
      </c>
      <c r="AP533" t="inlineStr">
        <is>
          <t>No</t>
        </is>
      </c>
      <c r="AQ533" t="inlineStr">
        <is>
          <t>No</t>
        </is>
      </c>
      <c r="AS533">
        <f>HYPERLINK("https://creighton-primo.hosted.exlibrisgroup.com/primo-explore/search?tab=default_tab&amp;search_scope=EVERYTHING&amp;vid=01CRU&amp;lang=en_US&amp;offset=0&amp;query=any,contains,991002891849702656","Catalog Record")</f>
        <v/>
      </c>
      <c r="AT533">
        <f>HYPERLINK("http://www.worldcat.org/oclc/38106418","WorldCat Record")</f>
        <v/>
      </c>
      <c r="AU533" t="inlineStr">
        <is>
          <t>314948709:eng</t>
        </is>
      </c>
      <c r="AV533" t="inlineStr">
        <is>
          <t>38106418</t>
        </is>
      </c>
      <c r="AW533" t="inlineStr">
        <is>
          <t>991002891849702656</t>
        </is>
      </c>
      <c r="AX533" t="inlineStr">
        <is>
          <t>991002891849702656</t>
        </is>
      </c>
      <c r="AY533" t="inlineStr">
        <is>
          <t>2256301700002656</t>
        </is>
      </c>
      <c r="AZ533" t="inlineStr">
        <is>
          <t>BOOK</t>
        </is>
      </c>
      <c r="BB533" t="inlineStr">
        <is>
          <t>9780805046632</t>
        </is>
      </c>
      <c r="BC533" t="inlineStr">
        <is>
          <t>32285003424123</t>
        </is>
      </c>
      <c r="BD533" t="inlineStr">
        <is>
          <t>893622867</t>
        </is>
      </c>
    </row>
    <row r="534">
      <c r="A534" t="inlineStr">
        <is>
          <t>No</t>
        </is>
      </c>
      <c r="B534" t="inlineStr">
        <is>
          <t>BX1751.2 .S376 1995</t>
        </is>
      </c>
      <c r="C534" t="inlineStr">
        <is>
          <t>0                      BX 1751200S  376         1995</t>
        </is>
      </c>
      <c r="D534" t="inlineStr">
        <is>
          <t>The language of faith : essays on Jesus, theology, and the church / Edward Schillebeeckx ; with an introduction by Robert J. Schreiter.</t>
        </is>
      </c>
      <c r="F534" t="inlineStr">
        <is>
          <t>No</t>
        </is>
      </c>
      <c r="G534" t="inlineStr">
        <is>
          <t>1</t>
        </is>
      </c>
      <c r="H534" t="inlineStr">
        <is>
          <t>No</t>
        </is>
      </c>
      <c r="I534" t="inlineStr">
        <is>
          <t>No</t>
        </is>
      </c>
      <c r="J534" t="inlineStr">
        <is>
          <t>0</t>
        </is>
      </c>
      <c r="K534" t="inlineStr">
        <is>
          <t>Schillebeeckx, Edward, 1914-2009.</t>
        </is>
      </c>
      <c r="L534" t="inlineStr">
        <is>
          <t>Maryknoll, N.Y. : Orbis Books ; London, England : SCM Press, c1995.</t>
        </is>
      </c>
      <c r="M534" t="inlineStr">
        <is>
          <t>1995</t>
        </is>
      </c>
      <c r="O534" t="inlineStr">
        <is>
          <t>eng</t>
        </is>
      </c>
      <c r="P534" t="inlineStr">
        <is>
          <t>nyu</t>
        </is>
      </c>
      <c r="Q534" t="inlineStr">
        <is>
          <t>Concilium series</t>
        </is>
      </c>
      <c r="R534" t="inlineStr">
        <is>
          <t xml:space="preserve">BX </t>
        </is>
      </c>
      <c r="S534" t="n">
        <v>5</v>
      </c>
      <c r="T534" t="n">
        <v>5</v>
      </c>
      <c r="U534" t="inlineStr">
        <is>
          <t>2009-04-13</t>
        </is>
      </c>
      <c r="V534" t="inlineStr">
        <is>
          <t>2009-04-13</t>
        </is>
      </c>
      <c r="W534" t="inlineStr">
        <is>
          <t>1996-10-07</t>
        </is>
      </c>
      <c r="X534" t="inlineStr">
        <is>
          <t>1996-10-07</t>
        </is>
      </c>
      <c r="Y534" t="n">
        <v>251</v>
      </c>
      <c r="Z534" t="n">
        <v>192</v>
      </c>
      <c r="AA534" t="n">
        <v>199</v>
      </c>
      <c r="AB534" t="n">
        <v>1</v>
      </c>
      <c r="AC534" t="n">
        <v>1</v>
      </c>
      <c r="AD534" t="n">
        <v>19</v>
      </c>
      <c r="AE534" t="n">
        <v>19</v>
      </c>
      <c r="AF534" t="n">
        <v>7</v>
      </c>
      <c r="AG534" t="n">
        <v>7</v>
      </c>
      <c r="AH534" t="n">
        <v>5</v>
      </c>
      <c r="AI534" t="n">
        <v>5</v>
      </c>
      <c r="AJ534" t="n">
        <v>11</v>
      </c>
      <c r="AK534" t="n">
        <v>11</v>
      </c>
      <c r="AL534" t="n">
        <v>0</v>
      </c>
      <c r="AM534" t="n">
        <v>0</v>
      </c>
      <c r="AN534" t="n">
        <v>0</v>
      </c>
      <c r="AO534" t="n">
        <v>0</v>
      </c>
      <c r="AP534" t="inlineStr">
        <is>
          <t>No</t>
        </is>
      </c>
      <c r="AQ534" t="inlineStr">
        <is>
          <t>Yes</t>
        </is>
      </c>
      <c r="AR534">
        <f>HYPERLINK("http://catalog.hathitrust.org/Record/002980602","HathiTrust Record")</f>
        <v/>
      </c>
      <c r="AS534">
        <f>HYPERLINK("https://creighton-primo.hosted.exlibrisgroup.com/primo-explore/search?tab=default_tab&amp;search_scope=EVERYTHING&amp;vid=01CRU&amp;lang=en_US&amp;offset=0&amp;query=any,contains,991002425919702656","Catalog Record")</f>
        <v/>
      </c>
      <c r="AT534">
        <f>HYPERLINK("http://www.worldcat.org/oclc/31607746","WorldCat Record")</f>
        <v/>
      </c>
      <c r="AU534" t="inlineStr">
        <is>
          <t>33355541:eng</t>
        </is>
      </c>
      <c r="AV534" t="inlineStr">
        <is>
          <t>31607746</t>
        </is>
      </c>
      <c r="AW534" t="inlineStr">
        <is>
          <t>991002425919702656</t>
        </is>
      </c>
      <c r="AX534" t="inlineStr">
        <is>
          <t>991002425919702656</t>
        </is>
      </c>
      <c r="AY534" t="inlineStr">
        <is>
          <t>2264719560002656</t>
        </is>
      </c>
      <c r="AZ534" t="inlineStr">
        <is>
          <t>BOOK</t>
        </is>
      </c>
      <c r="BB534" t="inlineStr">
        <is>
          <t>9780334025993</t>
        </is>
      </c>
      <c r="BC534" t="inlineStr">
        <is>
          <t>32285002323250</t>
        </is>
      </c>
      <c r="BD534" t="inlineStr">
        <is>
          <t>893597445</t>
        </is>
      </c>
    </row>
    <row r="535">
      <c r="A535" t="inlineStr">
        <is>
          <t>No</t>
        </is>
      </c>
      <c r="B535" t="inlineStr">
        <is>
          <t>BX1751.2 .S465</t>
        </is>
      </c>
      <c r="C535" t="inlineStr">
        <is>
          <t>0                      BX 1751200S  465</t>
        </is>
      </c>
      <c r="D535" t="inlineStr">
        <is>
          <t>The Church yesterday &amp; today / John V. Sheridan.</t>
        </is>
      </c>
      <c r="F535" t="inlineStr">
        <is>
          <t>No</t>
        </is>
      </c>
      <c r="G535" t="inlineStr">
        <is>
          <t>1</t>
        </is>
      </c>
      <c r="H535" t="inlineStr">
        <is>
          <t>No</t>
        </is>
      </c>
      <c r="I535" t="inlineStr">
        <is>
          <t>No</t>
        </is>
      </c>
      <c r="J535" t="inlineStr">
        <is>
          <t>0</t>
        </is>
      </c>
      <c r="K535" t="inlineStr">
        <is>
          <t>Sheridan, John V.</t>
        </is>
      </c>
      <c r="L535" t="inlineStr">
        <is>
          <t>Huntington, IN : Our Sunday Visitor, c1975.</t>
        </is>
      </c>
      <c r="M535" t="inlineStr">
        <is>
          <t>1975</t>
        </is>
      </c>
      <c r="O535" t="inlineStr">
        <is>
          <t>eng</t>
        </is>
      </c>
      <c r="P535" t="inlineStr">
        <is>
          <t>inu</t>
        </is>
      </c>
      <c r="R535" t="inlineStr">
        <is>
          <t xml:space="preserve">BX </t>
        </is>
      </c>
      <c r="S535" t="n">
        <v>4</v>
      </c>
      <c r="T535" t="n">
        <v>4</v>
      </c>
      <c r="U535" t="inlineStr">
        <is>
          <t>2008-12-03</t>
        </is>
      </c>
      <c r="V535" t="inlineStr">
        <is>
          <t>2008-12-03</t>
        </is>
      </c>
      <c r="W535" t="inlineStr">
        <is>
          <t>1991-05-09</t>
        </is>
      </c>
      <c r="X535" t="inlineStr">
        <is>
          <t>1991-05-09</t>
        </is>
      </c>
      <c r="Y535" t="n">
        <v>55</v>
      </c>
      <c r="Z535" t="n">
        <v>47</v>
      </c>
      <c r="AA535" t="n">
        <v>47</v>
      </c>
      <c r="AB535" t="n">
        <v>2</v>
      </c>
      <c r="AC535" t="n">
        <v>2</v>
      </c>
      <c r="AD535" t="n">
        <v>6</v>
      </c>
      <c r="AE535" t="n">
        <v>6</v>
      </c>
      <c r="AF535" t="n">
        <v>1</v>
      </c>
      <c r="AG535" t="n">
        <v>1</v>
      </c>
      <c r="AH535" t="n">
        <v>2</v>
      </c>
      <c r="AI535" t="n">
        <v>2</v>
      </c>
      <c r="AJ535" t="n">
        <v>3</v>
      </c>
      <c r="AK535" t="n">
        <v>3</v>
      </c>
      <c r="AL535" t="n">
        <v>0</v>
      </c>
      <c r="AM535" t="n">
        <v>0</v>
      </c>
      <c r="AN535" t="n">
        <v>0</v>
      </c>
      <c r="AO535" t="n">
        <v>0</v>
      </c>
      <c r="AP535" t="inlineStr">
        <is>
          <t>No</t>
        </is>
      </c>
      <c r="AQ535" t="inlineStr">
        <is>
          <t>No</t>
        </is>
      </c>
      <c r="AS535">
        <f>HYPERLINK("https://creighton-primo.hosted.exlibrisgroup.com/primo-explore/search?tab=default_tab&amp;search_scope=EVERYTHING&amp;vid=01CRU&amp;lang=en_US&amp;offset=0&amp;query=any,contains,991003885129702656","Catalog Record")</f>
        <v/>
      </c>
      <c r="AT535">
        <f>HYPERLINK("http://www.worldcat.org/oclc/1735248","WorldCat Record")</f>
        <v/>
      </c>
      <c r="AU535" t="inlineStr">
        <is>
          <t>146931906:eng</t>
        </is>
      </c>
      <c r="AV535" t="inlineStr">
        <is>
          <t>1735248</t>
        </is>
      </c>
      <c r="AW535" t="inlineStr">
        <is>
          <t>991003885129702656</t>
        </is>
      </c>
      <c r="AX535" t="inlineStr">
        <is>
          <t>991003885129702656</t>
        </is>
      </c>
      <c r="AY535" t="inlineStr">
        <is>
          <t>2256042990002656</t>
        </is>
      </c>
      <c r="AZ535" t="inlineStr">
        <is>
          <t>BOOK</t>
        </is>
      </c>
      <c r="BB535" t="inlineStr">
        <is>
          <t>9780879738679</t>
        </is>
      </c>
      <c r="BC535" t="inlineStr">
        <is>
          <t>32285000608595</t>
        </is>
      </c>
      <c r="BD535" t="inlineStr">
        <is>
          <t>893246857</t>
        </is>
      </c>
    </row>
    <row r="536">
      <c r="A536" t="inlineStr">
        <is>
          <t>No</t>
        </is>
      </c>
      <c r="B536" t="inlineStr">
        <is>
          <t>BX1751.2 .S477 1989</t>
        </is>
      </c>
      <c r="C536" t="inlineStr">
        <is>
          <t>0                      BX 1751200S  477         1989</t>
        </is>
      </c>
      <c r="D536" t="inlineStr">
        <is>
          <t>How Eastern Orthodoxy can contribute to Roman Catholic renewal : a theological and pastoral proposition / Ernest Skublics.</t>
        </is>
      </c>
      <c r="F536" t="inlineStr">
        <is>
          <t>No</t>
        </is>
      </c>
      <c r="G536" t="inlineStr">
        <is>
          <t>1</t>
        </is>
      </c>
      <c r="H536" t="inlineStr">
        <is>
          <t>No</t>
        </is>
      </c>
      <c r="I536" t="inlineStr">
        <is>
          <t>No</t>
        </is>
      </c>
      <c r="J536" t="inlineStr">
        <is>
          <t>0</t>
        </is>
      </c>
      <c r="K536" t="inlineStr">
        <is>
          <t>Skublics, Ernest.</t>
        </is>
      </c>
      <c r="L536" t="inlineStr">
        <is>
          <t>Lewiston : E. Mellen Press, 1989.</t>
        </is>
      </c>
      <c r="M536" t="inlineStr">
        <is>
          <t>1989</t>
        </is>
      </c>
      <c r="O536" t="inlineStr">
        <is>
          <t>eng</t>
        </is>
      </c>
      <c r="P536" t="inlineStr">
        <is>
          <t>nyu</t>
        </is>
      </c>
      <c r="Q536" t="inlineStr">
        <is>
          <t>Roman Catholic studies ; v. 4</t>
        </is>
      </c>
      <c r="R536" t="inlineStr">
        <is>
          <t xml:space="preserve">BX </t>
        </is>
      </c>
      <c r="S536" t="n">
        <v>4</v>
      </c>
      <c r="T536" t="n">
        <v>4</v>
      </c>
      <c r="U536" t="inlineStr">
        <is>
          <t>2000-12-09</t>
        </is>
      </c>
      <c r="V536" t="inlineStr">
        <is>
          <t>2000-12-09</t>
        </is>
      </c>
      <c r="W536" t="inlineStr">
        <is>
          <t>1990-01-04</t>
        </is>
      </c>
      <c r="X536" t="inlineStr">
        <is>
          <t>1990-01-04</t>
        </is>
      </c>
      <c r="Y536" t="n">
        <v>90</v>
      </c>
      <c r="Z536" t="n">
        <v>72</v>
      </c>
      <c r="AA536" t="n">
        <v>73</v>
      </c>
      <c r="AB536" t="n">
        <v>1</v>
      </c>
      <c r="AC536" t="n">
        <v>1</v>
      </c>
      <c r="AD536" t="n">
        <v>11</v>
      </c>
      <c r="AE536" t="n">
        <v>11</v>
      </c>
      <c r="AF536" t="n">
        <v>3</v>
      </c>
      <c r="AG536" t="n">
        <v>3</v>
      </c>
      <c r="AH536" t="n">
        <v>2</v>
      </c>
      <c r="AI536" t="n">
        <v>2</v>
      </c>
      <c r="AJ536" t="n">
        <v>10</v>
      </c>
      <c r="AK536" t="n">
        <v>10</v>
      </c>
      <c r="AL536" t="n">
        <v>0</v>
      </c>
      <c r="AM536" t="n">
        <v>0</v>
      </c>
      <c r="AN536" t="n">
        <v>0</v>
      </c>
      <c r="AO536" t="n">
        <v>0</v>
      </c>
      <c r="AP536" t="inlineStr">
        <is>
          <t>No</t>
        </is>
      </c>
      <c r="AQ536" t="inlineStr">
        <is>
          <t>No</t>
        </is>
      </c>
      <c r="AS536">
        <f>HYPERLINK("https://creighton-primo.hosted.exlibrisgroup.com/primo-explore/search?tab=default_tab&amp;search_scope=EVERYTHING&amp;vid=01CRU&amp;lang=en_US&amp;offset=0&amp;query=any,contains,991001279569702656","Catalog Record")</f>
        <v/>
      </c>
      <c r="AT536">
        <f>HYPERLINK("http://www.worldcat.org/oclc/17916223","WorldCat Record")</f>
        <v/>
      </c>
      <c r="AU536" t="inlineStr">
        <is>
          <t>434017432:eng</t>
        </is>
      </c>
      <c r="AV536" t="inlineStr">
        <is>
          <t>17916223</t>
        </is>
      </c>
      <c r="AW536" t="inlineStr">
        <is>
          <t>991001279569702656</t>
        </is>
      </c>
      <c r="AX536" t="inlineStr">
        <is>
          <t>991001279569702656</t>
        </is>
      </c>
      <c r="AY536" t="inlineStr">
        <is>
          <t>2267028830002656</t>
        </is>
      </c>
      <c r="AZ536" t="inlineStr">
        <is>
          <t>BOOK</t>
        </is>
      </c>
      <c r="BB536" t="inlineStr">
        <is>
          <t>9780889467804</t>
        </is>
      </c>
      <c r="BC536" t="inlineStr">
        <is>
          <t>32285000025899</t>
        </is>
      </c>
      <c r="BD536" t="inlineStr">
        <is>
          <t>893696633</t>
        </is>
      </c>
    </row>
    <row r="537">
      <c r="A537" t="inlineStr">
        <is>
          <t>No</t>
        </is>
      </c>
      <c r="B537" t="inlineStr">
        <is>
          <t>BX1751.2 .S483 1988</t>
        </is>
      </c>
      <c r="C537" t="inlineStr">
        <is>
          <t>0                      BX 1751200S  483         1988</t>
        </is>
      </c>
      <c r="D537" t="inlineStr">
        <is>
          <t>The God question : a Catholic approach / Francis R. Smith.</t>
        </is>
      </c>
      <c r="F537" t="inlineStr">
        <is>
          <t>No</t>
        </is>
      </c>
      <c r="G537" t="inlineStr">
        <is>
          <t>1</t>
        </is>
      </c>
      <c r="H537" t="inlineStr">
        <is>
          <t>No</t>
        </is>
      </c>
      <c r="I537" t="inlineStr">
        <is>
          <t>No</t>
        </is>
      </c>
      <c r="J537" t="inlineStr">
        <is>
          <t>0</t>
        </is>
      </c>
      <c r="K537" t="inlineStr">
        <is>
          <t>Smith, Francis R., 1934-</t>
        </is>
      </c>
      <c r="L537" t="inlineStr">
        <is>
          <t>New York : Paulist Press, c1988.</t>
        </is>
      </c>
      <c r="M537" t="inlineStr">
        <is>
          <t>1988</t>
        </is>
      </c>
      <c r="O537" t="inlineStr">
        <is>
          <t>eng</t>
        </is>
      </c>
      <c r="P537" t="inlineStr">
        <is>
          <t>nyu</t>
        </is>
      </c>
      <c r="R537" t="inlineStr">
        <is>
          <t xml:space="preserve">BX </t>
        </is>
      </c>
      <c r="S537" t="n">
        <v>3</v>
      </c>
      <c r="T537" t="n">
        <v>3</v>
      </c>
      <c r="U537" t="inlineStr">
        <is>
          <t>1999-10-25</t>
        </is>
      </c>
      <c r="V537" t="inlineStr">
        <is>
          <t>1999-10-25</t>
        </is>
      </c>
      <c r="W537" t="inlineStr">
        <is>
          <t>1991-05-09</t>
        </is>
      </c>
      <c r="X537" t="inlineStr">
        <is>
          <t>1991-05-09</t>
        </is>
      </c>
      <c r="Y537" t="n">
        <v>157</v>
      </c>
      <c r="Z537" t="n">
        <v>136</v>
      </c>
      <c r="AA537" t="n">
        <v>141</v>
      </c>
      <c r="AB537" t="n">
        <v>2</v>
      </c>
      <c r="AC537" t="n">
        <v>2</v>
      </c>
      <c r="AD537" t="n">
        <v>17</v>
      </c>
      <c r="AE537" t="n">
        <v>17</v>
      </c>
      <c r="AF537" t="n">
        <v>1</v>
      </c>
      <c r="AG537" t="n">
        <v>1</v>
      </c>
      <c r="AH537" t="n">
        <v>5</v>
      </c>
      <c r="AI537" t="n">
        <v>5</v>
      </c>
      <c r="AJ537" t="n">
        <v>14</v>
      </c>
      <c r="AK537" t="n">
        <v>14</v>
      </c>
      <c r="AL537" t="n">
        <v>1</v>
      </c>
      <c r="AM537" t="n">
        <v>1</v>
      </c>
      <c r="AN537" t="n">
        <v>0</v>
      </c>
      <c r="AO537" t="n">
        <v>0</v>
      </c>
      <c r="AP537" t="inlineStr">
        <is>
          <t>No</t>
        </is>
      </c>
      <c r="AQ537" t="inlineStr">
        <is>
          <t>No</t>
        </is>
      </c>
      <c r="AS537">
        <f>HYPERLINK("https://creighton-primo.hosted.exlibrisgroup.com/primo-explore/search?tab=default_tab&amp;search_scope=EVERYTHING&amp;vid=01CRU&amp;lang=en_US&amp;offset=0&amp;query=any,contains,991001219139702656","Catalog Record")</f>
        <v/>
      </c>
      <c r="AT537">
        <f>HYPERLINK("http://www.worldcat.org/oclc/17441502","WorldCat Record")</f>
        <v/>
      </c>
      <c r="AU537" t="inlineStr">
        <is>
          <t>16075858:eng</t>
        </is>
      </c>
      <c r="AV537" t="inlineStr">
        <is>
          <t>17441502</t>
        </is>
      </c>
      <c r="AW537" t="inlineStr">
        <is>
          <t>991001219139702656</t>
        </is>
      </c>
      <c r="AX537" t="inlineStr">
        <is>
          <t>991001219139702656</t>
        </is>
      </c>
      <c r="AY537" t="inlineStr">
        <is>
          <t>2260705520002656</t>
        </is>
      </c>
      <c r="AZ537" t="inlineStr">
        <is>
          <t>BOOK</t>
        </is>
      </c>
      <c r="BB537" t="inlineStr">
        <is>
          <t>9780809104185</t>
        </is>
      </c>
      <c r="BC537" t="inlineStr">
        <is>
          <t>32285000608603</t>
        </is>
      </c>
      <c r="BD537" t="inlineStr">
        <is>
          <t>893444621</t>
        </is>
      </c>
    </row>
    <row r="538">
      <c r="A538" t="inlineStr">
        <is>
          <t>No</t>
        </is>
      </c>
      <c r="B538" t="inlineStr">
        <is>
          <t>BX1751.2 .S75</t>
        </is>
      </c>
      <c r="C538" t="inlineStr">
        <is>
          <t>0                      BX 1751200S  75</t>
        </is>
      </c>
      <c r="D538" t="inlineStr">
        <is>
          <t>The Church after the Council : a primer for adults / Peter M. J. Stravinskas, Robert A. McBain ; photography by Philip Dattilo.</t>
        </is>
      </c>
      <c r="F538" t="inlineStr">
        <is>
          <t>No</t>
        </is>
      </c>
      <c r="G538" t="inlineStr">
        <is>
          <t>1</t>
        </is>
      </c>
      <c r="H538" t="inlineStr">
        <is>
          <t>No</t>
        </is>
      </c>
      <c r="I538" t="inlineStr">
        <is>
          <t>No</t>
        </is>
      </c>
      <c r="J538" t="inlineStr">
        <is>
          <t>0</t>
        </is>
      </c>
      <c r="K538" t="inlineStr">
        <is>
          <t>Stravinskas, Peter M. J.</t>
        </is>
      </c>
      <c r="L538" t="inlineStr">
        <is>
          <t>New York : Alba House, [1975]</t>
        </is>
      </c>
      <c r="M538" t="inlineStr">
        <is>
          <t>1975</t>
        </is>
      </c>
      <c r="O538" t="inlineStr">
        <is>
          <t>eng</t>
        </is>
      </c>
      <c r="P538" t="inlineStr">
        <is>
          <t>nyu</t>
        </is>
      </c>
      <c r="R538" t="inlineStr">
        <is>
          <t xml:space="preserve">BX </t>
        </is>
      </c>
      <c r="S538" t="n">
        <v>8</v>
      </c>
      <c r="T538" t="n">
        <v>8</v>
      </c>
      <c r="U538" t="inlineStr">
        <is>
          <t>2008-12-03</t>
        </is>
      </c>
      <c r="V538" t="inlineStr">
        <is>
          <t>2008-12-03</t>
        </is>
      </c>
      <c r="W538" t="inlineStr">
        <is>
          <t>1990-08-08</t>
        </is>
      </c>
      <c r="X538" t="inlineStr">
        <is>
          <t>1990-08-08</t>
        </is>
      </c>
      <c r="Y538" t="n">
        <v>66</v>
      </c>
      <c r="Z538" t="n">
        <v>57</v>
      </c>
      <c r="AA538" t="n">
        <v>57</v>
      </c>
      <c r="AB538" t="n">
        <v>1</v>
      </c>
      <c r="AC538" t="n">
        <v>1</v>
      </c>
      <c r="AD538" t="n">
        <v>11</v>
      </c>
      <c r="AE538" t="n">
        <v>11</v>
      </c>
      <c r="AF538" t="n">
        <v>3</v>
      </c>
      <c r="AG538" t="n">
        <v>3</v>
      </c>
      <c r="AH538" t="n">
        <v>3</v>
      </c>
      <c r="AI538" t="n">
        <v>3</v>
      </c>
      <c r="AJ538" t="n">
        <v>8</v>
      </c>
      <c r="AK538" t="n">
        <v>8</v>
      </c>
      <c r="AL538" t="n">
        <v>0</v>
      </c>
      <c r="AM538" t="n">
        <v>0</v>
      </c>
      <c r="AN538" t="n">
        <v>0</v>
      </c>
      <c r="AO538" t="n">
        <v>0</v>
      </c>
      <c r="AP538" t="inlineStr">
        <is>
          <t>No</t>
        </is>
      </c>
      <c r="AQ538" t="inlineStr">
        <is>
          <t>No</t>
        </is>
      </c>
      <c r="AS538">
        <f>HYPERLINK("https://creighton-primo.hosted.exlibrisgroup.com/primo-explore/search?tab=default_tab&amp;search_scope=EVERYTHING&amp;vid=01CRU&amp;lang=en_US&amp;offset=0&amp;query=any,contains,991003613609702656","Catalog Record")</f>
        <v/>
      </c>
      <c r="AT538">
        <f>HYPERLINK("http://www.worldcat.org/oclc/1196017","WorldCat Record")</f>
        <v/>
      </c>
      <c r="AU538" t="inlineStr">
        <is>
          <t>2156510:eng</t>
        </is>
      </c>
      <c r="AV538" t="inlineStr">
        <is>
          <t>1196017</t>
        </is>
      </c>
      <c r="AW538" t="inlineStr">
        <is>
          <t>991003613609702656</t>
        </is>
      </c>
      <c r="AX538" t="inlineStr">
        <is>
          <t>991003613609702656</t>
        </is>
      </c>
      <c r="AY538" t="inlineStr">
        <is>
          <t>2259740460002656</t>
        </is>
      </c>
      <c r="AZ538" t="inlineStr">
        <is>
          <t>BOOK</t>
        </is>
      </c>
      <c r="BB538" t="inlineStr">
        <is>
          <t>9780818903168</t>
        </is>
      </c>
      <c r="BC538" t="inlineStr">
        <is>
          <t>32285000270008</t>
        </is>
      </c>
      <c r="BD538" t="inlineStr">
        <is>
          <t>893781189</t>
        </is>
      </c>
    </row>
    <row r="539">
      <c r="A539" t="inlineStr">
        <is>
          <t>No</t>
        </is>
      </c>
      <c r="B539" t="inlineStr">
        <is>
          <t>BX1751.2 .T73</t>
        </is>
      </c>
      <c r="C539" t="inlineStr">
        <is>
          <t>0                      BX 1751200T  73</t>
        </is>
      </c>
      <c r="D539" t="inlineStr">
        <is>
          <t>Trinification of the world : a festschrift in honour of Frederick E. Crowe in celebration of his 60th birthday / edited by Thomas A Dunne and Jean-Marc Laporte.</t>
        </is>
      </c>
      <c r="F539" t="inlineStr">
        <is>
          <t>No</t>
        </is>
      </c>
      <c r="G539" t="inlineStr">
        <is>
          <t>1</t>
        </is>
      </c>
      <c r="H539" t="inlineStr">
        <is>
          <t>No</t>
        </is>
      </c>
      <c r="I539" t="inlineStr">
        <is>
          <t>No</t>
        </is>
      </c>
      <c r="J539" t="inlineStr">
        <is>
          <t>0</t>
        </is>
      </c>
      <c r="L539" t="inlineStr">
        <is>
          <t>[Weston, Mass.] : Regis College Press, 1978.</t>
        </is>
      </c>
      <c r="M539" t="inlineStr">
        <is>
          <t>1978</t>
        </is>
      </c>
      <c r="O539" t="inlineStr">
        <is>
          <t>eng</t>
        </is>
      </c>
      <c r="P539" t="inlineStr">
        <is>
          <t xml:space="preserve">ma </t>
        </is>
      </c>
      <c r="R539" t="inlineStr">
        <is>
          <t xml:space="preserve">BX </t>
        </is>
      </c>
      <c r="S539" t="n">
        <v>1</v>
      </c>
      <c r="T539" t="n">
        <v>1</v>
      </c>
      <c r="U539" t="inlineStr">
        <is>
          <t>2004-06-08</t>
        </is>
      </c>
      <c r="V539" t="inlineStr">
        <is>
          <t>2004-06-08</t>
        </is>
      </c>
      <c r="W539" t="inlineStr">
        <is>
          <t>1991-05-13</t>
        </is>
      </c>
      <c r="X539" t="inlineStr">
        <is>
          <t>1991-05-13</t>
        </is>
      </c>
      <c r="Y539" t="n">
        <v>135</v>
      </c>
      <c r="Z539" t="n">
        <v>91</v>
      </c>
      <c r="AA539" t="n">
        <v>95</v>
      </c>
      <c r="AB539" t="n">
        <v>1</v>
      </c>
      <c r="AC539" t="n">
        <v>1</v>
      </c>
      <c r="AD539" t="n">
        <v>12</v>
      </c>
      <c r="AE539" t="n">
        <v>12</v>
      </c>
      <c r="AF539" t="n">
        <v>4</v>
      </c>
      <c r="AG539" t="n">
        <v>4</v>
      </c>
      <c r="AH539" t="n">
        <v>3</v>
      </c>
      <c r="AI539" t="n">
        <v>3</v>
      </c>
      <c r="AJ539" t="n">
        <v>10</v>
      </c>
      <c r="AK539" t="n">
        <v>10</v>
      </c>
      <c r="AL539" t="n">
        <v>0</v>
      </c>
      <c r="AM539" t="n">
        <v>0</v>
      </c>
      <c r="AN539" t="n">
        <v>0</v>
      </c>
      <c r="AO539" t="n">
        <v>0</v>
      </c>
      <c r="AP539" t="inlineStr">
        <is>
          <t>No</t>
        </is>
      </c>
      <c r="AQ539" t="inlineStr">
        <is>
          <t>Yes</t>
        </is>
      </c>
      <c r="AR539">
        <f>HYPERLINK("http://catalog.hathitrust.org/Record/000303002","HathiTrust Record")</f>
        <v/>
      </c>
      <c r="AS539">
        <f>HYPERLINK("https://creighton-primo.hosted.exlibrisgroup.com/primo-explore/search?tab=default_tab&amp;search_scope=EVERYTHING&amp;vid=01CRU&amp;lang=en_US&amp;offset=0&amp;query=any,contains,991004585769702656","Catalog Record")</f>
        <v/>
      </c>
      <c r="AT539">
        <f>HYPERLINK("http://www.worldcat.org/oclc/5076540","WorldCat Record")</f>
        <v/>
      </c>
      <c r="AU539" t="inlineStr">
        <is>
          <t>1780534727:eng</t>
        </is>
      </c>
      <c r="AV539" t="inlineStr">
        <is>
          <t>5076540</t>
        </is>
      </c>
      <c r="AW539" t="inlineStr">
        <is>
          <t>991004585769702656</t>
        </is>
      </c>
      <c r="AX539" t="inlineStr">
        <is>
          <t>991004585769702656</t>
        </is>
      </c>
      <c r="AY539" t="inlineStr">
        <is>
          <t>2262459620002656</t>
        </is>
      </c>
      <c r="AZ539" t="inlineStr">
        <is>
          <t>BOOK</t>
        </is>
      </c>
      <c r="BC539" t="inlineStr">
        <is>
          <t>32285000608611</t>
        </is>
      </c>
      <c r="BD539" t="inlineStr">
        <is>
          <t>893500755</t>
        </is>
      </c>
    </row>
    <row r="540">
      <c r="A540" t="inlineStr">
        <is>
          <t>No</t>
        </is>
      </c>
      <c r="B540" t="inlineStr">
        <is>
          <t>BX1751.2 .U73 1985</t>
        </is>
      </c>
      <c r="C540" t="inlineStr">
        <is>
          <t>0                      BX 1751200U  73          1985</t>
        </is>
      </c>
      <c r="D540" t="inlineStr">
        <is>
          <t>Look what they've done to my church / Leonard Urban.</t>
        </is>
      </c>
      <c r="F540" t="inlineStr">
        <is>
          <t>No</t>
        </is>
      </c>
      <c r="G540" t="inlineStr">
        <is>
          <t>1</t>
        </is>
      </c>
      <c r="H540" t="inlineStr">
        <is>
          <t>No</t>
        </is>
      </c>
      <c r="I540" t="inlineStr">
        <is>
          <t>No</t>
        </is>
      </c>
      <c r="J540" t="inlineStr">
        <is>
          <t>0</t>
        </is>
      </c>
      <c r="K540" t="inlineStr">
        <is>
          <t>Urban, Leonard.</t>
        </is>
      </c>
      <c r="L540" t="inlineStr">
        <is>
          <t>Chicago : Loyola University Press, 1985.</t>
        </is>
      </c>
      <c r="M540" t="inlineStr">
        <is>
          <t>1985</t>
        </is>
      </c>
      <c r="O540" t="inlineStr">
        <is>
          <t>eng</t>
        </is>
      </c>
      <c r="P540" t="inlineStr">
        <is>
          <t>ilu</t>
        </is>
      </c>
      <c r="R540" t="inlineStr">
        <is>
          <t xml:space="preserve">BX </t>
        </is>
      </c>
      <c r="S540" t="n">
        <v>5</v>
      </c>
      <c r="T540" t="n">
        <v>5</v>
      </c>
      <c r="U540" t="inlineStr">
        <is>
          <t>2008-11-09</t>
        </is>
      </c>
      <c r="V540" t="inlineStr">
        <is>
          <t>2008-11-09</t>
        </is>
      </c>
      <c r="W540" t="inlineStr">
        <is>
          <t>1990-08-08</t>
        </is>
      </c>
      <c r="X540" t="inlineStr">
        <is>
          <t>1990-08-08</t>
        </is>
      </c>
      <c r="Y540" t="n">
        <v>220</v>
      </c>
      <c r="Z540" t="n">
        <v>213</v>
      </c>
      <c r="AA540" t="n">
        <v>214</v>
      </c>
      <c r="AB540" t="n">
        <v>4</v>
      </c>
      <c r="AC540" t="n">
        <v>4</v>
      </c>
      <c r="AD540" t="n">
        <v>20</v>
      </c>
      <c r="AE540" t="n">
        <v>20</v>
      </c>
      <c r="AF540" t="n">
        <v>7</v>
      </c>
      <c r="AG540" t="n">
        <v>7</v>
      </c>
      <c r="AH540" t="n">
        <v>4</v>
      </c>
      <c r="AI540" t="n">
        <v>4</v>
      </c>
      <c r="AJ540" t="n">
        <v>15</v>
      </c>
      <c r="AK540" t="n">
        <v>15</v>
      </c>
      <c r="AL540" t="n">
        <v>1</v>
      </c>
      <c r="AM540" t="n">
        <v>1</v>
      </c>
      <c r="AN540" t="n">
        <v>0</v>
      </c>
      <c r="AO540" t="n">
        <v>0</v>
      </c>
      <c r="AP540" t="inlineStr">
        <is>
          <t>No</t>
        </is>
      </c>
      <c r="AQ540" t="inlineStr">
        <is>
          <t>Yes</t>
        </is>
      </c>
      <c r="AR540">
        <f>HYPERLINK("http://catalog.hathitrust.org/Record/102098148","HathiTrust Record")</f>
        <v/>
      </c>
      <c r="AS540">
        <f>HYPERLINK("https://creighton-primo.hosted.exlibrisgroup.com/primo-explore/search?tab=default_tab&amp;search_scope=EVERYTHING&amp;vid=01CRU&amp;lang=en_US&amp;offset=0&amp;query=any,contains,991000642109702656","Catalog Record")</f>
        <v/>
      </c>
      <c r="AT540">
        <f>HYPERLINK("http://www.worldcat.org/oclc/12106685","WorldCat Record")</f>
        <v/>
      </c>
      <c r="AU540" t="inlineStr">
        <is>
          <t>4845630:eng</t>
        </is>
      </c>
      <c r="AV540" t="inlineStr">
        <is>
          <t>12106685</t>
        </is>
      </c>
      <c r="AW540" t="inlineStr">
        <is>
          <t>991000642109702656</t>
        </is>
      </c>
      <c r="AX540" t="inlineStr">
        <is>
          <t>991000642109702656</t>
        </is>
      </c>
      <c r="AY540" t="inlineStr">
        <is>
          <t>2267841540002656</t>
        </is>
      </c>
      <c r="AZ540" t="inlineStr">
        <is>
          <t>BOOK</t>
        </is>
      </c>
      <c r="BB540" t="inlineStr">
        <is>
          <t>9780829404999</t>
        </is>
      </c>
      <c r="BC540" t="inlineStr">
        <is>
          <t>32285005463798</t>
        </is>
      </c>
      <c r="BD540" t="inlineStr">
        <is>
          <t>893808766</t>
        </is>
      </c>
    </row>
    <row r="541">
      <c r="A541" t="inlineStr">
        <is>
          <t>No</t>
        </is>
      </c>
      <c r="B541" t="inlineStr">
        <is>
          <t>BX1751.2 .V6613</t>
        </is>
      </c>
      <c r="C541" t="inlineStr">
        <is>
          <t>0                      BX 1751200V  6613</t>
        </is>
      </c>
      <c r="D541" t="inlineStr">
        <is>
          <t>The devastated vineyard / Dietrich von Hildebrand. Translated from the German by John Crosby and Fred Teichert.</t>
        </is>
      </c>
      <c r="F541" t="inlineStr">
        <is>
          <t>No</t>
        </is>
      </c>
      <c r="G541" t="inlineStr">
        <is>
          <t>1</t>
        </is>
      </c>
      <c r="H541" t="inlineStr">
        <is>
          <t>No</t>
        </is>
      </c>
      <c r="I541" t="inlineStr">
        <is>
          <t>No</t>
        </is>
      </c>
      <c r="J541" t="inlineStr">
        <is>
          <t>0</t>
        </is>
      </c>
      <c r="K541" t="inlineStr">
        <is>
          <t>Von Hildebrand, Dietrich, 1889-1977.</t>
        </is>
      </c>
      <c r="L541" t="inlineStr">
        <is>
          <t>Chicago, Franciscan Herald Press [c1973]</t>
        </is>
      </c>
      <c r="M541" t="inlineStr">
        <is>
          <t>1973</t>
        </is>
      </c>
      <c r="O541" t="inlineStr">
        <is>
          <t>eng</t>
        </is>
      </c>
      <c r="P541" t="inlineStr">
        <is>
          <t>ilu</t>
        </is>
      </c>
      <c r="R541" t="inlineStr">
        <is>
          <t xml:space="preserve">BX </t>
        </is>
      </c>
      <c r="S541" t="n">
        <v>2</v>
      </c>
      <c r="T541" t="n">
        <v>2</v>
      </c>
      <c r="U541" t="inlineStr">
        <is>
          <t>2009-11-06</t>
        </is>
      </c>
      <c r="V541" t="inlineStr">
        <is>
          <t>2009-11-06</t>
        </is>
      </c>
      <c r="W541" t="inlineStr">
        <is>
          <t>1991-05-13</t>
        </is>
      </c>
      <c r="X541" t="inlineStr">
        <is>
          <t>1991-05-13</t>
        </is>
      </c>
      <c r="Y541" t="n">
        <v>151</v>
      </c>
      <c r="Z541" t="n">
        <v>131</v>
      </c>
      <c r="AA541" t="n">
        <v>160</v>
      </c>
      <c r="AB541" t="n">
        <v>2</v>
      </c>
      <c r="AC541" t="n">
        <v>3</v>
      </c>
      <c r="AD541" t="n">
        <v>17</v>
      </c>
      <c r="AE541" t="n">
        <v>19</v>
      </c>
      <c r="AF541" t="n">
        <v>6</v>
      </c>
      <c r="AG541" t="n">
        <v>6</v>
      </c>
      <c r="AH541" t="n">
        <v>4</v>
      </c>
      <c r="AI541" t="n">
        <v>4</v>
      </c>
      <c r="AJ541" t="n">
        <v>13</v>
      </c>
      <c r="AK541" t="n">
        <v>15</v>
      </c>
      <c r="AL541" t="n">
        <v>0</v>
      </c>
      <c r="AM541" t="n">
        <v>0</v>
      </c>
      <c r="AN541" t="n">
        <v>0</v>
      </c>
      <c r="AO541" t="n">
        <v>0</v>
      </c>
      <c r="AP541" t="inlineStr">
        <is>
          <t>No</t>
        </is>
      </c>
      <c r="AQ541" t="inlineStr">
        <is>
          <t>Yes</t>
        </is>
      </c>
      <c r="AR541">
        <f>HYPERLINK("http://catalog.hathitrust.org/Record/001401363","HathiTrust Record")</f>
        <v/>
      </c>
      <c r="AS541">
        <f>HYPERLINK("https://creighton-primo.hosted.exlibrisgroup.com/primo-explore/search?tab=default_tab&amp;search_scope=EVERYTHING&amp;vid=01CRU&amp;lang=en_US&amp;offset=0&amp;query=any,contains,991003211109702656","Catalog Record")</f>
        <v/>
      </c>
      <c r="AT541">
        <f>HYPERLINK("http://www.worldcat.org/oclc/737107","WorldCat Record")</f>
        <v/>
      </c>
      <c r="AU541" t="inlineStr">
        <is>
          <t>149175442:eng</t>
        </is>
      </c>
      <c r="AV541" t="inlineStr">
        <is>
          <t>737107</t>
        </is>
      </c>
      <c r="AW541" t="inlineStr">
        <is>
          <t>991003211109702656</t>
        </is>
      </c>
      <c r="AX541" t="inlineStr">
        <is>
          <t>991003211109702656</t>
        </is>
      </c>
      <c r="AY541" t="inlineStr">
        <is>
          <t>2256594020002656</t>
        </is>
      </c>
      <c r="AZ541" t="inlineStr">
        <is>
          <t>BOOK</t>
        </is>
      </c>
      <c r="BB541" t="inlineStr">
        <is>
          <t>9780819904621</t>
        </is>
      </c>
      <c r="BC541" t="inlineStr">
        <is>
          <t>32285000608629</t>
        </is>
      </c>
      <c r="BD541" t="inlineStr">
        <is>
          <t>893422286</t>
        </is>
      </c>
    </row>
    <row r="542">
      <c r="A542" t="inlineStr">
        <is>
          <t>No</t>
        </is>
      </c>
      <c r="B542" t="inlineStr">
        <is>
          <t>BX1751.2 O2937 1993</t>
        </is>
      </c>
      <c r="C542" t="inlineStr">
        <is>
          <t>0                      BX 1751200O  2937        1993</t>
        </is>
      </c>
      <c r="D542" t="inlineStr">
        <is>
          <t>Retrieving fundamental theology : the three styles of contemporary theology / Gerald O'Collins.</t>
        </is>
      </c>
      <c r="F542" t="inlineStr">
        <is>
          <t>No</t>
        </is>
      </c>
      <c r="G542" t="inlineStr">
        <is>
          <t>1</t>
        </is>
      </c>
      <c r="H542" t="inlineStr">
        <is>
          <t>No</t>
        </is>
      </c>
      <c r="I542" t="inlineStr">
        <is>
          <t>No</t>
        </is>
      </c>
      <c r="J542" t="inlineStr">
        <is>
          <t>0</t>
        </is>
      </c>
      <c r="K542" t="inlineStr">
        <is>
          <t>O'Collins, Gerald.</t>
        </is>
      </c>
      <c r="L542" t="inlineStr">
        <is>
          <t>New York : Paulist Press, c1993.</t>
        </is>
      </c>
      <c r="M542" t="inlineStr">
        <is>
          <t>1993</t>
        </is>
      </c>
      <c r="O542" t="inlineStr">
        <is>
          <t>eng</t>
        </is>
      </c>
      <c r="P542" t="inlineStr">
        <is>
          <t>nyu</t>
        </is>
      </c>
      <c r="R542" t="inlineStr">
        <is>
          <t xml:space="preserve">BX </t>
        </is>
      </c>
      <c r="S542" t="n">
        <v>9</v>
      </c>
      <c r="T542" t="n">
        <v>9</v>
      </c>
      <c r="U542" t="inlineStr">
        <is>
          <t>2007-06-11</t>
        </is>
      </c>
      <c r="V542" t="inlineStr">
        <is>
          <t>2007-06-11</t>
        </is>
      </c>
      <c r="W542" t="inlineStr">
        <is>
          <t>1994-06-06</t>
        </is>
      </c>
      <c r="X542" t="inlineStr">
        <is>
          <t>1994-06-06</t>
        </is>
      </c>
      <c r="Y542" t="n">
        <v>233</v>
      </c>
      <c r="Z542" t="n">
        <v>191</v>
      </c>
      <c r="AA542" t="n">
        <v>193</v>
      </c>
      <c r="AB542" t="n">
        <v>1</v>
      </c>
      <c r="AC542" t="n">
        <v>1</v>
      </c>
      <c r="AD542" t="n">
        <v>23</v>
      </c>
      <c r="AE542" t="n">
        <v>23</v>
      </c>
      <c r="AF542" t="n">
        <v>8</v>
      </c>
      <c r="AG542" t="n">
        <v>8</v>
      </c>
      <c r="AH542" t="n">
        <v>6</v>
      </c>
      <c r="AI542" t="n">
        <v>6</v>
      </c>
      <c r="AJ542" t="n">
        <v>19</v>
      </c>
      <c r="AK542" t="n">
        <v>19</v>
      </c>
      <c r="AL542" t="n">
        <v>0</v>
      </c>
      <c r="AM542" t="n">
        <v>0</v>
      </c>
      <c r="AN542" t="n">
        <v>0</v>
      </c>
      <c r="AO542" t="n">
        <v>0</v>
      </c>
      <c r="AP542" t="inlineStr">
        <is>
          <t>No</t>
        </is>
      </c>
      <c r="AQ542" t="inlineStr">
        <is>
          <t>No</t>
        </is>
      </c>
      <c r="AS542">
        <f>HYPERLINK("https://creighton-primo.hosted.exlibrisgroup.com/primo-explore/search?tab=default_tab&amp;search_scope=EVERYTHING&amp;vid=01CRU&amp;lang=en_US&amp;offset=0&amp;query=any,contains,991002214819702656","Catalog Record")</f>
        <v/>
      </c>
      <c r="AT542">
        <f>HYPERLINK("http://www.worldcat.org/oclc/28507273","WorldCat Record")</f>
        <v/>
      </c>
      <c r="AU542" t="inlineStr">
        <is>
          <t>5453775159:eng</t>
        </is>
      </c>
      <c r="AV542" t="inlineStr">
        <is>
          <t>28507273</t>
        </is>
      </c>
      <c r="AW542" t="inlineStr">
        <is>
          <t>991002214819702656</t>
        </is>
      </c>
      <c r="AX542" t="inlineStr">
        <is>
          <t>991002214819702656</t>
        </is>
      </c>
      <c r="AY542" t="inlineStr">
        <is>
          <t>2272672180002656</t>
        </is>
      </c>
      <c r="AZ542" t="inlineStr">
        <is>
          <t>BOOK</t>
        </is>
      </c>
      <c r="BB542" t="inlineStr">
        <is>
          <t>9780809134182</t>
        </is>
      </c>
      <c r="BC542" t="inlineStr">
        <is>
          <t>32285001921229</t>
        </is>
      </c>
      <c r="BD542" t="inlineStr">
        <is>
          <t>893873238</t>
        </is>
      </c>
    </row>
    <row r="543">
      <c r="A543" t="inlineStr">
        <is>
          <t>No</t>
        </is>
      </c>
      <c r="B543" t="inlineStr">
        <is>
          <t>BX1751.2.A1 C6 1990/1</t>
        </is>
      </c>
      <c r="C543" t="inlineStr">
        <is>
          <t>0                      BX 1751200A  1                  C  6           1990                  1</t>
        </is>
      </c>
      <c r="D543" t="inlineStr">
        <is>
          <t>On the threshold of the third millennium / edited by the Foundation ; English language editor: Philip Hillyer.</t>
        </is>
      </c>
      <c r="F543" t="inlineStr">
        <is>
          <t>No</t>
        </is>
      </c>
      <c r="G543" t="inlineStr">
        <is>
          <t>1</t>
        </is>
      </c>
      <c r="H543" t="inlineStr">
        <is>
          <t>No</t>
        </is>
      </c>
      <c r="I543" t="inlineStr">
        <is>
          <t>No</t>
        </is>
      </c>
      <c r="J543" t="inlineStr">
        <is>
          <t>0</t>
        </is>
      </c>
      <c r="L543" t="inlineStr">
        <is>
          <t>London : SCM Press ; Philadelphia : Trinity Press International, 1990.</t>
        </is>
      </c>
      <c r="M543" t="inlineStr">
        <is>
          <t>1990</t>
        </is>
      </c>
      <c r="O543" t="inlineStr">
        <is>
          <t>eng</t>
        </is>
      </c>
      <c r="P543" t="inlineStr">
        <is>
          <t>enk</t>
        </is>
      </c>
      <c r="Q543" t="inlineStr">
        <is>
          <t>Concilium : religion in the nineties ; 1990</t>
        </is>
      </c>
      <c r="R543" t="inlineStr">
        <is>
          <t xml:space="preserve">BX </t>
        </is>
      </c>
      <c r="S543" t="n">
        <v>1</v>
      </c>
      <c r="T543" t="n">
        <v>1</v>
      </c>
      <c r="U543" t="inlineStr">
        <is>
          <t>2002-02-23</t>
        </is>
      </c>
      <c r="V543" t="inlineStr">
        <is>
          <t>2002-02-23</t>
        </is>
      </c>
      <c r="W543" t="inlineStr">
        <is>
          <t>1991-05-06</t>
        </is>
      </c>
      <c r="X543" t="inlineStr">
        <is>
          <t>1991-05-06</t>
        </is>
      </c>
      <c r="Y543" t="n">
        <v>263</v>
      </c>
      <c r="Z543" t="n">
        <v>209</v>
      </c>
      <c r="AA543" t="n">
        <v>217</v>
      </c>
      <c r="AB543" t="n">
        <v>2</v>
      </c>
      <c r="AC543" t="n">
        <v>3</v>
      </c>
      <c r="AD543" t="n">
        <v>23</v>
      </c>
      <c r="AE543" t="n">
        <v>23</v>
      </c>
      <c r="AF543" t="n">
        <v>7</v>
      </c>
      <c r="AG543" t="n">
        <v>7</v>
      </c>
      <c r="AH543" t="n">
        <v>7</v>
      </c>
      <c r="AI543" t="n">
        <v>7</v>
      </c>
      <c r="AJ543" t="n">
        <v>15</v>
      </c>
      <c r="AK543" t="n">
        <v>15</v>
      </c>
      <c r="AL543" t="n">
        <v>0</v>
      </c>
      <c r="AM543" t="n">
        <v>0</v>
      </c>
      <c r="AN543" t="n">
        <v>0</v>
      </c>
      <c r="AO543" t="n">
        <v>0</v>
      </c>
      <c r="AP543" t="inlineStr">
        <is>
          <t>No</t>
        </is>
      </c>
      <c r="AQ543" t="inlineStr">
        <is>
          <t>Yes</t>
        </is>
      </c>
      <c r="AR543">
        <f>HYPERLINK("http://catalog.hathitrust.org/Record/006023158","HathiTrust Record")</f>
        <v/>
      </c>
      <c r="AS543">
        <f>HYPERLINK("https://creighton-primo.hosted.exlibrisgroup.com/primo-explore/search?tab=default_tab&amp;search_scope=EVERYTHING&amp;vid=01CRU&amp;lang=en_US&amp;offset=0&amp;query=any,contains,991001697059702656","Catalog Record")</f>
        <v/>
      </c>
      <c r="AT543">
        <f>HYPERLINK("http://www.worldcat.org/oclc/23177257","WorldCat Record")</f>
        <v/>
      </c>
      <c r="AU543" t="inlineStr">
        <is>
          <t>24987145:eng</t>
        </is>
      </c>
      <c r="AV543" t="inlineStr">
        <is>
          <t>23177257</t>
        </is>
      </c>
      <c r="AW543" t="inlineStr">
        <is>
          <t>991001697059702656</t>
        </is>
      </c>
      <c r="AX543" t="inlineStr">
        <is>
          <t>991001697059702656</t>
        </is>
      </c>
      <c r="AY543" t="inlineStr">
        <is>
          <t>2266675070002656</t>
        </is>
      </c>
      <c r="AZ543" t="inlineStr">
        <is>
          <t>BOOK</t>
        </is>
      </c>
      <c r="BC543" t="inlineStr">
        <is>
          <t>32285000607803</t>
        </is>
      </c>
      <c r="BD543" t="inlineStr">
        <is>
          <t>893897982</t>
        </is>
      </c>
    </row>
    <row r="544">
      <c r="A544" t="inlineStr">
        <is>
          <t>No</t>
        </is>
      </c>
      <c r="B544" t="inlineStr">
        <is>
          <t>BX1751.2.A1 C6 1990/3</t>
        </is>
      </c>
      <c r="C544" t="inlineStr">
        <is>
          <t>0                      BX 1751200A  1                  C  6           1990                  3</t>
        </is>
      </c>
      <c r="D544" t="inlineStr">
        <is>
          <t>Asking and thanking / edited by Christian Duquoc and Casiano Florestan.</t>
        </is>
      </c>
      <c r="F544" t="inlineStr">
        <is>
          <t>No</t>
        </is>
      </c>
      <c r="G544" t="inlineStr">
        <is>
          <t>1</t>
        </is>
      </c>
      <c r="H544" t="inlineStr">
        <is>
          <t>No</t>
        </is>
      </c>
      <c r="I544" t="inlineStr">
        <is>
          <t>No</t>
        </is>
      </c>
      <c r="J544" t="inlineStr">
        <is>
          <t>0</t>
        </is>
      </c>
      <c r="L544" t="inlineStr">
        <is>
          <t>London : SCM Press ; Philadelphia : Trinity Press International, 1990.</t>
        </is>
      </c>
      <c r="M544" t="inlineStr">
        <is>
          <t>1990</t>
        </is>
      </c>
      <c r="O544" t="inlineStr">
        <is>
          <t>eng</t>
        </is>
      </c>
      <c r="P544" t="inlineStr">
        <is>
          <t>enk</t>
        </is>
      </c>
      <c r="Q544" t="inlineStr">
        <is>
          <t>Concilium : religion in the nineties ; 1990/3</t>
        </is>
      </c>
      <c r="R544" t="inlineStr">
        <is>
          <t xml:space="preserve">BX </t>
        </is>
      </c>
      <c r="S544" t="n">
        <v>2</v>
      </c>
      <c r="T544" t="n">
        <v>2</v>
      </c>
      <c r="U544" t="inlineStr">
        <is>
          <t>1999-07-29</t>
        </is>
      </c>
      <c r="V544" t="inlineStr">
        <is>
          <t>1999-07-29</t>
        </is>
      </c>
      <c r="W544" t="inlineStr">
        <is>
          <t>1992-06-17</t>
        </is>
      </c>
      <c r="X544" t="inlineStr">
        <is>
          <t>1992-06-17</t>
        </is>
      </c>
      <c r="Y544" t="n">
        <v>268</v>
      </c>
      <c r="Z544" t="n">
        <v>209</v>
      </c>
      <c r="AA544" t="n">
        <v>215</v>
      </c>
      <c r="AB544" t="n">
        <v>3</v>
      </c>
      <c r="AC544" t="n">
        <v>3</v>
      </c>
      <c r="AD544" t="n">
        <v>23</v>
      </c>
      <c r="AE544" t="n">
        <v>23</v>
      </c>
      <c r="AF544" t="n">
        <v>9</v>
      </c>
      <c r="AG544" t="n">
        <v>9</v>
      </c>
      <c r="AH544" t="n">
        <v>6</v>
      </c>
      <c r="AI544" t="n">
        <v>6</v>
      </c>
      <c r="AJ544" t="n">
        <v>15</v>
      </c>
      <c r="AK544" t="n">
        <v>15</v>
      </c>
      <c r="AL544" t="n">
        <v>0</v>
      </c>
      <c r="AM544" t="n">
        <v>0</v>
      </c>
      <c r="AN544" t="n">
        <v>0</v>
      </c>
      <c r="AO544" t="n">
        <v>0</v>
      </c>
      <c r="AP544" t="inlineStr">
        <is>
          <t>No</t>
        </is>
      </c>
      <c r="AQ544" t="inlineStr">
        <is>
          <t>Yes</t>
        </is>
      </c>
      <c r="AR544">
        <f>HYPERLINK("http://catalog.hathitrust.org/Record/006017275","HathiTrust Record")</f>
        <v/>
      </c>
      <c r="AS544">
        <f>HYPERLINK("https://creighton-primo.hosted.exlibrisgroup.com/primo-explore/search?tab=default_tab&amp;search_scope=EVERYTHING&amp;vid=01CRU&amp;lang=en_US&amp;offset=0&amp;query=any,contains,991001764129702656","Catalog Record")</f>
        <v/>
      </c>
      <c r="AT544">
        <f>HYPERLINK("http://www.worldcat.org/oclc/22298678","WorldCat Record")</f>
        <v/>
      </c>
      <c r="AU544" t="inlineStr">
        <is>
          <t>24668757:eng</t>
        </is>
      </c>
      <c r="AV544" t="inlineStr">
        <is>
          <t>22298678</t>
        </is>
      </c>
      <c r="AW544" t="inlineStr">
        <is>
          <t>991001764129702656</t>
        </is>
      </c>
      <c r="AX544" t="inlineStr">
        <is>
          <t>991001764129702656</t>
        </is>
      </c>
      <c r="AY544" t="inlineStr">
        <is>
          <t>2267951290002656</t>
        </is>
      </c>
      <c r="AZ544" t="inlineStr">
        <is>
          <t>BOOK</t>
        </is>
      </c>
      <c r="BB544" t="inlineStr">
        <is>
          <t>9780334030027</t>
        </is>
      </c>
      <c r="BC544" t="inlineStr">
        <is>
          <t>32285001132488</t>
        </is>
      </c>
      <c r="BD544" t="inlineStr">
        <is>
          <t>893715699</t>
        </is>
      </c>
    </row>
    <row r="545">
      <c r="A545" t="inlineStr">
        <is>
          <t>No</t>
        </is>
      </c>
      <c r="B545" t="inlineStr">
        <is>
          <t>BX1751.2.A1 C6 1990/4</t>
        </is>
      </c>
      <c r="C545" t="inlineStr">
        <is>
          <t>0                      BX 1751200A  1                  C  6           1990                  4</t>
        </is>
      </c>
      <c r="D545" t="inlineStr">
        <is>
          <t>Collegiality put to the test / edited by James Provost and Knut Walf.</t>
        </is>
      </c>
      <c r="F545" t="inlineStr">
        <is>
          <t>No</t>
        </is>
      </c>
      <c r="G545" t="inlineStr">
        <is>
          <t>1</t>
        </is>
      </c>
      <c r="H545" t="inlineStr">
        <is>
          <t>No</t>
        </is>
      </c>
      <c r="I545" t="inlineStr">
        <is>
          <t>No</t>
        </is>
      </c>
      <c r="J545" t="inlineStr">
        <is>
          <t>0</t>
        </is>
      </c>
      <c r="L545" t="inlineStr">
        <is>
          <t>London : SCM Press ; Philadelphia : Trinity Press International, 1990.</t>
        </is>
      </c>
      <c r="M545" t="inlineStr">
        <is>
          <t>1990</t>
        </is>
      </c>
      <c r="O545" t="inlineStr">
        <is>
          <t>eng</t>
        </is>
      </c>
      <c r="P545" t="inlineStr">
        <is>
          <t>enk</t>
        </is>
      </c>
      <c r="Q545" t="inlineStr">
        <is>
          <t>Concilium : religion in the nineties ; 1990/4</t>
        </is>
      </c>
      <c r="R545" t="inlineStr">
        <is>
          <t xml:space="preserve">BX </t>
        </is>
      </c>
      <c r="S545" t="n">
        <v>8</v>
      </c>
      <c r="T545" t="n">
        <v>8</v>
      </c>
      <c r="U545" t="inlineStr">
        <is>
          <t>2004-04-07</t>
        </is>
      </c>
      <c r="V545" t="inlineStr">
        <is>
          <t>2004-04-07</t>
        </is>
      </c>
      <c r="W545" t="inlineStr">
        <is>
          <t>1991-05-06</t>
        </is>
      </c>
      <c r="X545" t="inlineStr">
        <is>
          <t>1991-05-06</t>
        </is>
      </c>
      <c r="Y545" t="n">
        <v>259</v>
      </c>
      <c r="Z545" t="n">
        <v>201</v>
      </c>
      <c r="AA545" t="n">
        <v>207</v>
      </c>
      <c r="AB545" t="n">
        <v>3</v>
      </c>
      <c r="AC545" t="n">
        <v>3</v>
      </c>
      <c r="AD545" t="n">
        <v>24</v>
      </c>
      <c r="AE545" t="n">
        <v>24</v>
      </c>
      <c r="AF545" t="n">
        <v>9</v>
      </c>
      <c r="AG545" t="n">
        <v>9</v>
      </c>
      <c r="AH545" t="n">
        <v>6</v>
      </c>
      <c r="AI545" t="n">
        <v>6</v>
      </c>
      <c r="AJ545" t="n">
        <v>16</v>
      </c>
      <c r="AK545" t="n">
        <v>16</v>
      </c>
      <c r="AL545" t="n">
        <v>0</v>
      </c>
      <c r="AM545" t="n">
        <v>0</v>
      </c>
      <c r="AN545" t="n">
        <v>0</v>
      </c>
      <c r="AO545" t="n">
        <v>0</v>
      </c>
      <c r="AP545" t="inlineStr">
        <is>
          <t>No</t>
        </is>
      </c>
      <c r="AQ545" t="inlineStr">
        <is>
          <t>Yes</t>
        </is>
      </c>
      <c r="AR545">
        <f>HYPERLINK("http://catalog.hathitrust.org/Record/006018579","HathiTrust Record")</f>
        <v/>
      </c>
      <c r="AS545">
        <f>HYPERLINK("https://creighton-primo.hosted.exlibrisgroup.com/primo-explore/search?tab=default_tab&amp;search_scope=EVERYTHING&amp;vid=01CRU&amp;lang=en_US&amp;offset=0&amp;query=any,contains,991001771649702656","Catalog Record")</f>
        <v/>
      </c>
      <c r="AT545">
        <f>HYPERLINK("http://www.worldcat.org/oclc/22375082","WorldCat Record")</f>
        <v/>
      </c>
      <c r="AU545" t="inlineStr">
        <is>
          <t>24270802:eng</t>
        </is>
      </c>
      <c r="AV545" t="inlineStr">
        <is>
          <t>22375082</t>
        </is>
      </c>
      <c r="AW545" t="inlineStr">
        <is>
          <t>991001771649702656</t>
        </is>
      </c>
      <c r="AX545" t="inlineStr">
        <is>
          <t>991001771649702656</t>
        </is>
      </c>
      <c r="AY545" t="inlineStr">
        <is>
          <t>2265879580002656</t>
        </is>
      </c>
      <c r="AZ545" t="inlineStr">
        <is>
          <t>BOOK</t>
        </is>
      </c>
      <c r="BB545" t="inlineStr">
        <is>
          <t>9780334030034</t>
        </is>
      </c>
      <c r="BC545" t="inlineStr">
        <is>
          <t>32285000607811</t>
        </is>
      </c>
      <c r="BD545" t="inlineStr">
        <is>
          <t>893522826</t>
        </is>
      </c>
    </row>
    <row r="546">
      <c r="A546" t="inlineStr">
        <is>
          <t>No</t>
        </is>
      </c>
      <c r="B546" t="inlineStr">
        <is>
          <t>BX1751.2.A1 C6 1990/5</t>
        </is>
      </c>
      <c r="C546" t="inlineStr">
        <is>
          <t>0                      BX 1751200A  1                  C  6           1990                  5</t>
        </is>
      </c>
      <c r="D546" t="inlineStr">
        <is>
          <t>Coping with failure / edited by Norbert Greinacher and Norbert Mette.</t>
        </is>
      </c>
      <c r="F546" t="inlineStr">
        <is>
          <t>No</t>
        </is>
      </c>
      <c r="G546" t="inlineStr">
        <is>
          <t>1</t>
        </is>
      </c>
      <c r="H546" t="inlineStr">
        <is>
          <t>No</t>
        </is>
      </c>
      <c r="I546" t="inlineStr">
        <is>
          <t>No</t>
        </is>
      </c>
      <c r="J546" t="inlineStr">
        <is>
          <t>0</t>
        </is>
      </c>
      <c r="L546" t="inlineStr">
        <is>
          <t>London : SCM Press ; Philadelphia : Trinity Press International, 1990.</t>
        </is>
      </c>
      <c r="M546" t="inlineStr">
        <is>
          <t>1990</t>
        </is>
      </c>
      <c r="O546" t="inlineStr">
        <is>
          <t>eng</t>
        </is>
      </c>
      <c r="P546" t="inlineStr">
        <is>
          <t>enk</t>
        </is>
      </c>
      <c r="Q546" t="inlineStr">
        <is>
          <t>Concilium : religion in the ninties ; 1990/5</t>
        </is>
      </c>
      <c r="R546" t="inlineStr">
        <is>
          <t xml:space="preserve">BX </t>
        </is>
      </c>
      <c r="S546" t="n">
        <v>1</v>
      </c>
      <c r="T546" t="n">
        <v>1</v>
      </c>
      <c r="U546" t="inlineStr">
        <is>
          <t>1995-04-11</t>
        </is>
      </c>
      <c r="V546" t="inlineStr">
        <is>
          <t>1995-04-11</t>
        </is>
      </c>
      <c r="W546" t="inlineStr">
        <is>
          <t>1991-05-06</t>
        </is>
      </c>
      <c r="X546" t="inlineStr">
        <is>
          <t>1991-05-06</t>
        </is>
      </c>
      <c r="Y546" t="n">
        <v>265</v>
      </c>
      <c r="Z546" t="n">
        <v>206</v>
      </c>
      <c r="AA546" t="n">
        <v>212</v>
      </c>
      <c r="AB546" t="n">
        <v>3</v>
      </c>
      <c r="AC546" t="n">
        <v>3</v>
      </c>
      <c r="AD546" t="n">
        <v>24</v>
      </c>
      <c r="AE546" t="n">
        <v>24</v>
      </c>
      <c r="AF546" t="n">
        <v>10</v>
      </c>
      <c r="AG546" t="n">
        <v>10</v>
      </c>
      <c r="AH546" t="n">
        <v>5</v>
      </c>
      <c r="AI546" t="n">
        <v>5</v>
      </c>
      <c r="AJ546" t="n">
        <v>17</v>
      </c>
      <c r="AK546" t="n">
        <v>17</v>
      </c>
      <c r="AL546" t="n">
        <v>0</v>
      </c>
      <c r="AM546" t="n">
        <v>0</v>
      </c>
      <c r="AN546" t="n">
        <v>0</v>
      </c>
      <c r="AO546" t="n">
        <v>0</v>
      </c>
      <c r="AP546" t="inlineStr">
        <is>
          <t>No</t>
        </is>
      </c>
      <c r="AQ546" t="inlineStr">
        <is>
          <t>Yes</t>
        </is>
      </c>
      <c r="AR546">
        <f>HYPERLINK("http://catalog.hathitrust.org/Record/006013113","HathiTrust Record")</f>
        <v/>
      </c>
      <c r="AS546">
        <f>HYPERLINK("https://creighton-primo.hosted.exlibrisgroup.com/primo-explore/search?tab=default_tab&amp;search_scope=EVERYTHING&amp;vid=01CRU&amp;lang=en_US&amp;offset=0&amp;query=any,contains,991001807899702656","Catalog Record")</f>
        <v/>
      </c>
      <c r="AT546">
        <f>HYPERLINK("http://www.worldcat.org/oclc/22712190","WorldCat Record")</f>
        <v/>
      </c>
      <c r="AU546" t="inlineStr">
        <is>
          <t>24172651:eng</t>
        </is>
      </c>
      <c r="AV546" t="inlineStr">
        <is>
          <t>22712190</t>
        </is>
      </c>
      <c r="AW546" t="inlineStr">
        <is>
          <t>991001807899702656</t>
        </is>
      </c>
      <c r="AX546" t="inlineStr">
        <is>
          <t>991001807899702656</t>
        </is>
      </c>
      <c r="AY546" t="inlineStr">
        <is>
          <t>2255300700002656</t>
        </is>
      </c>
      <c r="AZ546" t="inlineStr">
        <is>
          <t>BOOK</t>
        </is>
      </c>
      <c r="BC546" t="inlineStr">
        <is>
          <t>32285000607829</t>
        </is>
      </c>
      <c r="BD546" t="inlineStr">
        <is>
          <t>893426889</t>
        </is>
      </c>
    </row>
    <row r="547">
      <c r="A547" t="inlineStr">
        <is>
          <t>No</t>
        </is>
      </c>
      <c r="B547" t="inlineStr">
        <is>
          <t>BX1751.2.A1 C6 1991/1</t>
        </is>
      </c>
      <c r="C547" t="inlineStr">
        <is>
          <t>0                      BX 1751200A  1                  C  6           1991                  1</t>
        </is>
      </c>
      <c r="D547" t="inlineStr">
        <is>
          <t>The Bible and its readers / edited by Wim Beuken, Sean Freyne and Anton Weiler.</t>
        </is>
      </c>
      <c r="F547" t="inlineStr">
        <is>
          <t>No</t>
        </is>
      </c>
      <c r="G547" t="inlineStr">
        <is>
          <t>1</t>
        </is>
      </c>
      <c r="H547" t="inlineStr">
        <is>
          <t>No</t>
        </is>
      </c>
      <c r="I547" t="inlineStr">
        <is>
          <t>No</t>
        </is>
      </c>
      <c r="J547" t="inlineStr">
        <is>
          <t>0</t>
        </is>
      </c>
      <c r="L547" t="inlineStr">
        <is>
          <t>London : SCM Press ; Philadelphia : Trinity Press International, c1991.</t>
        </is>
      </c>
      <c r="M547" t="inlineStr">
        <is>
          <t>1991</t>
        </is>
      </c>
      <c r="O547" t="inlineStr">
        <is>
          <t>eng</t>
        </is>
      </c>
      <c r="P547" t="inlineStr">
        <is>
          <t>pau</t>
        </is>
      </c>
      <c r="Q547" t="inlineStr">
        <is>
          <t>Concilium : religion in the ninties ; 1991/1</t>
        </is>
      </c>
      <c r="R547" t="inlineStr">
        <is>
          <t xml:space="preserve">BX </t>
        </is>
      </c>
      <c r="S547" t="n">
        <v>4</v>
      </c>
      <c r="T547" t="n">
        <v>4</v>
      </c>
      <c r="U547" t="inlineStr">
        <is>
          <t>2003-10-11</t>
        </is>
      </c>
      <c r="V547" t="inlineStr">
        <is>
          <t>2003-10-11</t>
        </is>
      </c>
      <c r="W547" t="inlineStr">
        <is>
          <t>1991-04-30</t>
        </is>
      </c>
      <c r="X547" t="inlineStr">
        <is>
          <t>1991-04-30</t>
        </is>
      </c>
      <c r="Y547" t="n">
        <v>276</v>
      </c>
      <c r="Z547" t="n">
        <v>213</v>
      </c>
      <c r="AA547" t="n">
        <v>220</v>
      </c>
      <c r="AB547" t="n">
        <v>2</v>
      </c>
      <c r="AC547" t="n">
        <v>2</v>
      </c>
      <c r="AD547" t="n">
        <v>21</v>
      </c>
      <c r="AE547" t="n">
        <v>21</v>
      </c>
      <c r="AF547" t="n">
        <v>7</v>
      </c>
      <c r="AG547" t="n">
        <v>7</v>
      </c>
      <c r="AH547" t="n">
        <v>5</v>
      </c>
      <c r="AI547" t="n">
        <v>5</v>
      </c>
      <c r="AJ547" t="n">
        <v>15</v>
      </c>
      <c r="AK547" t="n">
        <v>15</v>
      </c>
      <c r="AL547" t="n">
        <v>0</v>
      </c>
      <c r="AM547" t="n">
        <v>0</v>
      </c>
      <c r="AN547" t="n">
        <v>0</v>
      </c>
      <c r="AO547" t="n">
        <v>0</v>
      </c>
      <c r="AP547" t="inlineStr">
        <is>
          <t>No</t>
        </is>
      </c>
      <c r="AQ547" t="inlineStr">
        <is>
          <t>Yes</t>
        </is>
      </c>
      <c r="AR547">
        <f>HYPERLINK("http://catalog.hathitrust.org/Record/006013876","HathiTrust Record")</f>
        <v/>
      </c>
      <c r="AS547">
        <f>HYPERLINK("https://creighton-primo.hosted.exlibrisgroup.com/primo-explore/search?tab=default_tab&amp;search_scope=EVERYTHING&amp;vid=01CRU&amp;lang=en_US&amp;offset=0&amp;query=any,contains,991001868019702656","Catalog Record")</f>
        <v/>
      </c>
      <c r="AT547">
        <f>HYPERLINK("http://www.worldcat.org/oclc/23524936","WorldCat Record")</f>
        <v/>
      </c>
      <c r="AU547" t="inlineStr">
        <is>
          <t>25015171:eng</t>
        </is>
      </c>
      <c r="AV547" t="inlineStr">
        <is>
          <t>23524936</t>
        </is>
      </c>
      <c r="AW547" t="inlineStr">
        <is>
          <t>991001868019702656</t>
        </is>
      </c>
      <c r="AX547" t="inlineStr">
        <is>
          <t>991001868019702656</t>
        </is>
      </c>
      <c r="AY547" t="inlineStr">
        <is>
          <t>2254882300002656</t>
        </is>
      </c>
      <c r="AZ547" t="inlineStr">
        <is>
          <t>BOOK</t>
        </is>
      </c>
      <c r="BB547" t="inlineStr">
        <is>
          <t>9780334030065</t>
        </is>
      </c>
      <c r="BC547" t="inlineStr">
        <is>
          <t>32285000538826</t>
        </is>
      </c>
      <c r="BD547" t="inlineStr">
        <is>
          <t>893408424</t>
        </is>
      </c>
    </row>
    <row r="548">
      <c r="A548" t="inlineStr">
        <is>
          <t>No</t>
        </is>
      </c>
      <c r="B548" t="inlineStr">
        <is>
          <t>BX1751.2.A1 C6 1991/2</t>
        </is>
      </c>
      <c r="C548" t="inlineStr">
        <is>
          <t>0                      BX 1751200A  1                  C  6           1991                  2</t>
        </is>
      </c>
      <c r="D548" t="inlineStr">
        <is>
          <t>The pastoral care of the sick / edited by Mary Collins and David N. Power.</t>
        </is>
      </c>
      <c r="F548" t="inlineStr">
        <is>
          <t>No</t>
        </is>
      </c>
      <c r="G548" t="inlineStr">
        <is>
          <t>1</t>
        </is>
      </c>
      <c r="H548" t="inlineStr">
        <is>
          <t>No</t>
        </is>
      </c>
      <c r="I548" t="inlineStr">
        <is>
          <t>No</t>
        </is>
      </c>
      <c r="J548" t="inlineStr">
        <is>
          <t>0</t>
        </is>
      </c>
      <c r="L548" t="inlineStr">
        <is>
          <t>London : SCM Press ; Philadelphia : Trinity Press International, c1991.</t>
        </is>
      </c>
      <c r="M548" t="inlineStr">
        <is>
          <t>1991</t>
        </is>
      </c>
      <c r="O548" t="inlineStr">
        <is>
          <t>eng</t>
        </is>
      </c>
      <c r="P548" t="inlineStr">
        <is>
          <t>enk</t>
        </is>
      </c>
      <c r="Q548" t="inlineStr">
        <is>
          <t>Concilium : religion in the nineties ; 1991/2</t>
        </is>
      </c>
      <c r="R548" t="inlineStr">
        <is>
          <t xml:space="preserve">BX </t>
        </is>
      </c>
      <c r="S548" t="n">
        <v>6</v>
      </c>
      <c r="T548" t="n">
        <v>6</v>
      </c>
      <c r="U548" t="inlineStr">
        <is>
          <t>1997-04-17</t>
        </is>
      </c>
      <c r="V548" t="inlineStr">
        <is>
          <t>1997-04-17</t>
        </is>
      </c>
      <c r="W548" t="inlineStr">
        <is>
          <t>1991-10-10</t>
        </is>
      </c>
      <c r="X548" t="inlineStr">
        <is>
          <t>1991-10-10</t>
        </is>
      </c>
      <c r="Y548" t="n">
        <v>259</v>
      </c>
      <c r="Z548" t="n">
        <v>199</v>
      </c>
      <c r="AA548" t="n">
        <v>205</v>
      </c>
      <c r="AB548" t="n">
        <v>2</v>
      </c>
      <c r="AC548" t="n">
        <v>2</v>
      </c>
      <c r="AD548" t="n">
        <v>22</v>
      </c>
      <c r="AE548" t="n">
        <v>22</v>
      </c>
      <c r="AF548" t="n">
        <v>7</v>
      </c>
      <c r="AG548" t="n">
        <v>7</v>
      </c>
      <c r="AH548" t="n">
        <v>6</v>
      </c>
      <c r="AI548" t="n">
        <v>6</v>
      </c>
      <c r="AJ548" t="n">
        <v>15</v>
      </c>
      <c r="AK548" t="n">
        <v>15</v>
      </c>
      <c r="AL548" t="n">
        <v>0</v>
      </c>
      <c r="AM548" t="n">
        <v>0</v>
      </c>
      <c r="AN548" t="n">
        <v>0</v>
      </c>
      <c r="AO548" t="n">
        <v>0</v>
      </c>
      <c r="AP548" t="inlineStr">
        <is>
          <t>No</t>
        </is>
      </c>
      <c r="AQ548" t="inlineStr">
        <is>
          <t>Yes</t>
        </is>
      </c>
      <c r="AR548">
        <f>HYPERLINK("http://catalog.hathitrust.org/Record/006019296","HathiTrust Record")</f>
        <v/>
      </c>
      <c r="AS548">
        <f>HYPERLINK("https://creighton-primo.hosted.exlibrisgroup.com/primo-explore/search?tab=default_tab&amp;search_scope=EVERYTHING&amp;vid=01CRU&amp;lang=en_US&amp;offset=0&amp;query=any,contains,991001935909702656","Catalog Record")</f>
        <v/>
      </c>
      <c r="AT548">
        <f>HYPERLINK("http://www.worldcat.org/oclc/24462451","WorldCat Record")</f>
        <v/>
      </c>
      <c r="AU548" t="inlineStr">
        <is>
          <t>26321940:eng</t>
        </is>
      </c>
      <c r="AV548" t="inlineStr">
        <is>
          <t>24462451</t>
        </is>
      </c>
      <c r="AW548" t="inlineStr">
        <is>
          <t>991001935909702656</t>
        </is>
      </c>
      <c r="AX548" t="inlineStr">
        <is>
          <t>991001935909702656</t>
        </is>
      </c>
      <c r="AY548" t="inlineStr">
        <is>
          <t>2256429540002656</t>
        </is>
      </c>
      <c r="AZ548" t="inlineStr">
        <is>
          <t>BOOK</t>
        </is>
      </c>
      <c r="BB548" t="inlineStr">
        <is>
          <t>9780334030072</t>
        </is>
      </c>
      <c r="BC548" t="inlineStr">
        <is>
          <t>32285000741370</t>
        </is>
      </c>
      <c r="BD548" t="inlineStr">
        <is>
          <t>893703475</t>
        </is>
      </c>
    </row>
    <row r="549">
      <c r="A549" t="inlineStr">
        <is>
          <t>No</t>
        </is>
      </c>
      <c r="B549" t="inlineStr">
        <is>
          <t>BX1751.2.A1 C6 1991/3</t>
        </is>
      </c>
      <c r="C549" t="inlineStr">
        <is>
          <t>0                      BX 1751200A  1                  C  6           1991                  3</t>
        </is>
      </c>
      <c r="D549" t="inlineStr">
        <is>
          <t>Aging / edited by Lisa Sowle Cahill and Dietmar Mieth.</t>
        </is>
      </c>
      <c r="F549" t="inlineStr">
        <is>
          <t>No</t>
        </is>
      </c>
      <c r="G549" t="inlineStr">
        <is>
          <t>1</t>
        </is>
      </c>
      <c r="H549" t="inlineStr">
        <is>
          <t>No</t>
        </is>
      </c>
      <c r="I549" t="inlineStr">
        <is>
          <t>No</t>
        </is>
      </c>
      <c r="J549" t="inlineStr">
        <is>
          <t>0</t>
        </is>
      </c>
      <c r="L549" t="inlineStr">
        <is>
          <t>London, Eng. : SCM Press ; Philadelphia, PA : Trinity Press International, c1991.</t>
        </is>
      </c>
      <c r="M549" t="inlineStr">
        <is>
          <t>1991</t>
        </is>
      </c>
      <c r="O549" t="inlineStr">
        <is>
          <t>eng</t>
        </is>
      </c>
      <c r="P549" t="inlineStr">
        <is>
          <t>enk</t>
        </is>
      </c>
      <c r="Q549" t="inlineStr">
        <is>
          <t>Concilium ; 1991/3</t>
        </is>
      </c>
      <c r="R549" t="inlineStr">
        <is>
          <t xml:space="preserve">BX </t>
        </is>
      </c>
      <c r="S549" t="n">
        <v>4</v>
      </c>
      <c r="T549" t="n">
        <v>4</v>
      </c>
      <c r="U549" t="inlineStr">
        <is>
          <t>1999-09-10</t>
        </is>
      </c>
      <c r="V549" t="inlineStr">
        <is>
          <t>1999-09-10</t>
        </is>
      </c>
      <c r="W549" t="inlineStr">
        <is>
          <t>1992-01-16</t>
        </is>
      </c>
      <c r="X549" t="inlineStr">
        <is>
          <t>1992-01-16</t>
        </is>
      </c>
      <c r="Y549" t="n">
        <v>256</v>
      </c>
      <c r="Z549" t="n">
        <v>196</v>
      </c>
      <c r="AA549" t="n">
        <v>202</v>
      </c>
      <c r="AB549" t="n">
        <v>2</v>
      </c>
      <c r="AC549" t="n">
        <v>2</v>
      </c>
      <c r="AD549" t="n">
        <v>20</v>
      </c>
      <c r="AE549" t="n">
        <v>20</v>
      </c>
      <c r="AF549" t="n">
        <v>8</v>
      </c>
      <c r="AG549" t="n">
        <v>8</v>
      </c>
      <c r="AH549" t="n">
        <v>6</v>
      </c>
      <c r="AI549" t="n">
        <v>6</v>
      </c>
      <c r="AJ549" t="n">
        <v>13</v>
      </c>
      <c r="AK549" t="n">
        <v>13</v>
      </c>
      <c r="AL549" t="n">
        <v>0</v>
      </c>
      <c r="AM549" t="n">
        <v>0</v>
      </c>
      <c r="AN549" t="n">
        <v>0</v>
      </c>
      <c r="AO549" t="n">
        <v>0</v>
      </c>
      <c r="AP549" t="inlineStr">
        <is>
          <t>No</t>
        </is>
      </c>
      <c r="AQ549" t="inlineStr">
        <is>
          <t>No</t>
        </is>
      </c>
      <c r="AS549">
        <f>HYPERLINK("https://creighton-primo.hosted.exlibrisgroup.com/primo-explore/search?tab=default_tab&amp;search_scope=EVERYTHING&amp;vid=01CRU&amp;lang=en_US&amp;offset=0&amp;query=any,contains,991001952509702656","Catalog Record")</f>
        <v/>
      </c>
      <c r="AT549">
        <f>HYPERLINK("http://www.worldcat.org/oclc/24682029","WorldCat Record")</f>
        <v/>
      </c>
      <c r="AU549" t="inlineStr">
        <is>
          <t>55518023:eng</t>
        </is>
      </c>
      <c r="AV549" t="inlineStr">
        <is>
          <t>24682029</t>
        </is>
      </c>
      <c r="AW549" t="inlineStr">
        <is>
          <t>991001952509702656</t>
        </is>
      </c>
      <c r="AX549" t="inlineStr">
        <is>
          <t>991001952509702656</t>
        </is>
      </c>
      <c r="AY549" t="inlineStr">
        <is>
          <t>2269809440002656</t>
        </is>
      </c>
      <c r="AZ549" t="inlineStr">
        <is>
          <t>BOOK</t>
        </is>
      </c>
      <c r="BB549" t="inlineStr">
        <is>
          <t>9780334030089</t>
        </is>
      </c>
      <c r="BC549" t="inlineStr">
        <is>
          <t>32285000864115</t>
        </is>
      </c>
      <c r="BD549" t="inlineStr">
        <is>
          <t>893590771</t>
        </is>
      </c>
    </row>
    <row r="550">
      <c r="A550" t="inlineStr">
        <is>
          <t>No</t>
        </is>
      </c>
      <c r="B550" t="inlineStr">
        <is>
          <t>BX1751.2.A1 C6 1991/4</t>
        </is>
      </c>
      <c r="C550" t="inlineStr">
        <is>
          <t>0                      BX 1751200A  1                  C  6           1991                  4</t>
        </is>
      </c>
      <c r="D550" t="inlineStr">
        <is>
          <t>No heaven without earth / edited by Johann Baptist Metz and Edward Schillebeeckx.</t>
        </is>
      </c>
      <c r="F550" t="inlineStr">
        <is>
          <t>No</t>
        </is>
      </c>
      <c r="G550" t="inlineStr">
        <is>
          <t>1</t>
        </is>
      </c>
      <c r="H550" t="inlineStr">
        <is>
          <t>No</t>
        </is>
      </c>
      <c r="I550" t="inlineStr">
        <is>
          <t>No</t>
        </is>
      </c>
      <c r="J550" t="inlineStr">
        <is>
          <t>0</t>
        </is>
      </c>
      <c r="L550" t="inlineStr">
        <is>
          <t>London : SCM Press ; Philadelphia : Trinity Press International, c1991.</t>
        </is>
      </c>
      <c r="M550" t="inlineStr">
        <is>
          <t>1991</t>
        </is>
      </c>
      <c r="O550" t="inlineStr">
        <is>
          <t>eng</t>
        </is>
      </c>
      <c r="P550" t="inlineStr">
        <is>
          <t>enk</t>
        </is>
      </c>
      <c r="Q550" t="inlineStr">
        <is>
          <t>Concilium : religion in the nineties ; 1991/4</t>
        </is>
      </c>
      <c r="R550" t="inlineStr">
        <is>
          <t xml:space="preserve">BX </t>
        </is>
      </c>
      <c r="S550" t="n">
        <v>6</v>
      </c>
      <c r="T550" t="n">
        <v>6</v>
      </c>
      <c r="U550" t="inlineStr">
        <is>
          <t>2008-02-29</t>
        </is>
      </c>
      <c r="V550" t="inlineStr">
        <is>
          <t>2008-02-29</t>
        </is>
      </c>
      <c r="W550" t="inlineStr">
        <is>
          <t>1991-11-04</t>
        </is>
      </c>
      <c r="X550" t="inlineStr">
        <is>
          <t>1991-11-04</t>
        </is>
      </c>
      <c r="Y550" t="n">
        <v>260</v>
      </c>
      <c r="Z550" t="n">
        <v>198</v>
      </c>
      <c r="AA550" t="n">
        <v>203</v>
      </c>
      <c r="AB550" t="n">
        <v>2</v>
      </c>
      <c r="AC550" t="n">
        <v>2</v>
      </c>
      <c r="AD550" t="n">
        <v>20</v>
      </c>
      <c r="AE550" t="n">
        <v>20</v>
      </c>
      <c r="AF550" t="n">
        <v>6</v>
      </c>
      <c r="AG550" t="n">
        <v>6</v>
      </c>
      <c r="AH550" t="n">
        <v>6</v>
      </c>
      <c r="AI550" t="n">
        <v>6</v>
      </c>
      <c r="AJ550" t="n">
        <v>13</v>
      </c>
      <c r="AK550" t="n">
        <v>13</v>
      </c>
      <c r="AL550" t="n">
        <v>0</v>
      </c>
      <c r="AM550" t="n">
        <v>0</v>
      </c>
      <c r="AN550" t="n">
        <v>0</v>
      </c>
      <c r="AO550" t="n">
        <v>0</v>
      </c>
      <c r="AP550" t="inlineStr">
        <is>
          <t>No</t>
        </is>
      </c>
      <c r="AQ550" t="inlineStr">
        <is>
          <t>No</t>
        </is>
      </c>
      <c r="AS550">
        <f>HYPERLINK("https://creighton-primo.hosted.exlibrisgroup.com/primo-explore/search?tab=default_tab&amp;search_scope=EVERYTHING&amp;vid=01CRU&amp;lang=en_US&amp;offset=0&amp;query=any,contains,991001935939702656","Catalog Record")</f>
        <v/>
      </c>
      <c r="AT550">
        <f>HYPERLINK("http://www.worldcat.org/oclc/24464487","WorldCat Record")</f>
        <v/>
      </c>
      <c r="AU550" t="inlineStr">
        <is>
          <t>26395049:eng</t>
        </is>
      </c>
      <c r="AV550" t="inlineStr">
        <is>
          <t>24464487</t>
        </is>
      </c>
      <c r="AW550" t="inlineStr">
        <is>
          <t>991001935939702656</t>
        </is>
      </c>
      <c r="AX550" t="inlineStr">
        <is>
          <t>991001935939702656</t>
        </is>
      </c>
      <c r="AY550" t="inlineStr">
        <is>
          <t>2269552180002656</t>
        </is>
      </c>
      <c r="AZ550" t="inlineStr">
        <is>
          <t>BOOK</t>
        </is>
      </c>
      <c r="BB550" t="inlineStr">
        <is>
          <t>9780334030096</t>
        </is>
      </c>
      <c r="BC550" t="inlineStr">
        <is>
          <t>32285000741305</t>
        </is>
      </c>
      <c r="BD550" t="inlineStr">
        <is>
          <t>893879319</t>
        </is>
      </c>
    </row>
    <row r="551">
      <c r="A551" t="inlineStr">
        <is>
          <t>No</t>
        </is>
      </c>
      <c r="B551" t="inlineStr">
        <is>
          <t>BX1751.2.A1 C6 1992/3</t>
        </is>
      </c>
      <c r="C551" t="inlineStr">
        <is>
          <t>0                      BX 1751200A  1                  C  6           1992                  3</t>
        </is>
      </c>
      <c r="D551" t="inlineStr">
        <is>
          <t>Fundamentalism as an ecumenical challenge / edited by Hans Küng and Jürgen Moltmann.</t>
        </is>
      </c>
      <c r="F551" t="inlineStr">
        <is>
          <t>No</t>
        </is>
      </c>
      <c r="G551" t="inlineStr">
        <is>
          <t>1</t>
        </is>
      </c>
      <c r="H551" t="inlineStr">
        <is>
          <t>No</t>
        </is>
      </c>
      <c r="I551" t="inlineStr">
        <is>
          <t>No</t>
        </is>
      </c>
      <c r="J551" t="inlineStr">
        <is>
          <t>0</t>
        </is>
      </c>
      <c r="L551" t="inlineStr">
        <is>
          <t>London : SCM Press, c1992.</t>
        </is>
      </c>
      <c r="M551" t="inlineStr">
        <is>
          <t>1992</t>
        </is>
      </c>
      <c r="O551" t="inlineStr">
        <is>
          <t>eng</t>
        </is>
      </c>
      <c r="P551" t="inlineStr">
        <is>
          <t>enk</t>
        </is>
      </c>
      <c r="Q551" t="inlineStr">
        <is>
          <t>Concilium ; 1992/3</t>
        </is>
      </c>
      <c r="R551" t="inlineStr">
        <is>
          <t xml:space="preserve">BX </t>
        </is>
      </c>
      <c r="S551" t="n">
        <v>3</v>
      </c>
      <c r="T551" t="n">
        <v>3</v>
      </c>
      <c r="U551" t="inlineStr">
        <is>
          <t>1996-07-12</t>
        </is>
      </c>
      <c r="V551" t="inlineStr">
        <is>
          <t>1996-07-12</t>
        </is>
      </c>
      <c r="W551" t="inlineStr">
        <is>
          <t>1992-07-28</t>
        </is>
      </c>
      <c r="X551" t="inlineStr">
        <is>
          <t>1992-07-28</t>
        </is>
      </c>
      <c r="Y551" t="n">
        <v>260</v>
      </c>
      <c r="Z551" t="n">
        <v>193</v>
      </c>
      <c r="AA551" t="n">
        <v>200</v>
      </c>
      <c r="AB551" t="n">
        <v>2</v>
      </c>
      <c r="AC551" t="n">
        <v>2</v>
      </c>
      <c r="AD551" t="n">
        <v>20</v>
      </c>
      <c r="AE551" t="n">
        <v>21</v>
      </c>
      <c r="AF551" t="n">
        <v>7</v>
      </c>
      <c r="AG551" t="n">
        <v>8</v>
      </c>
      <c r="AH551" t="n">
        <v>6</v>
      </c>
      <c r="AI551" t="n">
        <v>6</v>
      </c>
      <c r="AJ551" t="n">
        <v>13</v>
      </c>
      <c r="AK551" t="n">
        <v>14</v>
      </c>
      <c r="AL551" t="n">
        <v>0</v>
      </c>
      <c r="AM551" t="n">
        <v>0</v>
      </c>
      <c r="AN551" t="n">
        <v>0</v>
      </c>
      <c r="AO551" t="n">
        <v>0</v>
      </c>
      <c r="AP551" t="inlineStr">
        <is>
          <t>No</t>
        </is>
      </c>
      <c r="AQ551" t="inlineStr">
        <is>
          <t>Yes</t>
        </is>
      </c>
      <c r="AR551">
        <f>HYPERLINK("http://catalog.hathitrust.org/Record/006015946","HathiTrust Record")</f>
        <v/>
      </c>
      <c r="AS551">
        <f>HYPERLINK("https://creighton-primo.hosted.exlibrisgroup.com/primo-explore/search?tab=default_tab&amp;search_scope=EVERYTHING&amp;vid=01CRU&amp;lang=en_US&amp;offset=0&amp;query=any,contains,991002053789702656","Catalog Record")</f>
        <v/>
      </c>
      <c r="AT551">
        <f>HYPERLINK("http://www.worldcat.org/oclc/26237523","WorldCat Record")</f>
        <v/>
      </c>
      <c r="AU551" t="inlineStr">
        <is>
          <t>362913799:eng</t>
        </is>
      </c>
      <c r="AV551" t="inlineStr">
        <is>
          <t>26237523</t>
        </is>
      </c>
      <c r="AW551" t="inlineStr">
        <is>
          <t>991002053789702656</t>
        </is>
      </c>
      <c r="AX551" t="inlineStr">
        <is>
          <t>991002053789702656</t>
        </is>
      </c>
      <c r="AY551" t="inlineStr">
        <is>
          <t>2270092530002656</t>
        </is>
      </c>
      <c r="AZ551" t="inlineStr">
        <is>
          <t>BOOK</t>
        </is>
      </c>
      <c r="BB551" t="inlineStr">
        <is>
          <t>9780334030140</t>
        </is>
      </c>
      <c r="BC551" t="inlineStr">
        <is>
          <t>32285001187649</t>
        </is>
      </c>
      <c r="BD551" t="inlineStr">
        <is>
          <t>893691167</t>
        </is>
      </c>
    </row>
    <row r="552">
      <c r="A552" t="inlineStr">
        <is>
          <t>No</t>
        </is>
      </c>
      <c r="B552" t="inlineStr">
        <is>
          <t>BX1751.2.A1 C6 1992/5</t>
        </is>
      </c>
      <c r="C552" t="inlineStr">
        <is>
          <t>0                      BX 1751200A  1                  C  6           1992                  5</t>
        </is>
      </c>
      <c r="D552" t="inlineStr">
        <is>
          <t>The tabu of democracy within the church / edited by James Provost and Knut Walf.</t>
        </is>
      </c>
      <c r="F552" t="inlineStr">
        <is>
          <t>No</t>
        </is>
      </c>
      <c r="G552" t="inlineStr">
        <is>
          <t>1</t>
        </is>
      </c>
      <c r="H552" t="inlineStr">
        <is>
          <t>No</t>
        </is>
      </c>
      <c r="I552" t="inlineStr">
        <is>
          <t>No</t>
        </is>
      </c>
      <c r="J552" t="inlineStr">
        <is>
          <t>0</t>
        </is>
      </c>
      <c r="L552" t="inlineStr">
        <is>
          <t>London : SCM Press, c1992.</t>
        </is>
      </c>
      <c r="M552" t="inlineStr">
        <is>
          <t>1992</t>
        </is>
      </c>
      <c r="O552" t="inlineStr">
        <is>
          <t>eng</t>
        </is>
      </c>
      <c r="P552" t="inlineStr">
        <is>
          <t>enk</t>
        </is>
      </c>
      <c r="Q552" t="inlineStr">
        <is>
          <t>Concilium : religion in the nineties ; 1992/5</t>
        </is>
      </c>
      <c r="R552" t="inlineStr">
        <is>
          <t xml:space="preserve">BX </t>
        </is>
      </c>
      <c r="S552" t="n">
        <v>4</v>
      </c>
      <c r="T552" t="n">
        <v>4</v>
      </c>
      <c r="U552" t="inlineStr">
        <is>
          <t>1994-09-06</t>
        </is>
      </c>
      <c r="V552" t="inlineStr">
        <is>
          <t>1994-09-06</t>
        </is>
      </c>
      <c r="W552" t="inlineStr">
        <is>
          <t>1992-11-20</t>
        </is>
      </c>
      <c r="X552" t="inlineStr">
        <is>
          <t>1992-11-20</t>
        </is>
      </c>
      <c r="Y552" t="n">
        <v>242</v>
      </c>
      <c r="Z552" t="n">
        <v>184</v>
      </c>
      <c r="AA552" t="n">
        <v>185</v>
      </c>
      <c r="AB552" t="n">
        <v>2</v>
      </c>
      <c r="AC552" t="n">
        <v>2</v>
      </c>
      <c r="AD552" t="n">
        <v>21</v>
      </c>
      <c r="AE552" t="n">
        <v>21</v>
      </c>
      <c r="AF552" t="n">
        <v>7</v>
      </c>
      <c r="AG552" t="n">
        <v>7</v>
      </c>
      <c r="AH552" t="n">
        <v>6</v>
      </c>
      <c r="AI552" t="n">
        <v>6</v>
      </c>
      <c r="AJ552" t="n">
        <v>14</v>
      </c>
      <c r="AK552" t="n">
        <v>14</v>
      </c>
      <c r="AL552" t="n">
        <v>0</v>
      </c>
      <c r="AM552" t="n">
        <v>0</v>
      </c>
      <c r="AN552" t="n">
        <v>0</v>
      </c>
      <c r="AO552" t="n">
        <v>0</v>
      </c>
      <c r="AP552" t="inlineStr">
        <is>
          <t>No</t>
        </is>
      </c>
      <c r="AQ552" t="inlineStr">
        <is>
          <t>Yes</t>
        </is>
      </c>
      <c r="AR552">
        <f>HYPERLINK("http://catalog.hathitrust.org/Record/006019090","HathiTrust Record")</f>
        <v/>
      </c>
      <c r="AS552">
        <f>HYPERLINK("https://creighton-primo.hosted.exlibrisgroup.com/primo-explore/search?tab=default_tab&amp;search_scope=EVERYTHING&amp;vid=01CRU&amp;lang=en_US&amp;offset=0&amp;query=any,contains,991002103469702656","Catalog Record")</f>
        <v/>
      </c>
      <c r="AT552">
        <f>HYPERLINK("http://www.worldcat.org/oclc/26994042","WorldCat Record")</f>
        <v/>
      </c>
      <c r="AU552" t="inlineStr">
        <is>
          <t>29935172:eng</t>
        </is>
      </c>
      <c r="AV552" t="inlineStr">
        <is>
          <t>26994042</t>
        </is>
      </c>
      <c r="AW552" t="inlineStr">
        <is>
          <t>991002103469702656</t>
        </is>
      </c>
      <c r="AX552" t="inlineStr">
        <is>
          <t>991002103469702656</t>
        </is>
      </c>
      <c r="AY552" t="inlineStr">
        <is>
          <t>2272396200002656</t>
        </is>
      </c>
      <c r="AZ552" t="inlineStr">
        <is>
          <t>BOOK</t>
        </is>
      </c>
      <c r="BB552" t="inlineStr">
        <is>
          <t>9780334030164</t>
        </is>
      </c>
      <c r="BC552" t="inlineStr">
        <is>
          <t>32285001424943</t>
        </is>
      </c>
      <c r="BD552" t="inlineStr">
        <is>
          <t>893232590</t>
        </is>
      </c>
    </row>
    <row r="553">
      <c r="A553" t="inlineStr">
        <is>
          <t>No</t>
        </is>
      </c>
      <c r="B553" t="inlineStr">
        <is>
          <t>BX1751.2.A1 C6 1992/6</t>
        </is>
      </c>
      <c r="C553" t="inlineStr">
        <is>
          <t>0                      BX 1751200A  1                  C  6           1992                  6</t>
        </is>
      </c>
      <c r="D553" t="inlineStr">
        <is>
          <t>The Debate on modernity / edited by Claude Geffré and Jean-Pierre Jossua.</t>
        </is>
      </c>
      <c r="F553" t="inlineStr">
        <is>
          <t>No</t>
        </is>
      </c>
      <c r="G553" t="inlineStr">
        <is>
          <t>1</t>
        </is>
      </c>
      <c r="H553" t="inlineStr">
        <is>
          <t>No</t>
        </is>
      </c>
      <c r="I553" t="inlineStr">
        <is>
          <t>No</t>
        </is>
      </c>
      <c r="J553" t="inlineStr">
        <is>
          <t>0</t>
        </is>
      </c>
      <c r="L553" t="inlineStr">
        <is>
          <t>London : SCM Press, c1992.</t>
        </is>
      </c>
      <c r="M553" t="inlineStr">
        <is>
          <t>1992</t>
        </is>
      </c>
      <c r="O553" t="inlineStr">
        <is>
          <t>eng</t>
        </is>
      </c>
      <c r="P553" t="inlineStr">
        <is>
          <t>enk</t>
        </is>
      </c>
      <c r="Q553" t="inlineStr">
        <is>
          <t>Concilium : religion in the nineties ; 1992/6</t>
        </is>
      </c>
      <c r="R553" t="inlineStr">
        <is>
          <t xml:space="preserve">BX </t>
        </is>
      </c>
      <c r="S553" t="n">
        <v>2</v>
      </c>
      <c r="T553" t="n">
        <v>2</v>
      </c>
      <c r="U553" t="inlineStr">
        <is>
          <t>1998-11-01</t>
        </is>
      </c>
      <c r="V553" t="inlineStr">
        <is>
          <t>1998-11-01</t>
        </is>
      </c>
      <c r="W553" t="inlineStr">
        <is>
          <t>1993-02-16</t>
        </is>
      </c>
      <c r="X553" t="inlineStr">
        <is>
          <t>1993-02-16</t>
        </is>
      </c>
      <c r="Y553" t="n">
        <v>252</v>
      </c>
      <c r="Z553" t="n">
        <v>190</v>
      </c>
      <c r="AA553" t="n">
        <v>191</v>
      </c>
      <c r="AB553" t="n">
        <v>2</v>
      </c>
      <c r="AC553" t="n">
        <v>2</v>
      </c>
      <c r="AD553" t="n">
        <v>21</v>
      </c>
      <c r="AE553" t="n">
        <v>21</v>
      </c>
      <c r="AF553" t="n">
        <v>8</v>
      </c>
      <c r="AG553" t="n">
        <v>8</v>
      </c>
      <c r="AH553" t="n">
        <v>6</v>
      </c>
      <c r="AI553" t="n">
        <v>6</v>
      </c>
      <c r="AJ553" t="n">
        <v>13</v>
      </c>
      <c r="AK553" t="n">
        <v>13</v>
      </c>
      <c r="AL553" t="n">
        <v>0</v>
      </c>
      <c r="AM553" t="n">
        <v>0</v>
      </c>
      <c r="AN553" t="n">
        <v>0</v>
      </c>
      <c r="AO553" t="n">
        <v>0</v>
      </c>
      <c r="AP553" t="inlineStr">
        <is>
          <t>No</t>
        </is>
      </c>
      <c r="AQ553" t="inlineStr">
        <is>
          <t>Yes</t>
        </is>
      </c>
      <c r="AR553">
        <f>HYPERLINK("http://catalog.hathitrust.org/Record/006023343","HathiTrust Record")</f>
        <v/>
      </c>
      <c r="AS553">
        <f>HYPERLINK("https://creighton-primo.hosted.exlibrisgroup.com/primo-explore/search?tab=default_tab&amp;search_scope=EVERYTHING&amp;vid=01CRU&amp;lang=en_US&amp;offset=0&amp;query=any,contains,991002137069702656","Catalog Record")</f>
        <v/>
      </c>
      <c r="AT553">
        <f>HYPERLINK("http://www.worldcat.org/oclc/27422678","WorldCat Record")</f>
        <v/>
      </c>
      <c r="AU553" t="inlineStr">
        <is>
          <t>29825257:eng</t>
        </is>
      </c>
      <c r="AV553" t="inlineStr">
        <is>
          <t>27422678</t>
        </is>
      </c>
      <c r="AW553" t="inlineStr">
        <is>
          <t>991002137069702656</t>
        </is>
      </c>
      <c r="AX553" t="inlineStr">
        <is>
          <t>991002137069702656</t>
        </is>
      </c>
      <c r="AY553" t="inlineStr">
        <is>
          <t>2264128650002656</t>
        </is>
      </c>
      <c r="AZ553" t="inlineStr">
        <is>
          <t>BOOK</t>
        </is>
      </c>
      <c r="BB553" t="inlineStr">
        <is>
          <t>9780334030171</t>
        </is>
      </c>
      <c r="BC553" t="inlineStr">
        <is>
          <t>32285001534675</t>
        </is>
      </c>
      <c r="BD553" t="inlineStr">
        <is>
          <t>893879531</t>
        </is>
      </c>
    </row>
    <row r="554">
      <c r="A554" t="inlineStr">
        <is>
          <t>No</t>
        </is>
      </c>
      <c r="B554" t="inlineStr">
        <is>
          <t>BX1751.2.A1 C6 1993/1</t>
        </is>
      </c>
      <c r="C554" t="inlineStr">
        <is>
          <t>0                      BX 1751200A  1                  C  6           1993                  1</t>
        </is>
      </c>
      <c r="D554" t="inlineStr">
        <is>
          <t>Messianism through history / edited by Wim Beuken, Seán Freyne and Anton Weiler.</t>
        </is>
      </c>
      <c r="F554" t="inlineStr">
        <is>
          <t>No</t>
        </is>
      </c>
      <c r="G554" t="inlineStr">
        <is>
          <t>1</t>
        </is>
      </c>
      <c r="H554" t="inlineStr">
        <is>
          <t>No</t>
        </is>
      </c>
      <c r="I554" t="inlineStr">
        <is>
          <t>No</t>
        </is>
      </c>
      <c r="J554" t="inlineStr">
        <is>
          <t>0</t>
        </is>
      </c>
      <c r="L554" t="inlineStr">
        <is>
          <t>London : SCM Press ; Maryknoll, N.Y. : Orbis Books, c1993.</t>
        </is>
      </c>
      <c r="M554" t="inlineStr">
        <is>
          <t>1993</t>
        </is>
      </c>
      <c r="O554" t="inlineStr">
        <is>
          <t>eng</t>
        </is>
      </c>
      <c r="P554" t="inlineStr">
        <is>
          <t>enk</t>
        </is>
      </c>
      <c r="Q554" t="inlineStr">
        <is>
          <t>Concilium : religion in the nineties ; 1993/1</t>
        </is>
      </c>
      <c r="R554" t="inlineStr">
        <is>
          <t xml:space="preserve">BX </t>
        </is>
      </c>
      <c r="S554" t="n">
        <v>4</v>
      </c>
      <c r="T554" t="n">
        <v>4</v>
      </c>
      <c r="U554" t="inlineStr">
        <is>
          <t>2008-04-26</t>
        </is>
      </c>
      <c r="V554" t="inlineStr">
        <is>
          <t>2008-04-26</t>
        </is>
      </c>
      <c r="W554" t="inlineStr">
        <is>
          <t>1993-03-18</t>
        </is>
      </c>
      <c r="X554" t="inlineStr">
        <is>
          <t>1993-03-18</t>
        </is>
      </c>
      <c r="Y554" t="n">
        <v>277</v>
      </c>
      <c r="Z554" t="n">
        <v>211</v>
      </c>
      <c r="AA554" t="n">
        <v>217</v>
      </c>
      <c r="AB554" t="n">
        <v>2</v>
      </c>
      <c r="AC554" t="n">
        <v>2</v>
      </c>
      <c r="AD554" t="n">
        <v>23</v>
      </c>
      <c r="AE554" t="n">
        <v>23</v>
      </c>
      <c r="AF554" t="n">
        <v>9</v>
      </c>
      <c r="AG554" t="n">
        <v>9</v>
      </c>
      <c r="AH554" t="n">
        <v>6</v>
      </c>
      <c r="AI554" t="n">
        <v>6</v>
      </c>
      <c r="AJ554" t="n">
        <v>14</v>
      </c>
      <c r="AK554" t="n">
        <v>14</v>
      </c>
      <c r="AL554" t="n">
        <v>0</v>
      </c>
      <c r="AM554" t="n">
        <v>0</v>
      </c>
      <c r="AN554" t="n">
        <v>0</v>
      </c>
      <c r="AO554" t="n">
        <v>0</v>
      </c>
      <c r="AP554" t="inlineStr">
        <is>
          <t>No</t>
        </is>
      </c>
      <c r="AQ554" t="inlineStr">
        <is>
          <t>Yes</t>
        </is>
      </c>
      <c r="AR554">
        <f>HYPERLINK("http://catalog.hathitrust.org/Record/006015592","HathiTrust Record")</f>
        <v/>
      </c>
      <c r="AS554">
        <f>HYPERLINK("https://creighton-primo.hosted.exlibrisgroup.com/primo-explore/search?tab=default_tab&amp;search_scope=EVERYTHING&amp;vid=01CRU&amp;lang=en_US&amp;offset=0&amp;query=any,contains,991002149599702656","Catalog Record")</f>
        <v/>
      </c>
      <c r="AT554">
        <f>HYPERLINK("http://www.worldcat.org/oclc/27688536","WorldCat Record")</f>
        <v/>
      </c>
      <c r="AU554" t="inlineStr">
        <is>
          <t>30540510:eng</t>
        </is>
      </c>
      <c r="AV554" t="inlineStr">
        <is>
          <t>27688536</t>
        </is>
      </c>
      <c r="AW554" t="inlineStr">
        <is>
          <t>991002149599702656</t>
        </is>
      </c>
      <c r="AX554" t="inlineStr">
        <is>
          <t>991002149599702656</t>
        </is>
      </c>
      <c r="AY554" t="inlineStr">
        <is>
          <t>2254749010002656</t>
        </is>
      </c>
      <c r="AZ554" t="inlineStr">
        <is>
          <t>BOOK</t>
        </is>
      </c>
      <c r="BB554" t="inlineStr">
        <is>
          <t>9780334030188</t>
        </is>
      </c>
      <c r="BC554" t="inlineStr">
        <is>
          <t>32285001589794</t>
        </is>
      </c>
      <c r="BD554" t="inlineStr">
        <is>
          <t>893439817</t>
        </is>
      </c>
    </row>
    <row r="555">
      <c r="A555" t="inlineStr">
        <is>
          <t>No</t>
        </is>
      </c>
      <c r="B555" t="inlineStr">
        <is>
          <t>BX1751.2.A1 C6 1993/2</t>
        </is>
      </c>
      <c r="C555" t="inlineStr">
        <is>
          <t>0                      BX 1751200A  1                  C  6           1993                  2</t>
        </is>
      </c>
      <c r="D555" t="inlineStr">
        <is>
          <t>Any room for Christ in Asia? / edited by Leonardo Boff and Virgil Elizondo.</t>
        </is>
      </c>
      <c r="F555" t="inlineStr">
        <is>
          <t>No</t>
        </is>
      </c>
      <c r="G555" t="inlineStr">
        <is>
          <t>1</t>
        </is>
      </c>
      <c r="H555" t="inlineStr">
        <is>
          <t>No</t>
        </is>
      </c>
      <c r="I555" t="inlineStr">
        <is>
          <t>No</t>
        </is>
      </c>
      <c r="J555" t="inlineStr">
        <is>
          <t>0</t>
        </is>
      </c>
      <c r="L555" t="inlineStr">
        <is>
          <t>London : SCM Press ; Maryknoll, NY : Orbis Press, 1993.</t>
        </is>
      </c>
      <c r="M555" t="inlineStr">
        <is>
          <t>1993</t>
        </is>
      </c>
      <c r="O555" t="inlineStr">
        <is>
          <t>eng</t>
        </is>
      </c>
      <c r="P555" t="inlineStr">
        <is>
          <t>enk</t>
        </is>
      </c>
      <c r="Q555" t="inlineStr">
        <is>
          <t>Concilium : religion in the nineties ; 1993/2</t>
        </is>
      </c>
      <c r="R555" t="inlineStr">
        <is>
          <t xml:space="preserve">BX </t>
        </is>
      </c>
      <c r="S555" t="n">
        <v>1</v>
      </c>
      <c r="T555" t="n">
        <v>1</v>
      </c>
      <c r="U555" t="inlineStr">
        <is>
          <t>1993-05-28</t>
        </is>
      </c>
      <c r="V555" t="inlineStr">
        <is>
          <t>1993-05-28</t>
        </is>
      </c>
      <c r="W555" t="inlineStr">
        <is>
          <t>1993-05-11</t>
        </is>
      </c>
      <c r="X555" t="inlineStr">
        <is>
          <t>1993-05-11</t>
        </is>
      </c>
      <c r="Y555" t="n">
        <v>271</v>
      </c>
      <c r="Z555" t="n">
        <v>208</v>
      </c>
      <c r="AA555" t="n">
        <v>213</v>
      </c>
      <c r="AB555" t="n">
        <v>2</v>
      </c>
      <c r="AC555" t="n">
        <v>2</v>
      </c>
      <c r="AD555" t="n">
        <v>23</v>
      </c>
      <c r="AE555" t="n">
        <v>23</v>
      </c>
      <c r="AF555" t="n">
        <v>8</v>
      </c>
      <c r="AG555" t="n">
        <v>8</v>
      </c>
      <c r="AH555" t="n">
        <v>6</v>
      </c>
      <c r="AI555" t="n">
        <v>6</v>
      </c>
      <c r="AJ555" t="n">
        <v>15</v>
      </c>
      <c r="AK555" t="n">
        <v>15</v>
      </c>
      <c r="AL555" t="n">
        <v>0</v>
      </c>
      <c r="AM555" t="n">
        <v>0</v>
      </c>
      <c r="AN555" t="n">
        <v>0</v>
      </c>
      <c r="AO555" t="n">
        <v>0</v>
      </c>
      <c r="AP555" t="inlineStr">
        <is>
          <t>No</t>
        </is>
      </c>
      <c r="AQ555" t="inlineStr">
        <is>
          <t>No</t>
        </is>
      </c>
      <c r="AS555">
        <f>HYPERLINK("https://creighton-primo.hosted.exlibrisgroup.com/primo-explore/search?tab=default_tab&amp;search_scope=EVERYTHING&amp;vid=01CRU&amp;lang=en_US&amp;offset=0&amp;query=any,contains,991002171869702656","Catalog Record")</f>
        <v/>
      </c>
      <c r="AT555">
        <f>HYPERLINK("http://www.worldcat.org/oclc/27944498","WorldCat Record")</f>
        <v/>
      </c>
      <c r="AU555" t="inlineStr">
        <is>
          <t>356365402:eng</t>
        </is>
      </c>
      <c r="AV555" t="inlineStr">
        <is>
          <t>27944498</t>
        </is>
      </c>
      <c r="AW555" t="inlineStr">
        <is>
          <t>991002171869702656</t>
        </is>
      </c>
      <c r="AX555" t="inlineStr">
        <is>
          <t>991002171869702656</t>
        </is>
      </c>
      <c r="AY555" t="inlineStr">
        <is>
          <t>2269461860002656</t>
        </is>
      </c>
      <c r="AZ555" t="inlineStr">
        <is>
          <t>BOOK</t>
        </is>
      </c>
      <c r="BB555" t="inlineStr">
        <is>
          <t>9780334030195</t>
        </is>
      </c>
      <c r="BC555" t="inlineStr">
        <is>
          <t>32285001680338</t>
        </is>
      </c>
      <c r="BD555" t="inlineStr">
        <is>
          <t>893873191</t>
        </is>
      </c>
    </row>
    <row r="556">
      <c r="A556" t="inlineStr">
        <is>
          <t>No</t>
        </is>
      </c>
      <c r="B556" t="inlineStr">
        <is>
          <t>BX1751.2.A1 C6 1993/3</t>
        </is>
      </c>
      <c r="C556" t="inlineStr">
        <is>
          <t>0                      BX 1751200A  1                  C  6           1993                  3</t>
        </is>
      </c>
      <c r="D556" t="inlineStr">
        <is>
          <t>The Spectre of mass death / edited by David N. Power and F. Kabasele Lumbala.</t>
        </is>
      </c>
      <c r="F556" t="inlineStr">
        <is>
          <t>No</t>
        </is>
      </c>
      <c r="G556" t="inlineStr">
        <is>
          <t>1</t>
        </is>
      </c>
      <c r="H556" t="inlineStr">
        <is>
          <t>No</t>
        </is>
      </c>
      <c r="I556" t="inlineStr">
        <is>
          <t>No</t>
        </is>
      </c>
      <c r="J556" t="inlineStr">
        <is>
          <t>0</t>
        </is>
      </c>
      <c r="L556" t="inlineStr">
        <is>
          <t>London : SCM Press ; Maryknoll, NY : Orbis Books, c1993.</t>
        </is>
      </c>
      <c r="M556" t="inlineStr">
        <is>
          <t>1993</t>
        </is>
      </c>
      <c r="O556" t="inlineStr">
        <is>
          <t>eng</t>
        </is>
      </c>
      <c r="P556" t="inlineStr">
        <is>
          <t>enk</t>
        </is>
      </c>
      <c r="Q556" t="inlineStr">
        <is>
          <t>Concilium : religion in the nineties ; 1993/3</t>
        </is>
      </c>
      <c r="R556" t="inlineStr">
        <is>
          <t xml:space="preserve">BX </t>
        </is>
      </c>
      <c r="S556" t="n">
        <v>2</v>
      </c>
      <c r="T556" t="n">
        <v>2</v>
      </c>
      <c r="U556" t="inlineStr">
        <is>
          <t>2001-10-01</t>
        </is>
      </c>
      <c r="V556" t="inlineStr">
        <is>
          <t>2001-10-01</t>
        </is>
      </c>
      <c r="W556" t="inlineStr">
        <is>
          <t>1993-08-11</t>
        </is>
      </c>
      <c r="X556" t="inlineStr">
        <is>
          <t>1993-08-11</t>
        </is>
      </c>
      <c r="Y556" t="n">
        <v>250</v>
      </c>
      <c r="Z556" t="n">
        <v>194</v>
      </c>
      <c r="AA556" t="n">
        <v>195</v>
      </c>
      <c r="AB556" t="n">
        <v>2</v>
      </c>
      <c r="AC556" t="n">
        <v>2</v>
      </c>
      <c r="AD556" t="n">
        <v>22</v>
      </c>
      <c r="AE556" t="n">
        <v>22</v>
      </c>
      <c r="AF556" t="n">
        <v>8</v>
      </c>
      <c r="AG556" t="n">
        <v>8</v>
      </c>
      <c r="AH556" t="n">
        <v>6</v>
      </c>
      <c r="AI556" t="n">
        <v>6</v>
      </c>
      <c r="AJ556" t="n">
        <v>14</v>
      </c>
      <c r="AK556" t="n">
        <v>14</v>
      </c>
      <c r="AL556" t="n">
        <v>0</v>
      </c>
      <c r="AM556" t="n">
        <v>0</v>
      </c>
      <c r="AN556" t="n">
        <v>0</v>
      </c>
      <c r="AO556" t="n">
        <v>0</v>
      </c>
      <c r="AP556" t="inlineStr">
        <is>
          <t>No</t>
        </is>
      </c>
      <c r="AQ556" t="inlineStr">
        <is>
          <t>Yes</t>
        </is>
      </c>
      <c r="AR556">
        <f>HYPERLINK("http://catalog.hathitrust.org/Record/006017280","HathiTrust Record")</f>
        <v/>
      </c>
      <c r="AS556">
        <f>HYPERLINK("https://creighton-primo.hosted.exlibrisgroup.com/primo-explore/search?tab=default_tab&amp;search_scope=EVERYTHING&amp;vid=01CRU&amp;lang=en_US&amp;offset=0&amp;query=any,contains,991002207479702656","Catalog Record")</f>
        <v/>
      </c>
      <c r="AT556">
        <f>HYPERLINK("http://www.worldcat.org/oclc/28389092","WorldCat Record")</f>
        <v/>
      </c>
      <c r="AU556" t="inlineStr">
        <is>
          <t>30878606:eng</t>
        </is>
      </c>
      <c r="AV556" t="inlineStr">
        <is>
          <t>28389092</t>
        </is>
      </c>
      <c r="AW556" t="inlineStr">
        <is>
          <t>991002207479702656</t>
        </is>
      </c>
      <c r="AX556" t="inlineStr">
        <is>
          <t>991002207479702656</t>
        </is>
      </c>
      <c r="AY556" t="inlineStr">
        <is>
          <t>2255618850002656</t>
        </is>
      </c>
      <c r="AZ556" t="inlineStr">
        <is>
          <t>BOOK</t>
        </is>
      </c>
      <c r="BB556" t="inlineStr">
        <is>
          <t>9780334030201</t>
        </is>
      </c>
      <c r="BC556" t="inlineStr">
        <is>
          <t>32285001757177</t>
        </is>
      </c>
      <c r="BD556" t="inlineStr">
        <is>
          <t>893322676</t>
        </is>
      </c>
    </row>
    <row r="557">
      <c r="A557" t="inlineStr">
        <is>
          <t>No</t>
        </is>
      </c>
      <c r="B557" t="inlineStr">
        <is>
          <t>BX1751.2.A1 C6 1993/4</t>
        </is>
      </c>
      <c r="C557" t="inlineStr">
        <is>
          <t>0                      BX 1751200A  1                  C  6           1993                  4</t>
        </is>
      </c>
      <c r="D557" t="inlineStr">
        <is>
          <t>Migrants and refugees / edited by Dietmar Mieth and Lisa Sowle Cahill.</t>
        </is>
      </c>
      <c r="F557" t="inlineStr">
        <is>
          <t>No</t>
        </is>
      </c>
      <c r="G557" t="inlineStr">
        <is>
          <t>1</t>
        </is>
      </c>
      <c r="H557" t="inlineStr">
        <is>
          <t>No</t>
        </is>
      </c>
      <c r="I557" t="inlineStr">
        <is>
          <t>No</t>
        </is>
      </c>
      <c r="J557" t="inlineStr">
        <is>
          <t>0</t>
        </is>
      </c>
      <c r="L557" t="inlineStr">
        <is>
          <t>London : SCM ; Maryknoll : Orbis Books, c1993</t>
        </is>
      </c>
      <c r="M557" t="inlineStr">
        <is>
          <t>1993</t>
        </is>
      </c>
      <c r="O557" t="inlineStr">
        <is>
          <t>eng</t>
        </is>
      </c>
      <c r="P557" t="inlineStr">
        <is>
          <t>nyu</t>
        </is>
      </c>
      <c r="Q557" t="inlineStr">
        <is>
          <t>Concilium : religion in the nineties ; 1993/4</t>
        </is>
      </c>
      <c r="R557" t="inlineStr">
        <is>
          <t xml:space="preserve">BX </t>
        </is>
      </c>
      <c r="S557" t="n">
        <v>5</v>
      </c>
      <c r="T557" t="n">
        <v>5</v>
      </c>
      <c r="U557" t="inlineStr">
        <is>
          <t>2008-04-20</t>
        </is>
      </c>
      <c r="V557" t="inlineStr">
        <is>
          <t>2008-04-20</t>
        </is>
      </c>
      <c r="W557" t="inlineStr">
        <is>
          <t>1993-09-22</t>
        </is>
      </c>
      <c r="X557" t="inlineStr">
        <is>
          <t>1993-09-22</t>
        </is>
      </c>
      <c r="Y557" t="n">
        <v>261</v>
      </c>
      <c r="Z557" t="n">
        <v>198</v>
      </c>
      <c r="AA557" t="n">
        <v>199</v>
      </c>
      <c r="AB557" t="n">
        <v>2</v>
      </c>
      <c r="AC557" t="n">
        <v>2</v>
      </c>
      <c r="AD557" t="n">
        <v>21</v>
      </c>
      <c r="AE557" t="n">
        <v>21</v>
      </c>
      <c r="AF557" t="n">
        <v>9</v>
      </c>
      <c r="AG557" t="n">
        <v>9</v>
      </c>
      <c r="AH557" t="n">
        <v>4</v>
      </c>
      <c r="AI557" t="n">
        <v>4</v>
      </c>
      <c r="AJ557" t="n">
        <v>15</v>
      </c>
      <c r="AK557" t="n">
        <v>15</v>
      </c>
      <c r="AL557" t="n">
        <v>0</v>
      </c>
      <c r="AM557" t="n">
        <v>0</v>
      </c>
      <c r="AN557" t="n">
        <v>0</v>
      </c>
      <c r="AO557" t="n">
        <v>0</v>
      </c>
      <c r="AP557" t="inlineStr">
        <is>
          <t>No</t>
        </is>
      </c>
      <c r="AQ557" t="inlineStr">
        <is>
          <t>No</t>
        </is>
      </c>
      <c r="AS557">
        <f>HYPERLINK("https://creighton-primo.hosted.exlibrisgroup.com/primo-explore/search?tab=default_tab&amp;search_scope=EVERYTHING&amp;vid=01CRU&amp;lang=en_US&amp;offset=0&amp;query=any,contains,991002221709702656","Catalog Record")</f>
        <v/>
      </c>
      <c r="AT557">
        <f>HYPERLINK("http://www.worldcat.org/oclc/28630884","WorldCat Record")</f>
        <v/>
      </c>
      <c r="AU557" t="inlineStr">
        <is>
          <t>30784357:eng</t>
        </is>
      </c>
      <c r="AV557" t="inlineStr">
        <is>
          <t>28630884</t>
        </is>
      </c>
      <c r="AW557" t="inlineStr">
        <is>
          <t>991002221709702656</t>
        </is>
      </c>
      <c r="AX557" t="inlineStr">
        <is>
          <t>991002221709702656</t>
        </is>
      </c>
      <c r="AY557" t="inlineStr">
        <is>
          <t>2270357120002656</t>
        </is>
      </c>
      <c r="AZ557" t="inlineStr">
        <is>
          <t>BOOK</t>
        </is>
      </c>
      <c r="BB557" t="inlineStr">
        <is>
          <t>9780334030225</t>
        </is>
      </c>
      <c r="BC557" t="inlineStr">
        <is>
          <t>32285001759751</t>
        </is>
      </c>
      <c r="BD557" t="inlineStr">
        <is>
          <t>893809366</t>
        </is>
      </c>
    </row>
    <row r="558">
      <c r="A558" t="inlineStr">
        <is>
          <t>No</t>
        </is>
      </c>
      <c r="B558" t="inlineStr">
        <is>
          <t>BX1751.2.A1 C6 1993/6</t>
        </is>
      </c>
      <c r="C558" t="inlineStr">
        <is>
          <t>0                      BX 1751200A  1                  C  6           1993                  6</t>
        </is>
      </c>
      <c r="D558" t="inlineStr">
        <is>
          <t>Mass media / edited by John A. Coleman and Miklós Tomka.</t>
        </is>
      </c>
      <c r="F558" t="inlineStr">
        <is>
          <t>No</t>
        </is>
      </c>
      <c r="G558" t="inlineStr">
        <is>
          <t>1</t>
        </is>
      </c>
      <c r="H558" t="inlineStr">
        <is>
          <t>No</t>
        </is>
      </c>
      <c r="I558" t="inlineStr">
        <is>
          <t>No</t>
        </is>
      </c>
      <c r="J558" t="inlineStr">
        <is>
          <t>0</t>
        </is>
      </c>
      <c r="L558" t="inlineStr">
        <is>
          <t>London : SCM Press ; Maryknoll, NY : Orbis Books, c1993.</t>
        </is>
      </c>
      <c r="M558" t="inlineStr">
        <is>
          <t>1993</t>
        </is>
      </c>
      <c r="O558" t="inlineStr">
        <is>
          <t>eng</t>
        </is>
      </c>
      <c r="P558" t="inlineStr">
        <is>
          <t>enk</t>
        </is>
      </c>
      <c r="Q558" t="inlineStr">
        <is>
          <t>Concilium : religion in the nineties ; 1993/6</t>
        </is>
      </c>
      <c r="R558" t="inlineStr">
        <is>
          <t xml:space="preserve">BX </t>
        </is>
      </c>
      <c r="S558" t="n">
        <v>3</v>
      </c>
      <c r="T558" t="n">
        <v>3</v>
      </c>
      <c r="U558" t="inlineStr">
        <is>
          <t>2002-11-21</t>
        </is>
      </c>
      <c r="V558" t="inlineStr">
        <is>
          <t>2002-11-21</t>
        </is>
      </c>
      <c r="W558" t="inlineStr">
        <is>
          <t>1994-01-26</t>
        </is>
      </c>
      <c r="X558" t="inlineStr">
        <is>
          <t>1994-01-26</t>
        </is>
      </c>
      <c r="Y558" t="n">
        <v>262</v>
      </c>
      <c r="Z558" t="n">
        <v>201</v>
      </c>
      <c r="AA558" t="n">
        <v>206</v>
      </c>
      <c r="AB558" t="n">
        <v>2</v>
      </c>
      <c r="AC558" t="n">
        <v>2</v>
      </c>
      <c r="AD558" t="n">
        <v>23</v>
      </c>
      <c r="AE558" t="n">
        <v>23</v>
      </c>
      <c r="AF558" t="n">
        <v>9</v>
      </c>
      <c r="AG558" t="n">
        <v>9</v>
      </c>
      <c r="AH558" t="n">
        <v>6</v>
      </c>
      <c r="AI558" t="n">
        <v>6</v>
      </c>
      <c r="AJ558" t="n">
        <v>15</v>
      </c>
      <c r="AK558" t="n">
        <v>15</v>
      </c>
      <c r="AL558" t="n">
        <v>0</v>
      </c>
      <c r="AM558" t="n">
        <v>0</v>
      </c>
      <c r="AN558" t="n">
        <v>0</v>
      </c>
      <c r="AO558" t="n">
        <v>0</v>
      </c>
      <c r="AP558" t="inlineStr">
        <is>
          <t>No</t>
        </is>
      </c>
      <c r="AQ558" t="inlineStr">
        <is>
          <t>No</t>
        </is>
      </c>
      <c r="AS558">
        <f>HYPERLINK("https://creighton-primo.hosted.exlibrisgroup.com/primo-explore/search?tab=default_tab&amp;search_scope=EVERYTHING&amp;vid=01CRU&amp;lang=en_US&amp;offset=0&amp;query=any,contains,991002273109702656","Catalog Record")</f>
        <v/>
      </c>
      <c r="AT558">
        <f>HYPERLINK("http://www.worldcat.org/oclc/29514757","WorldCat Record")</f>
        <v/>
      </c>
      <c r="AU558" t="inlineStr">
        <is>
          <t>55778265:eng</t>
        </is>
      </c>
      <c r="AV558" t="inlineStr">
        <is>
          <t>29514757</t>
        </is>
      </c>
      <c r="AW558" t="inlineStr">
        <is>
          <t>991002273109702656</t>
        </is>
      </c>
      <c r="AX558" t="inlineStr">
        <is>
          <t>991002273109702656</t>
        </is>
      </c>
      <c r="AY558" t="inlineStr">
        <is>
          <t>2270300880002656</t>
        </is>
      </c>
      <c r="AZ558" t="inlineStr">
        <is>
          <t>BOOK</t>
        </is>
      </c>
      <c r="BB558" t="inlineStr">
        <is>
          <t>9780334030232</t>
        </is>
      </c>
      <c r="BC558" t="inlineStr">
        <is>
          <t>32285001860187</t>
        </is>
      </c>
      <c r="BD558" t="inlineStr">
        <is>
          <t>893892358</t>
        </is>
      </c>
    </row>
    <row r="559">
      <c r="A559" t="inlineStr">
        <is>
          <t>No</t>
        </is>
      </c>
      <c r="B559" t="inlineStr">
        <is>
          <t>BX1751.2.A1 C6 1994/2</t>
        </is>
      </c>
      <c r="C559" t="inlineStr">
        <is>
          <t>0                      BX 1751200A  1                  C  6           1994                  2</t>
        </is>
      </c>
      <c r="D559" t="inlineStr">
        <is>
          <t>Christianity and cultures : a mutual enrichment / edited by Norbert Greinacher and Norbert Mette.</t>
        </is>
      </c>
      <c r="F559" t="inlineStr">
        <is>
          <t>No</t>
        </is>
      </c>
      <c r="G559" t="inlineStr">
        <is>
          <t>1</t>
        </is>
      </c>
      <c r="H559" t="inlineStr">
        <is>
          <t>No</t>
        </is>
      </c>
      <c r="I559" t="inlineStr">
        <is>
          <t>No</t>
        </is>
      </c>
      <c r="J559" t="inlineStr">
        <is>
          <t>0</t>
        </is>
      </c>
      <c r="L559" t="inlineStr">
        <is>
          <t>London : SCM Press ; Maryknoll : Orbis Books, c1994.</t>
        </is>
      </c>
      <c r="M559" t="inlineStr">
        <is>
          <t>1994</t>
        </is>
      </c>
      <c r="O559" t="inlineStr">
        <is>
          <t>eng</t>
        </is>
      </c>
      <c r="P559" t="inlineStr">
        <is>
          <t>enk</t>
        </is>
      </c>
      <c r="Q559" t="inlineStr">
        <is>
          <t>Concilium : religion in the nineties ; 1994/2</t>
        </is>
      </c>
      <c r="R559" t="inlineStr">
        <is>
          <t xml:space="preserve">BX </t>
        </is>
      </c>
      <c r="S559" t="n">
        <v>4</v>
      </c>
      <c r="T559" t="n">
        <v>4</v>
      </c>
      <c r="U559" t="inlineStr">
        <is>
          <t>2006-09-25</t>
        </is>
      </c>
      <c r="V559" t="inlineStr">
        <is>
          <t>2006-09-25</t>
        </is>
      </c>
      <c r="W559" t="inlineStr">
        <is>
          <t>1994-05-20</t>
        </is>
      </c>
      <c r="X559" t="inlineStr">
        <is>
          <t>1994-05-20</t>
        </is>
      </c>
      <c r="Y559" t="n">
        <v>295</v>
      </c>
      <c r="Z559" t="n">
        <v>228</v>
      </c>
      <c r="AA559" t="n">
        <v>229</v>
      </c>
      <c r="AB559" t="n">
        <v>3</v>
      </c>
      <c r="AC559" t="n">
        <v>3</v>
      </c>
      <c r="AD559" t="n">
        <v>26</v>
      </c>
      <c r="AE559" t="n">
        <v>26</v>
      </c>
      <c r="AF559" t="n">
        <v>10</v>
      </c>
      <c r="AG559" t="n">
        <v>10</v>
      </c>
      <c r="AH559" t="n">
        <v>6</v>
      </c>
      <c r="AI559" t="n">
        <v>6</v>
      </c>
      <c r="AJ559" t="n">
        <v>16</v>
      </c>
      <c r="AK559" t="n">
        <v>16</v>
      </c>
      <c r="AL559" t="n">
        <v>1</v>
      </c>
      <c r="AM559" t="n">
        <v>1</v>
      </c>
      <c r="AN559" t="n">
        <v>0</v>
      </c>
      <c r="AO559" t="n">
        <v>0</v>
      </c>
      <c r="AP559" t="inlineStr">
        <is>
          <t>No</t>
        </is>
      </c>
      <c r="AQ559" t="inlineStr">
        <is>
          <t>Yes</t>
        </is>
      </c>
      <c r="AR559">
        <f>HYPERLINK("http://catalog.hathitrust.org/Record/006025107","HathiTrust Record")</f>
        <v/>
      </c>
      <c r="AS559">
        <f>HYPERLINK("https://creighton-primo.hosted.exlibrisgroup.com/primo-explore/search?tab=default_tab&amp;search_scope=EVERYTHING&amp;vid=01CRU&amp;lang=en_US&amp;offset=0&amp;query=any,contains,991002320259702656","Catalog Record")</f>
        <v/>
      </c>
      <c r="AT559">
        <f>HYPERLINK("http://www.worldcat.org/oclc/30107547","WorldCat Record")</f>
        <v/>
      </c>
      <c r="AU559" t="inlineStr">
        <is>
          <t>901612737:eng</t>
        </is>
      </c>
      <c r="AV559" t="inlineStr">
        <is>
          <t>30107547</t>
        </is>
      </c>
      <c r="AW559" t="inlineStr">
        <is>
          <t>991002320259702656</t>
        </is>
      </c>
      <c r="AX559" t="inlineStr">
        <is>
          <t>991002320259702656</t>
        </is>
      </c>
      <c r="AY559" t="inlineStr">
        <is>
          <t>2262282400002656</t>
        </is>
      </c>
      <c r="AZ559" t="inlineStr">
        <is>
          <t>BOOK</t>
        </is>
      </c>
      <c r="BB559" t="inlineStr">
        <is>
          <t>9780334030256</t>
        </is>
      </c>
      <c r="BC559" t="inlineStr">
        <is>
          <t>32285001915650</t>
        </is>
      </c>
      <c r="BD559" t="inlineStr">
        <is>
          <t>893517153</t>
        </is>
      </c>
    </row>
    <row r="560">
      <c r="A560" t="inlineStr">
        <is>
          <t>No</t>
        </is>
      </c>
      <c r="B560" t="inlineStr">
        <is>
          <t>BX1751.2.A1 C6 1994/4</t>
        </is>
      </c>
      <c r="C560" t="inlineStr">
        <is>
          <t>0                      BX 1751200A  1                  C  6           1994                  4</t>
        </is>
      </c>
      <c r="D560" t="inlineStr">
        <is>
          <t>Mysticism and the institutional crisis / edited by Christian Duquoc and Gustavo Gutiérrez.</t>
        </is>
      </c>
      <c r="F560" t="inlineStr">
        <is>
          <t>No</t>
        </is>
      </c>
      <c r="G560" t="inlineStr">
        <is>
          <t>1</t>
        </is>
      </c>
      <c r="H560" t="inlineStr">
        <is>
          <t>No</t>
        </is>
      </c>
      <c r="I560" t="inlineStr">
        <is>
          <t>No</t>
        </is>
      </c>
      <c r="J560" t="inlineStr">
        <is>
          <t>0</t>
        </is>
      </c>
      <c r="L560" t="inlineStr">
        <is>
          <t>London : SCM Press ; Maryknoll, N.Y. : Orbis Books, c1994.</t>
        </is>
      </c>
      <c r="M560" t="inlineStr">
        <is>
          <t>1994</t>
        </is>
      </c>
      <c r="O560" t="inlineStr">
        <is>
          <t>eng</t>
        </is>
      </c>
      <c r="P560" t="inlineStr">
        <is>
          <t>enk</t>
        </is>
      </c>
      <c r="Q560" t="inlineStr">
        <is>
          <t>Concilium : religion in the nineties ; 1994/4</t>
        </is>
      </c>
      <c r="R560" t="inlineStr">
        <is>
          <t xml:space="preserve">BX </t>
        </is>
      </c>
      <c r="S560" t="n">
        <v>7</v>
      </c>
      <c r="T560" t="n">
        <v>7</v>
      </c>
      <c r="U560" t="inlineStr">
        <is>
          <t>2009-03-17</t>
        </is>
      </c>
      <c r="V560" t="inlineStr">
        <is>
          <t>2009-03-17</t>
        </is>
      </c>
      <c r="W560" t="inlineStr">
        <is>
          <t>1994-09-06</t>
        </is>
      </c>
      <c r="X560" t="inlineStr">
        <is>
          <t>1994-09-06</t>
        </is>
      </c>
      <c r="Y560" t="n">
        <v>279</v>
      </c>
      <c r="Z560" t="n">
        <v>215</v>
      </c>
      <c r="AA560" t="n">
        <v>222</v>
      </c>
      <c r="AB560" t="n">
        <v>2</v>
      </c>
      <c r="AC560" t="n">
        <v>2</v>
      </c>
      <c r="AD560" t="n">
        <v>22</v>
      </c>
      <c r="AE560" t="n">
        <v>22</v>
      </c>
      <c r="AF560" t="n">
        <v>8</v>
      </c>
      <c r="AG560" t="n">
        <v>8</v>
      </c>
      <c r="AH560" t="n">
        <v>6</v>
      </c>
      <c r="AI560" t="n">
        <v>6</v>
      </c>
      <c r="AJ560" t="n">
        <v>14</v>
      </c>
      <c r="AK560" t="n">
        <v>14</v>
      </c>
      <c r="AL560" t="n">
        <v>0</v>
      </c>
      <c r="AM560" t="n">
        <v>0</v>
      </c>
      <c r="AN560" t="n">
        <v>0</v>
      </c>
      <c r="AO560" t="n">
        <v>0</v>
      </c>
      <c r="AP560" t="inlineStr">
        <is>
          <t>No</t>
        </is>
      </c>
      <c r="AQ560" t="inlineStr">
        <is>
          <t>Yes</t>
        </is>
      </c>
      <c r="AR560">
        <f>HYPERLINK("http://catalog.hathitrust.org/Record/101538553","HathiTrust Record")</f>
        <v/>
      </c>
      <c r="AS560">
        <f>HYPERLINK("https://creighton-primo.hosted.exlibrisgroup.com/primo-explore/search?tab=default_tab&amp;search_scope=EVERYTHING&amp;vid=01CRU&amp;lang=en_US&amp;offset=0&amp;query=any,contains,991002381059702656","Catalog Record")</f>
        <v/>
      </c>
      <c r="AT560">
        <f>HYPERLINK("http://www.worldcat.org/oclc/30938295","WorldCat Record")</f>
        <v/>
      </c>
      <c r="AU560" t="inlineStr">
        <is>
          <t>33274827:eng</t>
        </is>
      </c>
      <c r="AV560" t="inlineStr">
        <is>
          <t>30938295</t>
        </is>
      </c>
      <c r="AW560" t="inlineStr">
        <is>
          <t>991002381059702656</t>
        </is>
      </c>
      <c r="AX560" t="inlineStr">
        <is>
          <t>991002381059702656</t>
        </is>
      </c>
      <c r="AY560" t="inlineStr">
        <is>
          <t>2270996770002656</t>
        </is>
      </c>
      <c r="AZ560" t="inlineStr">
        <is>
          <t>BOOK</t>
        </is>
      </c>
      <c r="BB560" t="inlineStr">
        <is>
          <t>9780334030270</t>
        </is>
      </c>
      <c r="BC560" t="inlineStr">
        <is>
          <t>32285001867489</t>
        </is>
      </c>
      <c r="BD560" t="inlineStr">
        <is>
          <t>893603523</t>
        </is>
      </c>
    </row>
    <row r="561">
      <c r="A561" t="inlineStr">
        <is>
          <t>No</t>
        </is>
      </c>
      <c r="B561" t="inlineStr">
        <is>
          <t>BX1751.2.A1 C6 1995/1</t>
        </is>
      </c>
      <c r="C561" t="inlineStr">
        <is>
          <t>0                      BX 1751200A  1                  C  6           1995                  1</t>
        </is>
      </c>
      <c r="D561" t="inlineStr">
        <is>
          <t>The Bible as cultural heritage / edited by Wim Beuken and Sean Freyne.</t>
        </is>
      </c>
      <c r="F561" t="inlineStr">
        <is>
          <t>No</t>
        </is>
      </c>
      <c r="G561" t="inlineStr">
        <is>
          <t>1</t>
        </is>
      </c>
      <c r="H561" t="inlineStr">
        <is>
          <t>No</t>
        </is>
      </c>
      <c r="I561" t="inlineStr">
        <is>
          <t>No</t>
        </is>
      </c>
      <c r="J561" t="inlineStr">
        <is>
          <t>0</t>
        </is>
      </c>
      <c r="L561" t="inlineStr">
        <is>
          <t>London : SCM Press ; Maryknoll : Orbis Books, c1995.</t>
        </is>
      </c>
      <c r="M561" t="inlineStr">
        <is>
          <t>1995</t>
        </is>
      </c>
      <c r="O561" t="inlineStr">
        <is>
          <t>eng</t>
        </is>
      </c>
      <c r="P561" t="inlineStr">
        <is>
          <t>enk</t>
        </is>
      </c>
      <c r="Q561" t="inlineStr">
        <is>
          <t>Concilium : religion in the nineties ; 1995/1</t>
        </is>
      </c>
      <c r="R561" t="inlineStr">
        <is>
          <t xml:space="preserve">BX </t>
        </is>
      </c>
      <c r="S561" t="n">
        <v>8</v>
      </c>
      <c r="T561" t="n">
        <v>8</v>
      </c>
      <c r="U561" t="inlineStr">
        <is>
          <t>1997-10-06</t>
        </is>
      </c>
      <c r="V561" t="inlineStr">
        <is>
          <t>1997-10-06</t>
        </is>
      </c>
      <c r="W561" t="inlineStr">
        <is>
          <t>1995-03-17</t>
        </is>
      </c>
      <c r="X561" t="inlineStr">
        <is>
          <t>1995-03-17</t>
        </is>
      </c>
      <c r="Y561" t="n">
        <v>277</v>
      </c>
      <c r="Z561" t="n">
        <v>217</v>
      </c>
      <c r="AA561" t="n">
        <v>219</v>
      </c>
      <c r="AB561" t="n">
        <v>2</v>
      </c>
      <c r="AC561" t="n">
        <v>2</v>
      </c>
      <c r="AD561" t="n">
        <v>23</v>
      </c>
      <c r="AE561" t="n">
        <v>23</v>
      </c>
      <c r="AF561" t="n">
        <v>8</v>
      </c>
      <c r="AG561" t="n">
        <v>8</v>
      </c>
      <c r="AH561" t="n">
        <v>6</v>
      </c>
      <c r="AI561" t="n">
        <v>6</v>
      </c>
      <c r="AJ561" t="n">
        <v>15</v>
      </c>
      <c r="AK561" t="n">
        <v>15</v>
      </c>
      <c r="AL561" t="n">
        <v>0</v>
      </c>
      <c r="AM561" t="n">
        <v>0</v>
      </c>
      <c r="AN561" t="n">
        <v>0</v>
      </c>
      <c r="AO561" t="n">
        <v>0</v>
      </c>
      <c r="AP561" t="inlineStr">
        <is>
          <t>No</t>
        </is>
      </c>
      <c r="AQ561" t="inlineStr">
        <is>
          <t>Yes</t>
        </is>
      </c>
      <c r="AR561">
        <f>HYPERLINK("http://catalog.hathitrust.org/Record/006013872","HathiTrust Record")</f>
        <v/>
      </c>
      <c r="AS561">
        <f>HYPERLINK("https://creighton-primo.hosted.exlibrisgroup.com/primo-explore/search?tab=default_tab&amp;search_scope=EVERYTHING&amp;vid=01CRU&amp;lang=en_US&amp;offset=0&amp;query=any,contains,991002453389702656","Catalog Record")</f>
        <v/>
      </c>
      <c r="AT561">
        <f>HYPERLINK("http://www.worldcat.org/oclc/32001285","WorldCat Record")</f>
        <v/>
      </c>
      <c r="AU561" t="inlineStr">
        <is>
          <t>33608518:eng</t>
        </is>
      </c>
      <c r="AV561" t="inlineStr">
        <is>
          <t>32001285</t>
        </is>
      </c>
      <c r="AW561" t="inlineStr">
        <is>
          <t>991002453389702656</t>
        </is>
      </c>
      <c r="AX561" t="inlineStr">
        <is>
          <t>991002453389702656</t>
        </is>
      </c>
      <c r="AY561" t="inlineStr">
        <is>
          <t>2256807560002656</t>
        </is>
      </c>
      <c r="AZ561" t="inlineStr">
        <is>
          <t>BOOK</t>
        </is>
      </c>
      <c r="BB561" t="inlineStr">
        <is>
          <t>9780334030300</t>
        </is>
      </c>
      <c r="BC561" t="inlineStr">
        <is>
          <t>32285002006749</t>
        </is>
      </c>
      <c r="BD561" t="inlineStr">
        <is>
          <t>893597474</t>
        </is>
      </c>
    </row>
    <row r="562">
      <c r="A562" t="inlineStr">
        <is>
          <t>No</t>
        </is>
      </c>
      <c r="B562" t="inlineStr">
        <is>
          <t>BX1751.2.A1 C6 1995/6</t>
        </is>
      </c>
      <c r="C562" t="inlineStr">
        <is>
          <t>0                      BX 1751200A  1                  C  6           1995                  6</t>
        </is>
      </c>
      <c r="D562" t="inlineStr">
        <is>
          <t>Religion and nationalism / edited by John Coleman and Miklós Tomka.</t>
        </is>
      </c>
      <c r="F562" t="inlineStr">
        <is>
          <t>No</t>
        </is>
      </c>
      <c r="G562" t="inlineStr">
        <is>
          <t>1</t>
        </is>
      </c>
      <c r="H562" t="inlineStr">
        <is>
          <t>No</t>
        </is>
      </c>
      <c r="I562" t="inlineStr">
        <is>
          <t>No</t>
        </is>
      </c>
      <c r="J562" t="inlineStr">
        <is>
          <t>0</t>
        </is>
      </c>
      <c r="L562" t="inlineStr">
        <is>
          <t>London : SCM Press ; Maryknoll, NY : Orbis Books, c1995.</t>
        </is>
      </c>
      <c r="M562" t="inlineStr">
        <is>
          <t>1995</t>
        </is>
      </c>
      <c r="O562" t="inlineStr">
        <is>
          <t>eng</t>
        </is>
      </c>
      <c r="P562" t="inlineStr">
        <is>
          <t>enk</t>
        </is>
      </c>
      <c r="Q562" t="inlineStr">
        <is>
          <t>Concilium ; 1995/6</t>
        </is>
      </c>
      <c r="R562" t="inlineStr">
        <is>
          <t xml:space="preserve">BX </t>
        </is>
      </c>
      <c r="S562" t="n">
        <v>1</v>
      </c>
      <c r="T562" t="n">
        <v>1</v>
      </c>
      <c r="U562" t="inlineStr">
        <is>
          <t>2002-11-21</t>
        </is>
      </c>
      <c r="V562" t="inlineStr">
        <is>
          <t>2002-11-21</t>
        </is>
      </c>
      <c r="W562" t="inlineStr">
        <is>
          <t>1995-12-15</t>
        </is>
      </c>
      <c r="X562" t="inlineStr">
        <is>
          <t>1995-12-15</t>
        </is>
      </c>
      <c r="Y562" t="n">
        <v>274</v>
      </c>
      <c r="Z562" t="n">
        <v>207</v>
      </c>
      <c r="AA562" t="n">
        <v>219</v>
      </c>
      <c r="AB562" t="n">
        <v>2</v>
      </c>
      <c r="AC562" t="n">
        <v>2</v>
      </c>
      <c r="AD562" t="n">
        <v>25</v>
      </c>
      <c r="AE562" t="n">
        <v>25</v>
      </c>
      <c r="AF562" t="n">
        <v>9</v>
      </c>
      <c r="AG562" t="n">
        <v>9</v>
      </c>
      <c r="AH562" t="n">
        <v>6</v>
      </c>
      <c r="AI562" t="n">
        <v>6</v>
      </c>
      <c r="AJ562" t="n">
        <v>17</v>
      </c>
      <c r="AK562" t="n">
        <v>17</v>
      </c>
      <c r="AL562" t="n">
        <v>0</v>
      </c>
      <c r="AM562" t="n">
        <v>0</v>
      </c>
      <c r="AN562" t="n">
        <v>0</v>
      </c>
      <c r="AO562" t="n">
        <v>0</v>
      </c>
      <c r="AP562" t="inlineStr">
        <is>
          <t>No</t>
        </is>
      </c>
      <c r="AQ562" t="inlineStr">
        <is>
          <t>No</t>
        </is>
      </c>
      <c r="AS562">
        <f>HYPERLINK("https://creighton-primo.hosted.exlibrisgroup.com/primo-explore/search?tab=default_tab&amp;search_scope=EVERYTHING&amp;vid=01CRU&amp;lang=en_US&amp;offset=0&amp;query=any,contains,991002588089702656","Catalog Record")</f>
        <v/>
      </c>
      <c r="AT562">
        <f>HYPERLINK("http://www.worldcat.org/oclc/33901284","WorldCat Record")</f>
        <v/>
      </c>
      <c r="AU562" t="inlineStr">
        <is>
          <t>7195251:eng</t>
        </is>
      </c>
      <c r="AV562" t="inlineStr">
        <is>
          <t>33901284</t>
        </is>
      </c>
      <c r="AW562" t="inlineStr">
        <is>
          <t>991002588089702656</t>
        </is>
      </c>
      <c r="AX562" t="inlineStr">
        <is>
          <t>991002588089702656</t>
        </is>
      </c>
      <c r="AY562" t="inlineStr">
        <is>
          <t>2270925640002656</t>
        </is>
      </c>
      <c r="AZ562" t="inlineStr">
        <is>
          <t>BOOK</t>
        </is>
      </c>
      <c r="BB562" t="inlineStr">
        <is>
          <t>9780334030355</t>
        </is>
      </c>
      <c r="BC562" t="inlineStr">
        <is>
          <t>32285002112166</t>
        </is>
      </c>
      <c r="BD562" t="inlineStr">
        <is>
          <t>893504574</t>
        </is>
      </c>
    </row>
    <row r="563">
      <c r="A563" t="inlineStr">
        <is>
          <t>No</t>
        </is>
      </c>
      <c r="B563" t="inlineStr">
        <is>
          <t>BX1751.2.A1 C6 1996/2</t>
        </is>
      </c>
      <c r="C563" t="inlineStr">
        <is>
          <t>0                      BX 1751200A  1                  C  6           1996                  2</t>
        </is>
      </c>
      <c r="D563" t="inlineStr">
        <is>
          <t>Little children suffer / edited by Maureen Junker-Kenny and Norbert Mette.</t>
        </is>
      </c>
      <c r="F563" t="inlineStr">
        <is>
          <t>No</t>
        </is>
      </c>
      <c r="G563" t="inlineStr">
        <is>
          <t>1</t>
        </is>
      </c>
      <c r="H563" t="inlineStr">
        <is>
          <t>No</t>
        </is>
      </c>
      <c r="I563" t="inlineStr">
        <is>
          <t>No</t>
        </is>
      </c>
      <c r="J563" t="inlineStr">
        <is>
          <t>0</t>
        </is>
      </c>
      <c r="L563" t="inlineStr">
        <is>
          <t>London : SCM Press ; Maryknoll (N.Y.) : Orbis Books, c1996.</t>
        </is>
      </c>
      <c r="M563" t="inlineStr">
        <is>
          <t>1996</t>
        </is>
      </c>
      <c r="O563" t="inlineStr">
        <is>
          <t>eng</t>
        </is>
      </c>
      <c r="P563" t="inlineStr">
        <is>
          <t>nyu</t>
        </is>
      </c>
      <c r="Q563" t="inlineStr">
        <is>
          <t>Concilium ; 1996/2</t>
        </is>
      </c>
      <c r="R563" t="inlineStr">
        <is>
          <t xml:space="preserve">BX </t>
        </is>
      </c>
      <c r="S563" t="n">
        <v>1</v>
      </c>
      <c r="T563" t="n">
        <v>1</v>
      </c>
      <c r="U563" t="inlineStr">
        <is>
          <t>2002-11-07</t>
        </is>
      </c>
      <c r="V563" t="inlineStr">
        <is>
          <t>2002-11-07</t>
        </is>
      </c>
      <c r="W563" t="inlineStr">
        <is>
          <t>1996-06-04</t>
        </is>
      </c>
      <c r="X563" t="inlineStr">
        <is>
          <t>1996-06-04</t>
        </is>
      </c>
      <c r="Y563" t="n">
        <v>270</v>
      </c>
      <c r="Z563" t="n">
        <v>205</v>
      </c>
      <c r="AA563" t="n">
        <v>211</v>
      </c>
      <c r="AB563" t="n">
        <v>2</v>
      </c>
      <c r="AC563" t="n">
        <v>2</v>
      </c>
      <c r="AD563" t="n">
        <v>24</v>
      </c>
      <c r="AE563" t="n">
        <v>24</v>
      </c>
      <c r="AF563" t="n">
        <v>8</v>
      </c>
      <c r="AG563" t="n">
        <v>8</v>
      </c>
      <c r="AH563" t="n">
        <v>6</v>
      </c>
      <c r="AI563" t="n">
        <v>6</v>
      </c>
      <c r="AJ563" t="n">
        <v>16</v>
      </c>
      <c r="AK563" t="n">
        <v>16</v>
      </c>
      <c r="AL563" t="n">
        <v>0</v>
      </c>
      <c r="AM563" t="n">
        <v>0</v>
      </c>
      <c r="AN563" t="n">
        <v>0</v>
      </c>
      <c r="AO563" t="n">
        <v>0</v>
      </c>
      <c r="AP563" t="inlineStr">
        <is>
          <t>No</t>
        </is>
      </c>
      <c r="AQ563" t="inlineStr">
        <is>
          <t>Yes</t>
        </is>
      </c>
      <c r="AR563">
        <f>HYPERLINK("http://catalog.hathitrust.org/Record/006018553","HathiTrust Record")</f>
        <v/>
      </c>
      <c r="AS563">
        <f>HYPERLINK("https://creighton-primo.hosted.exlibrisgroup.com/primo-explore/search?tab=default_tab&amp;search_scope=EVERYTHING&amp;vid=01CRU&amp;lang=en_US&amp;offset=0&amp;query=any,contains,991002642909702656","Catalog Record")</f>
        <v/>
      </c>
      <c r="AT563">
        <f>HYPERLINK("http://www.worldcat.org/oclc/34597608","WorldCat Record")</f>
        <v/>
      </c>
      <c r="AU563" t="inlineStr">
        <is>
          <t>40658993:eng</t>
        </is>
      </c>
      <c r="AV563" t="inlineStr">
        <is>
          <t>34597608</t>
        </is>
      </c>
      <c r="AW563" t="inlineStr">
        <is>
          <t>991002642909702656</t>
        </is>
      </c>
      <c r="AX563" t="inlineStr">
        <is>
          <t>991002642909702656</t>
        </is>
      </c>
      <c r="AY563" t="inlineStr">
        <is>
          <t>2268509870002656</t>
        </is>
      </c>
      <c r="AZ563" t="inlineStr">
        <is>
          <t>BOOK</t>
        </is>
      </c>
      <c r="BB563" t="inlineStr">
        <is>
          <t>9780334030379</t>
        </is>
      </c>
      <c r="BC563" t="inlineStr">
        <is>
          <t>32285002186467</t>
        </is>
      </c>
      <c r="BD563" t="inlineStr">
        <is>
          <t>893347738</t>
        </is>
      </c>
    </row>
    <row r="564">
      <c r="A564" t="inlineStr">
        <is>
          <t>No</t>
        </is>
      </c>
      <c r="B564" t="inlineStr">
        <is>
          <t>BX1751.2.A1 C6 1996/5</t>
        </is>
      </c>
      <c r="C564" t="inlineStr">
        <is>
          <t>0                      BX 1751200A  1                  C  6           1996                  5</t>
        </is>
      </c>
      <c r="D564" t="inlineStr">
        <is>
          <t>From life to law / edited by James Provost and Knut Walf.</t>
        </is>
      </c>
      <c r="F564" t="inlineStr">
        <is>
          <t>No</t>
        </is>
      </c>
      <c r="G564" t="inlineStr">
        <is>
          <t>1</t>
        </is>
      </c>
      <c r="H564" t="inlineStr">
        <is>
          <t>No</t>
        </is>
      </c>
      <c r="I564" t="inlineStr">
        <is>
          <t>No</t>
        </is>
      </c>
      <c r="J564" t="inlineStr">
        <is>
          <t>0</t>
        </is>
      </c>
      <c r="L564" t="inlineStr">
        <is>
          <t>London : SCM Press ; Maryknoll, N.Y. : Orbis Books, c1996.</t>
        </is>
      </c>
      <c r="M564" t="inlineStr">
        <is>
          <t>1996</t>
        </is>
      </c>
      <c r="O564" t="inlineStr">
        <is>
          <t>eng</t>
        </is>
      </c>
      <c r="P564" t="inlineStr">
        <is>
          <t>enk</t>
        </is>
      </c>
      <c r="Q564" t="inlineStr">
        <is>
          <t>Concilium ; 1996/5</t>
        </is>
      </c>
      <c r="R564" t="inlineStr">
        <is>
          <t xml:space="preserve">BX </t>
        </is>
      </c>
      <c r="S564" t="n">
        <v>3</v>
      </c>
      <c r="T564" t="n">
        <v>3</v>
      </c>
      <c r="U564" t="inlineStr">
        <is>
          <t>2003-03-31</t>
        </is>
      </c>
      <c r="V564" t="inlineStr">
        <is>
          <t>2003-03-31</t>
        </is>
      </c>
      <c r="W564" t="inlineStr">
        <is>
          <t>1996-11-15</t>
        </is>
      </c>
      <c r="X564" t="inlineStr">
        <is>
          <t>1996-11-15</t>
        </is>
      </c>
      <c r="Y564" t="n">
        <v>261</v>
      </c>
      <c r="Z564" t="n">
        <v>200</v>
      </c>
      <c r="AA564" t="n">
        <v>201</v>
      </c>
      <c r="AB564" t="n">
        <v>2</v>
      </c>
      <c r="AC564" t="n">
        <v>2</v>
      </c>
      <c r="AD564" t="n">
        <v>23</v>
      </c>
      <c r="AE564" t="n">
        <v>23</v>
      </c>
      <c r="AF564" t="n">
        <v>8</v>
      </c>
      <c r="AG564" t="n">
        <v>8</v>
      </c>
      <c r="AH564" t="n">
        <v>5</v>
      </c>
      <c r="AI564" t="n">
        <v>5</v>
      </c>
      <c r="AJ564" t="n">
        <v>15</v>
      </c>
      <c r="AK564" t="n">
        <v>15</v>
      </c>
      <c r="AL564" t="n">
        <v>0</v>
      </c>
      <c r="AM564" t="n">
        <v>0</v>
      </c>
      <c r="AN564" t="n">
        <v>1</v>
      </c>
      <c r="AO564" t="n">
        <v>1</v>
      </c>
      <c r="AP564" t="inlineStr">
        <is>
          <t>No</t>
        </is>
      </c>
      <c r="AQ564" t="inlineStr">
        <is>
          <t>Yes</t>
        </is>
      </c>
      <c r="AR564">
        <f>HYPERLINK("http://catalog.hathitrust.org/Record/006019858","HathiTrust Record")</f>
        <v/>
      </c>
      <c r="AS564">
        <f>HYPERLINK("https://creighton-primo.hosted.exlibrisgroup.com/primo-explore/search?tab=default_tab&amp;search_scope=EVERYTHING&amp;vid=01CRU&amp;lang=en_US&amp;offset=0&amp;query=any,contains,991002723089702656","Catalog Record")</f>
        <v/>
      </c>
      <c r="AT564">
        <f>HYPERLINK("http://www.worldcat.org/oclc/35708127","WorldCat Record")</f>
        <v/>
      </c>
      <c r="AU564" t="inlineStr">
        <is>
          <t>40228854:eng</t>
        </is>
      </c>
      <c r="AV564" t="inlineStr">
        <is>
          <t>35708127</t>
        </is>
      </c>
      <c r="AW564" t="inlineStr">
        <is>
          <t>991002723089702656</t>
        </is>
      </c>
      <c r="AX564" t="inlineStr">
        <is>
          <t>991002723089702656</t>
        </is>
      </c>
      <c r="AY564" t="inlineStr">
        <is>
          <t>2270498690002656</t>
        </is>
      </c>
      <c r="AZ564" t="inlineStr">
        <is>
          <t>BOOK</t>
        </is>
      </c>
      <c r="BC564" t="inlineStr">
        <is>
          <t>32285002373735</t>
        </is>
      </c>
      <c r="BD564" t="inlineStr">
        <is>
          <t>893899133</t>
        </is>
      </c>
    </row>
    <row r="565">
      <c r="A565" t="inlineStr">
        <is>
          <t>No</t>
        </is>
      </c>
      <c r="B565" t="inlineStr">
        <is>
          <t>BX1751.2.A1 C6 1996/6</t>
        </is>
      </c>
      <c r="C565" t="inlineStr">
        <is>
          <t>0                      BX 1751200A  1                  C  6           1996                  6</t>
        </is>
      </c>
      <c r="D565" t="inlineStr">
        <is>
          <t>The Holy Russian Church and western Christianity / edited by Giuseppe Alberigo and Oscar Beozzo with Georgy Zyablitsev.</t>
        </is>
      </c>
      <c r="F565" t="inlineStr">
        <is>
          <t>No</t>
        </is>
      </c>
      <c r="G565" t="inlineStr">
        <is>
          <t>1</t>
        </is>
      </c>
      <c r="H565" t="inlineStr">
        <is>
          <t>No</t>
        </is>
      </c>
      <c r="I565" t="inlineStr">
        <is>
          <t>No</t>
        </is>
      </c>
      <c r="J565" t="inlineStr">
        <is>
          <t>0</t>
        </is>
      </c>
      <c r="L565" t="inlineStr">
        <is>
          <t>London : SCM Press ; Maryknoll (N.Y.) : Orbis Books, 1996.</t>
        </is>
      </c>
      <c r="M565" t="inlineStr">
        <is>
          <t>1996</t>
        </is>
      </c>
      <c r="O565" t="inlineStr">
        <is>
          <t>eng</t>
        </is>
      </c>
      <c r="P565" t="inlineStr">
        <is>
          <t>enk</t>
        </is>
      </c>
      <c r="Q565" t="inlineStr">
        <is>
          <t>Concilium ; 1996/6</t>
        </is>
      </c>
      <c r="R565" t="inlineStr">
        <is>
          <t xml:space="preserve">BX </t>
        </is>
      </c>
      <c r="S565" t="n">
        <v>1</v>
      </c>
      <c r="T565" t="n">
        <v>1</v>
      </c>
      <c r="U565" t="inlineStr">
        <is>
          <t>2009-02-11</t>
        </is>
      </c>
      <c r="V565" t="inlineStr">
        <is>
          <t>2009-02-11</t>
        </is>
      </c>
      <c r="W565" t="inlineStr">
        <is>
          <t>1997-01-30</t>
        </is>
      </c>
      <c r="X565" t="inlineStr">
        <is>
          <t>1997-01-30</t>
        </is>
      </c>
      <c r="Y565" t="n">
        <v>296</v>
      </c>
      <c r="Z565" t="n">
        <v>228</v>
      </c>
      <c r="AA565" t="n">
        <v>228</v>
      </c>
      <c r="AB565" t="n">
        <v>2</v>
      </c>
      <c r="AC565" t="n">
        <v>2</v>
      </c>
      <c r="AD565" t="n">
        <v>23</v>
      </c>
      <c r="AE565" t="n">
        <v>23</v>
      </c>
      <c r="AF565" t="n">
        <v>8</v>
      </c>
      <c r="AG565" t="n">
        <v>8</v>
      </c>
      <c r="AH565" t="n">
        <v>6</v>
      </c>
      <c r="AI565" t="n">
        <v>6</v>
      </c>
      <c r="AJ565" t="n">
        <v>15</v>
      </c>
      <c r="AK565" t="n">
        <v>15</v>
      </c>
      <c r="AL565" t="n">
        <v>0</v>
      </c>
      <c r="AM565" t="n">
        <v>0</v>
      </c>
      <c r="AN565" t="n">
        <v>0</v>
      </c>
      <c r="AO565" t="n">
        <v>0</v>
      </c>
      <c r="AP565" t="inlineStr">
        <is>
          <t>No</t>
        </is>
      </c>
      <c r="AQ565" t="inlineStr">
        <is>
          <t>No</t>
        </is>
      </c>
      <c r="AS565">
        <f>HYPERLINK("https://creighton-primo.hosted.exlibrisgroup.com/primo-explore/search?tab=default_tab&amp;search_scope=EVERYTHING&amp;vid=01CRU&amp;lang=en_US&amp;offset=0&amp;query=any,contains,991002761259702656","Catalog Record")</f>
        <v/>
      </c>
      <c r="AT565">
        <f>HYPERLINK("http://www.worldcat.org/oclc/36224079","WorldCat Record")</f>
        <v/>
      </c>
      <c r="AU565" t="inlineStr">
        <is>
          <t>56142079:eng</t>
        </is>
      </c>
      <c r="AV565" t="inlineStr">
        <is>
          <t>36224079</t>
        </is>
      </c>
      <c r="AW565" t="inlineStr">
        <is>
          <t>991002761259702656</t>
        </is>
      </c>
      <c r="AX565" t="inlineStr">
        <is>
          <t>991002761259702656</t>
        </is>
      </c>
      <c r="AY565" t="inlineStr">
        <is>
          <t>2266033780002656</t>
        </is>
      </c>
      <c r="AZ565" t="inlineStr">
        <is>
          <t>BOOK</t>
        </is>
      </c>
      <c r="BB565" t="inlineStr">
        <is>
          <t>9780334030416</t>
        </is>
      </c>
      <c r="BC565" t="inlineStr">
        <is>
          <t>32285002412590</t>
        </is>
      </c>
      <c r="BD565" t="inlineStr">
        <is>
          <t>893233380</t>
        </is>
      </c>
    </row>
    <row r="566">
      <c r="A566" t="inlineStr">
        <is>
          <t>No</t>
        </is>
      </c>
      <c r="B566" t="inlineStr">
        <is>
          <t>BX1751.2.A1 C6 1997/3</t>
        </is>
      </c>
      <c r="C566" t="inlineStr">
        <is>
          <t>0                      BX 1751200A  1                  C  6           1997                  3</t>
        </is>
      </c>
      <c r="D566" t="inlineStr">
        <is>
          <t>The Church in fragments : towards what kind of unity? / edited by Giuseppe Ruggieri and Miklós Tomka.</t>
        </is>
      </c>
      <c r="F566" t="inlineStr">
        <is>
          <t>No</t>
        </is>
      </c>
      <c r="G566" t="inlineStr">
        <is>
          <t>1</t>
        </is>
      </c>
      <c r="H566" t="inlineStr">
        <is>
          <t>No</t>
        </is>
      </c>
      <c r="I566" t="inlineStr">
        <is>
          <t>No</t>
        </is>
      </c>
      <c r="J566" t="inlineStr">
        <is>
          <t>0</t>
        </is>
      </c>
      <c r="L566" t="inlineStr">
        <is>
          <t>London : SCM Pres ; Maryknoll, NY : Orbis Books, 1997.</t>
        </is>
      </c>
      <c r="M566" t="inlineStr">
        <is>
          <t>1997</t>
        </is>
      </c>
      <c r="O566" t="inlineStr">
        <is>
          <t>eng</t>
        </is>
      </c>
      <c r="P566" t="inlineStr">
        <is>
          <t>enk</t>
        </is>
      </c>
      <c r="Q566" t="inlineStr">
        <is>
          <t>Concilium ; 1997/3</t>
        </is>
      </c>
      <c r="R566" t="inlineStr">
        <is>
          <t xml:space="preserve">BX </t>
        </is>
      </c>
      <c r="S566" t="n">
        <v>1</v>
      </c>
      <c r="T566" t="n">
        <v>1</v>
      </c>
      <c r="U566" t="inlineStr">
        <is>
          <t>2006-04-05</t>
        </is>
      </c>
      <c r="V566" t="inlineStr">
        <is>
          <t>2006-04-05</t>
        </is>
      </c>
      <c r="W566" t="inlineStr">
        <is>
          <t>1997-07-28</t>
        </is>
      </c>
      <c r="X566" t="inlineStr">
        <is>
          <t>1997-07-28</t>
        </is>
      </c>
      <c r="Y566" t="n">
        <v>256</v>
      </c>
      <c r="Z566" t="n">
        <v>196</v>
      </c>
      <c r="AA566" t="n">
        <v>202</v>
      </c>
      <c r="AB566" t="n">
        <v>2</v>
      </c>
      <c r="AC566" t="n">
        <v>2</v>
      </c>
      <c r="AD566" t="n">
        <v>21</v>
      </c>
      <c r="AE566" t="n">
        <v>21</v>
      </c>
      <c r="AF566" t="n">
        <v>6</v>
      </c>
      <c r="AG566" t="n">
        <v>6</v>
      </c>
      <c r="AH566" t="n">
        <v>6</v>
      </c>
      <c r="AI566" t="n">
        <v>6</v>
      </c>
      <c r="AJ566" t="n">
        <v>15</v>
      </c>
      <c r="AK566" t="n">
        <v>15</v>
      </c>
      <c r="AL566" t="n">
        <v>0</v>
      </c>
      <c r="AM566" t="n">
        <v>0</v>
      </c>
      <c r="AN566" t="n">
        <v>0</v>
      </c>
      <c r="AO566" t="n">
        <v>0</v>
      </c>
      <c r="AP566" t="inlineStr">
        <is>
          <t>No</t>
        </is>
      </c>
      <c r="AQ566" t="inlineStr">
        <is>
          <t>Yes</t>
        </is>
      </c>
      <c r="AR566">
        <f>HYPERLINK("http://catalog.hathitrust.org/Record/005993770","HathiTrust Record")</f>
        <v/>
      </c>
      <c r="AS566">
        <f>HYPERLINK("https://creighton-primo.hosted.exlibrisgroup.com/primo-explore/search?tab=default_tab&amp;search_scope=EVERYTHING&amp;vid=01CRU&amp;lang=en_US&amp;offset=0&amp;query=any,contains,991002823839702656","Catalog Record")</f>
        <v/>
      </c>
      <c r="AT566">
        <f>HYPERLINK("http://www.worldcat.org/oclc/47643834","WorldCat Record")</f>
        <v/>
      </c>
      <c r="AU566" t="inlineStr">
        <is>
          <t>37221031:eng</t>
        </is>
      </c>
      <c r="AV566" t="inlineStr">
        <is>
          <t>47643834</t>
        </is>
      </c>
      <c r="AW566" t="inlineStr">
        <is>
          <t>991002823839702656</t>
        </is>
      </c>
      <c r="AX566" t="inlineStr">
        <is>
          <t>991002823839702656</t>
        </is>
      </c>
      <c r="AY566" t="inlineStr">
        <is>
          <t>2257472870002656</t>
        </is>
      </c>
      <c r="AZ566" t="inlineStr">
        <is>
          <t>BOOK</t>
        </is>
      </c>
      <c r="BB566" t="inlineStr">
        <is>
          <t>9780334030447</t>
        </is>
      </c>
      <c r="BC566" t="inlineStr">
        <is>
          <t>32285002884152</t>
        </is>
      </c>
      <c r="BD566" t="inlineStr">
        <is>
          <t>893874049</t>
        </is>
      </c>
    </row>
    <row r="567">
      <c r="A567" t="inlineStr">
        <is>
          <t>No</t>
        </is>
      </c>
      <c r="B567" t="inlineStr">
        <is>
          <t>BX1751.2.A1 C6 1998/4</t>
        </is>
      </c>
      <c r="C567" t="inlineStr">
        <is>
          <t>0                      BX 1751200A  1                  C  6           1998                  4</t>
        </is>
      </c>
      <c r="D567" t="inlineStr">
        <is>
          <t>Is the world ending? / edited by Sean Freyne and Nicholas Lash.</t>
        </is>
      </c>
      <c r="F567" t="inlineStr">
        <is>
          <t>No</t>
        </is>
      </c>
      <c r="G567" t="inlineStr">
        <is>
          <t>1</t>
        </is>
      </c>
      <c r="H567" t="inlineStr">
        <is>
          <t>No</t>
        </is>
      </c>
      <c r="I567" t="inlineStr">
        <is>
          <t>No</t>
        </is>
      </c>
      <c r="J567" t="inlineStr">
        <is>
          <t>0</t>
        </is>
      </c>
      <c r="L567" t="inlineStr">
        <is>
          <t>London : SCM Press ; Maryknoll, N.Y. : Orbis Books, 1998.</t>
        </is>
      </c>
      <c r="M567" t="inlineStr">
        <is>
          <t>1998</t>
        </is>
      </c>
      <c r="O567" t="inlineStr">
        <is>
          <t>eng</t>
        </is>
      </c>
      <c r="P567" t="inlineStr">
        <is>
          <t>enk</t>
        </is>
      </c>
      <c r="Q567" t="inlineStr">
        <is>
          <t>Concilium ; 1998/4</t>
        </is>
      </c>
      <c r="R567" t="inlineStr">
        <is>
          <t xml:space="preserve">BX </t>
        </is>
      </c>
      <c r="S567" t="n">
        <v>6</v>
      </c>
      <c r="T567" t="n">
        <v>6</v>
      </c>
      <c r="U567" t="inlineStr">
        <is>
          <t>1999-11-22</t>
        </is>
      </c>
      <c r="V567" t="inlineStr">
        <is>
          <t>1999-11-22</t>
        </is>
      </c>
      <c r="W567" t="inlineStr">
        <is>
          <t>1999-04-08</t>
        </is>
      </c>
      <c r="X567" t="inlineStr">
        <is>
          <t>1999-04-08</t>
        </is>
      </c>
      <c r="Y567" t="n">
        <v>267</v>
      </c>
      <c r="Z567" t="n">
        <v>199</v>
      </c>
      <c r="AA567" t="n">
        <v>205</v>
      </c>
      <c r="AB567" t="n">
        <v>2</v>
      </c>
      <c r="AC567" t="n">
        <v>2</v>
      </c>
      <c r="AD567" t="n">
        <v>21</v>
      </c>
      <c r="AE567" t="n">
        <v>21</v>
      </c>
      <c r="AF567" t="n">
        <v>7</v>
      </c>
      <c r="AG567" t="n">
        <v>7</v>
      </c>
      <c r="AH567" t="n">
        <v>6</v>
      </c>
      <c r="AI567" t="n">
        <v>6</v>
      </c>
      <c r="AJ567" t="n">
        <v>14</v>
      </c>
      <c r="AK567" t="n">
        <v>14</v>
      </c>
      <c r="AL567" t="n">
        <v>0</v>
      </c>
      <c r="AM567" t="n">
        <v>0</v>
      </c>
      <c r="AN567" t="n">
        <v>0</v>
      </c>
      <c r="AO567" t="n">
        <v>0</v>
      </c>
      <c r="AP567" t="inlineStr">
        <is>
          <t>No</t>
        </is>
      </c>
      <c r="AQ567" t="inlineStr">
        <is>
          <t>Yes</t>
        </is>
      </c>
      <c r="AR567">
        <f>HYPERLINK("http://catalog.hathitrust.org/Record/006017283","HathiTrust Record")</f>
        <v/>
      </c>
      <c r="AS567">
        <f>HYPERLINK("https://creighton-primo.hosted.exlibrisgroup.com/primo-explore/search?tab=default_tab&amp;search_scope=EVERYTHING&amp;vid=01CRU&amp;lang=en_US&amp;offset=0&amp;query=any,contains,991002980069702656","Catalog Record")</f>
        <v/>
      </c>
      <c r="AT567">
        <f>HYPERLINK("http://www.worldcat.org/oclc/40063417","WorldCat Record")</f>
        <v/>
      </c>
      <c r="AU567" t="inlineStr">
        <is>
          <t>23766854:eng</t>
        </is>
      </c>
      <c r="AV567" t="inlineStr">
        <is>
          <t>40063417</t>
        </is>
      </c>
      <c r="AW567" t="inlineStr">
        <is>
          <t>991002980069702656</t>
        </is>
      </c>
      <c r="AX567" t="inlineStr">
        <is>
          <t>991002980069702656</t>
        </is>
      </c>
      <c r="AY567" t="inlineStr">
        <is>
          <t>2265723770002656</t>
        </is>
      </c>
      <c r="AZ567" t="inlineStr">
        <is>
          <t>BOOK</t>
        </is>
      </c>
      <c r="BB567" t="inlineStr">
        <is>
          <t>9780334030508</t>
        </is>
      </c>
      <c r="BC567" t="inlineStr">
        <is>
          <t>32285003550273</t>
        </is>
      </c>
      <c r="BD567" t="inlineStr">
        <is>
          <t>893348191</t>
        </is>
      </c>
    </row>
    <row r="568">
      <c r="A568" t="inlineStr">
        <is>
          <t>No</t>
        </is>
      </c>
      <c r="B568" t="inlineStr">
        <is>
          <t>BX1751.2.A1 C6 1999/4</t>
        </is>
      </c>
      <c r="C568" t="inlineStr">
        <is>
          <t>0                      BX 1751200A  1                  C  6           1999                  4</t>
        </is>
      </c>
      <c r="D568" t="inlineStr">
        <is>
          <t>Faith in a society of instant gratification / edited by Maureen Junker-Kenny and Miklós Tomka.</t>
        </is>
      </c>
      <c r="F568" t="inlineStr">
        <is>
          <t>No</t>
        </is>
      </c>
      <c r="G568" t="inlineStr">
        <is>
          <t>1</t>
        </is>
      </c>
      <c r="H568" t="inlineStr">
        <is>
          <t>No</t>
        </is>
      </c>
      <c r="I568" t="inlineStr">
        <is>
          <t>No</t>
        </is>
      </c>
      <c r="J568" t="inlineStr">
        <is>
          <t>0</t>
        </is>
      </c>
      <c r="L568" t="inlineStr">
        <is>
          <t>London : SCM Press ; Maryknoll, N.Y. : Orbis Books, c1999.</t>
        </is>
      </c>
      <c r="M568" t="inlineStr">
        <is>
          <t>1999</t>
        </is>
      </c>
      <c r="O568" t="inlineStr">
        <is>
          <t>eng</t>
        </is>
      </c>
      <c r="P568" t="inlineStr">
        <is>
          <t>enk</t>
        </is>
      </c>
      <c r="Q568" t="inlineStr">
        <is>
          <t>Concilium ; 1999/4</t>
        </is>
      </c>
      <c r="R568" t="inlineStr">
        <is>
          <t xml:space="preserve">BX </t>
        </is>
      </c>
      <c r="S568" t="n">
        <v>5</v>
      </c>
      <c r="T568" t="n">
        <v>5</v>
      </c>
      <c r="U568" t="inlineStr">
        <is>
          <t>2010-03-25</t>
        </is>
      </c>
      <c r="V568" t="inlineStr">
        <is>
          <t>2010-03-25</t>
        </is>
      </c>
      <c r="W568" t="inlineStr">
        <is>
          <t>2000-01-04</t>
        </is>
      </c>
      <c r="X568" t="inlineStr">
        <is>
          <t>2000-01-04</t>
        </is>
      </c>
      <c r="Y568" t="n">
        <v>248</v>
      </c>
      <c r="Z568" t="n">
        <v>180</v>
      </c>
      <c r="AA568" t="n">
        <v>180</v>
      </c>
      <c r="AB568" t="n">
        <v>3</v>
      </c>
      <c r="AC568" t="n">
        <v>3</v>
      </c>
      <c r="AD568" t="n">
        <v>20</v>
      </c>
      <c r="AE568" t="n">
        <v>20</v>
      </c>
      <c r="AF568" t="n">
        <v>7</v>
      </c>
      <c r="AG568" t="n">
        <v>7</v>
      </c>
      <c r="AH568" t="n">
        <v>6</v>
      </c>
      <c r="AI568" t="n">
        <v>6</v>
      </c>
      <c r="AJ568" t="n">
        <v>13</v>
      </c>
      <c r="AK568" t="n">
        <v>13</v>
      </c>
      <c r="AL568" t="n">
        <v>0</v>
      </c>
      <c r="AM568" t="n">
        <v>0</v>
      </c>
      <c r="AN568" t="n">
        <v>0</v>
      </c>
      <c r="AO568" t="n">
        <v>0</v>
      </c>
      <c r="AP568" t="inlineStr">
        <is>
          <t>No</t>
        </is>
      </c>
      <c r="AQ568" t="inlineStr">
        <is>
          <t>No</t>
        </is>
      </c>
      <c r="AS568">
        <f>HYPERLINK("https://creighton-primo.hosted.exlibrisgroup.com/primo-explore/search?tab=default_tab&amp;search_scope=EVERYTHING&amp;vid=01CRU&amp;lang=en_US&amp;offset=0&amp;query=any,contains,991003050509702656","Catalog Record")</f>
        <v/>
      </c>
      <c r="AT568">
        <f>HYPERLINK("http://www.worldcat.org/oclc/42915536","WorldCat Record")</f>
        <v/>
      </c>
      <c r="AU568" t="inlineStr">
        <is>
          <t>27826034:eng</t>
        </is>
      </c>
      <c r="AV568" t="inlineStr">
        <is>
          <t>42915536</t>
        </is>
      </c>
      <c r="AW568" t="inlineStr">
        <is>
          <t>991003050509702656</t>
        </is>
      </c>
      <c r="AX568" t="inlineStr">
        <is>
          <t>991003050509702656</t>
        </is>
      </c>
      <c r="AY568" t="inlineStr">
        <is>
          <t>2269863260002656</t>
        </is>
      </c>
      <c r="AZ568" t="inlineStr">
        <is>
          <t>BOOK</t>
        </is>
      </c>
      <c r="BB568" t="inlineStr">
        <is>
          <t>9780334030553</t>
        </is>
      </c>
      <c r="BC568" t="inlineStr">
        <is>
          <t>32285003636726</t>
        </is>
      </c>
      <c r="BD568" t="inlineStr">
        <is>
          <t>893342194</t>
        </is>
      </c>
    </row>
    <row r="569">
      <c r="A569" t="inlineStr">
        <is>
          <t>No</t>
        </is>
      </c>
      <c r="B569" t="inlineStr">
        <is>
          <t>BX1751.2.A1 C6 1999/5</t>
        </is>
      </c>
      <c r="C569" t="inlineStr">
        <is>
          <t>0                      BX 1751200A  1                  C  6           1999                  5</t>
        </is>
      </c>
      <c r="D569" t="inlineStr">
        <is>
          <t>2000 : reality and hope / edited by Virgil Elizondo and Jon Sobrino.</t>
        </is>
      </c>
      <c r="F569" t="inlineStr">
        <is>
          <t>No</t>
        </is>
      </c>
      <c r="G569" t="inlineStr">
        <is>
          <t>1</t>
        </is>
      </c>
      <c r="H569" t="inlineStr">
        <is>
          <t>No</t>
        </is>
      </c>
      <c r="I569" t="inlineStr">
        <is>
          <t>No</t>
        </is>
      </c>
      <c r="J569" t="inlineStr">
        <is>
          <t>0</t>
        </is>
      </c>
      <c r="L569" t="inlineStr">
        <is>
          <t>London : SCM Press ; Maryknoll, NY : Orbis Books, c1999.</t>
        </is>
      </c>
      <c r="M569" t="inlineStr">
        <is>
          <t>1999</t>
        </is>
      </c>
      <c r="O569" t="inlineStr">
        <is>
          <t>eng</t>
        </is>
      </c>
      <c r="P569" t="inlineStr">
        <is>
          <t>enk</t>
        </is>
      </c>
      <c r="Q569" t="inlineStr">
        <is>
          <t>Concilium ; 1999/5</t>
        </is>
      </c>
      <c r="R569" t="inlineStr">
        <is>
          <t xml:space="preserve">BX </t>
        </is>
      </c>
      <c r="S569" t="n">
        <v>8</v>
      </c>
      <c r="T569" t="n">
        <v>8</v>
      </c>
      <c r="U569" t="inlineStr">
        <is>
          <t>2008-02-21</t>
        </is>
      </c>
      <c r="V569" t="inlineStr">
        <is>
          <t>2008-02-21</t>
        </is>
      </c>
      <c r="W569" t="inlineStr">
        <is>
          <t>2000-02-23</t>
        </is>
      </c>
      <c r="X569" t="inlineStr">
        <is>
          <t>2000-02-23</t>
        </is>
      </c>
      <c r="Y569" t="n">
        <v>241</v>
      </c>
      <c r="Z569" t="n">
        <v>176</v>
      </c>
      <c r="AA569" t="n">
        <v>182</v>
      </c>
      <c r="AB569" t="n">
        <v>3</v>
      </c>
      <c r="AC569" t="n">
        <v>3</v>
      </c>
      <c r="AD569" t="n">
        <v>19</v>
      </c>
      <c r="AE569" t="n">
        <v>19</v>
      </c>
      <c r="AF569" t="n">
        <v>7</v>
      </c>
      <c r="AG569" t="n">
        <v>7</v>
      </c>
      <c r="AH569" t="n">
        <v>5</v>
      </c>
      <c r="AI569" t="n">
        <v>5</v>
      </c>
      <c r="AJ569" t="n">
        <v>13</v>
      </c>
      <c r="AK569" t="n">
        <v>13</v>
      </c>
      <c r="AL569" t="n">
        <v>0</v>
      </c>
      <c r="AM569" t="n">
        <v>0</v>
      </c>
      <c r="AN569" t="n">
        <v>0</v>
      </c>
      <c r="AO569" t="n">
        <v>0</v>
      </c>
      <c r="AP569" t="inlineStr">
        <is>
          <t>No</t>
        </is>
      </c>
      <c r="AQ569" t="inlineStr">
        <is>
          <t>Yes</t>
        </is>
      </c>
      <c r="AR569">
        <f>HYPERLINK("http://catalog.hathitrust.org/Record/006017751","HathiTrust Record")</f>
        <v/>
      </c>
      <c r="AS569">
        <f>HYPERLINK("https://creighton-primo.hosted.exlibrisgroup.com/primo-explore/search?tab=default_tab&amp;search_scope=EVERYTHING&amp;vid=01CRU&amp;lang=en_US&amp;offset=0&amp;query=any,contains,991003053189702656","Catalog Record")</f>
        <v/>
      </c>
      <c r="AT569">
        <f>HYPERLINK("http://www.worldcat.org/oclc/43423604","WorldCat Record")</f>
        <v/>
      </c>
      <c r="AU569" t="inlineStr">
        <is>
          <t>45205979:eng</t>
        </is>
      </c>
      <c r="AV569" t="inlineStr">
        <is>
          <t>43423604</t>
        </is>
      </c>
      <c r="AW569" t="inlineStr">
        <is>
          <t>991003053189702656</t>
        </is>
      </c>
      <c r="AX569" t="inlineStr">
        <is>
          <t>991003053189702656</t>
        </is>
      </c>
      <c r="AY569" t="inlineStr">
        <is>
          <t>2257538790002656</t>
        </is>
      </c>
      <c r="AZ569" t="inlineStr">
        <is>
          <t>BOOK</t>
        </is>
      </c>
      <c r="BB569" t="inlineStr">
        <is>
          <t>9780334030560</t>
        </is>
      </c>
      <c r="BC569" t="inlineStr">
        <is>
          <t>32285003663290</t>
        </is>
      </c>
      <c r="BD569" t="inlineStr">
        <is>
          <t>893904229</t>
        </is>
      </c>
    </row>
    <row r="570">
      <c r="A570" t="inlineStr">
        <is>
          <t>No</t>
        </is>
      </c>
      <c r="B570" t="inlineStr">
        <is>
          <t>BX1751.2.A1 C6 2000/1</t>
        </is>
      </c>
      <c r="C570" t="inlineStr">
        <is>
          <t>0                      BX 1751200A  1                  C  6           2000                  1</t>
        </is>
      </c>
      <c r="D570" t="inlineStr">
        <is>
          <t>Evolution and faith / edited by Bas van Iersel, Christoph Theobald and Hermann Haring.</t>
        </is>
      </c>
      <c r="F570" t="inlineStr">
        <is>
          <t>No</t>
        </is>
      </c>
      <c r="G570" t="inlineStr">
        <is>
          <t>1</t>
        </is>
      </c>
      <c r="H570" t="inlineStr">
        <is>
          <t>No</t>
        </is>
      </c>
      <c r="I570" t="inlineStr">
        <is>
          <t>No</t>
        </is>
      </c>
      <c r="J570" t="inlineStr">
        <is>
          <t>0</t>
        </is>
      </c>
      <c r="L570" t="inlineStr">
        <is>
          <t>London : SCM Press, c2000.</t>
        </is>
      </c>
      <c r="M570" t="inlineStr">
        <is>
          <t>2000</t>
        </is>
      </c>
      <c r="O570" t="inlineStr">
        <is>
          <t>eng</t>
        </is>
      </c>
      <c r="P570" t="inlineStr">
        <is>
          <t>enk</t>
        </is>
      </c>
      <c r="Q570" t="inlineStr">
        <is>
          <t>Concilium ; 2000/1</t>
        </is>
      </c>
      <c r="R570" t="inlineStr">
        <is>
          <t xml:space="preserve">BX </t>
        </is>
      </c>
      <c r="S570" t="n">
        <v>2</v>
      </c>
      <c r="T570" t="n">
        <v>2</v>
      </c>
      <c r="U570" t="inlineStr">
        <is>
          <t>2003-01-26</t>
        </is>
      </c>
      <c r="V570" t="inlineStr">
        <is>
          <t>2003-01-26</t>
        </is>
      </c>
      <c r="W570" t="inlineStr">
        <is>
          <t>2000-04-11</t>
        </is>
      </c>
      <c r="X570" t="inlineStr">
        <is>
          <t>2000-04-11</t>
        </is>
      </c>
      <c r="Y570" t="n">
        <v>223</v>
      </c>
      <c r="Z570" t="n">
        <v>161</v>
      </c>
      <c r="AA570" t="n">
        <v>162</v>
      </c>
      <c r="AB570" t="n">
        <v>1</v>
      </c>
      <c r="AC570" t="n">
        <v>1</v>
      </c>
      <c r="AD570" t="n">
        <v>17</v>
      </c>
      <c r="AE570" t="n">
        <v>17</v>
      </c>
      <c r="AF570" t="n">
        <v>5</v>
      </c>
      <c r="AG570" t="n">
        <v>5</v>
      </c>
      <c r="AH570" t="n">
        <v>5</v>
      </c>
      <c r="AI570" t="n">
        <v>5</v>
      </c>
      <c r="AJ570" t="n">
        <v>12</v>
      </c>
      <c r="AK570" t="n">
        <v>12</v>
      </c>
      <c r="AL570" t="n">
        <v>0</v>
      </c>
      <c r="AM570" t="n">
        <v>0</v>
      </c>
      <c r="AN570" t="n">
        <v>0</v>
      </c>
      <c r="AO570" t="n">
        <v>0</v>
      </c>
      <c r="AP570" t="inlineStr">
        <is>
          <t>No</t>
        </is>
      </c>
      <c r="AQ570" t="inlineStr">
        <is>
          <t>Yes</t>
        </is>
      </c>
      <c r="AR570">
        <f>HYPERLINK("http://catalog.hathitrust.org/Record/006021860","HathiTrust Record")</f>
        <v/>
      </c>
      <c r="AS570">
        <f>HYPERLINK("https://creighton-primo.hosted.exlibrisgroup.com/primo-explore/search?tab=default_tab&amp;search_scope=EVERYTHING&amp;vid=01CRU&amp;lang=en_US&amp;offset=0&amp;query=any,contains,991003054609702656","Catalog Record")</f>
        <v/>
      </c>
      <c r="AT570">
        <f>HYPERLINK("http://www.worldcat.org/oclc/43750971","WorldCat Record")</f>
        <v/>
      </c>
      <c r="AU570" t="inlineStr">
        <is>
          <t>16170086:eng</t>
        </is>
      </c>
      <c r="AV570" t="inlineStr">
        <is>
          <t>43750971</t>
        </is>
      </c>
      <c r="AW570" t="inlineStr">
        <is>
          <t>991003054609702656</t>
        </is>
      </c>
      <c r="AX570" t="inlineStr">
        <is>
          <t>991003054609702656</t>
        </is>
      </c>
      <c r="AY570" t="inlineStr">
        <is>
          <t>2265126320002656</t>
        </is>
      </c>
      <c r="AZ570" t="inlineStr">
        <is>
          <t>BOOK</t>
        </is>
      </c>
      <c r="BB570" t="inlineStr">
        <is>
          <t>9780334030577</t>
        </is>
      </c>
      <c r="BC570" t="inlineStr">
        <is>
          <t>32285003676151</t>
        </is>
      </c>
      <c r="BD570" t="inlineStr">
        <is>
          <t>893251984</t>
        </is>
      </c>
    </row>
    <row r="571">
      <c r="A571" t="inlineStr">
        <is>
          <t>No</t>
        </is>
      </c>
      <c r="B571" t="inlineStr">
        <is>
          <t>BX1751.2.A1 C6 2000/3</t>
        </is>
      </c>
      <c r="C571" t="inlineStr">
        <is>
          <t>0                      BX 1751200A  1                  C  6           2000                  3</t>
        </is>
      </c>
      <c r="D571" t="inlineStr">
        <is>
          <t>Religion during and after communism / edited by Miklʹos Tomka and Paul M. Zulehner.</t>
        </is>
      </c>
      <c r="F571" t="inlineStr">
        <is>
          <t>No</t>
        </is>
      </c>
      <c r="G571" t="inlineStr">
        <is>
          <t>1</t>
        </is>
      </c>
      <c r="H571" t="inlineStr">
        <is>
          <t>No</t>
        </is>
      </c>
      <c r="I571" t="inlineStr">
        <is>
          <t>No</t>
        </is>
      </c>
      <c r="J571" t="inlineStr">
        <is>
          <t>0</t>
        </is>
      </c>
      <c r="L571" t="inlineStr">
        <is>
          <t>London : SCM Press, c2000.</t>
        </is>
      </c>
      <c r="M571" t="inlineStr">
        <is>
          <t>2000</t>
        </is>
      </c>
      <c r="O571" t="inlineStr">
        <is>
          <t>eng</t>
        </is>
      </c>
      <c r="P571" t="inlineStr">
        <is>
          <t>enk</t>
        </is>
      </c>
      <c r="Q571" t="inlineStr">
        <is>
          <t>Concilium ; 2000/3</t>
        </is>
      </c>
      <c r="R571" t="inlineStr">
        <is>
          <t xml:space="preserve">BX </t>
        </is>
      </c>
      <c r="S571" t="n">
        <v>2</v>
      </c>
      <c r="T571" t="n">
        <v>2</v>
      </c>
      <c r="U571" t="inlineStr">
        <is>
          <t>2000-09-13</t>
        </is>
      </c>
      <c r="V571" t="inlineStr">
        <is>
          <t>2000-09-13</t>
        </is>
      </c>
      <c r="W571" t="inlineStr">
        <is>
          <t>2000-08-24</t>
        </is>
      </c>
      <c r="X571" t="inlineStr">
        <is>
          <t>2000-08-24</t>
        </is>
      </c>
      <c r="Y571" t="n">
        <v>222</v>
      </c>
      <c r="Z571" t="n">
        <v>155</v>
      </c>
      <c r="AA571" t="n">
        <v>155</v>
      </c>
      <c r="AB571" t="n">
        <v>2</v>
      </c>
      <c r="AC571" t="n">
        <v>2</v>
      </c>
      <c r="AD571" t="n">
        <v>17</v>
      </c>
      <c r="AE571" t="n">
        <v>17</v>
      </c>
      <c r="AF571" t="n">
        <v>5</v>
      </c>
      <c r="AG571" t="n">
        <v>5</v>
      </c>
      <c r="AH571" t="n">
        <v>5</v>
      </c>
      <c r="AI571" t="n">
        <v>5</v>
      </c>
      <c r="AJ571" t="n">
        <v>12</v>
      </c>
      <c r="AK571" t="n">
        <v>12</v>
      </c>
      <c r="AL571" t="n">
        <v>0</v>
      </c>
      <c r="AM571" t="n">
        <v>0</v>
      </c>
      <c r="AN571" t="n">
        <v>0</v>
      </c>
      <c r="AO571" t="n">
        <v>0</v>
      </c>
      <c r="AP571" t="inlineStr">
        <is>
          <t>No</t>
        </is>
      </c>
      <c r="AQ571" t="inlineStr">
        <is>
          <t>No</t>
        </is>
      </c>
      <c r="AS571">
        <f>HYPERLINK("https://creighton-primo.hosted.exlibrisgroup.com/primo-explore/search?tab=default_tab&amp;search_scope=EVERYTHING&amp;vid=01CRU&amp;lang=en_US&amp;offset=0&amp;query=any,contains,991003272489702656","Catalog Record")</f>
        <v/>
      </c>
      <c r="AT571">
        <f>HYPERLINK("http://www.worldcat.org/oclc/44638879","WorldCat Record")</f>
        <v/>
      </c>
      <c r="AU571" t="inlineStr">
        <is>
          <t>353612853:eng</t>
        </is>
      </c>
      <c r="AV571" t="inlineStr">
        <is>
          <t>44638879</t>
        </is>
      </c>
      <c r="AW571" t="inlineStr">
        <is>
          <t>991003272489702656</t>
        </is>
      </c>
      <c r="AX571" t="inlineStr">
        <is>
          <t>991003272489702656</t>
        </is>
      </c>
      <c r="AY571" t="inlineStr">
        <is>
          <t>2259081810002656</t>
        </is>
      </c>
      <c r="AZ571" t="inlineStr">
        <is>
          <t>BOOK</t>
        </is>
      </c>
      <c r="BB571" t="inlineStr">
        <is>
          <t>9780334030591</t>
        </is>
      </c>
      <c r="BC571" t="inlineStr">
        <is>
          <t>32285003759379</t>
        </is>
      </c>
      <c r="BD571" t="inlineStr">
        <is>
          <t>893410117</t>
        </is>
      </c>
    </row>
    <row r="572">
      <c r="A572" t="inlineStr">
        <is>
          <t>No</t>
        </is>
      </c>
      <c r="B572" t="inlineStr">
        <is>
          <t>BX1751.2.A1 C6 2001/2</t>
        </is>
      </c>
      <c r="C572" t="inlineStr">
        <is>
          <t>0                      BX 1751200A  1                  C  6           2001                  2</t>
        </is>
      </c>
      <c r="D572" t="inlineStr">
        <is>
          <t>The return of the just war / edited by María Pilar Aquino and Dietmar Mieth.</t>
        </is>
      </c>
      <c r="F572" t="inlineStr">
        <is>
          <t>No</t>
        </is>
      </c>
      <c r="G572" t="inlineStr">
        <is>
          <t>1</t>
        </is>
      </c>
      <c r="H572" t="inlineStr">
        <is>
          <t>No</t>
        </is>
      </c>
      <c r="I572" t="inlineStr">
        <is>
          <t>No</t>
        </is>
      </c>
      <c r="J572" t="inlineStr">
        <is>
          <t>0</t>
        </is>
      </c>
      <c r="L572" t="inlineStr">
        <is>
          <t>London : SCM Press, c2001.</t>
        </is>
      </c>
      <c r="M572" t="inlineStr">
        <is>
          <t>2001</t>
        </is>
      </c>
      <c r="O572" t="inlineStr">
        <is>
          <t>eng</t>
        </is>
      </c>
      <c r="P572" t="inlineStr">
        <is>
          <t>enk</t>
        </is>
      </c>
      <c r="Q572" t="inlineStr">
        <is>
          <t>Concilium ; 2001/2</t>
        </is>
      </c>
      <c r="R572" t="inlineStr">
        <is>
          <t xml:space="preserve">BX </t>
        </is>
      </c>
      <c r="S572" t="n">
        <v>7</v>
      </c>
      <c r="T572" t="n">
        <v>7</v>
      </c>
      <c r="U572" t="inlineStr">
        <is>
          <t>2005-07-26</t>
        </is>
      </c>
      <c r="V572" t="inlineStr">
        <is>
          <t>2005-07-26</t>
        </is>
      </c>
      <c r="W572" t="inlineStr">
        <is>
          <t>2001-06-05</t>
        </is>
      </c>
      <c r="X572" t="inlineStr">
        <is>
          <t>2001-06-05</t>
        </is>
      </c>
      <c r="Y572" t="n">
        <v>216</v>
      </c>
      <c r="Z572" t="n">
        <v>151</v>
      </c>
      <c r="AA572" t="n">
        <v>152</v>
      </c>
      <c r="AB572" t="n">
        <v>2</v>
      </c>
      <c r="AC572" t="n">
        <v>2</v>
      </c>
      <c r="AD572" t="n">
        <v>14</v>
      </c>
      <c r="AE572" t="n">
        <v>14</v>
      </c>
      <c r="AF572" t="n">
        <v>5</v>
      </c>
      <c r="AG572" t="n">
        <v>5</v>
      </c>
      <c r="AH572" t="n">
        <v>3</v>
      </c>
      <c r="AI572" t="n">
        <v>3</v>
      </c>
      <c r="AJ572" t="n">
        <v>11</v>
      </c>
      <c r="AK572" t="n">
        <v>11</v>
      </c>
      <c r="AL572" t="n">
        <v>0</v>
      </c>
      <c r="AM572" t="n">
        <v>0</v>
      </c>
      <c r="AN572" t="n">
        <v>0</v>
      </c>
      <c r="AO572" t="n">
        <v>0</v>
      </c>
      <c r="AP572" t="inlineStr">
        <is>
          <t>No</t>
        </is>
      </c>
      <c r="AQ572" t="inlineStr">
        <is>
          <t>No</t>
        </is>
      </c>
      <c r="AS572">
        <f>HYPERLINK("https://creighton-primo.hosted.exlibrisgroup.com/primo-explore/search?tab=default_tab&amp;search_scope=EVERYTHING&amp;vid=01CRU&amp;lang=en_US&amp;offset=0&amp;query=any,contains,991003552959702656","Catalog Record")</f>
        <v/>
      </c>
      <c r="AT572">
        <f>HYPERLINK("http://www.worldcat.org/oclc/47043472","WorldCat Record")</f>
        <v/>
      </c>
      <c r="AU572" t="inlineStr">
        <is>
          <t>375708090:eng</t>
        </is>
      </c>
      <c r="AV572" t="inlineStr">
        <is>
          <t>47043472</t>
        </is>
      </c>
      <c r="AW572" t="inlineStr">
        <is>
          <t>991003552959702656</t>
        </is>
      </c>
      <c r="AX572" t="inlineStr">
        <is>
          <t>991003552959702656</t>
        </is>
      </c>
      <c r="AY572" t="inlineStr">
        <is>
          <t>2270206460002656</t>
        </is>
      </c>
      <c r="AZ572" t="inlineStr">
        <is>
          <t>BOOK</t>
        </is>
      </c>
      <c r="BB572" t="inlineStr">
        <is>
          <t>9780334030638</t>
        </is>
      </c>
      <c r="BC572" t="inlineStr">
        <is>
          <t>32285004325345</t>
        </is>
      </c>
      <c r="BD572" t="inlineStr">
        <is>
          <t>893904414</t>
        </is>
      </c>
    </row>
    <row r="573">
      <c r="A573" t="inlineStr">
        <is>
          <t>No</t>
        </is>
      </c>
      <c r="B573" t="inlineStr">
        <is>
          <t>BX1751.2.A1 C6 2001/3</t>
        </is>
      </c>
      <c r="C573" t="inlineStr">
        <is>
          <t>0                      BX 1751200A  1                  C  6           2001                  3</t>
        </is>
      </c>
      <c r="D573" t="inlineStr">
        <is>
          <t>The ecumenical constitution of churches / edited by José Oscar Beozzo and Giuseppe Ruggieri.</t>
        </is>
      </c>
      <c r="F573" t="inlineStr">
        <is>
          <t>No</t>
        </is>
      </c>
      <c r="G573" t="inlineStr">
        <is>
          <t>1</t>
        </is>
      </c>
      <c r="H573" t="inlineStr">
        <is>
          <t>No</t>
        </is>
      </c>
      <c r="I573" t="inlineStr">
        <is>
          <t>No</t>
        </is>
      </c>
      <c r="J573" t="inlineStr">
        <is>
          <t>0</t>
        </is>
      </c>
      <c r="L573" t="inlineStr">
        <is>
          <t>London : SCM Press, c2001.</t>
        </is>
      </c>
      <c r="M573" t="inlineStr">
        <is>
          <t>2001</t>
        </is>
      </c>
      <c r="O573" t="inlineStr">
        <is>
          <t>eng</t>
        </is>
      </c>
      <c r="P573" t="inlineStr">
        <is>
          <t>enk</t>
        </is>
      </c>
      <c r="Q573" t="inlineStr">
        <is>
          <t>Concilium ; 2001/3</t>
        </is>
      </c>
      <c r="R573" t="inlineStr">
        <is>
          <t xml:space="preserve">BX </t>
        </is>
      </c>
      <c r="S573" t="n">
        <v>2</v>
      </c>
      <c r="T573" t="n">
        <v>2</v>
      </c>
      <c r="U573" t="inlineStr">
        <is>
          <t>2001-07-19</t>
        </is>
      </c>
      <c r="V573" t="inlineStr">
        <is>
          <t>2001-07-19</t>
        </is>
      </c>
      <c r="W573" t="inlineStr">
        <is>
          <t>2001-07-19</t>
        </is>
      </c>
      <c r="X573" t="inlineStr">
        <is>
          <t>2001-07-19</t>
        </is>
      </c>
      <c r="Y573" t="n">
        <v>221</v>
      </c>
      <c r="Z573" t="n">
        <v>163</v>
      </c>
      <c r="AA573" t="n">
        <v>164</v>
      </c>
      <c r="AB573" t="n">
        <v>2</v>
      </c>
      <c r="AC573" t="n">
        <v>2</v>
      </c>
      <c r="AD573" t="n">
        <v>19</v>
      </c>
      <c r="AE573" t="n">
        <v>19</v>
      </c>
      <c r="AF573" t="n">
        <v>6</v>
      </c>
      <c r="AG573" t="n">
        <v>6</v>
      </c>
      <c r="AH573" t="n">
        <v>5</v>
      </c>
      <c r="AI573" t="n">
        <v>5</v>
      </c>
      <c r="AJ573" t="n">
        <v>14</v>
      </c>
      <c r="AK573" t="n">
        <v>14</v>
      </c>
      <c r="AL573" t="n">
        <v>0</v>
      </c>
      <c r="AM573" t="n">
        <v>0</v>
      </c>
      <c r="AN573" t="n">
        <v>0</v>
      </c>
      <c r="AO573" t="n">
        <v>0</v>
      </c>
      <c r="AP573" t="inlineStr">
        <is>
          <t>No</t>
        </is>
      </c>
      <c r="AQ573" t="inlineStr">
        <is>
          <t>Yes</t>
        </is>
      </c>
      <c r="AR573">
        <f>HYPERLINK("http://catalog.hathitrust.org/Record/006018721","HathiTrust Record")</f>
        <v/>
      </c>
      <c r="AS573">
        <f>HYPERLINK("https://creighton-primo.hosted.exlibrisgroup.com/primo-explore/search?tab=default_tab&amp;search_scope=EVERYTHING&amp;vid=01CRU&amp;lang=en_US&amp;offset=0&amp;query=any,contains,991003578379702656","Catalog Record")</f>
        <v/>
      </c>
      <c r="AT573">
        <f>HYPERLINK("http://www.worldcat.org/oclc/47230326","WorldCat Record")</f>
        <v/>
      </c>
      <c r="AU573" t="inlineStr">
        <is>
          <t>477686940:eng</t>
        </is>
      </c>
      <c r="AV573" t="inlineStr">
        <is>
          <t>47230326</t>
        </is>
      </c>
      <c r="AW573" t="inlineStr">
        <is>
          <t>991003578379702656</t>
        </is>
      </c>
      <c r="AX573" t="inlineStr">
        <is>
          <t>991003578379702656</t>
        </is>
      </c>
      <c r="AY573" t="inlineStr">
        <is>
          <t>2260029780002656</t>
        </is>
      </c>
      <c r="AZ573" t="inlineStr">
        <is>
          <t>BOOK</t>
        </is>
      </c>
      <c r="BB573" t="inlineStr">
        <is>
          <t>9780334030645</t>
        </is>
      </c>
      <c r="BC573" t="inlineStr">
        <is>
          <t>32285004333901</t>
        </is>
      </c>
      <c r="BD573" t="inlineStr">
        <is>
          <t>893410427</t>
        </is>
      </c>
    </row>
    <row r="574">
      <c r="A574" t="inlineStr">
        <is>
          <t>No</t>
        </is>
      </c>
      <c r="B574" t="inlineStr">
        <is>
          <t>BX1751.2.A1 C6 2001/5</t>
        </is>
      </c>
      <c r="C574" t="inlineStr">
        <is>
          <t>0                      BX 1751200A  1                  C  6           2001                  5</t>
        </is>
      </c>
      <c r="D574" t="inlineStr">
        <is>
          <t>Globalization and its victims / edited by Jon Sobrino and Felix Wilfred.</t>
        </is>
      </c>
      <c r="F574" t="inlineStr">
        <is>
          <t>No</t>
        </is>
      </c>
      <c r="G574" t="inlineStr">
        <is>
          <t>1</t>
        </is>
      </c>
      <c r="H574" t="inlineStr">
        <is>
          <t>No</t>
        </is>
      </c>
      <c r="I574" t="inlineStr">
        <is>
          <t>No</t>
        </is>
      </c>
      <c r="J574" t="inlineStr">
        <is>
          <t>0</t>
        </is>
      </c>
      <c r="L574" t="inlineStr">
        <is>
          <t>London : SCM Press, c2001.</t>
        </is>
      </c>
      <c r="M574" t="inlineStr">
        <is>
          <t>2001</t>
        </is>
      </c>
      <c r="O574" t="inlineStr">
        <is>
          <t>eng</t>
        </is>
      </c>
      <c r="P574" t="inlineStr">
        <is>
          <t>enk</t>
        </is>
      </c>
      <c r="Q574" t="inlineStr">
        <is>
          <t>Concilium ; 2001/5</t>
        </is>
      </c>
      <c r="R574" t="inlineStr">
        <is>
          <t xml:space="preserve">BX </t>
        </is>
      </c>
      <c r="S574" t="n">
        <v>6</v>
      </c>
      <c r="T574" t="n">
        <v>6</v>
      </c>
      <c r="U574" t="inlineStr">
        <is>
          <t>2006-09-07</t>
        </is>
      </c>
      <c r="V574" t="inlineStr">
        <is>
          <t>2006-09-07</t>
        </is>
      </c>
      <c r="W574" t="inlineStr">
        <is>
          <t>2002-01-16</t>
        </is>
      </c>
      <c r="X574" t="inlineStr">
        <is>
          <t>2002-01-16</t>
        </is>
      </c>
      <c r="Y574" t="n">
        <v>218</v>
      </c>
      <c r="Z574" t="n">
        <v>159</v>
      </c>
      <c r="AA574" t="n">
        <v>160</v>
      </c>
      <c r="AB574" t="n">
        <v>2</v>
      </c>
      <c r="AC574" t="n">
        <v>2</v>
      </c>
      <c r="AD574" t="n">
        <v>17</v>
      </c>
      <c r="AE574" t="n">
        <v>17</v>
      </c>
      <c r="AF574" t="n">
        <v>5</v>
      </c>
      <c r="AG574" t="n">
        <v>5</v>
      </c>
      <c r="AH574" t="n">
        <v>4</v>
      </c>
      <c r="AI574" t="n">
        <v>4</v>
      </c>
      <c r="AJ574" t="n">
        <v>13</v>
      </c>
      <c r="AK574" t="n">
        <v>13</v>
      </c>
      <c r="AL574" t="n">
        <v>0</v>
      </c>
      <c r="AM574" t="n">
        <v>0</v>
      </c>
      <c r="AN574" t="n">
        <v>0</v>
      </c>
      <c r="AO574" t="n">
        <v>0</v>
      </c>
      <c r="AP574" t="inlineStr">
        <is>
          <t>No</t>
        </is>
      </c>
      <c r="AQ574" t="inlineStr">
        <is>
          <t>Yes</t>
        </is>
      </c>
      <c r="AR574">
        <f>HYPERLINK("http://catalog.hathitrust.org/Record/006020566","HathiTrust Record")</f>
        <v/>
      </c>
      <c r="AS574">
        <f>HYPERLINK("https://creighton-primo.hosted.exlibrisgroup.com/primo-explore/search?tab=default_tab&amp;search_scope=EVERYTHING&amp;vid=01CRU&amp;lang=en_US&amp;offset=0&amp;query=any,contains,991003713209702656","Catalog Record")</f>
        <v/>
      </c>
      <c r="AT574">
        <f>HYPERLINK("http://www.worldcat.org/oclc/48577707","WorldCat Record")</f>
        <v/>
      </c>
      <c r="AU574" t="inlineStr">
        <is>
          <t>477679621:eng</t>
        </is>
      </c>
      <c r="AV574" t="inlineStr">
        <is>
          <t>48577707</t>
        </is>
      </c>
      <c r="AW574" t="inlineStr">
        <is>
          <t>991003713209702656</t>
        </is>
      </c>
      <c r="AX574" t="inlineStr">
        <is>
          <t>991003713209702656</t>
        </is>
      </c>
      <c r="AY574" t="inlineStr">
        <is>
          <t>2256992820002656</t>
        </is>
      </c>
      <c r="AZ574" t="inlineStr">
        <is>
          <t>BOOK</t>
        </is>
      </c>
      <c r="BB574" t="inlineStr">
        <is>
          <t>9780334030669</t>
        </is>
      </c>
      <c r="BC574" t="inlineStr">
        <is>
          <t>32285004449392</t>
        </is>
      </c>
      <c r="BD574" t="inlineStr">
        <is>
          <t>893617661</t>
        </is>
      </c>
    </row>
    <row r="575">
      <c r="A575" t="inlineStr">
        <is>
          <t>No</t>
        </is>
      </c>
      <c r="B575" t="inlineStr">
        <is>
          <t>BX1751.2.A1 C6 2002/3</t>
        </is>
      </c>
      <c r="C575" t="inlineStr">
        <is>
          <t>0                      BX 1751200A  1                  C  6           2002                  3</t>
        </is>
      </c>
      <c r="D575" t="inlineStr">
        <is>
          <t>Brazil : people and church(es) / edited by José Oscar Beozzo and Luiz Carlos Susin ; translated from the Portuguese by Paul Burns.</t>
        </is>
      </c>
      <c r="F575" t="inlineStr">
        <is>
          <t>No</t>
        </is>
      </c>
      <c r="G575" t="inlineStr">
        <is>
          <t>1</t>
        </is>
      </c>
      <c r="H575" t="inlineStr">
        <is>
          <t>No</t>
        </is>
      </c>
      <c r="I575" t="inlineStr">
        <is>
          <t>No</t>
        </is>
      </c>
      <c r="J575" t="inlineStr">
        <is>
          <t>0</t>
        </is>
      </c>
      <c r="L575" t="inlineStr">
        <is>
          <t>London : SCM Press, c2002.</t>
        </is>
      </c>
      <c r="M575" t="inlineStr">
        <is>
          <t>2002</t>
        </is>
      </c>
      <c r="O575" t="inlineStr">
        <is>
          <t>eng</t>
        </is>
      </c>
      <c r="P575" t="inlineStr">
        <is>
          <t>enk</t>
        </is>
      </c>
      <c r="Q575" t="inlineStr">
        <is>
          <t>Concilium ; 2002/3</t>
        </is>
      </c>
      <c r="R575" t="inlineStr">
        <is>
          <t xml:space="preserve">BX </t>
        </is>
      </c>
      <c r="S575" t="n">
        <v>9</v>
      </c>
      <c r="T575" t="n">
        <v>9</v>
      </c>
      <c r="U575" t="inlineStr">
        <is>
          <t>2010-11-29</t>
        </is>
      </c>
      <c r="V575" t="inlineStr">
        <is>
          <t>2010-11-29</t>
        </is>
      </c>
      <c r="W575" t="inlineStr">
        <is>
          <t>2002-09-04</t>
        </is>
      </c>
      <c r="X575" t="inlineStr">
        <is>
          <t>2002-09-04</t>
        </is>
      </c>
      <c r="Y575" t="n">
        <v>228</v>
      </c>
      <c r="Z575" t="n">
        <v>168</v>
      </c>
      <c r="AA575" t="n">
        <v>173</v>
      </c>
      <c r="AB575" t="n">
        <v>1</v>
      </c>
      <c r="AC575" t="n">
        <v>1</v>
      </c>
      <c r="AD575" t="n">
        <v>21</v>
      </c>
      <c r="AE575" t="n">
        <v>21</v>
      </c>
      <c r="AF575" t="n">
        <v>8</v>
      </c>
      <c r="AG575" t="n">
        <v>8</v>
      </c>
      <c r="AH575" t="n">
        <v>5</v>
      </c>
      <c r="AI575" t="n">
        <v>5</v>
      </c>
      <c r="AJ575" t="n">
        <v>15</v>
      </c>
      <c r="AK575" t="n">
        <v>15</v>
      </c>
      <c r="AL575" t="n">
        <v>0</v>
      </c>
      <c r="AM575" t="n">
        <v>0</v>
      </c>
      <c r="AN575" t="n">
        <v>0</v>
      </c>
      <c r="AO575" t="n">
        <v>0</v>
      </c>
      <c r="AP575" t="inlineStr">
        <is>
          <t>No</t>
        </is>
      </c>
      <c r="AQ575" t="inlineStr">
        <is>
          <t>No</t>
        </is>
      </c>
      <c r="AS575">
        <f>HYPERLINK("https://creighton-primo.hosted.exlibrisgroup.com/primo-explore/search?tab=default_tab&amp;search_scope=EVERYTHING&amp;vid=01CRU&amp;lang=en_US&amp;offset=0&amp;query=any,contains,991003876289702656","Catalog Record")</f>
        <v/>
      </c>
      <c r="AT575">
        <f>HYPERLINK("http://www.worldcat.org/oclc/50235350","WorldCat Record")</f>
        <v/>
      </c>
      <c r="AU575" t="inlineStr">
        <is>
          <t>6480900:eng</t>
        </is>
      </c>
      <c r="AV575" t="inlineStr">
        <is>
          <t>50235350</t>
        </is>
      </c>
      <c r="AW575" t="inlineStr">
        <is>
          <t>991003876289702656</t>
        </is>
      </c>
      <c r="AX575" t="inlineStr">
        <is>
          <t>991003876289702656</t>
        </is>
      </c>
      <c r="AY575" t="inlineStr">
        <is>
          <t>2262719230002656</t>
        </is>
      </c>
      <c r="AZ575" t="inlineStr">
        <is>
          <t>BOOK</t>
        </is>
      </c>
      <c r="BB575" t="inlineStr">
        <is>
          <t>9780334030676</t>
        </is>
      </c>
      <c r="BC575" t="inlineStr">
        <is>
          <t>32285004646005</t>
        </is>
      </c>
      <c r="BD575" t="inlineStr">
        <is>
          <t>893888022</t>
        </is>
      </c>
    </row>
    <row r="576">
      <c r="A576" t="inlineStr">
        <is>
          <t>No</t>
        </is>
      </c>
      <c r="B576" t="inlineStr">
        <is>
          <t>BX1751.2.A1 C6 2002/4</t>
        </is>
      </c>
      <c r="C576" t="inlineStr">
        <is>
          <t>0                      BX 1751200A  1                  C  6           2002                  4</t>
        </is>
      </c>
      <c r="D576" t="inlineStr">
        <is>
          <t>Religious education of boys and girls / edited by Werner G. Jeanrond and Lisa Sowle Cahill.</t>
        </is>
      </c>
      <c r="F576" t="inlineStr">
        <is>
          <t>No</t>
        </is>
      </c>
      <c r="G576" t="inlineStr">
        <is>
          <t>1</t>
        </is>
      </c>
      <c r="H576" t="inlineStr">
        <is>
          <t>No</t>
        </is>
      </c>
      <c r="I576" t="inlineStr">
        <is>
          <t>No</t>
        </is>
      </c>
      <c r="J576" t="inlineStr">
        <is>
          <t>0</t>
        </is>
      </c>
      <c r="L576" t="inlineStr">
        <is>
          <t>London : SCM Press, c2002.</t>
        </is>
      </c>
      <c r="M576" t="inlineStr">
        <is>
          <t>2002</t>
        </is>
      </c>
      <c r="O576" t="inlineStr">
        <is>
          <t>eng</t>
        </is>
      </c>
      <c r="P576" t="inlineStr">
        <is>
          <t>enk</t>
        </is>
      </c>
      <c r="Q576" t="inlineStr">
        <is>
          <t>Concilium ; 2002/4</t>
        </is>
      </c>
      <c r="R576" t="inlineStr">
        <is>
          <t xml:space="preserve">BX </t>
        </is>
      </c>
      <c r="S576" t="n">
        <v>3</v>
      </c>
      <c r="T576" t="n">
        <v>3</v>
      </c>
      <c r="U576" t="inlineStr">
        <is>
          <t>2010-06-22</t>
        </is>
      </c>
      <c r="V576" t="inlineStr">
        <is>
          <t>2010-06-22</t>
        </is>
      </c>
      <c r="W576" t="inlineStr">
        <is>
          <t>2002-12-12</t>
        </is>
      </c>
      <c r="X576" t="inlineStr">
        <is>
          <t>2002-12-12</t>
        </is>
      </c>
      <c r="Y576" t="n">
        <v>232</v>
      </c>
      <c r="Z576" t="n">
        <v>170</v>
      </c>
      <c r="AA576" t="n">
        <v>171</v>
      </c>
      <c r="AB576" t="n">
        <v>1</v>
      </c>
      <c r="AC576" t="n">
        <v>1</v>
      </c>
      <c r="AD576" t="n">
        <v>20</v>
      </c>
      <c r="AE576" t="n">
        <v>20</v>
      </c>
      <c r="AF576" t="n">
        <v>8</v>
      </c>
      <c r="AG576" t="n">
        <v>8</v>
      </c>
      <c r="AH576" t="n">
        <v>5</v>
      </c>
      <c r="AI576" t="n">
        <v>5</v>
      </c>
      <c r="AJ576" t="n">
        <v>14</v>
      </c>
      <c r="AK576" t="n">
        <v>14</v>
      </c>
      <c r="AL576" t="n">
        <v>0</v>
      </c>
      <c r="AM576" t="n">
        <v>0</v>
      </c>
      <c r="AN576" t="n">
        <v>0</v>
      </c>
      <c r="AO576" t="n">
        <v>0</v>
      </c>
      <c r="AP576" t="inlineStr">
        <is>
          <t>No</t>
        </is>
      </c>
      <c r="AQ576" t="inlineStr">
        <is>
          <t>Yes</t>
        </is>
      </c>
      <c r="AR576">
        <f>HYPERLINK("http://catalog.hathitrust.org/Record/006018640","HathiTrust Record")</f>
        <v/>
      </c>
      <c r="AS576">
        <f>HYPERLINK("https://creighton-primo.hosted.exlibrisgroup.com/primo-explore/search?tab=default_tab&amp;search_scope=EVERYTHING&amp;vid=01CRU&amp;lang=en_US&amp;offset=0&amp;query=any,contains,991003961659702656","Catalog Record")</f>
        <v/>
      </c>
      <c r="AT576">
        <f>HYPERLINK("http://www.worldcat.org/oclc/50947554","WorldCat Record")</f>
        <v/>
      </c>
      <c r="AU576" t="inlineStr">
        <is>
          <t>8555412:eng</t>
        </is>
      </c>
      <c r="AV576" t="inlineStr">
        <is>
          <t>50947554</t>
        </is>
      </c>
      <c r="AW576" t="inlineStr">
        <is>
          <t>991003961659702656</t>
        </is>
      </c>
      <c r="AX576" t="inlineStr">
        <is>
          <t>991003961659702656</t>
        </is>
      </c>
      <c r="AY576" t="inlineStr">
        <is>
          <t>2271104720002656</t>
        </is>
      </c>
      <c r="AZ576" t="inlineStr">
        <is>
          <t>BOOK</t>
        </is>
      </c>
      <c r="BB576" t="inlineStr">
        <is>
          <t>9780334030706</t>
        </is>
      </c>
      <c r="BC576" t="inlineStr">
        <is>
          <t>32285004690888</t>
        </is>
      </c>
      <c r="BD576" t="inlineStr">
        <is>
          <t>893519089</t>
        </is>
      </c>
    </row>
    <row r="577">
      <c r="A577" t="inlineStr">
        <is>
          <t>No</t>
        </is>
      </c>
      <c r="B577" t="inlineStr">
        <is>
          <t>BX1751.2.A1 C6 2003/1</t>
        </is>
      </c>
      <c r="C577" t="inlineStr">
        <is>
          <t>0                      BX 1751200A  1                  C  6           2003                  1</t>
        </is>
      </c>
      <c r="D577" t="inlineStr">
        <is>
          <t>Rethinking martyrdom / edited by Teresa Okure, Jon Sobrino and Felix Wilfred.</t>
        </is>
      </c>
      <c r="F577" t="inlineStr">
        <is>
          <t>No</t>
        </is>
      </c>
      <c r="G577" t="inlineStr">
        <is>
          <t>1</t>
        </is>
      </c>
      <c r="H577" t="inlineStr">
        <is>
          <t>No</t>
        </is>
      </c>
      <c r="I577" t="inlineStr">
        <is>
          <t>No</t>
        </is>
      </c>
      <c r="J577" t="inlineStr">
        <is>
          <t>0</t>
        </is>
      </c>
      <c r="L577" t="inlineStr">
        <is>
          <t>London : SCM Press, c2003.</t>
        </is>
      </c>
      <c r="M577" t="inlineStr">
        <is>
          <t>2003</t>
        </is>
      </c>
      <c r="O577" t="inlineStr">
        <is>
          <t>eng</t>
        </is>
      </c>
      <c r="P577" t="inlineStr">
        <is>
          <t>enk</t>
        </is>
      </c>
      <c r="Q577" t="inlineStr">
        <is>
          <t>Concilium ; 2003/1</t>
        </is>
      </c>
      <c r="R577" t="inlineStr">
        <is>
          <t xml:space="preserve">BX </t>
        </is>
      </c>
      <c r="S577" t="n">
        <v>6</v>
      </c>
      <c r="T577" t="n">
        <v>6</v>
      </c>
      <c r="U577" t="inlineStr">
        <is>
          <t>2009-03-16</t>
        </is>
      </c>
      <c r="V577" t="inlineStr">
        <is>
          <t>2009-03-16</t>
        </is>
      </c>
      <c r="W577" t="inlineStr">
        <is>
          <t>2003-04-10</t>
        </is>
      </c>
      <c r="X577" t="inlineStr">
        <is>
          <t>2003-04-10</t>
        </is>
      </c>
      <c r="Y577" t="n">
        <v>217</v>
      </c>
      <c r="Z577" t="n">
        <v>159</v>
      </c>
      <c r="AA577" t="n">
        <v>164</v>
      </c>
      <c r="AB577" t="n">
        <v>1</v>
      </c>
      <c r="AC577" t="n">
        <v>1</v>
      </c>
      <c r="AD577" t="n">
        <v>20</v>
      </c>
      <c r="AE577" t="n">
        <v>20</v>
      </c>
      <c r="AF577" t="n">
        <v>8</v>
      </c>
      <c r="AG577" t="n">
        <v>8</v>
      </c>
      <c r="AH577" t="n">
        <v>5</v>
      </c>
      <c r="AI577" t="n">
        <v>5</v>
      </c>
      <c r="AJ577" t="n">
        <v>14</v>
      </c>
      <c r="AK577" t="n">
        <v>14</v>
      </c>
      <c r="AL577" t="n">
        <v>0</v>
      </c>
      <c r="AM577" t="n">
        <v>0</v>
      </c>
      <c r="AN577" t="n">
        <v>0</v>
      </c>
      <c r="AO577" t="n">
        <v>0</v>
      </c>
      <c r="AP577" t="inlineStr">
        <is>
          <t>No</t>
        </is>
      </c>
      <c r="AQ577" t="inlineStr">
        <is>
          <t>No</t>
        </is>
      </c>
      <c r="AS577">
        <f>HYPERLINK("https://creighton-primo.hosted.exlibrisgroup.com/primo-explore/search?tab=default_tab&amp;search_scope=EVERYTHING&amp;vid=01CRU&amp;lang=en_US&amp;offset=0&amp;query=any,contains,991004038589702656","Catalog Record")</f>
        <v/>
      </c>
      <c r="AT577">
        <f>HYPERLINK("http://www.worldcat.org/oclc/51916702","WorldCat Record")</f>
        <v/>
      </c>
      <c r="AU577" t="inlineStr">
        <is>
          <t>2452509360:eng</t>
        </is>
      </c>
      <c r="AV577" t="inlineStr">
        <is>
          <t>51916702</t>
        </is>
      </c>
      <c r="AW577" t="inlineStr">
        <is>
          <t>991004038589702656</t>
        </is>
      </c>
      <c r="AX577" t="inlineStr">
        <is>
          <t>991004038589702656</t>
        </is>
      </c>
      <c r="AY577" t="inlineStr">
        <is>
          <t>2263892050002656</t>
        </is>
      </c>
      <c r="AZ577" t="inlineStr">
        <is>
          <t>BOOK</t>
        </is>
      </c>
      <c r="BC577" t="inlineStr">
        <is>
          <t>32285004742010</t>
        </is>
      </c>
      <c r="BD577" t="inlineStr">
        <is>
          <t>893506295</t>
        </is>
      </c>
    </row>
    <row r="578">
      <c r="A578" t="inlineStr">
        <is>
          <t>No</t>
        </is>
      </c>
      <c r="B578" t="inlineStr">
        <is>
          <t>BX1751.2.A1 C6 2003/2</t>
        </is>
      </c>
      <c r="C578" t="inlineStr">
        <is>
          <t>0                      BX 1751200A  1                  C  6           2003                  2</t>
        </is>
      </c>
      <c r="D578" t="inlineStr">
        <is>
          <t>The discourse of human dignity / edited by Regina Ammicht-Quinn, Maureen Junker-Kenny and Elsa Tamez.</t>
        </is>
      </c>
      <c r="F578" t="inlineStr">
        <is>
          <t>No</t>
        </is>
      </c>
      <c r="G578" t="inlineStr">
        <is>
          <t>1</t>
        </is>
      </c>
      <c r="H578" t="inlineStr">
        <is>
          <t>No</t>
        </is>
      </c>
      <c r="I578" t="inlineStr">
        <is>
          <t>No</t>
        </is>
      </c>
      <c r="J578" t="inlineStr">
        <is>
          <t>0</t>
        </is>
      </c>
      <c r="L578" t="inlineStr">
        <is>
          <t>London : SCM Press, c2003.</t>
        </is>
      </c>
      <c r="M578" t="inlineStr">
        <is>
          <t>2003</t>
        </is>
      </c>
      <c r="O578" t="inlineStr">
        <is>
          <t>eng</t>
        </is>
      </c>
      <c r="P578" t="inlineStr">
        <is>
          <t>enk</t>
        </is>
      </c>
      <c r="Q578" t="inlineStr">
        <is>
          <t>Concilium ; 2003/2</t>
        </is>
      </c>
      <c r="R578" t="inlineStr">
        <is>
          <t xml:space="preserve">BX </t>
        </is>
      </c>
      <c r="S578" t="n">
        <v>5</v>
      </c>
      <c r="T578" t="n">
        <v>5</v>
      </c>
      <c r="U578" t="inlineStr">
        <is>
          <t>2005-11-14</t>
        </is>
      </c>
      <c r="V578" t="inlineStr">
        <is>
          <t>2005-11-14</t>
        </is>
      </c>
      <c r="W578" t="inlineStr">
        <is>
          <t>2003-06-16</t>
        </is>
      </c>
      <c r="X578" t="inlineStr">
        <is>
          <t>2003-06-16</t>
        </is>
      </c>
      <c r="Y578" t="n">
        <v>220</v>
      </c>
      <c r="Z578" t="n">
        <v>158</v>
      </c>
      <c r="AA578" t="n">
        <v>158</v>
      </c>
      <c r="AB578" t="n">
        <v>1</v>
      </c>
      <c r="AC578" t="n">
        <v>1</v>
      </c>
      <c r="AD578" t="n">
        <v>21</v>
      </c>
      <c r="AE578" t="n">
        <v>21</v>
      </c>
      <c r="AF578" t="n">
        <v>8</v>
      </c>
      <c r="AG578" t="n">
        <v>8</v>
      </c>
      <c r="AH578" t="n">
        <v>5</v>
      </c>
      <c r="AI578" t="n">
        <v>5</v>
      </c>
      <c r="AJ578" t="n">
        <v>15</v>
      </c>
      <c r="AK578" t="n">
        <v>15</v>
      </c>
      <c r="AL578" t="n">
        <v>0</v>
      </c>
      <c r="AM578" t="n">
        <v>0</v>
      </c>
      <c r="AN578" t="n">
        <v>0</v>
      </c>
      <c r="AO578" t="n">
        <v>0</v>
      </c>
      <c r="AP578" t="inlineStr">
        <is>
          <t>No</t>
        </is>
      </c>
      <c r="AQ578" t="inlineStr">
        <is>
          <t>No</t>
        </is>
      </c>
      <c r="AS578">
        <f>HYPERLINK("https://creighton-primo.hosted.exlibrisgroup.com/primo-explore/search?tab=default_tab&amp;search_scope=EVERYTHING&amp;vid=01CRU&amp;lang=en_US&amp;offset=0&amp;query=any,contains,991004078799702656","Catalog Record")</f>
        <v/>
      </c>
      <c r="AT578">
        <f>HYPERLINK("http://www.worldcat.org/oclc/52202372","WorldCat Record")</f>
        <v/>
      </c>
      <c r="AU578" t="inlineStr">
        <is>
          <t>375544711:eng</t>
        </is>
      </c>
      <c r="AV578" t="inlineStr">
        <is>
          <t>52202372</t>
        </is>
      </c>
      <c r="AW578" t="inlineStr">
        <is>
          <t>991004078799702656</t>
        </is>
      </c>
      <c r="AX578" t="inlineStr">
        <is>
          <t>991004078799702656</t>
        </is>
      </c>
      <c r="AY578" t="inlineStr">
        <is>
          <t>2258677280002656</t>
        </is>
      </c>
      <c r="AZ578" t="inlineStr">
        <is>
          <t>BOOK</t>
        </is>
      </c>
      <c r="BB578" t="inlineStr">
        <is>
          <t>9780334030737</t>
        </is>
      </c>
      <c r="BC578" t="inlineStr">
        <is>
          <t>32285004753199</t>
        </is>
      </c>
      <c r="BD578" t="inlineStr">
        <is>
          <t>893800563</t>
        </is>
      </c>
    </row>
    <row r="579">
      <c r="A579" t="inlineStr">
        <is>
          <t>No</t>
        </is>
      </c>
      <c r="B579" t="inlineStr">
        <is>
          <t>BX1751.2.A1 C6 2003/3</t>
        </is>
      </c>
      <c r="C579" t="inlineStr">
        <is>
          <t>0                      BX 1751200A  1                  C  6           2003                  3</t>
        </is>
      </c>
      <c r="D579" t="inlineStr">
        <is>
          <t>'Movements' in the church / edited by Alberto Melloni.</t>
        </is>
      </c>
      <c r="F579" t="inlineStr">
        <is>
          <t>No</t>
        </is>
      </c>
      <c r="G579" t="inlineStr">
        <is>
          <t>1</t>
        </is>
      </c>
      <c r="H579" t="inlineStr">
        <is>
          <t>No</t>
        </is>
      </c>
      <c r="I579" t="inlineStr">
        <is>
          <t>No</t>
        </is>
      </c>
      <c r="J579" t="inlineStr">
        <is>
          <t>0</t>
        </is>
      </c>
      <c r="L579" t="inlineStr">
        <is>
          <t>London : SCM Press, c2003.</t>
        </is>
      </c>
      <c r="M579" t="inlineStr">
        <is>
          <t>2003</t>
        </is>
      </c>
      <c r="O579" t="inlineStr">
        <is>
          <t>eng</t>
        </is>
      </c>
      <c r="P579" t="inlineStr">
        <is>
          <t>enk</t>
        </is>
      </c>
      <c r="Q579" t="inlineStr">
        <is>
          <t>Concilium ; 2003/3</t>
        </is>
      </c>
      <c r="R579" t="inlineStr">
        <is>
          <t xml:space="preserve">BX </t>
        </is>
      </c>
      <c r="S579" t="n">
        <v>8</v>
      </c>
      <c r="T579" t="n">
        <v>8</v>
      </c>
      <c r="U579" t="inlineStr">
        <is>
          <t>2010-04-11</t>
        </is>
      </c>
      <c r="V579" t="inlineStr">
        <is>
          <t>2010-04-11</t>
        </is>
      </c>
      <c r="W579" t="inlineStr">
        <is>
          <t>2003-08-18</t>
        </is>
      </c>
      <c r="X579" t="inlineStr">
        <is>
          <t>2003-08-18</t>
        </is>
      </c>
      <c r="Y579" t="n">
        <v>218</v>
      </c>
      <c r="Z579" t="n">
        <v>159</v>
      </c>
      <c r="AA579" t="n">
        <v>164</v>
      </c>
      <c r="AB579" t="n">
        <v>1</v>
      </c>
      <c r="AC579" t="n">
        <v>1</v>
      </c>
      <c r="AD579" t="n">
        <v>22</v>
      </c>
      <c r="AE579" t="n">
        <v>22</v>
      </c>
      <c r="AF579" t="n">
        <v>9</v>
      </c>
      <c r="AG579" t="n">
        <v>9</v>
      </c>
      <c r="AH579" t="n">
        <v>5</v>
      </c>
      <c r="AI579" t="n">
        <v>5</v>
      </c>
      <c r="AJ579" t="n">
        <v>15</v>
      </c>
      <c r="AK579" t="n">
        <v>15</v>
      </c>
      <c r="AL579" t="n">
        <v>0</v>
      </c>
      <c r="AM579" t="n">
        <v>0</v>
      </c>
      <c r="AN579" t="n">
        <v>0</v>
      </c>
      <c r="AO579" t="n">
        <v>0</v>
      </c>
      <c r="AP579" t="inlineStr">
        <is>
          <t>No</t>
        </is>
      </c>
      <c r="AQ579" t="inlineStr">
        <is>
          <t>No</t>
        </is>
      </c>
      <c r="AS579">
        <f>HYPERLINK("https://creighton-primo.hosted.exlibrisgroup.com/primo-explore/search?tab=default_tab&amp;search_scope=EVERYTHING&amp;vid=01CRU&amp;lang=en_US&amp;offset=0&amp;query=any,contains,991004106939702656","Catalog Record")</f>
        <v/>
      </c>
      <c r="AT579">
        <f>HYPERLINK("http://www.worldcat.org/oclc/52715572","WorldCat Record")</f>
        <v/>
      </c>
      <c r="AU579" t="inlineStr">
        <is>
          <t>10510061:eng</t>
        </is>
      </c>
      <c r="AV579" t="inlineStr">
        <is>
          <t>52715572</t>
        </is>
      </c>
      <c r="AW579" t="inlineStr">
        <is>
          <t>991004106939702656</t>
        </is>
      </c>
      <c r="AX579" t="inlineStr">
        <is>
          <t>991004106939702656</t>
        </is>
      </c>
      <c r="AY579" t="inlineStr">
        <is>
          <t>2256604020002656</t>
        </is>
      </c>
      <c r="AZ579" t="inlineStr">
        <is>
          <t>BOOK</t>
        </is>
      </c>
      <c r="BB579" t="inlineStr">
        <is>
          <t>9780334030744</t>
        </is>
      </c>
      <c r="BC579" t="inlineStr">
        <is>
          <t>32285004759618</t>
        </is>
      </c>
      <c r="BD579" t="inlineStr">
        <is>
          <t>893693524</t>
        </is>
      </c>
    </row>
    <row r="580">
      <c r="A580" t="inlineStr">
        <is>
          <t>No</t>
        </is>
      </c>
      <c r="B580" t="inlineStr">
        <is>
          <t>BX1751.2.A1 C6 2004/2</t>
        </is>
      </c>
      <c r="C580" t="inlineStr">
        <is>
          <t>0                      BX 1751200A  1                  C  6           2004                  2</t>
        </is>
      </c>
      <c r="D580" t="inlineStr">
        <is>
          <t>Rethinking Europe / edited by Alberto Melloni and Janet Martin Soskice.</t>
        </is>
      </c>
      <c r="F580" t="inlineStr">
        <is>
          <t>No</t>
        </is>
      </c>
      <c r="G580" t="inlineStr">
        <is>
          <t>1</t>
        </is>
      </c>
      <c r="H580" t="inlineStr">
        <is>
          <t>No</t>
        </is>
      </c>
      <c r="I580" t="inlineStr">
        <is>
          <t>No</t>
        </is>
      </c>
      <c r="J580" t="inlineStr">
        <is>
          <t>0</t>
        </is>
      </c>
      <c r="L580" t="inlineStr">
        <is>
          <t>London : SCM Press, c2004.</t>
        </is>
      </c>
      <c r="M580" t="inlineStr">
        <is>
          <t>2004</t>
        </is>
      </c>
      <c r="O580" t="inlineStr">
        <is>
          <t>eng</t>
        </is>
      </c>
      <c r="P580" t="inlineStr">
        <is>
          <t>enk</t>
        </is>
      </c>
      <c r="Q580" t="inlineStr">
        <is>
          <t>Concilium ; 2004/2</t>
        </is>
      </c>
      <c r="R580" t="inlineStr">
        <is>
          <t xml:space="preserve">BX </t>
        </is>
      </c>
      <c r="S580" t="n">
        <v>1</v>
      </c>
      <c r="T580" t="n">
        <v>1</v>
      </c>
      <c r="U580" t="inlineStr">
        <is>
          <t>2004-07-13</t>
        </is>
      </c>
      <c r="V580" t="inlineStr">
        <is>
          <t>2004-07-13</t>
        </is>
      </c>
      <c r="W580" t="inlineStr">
        <is>
          <t>2004-07-13</t>
        </is>
      </c>
      <c r="X580" t="inlineStr">
        <is>
          <t>2004-07-13</t>
        </is>
      </c>
      <c r="Y580" t="n">
        <v>231</v>
      </c>
      <c r="Z580" t="n">
        <v>166</v>
      </c>
      <c r="AA580" t="n">
        <v>167</v>
      </c>
      <c r="AB580" t="n">
        <v>1</v>
      </c>
      <c r="AC580" t="n">
        <v>1</v>
      </c>
      <c r="AD580" t="n">
        <v>21</v>
      </c>
      <c r="AE580" t="n">
        <v>21</v>
      </c>
      <c r="AF580" t="n">
        <v>7</v>
      </c>
      <c r="AG580" t="n">
        <v>7</v>
      </c>
      <c r="AH580" t="n">
        <v>5</v>
      </c>
      <c r="AI580" t="n">
        <v>5</v>
      </c>
      <c r="AJ580" t="n">
        <v>15</v>
      </c>
      <c r="AK580" t="n">
        <v>15</v>
      </c>
      <c r="AL580" t="n">
        <v>0</v>
      </c>
      <c r="AM580" t="n">
        <v>0</v>
      </c>
      <c r="AN580" t="n">
        <v>0</v>
      </c>
      <c r="AO580" t="n">
        <v>0</v>
      </c>
      <c r="AP580" t="inlineStr">
        <is>
          <t>No</t>
        </is>
      </c>
      <c r="AQ580" t="inlineStr">
        <is>
          <t>Yes</t>
        </is>
      </c>
      <c r="AR580">
        <f>HYPERLINK("http://catalog.hathitrust.org/Record/005555798","HathiTrust Record")</f>
        <v/>
      </c>
      <c r="AS580">
        <f>HYPERLINK("https://creighton-primo.hosted.exlibrisgroup.com/primo-explore/search?tab=default_tab&amp;search_scope=EVERYTHING&amp;vid=01CRU&amp;lang=en_US&amp;offset=0&amp;query=any,contains,991004321859702656","Catalog Record")</f>
        <v/>
      </c>
      <c r="AT580">
        <f>HYPERLINK("http://www.worldcat.org/oclc/55627548","WorldCat Record")</f>
        <v/>
      </c>
      <c r="AU580" t="inlineStr">
        <is>
          <t>16182263:eng</t>
        </is>
      </c>
      <c r="AV580" t="inlineStr">
        <is>
          <t>55627548</t>
        </is>
      </c>
      <c r="AW580" t="inlineStr">
        <is>
          <t>991004321859702656</t>
        </is>
      </c>
      <c r="AX580" t="inlineStr">
        <is>
          <t>991004321859702656</t>
        </is>
      </c>
      <c r="AY580" t="inlineStr">
        <is>
          <t>2255856580002656</t>
        </is>
      </c>
      <c r="AZ580" t="inlineStr">
        <is>
          <t>BOOK</t>
        </is>
      </c>
      <c r="BB580" t="inlineStr">
        <is>
          <t>9780334030782</t>
        </is>
      </c>
      <c r="BC580" t="inlineStr">
        <is>
          <t>32285004923149</t>
        </is>
      </c>
      <c r="BD580" t="inlineStr">
        <is>
          <t>893800854</t>
        </is>
      </c>
    </row>
    <row r="581">
      <c r="A581" t="inlineStr">
        <is>
          <t>No</t>
        </is>
      </c>
      <c r="B581" t="inlineStr">
        <is>
          <t>BX1751.2.A1 C6 2004/3</t>
        </is>
      </c>
      <c r="C581" t="inlineStr">
        <is>
          <t>0                      BX 1751200A  1                  C  6           2004                  3</t>
        </is>
      </c>
      <c r="D581" t="inlineStr">
        <is>
          <t>The structural betrayal of trust / edited by Regina Ammicht-Quinn, Hille Haker and Maureen Junker-Kenny.</t>
        </is>
      </c>
      <c r="F581" t="inlineStr">
        <is>
          <t>No</t>
        </is>
      </c>
      <c r="G581" t="inlineStr">
        <is>
          <t>1</t>
        </is>
      </c>
      <c r="H581" t="inlineStr">
        <is>
          <t>No</t>
        </is>
      </c>
      <c r="I581" t="inlineStr">
        <is>
          <t>No</t>
        </is>
      </c>
      <c r="J581" t="inlineStr">
        <is>
          <t>0</t>
        </is>
      </c>
      <c r="L581" t="inlineStr">
        <is>
          <t>London : SCM Press, c2004.</t>
        </is>
      </c>
      <c r="M581" t="inlineStr">
        <is>
          <t>2004</t>
        </is>
      </c>
      <c r="O581" t="inlineStr">
        <is>
          <t>eng</t>
        </is>
      </c>
      <c r="P581" t="inlineStr">
        <is>
          <t>enk</t>
        </is>
      </c>
      <c r="Q581" t="inlineStr">
        <is>
          <t>Concilium ; 2004/3</t>
        </is>
      </c>
      <c r="R581" t="inlineStr">
        <is>
          <t xml:space="preserve">BX </t>
        </is>
      </c>
      <c r="S581" t="n">
        <v>1</v>
      </c>
      <c r="T581" t="n">
        <v>1</v>
      </c>
      <c r="U581" t="inlineStr">
        <is>
          <t>2004-09-13</t>
        </is>
      </c>
      <c r="V581" t="inlineStr">
        <is>
          <t>2004-09-13</t>
        </is>
      </c>
      <c r="W581" t="inlineStr">
        <is>
          <t>2004-09-13</t>
        </is>
      </c>
      <c r="X581" t="inlineStr">
        <is>
          <t>2004-09-13</t>
        </is>
      </c>
      <c r="Y581" t="n">
        <v>217</v>
      </c>
      <c r="Z581" t="n">
        <v>157</v>
      </c>
      <c r="AA581" t="n">
        <v>158</v>
      </c>
      <c r="AB581" t="n">
        <v>1</v>
      </c>
      <c r="AC581" t="n">
        <v>1</v>
      </c>
      <c r="AD581" t="n">
        <v>21</v>
      </c>
      <c r="AE581" t="n">
        <v>21</v>
      </c>
      <c r="AF581" t="n">
        <v>7</v>
      </c>
      <c r="AG581" t="n">
        <v>7</v>
      </c>
      <c r="AH581" t="n">
        <v>5</v>
      </c>
      <c r="AI581" t="n">
        <v>5</v>
      </c>
      <c r="AJ581" t="n">
        <v>15</v>
      </c>
      <c r="AK581" t="n">
        <v>15</v>
      </c>
      <c r="AL581" t="n">
        <v>0</v>
      </c>
      <c r="AM581" t="n">
        <v>0</v>
      </c>
      <c r="AN581" t="n">
        <v>0</v>
      </c>
      <c r="AO581" t="n">
        <v>0</v>
      </c>
      <c r="AP581" t="inlineStr">
        <is>
          <t>No</t>
        </is>
      </c>
      <c r="AQ581" t="inlineStr">
        <is>
          <t>Yes</t>
        </is>
      </c>
      <c r="AR581">
        <f>HYPERLINK("http://catalog.hathitrust.org/Record/006019175","HathiTrust Record")</f>
        <v/>
      </c>
      <c r="AS581">
        <f>HYPERLINK("https://creighton-primo.hosted.exlibrisgroup.com/primo-explore/search?tab=default_tab&amp;search_scope=EVERYTHING&amp;vid=01CRU&amp;lang=en_US&amp;offset=0&amp;query=any,contains,991004369889702656","Catalog Record")</f>
        <v/>
      </c>
      <c r="AT581">
        <f>HYPERLINK("http://www.worldcat.org/oclc/56401932","WorldCat Record")</f>
        <v/>
      </c>
      <c r="AU581" t="inlineStr">
        <is>
          <t>16518430:eng</t>
        </is>
      </c>
      <c r="AV581" t="inlineStr">
        <is>
          <t>56401932</t>
        </is>
      </c>
      <c r="AW581" t="inlineStr">
        <is>
          <t>991004369889702656</t>
        </is>
      </c>
      <c r="AX581" t="inlineStr">
        <is>
          <t>991004369889702656</t>
        </is>
      </c>
      <c r="AY581" t="inlineStr">
        <is>
          <t>2270852340002656</t>
        </is>
      </c>
      <c r="AZ581" t="inlineStr">
        <is>
          <t>BOOK</t>
        </is>
      </c>
      <c r="BB581" t="inlineStr">
        <is>
          <t>9780334030799</t>
        </is>
      </c>
      <c r="BC581" t="inlineStr">
        <is>
          <t>32285004986666</t>
        </is>
      </c>
      <c r="BD581" t="inlineStr">
        <is>
          <t>893869636</t>
        </is>
      </c>
    </row>
    <row r="582">
      <c r="A582" t="inlineStr">
        <is>
          <t>No</t>
        </is>
      </c>
      <c r="B582" t="inlineStr">
        <is>
          <t>BX1751.2.A1 C6 2005/1</t>
        </is>
      </c>
      <c r="C582" t="inlineStr">
        <is>
          <t>0                      BX 1751200A  1                  C  6           2005                  1</t>
        </is>
      </c>
      <c r="D582" t="inlineStr">
        <is>
          <t>Cyberspace-cyberethics-cybertheology / edited by Erik Borgman, Stephan van Erp and Hille Haker.</t>
        </is>
      </c>
      <c r="F582" t="inlineStr">
        <is>
          <t>No</t>
        </is>
      </c>
      <c r="G582" t="inlineStr">
        <is>
          <t>1</t>
        </is>
      </c>
      <c r="H582" t="inlineStr">
        <is>
          <t>No</t>
        </is>
      </c>
      <c r="I582" t="inlineStr">
        <is>
          <t>No</t>
        </is>
      </c>
      <c r="J582" t="inlineStr">
        <is>
          <t>0</t>
        </is>
      </c>
      <c r="L582" t="inlineStr">
        <is>
          <t>London : SCM, c2005.</t>
        </is>
      </c>
      <c r="M582" t="inlineStr">
        <is>
          <t>2005</t>
        </is>
      </c>
      <c r="O582" t="inlineStr">
        <is>
          <t>eng</t>
        </is>
      </c>
      <c r="P582" t="inlineStr">
        <is>
          <t>enk</t>
        </is>
      </c>
      <c r="R582" t="inlineStr">
        <is>
          <t xml:space="preserve">BX </t>
        </is>
      </c>
      <c r="S582" t="n">
        <v>1</v>
      </c>
      <c r="T582" t="n">
        <v>1</v>
      </c>
      <c r="U582" t="inlineStr">
        <is>
          <t>2005-06-02</t>
        </is>
      </c>
      <c r="V582" t="inlineStr">
        <is>
          <t>2005-06-02</t>
        </is>
      </c>
      <c r="W582" t="inlineStr">
        <is>
          <t>2005-06-02</t>
        </is>
      </c>
      <c r="X582" t="inlineStr">
        <is>
          <t>2005-06-02</t>
        </is>
      </c>
      <c r="Y582" t="n">
        <v>226</v>
      </c>
      <c r="Z582" t="n">
        <v>158</v>
      </c>
      <c r="AA582" t="n">
        <v>158</v>
      </c>
      <c r="AB582" t="n">
        <v>1</v>
      </c>
      <c r="AC582" t="n">
        <v>1</v>
      </c>
      <c r="AD582" t="n">
        <v>21</v>
      </c>
      <c r="AE582" t="n">
        <v>21</v>
      </c>
      <c r="AF582" t="n">
        <v>8</v>
      </c>
      <c r="AG582" t="n">
        <v>8</v>
      </c>
      <c r="AH582" t="n">
        <v>5</v>
      </c>
      <c r="AI582" t="n">
        <v>5</v>
      </c>
      <c r="AJ582" t="n">
        <v>15</v>
      </c>
      <c r="AK582" t="n">
        <v>15</v>
      </c>
      <c r="AL582" t="n">
        <v>0</v>
      </c>
      <c r="AM582" t="n">
        <v>0</v>
      </c>
      <c r="AN582" t="n">
        <v>0</v>
      </c>
      <c r="AO582" t="n">
        <v>0</v>
      </c>
      <c r="AP582" t="inlineStr">
        <is>
          <t>No</t>
        </is>
      </c>
      <c r="AQ582" t="inlineStr">
        <is>
          <t>No</t>
        </is>
      </c>
      <c r="AS582">
        <f>HYPERLINK("https://creighton-primo.hosted.exlibrisgroup.com/primo-explore/search?tab=default_tab&amp;search_scope=EVERYTHING&amp;vid=01CRU&amp;lang=en_US&amp;offset=0&amp;query=any,contains,991004557979702656","Catalog Record")</f>
        <v/>
      </c>
      <c r="AT582">
        <f>HYPERLINK("http://www.worldcat.org/oclc/59169587","WorldCat Record")</f>
        <v/>
      </c>
      <c r="AU582" t="inlineStr">
        <is>
          <t>355425678:eng</t>
        </is>
      </c>
      <c r="AV582" t="inlineStr">
        <is>
          <t>59169587</t>
        </is>
      </c>
      <c r="AW582" t="inlineStr">
        <is>
          <t>991004557979702656</t>
        </is>
      </c>
      <c r="AX582" t="inlineStr">
        <is>
          <t>991004557979702656</t>
        </is>
      </c>
      <c r="AY582" t="inlineStr">
        <is>
          <t>2257037250002656</t>
        </is>
      </c>
      <c r="AZ582" t="inlineStr">
        <is>
          <t>BOOK</t>
        </is>
      </c>
      <c r="BB582" t="inlineStr">
        <is>
          <t>9780334030829</t>
        </is>
      </c>
      <c r="BC582" t="inlineStr">
        <is>
          <t>32285005092191</t>
        </is>
      </c>
      <c r="BD582" t="inlineStr">
        <is>
          <t>893593849</t>
        </is>
      </c>
    </row>
    <row r="583">
      <c r="A583" t="inlineStr">
        <is>
          <t>No</t>
        </is>
      </c>
      <c r="B583" t="inlineStr">
        <is>
          <t>BX1751.2.A1 C6 2005/2</t>
        </is>
      </c>
      <c r="C583" t="inlineStr">
        <is>
          <t>0                      BX 1751200A  1                  C  6           2005                  2</t>
        </is>
      </c>
      <c r="D583" t="inlineStr">
        <is>
          <t>Hunger, bread and eucharist / edited by Christophe Boureux, Janet Martin Soskice and Luiz Carlos Susin.</t>
        </is>
      </c>
      <c r="F583" t="inlineStr">
        <is>
          <t>No</t>
        </is>
      </c>
      <c r="G583" t="inlineStr">
        <is>
          <t>1</t>
        </is>
      </c>
      <c r="H583" t="inlineStr">
        <is>
          <t>No</t>
        </is>
      </c>
      <c r="I583" t="inlineStr">
        <is>
          <t>No</t>
        </is>
      </c>
      <c r="J583" t="inlineStr">
        <is>
          <t>0</t>
        </is>
      </c>
      <c r="L583" t="inlineStr">
        <is>
          <t>London : SCM Press, c2005.</t>
        </is>
      </c>
      <c r="M583" t="inlineStr">
        <is>
          <t>2005</t>
        </is>
      </c>
      <c r="O583" t="inlineStr">
        <is>
          <t>eng</t>
        </is>
      </c>
      <c r="P583" t="inlineStr">
        <is>
          <t>enk</t>
        </is>
      </c>
      <c r="Q583" t="inlineStr">
        <is>
          <t>Concilium ; 2005/2</t>
        </is>
      </c>
      <c r="R583" t="inlineStr">
        <is>
          <t xml:space="preserve">BX </t>
        </is>
      </c>
      <c r="S583" t="n">
        <v>2</v>
      </c>
      <c r="T583" t="n">
        <v>2</v>
      </c>
      <c r="U583" t="inlineStr">
        <is>
          <t>2005-08-24</t>
        </is>
      </c>
      <c r="V583" t="inlineStr">
        <is>
          <t>2005-08-24</t>
        </is>
      </c>
      <c r="W583" t="inlineStr">
        <is>
          <t>2005-08-24</t>
        </is>
      </c>
      <c r="X583" t="inlineStr">
        <is>
          <t>2005-08-24</t>
        </is>
      </c>
      <c r="Y583" t="n">
        <v>221</v>
      </c>
      <c r="Z583" t="n">
        <v>156</v>
      </c>
      <c r="AA583" t="n">
        <v>157</v>
      </c>
      <c r="AB583" t="n">
        <v>1</v>
      </c>
      <c r="AC583" t="n">
        <v>1</v>
      </c>
      <c r="AD583" t="n">
        <v>22</v>
      </c>
      <c r="AE583" t="n">
        <v>22</v>
      </c>
      <c r="AF583" t="n">
        <v>8</v>
      </c>
      <c r="AG583" t="n">
        <v>8</v>
      </c>
      <c r="AH583" t="n">
        <v>6</v>
      </c>
      <c r="AI583" t="n">
        <v>6</v>
      </c>
      <c r="AJ583" t="n">
        <v>15</v>
      </c>
      <c r="AK583" t="n">
        <v>15</v>
      </c>
      <c r="AL583" t="n">
        <v>0</v>
      </c>
      <c r="AM583" t="n">
        <v>0</v>
      </c>
      <c r="AN583" t="n">
        <v>0</v>
      </c>
      <c r="AO583" t="n">
        <v>0</v>
      </c>
      <c r="AP583" t="inlineStr">
        <is>
          <t>No</t>
        </is>
      </c>
      <c r="AQ583" t="inlineStr">
        <is>
          <t>Yes</t>
        </is>
      </c>
      <c r="AR583">
        <f>HYPERLINK("http://catalog.hathitrust.org/Record/006028161","HathiTrust Record")</f>
        <v/>
      </c>
      <c r="AS583">
        <f>HYPERLINK("https://creighton-primo.hosted.exlibrisgroup.com/primo-explore/search?tab=default_tab&amp;search_scope=EVERYTHING&amp;vid=01CRU&amp;lang=en_US&amp;offset=0&amp;query=any,contains,991004633349702656","Catalog Record")</f>
        <v/>
      </c>
      <c r="AT583">
        <f>HYPERLINK("http://www.worldcat.org/oclc/61274473","WorldCat Record")</f>
        <v/>
      </c>
      <c r="AU583" t="inlineStr">
        <is>
          <t>6700576:eng</t>
        </is>
      </c>
      <c r="AV583" t="inlineStr">
        <is>
          <t>61274473</t>
        </is>
      </c>
      <c r="AW583" t="inlineStr">
        <is>
          <t>991004633349702656</t>
        </is>
      </c>
      <c r="AX583" t="inlineStr">
        <is>
          <t>991004633349702656</t>
        </is>
      </c>
      <c r="AY583" t="inlineStr">
        <is>
          <t>2266171370002656</t>
        </is>
      </c>
      <c r="AZ583" t="inlineStr">
        <is>
          <t>BOOK</t>
        </is>
      </c>
      <c r="BB583" t="inlineStr">
        <is>
          <t>9780334030836</t>
        </is>
      </c>
      <c r="BC583" t="inlineStr">
        <is>
          <t>32285005081665</t>
        </is>
      </c>
      <c r="BD583" t="inlineStr">
        <is>
          <t>893241672</t>
        </is>
      </c>
    </row>
    <row r="584">
      <c r="A584" t="inlineStr">
        <is>
          <t>No</t>
        </is>
      </c>
      <c r="B584" t="inlineStr">
        <is>
          <t>BX1751.2.A1 C6 2005/5</t>
        </is>
      </c>
      <c r="C584" t="inlineStr">
        <is>
          <t>0                      BX 1751200A  1                  C  6           2005                  5</t>
        </is>
      </c>
      <c r="D584" t="inlineStr">
        <is>
          <t>Islam and enlightenment : new issues / edited by Erik Borgman and Pim Valkenberg.</t>
        </is>
      </c>
      <c r="F584" t="inlineStr">
        <is>
          <t>No</t>
        </is>
      </c>
      <c r="G584" t="inlineStr">
        <is>
          <t>1</t>
        </is>
      </c>
      <c r="H584" t="inlineStr">
        <is>
          <t>No</t>
        </is>
      </c>
      <c r="I584" t="inlineStr">
        <is>
          <t>No</t>
        </is>
      </c>
      <c r="J584" t="inlineStr">
        <is>
          <t>0</t>
        </is>
      </c>
      <c r="L584" t="inlineStr">
        <is>
          <t>London : SCM Press, c2005.</t>
        </is>
      </c>
      <c r="M584" t="inlineStr">
        <is>
          <t>2005</t>
        </is>
      </c>
      <c r="O584" t="inlineStr">
        <is>
          <t>eng</t>
        </is>
      </c>
      <c r="P584" t="inlineStr">
        <is>
          <t>enk</t>
        </is>
      </c>
      <c r="Q584" t="inlineStr">
        <is>
          <t>Concilium ; 2005/5</t>
        </is>
      </c>
      <c r="R584" t="inlineStr">
        <is>
          <t xml:space="preserve">BX </t>
        </is>
      </c>
      <c r="S584" t="n">
        <v>2</v>
      </c>
      <c r="T584" t="n">
        <v>2</v>
      </c>
      <c r="U584" t="inlineStr">
        <is>
          <t>2009-12-18</t>
        </is>
      </c>
      <c r="V584" t="inlineStr">
        <is>
          <t>2009-12-18</t>
        </is>
      </c>
      <c r="W584" t="inlineStr">
        <is>
          <t>2006-03-22</t>
        </is>
      </c>
      <c r="X584" t="inlineStr">
        <is>
          <t>2006-03-22</t>
        </is>
      </c>
      <c r="Y584" t="n">
        <v>224</v>
      </c>
      <c r="Z584" t="n">
        <v>162</v>
      </c>
      <c r="AA584" t="n">
        <v>168</v>
      </c>
      <c r="AB584" t="n">
        <v>1</v>
      </c>
      <c r="AC584" t="n">
        <v>1</v>
      </c>
      <c r="AD584" t="n">
        <v>21</v>
      </c>
      <c r="AE584" t="n">
        <v>21</v>
      </c>
      <c r="AF584" t="n">
        <v>7</v>
      </c>
      <c r="AG584" t="n">
        <v>7</v>
      </c>
      <c r="AH584" t="n">
        <v>6</v>
      </c>
      <c r="AI584" t="n">
        <v>6</v>
      </c>
      <c r="AJ584" t="n">
        <v>14</v>
      </c>
      <c r="AK584" t="n">
        <v>14</v>
      </c>
      <c r="AL584" t="n">
        <v>0</v>
      </c>
      <c r="AM584" t="n">
        <v>0</v>
      </c>
      <c r="AN584" t="n">
        <v>0</v>
      </c>
      <c r="AO584" t="n">
        <v>0</v>
      </c>
      <c r="AP584" t="inlineStr">
        <is>
          <t>No</t>
        </is>
      </c>
      <c r="AQ584" t="inlineStr">
        <is>
          <t>Yes</t>
        </is>
      </c>
      <c r="AR584">
        <f>HYPERLINK("http://catalog.hathitrust.org/Record/006023463","HathiTrust Record")</f>
        <v/>
      </c>
      <c r="AS584">
        <f>HYPERLINK("https://creighton-primo.hosted.exlibrisgroup.com/primo-explore/search?tab=default_tab&amp;search_scope=EVERYTHING&amp;vid=01CRU&amp;lang=en_US&amp;offset=0&amp;query=any,contains,991004774719702656","Catalog Record")</f>
        <v/>
      </c>
      <c r="AT584">
        <f>HYPERLINK("http://www.worldcat.org/oclc/64593718","WorldCat Record")</f>
        <v/>
      </c>
      <c r="AU584" t="inlineStr">
        <is>
          <t>891157366:eng</t>
        </is>
      </c>
      <c r="AV584" t="inlineStr">
        <is>
          <t>64593718</t>
        </is>
      </c>
      <c r="AW584" t="inlineStr">
        <is>
          <t>991004774719702656</t>
        </is>
      </c>
      <c r="AX584" t="inlineStr">
        <is>
          <t>991004774719702656</t>
        </is>
      </c>
      <c r="AY584" t="inlineStr">
        <is>
          <t>2264658800002656</t>
        </is>
      </c>
      <c r="AZ584" t="inlineStr">
        <is>
          <t>BOOK</t>
        </is>
      </c>
      <c r="BB584" t="inlineStr">
        <is>
          <t>9780334030867</t>
        </is>
      </c>
      <c r="BC584" t="inlineStr">
        <is>
          <t>32285005167209</t>
        </is>
      </c>
      <c r="BD584" t="inlineStr">
        <is>
          <t>893443039</t>
        </is>
      </c>
    </row>
    <row r="585">
      <c r="A585" t="inlineStr">
        <is>
          <t>No</t>
        </is>
      </c>
      <c r="B585" t="inlineStr">
        <is>
          <t>BX1751.2.A1 C6 2006/1</t>
        </is>
      </c>
      <c r="C585" t="inlineStr">
        <is>
          <t>0                      BX 1751200A  1                  C  6           2006                  1</t>
        </is>
      </c>
      <c r="D585" t="inlineStr">
        <is>
          <t>The new pontificate : a time for change? / edited by Erik Borgman, Maureen Junker-Kenny and Janet Martin Soskice.</t>
        </is>
      </c>
      <c r="F585" t="inlineStr">
        <is>
          <t>No</t>
        </is>
      </c>
      <c r="G585" t="inlineStr">
        <is>
          <t>1</t>
        </is>
      </c>
      <c r="H585" t="inlineStr">
        <is>
          <t>No</t>
        </is>
      </c>
      <c r="I585" t="inlineStr">
        <is>
          <t>No</t>
        </is>
      </c>
      <c r="J585" t="inlineStr">
        <is>
          <t>0</t>
        </is>
      </c>
      <c r="L585" t="inlineStr">
        <is>
          <t>London : SCM Press, c2006.</t>
        </is>
      </c>
      <c r="M585" t="inlineStr">
        <is>
          <t>2006</t>
        </is>
      </c>
      <c r="O585" t="inlineStr">
        <is>
          <t>eng</t>
        </is>
      </c>
      <c r="P585" t="inlineStr">
        <is>
          <t>enk</t>
        </is>
      </c>
      <c r="Q585" t="inlineStr">
        <is>
          <t>Concilium ; 2006/1</t>
        </is>
      </c>
      <c r="R585" t="inlineStr">
        <is>
          <t xml:space="preserve">BX </t>
        </is>
      </c>
      <c r="S585" t="n">
        <v>1</v>
      </c>
      <c r="T585" t="n">
        <v>1</v>
      </c>
      <c r="U585" t="inlineStr">
        <is>
          <t>2006-05-24</t>
        </is>
      </c>
      <c r="V585" t="inlineStr">
        <is>
          <t>2006-05-24</t>
        </is>
      </c>
      <c r="W585" t="inlineStr">
        <is>
          <t>2006-05-24</t>
        </is>
      </c>
      <c r="X585" t="inlineStr">
        <is>
          <t>2006-05-24</t>
        </is>
      </c>
      <c r="Y585" t="n">
        <v>217</v>
      </c>
      <c r="Z585" t="n">
        <v>153</v>
      </c>
      <c r="AA585" t="n">
        <v>154</v>
      </c>
      <c r="AB585" t="n">
        <v>1</v>
      </c>
      <c r="AC585" t="n">
        <v>1</v>
      </c>
      <c r="AD585" t="n">
        <v>20</v>
      </c>
      <c r="AE585" t="n">
        <v>20</v>
      </c>
      <c r="AF585" t="n">
        <v>7</v>
      </c>
      <c r="AG585" t="n">
        <v>7</v>
      </c>
      <c r="AH585" t="n">
        <v>5</v>
      </c>
      <c r="AI585" t="n">
        <v>5</v>
      </c>
      <c r="AJ585" t="n">
        <v>14</v>
      </c>
      <c r="AK585" t="n">
        <v>14</v>
      </c>
      <c r="AL585" t="n">
        <v>0</v>
      </c>
      <c r="AM585" t="n">
        <v>0</v>
      </c>
      <c r="AN585" t="n">
        <v>0</v>
      </c>
      <c r="AO585" t="n">
        <v>0</v>
      </c>
      <c r="AP585" t="inlineStr">
        <is>
          <t>No</t>
        </is>
      </c>
      <c r="AQ585" t="inlineStr">
        <is>
          <t>Yes</t>
        </is>
      </c>
      <c r="AR585">
        <f>HYPERLINK("http://catalog.hathitrust.org/Record/006019603","HathiTrust Record")</f>
        <v/>
      </c>
      <c r="AS585">
        <f>HYPERLINK("https://creighton-primo.hosted.exlibrisgroup.com/primo-explore/search?tab=default_tab&amp;search_scope=EVERYTHING&amp;vid=01CRU&amp;lang=en_US&amp;offset=0&amp;query=any,contains,991004821439702656","Catalog Record")</f>
        <v/>
      </c>
      <c r="AT585">
        <f>HYPERLINK("http://www.worldcat.org/oclc/68479889","WorldCat Record")</f>
        <v/>
      </c>
      <c r="AU585" t="inlineStr">
        <is>
          <t>890976974:eng</t>
        </is>
      </c>
      <c r="AV585" t="inlineStr">
        <is>
          <t>68479889</t>
        </is>
      </c>
      <c r="AW585" t="inlineStr">
        <is>
          <t>991004821439702656</t>
        </is>
      </c>
      <c r="AX585" t="inlineStr">
        <is>
          <t>991004821439702656</t>
        </is>
      </c>
      <c r="AY585" t="inlineStr">
        <is>
          <t>2256549110002656</t>
        </is>
      </c>
      <c r="AZ585" t="inlineStr">
        <is>
          <t>BOOK</t>
        </is>
      </c>
      <c r="BB585" t="inlineStr">
        <is>
          <t>9780334030874</t>
        </is>
      </c>
      <c r="BC585" t="inlineStr">
        <is>
          <t>32285005188205</t>
        </is>
      </c>
      <c r="BD585" t="inlineStr">
        <is>
          <t>893443093</t>
        </is>
      </c>
    </row>
    <row r="586">
      <c r="A586" t="inlineStr">
        <is>
          <t>No</t>
        </is>
      </c>
      <c r="B586" t="inlineStr">
        <is>
          <t>BX1751.2.A1 C6 2006/2</t>
        </is>
      </c>
      <c r="C586" t="inlineStr">
        <is>
          <t>0                      BX 1751200A  1                  C  6           2006                  2</t>
        </is>
      </c>
      <c r="D586" t="inlineStr">
        <is>
          <t>Theology in a world of specialization / edited by Erik Borgman and Felix Wilfred.</t>
        </is>
      </c>
      <c r="F586" t="inlineStr">
        <is>
          <t>No</t>
        </is>
      </c>
      <c r="G586" t="inlineStr">
        <is>
          <t>1</t>
        </is>
      </c>
      <c r="H586" t="inlineStr">
        <is>
          <t>No</t>
        </is>
      </c>
      <c r="I586" t="inlineStr">
        <is>
          <t>No</t>
        </is>
      </c>
      <c r="J586" t="inlineStr">
        <is>
          <t>0</t>
        </is>
      </c>
      <c r="L586" t="inlineStr">
        <is>
          <t>London : SCM Press, c2006.</t>
        </is>
      </c>
      <c r="M586" t="inlineStr">
        <is>
          <t>2006</t>
        </is>
      </c>
      <c r="O586" t="inlineStr">
        <is>
          <t>eng</t>
        </is>
      </c>
      <c r="P586" t="inlineStr">
        <is>
          <t>enk</t>
        </is>
      </c>
      <c r="Q586" t="inlineStr">
        <is>
          <t>Concilium ; 2006/2</t>
        </is>
      </c>
      <c r="R586" t="inlineStr">
        <is>
          <t xml:space="preserve">BX </t>
        </is>
      </c>
      <c r="S586" t="n">
        <v>1</v>
      </c>
      <c r="T586" t="n">
        <v>1</v>
      </c>
      <c r="U586" t="inlineStr">
        <is>
          <t>2006-08-01</t>
        </is>
      </c>
      <c r="V586" t="inlineStr">
        <is>
          <t>2006-08-01</t>
        </is>
      </c>
      <c r="W586" t="inlineStr">
        <is>
          <t>2006-08-01</t>
        </is>
      </c>
      <c r="X586" t="inlineStr">
        <is>
          <t>2006-08-01</t>
        </is>
      </c>
      <c r="Y586" t="n">
        <v>221</v>
      </c>
      <c r="Z586" t="n">
        <v>157</v>
      </c>
      <c r="AA586" t="n">
        <v>163</v>
      </c>
      <c r="AB586" t="n">
        <v>1</v>
      </c>
      <c r="AC586" t="n">
        <v>1</v>
      </c>
      <c r="AD586" t="n">
        <v>21</v>
      </c>
      <c r="AE586" t="n">
        <v>21</v>
      </c>
      <c r="AF586" t="n">
        <v>8</v>
      </c>
      <c r="AG586" t="n">
        <v>8</v>
      </c>
      <c r="AH586" t="n">
        <v>5</v>
      </c>
      <c r="AI586" t="n">
        <v>5</v>
      </c>
      <c r="AJ586" t="n">
        <v>15</v>
      </c>
      <c r="AK586" t="n">
        <v>15</v>
      </c>
      <c r="AL586" t="n">
        <v>0</v>
      </c>
      <c r="AM586" t="n">
        <v>0</v>
      </c>
      <c r="AN586" t="n">
        <v>0</v>
      </c>
      <c r="AO586" t="n">
        <v>0</v>
      </c>
      <c r="AP586" t="inlineStr">
        <is>
          <t>No</t>
        </is>
      </c>
      <c r="AQ586" t="inlineStr">
        <is>
          <t>Yes</t>
        </is>
      </c>
      <c r="AR586">
        <f>HYPERLINK("http://catalog.hathitrust.org/Record/006023169","HathiTrust Record")</f>
        <v/>
      </c>
      <c r="AS586">
        <f>HYPERLINK("https://creighton-primo.hosted.exlibrisgroup.com/primo-explore/search?tab=default_tab&amp;search_scope=EVERYTHING&amp;vid=01CRU&amp;lang=en_US&amp;offset=0&amp;query=any,contains,991004897169702656","Catalog Record")</f>
        <v/>
      </c>
      <c r="AT586">
        <f>HYPERLINK("http://www.worldcat.org/oclc/70243660","WorldCat Record")</f>
        <v/>
      </c>
      <c r="AU586" t="inlineStr">
        <is>
          <t>57459731:eng</t>
        </is>
      </c>
      <c r="AV586" t="inlineStr">
        <is>
          <t>70243660</t>
        </is>
      </c>
      <c r="AW586" t="inlineStr">
        <is>
          <t>991004897169702656</t>
        </is>
      </c>
      <c r="AX586" t="inlineStr">
        <is>
          <t>991004897169702656</t>
        </is>
      </c>
      <c r="AY586" t="inlineStr">
        <is>
          <t>2265932100002656</t>
        </is>
      </c>
      <c r="AZ586" t="inlineStr">
        <is>
          <t>BOOK</t>
        </is>
      </c>
      <c r="BB586" t="inlineStr">
        <is>
          <t>9780334030881</t>
        </is>
      </c>
      <c r="BC586" t="inlineStr">
        <is>
          <t>32285005199152</t>
        </is>
      </c>
      <c r="BD586" t="inlineStr">
        <is>
          <t>893436866</t>
        </is>
      </c>
    </row>
    <row r="587">
      <c r="A587" t="inlineStr">
        <is>
          <t>No</t>
        </is>
      </c>
      <c r="B587" t="inlineStr">
        <is>
          <t>BX1751.2.A1 C6 2006/4</t>
        </is>
      </c>
      <c r="C587" t="inlineStr">
        <is>
          <t>0                      BX 1751200A  1                  C  6           2006                  4</t>
        </is>
      </c>
      <c r="D587" t="inlineStr">
        <is>
          <t>African Christianities / edited by Éloi Messi Metogo.</t>
        </is>
      </c>
      <c r="F587" t="inlineStr">
        <is>
          <t>No</t>
        </is>
      </c>
      <c r="G587" t="inlineStr">
        <is>
          <t>1</t>
        </is>
      </c>
      <c r="H587" t="inlineStr">
        <is>
          <t>No</t>
        </is>
      </c>
      <c r="I587" t="inlineStr">
        <is>
          <t>No</t>
        </is>
      </c>
      <c r="J587" t="inlineStr">
        <is>
          <t>0</t>
        </is>
      </c>
      <c r="L587" t="inlineStr">
        <is>
          <t>London : SCM Press, c2006.</t>
        </is>
      </c>
      <c r="M587" t="inlineStr">
        <is>
          <t>2006</t>
        </is>
      </c>
      <c r="O587" t="inlineStr">
        <is>
          <t>eng</t>
        </is>
      </c>
      <c r="P587" t="inlineStr">
        <is>
          <t>enk</t>
        </is>
      </c>
      <c r="Q587" t="inlineStr">
        <is>
          <t>Concilium ; 2006/4</t>
        </is>
      </c>
      <c r="R587" t="inlineStr">
        <is>
          <t xml:space="preserve">BX </t>
        </is>
      </c>
      <c r="S587" t="n">
        <v>1</v>
      </c>
      <c r="T587" t="n">
        <v>1</v>
      </c>
      <c r="U587" t="inlineStr">
        <is>
          <t>2007-02-05</t>
        </is>
      </c>
      <c r="V587" t="inlineStr">
        <is>
          <t>2007-02-05</t>
        </is>
      </c>
      <c r="W587" t="inlineStr">
        <is>
          <t>2007-02-05</t>
        </is>
      </c>
      <c r="X587" t="inlineStr">
        <is>
          <t>2007-02-05</t>
        </is>
      </c>
      <c r="Y587" t="n">
        <v>226</v>
      </c>
      <c r="Z587" t="n">
        <v>158</v>
      </c>
      <c r="AA587" t="n">
        <v>159</v>
      </c>
      <c r="AB587" t="n">
        <v>1</v>
      </c>
      <c r="AC587" t="n">
        <v>1</v>
      </c>
      <c r="AD587" t="n">
        <v>21</v>
      </c>
      <c r="AE587" t="n">
        <v>21</v>
      </c>
      <c r="AF587" t="n">
        <v>8</v>
      </c>
      <c r="AG587" t="n">
        <v>8</v>
      </c>
      <c r="AH587" t="n">
        <v>5</v>
      </c>
      <c r="AI587" t="n">
        <v>5</v>
      </c>
      <c r="AJ587" t="n">
        <v>15</v>
      </c>
      <c r="AK587" t="n">
        <v>15</v>
      </c>
      <c r="AL587" t="n">
        <v>0</v>
      </c>
      <c r="AM587" t="n">
        <v>0</v>
      </c>
      <c r="AN587" t="n">
        <v>0</v>
      </c>
      <c r="AO587" t="n">
        <v>0</v>
      </c>
      <c r="AP587" t="inlineStr">
        <is>
          <t>No</t>
        </is>
      </c>
      <c r="AQ587" t="inlineStr">
        <is>
          <t>Yes</t>
        </is>
      </c>
      <c r="AR587">
        <f>HYPERLINK("http://catalog.hathitrust.org/Record/006027469","HathiTrust Record")</f>
        <v/>
      </c>
      <c r="AS587">
        <f>HYPERLINK("https://creighton-primo.hosted.exlibrisgroup.com/primo-explore/search?tab=default_tab&amp;search_scope=EVERYTHING&amp;vid=01CRU&amp;lang=en_US&amp;offset=0&amp;query=any,contains,991005036029702656","Catalog Record")</f>
        <v/>
      </c>
      <c r="AT587">
        <f>HYPERLINK("http://www.worldcat.org/oclc/77080714","WorldCat Record")</f>
        <v/>
      </c>
      <c r="AU587" t="inlineStr">
        <is>
          <t>62804533:eng</t>
        </is>
      </c>
      <c r="AV587" t="inlineStr">
        <is>
          <t>77080714</t>
        </is>
      </c>
      <c r="AW587" t="inlineStr">
        <is>
          <t>991005036029702656</t>
        </is>
      </c>
      <c r="AX587" t="inlineStr">
        <is>
          <t>991005036029702656</t>
        </is>
      </c>
      <c r="AY587" t="inlineStr">
        <is>
          <t>2257020280002656</t>
        </is>
      </c>
      <c r="AZ587" t="inlineStr">
        <is>
          <t>BOOK</t>
        </is>
      </c>
      <c r="BB587" t="inlineStr">
        <is>
          <t>9780334030904</t>
        </is>
      </c>
      <c r="BC587" t="inlineStr">
        <is>
          <t>32285005273387</t>
        </is>
      </c>
      <c r="BD587" t="inlineStr">
        <is>
          <t>893889576</t>
        </is>
      </c>
    </row>
    <row r="588">
      <c r="A588" t="inlineStr">
        <is>
          <t>No</t>
        </is>
      </c>
      <c r="B588" t="inlineStr">
        <is>
          <t>BX1751.2.A1 D6213 1989</t>
        </is>
      </c>
      <c r="C588" t="inlineStr">
        <is>
          <t>0                      BX 1751200A  1                  D  6213        1989</t>
        </is>
      </c>
      <c r="D588" t="inlineStr">
        <is>
          <t>Texts and documents, 1969-1985 / International Theological Commission ; with a foreword by Joseph Cardinal Ratzinger ; edited by Michael Sharkey.</t>
        </is>
      </c>
      <c r="F588" t="inlineStr">
        <is>
          <t>No</t>
        </is>
      </c>
      <c r="G588" t="inlineStr">
        <is>
          <t>1</t>
        </is>
      </c>
      <c r="H588" t="inlineStr">
        <is>
          <t>No</t>
        </is>
      </c>
      <c r="I588" t="inlineStr">
        <is>
          <t>No</t>
        </is>
      </c>
      <c r="J588" t="inlineStr">
        <is>
          <t>0</t>
        </is>
      </c>
      <c r="K588" t="inlineStr">
        <is>
          <t>Catholic Church. Commissio Theologica Internationalis.</t>
        </is>
      </c>
      <c r="L588" t="inlineStr">
        <is>
          <t>San Francisco : Ignatius Press, c1989.</t>
        </is>
      </c>
      <c r="M588" t="inlineStr">
        <is>
          <t>1989</t>
        </is>
      </c>
      <c r="O588" t="inlineStr">
        <is>
          <t>eng</t>
        </is>
      </c>
      <c r="P588" t="inlineStr">
        <is>
          <t>cau</t>
        </is>
      </c>
      <c r="R588" t="inlineStr">
        <is>
          <t xml:space="preserve">BX </t>
        </is>
      </c>
      <c r="S588" t="n">
        <v>2</v>
      </c>
      <c r="T588" t="n">
        <v>2</v>
      </c>
      <c r="U588" t="inlineStr">
        <is>
          <t>2007-10-18</t>
        </is>
      </c>
      <c r="V588" t="inlineStr">
        <is>
          <t>2007-10-18</t>
        </is>
      </c>
      <c r="W588" t="inlineStr">
        <is>
          <t>1990-02-09</t>
        </is>
      </c>
      <c r="X588" t="inlineStr">
        <is>
          <t>1990-02-09</t>
        </is>
      </c>
      <c r="Y588" t="n">
        <v>155</v>
      </c>
      <c r="Z588" t="n">
        <v>134</v>
      </c>
      <c r="AA588" t="n">
        <v>135</v>
      </c>
      <c r="AB588" t="n">
        <v>2</v>
      </c>
      <c r="AC588" t="n">
        <v>2</v>
      </c>
      <c r="AD588" t="n">
        <v>18</v>
      </c>
      <c r="AE588" t="n">
        <v>18</v>
      </c>
      <c r="AF588" t="n">
        <v>6</v>
      </c>
      <c r="AG588" t="n">
        <v>6</v>
      </c>
      <c r="AH588" t="n">
        <v>5</v>
      </c>
      <c r="AI588" t="n">
        <v>5</v>
      </c>
      <c r="AJ588" t="n">
        <v>12</v>
      </c>
      <c r="AK588" t="n">
        <v>12</v>
      </c>
      <c r="AL588" t="n">
        <v>0</v>
      </c>
      <c r="AM588" t="n">
        <v>0</v>
      </c>
      <c r="AN588" t="n">
        <v>0</v>
      </c>
      <c r="AO588" t="n">
        <v>0</v>
      </c>
      <c r="AP588" t="inlineStr">
        <is>
          <t>No</t>
        </is>
      </c>
      <c r="AQ588" t="inlineStr">
        <is>
          <t>Yes</t>
        </is>
      </c>
      <c r="AR588">
        <f>HYPERLINK("http://catalog.hathitrust.org/Record/101905459","HathiTrust Record")</f>
        <v/>
      </c>
      <c r="AS588">
        <f>HYPERLINK("https://creighton-primo.hosted.exlibrisgroup.com/primo-explore/search?tab=default_tab&amp;search_scope=EVERYTHING&amp;vid=01CRU&amp;lang=en_US&amp;offset=0&amp;query=any,contains,991001509479702656","Catalog Record")</f>
        <v/>
      </c>
      <c r="AT588">
        <f>HYPERLINK("http://www.worldcat.org/oclc/20635095","WorldCat Record")</f>
        <v/>
      </c>
      <c r="AU588" t="inlineStr">
        <is>
          <t>2062468013:eng</t>
        </is>
      </c>
      <c r="AV588" t="inlineStr">
        <is>
          <t>20635095</t>
        </is>
      </c>
      <c r="AW588" t="inlineStr">
        <is>
          <t>991001509479702656</t>
        </is>
      </c>
      <c r="AX588" t="inlineStr">
        <is>
          <t>991001509479702656</t>
        </is>
      </c>
      <c r="AY588" t="inlineStr">
        <is>
          <t>2264224370002656</t>
        </is>
      </c>
      <c r="AZ588" t="inlineStr">
        <is>
          <t>BOOK</t>
        </is>
      </c>
      <c r="BB588" t="inlineStr">
        <is>
          <t>9780898702279</t>
        </is>
      </c>
      <c r="BC588" t="inlineStr">
        <is>
          <t>32285000045095</t>
        </is>
      </c>
      <c r="BD588" t="inlineStr">
        <is>
          <t>893684372</t>
        </is>
      </c>
    </row>
    <row r="589">
      <c r="A589" t="inlineStr">
        <is>
          <t>No</t>
        </is>
      </c>
      <c r="B589" t="inlineStr">
        <is>
          <t>BX1751.2.A1 S413</t>
        </is>
      </c>
      <c r="C589" t="inlineStr">
        <is>
          <t>0                      BX 1751200A  1                  S  413</t>
        </is>
      </c>
      <c r="D589" t="inlineStr">
        <is>
          <t>A theology for artisans of a new humanity.</t>
        </is>
      </c>
      <c r="E589" t="inlineStr">
        <is>
          <t>V. 3</t>
        </is>
      </c>
      <c r="F589" t="inlineStr">
        <is>
          <t>Yes</t>
        </is>
      </c>
      <c r="G589" t="inlineStr">
        <is>
          <t>1</t>
        </is>
      </c>
      <c r="H589" t="inlineStr">
        <is>
          <t>No</t>
        </is>
      </c>
      <c r="I589" t="inlineStr">
        <is>
          <t>No</t>
        </is>
      </c>
      <c r="J589" t="inlineStr">
        <is>
          <t>0</t>
        </is>
      </c>
      <c r="K589" t="inlineStr">
        <is>
          <t>Segundo, Juan Luis.</t>
        </is>
      </c>
      <c r="L589" t="inlineStr">
        <is>
          <t>[Maryknoll, N.Y.] Orbis Books [1973-74]</t>
        </is>
      </c>
      <c r="M589" t="inlineStr">
        <is>
          <t>1973</t>
        </is>
      </c>
      <c r="O589" t="inlineStr">
        <is>
          <t>eng</t>
        </is>
      </c>
      <c r="P589" t="inlineStr">
        <is>
          <t>nyu</t>
        </is>
      </c>
      <c r="R589" t="inlineStr">
        <is>
          <t xml:space="preserve">BX </t>
        </is>
      </c>
      <c r="S589" t="n">
        <v>1</v>
      </c>
      <c r="T589" t="n">
        <v>10</v>
      </c>
      <c r="V589" t="inlineStr">
        <is>
          <t>2008-04-04</t>
        </is>
      </c>
      <c r="W589" t="inlineStr">
        <is>
          <t>1992-12-18</t>
        </is>
      </c>
      <c r="X589" t="inlineStr">
        <is>
          <t>1992-12-18</t>
        </is>
      </c>
      <c r="Y589" t="n">
        <v>168</v>
      </c>
      <c r="Z589" t="n">
        <v>153</v>
      </c>
      <c r="AA589" t="n">
        <v>158</v>
      </c>
      <c r="AB589" t="n">
        <v>3</v>
      </c>
      <c r="AC589" t="n">
        <v>3</v>
      </c>
      <c r="AD589" t="n">
        <v>9</v>
      </c>
      <c r="AE589" t="n">
        <v>9</v>
      </c>
      <c r="AF589" t="n">
        <v>2</v>
      </c>
      <c r="AG589" t="n">
        <v>2</v>
      </c>
      <c r="AH589" t="n">
        <v>3</v>
      </c>
      <c r="AI589" t="n">
        <v>3</v>
      </c>
      <c r="AJ589" t="n">
        <v>4</v>
      </c>
      <c r="AK589" t="n">
        <v>4</v>
      </c>
      <c r="AL589" t="n">
        <v>2</v>
      </c>
      <c r="AM589" t="n">
        <v>2</v>
      </c>
      <c r="AN589" t="n">
        <v>0</v>
      </c>
      <c r="AO589" t="n">
        <v>0</v>
      </c>
      <c r="AP589" t="inlineStr">
        <is>
          <t>No</t>
        </is>
      </c>
      <c r="AQ589" t="inlineStr">
        <is>
          <t>Yes</t>
        </is>
      </c>
      <c r="AR589">
        <f>HYPERLINK("http://catalog.hathitrust.org/Record/009957893","HathiTrust Record")</f>
        <v/>
      </c>
      <c r="AS589">
        <f>HYPERLINK("https://creighton-primo.hosted.exlibrisgroup.com/primo-explore/search?tab=default_tab&amp;search_scope=EVERYTHING&amp;vid=01CRU&amp;lang=en_US&amp;offset=0&amp;query=any,contains,991003081269702656","Catalog Record")</f>
        <v/>
      </c>
      <c r="AT589">
        <f>HYPERLINK("http://www.worldcat.org/oclc/633358","WorldCat Record")</f>
        <v/>
      </c>
      <c r="AU589" t="inlineStr">
        <is>
          <t>3374661466:eng</t>
        </is>
      </c>
      <c r="AV589" t="inlineStr">
        <is>
          <t>633358</t>
        </is>
      </c>
      <c r="AW589" t="inlineStr">
        <is>
          <t>991003081269702656</t>
        </is>
      </c>
      <c r="AX589" t="inlineStr">
        <is>
          <t>991003081269702656</t>
        </is>
      </c>
      <c r="AY589" t="inlineStr">
        <is>
          <t>2263464280002656</t>
        </is>
      </c>
      <c r="AZ589" t="inlineStr">
        <is>
          <t>BOOK</t>
        </is>
      </c>
      <c r="BB589" t="inlineStr">
        <is>
          <t>9780883444801</t>
        </is>
      </c>
      <c r="BC589" t="inlineStr">
        <is>
          <t>32285001444404</t>
        </is>
      </c>
      <c r="BD589" t="inlineStr">
        <is>
          <t>893893353</t>
        </is>
      </c>
    </row>
    <row r="590">
      <c r="A590" t="inlineStr">
        <is>
          <t>No</t>
        </is>
      </c>
      <c r="B590" t="inlineStr">
        <is>
          <t>BX1751.2.A1 S413</t>
        </is>
      </c>
      <c r="C590" t="inlineStr">
        <is>
          <t>0                      BX 1751200A  1                  S  413</t>
        </is>
      </c>
      <c r="D590" t="inlineStr">
        <is>
          <t>A theology for artisans of a new humanity.</t>
        </is>
      </c>
      <c r="E590" t="inlineStr">
        <is>
          <t>V. 1</t>
        </is>
      </c>
      <c r="F590" t="inlineStr">
        <is>
          <t>Yes</t>
        </is>
      </c>
      <c r="G590" t="inlineStr">
        <is>
          <t>1</t>
        </is>
      </c>
      <c r="H590" t="inlineStr">
        <is>
          <t>No</t>
        </is>
      </c>
      <c r="I590" t="inlineStr">
        <is>
          <t>No</t>
        </is>
      </c>
      <c r="J590" t="inlineStr">
        <is>
          <t>0</t>
        </is>
      </c>
      <c r="K590" t="inlineStr">
        <is>
          <t>Segundo, Juan Luis.</t>
        </is>
      </c>
      <c r="L590" t="inlineStr">
        <is>
          <t>[Maryknoll, N.Y.] Orbis Books [1973-74]</t>
        </is>
      </c>
      <c r="M590" t="inlineStr">
        <is>
          <t>1973</t>
        </is>
      </c>
      <c r="O590" t="inlineStr">
        <is>
          <t>eng</t>
        </is>
      </c>
      <c r="P590" t="inlineStr">
        <is>
          <t>nyu</t>
        </is>
      </c>
      <c r="R590" t="inlineStr">
        <is>
          <t xml:space="preserve">BX </t>
        </is>
      </c>
      <c r="S590" t="n">
        <v>0</v>
      </c>
      <c r="T590" t="n">
        <v>10</v>
      </c>
      <c r="V590" t="inlineStr">
        <is>
          <t>2008-04-04</t>
        </is>
      </c>
      <c r="W590" t="inlineStr">
        <is>
          <t>1991-05-08</t>
        </is>
      </c>
      <c r="X590" t="inlineStr">
        <is>
          <t>1992-12-18</t>
        </is>
      </c>
      <c r="Y590" t="n">
        <v>168</v>
      </c>
      <c r="Z590" t="n">
        <v>153</v>
      </c>
      <c r="AA590" t="n">
        <v>158</v>
      </c>
      <c r="AB590" t="n">
        <v>3</v>
      </c>
      <c r="AC590" t="n">
        <v>3</v>
      </c>
      <c r="AD590" t="n">
        <v>9</v>
      </c>
      <c r="AE590" t="n">
        <v>9</v>
      </c>
      <c r="AF590" t="n">
        <v>2</v>
      </c>
      <c r="AG590" t="n">
        <v>2</v>
      </c>
      <c r="AH590" t="n">
        <v>3</v>
      </c>
      <c r="AI590" t="n">
        <v>3</v>
      </c>
      <c r="AJ590" t="n">
        <v>4</v>
      </c>
      <c r="AK590" t="n">
        <v>4</v>
      </c>
      <c r="AL590" t="n">
        <v>2</v>
      </c>
      <c r="AM590" t="n">
        <v>2</v>
      </c>
      <c r="AN590" t="n">
        <v>0</v>
      </c>
      <c r="AO590" t="n">
        <v>0</v>
      </c>
      <c r="AP590" t="inlineStr">
        <is>
          <t>No</t>
        </is>
      </c>
      <c r="AQ590" t="inlineStr">
        <is>
          <t>Yes</t>
        </is>
      </c>
      <c r="AR590">
        <f>HYPERLINK("http://catalog.hathitrust.org/Record/009957893","HathiTrust Record")</f>
        <v/>
      </c>
      <c r="AS590">
        <f>HYPERLINK("https://creighton-primo.hosted.exlibrisgroup.com/primo-explore/search?tab=default_tab&amp;search_scope=EVERYTHING&amp;vid=01CRU&amp;lang=en_US&amp;offset=0&amp;query=any,contains,991003081269702656","Catalog Record")</f>
        <v/>
      </c>
      <c r="AT590">
        <f>HYPERLINK("http://www.worldcat.org/oclc/633358","WorldCat Record")</f>
        <v/>
      </c>
      <c r="AU590" t="inlineStr">
        <is>
          <t>3374661466:eng</t>
        </is>
      </c>
      <c r="AV590" t="inlineStr">
        <is>
          <t>633358</t>
        </is>
      </c>
      <c r="AW590" t="inlineStr">
        <is>
          <t>991003081269702656</t>
        </is>
      </c>
      <c r="AX590" t="inlineStr">
        <is>
          <t>991003081269702656</t>
        </is>
      </c>
      <c r="AY590" t="inlineStr">
        <is>
          <t>2263464280002656</t>
        </is>
      </c>
      <c r="AZ590" t="inlineStr">
        <is>
          <t>BOOK</t>
        </is>
      </c>
      <c r="BB590" t="inlineStr">
        <is>
          <t>9780883444801</t>
        </is>
      </c>
      <c r="BC590" t="inlineStr">
        <is>
          <t>32285000607878</t>
        </is>
      </c>
      <c r="BD590" t="inlineStr">
        <is>
          <t>893887117</t>
        </is>
      </c>
    </row>
    <row r="591">
      <c r="A591" t="inlineStr">
        <is>
          <t>No</t>
        </is>
      </c>
      <c r="B591" t="inlineStr">
        <is>
          <t>BX1751.2.A1 S413</t>
        </is>
      </c>
      <c r="C591" t="inlineStr">
        <is>
          <t>0                      BX 1751200A  1                  S  413</t>
        </is>
      </c>
      <c r="D591" t="inlineStr">
        <is>
          <t>A theology for artisans of a new humanity.</t>
        </is>
      </c>
      <c r="E591" t="inlineStr">
        <is>
          <t>V. 2</t>
        </is>
      </c>
      <c r="F591" t="inlineStr">
        <is>
          <t>Yes</t>
        </is>
      </c>
      <c r="G591" t="inlineStr">
        <is>
          <t>1</t>
        </is>
      </c>
      <c r="H591" t="inlineStr">
        <is>
          <t>No</t>
        </is>
      </c>
      <c r="I591" t="inlineStr">
        <is>
          <t>No</t>
        </is>
      </c>
      <c r="J591" t="inlineStr">
        <is>
          <t>0</t>
        </is>
      </c>
      <c r="K591" t="inlineStr">
        <is>
          <t>Segundo, Juan Luis.</t>
        </is>
      </c>
      <c r="L591" t="inlineStr">
        <is>
          <t>[Maryknoll, N.Y.] Orbis Books [1973-74]</t>
        </is>
      </c>
      <c r="M591" t="inlineStr">
        <is>
          <t>1973</t>
        </is>
      </c>
      <c r="O591" t="inlineStr">
        <is>
          <t>eng</t>
        </is>
      </c>
      <c r="P591" t="inlineStr">
        <is>
          <t>nyu</t>
        </is>
      </c>
      <c r="R591" t="inlineStr">
        <is>
          <t xml:space="preserve">BX </t>
        </is>
      </c>
      <c r="S591" t="n">
        <v>6</v>
      </c>
      <c r="T591" t="n">
        <v>10</v>
      </c>
      <c r="U591" t="inlineStr">
        <is>
          <t>2008-04-04</t>
        </is>
      </c>
      <c r="V591" t="inlineStr">
        <is>
          <t>2008-04-04</t>
        </is>
      </c>
      <c r="W591" t="inlineStr">
        <is>
          <t>1991-05-08</t>
        </is>
      </c>
      <c r="X591" t="inlineStr">
        <is>
          <t>1992-12-18</t>
        </is>
      </c>
      <c r="Y591" t="n">
        <v>168</v>
      </c>
      <c r="Z591" t="n">
        <v>153</v>
      </c>
      <c r="AA591" t="n">
        <v>158</v>
      </c>
      <c r="AB591" t="n">
        <v>3</v>
      </c>
      <c r="AC591" t="n">
        <v>3</v>
      </c>
      <c r="AD591" t="n">
        <v>9</v>
      </c>
      <c r="AE591" t="n">
        <v>9</v>
      </c>
      <c r="AF591" t="n">
        <v>2</v>
      </c>
      <c r="AG591" t="n">
        <v>2</v>
      </c>
      <c r="AH591" t="n">
        <v>3</v>
      </c>
      <c r="AI591" t="n">
        <v>3</v>
      </c>
      <c r="AJ591" t="n">
        <v>4</v>
      </c>
      <c r="AK591" t="n">
        <v>4</v>
      </c>
      <c r="AL591" t="n">
        <v>2</v>
      </c>
      <c r="AM591" t="n">
        <v>2</v>
      </c>
      <c r="AN591" t="n">
        <v>0</v>
      </c>
      <c r="AO591" t="n">
        <v>0</v>
      </c>
      <c r="AP591" t="inlineStr">
        <is>
          <t>No</t>
        </is>
      </c>
      <c r="AQ591" t="inlineStr">
        <is>
          <t>Yes</t>
        </is>
      </c>
      <c r="AR591">
        <f>HYPERLINK("http://catalog.hathitrust.org/Record/009957893","HathiTrust Record")</f>
        <v/>
      </c>
      <c r="AS591">
        <f>HYPERLINK("https://creighton-primo.hosted.exlibrisgroup.com/primo-explore/search?tab=default_tab&amp;search_scope=EVERYTHING&amp;vid=01CRU&amp;lang=en_US&amp;offset=0&amp;query=any,contains,991003081269702656","Catalog Record")</f>
        <v/>
      </c>
      <c r="AT591">
        <f>HYPERLINK("http://www.worldcat.org/oclc/633358","WorldCat Record")</f>
        <v/>
      </c>
      <c r="AU591" t="inlineStr">
        <is>
          <t>3374661466:eng</t>
        </is>
      </c>
      <c r="AV591" t="inlineStr">
        <is>
          <t>633358</t>
        </is>
      </c>
      <c r="AW591" t="inlineStr">
        <is>
          <t>991003081269702656</t>
        </is>
      </c>
      <c r="AX591" t="inlineStr">
        <is>
          <t>991003081269702656</t>
        </is>
      </c>
      <c r="AY591" t="inlineStr">
        <is>
          <t>2263464280002656</t>
        </is>
      </c>
      <c r="AZ591" t="inlineStr">
        <is>
          <t>BOOK</t>
        </is>
      </c>
      <c r="BB591" t="inlineStr">
        <is>
          <t>9780883444801</t>
        </is>
      </c>
      <c r="BC591" t="inlineStr">
        <is>
          <t>32285000607860</t>
        </is>
      </c>
      <c r="BD591" t="inlineStr">
        <is>
          <t>893887118</t>
        </is>
      </c>
    </row>
    <row r="592">
      <c r="A592" t="inlineStr">
        <is>
          <t>No</t>
        </is>
      </c>
      <c r="B592" t="inlineStr">
        <is>
          <t>BX1751.2.A1 S413</t>
        </is>
      </c>
      <c r="C592" t="inlineStr">
        <is>
          <t>0                      BX 1751200A  1                  S  413</t>
        </is>
      </c>
      <c r="D592" t="inlineStr">
        <is>
          <t>A theology for artisans of a new humanity.</t>
        </is>
      </c>
      <c r="E592" t="inlineStr">
        <is>
          <t>V. 5</t>
        </is>
      </c>
      <c r="F592" t="inlineStr">
        <is>
          <t>Yes</t>
        </is>
      </c>
      <c r="G592" t="inlineStr">
        <is>
          <t>1</t>
        </is>
      </c>
      <c r="H592" t="inlineStr">
        <is>
          <t>No</t>
        </is>
      </c>
      <c r="I592" t="inlineStr">
        <is>
          <t>No</t>
        </is>
      </c>
      <c r="J592" t="inlineStr">
        <is>
          <t>0</t>
        </is>
      </c>
      <c r="K592" t="inlineStr">
        <is>
          <t>Segundo, Juan Luis.</t>
        </is>
      </c>
      <c r="L592" t="inlineStr">
        <is>
          <t>[Maryknoll, N.Y.] Orbis Books [1973-74]</t>
        </is>
      </c>
      <c r="M592" t="inlineStr">
        <is>
          <t>1973</t>
        </is>
      </c>
      <c r="O592" t="inlineStr">
        <is>
          <t>eng</t>
        </is>
      </c>
      <c r="P592" t="inlineStr">
        <is>
          <t>nyu</t>
        </is>
      </c>
      <c r="R592" t="inlineStr">
        <is>
          <t xml:space="preserve">BX </t>
        </is>
      </c>
      <c r="S592" t="n">
        <v>0</v>
      </c>
      <c r="T592" t="n">
        <v>10</v>
      </c>
      <c r="V592" t="inlineStr">
        <is>
          <t>2008-04-04</t>
        </is>
      </c>
      <c r="W592" t="inlineStr">
        <is>
          <t>1991-05-08</t>
        </is>
      </c>
      <c r="X592" t="inlineStr">
        <is>
          <t>1992-12-18</t>
        </is>
      </c>
      <c r="Y592" t="n">
        <v>168</v>
      </c>
      <c r="Z592" t="n">
        <v>153</v>
      </c>
      <c r="AA592" t="n">
        <v>158</v>
      </c>
      <c r="AB592" t="n">
        <v>3</v>
      </c>
      <c r="AC592" t="n">
        <v>3</v>
      </c>
      <c r="AD592" t="n">
        <v>9</v>
      </c>
      <c r="AE592" t="n">
        <v>9</v>
      </c>
      <c r="AF592" t="n">
        <v>2</v>
      </c>
      <c r="AG592" t="n">
        <v>2</v>
      </c>
      <c r="AH592" t="n">
        <v>3</v>
      </c>
      <c r="AI592" t="n">
        <v>3</v>
      </c>
      <c r="AJ592" t="n">
        <v>4</v>
      </c>
      <c r="AK592" t="n">
        <v>4</v>
      </c>
      <c r="AL592" t="n">
        <v>2</v>
      </c>
      <c r="AM592" t="n">
        <v>2</v>
      </c>
      <c r="AN592" t="n">
        <v>0</v>
      </c>
      <c r="AO592" t="n">
        <v>0</v>
      </c>
      <c r="AP592" t="inlineStr">
        <is>
          <t>No</t>
        </is>
      </c>
      <c r="AQ592" t="inlineStr">
        <is>
          <t>Yes</t>
        </is>
      </c>
      <c r="AR592">
        <f>HYPERLINK("http://catalog.hathitrust.org/Record/009957893","HathiTrust Record")</f>
        <v/>
      </c>
      <c r="AS592">
        <f>HYPERLINK("https://creighton-primo.hosted.exlibrisgroup.com/primo-explore/search?tab=default_tab&amp;search_scope=EVERYTHING&amp;vid=01CRU&amp;lang=en_US&amp;offset=0&amp;query=any,contains,991003081269702656","Catalog Record")</f>
        <v/>
      </c>
      <c r="AT592">
        <f>HYPERLINK("http://www.worldcat.org/oclc/633358","WorldCat Record")</f>
        <v/>
      </c>
      <c r="AU592" t="inlineStr">
        <is>
          <t>3374661466:eng</t>
        </is>
      </c>
      <c r="AV592" t="inlineStr">
        <is>
          <t>633358</t>
        </is>
      </c>
      <c r="AW592" t="inlineStr">
        <is>
          <t>991003081269702656</t>
        </is>
      </c>
      <c r="AX592" t="inlineStr">
        <is>
          <t>991003081269702656</t>
        </is>
      </c>
      <c r="AY592" t="inlineStr">
        <is>
          <t>2263464280002656</t>
        </is>
      </c>
      <c r="AZ592" t="inlineStr">
        <is>
          <t>BOOK</t>
        </is>
      </c>
      <c r="BB592" t="inlineStr">
        <is>
          <t>9780883444801</t>
        </is>
      </c>
      <c r="BC592" t="inlineStr">
        <is>
          <t>32285000607845</t>
        </is>
      </c>
      <c r="BD592" t="inlineStr">
        <is>
          <t>893887116</t>
        </is>
      </c>
    </row>
    <row r="593">
      <c r="A593" t="inlineStr">
        <is>
          <t>No</t>
        </is>
      </c>
      <c r="B593" t="inlineStr">
        <is>
          <t>BX1751.2.A1 S413</t>
        </is>
      </c>
      <c r="C593" t="inlineStr">
        <is>
          <t>0                      BX 1751200A  1                  S  413</t>
        </is>
      </c>
      <c r="D593" t="inlineStr">
        <is>
          <t>A theology for artisans of a new humanity.</t>
        </is>
      </c>
      <c r="E593" t="inlineStr">
        <is>
          <t>V. 4</t>
        </is>
      </c>
      <c r="F593" t="inlineStr">
        <is>
          <t>Yes</t>
        </is>
      </c>
      <c r="G593" t="inlineStr">
        <is>
          <t>1</t>
        </is>
      </c>
      <c r="H593" t="inlineStr">
        <is>
          <t>No</t>
        </is>
      </c>
      <c r="I593" t="inlineStr">
        <is>
          <t>No</t>
        </is>
      </c>
      <c r="J593" t="inlineStr">
        <is>
          <t>0</t>
        </is>
      </c>
      <c r="K593" t="inlineStr">
        <is>
          <t>Segundo, Juan Luis.</t>
        </is>
      </c>
      <c r="L593" t="inlineStr">
        <is>
          <t>[Maryknoll, N.Y.] Orbis Books [1973-74]</t>
        </is>
      </c>
      <c r="M593" t="inlineStr">
        <is>
          <t>1973</t>
        </is>
      </c>
      <c r="O593" t="inlineStr">
        <is>
          <t>eng</t>
        </is>
      </c>
      <c r="P593" t="inlineStr">
        <is>
          <t>nyu</t>
        </is>
      </c>
      <c r="R593" t="inlineStr">
        <is>
          <t xml:space="preserve">BX </t>
        </is>
      </c>
      <c r="S593" t="n">
        <v>3</v>
      </c>
      <c r="T593" t="n">
        <v>10</v>
      </c>
      <c r="U593" t="inlineStr">
        <is>
          <t>1995-11-16</t>
        </is>
      </c>
      <c r="V593" t="inlineStr">
        <is>
          <t>2008-04-04</t>
        </is>
      </c>
      <c r="W593" t="inlineStr">
        <is>
          <t>1991-05-08</t>
        </is>
      </c>
      <c r="X593" t="inlineStr">
        <is>
          <t>1992-12-18</t>
        </is>
      </c>
      <c r="Y593" t="n">
        <v>168</v>
      </c>
      <c r="Z593" t="n">
        <v>153</v>
      </c>
      <c r="AA593" t="n">
        <v>158</v>
      </c>
      <c r="AB593" t="n">
        <v>3</v>
      </c>
      <c r="AC593" t="n">
        <v>3</v>
      </c>
      <c r="AD593" t="n">
        <v>9</v>
      </c>
      <c r="AE593" t="n">
        <v>9</v>
      </c>
      <c r="AF593" t="n">
        <v>2</v>
      </c>
      <c r="AG593" t="n">
        <v>2</v>
      </c>
      <c r="AH593" t="n">
        <v>3</v>
      </c>
      <c r="AI593" t="n">
        <v>3</v>
      </c>
      <c r="AJ593" t="n">
        <v>4</v>
      </c>
      <c r="AK593" t="n">
        <v>4</v>
      </c>
      <c r="AL593" t="n">
        <v>2</v>
      </c>
      <c r="AM593" t="n">
        <v>2</v>
      </c>
      <c r="AN593" t="n">
        <v>0</v>
      </c>
      <c r="AO593" t="n">
        <v>0</v>
      </c>
      <c r="AP593" t="inlineStr">
        <is>
          <t>No</t>
        </is>
      </c>
      <c r="AQ593" t="inlineStr">
        <is>
          <t>Yes</t>
        </is>
      </c>
      <c r="AR593">
        <f>HYPERLINK("http://catalog.hathitrust.org/Record/009957893","HathiTrust Record")</f>
        <v/>
      </c>
      <c r="AS593">
        <f>HYPERLINK("https://creighton-primo.hosted.exlibrisgroup.com/primo-explore/search?tab=default_tab&amp;search_scope=EVERYTHING&amp;vid=01CRU&amp;lang=en_US&amp;offset=0&amp;query=any,contains,991003081269702656","Catalog Record")</f>
        <v/>
      </c>
      <c r="AT593">
        <f>HYPERLINK("http://www.worldcat.org/oclc/633358","WorldCat Record")</f>
        <v/>
      </c>
      <c r="AU593" t="inlineStr">
        <is>
          <t>3374661466:eng</t>
        </is>
      </c>
      <c r="AV593" t="inlineStr">
        <is>
          <t>633358</t>
        </is>
      </c>
      <c r="AW593" t="inlineStr">
        <is>
          <t>991003081269702656</t>
        </is>
      </c>
      <c r="AX593" t="inlineStr">
        <is>
          <t>991003081269702656</t>
        </is>
      </c>
      <c r="AY593" t="inlineStr">
        <is>
          <t>2263464280002656</t>
        </is>
      </c>
      <c r="AZ593" t="inlineStr">
        <is>
          <t>BOOK</t>
        </is>
      </c>
      <c r="BB593" t="inlineStr">
        <is>
          <t>9780883444801</t>
        </is>
      </c>
      <c r="BC593" t="inlineStr">
        <is>
          <t>32285000607852</t>
        </is>
      </c>
      <c r="BD593" t="inlineStr">
        <is>
          <t>893880803</t>
        </is>
      </c>
    </row>
    <row r="594">
      <c r="A594" t="inlineStr">
        <is>
          <t>No</t>
        </is>
      </c>
      <c r="B594" t="inlineStr">
        <is>
          <t>BX1751.3 .B45 2005</t>
        </is>
      </c>
      <c r="C594" t="inlineStr">
        <is>
          <t>0                      BX 1751300B  45          2005</t>
        </is>
      </c>
      <c r="D594" t="inlineStr">
        <is>
          <t>Believing scholars : ten Catholic intellectuals / edited by James L. Heft.</t>
        </is>
      </c>
      <c r="F594" t="inlineStr">
        <is>
          <t>No</t>
        </is>
      </c>
      <c r="G594" t="inlineStr">
        <is>
          <t>1</t>
        </is>
      </c>
      <c r="H594" t="inlineStr">
        <is>
          <t>No</t>
        </is>
      </c>
      <c r="I594" t="inlineStr">
        <is>
          <t>No</t>
        </is>
      </c>
      <c r="J594" t="inlineStr">
        <is>
          <t>0</t>
        </is>
      </c>
      <c r="L594" t="inlineStr">
        <is>
          <t>New York : Fordham University Press, 2005.</t>
        </is>
      </c>
      <c r="M594" t="inlineStr">
        <is>
          <t>2005</t>
        </is>
      </c>
      <c r="N594" t="inlineStr">
        <is>
          <t>1st ed.</t>
        </is>
      </c>
      <c r="O594" t="inlineStr">
        <is>
          <t>eng</t>
        </is>
      </c>
      <c r="P594" t="inlineStr">
        <is>
          <t>nyu</t>
        </is>
      </c>
      <c r="R594" t="inlineStr">
        <is>
          <t xml:space="preserve">BX </t>
        </is>
      </c>
      <c r="S594" t="n">
        <v>2</v>
      </c>
      <c r="T594" t="n">
        <v>2</v>
      </c>
      <c r="U594" t="inlineStr">
        <is>
          <t>2007-12-05</t>
        </is>
      </c>
      <c r="V594" t="inlineStr">
        <is>
          <t>2007-12-05</t>
        </is>
      </c>
      <c r="W594" t="inlineStr">
        <is>
          <t>2007-12-05</t>
        </is>
      </c>
      <c r="X594" t="inlineStr">
        <is>
          <t>2007-12-05</t>
        </is>
      </c>
      <c r="Y594" t="n">
        <v>219</v>
      </c>
      <c r="Z594" t="n">
        <v>186</v>
      </c>
      <c r="AA594" t="n">
        <v>1089</v>
      </c>
      <c r="AB594" t="n">
        <v>2</v>
      </c>
      <c r="AC594" t="n">
        <v>16</v>
      </c>
      <c r="AD594" t="n">
        <v>28</v>
      </c>
      <c r="AE594" t="n">
        <v>49</v>
      </c>
      <c r="AF594" t="n">
        <v>11</v>
      </c>
      <c r="AG594" t="n">
        <v>17</v>
      </c>
      <c r="AH594" t="n">
        <v>8</v>
      </c>
      <c r="AI594" t="n">
        <v>9</v>
      </c>
      <c r="AJ594" t="n">
        <v>19</v>
      </c>
      <c r="AK594" t="n">
        <v>23</v>
      </c>
      <c r="AL594" t="n">
        <v>1</v>
      </c>
      <c r="AM594" t="n">
        <v>11</v>
      </c>
      <c r="AN594" t="n">
        <v>1</v>
      </c>
      <c r="AO594" t="n">
        <v>2</v>
      </c>
      <c r="AP594" t="inlineStr">
        <is>
          <t>No</t>
        </is>
      </c>
      <c r="AQ594" t="inlineStr">
        <is>
          <t>Yes</t>
        </is>
      </c>
      <c r="AR594">
        <f>HYPERLINK("http://catalog.hathitrust.org/Record/005093299","HathiTrust Record")</f>
        <v/>
      </c>
      <c r="AS594">
        <f>HYPERLINK("https://creighton-primo.hosted.exlibrisgroup.com/primo-explore/search?tab=default_tab&amp;search_scope=EVERYTHING&amp;vid=01CRU&amp;lang=en_US&amp;offset=0&amp;query=any,contains,991005154589702656","Catalog Record")</f>
        <v/>
      </c>
      <c r="AT594">
        <f>HYPERLINK("http://www.worldcat.org/oclc/60705533","WorldCat Record")</f>
        <v/>
      </c>
      <c r="AU594" t="inlineStr">
        <is>
          <t>1076483563:eng</t>
        </is>
      </c>
      <c r="AV594" t="inlineStr">
        <is>
          <t>60705533</t>
        </is>
      </c>
      <c r="AW594" t="inlineStr">
        <is>
          <t>991005154589702656</t>
        </is>
      </c>
      <c r="AX594" t="inlineStr">
        <is>
          <t>991005154589702656</t>
        </is>
      </c>
      <c r="AY594" t="inlineStr">
        <is>
          <t>2265311200002656</t>
        </is>
      </c>
      <c r="AZ594" t="inlineStr">
        <is>
          <t>BOOK</t>
        </is>
      </c>
      <c r="BB594" t="inlineStr">
        <is>
          <t>9780823225255</t>
        </is>
      </c>
      <c r="BC594" t="inlineStr">
        <is>
          <t>32285005370142</t>
        </is>
      </c>
      <c r="BD594" t="inlineStr">
        <is>
          <t>893418462</t>
        </is>
      </c>
    </row>
    <row r="595">
      <c r="A595" t="inlineStr">
        <is>
          <t>No</t>
        </is>
      </c>
      <c r="B595" t="inlineStr">
        <is>
          <t>BX1751.3 .C37 2002</t>
        </is>
      </c>
      <c r="C595" t="inlineStr">
        <is>
          <t>0                      BX 1751300C  37          2002</t>
        </is>
      </c>
      <c r="D595" t="inlineStr">
        <is>
          <t>Toward a new Catholic Church : the promise of reform / James Carroll.</t>
        </is>
      </c>
      <c r="F595" t="inlineStr">
        <is>
          <t>No</t>
        </is>
      </c>
      <c r="G595" t="inlineStr">
        <is>
          <t>1</t>
        </is>
      </c>
      <c r="H595" t="inlineStr">
        <is>
          <t>No</t>
        </is>
      </c>
      <c r="I595" t="inlineStr">
        <is>
          <t>No</t>
        </is>
      </c>
      <c r="J595" t="inlineStr">
        <is>
          <t>0</t>
        </is>
      </c>
      <c r="K595" t="inlineStr">
        <is>
          <t>Carroll, James, 1943-</t>
        </is>
      </c>
      <c r="L595" t="inlineStr">
        <is>
          <t>Boston : Houghton Mifflin, 2002.</t>
        </is>
      </c>
      <c r="M595" t="inlineStr">
        <is>
          <t>2002</t>
        </is>
      </c>
      <c r="O595" t="inlineStr">
        <is>
          <t>eng</t>
        </is>
      </c>
      <c r="P595" t="inlineStr">
        <is>
          <t>mau</t>
        </is>
      </c>
      <c r="R595" t="inlineStr">
        <is>
          <t xml:space="preserve">BX </t>
        </is>
      </c>
      <c r="S595" t="n">
        <v>6</v>
      </c>
      <c r="T595" t="n">
        <v>6</v>
      </c>
      <c r="U595" t="inlineStr">
        <is>
          <t>2008-12-03</t>
        </is>
      </c>
      <c r="V595" t="inlineStr">
        <is>
          <t>2008-12-03</t>
        </is>
      </c>
      <c r="W595" t="inlineStr">
        <is>
          <t>2003-01-08</t>
        </is>
      </c>
      <c r="X595" t="inlineStr">
        <is>
          <t>2003-01-08</t>
        </is>
      </c>
      <c r="Y595" t="n">
        <v>362</v>
      </c>
      <c r="Z595" t="n">
        <v>339</v>
      </c>
      <c r="AA595" t="n">
        <v>352</v>
      </c>
      <c r="AB595" t="n">
        <v>2</v>
      </c>
      <c r="AC595" t="n">
        <v>2</v>
      </c>
      <c r="AD595" t="n">
        <v>21</v>
      </c>
      <c r="AE595" t="n">
        <v>21</v>
      </c>
      <c r="AF595" t="n">
        <v>6</v>
      </c>
      <c r="AG595" t="n">
        <v>6</v>
      </c>
      <c r="AH595" t="n">
        <v>6</v>
      </c>
      <c r="AI595" t="n">
        <v>6</v>
      </c>
      <c r="AJ595" t="n">
        <v>14</v>
      </c>
      <c r="AK595" t="n">
        <v>14</v>
      </c>
      <c r="AL595" t="n">
        <v>1</v>
      </c>
      <c r="AM595" t="n">
        <v>1</v>
      </c>
      <c r="AN595" t="n">
        <v>0</v>
      </c>
      <c r="AO595" t="n">
        <v>0</v>
      </c>
      <c r="AP595" t="inlineStr">
        <is>
          <t>No</t>
        </is>
      </c>
      <c r="AQ595" t="inlineStr">
        <is>
          <t>No</t>
        </is>
      </c>
      <c r="AS595">
        <f>HYPERLINK("https://creighton-primo.hosted.exlibrisgroup.com/primo-explore/search?tab=default_tab&amp;search_scope=EVERYTHING&amp;vid=01CRU&amp;lang=en_US&amp;offset=0&amp;query=any,contains,991003956379702656","Catalog Record")</f>
        <v/>
      </c>
      <c r="AT595">
        <f>HYPERLINK("http://www.worldcat.org/oclc/50149621","WorldCat Record")</f>
        <v/>
      </c>
      <c r="AU595" t="inlineStr">
        <is>
          <t>6682390:eng</t>
        </is>
      </c>
      <c r="AV595" t="inlineStr">
        <is>
          <t>50149621</t>
        </is>
      </c>
      <c r="AW595" t="inlineStr">
        <is>
          <t>991003956379702656</t>
        </is>
      </c>
      <c r="AX595" t="inlineStr">
        <is>
          <t>991003956379702656</t>
        </is>
      </c>
      <c r="AY595" t="inlineStr">
        <is>
          <t>2254795280002656</t>
        </is>
      </c>
      <c r="AZ595" t="inlineStr">
        <is>
          <t>BOOK</t>
        </is>
      </c>
      <c r="BB595" t="inlineStr">
        <is>
          <t>9780618313372</t>
        </is>
      </c>
      <c r="BC595" t="inlineStr">
        <is>
          <t>32285004692710</t>
        </is>
      </c>
      <c r="BD595" t="inlineStr">
        <is>
          <t>893775427</t>
        </is>
      </c>
    </row>
    <row r="596">
      <c r="A596" t="inlineStr">
        <is>
          <t>No</t>
        </is>
      </c>
      <c r="B596" t="inlineStr">
        <is>
          <t>BX1751.3 .H45 2002</t>
        </is>
      </c>
      <c r="C596" t="inlineStr">
        <is>
          <t>0                      BX 1751300H  45          2002</t>
        </is>
      </c>
      <c r="D596" t="inlineStr">
        <is>
          <t>Understanding Catholicism / Monika K. Hellwig.</t>
        </is>
      </c>
      <c r="F596" t="inlineStr">
        <is>
          <t>No</t>
        </is>
      </c>
      <c r="G596" t="inlineStr">
        <is>
          <t>1</t>
        </is>
      </c>
      <c r="H596" t="inlineStr">
        <is>
          <t>No</t>
        </is>
      </c>
      <c r="I596" t="inlineStr">
        <is>
          <t>No</t>
        </is>
      </c>
      <c r="J596" t="inlineStr">
        <is>
          <t>0</t>
        </is>
      </c>
      <c r="K596" t="inlineStr">
        <is>
          <t>Hellwig, Monika.</t>
        </is>
      </c>
      <c r="L596" t="inlineStr">
        <is>
          <t>New York : Paulist Press, c2002.</t>
        </is>
      </c>
      <c r="M596" t="inlineStr">
        <is>
          <t>2002</t>
        </is>
      </c>
      <c r="N596" t="inlineStr">
        <is>
          <t>2nd ed.</t>
        </is>
      </c>
      <c r="O596" t="inlineStr">
        <is>
          <t>eng</t>
        </is>
      </c>
      <c r="P596" t="inlineStr">
        <is>
          <t>nyu</t>
        </is>
      </c>
      <c r="R596" t="inlineStr">
        <is>
          <t xml:space="preserve">BX </t>
        </is>
      </c>
      <c r="S596" t="n">
        <v>6</v>
      </c>
      <c r="T596" t="n">
        <v>6</v>
      </c>
      <c r="U596" t="inlineStr">
        <is>
          <t>2004-01-27</t>
        </is>
      </c>
      <c r="V596" t="inlineStr">
        <is>
          <t>2004-01-27</t>
        </is>
      </c>
      <c r="W596" t="inlineStr">
        <is>
          <t>2002-07-31</t>
        </is>
      </c>
      <c r="X596" t="inlineStr">
        <is>
          <t>2002-07-31</t>
        </is>
      </c>
      <c r="Y596" t="n">
        <v>197</v>
      </c>
      <c r="Z596" t="n">
        <v>176</v>
      </c>
      <c r="AA596" t="n">
        <v>475</v>
      </c>
      <c r="AB596" t="n">
        <v>2</v>
      </c>
      <c r="AC596" t="n">
        <v>4</v>
      </c>
      <c r="AD596" t="n">
        <v>24</v>
      </c>
      <c r="AE596" t="n">
        <v>40</v>
      </c>
      <c r="AF596" t="n">
        <v>10</v>
      </c>
      <c r="AG596" t="n">
        <v>16</v>
      </c>
      <c r="AH596" t="n">
        <v>5</v>
      </c>
      <c r="AI596" t="n">
        <v>9</v>
      </c>
      <c r="AJ596" t="n">
        <v>15</v>
      </c>
      <c r="AK596" t="n">
        <v>24</v>
      </c>
      <c r="AL596" t="n">
        <v>1</v>
      </c>
      <c r="AM596" t="n">
        <v>2</v>
      </c>
      <c r="AN596" t="n">
        <v>0</v>
      </c>
      <c r="AO596" t="n">
        <v>0</v>
      </c>
      <c r="AP596" t="inlineStr">
        <is>
          <t>No</t>
        </is>
      </c>
      <c r="AQ596" t="inlineStr">
        <is>
          <t>No</t>
        </is>
      </c>
      <c r="AS596">
        <f>HYPERLINK("https://creighton-primo.hosted.exlibrisgroup.com/primo-explore/search?tab=default_tab&amp;search_scope=EVERYTHING&amp;vid=01CRU&amp;lang=en_US&amp;offset=0&amp;query=any,contains,991003840699702656","Catalog Record")</f>
        <v/>
      </c>
      <c r="AT596">
        <f>HYPERLINK("http://www.worldcat.org/oclc/48493790","WorldCat Record")</f>
        <v/>
      </c>
      <c r="AU596" t="inlineStr">
        <is>
          <t>20526905:eng</t>
        </is>
      </c>
      <c r="AV596" t="inlineStr">
        <is>
          <t>48493790</t>
        </is>
      </c>
      <c r="AW596" t="inlineStr">
        <is>
          <t>991003840699702656</t>
        </is>
      </c>
      <c r="AX596" t="inlineStr">
        <is>
          <t>991003840699702656</t>
        </is>
      </c>
      <c r="AY596" t="inlineStr">
        <is>
          <t>2255402740002656</t>
        </is>
      </c>
      <c r="AZ596" t="inlineStr">
        <is>
          <t>BOOK</t>
        </is>
      </c>
      <c r="BB596" t="inlineStr">
        <is>
          <t>9780809140633</t>
        </is>
      </c>
      <c r="BC596" t="inlineStr">
        <is>
          <t>32285004641105</t>
        </is>
      </c>
      <c r="BD596" t="inlineStr">
        <is>
          <t>893423039</t>
        </is>
      </c>
    </row>
    <row r="597">
      <c r="A597" t="inlineStr">
        <is>
          <t>No</t>
        </is>
      </c>
      <c r="B597" t="inlineStr">
        <is>
          <t>BX1752 .F37 1992, v.1</t>
        </is>
      </c>
      <c r="C597" t="inlineStr">
        <is>
          <t>0                      BX 1752000F  37          1992                                        v.1</t>
        </is>
      </c>
      <c r="D597" t="inlineStr">
        <is>
          <t>Belief in God in our time / M. John Farrelly.</t>
        </is>
      </c>
      <c r="E597" t="inlineStr">
        <is>
          <t>V. 1</t>
        </is>
      </c>
      <c r="F597" t="inlineStr">
        <is>
          <t>No</t>
        </is>
      </c>
      <c r="G597" t="inlineStr">
        <is>
          <t>1</t>
        </is>
      </c>
      <c r="H597" t="inlineStr">
        <is>
          <t>No</t>
        </is>
      </c>
      <c r="I597" t="inlineStr">
        <is>
          <t>No</t>
        </is>
      </c>
      <c r="J597" t="inlineStr">
        <is>
          <t>0</t>
        </is>
      </c>
      <c r="K597" t="inlineStr">
        <is>
          <t>Farrelly, John, 1927-</t>
        </is>
      </c>
      <c r="L597" t="inlineStr">
        <is>
          <t>Collegeville, Minn. : Liturgical Press, c1992.</t>
        </is>
      </c>
      <c r="M597" t="inlineStr">
        <is>
          <t>1992</t>
        </is>
      </c>
      <c r="O597" t="inlineStr">
        <is>
          <t>eng</t>
        </is>
      </c>
      <c r="P597" t="inlineStr">
        <is>
          <t>mnu</t>
        </is>
      </c>
      <c r="Q597" t="inlineStr">
        <is>
          <t>Foundational theology ; 1</t>
        </is>
      </c>
      <c r="R597" t="inlineStr">
        <is>
          <t xml:space="preserve">BX </t>
        </is>
      </c>
      <c r="S597" t="n">
        <v>6</v>
      </c>
      <c r="T597" t="n">
        <v>6</v>
      </c>
      <c r="U597" t="inlineStr">
        <is>
          <t>2003-04-15</t>
        </is>
      </c>
      <c r="V597" t="inlineStr">
        <is>
          <t>2003-04-15</t>
        </is>
      </c>
      <c r="W597" t="inlineStr">
        <is>
          <t>1998-01-08</t>
        </is>
      </c>
      <c r="X597" t="inlineStr">
        <is>
          <t>1998-01-08</t>
        </is>
      </c>
      <c r="Y597" t="n">
        <v>175</v>
      </c>
      <c r="Z597" t="n">
        <v>141</v>
      </c>
      <c r="AA597" t="n">
        <v>141</v>
      </c>
      <c r="AB597" t="n">
        <v>1</v>
      </c>
      <c r="AC597" t="n">
        <v>1</v>
      </c>
      <c r="AD597" t="n">
        <v>16</v>
      </c>
      <c r="AE597" t="n">
        <v>16</v>
      </c>
      <c r="AF597" t="n">
        <v>5</v>
      </c>
      <c r="AG597" t="n">
        <v>5</v>
      </c>
      <c r="AH597" t="n">
        <v>3</v>
      </c>
      <c r="AI597" t="n">
        <v>3</v>
      </c>
      <c r="AJ597" t="n">
        <v>12</v>
      </c>
      <c r="AK597" t="n">
        <v>12</v>
      </c>
      <c r="AL597" t="n">
        <v>0</v>
      </c>
      <c r="AM597" t="n">
        <v>0</v>
      </c>
      <c r="AN597" t="n">
        <v>0</v>
      </c>
      <c r="AO597" t="n">
        <v>0</v>
      </c>
      <c r="AP597" t="inlineStr">
        <is>
          <t>No</t>
        </is>
      </c>
      <c r="AQ597" t="inlineStr">
        <is>
          <t>No</t>
        </is>
      </c>
      <c r="AS597">
        <f>HYPERLINK("https://creighton-primo.hosted.exlibrisgroup.com/primo-explore/search?tab=default_tab&amp;search_scope=EVERYTHING&amp;vid=01CRU&amp;lang=en_US&amp;offset=0&amp;query=any,contains,991001982819702656","Catalog Record")</f>
        <v/>
      </c>
      <c r="AT597">
        <f>HYPERLINK("http://www.worldcat.org/oclc/25164642","WorldCat Record")</f>
        <v/>
      </c>
      <c r="AU597" t="inlineStr">
        <is>
          <t>5610739510:eng</t>
        </is>
      </c>
      <c r="AV597" t="inlineStr">
        <is>
          <t>25164642</t>
        </is>
      </c>
      <c r="AW597" t="inlineStr">
        <is>
          <t>991001982819702656</t>
        </is>
      </c>
      <c r="AX597" t="inlineStr">
        <is>
          <t>991001982819702656</t>
        </is>
      </c>
      <c r="AY597" t="inlineStr">
        <is>
          <t>2256778730002656</t>
        </is>
      </c>
      <c r="AZ597" t="inlineStr">
        <is>
          <t>BOOK</t>
        </is>
      </c>
      <c r="BB597" t="inlineStr">
        <is>
          <t>9780814657065</t>
        </is>
      </c>
      <c r="BC597" t="inlineStr">
        <is>
          <t>32285003302089</t>
        </is>
      </c>
      <c r="BD597" t="inlineStr">
        <is>
          <t>893232437</t>
        </is>
      </c>
    </row>
    <row r="598">
      <c r="A598" t="inlineStr">
        <is>
          <t>No</t>
        </is>
      </c>
      <c r="B598" t="inlineStr">
        <is>
          <t>BX1752 .F37 1992, v.2</t>
        </is>
      </c>
      <c r="C598" t="inlineStr">
        <is>
          <t>0                      BX 1752000F  37          1992                                        v.2</t>
        </is>
      </c>
      <c r="D598" t="inlineStr">
        <is>
          <t>Faith in God through Jesus Christ / M. John Farrelly.</t>
        </is>
      </c>
      <c r="E598" t="inlineStr">
        <is>
          <t>V. 2</t>
        </is>
      </c>
      <c r="F598" t="inlineStr">
        <is>
          <t>No</t>
        </is>
      </c>
      <c r="G598" t="inlineStr">
        <is>
          <t>1</t>
        </is>
      </c>
      <c r="H598" t="inlineStr">
        <is>
          <t>No</t>
        </is>
      </c>
      <c r="I598" t="inlineStr">
        <is>
          <t>No</t>
        </is>
      </c>
      <c r="J598" t="inlineStr">
        <is>
          <t>0</t>
        </is>
      </c>
      <c r="K598" t="inlineStr">
        <is>
          <t>Farrelly, John, 1927-</t>
        </is>
      </c>
      <c r="L598" t="inlineStr">
        <is>
          <t>Collegeville, Minn. : Liturgical Press, c1997.</t>
        </is>
      </c>
      <c r="M598" t="inlineStr">
        <is>
          <t>1997</t>
        </is>
      </c>
      <c r="O598" t="inlineStr">
        <is>
          <t>eng</t>
        </is>
      </c>
      <c r="P598" t="inlineStr">
        <is>
          <t>mnu</t>
        </is>
      </c>
      <c r="Q598" t="inlineStr">
        <is>
          <t>Foundational theology ; 2</t>
        </is>
      </c>
      <c r="R598" t="inlineStr">
        <is>
          <t xml:space="preserve">BX </t>
        </is>
      </c>
      <c r="S598" t="n">
        <v>7</v>
      </c>
      <c r="T598" t="n">
        <v>7</v>
      </c>
      <c r="U598" t="inlineStr">
        <is>
          <t>2004-04-15</t>
        </is>
      </c>
      <c r="V598" t="inlineStr">
        <is>
          <t>2004-04-15</t>
        </is>
      </c>
      <c r="W598" t="inlineStr">
        <is>
          <t>1997-12-18</t>
        </is>
      </c>
      <c r="X598" t="inlineStr">
        <is>
          <t>1997-12-18</t>
        </is>
      </c>
      <c r="Y598" t="n">
        <v>151</v>
      </c>
      <c r="Z598" t="n">
        <v>124</v>
      </c>
      <c r="AA598" t="n">
        <v>124</v>
      </c>
      <c r="AB598" t="n">
        <v>1</v>
      </c>
      <c r="AC598" t="n">
        <v>1</v>
      </c>
      <c r="AD598" t="n">
        <v>16</v>
      </c>
      <c r="AE598" t="n">
        <v>16</v>
      </c>
      <c r="AF598" t="n">
        <v>5</v>
      </c>
      <c r="AG598" t="n">
        <v>5</v>
      </c>
      <c r="AH598" t="n">
        <v>3</v>
      </c>
      <c r="AI598" t="n">
        <v>3</v>
      </c>
      <c r="AJ598" t="n">
        <v>11</v>
      </c>
      <c r="AK598" t="n">
        <v>11</v>
      </c>
      <c r="AL598" t="n">
        <v>0</v>
      </c>
      <c r="AM598" t="n">
        <v>0</v>
      </c>
      <c r="AN598" t="n">
        <v>0</v>
      </c>
      <c r="AO598" t="n">
        <v>0</v>
      </c>
      <c r="AP598" t="inlineStr">
        <is>
          <t>No</t>
        </is>
      </c>
      <c r="AQ598" t="inlineStr">
        <is>
          <t>No</t>
        </is>
      </c>
      <c r="AS598">
        <f>HYPERLINK("https://creighton-primo.hosted.exlibrisgroup.com/primo-explore/search?tab=default_tab&amp;search_scope=EVERYTHING&amp;vid=01CRU&amp;lang=en_US&amp;offset=0&amp;query=any,contains,991002732049702656","Catalog Record")</f>
        <v/>
      </c>
      <c r="AT598">
        <f>HYPERLINK("http://www.worldcat.org/oclc/35835694","WorldCat Record")</f>
        <v/>
      </c>
      <c r="AU598" t="inlineStr">
        <is>
          <t>5612780317:eng</t>
        </is>
      </c>
      <c r="AV598" t="inlineStr">
        <is>
          <t>35835694</t>
        </is>
      </c>
      <c r="AW598" t="inlineStr">
        <is>
          <t>991002732049702656</t>
        </is>
      </c>
      <c r="AX598" t="inlineStr">
        <is>
          <t>991002732049702656</t>
        </is>
      </c>
      <c r="AY598" t="inlineStr">
        <is>
          <t>2260518120002656</t>
        </is>
      </c>
      <c r="AZ598" t="inlineStr">
        <is>
          <t>BOOK</t>
        </is>
      </c>
      <c r="BB598" t="inlineStr">
        <is>
          <t>9780814658598</t>
        </is>
      </c>
      <c r="BC598" t="inlineStr">
        <is>
          <t>32285003283909</t>
        </is>
      </c>
      <c r="BD598" t="inlineStr">
        <is>
          <t>893511113</t>
        </is>
      </c>
    </row>
    <row r="599">
      <c r="A599" t="inlineStr">
        <is>
          <t>No</t>
        </is>
      </c>
      <c r="B599" t="inlineStr">
        <is>
          <t>BX1752 .F56 1996</t>
        </is>
      </c>
      <c r="C599" t="inlineStr">
        <is>
          <t>0                      BX 1752000F  56          1996</t>
        </is>
      </c>
      <c r="D599" t="inlineStr">
        <is>
          <t>The joy of being Catholic / Mitch Finley.</t>
        </is>
      </c>
      <c r="F599" t="inlineStr">
        <is>
          <t>No</t>
        </is>
      </c>
      <c r="G599" t="inlineStr">
        <is>
          <t>1</t>
        </is>
      </c>
      <c r="H599" t="inlineStr">
        <is>
          <t>No</t>
        </is>
      </c>
      <c r="I599" t="inlineStr">
        <is>
          <t>No</t>
        </is>
      </c>
      <c r="J599" t="inlineStr">
        <is>
          <t>0</t>
        </is>
      </c>
      <c r="K599" t="inlineStr">
        <is>
          <t>Finley, Mitch.</t>
        </is>
      </c>
      <c r="L599" t="inlineStr">
        <is>
          <t>New York : Crossroad Pub. Co., 1996.</t>
        </is>
      </c>
      <c r="M599" t="inlineStr">
        <is>
          <t>1996</t>
        </is>
      </c>
      <c r="O599" t="inlineStr">
        <is>
          <t>eng</t>
        </is>
      </c>
      <c r="P599" t="inlineStr">
        <is>
          <t>nyu</t>
        </is>
      </c>
      <c r="R599" t="inlineStr">
        <is>
          <t xml:space="preserve">BX </t>
        </is>
      </c>
      <c r="S599" t="n">
        <v>1</v>
      </c>
      <c r="T599" t="n">
        <v>1</v>
      </c>
      <c r="U599" t="inlineStr">
        <is>
          <t>2007-06-11</t>
        </is>
      </c>
      <c r="V599" t="inlineStr">
        <is>
          <t>2007-06-11</t>
        </is>
      </c>
      <c r="W599" t="inlineStr">
        <is>
          <t>2007-06-11</t>
        </is>
      </c>
      <c r="X599" t="inlineStr">
        <is>
          <t>2007-06-11</t>
        </is>
      </c>
      <c r="Y599" t="n">
        <v>84</v>
      </c>
      <c r="Z599" t="n">
        <v>72</v>
      </c>
      <c r="AA599" t="n">
        <v>100</v>
      </c>
      <c r="AB599" t="n">
        <v>2</v>
      </c>
      <c r="AC599" t="n">
        <v>2</v>
      </c>
      <c r="AD599" t="n">
        <v>5</v>
      </c>
      <c r="AE599" t="n">
        <v>6</v>
      </c>
      <c r="AF599" t="n">
        <v>0</v>
      </c>
      <c r="AG599" t="n">
        <v>1</v>
      </c>
      <c r="AH599" t="n">
        <v>1</v>
      </c>
      <c r="AI599" t="n">
        <v>1</v>
      </c>
      <c r="AJ599" t="n">
        <v>3</v>
      </c>
      <c r="AK599" t="n">
        <v>4</v>
      </c>
      <c r="AL599" t="n">
        <v>1</v>
      </c>
      <c r="AM599" t="n">
        <v>1</v>
      </c>
      <c r="AN599" t="n">
        <v>0</v>
      </c>
      <c r="AO599" t="n">
        <v>0</v>
      </c>
      <c r="AP599" t="inlineStr">
        <is>
          <t>No</t>
        </is>
      </c>
      <c r="AQ599" t="inlineStr">
        <is>
          <t>No</t>
        </is>
      </c>
      <c r="AS599">
        <f>HYPERLINK("https://creighton-primo.hosted.exlibrisgroup.com/primo-explore/search?tab=default_tab&amp;search_scope=EVERYTHING&amp;vid=01CRU&amp;lang=en_US&amp;offset=0&amp;query=any,contains,991005090259702656","Catalog Record")</f>
        <v/>
      </c>
      <c r="AT599">
        <f>HYPERLINK("http://www.worldcat.org/oclc/33972097","WorldCat Record")</f>
        <v/>
      </c>
      <c r="AU599" t="inlineStr">
        <is>
          <t>2287943672:eng</t>
        </is>
      </c>
      <c r="AV599" t="inlineStr">
        <is>
          <t>33972097</t>
        </is>
      </c>
      <c r="AW599" t="inlineStr">
        <is>
          <t>991005090259702656</t>
        </is>
      </c>
      <c r="AX599" t="inlineStr">
        <is>
          <t>991005090259702656</t>
        </is>
      </c>
      <c r="AY599" t="inlineStr">
        <is>
          <t>2264971580002656</t>
        </is>
      </c>
      <c r="AZ599" t="inlineStr">
        <is>
          <t>BOOK</t>
        </is>
      </c>
      <c r="BB599" t="inlineStr">
        <is>
          <t>9780824515515</t>
        </is>
      </c>
      <c r="BC599" t="inlineStr">
        <is>
          <t>32285005316525</t>
        </is>
      </c>
      <c r="BD599" t="inlineStr">
        <is>
          <t>893353677</t>
        </is>
      </c>
    </row>
    <row r="600">
      <c r="A600" t="inlineStr">
        <is>
          <t>No</t>
        </is>
      </c>
      <c r="B600" t="inlineStr">
        <is>
          <t>BX1752 .F563 1997</t>
        </is>
      </c>
      <c r="C600" t="inlineStr">
        <is>
          <t>0                      BX 1752000F  563         1997</t>
        </is>
      </c>
      <c r="D600" t="inlineStr">
        <is>
          <t>The seeker's guide to being Catholic / Mitch Finley.</t>
        </is>
      </c>
      <c r="F600" t="inlineStr">
        <is>
          <t>No</t>
        </is>
      </c>
      <c r="G600" t="inlineStr">
        <is>
          <t>1</t>
        </is>
      </c>
      <c r="H600" t="inlineStr">
        <is>
          <t>No</t>
        </is>
      </c>
      <c r="I600" t="inlineStr">
        <is>
          <t>No</t>
        </is>
      </c>
      <c r="J600" t="inlineStr">
        <is>
          <t>0</t>
        </is>
      </c>
      <c r="K600" t="inlineStr">
        <is>
          <t>Finley, Mitch.</t>
        </is>
      </c>
      <c r="L600" t="inlineStr">
        <is>
          <t>Chicago, Ill. : Loyola Press, c1997.</t>
        </is>
      </c>
      <c r="M600" t="inlineStr">
        <is>
          <t>1997</t>
        </is>
      </c>
      <c r="O600" t="inlineStr">
        <is>
          <t>eng</t>
        </is>
      </c>
      <c r="P600" t="inlineStr">
        <is>
          <t>ilu</t>
        </is>
      </c>
      <c r="Q600" t="inlineStr">
        <is>
          <t>Seeker series</t>
        </is>
      </c>
      <c r="R600" t="inlineStr">
        <is>
          <t xml:space="preserve">BX </t>
        </is>
      </c>
      <c r="S600" t="n">
        <v>5</v>
      </c>
      <c r="T600" t="n">
        <v>5</v>
      </c>
      <c r="U600" t="inlineStr">
        <is>
          <t>2004-09-20</t>
        </is>
      </c>
      <c r="V600" t="inlineStr">
        <is>
          <t>2004-09-20</t>
        </is>
      </c>
      <c r="W600" t="inlineStr">
        <is>
          <t>1997-07-17</t>
        </is>
      </c>
      <c r="X600" t="inlineStr">
        <is>
          <t>1997-07-17</t>
        </is>
      </c>
      <c r="Y600" t="n">
        <v>181</v>
      </c>
      <c r="Z600" t="n">
        <v>172</v>
      </c>
      <c r="AA600" t="n">
        <v>179</v>
      </c>
      <c r="AB600" t="n">
        <v>3</v>
      </c>
      <c r="AC600" t="n">
        <v>3</v>
      </c>
      <c r="AD600" t="n">
        <v>11</v>
      </c>
      <c r="AE600" t="n">
        <v>11</v>
      </c>
      <c r="AF600" t="n">
        <v>4</v>
      </c>
      <c r="AG600" t="n">
        <v>4</v>
      </c>
      <c r="AH600" t="n">
        <v>4</v>
      </c>
      <c r="AI600" t="n">
        <v>4</v>
      </c>
      <c r="AJ600" t="n">
        <v>7</v>
      </c>
      <c r="AK600" t="n">
        <v>7</v>
      </c>
      <c r="AL600" t="n">
        <v>0</v>
      </c>
      <c r="AM600" t="n">
        <v>0</v>
      </c>
      <c r="AN600" t="n">
        <v>0</v>
      </c>
      <c r="AO600" t="n">
        <v>0</v>
      </c>
      <c r="AP600" t="inlineStr">
        <is>
          <t>No</t>
        </is>
      </c>
      <c r="AQ600" t="inlineStr">
        <is>
          <t>No</t>
        </is>
      </c>
      <c r="AS600">
        <f>HYPERLINK("https://creighton-primo.hosted.exlibrisgroup.com/primo-explore/search?tab=default_tab&amp;search_scope=EVERYTHING&amp;vid=01CRU&amp;lang=en_US&amp;offset=0&amp;query=any,contains,991002725669702656","Catalog Record")</f>
        <v/>
      </c>
      <c r="AT600">
        <f>HYPERLINK("http://www.worldcat.org/oclc/35750502","WorldCat Record")</f>
        <v/>
      </c>
      <c r="AU600" t="inlineStr">
        <is>
          <t>39992349:eng</t>
        </is>
      </c>
      <c r="AV600" t="inlineStr">
        <is>
          <t>35750502</t>
        </is>
      </c>
      <c r="AW600" t="inlineStr">
        <is>
          <t>991002725669702656</t>
        </is>
      </c>
      <c r="AX600" t="inlineStr">
        <is>
          <t>991002725669702656</t>
        </is>
      </c>
      <c r="AY600" t="inlineStr">
        <is>
          <t>2266900190002656</t>
        </is>
      </c>
      <c r="AZ600" t="inlineStr">
        <is>
          <t>BOOK</t>
        </is>
      </c>
      <c r="BB600" t="inlineStr">
        <is>
          <t>9780829409345</t>
        </is>
      </c>
      <c r="BC600" t="inlineStr">
        <is>
          <t>32285002883030</t>
        </is>
      </c>
      <c r="BD600" t="inlineStr">
        <is>
          <t>893523971</t>
        </is>
      </c>
    </row>
    <row r="601">
      <c r="A601" t="inlineStr">
        <is>
          <t>No</t>
        </is>
      </c>
      <c r="B601" t="inlineStr">
        <is>
          <t>BX1752 .H425</t>
        </is>
      </c>
      <c r="C601" t="inlineStr">
        <is>
          <t>0                      BX 1752000H  425</t>
        </is>
      </c>
      <c r="D601" t="inlineStr">
        <is>
          <t>Tradition : the Catholic story today / Monika Hellwig.</t>
        </is>
      </c>
      <c r="F601" t="inlineStr">
        <is>
          <t>No</t>
        </is>
      </c>
      <c r="G601" t="inlineStr">
        <is>
          <t>1</t>
        </is>
      </c>
      <c r="H601" t="inlineStr">
        <is>
          <t>No</t>
        </is>
      </c>
      <c r="I601" t="inlineStr">
        <is>
          <t>No</t>
        </is>
      </c>
      <c r="J601" t="inlineStr">
        <is>
          <t>0</t>
        </is>
      </c>
      <c r="K601" t="inlineStr">
        <is>
          <t>Hellwig, Monika.</t>
        </is>
      </c>
      <c r="L601" t="inlineStr">
        <is>
          <t>Dayton, Ohio : Pflaum Pub., [1974]</t>
        </is>
      </c>
      <c r="M601" t="inlineStr">
        <is>
          <t>1974</t>
        </is>
      </c>
      <c r="O601" t="inlineStr">
        <is>
          <t>eng</t>
        </is>
      </c>
      <c r="P601" t="inlineStr">
        <is>
          <t>ohu</t>
        </is>
      </c>
      <c r="R601" t="inlineStr">
        <is>
          <t xml:space="preserve">BX </t>
        </is>
      </c>
      <c r="S601" t="n">
        <v>7</v>
      </c>
      <c r="T601" t="n">
        <v>7</v>
      </c>
      <c r="U601" t="inlineStr">
        <is>
          <t>1999-01-29</t>
        </is>
      </c>
      <c r="V601" t="inlineStr">
        <is>
          <t>1999-01-29</t>
        </is>
      </c>
      <c r="W601" t="inlineStr">
        <is>
          <t>1991-05-13</t>
        </is>
      </c>
      <c r="X601" t="inlineStr">
        <is>
          <t>1991-05-13</t>
        </is>
      </c>
      <c r="Y601" t="n">
        <v>175</v>
      </c>
      <c r="Z601" t="n">
        <v>148</v>
      </c>
      <c r="AA601" t="n">
        <v>153</v>
      </c>
      <c r="AB601" t="n">
        <v>2</v>
      </c>
      <c r="AC601" t="n">
        <v>2</v>
      </c>
      <c r="AD601" t="n">
        <v>16</v>
      </c>
      <c r="AE601" t="n">
        <v>16</v>
      </c>
      <c r="AF601" t="n">
        <v>5</v>
      </c>
      <c r="AG601" t="n">
        <v>5</v>
      </c>
      <c r="AH601" t="n">
        <v>5</v>
      </c>
      <c r="AI601" t="n">
        <v>5</v>
      </c>
      <c r="AJ601" t="n">
        <v>11</v>
      </c>
      <c r="AK601" t="n">
        <v>11</v>
      </c>
      <c r="AL601" t="n">
        <v>1</v>
      </c>
      <c r="AM601" t="n">
        <v>1</v>
      </c>
      <c r="AN601" t="n">
        <v>0</v>
      </c>
      <c r="AO601" t="n">
        <v>0</v>
      </c>
      <c r="AP601" t="inlineStr">
        <is>
          <t>No</t>
        </is>
      </c>
      <c r="AQ601" t="inlineStr">
        <is>
          <t>No</t>
        </is>
      </c>
      <c r="AS601">
        <f>HYPERLINK("https://creighton-primo.hosted.exlibrisgroup.com/primo-explore/search?tab=default_tab&amp;search_scope=EVERYTHING&amp;vid=01CRU&amp;lang=en_US&amp;offset=0&amp;query=any,contains,991003599639702656","Catalog Record")</f>
        <v/>
      </c>
      <c r="AT601">
        <f>HYPERLINK("http://www.worldcat.org/oclc/1177057","WorldCat Record")</f>
        <v/>
      </c>
      <c r="AU601" t="inlineStr">
        <is>
          <t>10179094694:eng</t>
        </is>
      </c>
      <c r="AV601" t="inlineStr">
        <is>
          <t>1177057</t>
        </is>
      </c>
      <c r="AW601" t="inlineStr">
        <is>
          <t>991003599639702656</t>
        </is>
      </c>
      <c r="AX601" t="inlineStr">
        <is>
          <t>991003599639702656</t>
        </is>
      </c>
      <c r="AY601" t="inlineStr">
        <is>
          <t>2264724370002656</t>
        </is>
      </c>
      <c r="AZ601" t="inlineStr">
        <is>
          <t>BOOK</t>
        </is>
      </c>
      <c r="BB601" t="inlineStr">
        <is>
          <t>9780827890602</t>
        </is>
      </c>
      <c r="BC601" t="inlineStr">
        <is>
          <t>32285000608702</t>
        </is>
      </c>
      <c r="BD601" t="inlineStr">
        <is>
          <t>893887653</t>
        </is>
      </c>
    </row>
    <row r="602">
      <c r="A602" t="inlineStr">
        <is>
          <t>No</t>
        </is>
      </c>
      <c r="B602" t="inlineStr">
        <is>
          <t>BX1752 .L69 2003</t>
        </is>
      </c>
      <c r="C602" t="inlineStr">
        <is>
          <t>0                      BX 1752000L  69          2003</t>
        </is>
      </c>
      <c r="D602" t="inlineStr">
        <is>
          <t>Richard Smyth and the language of orthodoxy : re-imagining Tudor Catholic polemicism / by J. Andreas Löwe.</t>
        </is>
      </c>
      <c r="F602" t="inlineStr">
        <is>
          <t>No</t>
        </is>
      </c>
      <c r="G602" t="inlineStr">
        <is>
          <t>1</t>
        </is>
      </c>
      <c r="H602" t="inlineStr">
        <is>
          <t>No</t>
        </is>
      </c>
      <c r="I602" t="inlineStr">
        <is>
          <t>No</t>
        </is>
      </c>
      <c r="J602" t="inlineStr">
        <is>
          <t>0</t>
        </is>
      </c>
      <c r="K602" t="inlineStr">
        <is>
          <t>Löwe, J. Andreas, 1973-</t>
        </is>
      </c>
      <c r="L602" t="inlineStr">
        <is>
          <t>Leiden ; Boston : Brill, 2003.</t>
        </is>
      </c>
      <c r="M602" t="inlineStr">
        <is>
          <t>2003</t>
        </is>
      </c>
      <c r="O602" t="inlineStr">
        <is>
          <t>eng</t>
        </is>
      </c>
      <c r="P602" t="inlineStr">
        <is>
          <t xml:space="preserve">ne </t>
        </is>
      </c>
      <c r="Q602" t="inlineStr">
        <is>
          <t>Studies in medieval and Reformation thought, 0585-6914 ; v. 96</t>
        </is>
      </c>
      <c r="R602" t="inlineStr">
        <is>
          <t xml:space="preserve">BX </t>
        </is>
      </c>
      <c r="S602" t="n">
        <v>1</v>
      </c>
      <c r="T602" t="n">
        <v>1</v>
      </c>
      <c r="U602" t="inlineStr">
        <is>
          <t>2006-02-15</t>
        </is>
      </c>
      <c r="V602" t="inlineStr">
        <is>
          <t>2006-02-15</t>
        </is>
      </c>
      <c r="W602" t="inlineStr">
        <is>
          <t>2003-07-30</t>
        </is>
      </c>
      <c r="X602" t="inlineStr">
        <is>
          <t>2003-07-30</t>
        </is>
      </c>
      <c r="Y602" t="n">
        <v>193</v>
      </c>
      <c r="Z602" t="n">
        <v>156</v>
      </c>
      <c r="AA602" t="n">
        <v>156</v>
      </c>
      <c r="AB602" t="n">
        <v>2</v>
      </c>
      <c r="AC602" t="n">
        <v>2</v>
      </c>
      <c r="AD602" t="n">
        <v>11</v>
      </c>
      <c r="AE602" t="n">
        <v>11</v>
      </c>
      <c r="AF602" t="n">
        <v>1</v>
      </c>
      <c r="AG602" t="n">
        <v>1</v>
      </c>
      <c r="AH602" t="n">
        <v>3</v>
      </c>
      <c r="AI602" t="n">
        <v>3</v>
      </c>
      <c r="AJ602" t="n">
        <v>7</v>
      </c>
      <c r="AK602" t="n">
        <v>7</v>
      </c>
      <c r="AL602" t="n">
        <v>1</v>
      </c>
      <c r="AM602" t="n">
        <v>1</v>
      </c>
      <c r="AN602" t="n">
        <v>0</v>
      </c>
      <c r="AO602" t="n">
        <v>0</v>
      </c>
      <c r="AP602" t="inlineStr">
        <is>
          <t>No</t>
        </is>
      </c>
      <c r="AQ602" t="inlineStr">
        <is>
          <t>No</t>
        </is>
      </c>
      <c r="AS602">
        <f>HYPERLINK("https://creighton-primo.hosted.exlibrisgroup.com/primo-explore/search?tab=default_tab&amp;search_scope=EVERYTHING&amp;vid=01CRU&amp;lang=en_US&amp;offset=0&amp;query=any,contains,991004094999702656","Catalog Record")</f>
        <v/>
      </c>
      <c r="AT602">
        <f>HYPERLINK("http://www.worldcat.org/oclc/51280639","WorldCat Record")</f>
        <v/>
      </c>
      <c r="AU602" t="inlineStr">
        <is>
          <t>892473502:eng</t>
        </is>
      </c>
      <c r="AV602" t="inlineStr">
        <is>
          <t>51280639</t>
        </is>
      </c>
      <c r="AW602" t="inlineStr">
        <is>
          <t>991004094999702656</t>
        </is>
      </c>
      <c r="AX602" t="inlineStr">
        <is>
          <t>991004094999702656</t>
        </is>
      </c>
      <c r="AY602" t="inlineStr">
        <is>
          <t>2261982750002656</t>
        </is>
      </c>
      <c r="AZ602" t="inlineStr">
        <is>
          <t>BOOK</t>
        </is>
      </c>
      <c r="BB602" t="inlineStr">
        <is>
          <t>9789004129276</t>
        </is>
      </c>
      <c r="BC602" t="inlineStr">
        <is>
          <t>32285004757877</t>
        </is>
      </c>
      <c r="BD602" t="inlineStr">
        <is>
          <t>893525648</t>
        </is>
      </c>
    </row>
    <row r="603">
      <c r="A603" t="inlineStr">
        <is>
          <t>No</t>
        </is>
      </c>
      <c r="B603" t="inlineStr">
        <is>
          <t>BX1752 .M313</t>
        </is>
      </c>
      <c r="C603" t="inlineStr">
        <is>
          <t>0                      BX 1752000M  313</t>
        </is>
      </c>
      <c r="D603" t="inlineStr">
        <is>
          <t>What I believe.</t>
        </is>
      </c>
      <c r="F603" t="inlineStr">
        <is>
          <t>No</t>
        </is>
      </c>
      <c r="G603" t="inlineStr">
        <is>
          <t>1</t>
        </is>
      </c>
      <c r="H603" t="inlineStr">
        <is>
          <t>No</t>
        </is>
      </c>
      <c r="I603" t="inlineStr">
        <is>
          <t>No</t>
        </is>
      </c>
      <c r="J603" t="inlineStr">
        <is>
          <t>0</t>
        </is>
      </c>
      <c r="K603" t="inlineStr">
        <is>
          <t>Mauriac, François, 1885-1970.</t>
        </is>
      </c>
      <c r="L603" t="inlineStr">
        <is>
          <t>New York, Farrar, Straus [1963]</t>
        </is>
      </c>
      <c r="M603" t="inlineStr">
        <is>
          <t>1963</t>
        </is>
      </c>
      <c r="O603" t="inlineStr">
        <is>
          <t>eng</t>
        </is>
      </c>
      <c r="P603" t="inlineStr">
        <is>
          <t>___</t>
        </is>
      </c>
      <c r="R603" t="inlineStr">
        <is>
          <t xml:space="preserve">BX </t>
        </is>
      </c>
      <c r="S603" t="n">
        <v>2</v>
      </c>
      <c r="T603" t="n">
        <v>2</v>
      </c>
      <c r="U603" t="inlineStr">
        <is>
          <t>1994-06-30</t>
        </is>
      </c>
      <c r="V603" t="inlineStr">
        <is>
          <t>1994-06-30</t>
        </is>
      </c>
      <c r="W603" t="inlineStr">
        <is>
          <t>1991-05-13</t>
        </is>
      </c>
      <c r="X603" t="inlineStr">
        <is>
          <t>1991-05-13</t>
        </is>
      </c>
      <c r="Y603" t="n">
        <v>613</v>
      </c>
      <c r="Z603" t="n">
        <v>576</v>
      </c>
      <c r="AA603" t="n">
        <v>581</v>
      </c>
      <c r="AB603" t="n">
        <v>6</v>
      </c>
      <c r="AC603" t="n">
        <v>6</v>
      </c>
      <c r="AD603" t="n">
        <v>39</v>
      </c>
      <c r="AE603" t="n">
        <v>39</v>
      </c>
      <c r="AF603" t="n">
        <v>13</v>
      </c>
      <c r="AG603" t="n">
        <v>13</v>
      </c>
      <c r="AH603" t="n">
        <v>9</v>
      </c>
      <c r="AI603" t="n">
        <v>9</v>
      </c>
      <c r="AJ603" t="n">
        <v>26</v>
      </c>
      <c r="AK603" t="n">
        <v>26</v>
      </c>
      <c r="AL603" t="n">
        <v>3</v>
      </c>
      <c r="AM603" t="n">
        <v>3</v>
      </c>
      <c r="AN603" t="n">
        <v>0</v>
      </c>
      <c r="AO603" t="n">
        <v>0</v>
      </c>
      <c r="AP603" t="inlineStr">
        <is>
          <t>No</t>
        </is>
      </c>
      <c r="AQ603" t="inlineStr">
        <is>
          <t>Yes</t>
        </is>
      </c>
      <c r="AR603">
        <f>HYPERLINK("http://catalog.hathitrust.org/Record/001213491","HathiTrust Record")</f>
        <v/>
      </c>
      <c r="AS603">
        <f>HYPERLINK("https://creighton-primo.hosted.exlibrisgroup.com/primo-explore/search?tab=default_tab&amp;search_scope=EVERYTHING&amp;vid=01CRU&amp;lang=en_US&amp;offset=0&amp;query=any,contains,991002659649702656","Catalog Record")</f>
        <v/>
      </c>
      <c r="AT603">
        <f>HYPERLINK("http://www.worldcat.org/oclc/390975","WorldCat Record")</f>
        <v/>
      </c>
      <c r="AU603" t="inlineStr">
        <is>
          <t>4196972:eng</t>
        </is>
      </c>
      <c r="AV603" t="inlineStr">
        <is>
          <t>390975</t>
        </is>
      </c>
      <c r="AW603" t="inlineStr">
        <is>
          <t>991002659649702656</t>
        </is>
      </c>
      <c r="AX603" t="inlineStr">
        <is>
          <t>991002659649702656</t>
        </is>
      </c>
      <c r="AY603" t="inlineStr">
        <is>
          <t>2262045640002656</t>
        </is>
      </c>
      <c r="AZ603" t="inlineStr">
        <is>
          <t>BOOK</t>
        </is>
      </c>
      <c r="BC603" t="inlineStr">
        <is>
          <t>32285000608710</t>
        </is>
      </c>
      <c r="BD603" t="inlineStr">
        <is>
          <t>893317096</t>
        </is>
      </c>
    </row>
    <row r="604">
      <c r="A604" t="inlineStr">
        <is>
          <t>No</t>
        </is>
      </c>
      <c r="B604" t="inlineStr">
        <is>
          <t>BX1752 .O45 1993</t>
        </is>
      </c>
      <c r="C604" t="inlineStr">
        <is>
          <t>0                      BX 1752000O  45          1993</t>
        </is>
      </c>
      <c r="D604" t="inlineStr">
        <is>
          <t>Why be Catholic? / William J. O'Malley.</t>
        </is>
      </c>
      <c r="F604" t="inlineStr">
        <is>
          <t>No</t>
        </is>
      </c>
      <c r="G604" t="inlineStr">
        <is>
          <t>1</t>
        </is>
      </c>
      <c r="H604" t="inlineStr">
        <is>
          <t>No</t>
        </is>
      </c>
      <c r="I604" t="inlineStr">
        <is>
          <t>No</t>
        </is>
      </c>
      <c r="J604" t="inlineStr">
        <is>
          <t>0</t>
        </is>
      </c>
      <c r="K604" t="inlineStr">
        <is>
          <t>O'Malley, William J.</t>
        </is>
      </c>
      <c r="L604" t="inlineStr">
        <is>
          <t>New York : Crossroad, 1993.</t>
        </is>
      </c>
      <c r="M604" t="inlineStr">
        <is>
          <t>1993</t>
        </is>
      </c>
      <c r="O604" t="inlineStr">
        <is>
          <t>eng</t>
        </is>
      </c>
      <c r="P604" t="inlineStr">
        <is>
          <t>nyu</t>
        </is>
      </c>
      <c r="R604" t="inlineStr">
        <is>
          <t xml:space="preserve">BX </t>
        </is>
      </c>
      <c r="S604" t="n">
        <v>9</v>
      </c>
      <c r="T604" t="n">
        <v>9</v>
      </c>
      <c r="U604" t="inlineStr">
        <is>
          <t>2006-02-10</t>
        </is>
      </c>
      <c r="V604" t="inlineStr">
        <is>
          <t>2006-02-10</t>
        </is>
      </c>
      <c r="W604" t="inlineStr">
        <is>
          <t>2001-01-16</t>
        </is>
      </c>
      <c r="X604" t="inlineStr">
        <is>
          <t>2001-01-16</t>
        </is>
      </c>
      <c r="Y604" t="n">
        <v>281</v>
      </c>
      <c r="Z604" t="n">
        <v>254</v>
      </c>
      <c r="AA604" t="n">
        <v>259</v>
      </c>
      <c r="AB604" t="n">
        <v>2</v>
      </c>
      <c r="AC604" t="n">
        <v>2</v>
      </c>
      <c r="AD604" t="n">
        <v>17</v>
      </c>
      <c r="AE604" t="n">
        <v>17</v>
      </c>
      <c r="AF604" t="n">
        <v>3</v>
      </c>
      <c r="AG604" t="n">
        <v>3</v>
      </c>
      <c r="AH604" t="n">
        <v>2</v>
      </c>
      <c r="AI604" t="n">
        <v>2</v>
      </c>
      <c r="AJ604" t="n">
        <v>14</v>
      </c>
      <c r="AK604" t="n">
        <v>14</v>
      </c>
      <c r="AL604" t="n">
        <v>1</v>
      </c>
      <c r="AM604" t="n">
        <v>1</v>
      </c>
      <c r="AN604" t="n">
        <v>0</v>
      </c>
      <c r="AO604" t="n">
        <v>0</v>
      </c>
      <c r="AP604" t="inlineStr">
        <is>
          <t>No</t>
        </is>
      </c>
      <c r="AQ604" t="inlineStr">
        <is>
          <t>No</t>
        </is>
      </c>
      <c r="AS604">
        <f>HYPERLINK("https://creighton-primo.hosted.exlibrisgroup.com/primo-explore/search?tab=default_tab&amp;search_scope=EVERYTHING&amp;vid=01CRU&amp;lang=en_US&amp;offset=0&amp;query=any,contains,991003363999702656","Catalog Record")</f>
        <v/>
      </c>
      <c r="AT604">
        <f>HYPERLINK("http://www.worldcat.org/oclc/28026758","WorldCat Record")</f>
        <v/>
      </c>
      <c r="AU604" t="inlineStr">
        <is>
          <t>356431:eng</t>
        </is>
      </c>
      <c r="AV604" t="inlineStr">
        <is>
          <t>28026758</t>
        </is>
      </c>
      <c r="AW604" t="inlineStr">
        <is>
          <t>991003363999702656</t>
        </is>
      </c>
      <c r="AX604" t="inlineStr">
        <is>
          <t>991003363999702656</t>
        </is>
      </c>
      <c r="AY604" t="inlineStr">
        <is>
          <t>2262835020002656</t>
        </is>
      </c>
      <c r="AZ604" t="inlineStr">
        <is>
          <t>BOOK</t>
        </is>
      </c>
      <c r="BB604" t="inlineStr">
        <is>
          <t>9780824513627</t>
        </is>
      </c>
      <c r="BC604" t="inlineStr">
        <is>
          <t>32285004283965</t>
        </is>
      </c>
      <c r="BD604" t="inlineStr">
        <is>
          <t>893780950</t>
        </is>
      </c>
    </row>
    <row r="605">
      <c r="A605" t="inlineStr">
        <is>
          <t>No</t>
        </is>
      </c>
      <c r="B605" t="inlineStr">
        <is>
          <t>BX1752 .R3313</t>
        </is>
      </c>
      <c r="C605" t="inlineStr">
        <is>
          <t>0                      BX 1752000R  3313</t>
        </is>
      </c>
      <c r="D605" t="inlineStr">
        <is>
          <t>Our Christian faith : answers for the future / Karl Rahner and Karl-HeinerWeger.</t>
        </is>
      </c>
      <c r="F605" t="inlineStr">
        <is>
          <t>No</t>
        </is>
      </c>
      <c r="G605" t="inlineStr">
        <is>
          <t>1</t>
        </is>
      </c>
      <c r="H605" t="inlineStr">
        <is>
          <t>No</t>
        </is>
      </c>
      <c r="I605" t="inlineStr">
        <is>
          <t>No</t>
        </is>
      </c>
      <c r="J605" t="inlineStr">
        <is>
          <t>0</t>
        </is>
      </c>
      <c r="K605" t="inlineStr">
        <is>
          <t>Rahner, Karl, 1904-1984.</t>
        </is>
      </c>
      <c r="L605" t="inlineStr">
        <is>
          <t>New York : Seabury Press [1980]</t>
        </is>
      </c>
      <c r="M605" t="inlineStr">
        <is>
          <t>1980</t>
        </is>
      </c>
      <c r="O605" t="inlineStr">
        <is>
          <t>eng</t>
        </is>
      </c>
      <c r="P605" t="inlineStr">
        <is>
          <t>nyu</t>
        </is>
      </c>
      <c r="R605" t="inlineStr">
        <is>
          <t xml:space="preserve">BX </t>
        </is>
      </c>
      <c r="S605" t="n">
        <v>8</v>
      </c>
      <c r="T605" t="n">
        <v>8</v>
      </c>
      <c r="U605" t="inlineStr">
        <is>
          <t>2007-07-08</t>
        </is>
      </c>
      <c r="V605" t="inlineStr">
        <is>
          <t>2007-07-08</t>
        </is>
      </c>
      <c r="W605" t="inlineStr">
        <is>
          <t>1991-05-13</t>
        </is>
      </c>
      <c r="X605" t="inlineStr">
        <is>
          <t>1991-05-13</t>
        </is>
      </c>
      <c r="Y605" t="n">
        <v>403</v>
      </c>
      <c r="Z605" t="n">
        <v>357</v>
      </c>
      <c r="AA605" t="n">
        <v>388</v>
      </c>
      <c r="AB605" t="n">
        <v>6</v>
      </c>
      <c r="AC605" t="n">
        <v>6</v>
      </c>
      <c r="AD605" t="n">
        <v>32</v>
      </c>
      <c r="AE605" t="n">
        <v>33</v>
      </c>
      <c r="AF605" t="n">
        <v>8</v>
      </c>
      <c r="AG605" t="n">
        <v>9</v>
      </c>
      <c r="AH605" t="n">
        <v>8</v>
      </c>
      <c r="AI605" t="n">
        <v>8</v>
      </c>
      <c r="AJ605" t="n">
        <v>22</v>
      </c>
      <c r="AK605" t="n">
        <v>23</v>
      </c>
      <c r="AL605" t="n">
        <v>4</v>
      </c>
      <c r="AM605" t="n">
        <v>4</v>
      </c>
      <c r="AN605" t="n">
        <v>0</v>
      </c>
      <c r="AO605" t="n">
        <v>0</v>
      </c>
      <c r="AP605" t="inlineStr">
        <is>
          <t>No</t>
        </is>
      </c>
      <c r="AQ605" t="inlineStr">
        <is>
          <t>Yes</t>
        </is>
      </c>
      <c r="AR605">
        <f>HYPERLINK("http://catalog.hathitrust.org/Record/011808784","HathiTrust Record")</f>
        <v/>
      </c>
      <c r="AS605">
        <f>HYPERLINK("https://creighton-primo.hosted.exlibrisgroup.com/primo-explore/search?tab=default_tab&amp;search_scope=EVERYTHING&amp;vid=01CRU&amp;lang=en_US&amp;offset=0&amp;query=any,contains,991004998349702656","Catalog Record")</f>
        <v/>
      </c>
      <c r="AT605">
        <f>HYPERLINK("http://www.worldcat.org/oclc/6532381","WorldCat Record")</f>
        <v/>
      </c>
      <c r="AU605" t="inlineStr">
        <is>
          <t>52125481:eng</t>
        </is>
      </c>
      <c r="AV605" t="inlineStr">
        <is>
          <t>6532381</t>
        </is>
      </c>
      <c r="AW605" t="inlineStr">
        <is>
          <t>991004998349702656</t>
        </is>
      </c>
      <c r="AX605" t="inlineStr">
        <is>
          <t>991004998349702656</t>
        </is>
      </c>
      <c r="AY605" t="inlineStr">
        <is>
          <t>2261972040002656</t>
        </is>
      </c>
      <c r="AZ605" t="inlineStr">
        <is>
          <t>BOOK</t>
        </is>
      </c>
      <c r="BB605" t="inlineStr">
        <is>
          <t>9780816420322</t>
        </is>
      </c>
      <c r="BC605" t="inlineStr">
        <is>
          <t>32285000608728</t>
        </is>
      </c>
      <c r="BD605" t="inlineStr">
        <is>
          <t>893905165</t>
        </is>
      </c>
    </row>
    <row r="606">
      <c r="A606" t="inlineStr">
        <is>
          <t>No</t>
        </is>
      </c>
      <c r="B606" t="inlineStr">
        <is>
          <t>BX1752 .S75</t>
        </is>
      </c>
      <c r="C606" t="inlineStr">
        <is>
          <t>0                      BX 1752000S  75</t>
        </is>
      </c>
      <c r="D606" t="inlineStr">
        <is>
          <t>Foundations of Christian belief : an introductory course in apologetics / by Edward V. Stanford.</t>
        </is>
      </c>
      <c r="F606" t="inlineStr">
        <is>
          <t>No</t>
        </is>
      </c>
      <c r="G606" t="inlineStr">
        <is>
          <t>1</t>
        </is>
      </c>
      <c r="H606" t="inlineStr">
        <is>
          <t>No</t>
        </is>
      </c>
      <c r="I606" t="inlineStr">
        <is>
          <t>No</t>
        </is>
      </c>
      <c r="J606" t="inlineStr">
        <is>
          <t>0</t>
        </is>
      </c>
      <c r="K606" t="inlineStr">
        <is>
          <t>Stanford, Edward V., 1897-</t>
        </is>
      </c>
      <c r="L606" t="inlineStr">
        <is>
          <t>Westminster, Md., Newman Press, 1960.</t>
        </is>
      </c>
      <c r="M606" t="inlineStr">
        <is>
          <t>1960</t>
        </is>
      </c>
      <c r="O606" t="inlineStr">
        <is>
          <t>eng</t>
        </is>
      </c>
      <c r="P606" t="inlineStr">
        <is>
          <t xml:space="preserve">xx </t>
        </is>
      </c>
      <c r="R606" t="inlineStr">
        <is>
          <t xml:space="preserve">BX </t>
        </is>
      </c>
      <c r="S606" t="n">
        <v>6</v>
      </c>
      <c r="T606" t="n">
        <v>6</v>
      </c>
      <c r="U606" t="inlineStr">
        <is>
          <t>2003-12-03</t>
        </is>
      </c>
      <c r="V606" t="inlineStr">
        <is>
          <t>2003-12-03</t>
        </is>
      </c>
      <c r="W606" t="inlineStr">
        <is>
          <t>1991-05-13</t>
        </is>
      </c>
      <c r="X606" t="inlineStr">
        <is>
          <t>1991-05-13</t>
        </is>
      </c>
      <c r="Y606" t="n">
        <v>76</v>
      </c>
      <c r="Z606" t="n">
        <v>69</v>
      </c>
      <c r="AA606" t="n">
        <v>77</v>
      </c>
      <c r="AB606" t="n">
        <v>1</v>
      </c>
      <c r="AC606" t="n">
        <v>1</v>
      </c>
      <c r="AD606" t="n">
        <v>9</v>
      </c>
      <c r="AE606" t="n">
        <v>11</v>
      </c>
      <c r="AF606" t="n">
        <v>2</v>
      </c>
      <c r="AG606" t="n">
        <v>3</v>
      </c>
      <c r="AH606" t="n">
        <v>2</v>
      </c>
      <c r="AI606" t="n">
        <v>3</v>
      </c>
      <c r="AJ606" t="n">
        <v>6</v>
      </c>
      <c r="AK606" t="n">
        <v>7</v>
      </c>
      <c r="AL606" t="n">
        <v>0</v>
      </c>
      <c r="AM606" t="n">
        <v>0</v>
      </c>
      <c r="AN606" t="n">
        <v>0</v>
      </c>
      <c r="AO606" t="n">
        <v>0</v>
      </c>
      <c r="AP606" t="inlineStr">
        <is>
          <t>No</t>
        </is>
      </c>
      <c r="AQ606" t="inlineStr">
        <is>
          <t>No</t>
        </is>
      </c>
      <c r="AS606">
        <f>HYPERLINK("https://creighton-primo.hosted.exlibrisgroup.com/primo-explore/search?tab=default_tab&amp;search_scope=EVERYTHING&amp;vid=01CRU&amp;lang=en_US&amp;offset=0&amp;query=any,contains,991004379699702656","Catalog Record")</f>
        <v/>
      </c>
      <c r="AT606">
        <f>HYPERLINK("http://www.worldcat.org/oclc/3215413","WorldCat Record")</f>
        <v/>
      </c>
      <c r="AU606" t="inlineStr">
        <is>
          <t>8748172:eng</t>
        </is>
      </c>
      <c r="AV606" t="inlineStr">
        <is>
          <t>3215413</t>
        </is>
      </c>
      <c r="AW606" t="inlineStr">
        <is>
          <t>991004379699702656</t>
        </is>
      </c>
      <c r="AX606" t="inlineStr">
        <is>
          <t>991004379699702656</t>
        </is>
      </c>
      <c r="AY606" t="inlineStr">
        <is>
          <t>2272543140002656</t>
        </is>
      </c>
      <c r="AZ606" t="inlineStr">
        <is>
          <t>BOOK</t>
        </is>
      </c>
      <c r="BC606" t="inlineStr">
        <is>
          <t>32285000608751</t>
        </is>
      </c>
      <c r="BD606" t="inlineStr">
        <is>
          <t>893869646</t>
        </is>
      </c>
    </row>
    <row r="607">
      <c r="A607" t="inlineStr">
        <is>
          <t>No</t>
        </is>
      </c>
      <c r="B607" t="inlineStr">
        <is>
          <t>BX1752 .W55 2002</t>
        </is>
      </c>
      <c r="C607" t="inlineStr">
        <is>
          <t>0                      BX 1752000W  55          2002</t>
        </is>
      </c>
      <c r="D607" t="inlineStr">
        <is>
          <t>Why I am a Catholic / Garry Wills.</t>
        </is>
      </c>
      <c r="F607" t="inlineStr">
        <is>
          <t>No</t>
        </is>
      </c>
      <c r="G607" t="inlineStr">
        <is>
          <t>1</t>
        </is>
      </c>
      <c r="H607" t="inlineStr">
        <is>
          <t>No</t>
        </is>
      </c>
      <c r="I607" t="inlineStr">
        <is>
          <t>No</t>
        </is>
      </c>
      <c r="J607" t="inlineStr">
        <is>
          <t>0</t>
        </is>
      </c>
      <c r="K607" t="inlineStr">
        <is>
          <t>Wills, Garry, 1934-</t>
        </is>
      </c>
      <c r="L607" t="inlineStr">
        <is>
          <t>Boston : Houghton Mifflin, c2002.</t>
        </is>
      </c>
      <c r="M607" t="inlineStr">
        <is>
          <t>2002</t>
        </is>
      </c>
      <c r="O607" t="inlineStr">
        <is>
          <t>eng</t>
        </is>
      </c>
      <c r="P607" t="inlineStr">
        <is>
          <t>mau</t>
        </is>
      </c>
      <c r="R607" t="inlineStr">
        <is>
          <t xml:space="preserve">BX </t>
        </is>
      </c>
      <c r="S607" t="n">
        <v>5</v>
      </c>
      <c r="T607" t="n">
        <v>5</v>
      </c>
      <c r="U607" t="inlineStr">
        <is>
          <t>2006-09-13</t>
        </is>
      </c>
      <c r="V607" t="inlineStr">
        <is>
          <t>2006-09-13</t>
        </is>
      </c>
      <c r="W607" t="inlineStr">
        <is>
          <t>2002-07-31</t>
        </is>
      </c>
      <c r="X607" t="inlineStr">
        <is>
          <t>2002-07-31</t>
        </is>
      </c>
      <c r="Y607" t="n">
        <v>1587</v>
      </c>
      <c r="Z607" t="n">
        <v>1515</v>
      </c>
      <c r="AA607" t="n">
        <v>1633</v>
      </c>
      <c r="AB607" t="n">
        <v>20</v>
      </c>
      <c r="AC607" t="n">
        <v>20</v>
      </c>
      <c r="AD607" t="n">
        <v>48</v>
      </c>
      <c r="AE607" t="n">
        <v>50</v>
      </c>
      <c r="AF607" t="n">
        <v>21</v>
      </c>
      <c r="AG607" t="n">
        <v>21</v>
      </c>
      <c r="AH607" t="n">
        <v>9</v>
      </c>
      <c r="AI607" t="n">
        <v>9</v>
      </c>
      <c r="AJ607" t="n">
        <v>21</v>
      </c>
      <c r="AK607" t="n">
        <v>23</v>
      </c>
      <c r="AL607" t="n">
        <v>7</v>
      </c>
      <c r="AM607" t="n">
        <v>7</v>
      </c>
      <c r="AN607" t="n">
        <v>1</v>
      </c>
      <c r="AO607" t="n">
        <v>1</v>
      </c>
      <c r="AP607" t="inlineStr">
        <is>
          <t>No</t>
        </is>
      </c>
      <c r="AQ607" t="inlineStr">
        <is>
          <t>Yes</t>
        </is>
      </c>
      <c r="AR607">
        <f>HYPERLINK("http://catalog.hathitrust.org/Record/100207307","HathiTrust Record")</f>
        <v/>
      </c>
      <c r="AS607">
        <f>HYPERLINK("https://creighton-primo.hosted.exlibrisgroup.com/primo-explore/search?tab=default_tab&amp;search_scope=EVERYTHING&amp;vid=01CRU&amp;lang=en_US&amp;offset=0&amp;query=any,contains,991003842939702656","Catalog Record")</f>
        <v/>
      </c>
      <c r="AT607">
        <f>HYPERLINK("http://www.worldcat.org/oclc/50059695","WorldCat Record")</f>
        <v/>
      </c>
      <c r="AU607" t="inlineStr">
        <is>
          <t>720646:eng</t>
        </is>
      </c>
      <c r="AV607" t="inlineStr">
        <is>
          <t>50059695</t>
        </is>
      </c>
      <c r="AW607" t="inlineStr">
        <is>
          <t>991003842939702656</t>
        </is>
      </c>
      <c r="AX607" t="inlineStr">
        <is>
          <t>991003842939702656</t>
        </is>
      </c>
      <c r="AY607" t="inlineStr">
        <is>
          <t>2258216350002656</t>
        </is>
      </c>
      <c r="AZ607" t="inlineStr">
        <is>
          <t>BOOK</t>
        </is>
      </c>
      <c r="BB607" t="inlineStr">
        <is>
          <t>9780618134298</t>
        </is>
      </c>
      <c r="BC607" t="inlineStr">
        <is>
          <t>32285004641162</t>
        </is>
      </c>
      <c r="BD607" t="inlineStr">
        <is>
          <t>893781490</t>
        </is>
      </c>
    </row>
    <row r="608">
      <c r="A608" t="inlineStr">
        <is>
          <t>No</t>
        </is>
      </c>
      <c r="B608" t="inlineStr">
        <is>
          <t>BX1753 .A6 1968</t>
        </is>
      </c>
      <c r="C608" t="inlineStr">
        <is>
          <t>0                      BX 1753000A  6           1968</t>
        </is>
      </c>
      <c r="D608" t="inlineStr">
        <is>
          <t>American Catholic thought on social questions / edited by Aaron I. Abell.</t>
        </is>
      </c>
      <c r="F608" t="inlineStr">
        <is>
          <t>No</t>
        </is>
      </c>
      <c r="G608" t="inlineStr">
        <is>
          <t>1</t>
        </is>
      </c>
      <c r="H608" t="inlineStr">
        <is>
          <t>No</t>
        </is>
      </c>
      <c r="I608" t="inlineStr">
        <is>
          <t>No</t>
        </is>
      </c>
      <c r="J608" t="inlineStr">
        <is>
          <t>0</t>
        </is>
      </c>
      <c r="K608" t="inlineStr">
        <is>
          <t>Abell, Aaron Ignatius, 1903-1965 compiler.</t>
        </is>
      </c>
      <c r="L608" t="inlineStr">
        <is>
          <t>Indianapolis : Bobbs-Merrill, [1968]</t>
        </is>
      </c>
      <c r="M608" t="inlineStr">
        <is>
          <t>1968</t>
        </is>
      </c>
      <c r="O608" t="inlineStr">
        <is>
          <t>eng</t>
        </is>
      </c>
      <c r="P608" t="inlineStr">
        <is>
          <t>inu</t>
        </is>
      </c>
      <c r="Q608" t="inlineStr">
        <is>
          <t>The American heritage series, 58</t>
        </is>
      </c>
      <c r="R608" t="inlineStr">
        <is>
          <t xml:space="preserve">BX </t>
        </is>
      </c>
      <c r="S608" t="n">
        <v>4</v>
      </c>
      <c r="T608" t="n">
        <v>4</v>
      </c>
      <c r="U608" t="inlineStr">
        <is>
          <t>2008-03-09</t>
        </is>
      </c>
      <c r="V608" t="inlineStr">
        <is>
          <t>2008-03-09</t>
        </is>
      </c>
      <c r="W608" t="inlineStr">
        <is>
          <t>1991-05-13</t>
        </is>
      </c>
      <c r="X608" t="inlineStr">
        <is>
          <t>1991-05-13</t>
        </is>
      </c>
      <c r="Y608" t="n">
        <v>721</v>
      </c>
      <c r="Z608" t="n">
        <v>661</v>
      </c>
      <c r="AA608" t="n">
        <v>667</v>
      </c>
      <c r="AB608" t="n">
        <v>4</v>
      </c>
      <c r="AC608" t="n">
        <v>4</v>
      </c>
      <c r="AD608" t="n">
        <v>35</v>
      </c>
      <c r="AE608" t="n">
        <v>35</v>
      </c>
      <c r="AF608" t="n">
        <v>12</v>
      </c>
      <c r="AG608" t="n">
        <v>12</v>
      </c>
      <c r="AH608" t="n">
        <v>9</v>
      </c>
      <c r="AI608" t="n">
        <v>9</v>
      </c>
      <c r="AJ608" t="n">
        <v>21</v>
      </c>
      <c r="AK608" t="n">
        <v>21</v>
      </c>
      <c r="AL608" t="n">
        <v>2</v>
      </c>
      <c r="AM608" t="n">
        <v>2</v>
      </c>
      <c r="AN608" t="n">
        <v>0</v>
      </c>
      <c r="AO608" t="n">
        <v>0</v>
      </c>
      <c r="AP608" t="inlineStr">
        <is>
          <t>No</t>
        </is>
      </c>
      <c r="AQ608" t="inlineStr">
        <is>
          <t>Yes</t>
        </is>
      </c>
      <c r="AR608">
        <f>HYPERLINK("http://catalog.hathitrust.org/Record/001416530","HathiTrust Record")</f>
        <v/>
      </c>
      <c r="AS608">
        <f>HYPERLINK("https://creighton-primo.hosted.exlibrisgroup.com/primo-explore/search?tab=default_tab&amp;search_scope=EVERYTHING&amp;vid=01CRU&amp;lang=en_US&amp;offset=0&amp;query=any,contains,991003099139702656","Catalog Record")</f>
        <v/>
      </c>
      <c r="AT608">
        <f>HYPERLINK("http://www.worldcat.org/oclc/648644","WorldCat Record")</f>
        <v/>
      </c>
      <c r="AU608" t="inlineStr">
        <is>
          <t>1821357:eng</t>
        </is>
      </c>
      <c r="AV608" t="inlineStr">
        <is>
          <t>648644</t>
        </is>
      </c>
      <c r="AW608" t="inlineStr">
        <is>
          <t>991003099139702656</t>
        </is>
      </c>
      <c r="AX608" t="inlineStr">
        <is>
          <t>991003099139702656</t>
        </is>
      </c>
      <c r="AY608" t="inlineStr">
        <is>
          <t>2256367270002656</t>
        </is>
      </c>
      <c r="AZ608" t="inlineStr">
        <is>
          <t>BOOK</t>
        </is>
      </c>
      <c r="BC608" t="inlineStr">
        <is>
          <t>32285000608785</t>
        </is>
      </c>
      <c r="BD608" t="inlineStr">
        <is>
          <t>893518147</t>
        </is>
      </c>
    </row>
    <row r="609">
      <c r="A609" t="inlineStr">
        <is>
          <t>No</t>
        </is>
      </c>
      <c r="B609" t="inlineStr">
        <is>
          <t>BX1753 .A86 1988</t>
        </is>
      </c>
      <c r="C609" t="inlineStr">
        <is>
          <t>0                      BX 1753000A  86          1988</t>
        </is>
      </c>
      <c r="D609" t="inlineStr">
        <is>
          <t>Aspiring to freedom : commentaries on John Paul II's encyclical The Social concerns of the Church / by Peter L. Berger ... [et al.] ; edited by Kenneth A. Myers ; with the complete text of the encyclical.</t>
        </is>
      </c>
      <c r="F609" t="inlineStr">
        <is>
          <t>No</t>
        </is>
      </c>
      <c r="G609" t="inlineStr">
        <is>
          <t>1</t>
        </is>
      </c>
      <c r="H609" t="inlineStr">
        <is>
          <t>No</t>
        </is>
      </c>
      <c r="I609" t="inlineStr">
        <is>
          <t>No</t>
        </is>
      </c>
      <c r="J609" t="inlineStr">
        <is>
          <t>0</t>
        </is>
      </c>
      <c r="L609" t="inlineStr">
        <is>
          <t>Grand Rapids, Mich. : W.B. Eerdmans Pub. Co., c1988.</t>
        </is>
      </c>
      <c r="M609" t="inlineStr">
        <is>
          <t>1988</t>
        </is>
      </c>
      <c r="O609" t="inlineStr">
        <is>
          <t>eng</t>
        </is>
      </c>
      <c r="P609" t="inlineStr">
        <is>
          <t>miu</t>
        </is>
      </c>
      <c r="R609" t="inlineStr">
        <is>
          <t xml:space="preserve">BX </t>
        </is>
      </c>
      <c r="S609" t="n">
        <v>6</v>
      </c>
      <c r="T609" t="n">
        <v>6</v>
      </c>
      <c r="U609" t="inlineStr">
        <is>
          <t>2008-03-09</t>
        </is>
      </c>
      <c r="V609" t="inlineStr">
        <is>
          <t>2008-03-09</t>
        </is>
      </c>
      <c r="W609" t="inlineStr">
        <is>
          <t>1992-05-08</t>
        </is>
      </c>
      <c r="X609" t="inlineStr">
        <is>
          <t>1992-05-08</t>
        </is>
      </c>
      <c r="Y609" t="n">
        <v>324</v>
      </c>
      <c r="Z609" t="n">
        <v>271</v>
      </c>
      <c r="AA609" t="n">
        <v>275</v>
      </c>
      <c r="AB609" t="n">
        <v>2</v>
      </c>
      <c r="AC609" t="n">
        <v>2</v>
      </c>
      <c r="AD609" t="n">
        <v>22</v>
      </c>
      <c r="AE609" t="n">
        <v>22</v>
      </c>
      <c r="AF609" t="n">
        <v>7</v>
      </c>
      <c r="AG609" t="n">
        <v>7</v>
      </c>
      <c r="AH609" t="n">
        <v>6</v>
      </c>
      <c r="AI609" t="n">
        <v>6</v>
      </c>
      <c r="AJ609" t="n">
        <v>16</v>
      </c>
      <c r="AK609" t="n">
        <v>16</v>
      </c>
      <c r="AL609" t="n">
        <v>1</v>
      </c>
      <c r="AM609" t="n">
        <v>1</v>
      </c>
      <c r="AN609" t="n">
        <v>0</v>
      </c>
      <c r="AO609" t="n">
        <v>0</v>
      </c>
      <c r="AP609" t="inlineStr">
        <is>
          <t>No</t>
        </is>
      </c>
      <c r="AQ609" t="inlineStr">
        <is>
          <t>Yes</t>
        </is>
      </c>
      <c r="AR609">
        <f>HYPERLINK("http://catalog.hathitrust.org/Record/001290502","HathiTrust Record")</f>
        <v/>
      </c>
      <c r="AS609">
        <f>HYPERLINK("https://creighton-primo.hosted.exlibrisgroup.com/primo-explore/search?tab=default_tab&amp;search_scope=EVERYTHING&amp;vid=01CRU&amp;lang=en_US&amp;offset=0&amp;query=any,contains,991001311099702656","Catalog Record")</f>
        <v/>
      </c>
      <c r="AT609">
        <f>HYPERLINK("http://www.worldcat.org/oclc/18137121","WorldCat Record")</f>
        <v/>
      </c>
      <c r="AU609" t="inlineStr">
        <is>
          <t>57852654:eng</t>
        </is>
      </c>
      <c r="AV609" t="inlineStr">
        <is>
          <t>18137121</t>
        </is>
      </c>
      <c r="AW609" t="inlineStr">
        <is>
          <t>991001311099702656</t>
        </is>
      </c>
      <c r="AX609" t="inlineStr">
        <is>
          <t>991001311099702656</t>
        </is>
      </c>
      <c r="AY609" t="inlineStr">
        <is>
          <t>2265297600002656</t>
        </is>
      </c>
      <c r="AZ609" t="inlineStr">
        <is>
          <t>BOOK</t>
        </is>
      </c>
      <c r="BB609" t="inlineStr">
        <is>
          <t>9780802804129</t>
        </is>
      </c>
      <c r="BC609" t="inlineStr">
        <is>
          <t>32285001106599</t>
        </is>
      </c>
      <c r="BD609" t="inlineStr">
        <is>
          <t>893334243</t>
        </is>
      </c>
    </row>
    <row r="610">
      <c r="A610" t="inlineStr">
        <is>
          <t>No</t>
        </is>
      </c>
      <c r="B610" t="inlineStr">
        <is>
          <t>BX1753 .A8914 2003</t>
        </is>
      </c>
      <c r="C610" t="inlineStr">
        <is>
          <t>0                      BX 1753000A  8914        2003</t>
        </is>
      </c>
      <c r="D610" t="inlineStr">
        <is>
          <t>Catholic social teaching : an historical perspective / by Roger Aubert ; David A. Boileau, editor ; Charles E. Curran, preface.</t>
        </is>
      </c>
      <c r="F610" t="inlineStr">
        <is>
          <t>No</t>
        </is>
      </c>
      <c r="G610" t="inlineStr">
        <is>
          <t>1</t>
        </is>
      </c>
      <c r="H610" t="inlineStr">
        <is>
          <t>No</t>
        </is>
      </c>
      <c r="I610" t="inlineStr">
        <is>
          <t>No</t>
        </is>
      </c>
      <c r="J610" t="inlineStr">
        <is>
          <t>0</t>
        </is>
      </c>
      <c r="K610" t="inlineStr">
        <is>
          <t>Aubert, Roger.</t>
        </is>
      </c>
      <c r="L610" t="inlineStr">
        <is>
          <t>Milwaukee : Marquette University Press, c2003.</t>
        </is>
      </c>
      <c r="M610" t="inlineStr">
        <is>
          <t>2003</t>
        </is>
      </c>
      <c r="N610" t="inlineStr">
        <is>
          <t>1st ed.</t>
        </is>
      </c>
      <c r="O610" t="inlineStr">
        <is>
          <t>eng</t>
        </is>
      </c>
      <c r="P610" t="inlineStr">
        <is>
          <t>wiu</t>
        </is>
      </c>
      <c r="Q610" t="inlineStr">
        <is>
          <t>Marquette studies in theology ; no. 40</t>
        </is>
      </c>
      <c r="R610" t="inlineStr">
        <is>
          <t xml:space="preserve">BX </t>
        </is>
      </c>
      <c r="S610" t="n">
        <v>5</v>
      </c>
      <c r="T610" t="n">
        <v>5</v>
      </c>
      <c r="U610" t="inlineStr">
        <is>
          <t>2010-10-26</t>
        </is>
      </c>
      <c r="V610" t="inlineStr">
        <is>
          <t>2010-10-26</t>
        </is>
      </c>
      <c r="W610" t="inlineStr">
        <is>
          <t>2004-04-20</t>
        </is>
      </c>
      <c r="X610" t="inlineStr">
        <is>
          <t>2004-04-20</t>
        </is>
      </c>
      <c r="Y610" t="n">
        <v>161</v>
      </c>
      <c r="Z610" t="n">
        <v>134</v>
      </c>
      <c r="AA610" t="n">
        <v>872</v>
      </c>
      <c r="AB610" t="n">
        <v>2</v>
      </c>
      <c r="AC610" t="n">
        <v>30</v>
      </c>
      <c r="AD610" t="n">
        <v>18</v>
      </c>
      <c r="AE610" t="n">
        <v>42</v>
      </c>
      <c r="AF610" t="n">
        <v>6</v>
      </c>
      <c r="AG610" t="n">
        <v>14</v>
      </c>
      <c r="AH610" t="n">
        <v>6</v>
      </c>
      <c r="AI610" t="n">
        <v>8</v>
      </c>
      <c r="AJ610" t="n">
        <v>12</v>
      </c>
      <c r="AK610" t="n">
        <v>16</v>
      </c>
      <c r="AL610" t="n">
        <v>1</v>
      </c>
      <c r="AM610" t="n">
        <v>11</v>
      </c>
      <c r="AN610" t="n">
        <v>0</v>
      </c>
      <c r="AO610" t="n">
        <v>1</v>
      </c>
      <c r="AP610" t="inlineStr">
        <is>
          <t>No</t>
        </is>
      </c>
      <c r="AQ610" t="inlineStr">
        <is>
          <t>Yes</t>
        </is>
      </c>
      <c r="AR610">
        <f>HYPERLINK("http://catalog.hathitrust.org/Record/004371254","HathiTrust Record")</f>
        <v/>
      </c>
      <c r="AS610">
        <f>HYPERLINK("https://creighton-primo.hosted.exlibrisgroup.com/primo-explore/search?tab=default_tab&amp;search_scope=EVERYTHING&amp;vid=01CRU&amp;lang=en_US&amp;offset=0&amp;query=any,contains,991004261429702656","Catalog Record")</f>
        <v/>
      </c>
      <c r="AT610">
        <f>HYPERLINK("http://www.worldcat.org/oclc/53075707","WorldCat Record")</f>
        <v/>
      </c>
      <c r="AU610" t="inlineStr">
        <is>
          <t>1059364429:eng</t>
        </is>
      </c>
      <c r="AV610" t="inlineStr">
        <is>
          <t>53075707</t>
        </is>
      </c>
      <c r="AW610" t="inlineStr">
        <is>
          <t>991004261429702656</t>
        </is>
      </c>
      <c r="AX610" t="inlineStr">
        <is>
          <t>991004261429702656</t>
        </is>
      </c>
      <c r="AY610" t="inlineStr">
        <is>
          <t>2269232350002656</t>
        </is>
      </c>
      <c r="AZ610" t="inlineStr">
        <is>
          <t>BOOK</t>
        </is>
      </c>
      <c r="BB610" t="inlineStr">
        <is>
          <t>9780874626926</t>
        </is>
      </c>
      <c r="BC610" t="inlineStr">
        <is>
          <t>32285004900683</t>
        </is>
      </c>
      <c r="BD610" t="inlineStr">
        <is>
          <t>893519438</t>
        </is>
      </c>
    </row>
    <row r="611">
      <c r="A611" t="inlineStr">
        <is>
          <t>No</t>
        </is>
      </c>
      <c r="B611" t="inlineStr">
        <is>
          <t>BX1753 .B4 1941</t>
        </is>
      </c>
      <c r="C611" t="inlineStr">
        <is>
          <t>0                      BX 1753000B  4           1941</t>
        </is>
      </c>
      <c r="D611" t="inlineStr">
        <is>
          <t>Survivals and new arrivals / by Hilaire Belloc.</t>
        </is>
      </c>
      <c r="F611" t="inlineStr">
        <is>
          <t>No</t>
        </is>
      </c>
      <c r="G611" t="inlineStr">
        <is>
          <t>1</t>
        </is>
      </c>
      <c r="H611" t="inlineStr">
        <is>
          <t>No</t>
        </is>
      </c>
      <c r="I611" t="inlineStr">
        <is>
          <t>No</t>
        </is>
      </c>
      <c r="J611" t="inlineStr">
        <is>
          <t>0</t>
        </is>
      </c>
      <c r="K611" t="inlineStr">
        <is>
          <t>Belloc, Hilaire, 1870-1953.</t>
        </is>
      </c>
      <c r="L611" t="inlineStr">
        <is>
          <t>New York, Sheed &amp; Ward, 1941.</t>
        </is>
      </c>
      <c r="M611" t="inlineStr">
        <is>
          <t>1941</t>
        </is>
      </c>
      <c r="O611" t="inlineStr">
        <is>
          <t>eng</t>
        </is>
      </c>
      <c r="P611" t="inlineStr">
        <is>
          <t>nyu</t>
        </is>
      </c>
      <c r="Q611" t="inlineStr">
        <is>
          <t>Catholic masterpiece tutorial series. Series I ; no. 3</t>
        </is>
      </c>
      <c r="R611" t="inlineStr">
        <is>
          <t xml:space="preserve">BX </t>
        </is>
      </c>
      <c r="S611" t="n">
        <v>1</v>
      </c>
      <c r="T611" t="n">
        <v>1</v>
      </c>
      <c r="U611" t="inlineStr">
        <is>
          <t>2008-04-05</t>
        </is>
      </c>
      <c r="V611" t="inlineStr">
        <is>
          <t>2008-04-05</t>
        </is>
      </c>
      <c r="W611" t="inlineStr">
        <is>
          <t>1991-05-13</t>
        </is>
      </c>
      <c r="X611" t="inlineStr">
        <is>
          <t>1991-05-13</t>
        </is>
      </c>
      <c r="Y611" t="n">
        <v>64</v>
      </c>
      <c r="Z611" t="n">
        <v>57</v>
      </c>
      <c r="AA611" t="n">
        <v>390</v>
      </c>
      <c r="AB611" t="n">
        <v>2</v>
      </c>
      <c r="AC611" t="n">
        <v>4</v>
      </c>
      <c r="AD611" t="n">
        <v>9</v>
      </c>
      <c r="AE611" t="n">
        <v>37</v>
      </c>
      <c r="AF611" t="n">
        <v>3</v>
      </c>
      <c r="AG611" t="n">
        <v>13</v>
      </c>
      <c r="AH611" t="n">
        <v>2</v>
      </c>
      <c r="AI611" t="n">
        <v>10</v>
      </c>
      <c r="AJ611" t="n">
        <v>7</v>
      </c>
      <c r="AK611" t="n">
        <v>26</v>
      </c>
      <c r="AL611" t="n">
        <v>0</v>
      </c>
      <c r="AM611" t="n">
        <v>1</v>
      </c>
      <c r="AN611" t="n">
        <v>0</v>
      </c>
      <c r="AO611" t="n">
        <v>0</v>
      </c>
      <c r="AP611" t="inlineStr">
        <is>
          <t>No</t>
        </is>
      </c>
      <c r="AQ611" t="inlineStr">
        <is>
          <t>Yes</t>
        </is>
      </c>
      <c r="AR611">
        <f>HYPERLINK("http://catalog.hathitrust.org/Record/006531350","HathiTrust Record")</f>
        <v/>
      </c>
      <c r="AS611">
        <f>HYPERLINK("https://creighton-primo.hosted.exlibrisgroup.com/primo-explore/search?tab=default_tab&amp;search_scope=EVERYTHING&amp;vid=01CRU&amp;lang=en_US&amp;offset=0&amp;query=any,contains,991004387829702656","Catalog Record")</f>
        <v/>
      </c>
      <c r="AT611">
        <f>HYPERLINK("http://www.worldcat.org/oclc/3247607","WorldCat Record")</f>
        <v/>
      </c>
      <c r="AU611" t="inlineStr">
        <is>
          <t>1807834:eng</t>
        </is>
      </c>
      <c r="AV611" t="inlineStr">
        <is>
          <t>3247607</t>
        </is>
      </c>
      <c r="AW611" t="inlineStr">
        <is>
          <t>991004387829702656</t>
        </is>
      </c>
      <c r="AX611" t="inlineStr">
        <is>
          <t>991004387829702656</t>
        </is>
      </c>
      <c r="AY611" t="inlineStr">
        <is>
          <t>2270856060002656</t>
        </is>
      </c>
      <c r="AZ611" t="inlineStr">
        <is>
          <t>BOOK</t>
        </is>
      </c>
      <c r="BC611" t="inlineStr">
        <is>
          <t>32285000608835</t>
        </is>
      </c>
      <c r="BD611" t="inlineStr">
        <is>
          <t>893513163</t>
        </is>
      </c>
    </row>
    <row r="612">
      <c r="A612" t="inlineStr">
        <is>
          <t>No</t>
        </is>
      </c>
      <c r="B612" t="inlineStr">
        <is>
          <t>BX1753 .B44 1982</t>
        </is>
      </c>
      <c r="C612" t="inlineStr">
        <is>
          <t>0                      BX 1753000B  44          1982</t>
        </is>
      </c>
      <c r="D612" t="inlineStr">
        <is>
          <t>The pursuit of a just social order : policy statements of the U.S. Catholic bishops, 1966-80 / J. Brian Benestad ; foreword by Avery Dulles.</t>
        </is>
      </c>
      <c r="F612" t="inlineStr">
        <is>
          <t>No</t>
        </is>
      </c>
      <c r="G612" t="inlineStr">
        <is>
          <t>1</t>
        </is>
      </c>
      <c r="H612" t="inlineStr">
        <is>
          <t>No</t>
        </is>
      </c>
      <c r="I612" t="inlineStr">
        <is>
          <t>No</t>
        </is>
      </c>
      <c r="J612" t="inlineStr">
        <is>
          <t>0</t>
        </is>
      </c>
      <c r="K612" t="inlineStr">
        <is>
          <t>Benestad, J. Brian.</t>
        </is>
      </c>
      <c r="L612" t="inlineStr">
        <is>
          <t>Washington, D.C. : Ethics and Public Policy Center, c1982.</t>
        </is>
      </c>
      <c r="M612" t="inlineStr">
        <is>
          <t>1982</t>
        </is>
      </c>
      <c r="O612" t="inlineStr">
        <is>
          <t>eng</t>
        </is>
      </c>
      <c r="P612" t="inlineStr">
        <is>
          <t>dcu</t>
        </is>
      </c>
      <c r="R612" t="inlineStr">
        <is>
          <t xml:space="preserve">BX </t>
        </is>
      </c>
      <c r="S612" t="n">
        <v>5</v>
      </c>
      <c r="T612" t="n">
        <v>5</v>
      </c>
      <c r="U612" t="inlineStr">
        <is>
          <t>2006-04-14</t>
        </is>
      </c>
      <c r="V612" t="inlineStr">
        <is>
          <t>2006-04-14</t>
        </is>
      </c>
      <c r="W612" t="inlineStr">
        <is>
          <t>1991-05-13</t>
        </is>
      </c>
      <c r="X612" t="inlineStr">
        <is>
          <t>1991-05-13</t>
        </is>
      </c>
      <c r="Y612" t="n">
        <v>509</v>
      </c>
      <c r="Z612" t="n">
        <v>456</v>
      </c>
      <c r="AA612" t="n">
        <v>460</v>
      </c>
      <c r="AB612" t="n">
        <v>4</v>
      </c>
      <c r="AC612" t="n">
        <v>4</v>
      </c>
      <c r="AD612" t="n">
        <v>36</v>
      </c>
      <c r="AE612" t="n">
        <v>36</v>
      </c>
      <c r="AF612" t="n">
        <v>15</v>
      </c>
      <c r="AG612" t="n">
        <v>15</v>
      </c>
      <c r="AH612" t="n">
        <v>9</v>
      </c>
      <c r="AI612" t="n">
        <v>9</v>
      </c>
      <c r="AJ612" t="n">
        <v>22</v>
      </c>
      <c r="AK612" t="n">
        <v>22</v>
      </c>
      <c r="AL612" t="n">
        <v>1</v>
      </c>
      <c r="AM612" t="n">
        <v>1</v>
      </c>
      <c r="AN612" t="n">
        <v>1</v>
      </c>
      <c r="AO612" t="n">
        <v>1</v>
      </c>
      <c r="AP612" t="inlineStr">
        <is>
          <t>No</t>
        </is>
      </c>
      <c r="AQ612" t="inlineStr">
        <is>
          <t>Yes</t>
        </is>
      </c>
      <c r="AR612">
        <f>HYPERLINK("http://catalog.hathitrust.org/Record/000154802","HathiTrust Record")</f>
        <v/>
      </c>
      <c r="AS612">
        <f>HYPERLINK("https://creighton-primo.hosted.exlibrisgroup.com/primo-explore/search?tab=default_tab&amp;search_scope=EVERYTHING&amp;vid=01CRU&amp;lang=en_US&amp;offset=0&amp;query=any,contains,991000087249702656","Catalog Record")</f>
        <v/>
      </c>
      <c r="AT612">
        <f>HYPERLINK("http://www.worldcat.org/oclc/8866564","WorldCat Record")</f>
        <v/>
      </c>
      <c r="AU612" t="inlineStr">
        <is>
          <t>20917051:eng</t>
        </is>
      </c>
      <c r="AV612" t="inlineStr">
        <is>
          <t>8866564</t>
        </is>
      </c>
      <c r="AW612" t="inlineStr">
        <is>
          <t>991000087249702656</t>
        </is>
      </c>
      <c r="AX612" t="inlineStr">
        <is>
          <t>991000087249702656</t>
        </is>
      </c>
      <c r="AY612" t="inlineStr">
        <is>
          <t>2262457630002656</t>
        </is>
      </c>
      <c r="AZ612" t="inlineStr">
        <is>
          <t>BOOK</t>
        </is>
      </c>
      <c r="BB612" t="inlineStr">
        <is>
          <t>9780896330610</t>
        </is>
      </c>
      <c r="BC612" t="inlineStr">
        <is>
          <t>32285000608843</t>
        </is>
      </c>
      <c r="BD612" t="inlineStr">
        <is>
          <t>893865075</t>
        </is>
      </c>
    </row>
    <row r="613">
      <c r="A613" t="inlineStr">
        <is>
          <t>No</t>
        </is>
      </c>
      <c r="B613" t="inlineStr">
        <is>
          <t>BX1753 .C28 1998</t>
        </is>
      </c>
      <c r="C613" t="inlineStr">
        <is>
          <t>0                      BX 1753000C  28          1998</t>
        </is>
      </c>
      <c r="D613" t="inlineStr">
        <is>
          <t>A Catholic call to justice: an activity book for raising awareness of social justice issues.</t>
        </is>
      </c>
      <c r="F613" t="inlineStr">
        <is>
          <t>No</t>
        </is>
      </c>
      <c r="G613" t="inlineStr">
        <is>
          <t>1</t>
        </is>
      </c>
      <c r="H613" t="inlineStr">
        <is>
          <t>No</t>
        </is>
      </c>
      <c r="I613" t="inlineStr">
        <is>
          <t>No</t>
        </is>
      </c>
      <c r="J613" t="inlineStr">
        <is>
          <t>0</t>
        </is>
      </c>
      <c r="K613" t="inlineStr">
        <is>
          <t>Campaign for Human Development.</t>
        </is>
      </c>
      <c r="L613" t="inlineStr">
        <is>
          <t>Washington, D.C.: United States Catholic Conference, 1998.</t>
        </is>
      </c>
      <c r="M613" t="inlineStr">
        <is>
          <t>1998</t>
        </is>
      </c>
      <c r="O613" t="inlineStr">
        <is>
          <t>eng</t>
        </is>
      </c>
      <c r="P613" t="inlineStr">
        <is>
          <t>xxu</t>
        </is>
      </c>
      <c r="R613" t="inlineStr">
        <is>
          <t xml:space="preserve">BX </t>
        </is>
      </c>
      <c r="S613" t="n">
        <v>2</v>
      </c>
      <c r="T613" t="n">
        <v>2</v>
      </c>
      <c r="U613" t="inlineStr">
        <is>
          <t>2000-07-26</t>
        </is>
      </c>
      <c r="V613" t="inlineStr">
        <is>
          <t>2000-07-26</t>
        </is>
      </c>
      <c r="W613" t="inlineStr">
        <is>
          <t>1998-12-03</t>
        </is>
      </c>
      <c r="X613" t="inlineStr">
        <is>
          <t>1998-12-03</t>
        </is>
      </c>
      <c r="Y613" t="n">
        <v>48</v>
      </c>
      <c r="Z613" t="n">
        <v>48</v>
      </c>
      <c r="AA613" t="n">
        <v>48</v>
      </c>
      <c r="AB613" t="n">
        <v>1</v>
      </c>
      <c r="AC613" t="n">
        <v>1</v>
      </c>
      <c r="AD613" t="n">
        <v>7</v>
      </c>
      <c r="AE613" t="n">
        <v>7</v>
      </c>
      <c r="AF613" t="n">
        <v>1</v>
      </c>
      <c r="AG613" t="n">
        <v>1</v>
      </c>
      <c r="AH613" t="n">
        <v>3</v>
      </c>
      <c r="AI613" t="n">
        <v>3</v>
      </c>
      <c r="AJ613" t="n">
        <v>5</v>
      </c>
      <c r="AK613" t="n">
        <v>5</v>
      </c>
      <c r="AL613" t="n">
        <v>0</v>
      </c>
      <c r="AM613" t="n">
        <v>0</v>
      </c>
      <c r="AN613" t="n">
        <v>0</v>
      </c>
      <c r="AO613" t="n">
        <v>0</v>
      </c>
      <c r="AP613" t="inlineStr">
        <is>
          <t>No</t>
        </is>
      </c>
      <c r="AQ613" t="inlineStr">
        <is>
          <t>No</t>
        </is>
      </c>
      <c r="AS613">
        <f>HYPERLINK("https://creighton-primo.hosted.exlibrisgroup.com/primo-explore/search?tab=default_tab&amp;search_scope=EVERYTHING&amp;vid=01CRU&amp;lang=en_US&amp;offset=0&amp;query=any,contains,991002988899702656","Catalog Record")</f>
        <v/>
      </c>
      <c r="AT613">
        <f>HYPERLINK("http://www.worldcat.org/oclc/40328763","WorldCat Record")</f>
        <v/>
      </c>
      <c r="AU613" t="inlineStr">
        <is>
          <t>25627032:eng</t>
        </is>
      </c>
      <c r="AV613" t="inlineStr">
        <is>
          <t>40328763</t>
        </is>
      </c>
      <c r="AW613" t="inlineStr">
        <is>
          <t>991002988899702656</t>
        </is>
      </c>
      <c r="AX613" t="inlineStr">
        <is>
          <t>991002988899702656</t>
        </is>
      </c>
      <c r="AY613" t="inlineStr">
        <is>
          <t>2266762630002656</t>
        </is>
      </c>
      <c r="AZ613" t="inlineStr">
        <is>
          <t>BOOK</t>
        </is>
      </c>
      <c r="BB613" t="inlineStr">
        <is>
          <t>9781574552393</t>
        </is>
      </c>
      <c r="BC613" t="inlineStr">
        <is>
          <t>32285003493698</t>
        </is>
      </c>
      <c r="BD613" t="inlineStr">
        <is>
          <t>893329812</t>
        </is>
      </c>
    </row>
    <row r="614">
      <c r="A614" t="inlineStr">
        <is>
          <t>No</t>
        </is>
      </c>
      <c r="B614" t="inlineStr">
        <is>
          <t>BX1753 .C3 1902</t>
        </is>
      </c>
      <c r="C614" t="inlineStr">
        <is>
          <t>0                      BX 1753000C  3           1902</t>
        </is>
      </c>
      <c r="D614" t="inlineStr">
        <is>
          <t>The pope and the people : select letters and addresses on social questions / by Pope Leo XIII.</t>
        </is>
      </c>
      <c r="F614" t="inlineStr">
        <is>
          <t>No</t>
        </is>
      </c>
      <c r="G614" t="inlineStr">
        <is>
          <t>1</t>
        </is>
      </c>
      <c r="H614" t="inlineStr">
        <is>
          <t>No</t>
        </is>
      </c>
      <c r="I614" t="inlineStr">
        <is>
          <t>Yes</t>
        </is>
      </c>
      <c r="J614" t="inlineStr">
        <is>
          <t>0</t>
        </is>
      </c>
      <c r="K614" t="inlineStr">
        <is>
          <t>Catholic Church. Pope (1878-1903 : Leo XIII)</t>
        </is>
      </c>
      <c r="L614" t="inlineStr">
        <is>
          <t>London : Catholic Truth Society, 1902.</t>
        </is>
      </c>
      <c r="M614" t="inlineStr">
        <is>
          <t>1902</t>
        </is>
      </c>
      <c r="N614" t="inlineStr">
        <is>
          <t>New and enl. ed.</t>
        </is>
      </c>
      <c r="O614" t="inlineStr">
        <is>
          <t>eng</t>
        </is>
      </c>
      <c r="P614" t="inlineStr">
        <is>
          <t>enk</t>
        </is>
      </c>
      <c r="R614" t="inlineStr">
        <is>
          <t xml:space="preserve">BX </t>
        </is>
      </c>
      <c r="S614" t="n">
        <v>1</v>
      </c>
      <c r="T614" t="n">
        <v>1</v>
      </c>
      <c r="U614" t="inlineStr">
        <is>
          <t>2002-04-10</t>
        </is>
      </c>
      <c r="V614" t="inlineStr">
        <is>
          <t>2002-04-10</t>
        </is>
      </c>
      <c r="W614" t="inlineStr">
        <is>
          <t>1991-05-13</t>
        </is>
      </c>
      <c r="X614" t="inlineStr">
        <is>
          <t>1991-05-13</t>
        </is>
      </c>
      <c r="Y614" t="n">
        <v>15</v>
      </c>
      <c r="Z614" t="n">
        <v>15</v>
      </c>
      <c r="AA614" t="n">
        <v>136</v>
      </c>
      <c r="AB614" t="n">
        <v>1</v>
      </c>
      <c r="AC614" t="n">
        <v>3</v>
      </c>
      <c r="AD614" t="n">
        <v>1</v>
      </c>
      <c r="AE614" t="n">
        <v>24</v>
      </c>
      <c r="AF614" t="n">
        <v>0</v>
      </c>
      <c r="AG614" t="n">
        <v>7</v>
      </c>
      <c r="AH614" t="n">
        <v>0</v>
      </c>
      <c r="AI614" t="n">
        <v>7</v>
      </c>
      <c r="AJ614" t="n">
        <v>1</v>
      </c>
      <c r="AK614" t="n">
        <v>18</v>
      </c>
      <c r="AL614" t="n">
        <v>0</v>
      </c>
      <c r="AM614" t="n">
        <v>0</v>
      </c>
      <c r="AN614" t="n">
        <v>0</v>
      </c>
      <c r="AO614" t="n">
        <v>0</v>
      </c>
      <c r="AP614" t="inlineStr">
        <is>
          <t>No</t>
        </is>
      </c>
      <c r="AQ614" t="inlineStr">
        <is>
          <t>No</t>
        </is>
      </c>
      <c r="AS614">
        <f>HYPERLINK("https://creighton-primo.hosted.exlibrisgroup.com/primo-explore/search?tab=default_tab&amp;search_scope=EVERYTHING&amp;vid=01CRU&amp;lang=en_US&amp;offset=0&amp;query=any,contains,991004934329702656","Catalog Record")</f>
        <v/>
      </c>
      <c r="AT614">
        <f>HYPERLINK("http://www.worldcat.org/oclc/6134067","WorldCat Record")</f>
        <v/>
      </c>
      <c r="AU614" t="inlineStr">
        <is>
          <t>4919979116:eng</t>
        </is>
      </c>
      <c r="AV614" t="inlineStr">
        <is>
          <t>6134067</t>
        </is>
      </c>
      <c r="AW614" t="inlineStr">
        <is>
          <t>991004934329702656</t>
        </is>
      </c>
      <c r="AX614" t="inlineStr">
        <is>
          <t>991004934329702656</t>
        </is>
      </c>
      <c r="AY614" t="inlineStr">
        <is>
          <t>2261970950002656</t>
        </is>
      </c>
      <c r="AZ614" t="inlineStr">
        <is>
          <t>BOOK</t>
        </is>
      </c>
      <c r="BC614" t="inlineStr">
        <is>
          <t>32285000608850</t>
        </is>
      </c>
      <c r="BD614" t="inlineStr">
        <is>
          <t>893536277</t>
        </is>
      </c>
    </row>
    <row r="615">
      <c r="A615" t="inlineStr">
        <is>
          <t>No</t>
        </is>
      </c>
      <c r="B615" t="inlineStr">
        <is>
          <t>BX1753 .C37 1990</t>
        </is>
      </c>
      <c r="C615" t="inlineStr">
        <is>
          <t>0                      BX 1753000C  37          1990</t>
        </is>
      </c>
      <c r="D615" t="inlineStr">
        <is>
          <t>Instruction on the ecclesial vocation of the theologian.</t>
        </is>
      </c>
      <c r="F615" t="inlineStr">
        <is>
          <t>No</t>
        </is>
      </c>
      <c r="G615" t="inlineStr">
        <is>
          <t>1</t>
        </is>
      </c>
      <c r="H615" t="inlineStr">
        <is>
          <t>No</t>
        </is>
      </c>
      <c r="I615" t="inlineStr">
        <is>
          <t>No</t>
        </is>
      </c>
      <c r="J615" t="inlineStr">
        <is>
          <t>0</t>
        </is>
      </c>
      <c r="K615" t="inlineStr">
        <is>
          <t>Catholic Church. Congregatio pro Doctrina Fidei.</t>
        </is>
      </c>
      <c r="L615" t="inlineStr">
        <is>
          <t>Vatican City ; [Washington, D.C. : United States Catholic Conference, Office for Publishing and Promotion Services, 1990].</t>
        </is>
      </c>
      <c r="M615" t="inlineStr">
        <is>
          <t>1990</t>
        </is>
      </c>
      <c r="O615" t="inlineStr">
        <is>
          <t>eng</t>
        </is>
      </c>
      <c r="P615" t="inlineStr">
        <is>
          <t xml:space="preserve">vc </t>
        </is>
      </c>
      <c r="Q615" t="inlineStr">
        <is>
          <t>Publication / Office for Publishing and Promotion Services, United States Catholic Conference ; no. 366-3</t>
        </is>
      </c>
      <c r="R615" t="inlineStr">
        <is>
          <t xml:space="preserve">BX </t>
        </is>
      </c>
      <c r="S615" t="n">
        <v>1</v>
      </c>
      <c r="T615" t="n">
        <v>1</v>
      </c>
      <c r="U615" t="inlineStr">
        <is>
          <t>1994-06-28</t>
        </is>
      </c>
      <c r="V615" t="inlineStr">
        <is>
          <t>1994-06-28</t>
        </is>
      </c>
      <c r="W615" t="inlineStr">
        <is>
          <t>1991-05-06</t>
        </is>
      </c>
      <c r="X615" t="inlineStr">
        <is>
          <t>1991-05-06</t>
        </is>
      </c>
      <c r="Y615" t="n">
        <v>59</v>
      </c>
      <c r="Z615" t="n">
        <v>51</v>
      </c>
      <c r="AA615" t="n">
        <v>69</v>
      </c>
      <c r="AB615" t="n">
        <v>2</v>
      </c>
      <c r="AC615" t="n">
        <v>3</v>
      </c>
      <c r="AD615" t="n">
        <v>5</v>
      </c>
      <c r="AE615" t="n">
        <v>9</v>
      </c>
      <c r="AF615" t="n">
        <v>3</v>
      </c>
      <c r="AG615" t="n">
        <v>4</v>
      </c>
      <c r="AH615" t="n">
        <v>1</v>
      </c>
      <c r="AI615" t="n">
        <v>2</v>
      </c>
      <c r="AJ615" t="n">
        <v>4</v>
      </c>
      <c r="AK615" t="n">
        <v>7</v>
      </c>
      <c r="AL615" t="n">
        <v>0</v>
      </c>
      <c r="AM615" t="n">
        <v>0</v>
      </c>
      <c r="AN615" t="n">
        <v>0</v>
      </c>
      <c r="AO615" t="n">
        <v>0</v>
      </c>
      <c r="AP615" t="inlineStr">
        <is>
          <t>No</t>
        </is>
      </c>
      <c r="AQ615" t="inlineStr">
        <is>
          <t>No</t>
        </is>
      </c>
      <c r="AS615">
        <f>HYPERLINK("https://creighton-primo.hosted.exlibrisgroup.com/primo-explore/search?tab=default_tab&amp;search_scope=EVERYTHING&amp;vid=01CRU&amp;lang=en_US&amp;offset=0&amp;query=any,contains,991001764089702656","Catalog Record")</f>
        <v/>
      </c>
      <c r="AT615">
        <f>HYPERLINK("http://www.worldcat.org/oclc/22297870","WorldCat Record")</f>
        <v/>
      </c>
      <c r="AU615" t="inlineStr">
        <is>
          <t>24654873:eng</t>
        </is>
      </c>
      <c r="AV615" t="inlineStr">
        <is>
          <t>22297870</t>
        </is>
      </c>
      <c r="AW615" t="inlineStr">
        <is>
          <t>991001764089702656</t>
        </is>
      </c>
      <c r="AX615" t="inlineStr">
        <is>
          <t>991001764089702656</t>
        </is>
      </c>
      <c r="AY615" t="inlineStr">
        <is>
          <t>2266184430002656</t>
        </is>
      </c>
      <c r="AZ615" t="inlineStr">
        <is>
          <t>BOOK</t>
        </is>
      </c>
      <c r="BC615" t="inlineStr">
        <is>
          <t>32285000538974</t>
        </is>
      </c>
      <c r="BD615" t="inlineStr">
        <is>
          <t>893238321</t>
        </is>
      </c>
    </row>
    <row r="616">
      <c r="A616" t="inlineStr">
        <is>
          <t>No</t>
        </is>
      </c>
      <c r="B616" t="inlineStr">
        <is>
          <t>BX1753 .D5 1961</t>
        </is>
      </c>
      <c r="C616" t="inlineStr">
        <is>
          <t>0                      BX 1753000D  5           1961</t>
        </is>
      </c>
      <c r="D616" t="inlineStr">
        <is>
          <t>Catholic social principles / Cletus Dirksen.</t>
        </is>
      </c>
      <c r="F616" t="inlineStr">
        <is>
          <t>No</t>
        </is>
      </c>
      <c r="G616" t="inlineStr">
        <is>
          <t>1</t>
        </is>
      </c>
      <c r="H616" t="inlineStr">
        <is>
          <t>No</t>
        </is>
      </c>
      <c r="I616" t="inlineStr">
        <is>
          <t>No</t>
        </is>
      </c>
      <c r="J616" t="inlineStr">
        <is>
          <t>0</t>
        </is>
      </c>
      <c r="K616" t="inlineStr">
        <is>
          <t>Dirksen, Cletus Francis, 1907-</t>
        </is>
      </c>
      <c r="L616" t="inlineStr">
        <is>
          <t>St. Louis : Herder, [1961]</t>
        </is>
      </c>
      <c r="M616" t="inlineStr">
        <is>
          <t>1961</t>
        </is>
      </c>
      <c r="O616" t="inlineStr">
        <is>
          <t>eng</t>
        </is>
      </c>
      <c r="P616" t="inlineStr">
        <is>
          <t xml:space="preserve">xx </t>
        </is>
      </c>
      <c r="R616" t="inlineStr">
        <is>
          <t xml:space="preserve">BX </t>
        </is>
      </c>
      <c r="S616" t="n">
        <v>2</v>
      </c>
      <c r="T616" t="n">
        <v>2</v>
      </c>
      <c r="U616" t="inlineStr">
        <is>
          <t>1997-12-01</t>
        </is>
      </c>
      <c r="V616" t="inlineStr">
        <is>
          <t>1997-12-01</t>
        </is>
      </c>
      <c r="W616" t="inlineStr">
        <is>
          <t>1991-05-13</t>
        </is>
      </c>
      <c r="X616" t="inlineStr">
        <is>
          <t>1991-05-13</t>
        </is>
      </c>
      <c r="Y616" t="n">
        <v>164</v>
      </c>
      <c r="Z616" t="n">
        <v>140</v>
      </c>
      <c r="AA616" t="n">
        <v>146</v>
      </c>
      <c r="AB616" t="n">
        <v>3</v>
      </c>
      <c r="AC616" t="n">
        <v>3</v>
      </c>
      <c r="AD616" t="n">
        <v>23</v>
      </c>
      <c r="AE616" t="n">
        <v>23</v>
      </c>
      <c r="AF616" t="n">
        <v>7</v>
      </c>
      <c r="AG616" t="n">
        <v>7</v>
      </c>
      <c r="AH616" t="n">
        <v>4</v>
      </c>
      <c r="AI616" t="n">
        <v>4</v>
      </c>
      <c r="AJ616" t="n">
        <v>18</v>
      </c>
      <c r="AK616" t="n">
        <v>18</v>
      </c>
      <c r="AL616" t="n">
        <v>1</v>
      </c>
      <c r="AM616" t="n">
        <v>1</v>
      </c>
      <c r="AN616" t="n">
        <v>0</v>
      </c>
      <c r="AO616" t="n">
        <v>0</v>
      </c>
      <c r="AP616" t="inlineStr">
        <is>
          <t>No</t>
        </is>
      </c>
      <c r="AQ616" t="inlineStr">
        <is>
          <t>Yes</t>
        </is>
      </c>
      <c r="AR616">
        <f>HYPERLINK("http://catalog.hathitrust.org/Record/101693479","HathiTrust Record")</f>
        <v/>
      </c>
      <c r="AS616">
        <f>HYPERLINK("https://creighton-primo.hosted.exlibrisgroup.com/primo-explore/search?tab=default_tab&amp;search_scope=EVERYTHING&amp;vid=01CRU&amp;lang=en_US&amp;offset=0&amp;query=any,contains,991003417499702656","Catalog Record")</f>
        <v/>
      </c>
      <c r="AT616">
        <f>HYPERLINK("http://www.worldcat.org/oclc/958992","WorldCat Record")</f>
        <v/>
      </c>
      <c r="AU616" t="inlineStr">
        <is>
          <t>19965784:eng</t>
        </is>
      </c>
      <c r="AV616" t="inlineStr">
        <is>
          <t>958992</t>
        </is>
      </c>
      <c r="AW616" t="inlineStr">
        <is>
          <t>991003417499702656</t>
        </is>
      </c>
      <c r="AX616" t="inlineStr">
        <is>
          <t>991003417499702656</t>
        </is>
      </c>
      <c r="AY616" t="inlineStr">
        <is>
          <t>2268346230002656</t>
        </is>
      </c>
      <c r="AZ616" t="inlineStr">
        <is>
          <t>BOOK</t>
        </is>
      </c>
      <c r="BC616" t="inlineStr">
        <is>
          <t>32285000608900</t>
        </is>
      </c>
      <c r="BD616" t="inlineStr">
        <is>
          <t>893505554</t>
        </is>
      </c>
    </row>
    <row r="617">
      <c r="A617" t="inlineStr">
        <is>
          <t>No</t>
        </is>
      </c>
      <c r="B617" t="inlineStr">
        <is>
          <t>BX1753 .F53 1988</t>
        </is>
      </c>
      <c r="C617" t="inlineStr">
        <is>
          <t>0                      BX 1753000F  53          1988</t>
        </is>
      </c>
      <c r="D617" t="inlineStr">
        <is>
          <t>A sociologist looks at religion / by Joseph H. Fichter.</t>
        </is>
      </c>
      <c r="F617" t="inlineStr">
        <is>
          <t>No</t>
        </is>
      </c>
      <c r="G617" t="inlineStr">
        <is>
          <t>1</t>
        </is>
      </c>
      <c r="H617" t="inlineStr">
        <is>
          <t>No</t>
        </is>
      </c>
      <c r="I617" t="inlineStr">
        <is>
          <t>No</t>
        </is>
      </c>
      <c r="J617" t="inlineStr">
        <is>
          <t>0</t>
        </is>
      </c>
      <c r="K617" t="inlineStr">
        <is>
          <t>Fichter, Joseph Henry, 1908-1994.</t>
        </is>
      </c>
      <c r="L617" t="inlineStr">
        <is>
          <t>Wilmington, Del. : M. Glazier, c1988.</t>
        </is>
      </c>
      <c r="M617" t="inlineStr">
        <is>
          <t>1988</t>
        </is>
      </c>
      <c r="O617" t="inlineStr">
        <is>
          <t>eng</t>
        </is>
      </c>
      <c r="P617" t="inlineStr">
        <is>
          <t>deu</t>
        </is>
      </c>
      <c r="Q617" t="inlineStr">
        <is>
          <t>Theology and life series ; v. 23</t>
        </is>
      </c>
      <c r="R617" t="inlineStr">
        <is>
          <t xml:space="preserve">BX </t>
        </is>
      </c>
      <c r="S617" t="n">
        <v>2</v>
      </c>
      <c r="T617" t="n">
        <v>2</v>
      </c>
      <c r="U617" t="inlineStr">
        <is>
          <t>1998-08-27</t>
        </is>
      </c>
      <c r="V617" t="inlineStr">
        <is>
          <t>1998-08-27</t>
        </is>
      </c>
      <c r="W617" t="inlineStr">
        <is>
          <t>1991-05-13</t>
        </is>
      </c>
      <c r="X617" t="inlineStr">
        <is>
          <t>1991-05-13</t>
        </is>
      </c>
      <c r="Y617" t="n">
        <v>239</v>
      </c>
      <c r="Z617" t="n">
        <v>209</v>
      </c>
      <c r="AA617" t="n">
        <v>214</v>
      </c>
      <c r="AB617" t="n">
        <v>3</v>
      </c>
      <c r="AC617" t="n">
        <v>3</v>
      </c>
      <c r="AD617" t="n">
        <v>26</v>
      </c>
      <c r="AE617" t="n">
        <v>26</v>
      </c>
      <c r="AF617" t="n">
        <v>11</v>
      </c>
      <c r="AG617" t="n">
        <v>11</v>
      </c>
      <c r="AH617" t="n">
        <v>6</v>
      </c>
      <c r="AI617" t="n">
        <v>6</v>
      </c>
      <c r="AJ617" t="n">
        <v>16</v>
      </c>
      <c r="AK617" t="n">
        <v>16</v>
      </c>
      <c r="AL617" t="n">
        <v>2</v>
      </c>
      <c r="AM617" t="n">
        <v>2</v>
      </c>
      <c r="AN617" t="n">
        <v>0</v>
      </c>
      <c r="AO617" t="n">
        <v>0</v>
      </c>
      <c r="AP617" t="inlineStr">
        <is>
          <t>No</t>
        </is>
      </c>
      <c r="AQ617" t="inlineStr">
        <is>
          <t>No</t>
        </is>
      </c>
      <c r="AS617">
        <f>HYPERLINK("https://creighton-primo.hosted.exlibrisgroup.com/primo-explore/search?tab=default_tab&amp;search_scope=EVERYTHING&amp;vid=01CRU&amp;lang=en_US&amp;offset=0&amp;query=any,contains,991001307539702656","Catalog Record")</f>
        <v/>
      </c>
      <c r="AT617">
        <f>HYPERLINK("http://www.worldcat.org/oclc/18121746","WorldCat Record")</f>
        <v/>
      </c>
      <c r="AU617" t="inlineStr">
        <is>
          <t>134763761:eng</t>
        </is>
      </c>
      <c r="AV617" t="inlineStr">
        <is>
          <t>18121746</t>
        </is>
      </c>
      <c r="AW617" t="inlineStr">
        <is>
          <t>991001307539702656</t>
        </is>
      </c>
      <c r="AX617" t="inlineStr">
        <is>
          <t>991001307539702656</t>
        </is>
      </c>
      <c r="AY617" t="inlineStr">
        <is>
          <t>2263727640002656</t>
        </is>
      </c>
      <c r="AZ617" t="inlineStr">
        <is>
          <t>BOOK</t>
        </is>
      </c>
      <c r="BB617" t="inlineStr">
        <is>
          <t>9780894536373</t>
        </is>
      </c>
      <c r="BC617" t="inlineStr">
        <is>
          <t>32285000608959</t>
        </is>
      </c>
      <c r="BD617" t="inlineStr">
        <is>
          <t>893690526</t>
        </is>
      </c>
    </row>
    <row r="618">
      <c r="A618" t="inlineStr">
        <is>
          <t>No</t>
        </is>
      </c>
      <c r="B618" t="inlineStr">
        <is>
          <t>BX1753 .H44 1987</t>
        </is>
      </c>
      <c r="C618" t="inlineStr">
        <is>
          <t>0                      BX 1753000H  44          1987</t>
        </is>
      </c>
      <c r="D618" t="inlineStr">
        <is>
          <t>The role of the theologian in today's church / Monika K. Hellwig.</t>
        </is>
      </c>
      <c r="F618" t="inlineStr">
        <is>
          <t>No</t>
        </is>
      </c>
      <c r="G618" t="inlineStr">
        <is>
          <t>1</t>
        </is>
      </c>
      <c r="H618" t="inlineStr">
        <is>
          <t>No</t>
        </is>
      </c>
      <c r="I618" t="inlineStr">
        <is>
          <t>No</t>
        </is>
      </c>
      <c r="J618" t="inlineStr">
        <is>
          <t>0</t>
        </is>
      </c>
      <c r="K618" t="inlineStr">
        <is>
          <t>Hellwig, Monika.</t>
        </is>
      </c>
      <c r="L618" t="inlineStr">
        <is>
          <t>Kansas City, MO : Sheed &amp; Ward, c1987.</t>
        </is>
      </c>
      <c r="M618" t="inlineStr">
        <is>
          <t>1987</t>
        </is>
      </c>
      <c r="O618" t="inlineStr">
        <is>
          <t>eng</t>
        </is>
      </c>
      <c r="P618" t="inlineStr">
        <is>
          <t>mou</t>
        </is>
      </c>
      <c r="R618" t="inlineStr">
        <is>
          <t xml:space="preserve">BX </t>
        </is>
      </c>
      <c r="S618" t="n">
        <v>3</v>
      </c>
      <c r="T618" t="n">
        <v>3</v>
      </c>
      <c r="U618" t="inlineStr">
        <is>
          <t>1999-01-29</t>
        </is>
      </c>
      <c r="V618" t="inlineStr">
        <is>
          <t>1999-01-29</t>
        </is>
      </c>
      <c r="W618" t="inlineStr">
        <is>
          <t>1991-05-13</t>
        </is>
      </c>
      <c r="X618" t="inlineStr">
        <is>
          <t>1991-05-13</t>
        </is>
      </c>
      <c r="Y618" t="n">
        <v>180</v>
      </c>
      <c r="Z618" t="n">
        <v>157</v>
      </c>
      <c r="AA618" t="n">
        <v>159</v>
      </c>
      <c r="AB618" t="n">
        <v>1</v>
      </c>
      <c r="AC618" t="n">
        <v>1</v>
      </c>
      <c r="AD618" t="n">
        <v>19</v>
      </c>
      <c r="AE618" t="n">
        <v>19</v>
      </c>
      <c r="AF618" t="n">
        <v>4</v>
      </c>
      <c r="AG618" t="n">
        <v>4</v>
      </c>
      <c r="AH618" t="n">
        <v>5</v>
      </c>
      <c r="AI618" t="n">
        <v>5</v>
      </c>
      <c r="AJ618" t="n">
        <v>15</v>
      </c>
      <c r="AK618" t="n">
        <v>15</v>
      </c>
      <c r="AL618" t="n">
        <v>0</v>
      </c>
      <c r="AM618" t="n">
        <v>0</v>
      </c>
      <c r="AN618" t="n">
        <v>0</v>
      </c>
      <c r="AO618" t="n">
        <v>0</v>
      </c>
      <c r="AP618" t="inlineStr">
        <is>
          <t>No</t>
        </is>
      </c>
      <c r="AQ618" t="inlineStr">
        <is>
          <t>Yes</t>
        </is>
      </c>
      <c r="AR618">
        <f>HYPERLINK("http://catalog.hathitrust.org/Record/002870533","HathiTrust Record")</f>
        <v/>
      </c>
      <c r="AS618">
        <f>HYPERLINK("https://creighton-primo.hosted.exlibrisgroup.com/primo-explore/search?tab=default_tab&amp;search_scope=EVERYTHING&amp;vid=01CRU&amp;lang=en_US&amp;offset=0&amp;query=any,contains,991001216409702656","Catalog Record")</f>
        <v/>
      </c>
      <c r="AT618">
        <f>HYPERLINK("http://www.worldcat.org/oclc/17428660","WorldCat Record")</f>
        <v/>
      </c>
      <c r="AU618" t="inlineStr">
        <is>
          <t>15859732:eng</t>
        </is>
      </c>
      <c r="AV618" t="inlineStr">
        <is>
          <t>17428660</t>
        </is>
      </c>
      <c r="AW618" t="inlineStr">
        <is>
          <t>991001216409702656</t>
        </is>
      </c>
      <c r="AX618" t="inlineStr">
        <is>
          <t>991001216409702656</t>
        </is>
      </c>
      <c r="AY618" t="inlineStr">
        <is>
          <t>2264457470002656</t>
        </is>
      </c>
      <c r="AZ618" t="inlineStr">
        <is>
          <t>BOOK</t>
        </is>
      </c>
      <c r="BB618" t="inlineStr">
        <is>
          <t>9781556121050</t>
        </is>
      </c>
      <c r="BC618" t="inlineStr">
        <is>
          <t>32285000608983</t>
        </is>
      </c>
      <c r="BD618" t="inlineStr">
        <is>
          <t>893503204</t>
        </is>
      </c>
    </row>
    <row r="619">
      <c r="A619" t="inlineStr">
        <is>
          <t>No</t>
        </is>
      </c>
      <c r="B619" t="inlineStr">
        <is>
          <t>BX1753 .H63 1986</t>
        </is>
      </c>
      <c r="C619" t="inlineStr">
        <is>
          <t>0                      BX 1753000H  63          1986</t>
        </is>
      </c>
      <c r="D619" t="inlineStr">
        <is>
          <t>The ethics of discourse : the social philosophy of John Courtney Murray / J. Leon Hooper.</t>
        </is>
      </c>
      <c r="F619" t="inlineStr">
        <is>
          <t>No</t>
        </is>
      </c>
      <c r="G619" t="inlineStr">
        <is>
          <t>1</t>
        </is>
      </c>
      <c r="H619" t="inlineStr">
        <is>
          <t>No</t>
        </is>
      </c>
      <c r="I619" t="inlineStr">
        <is>
          <t>No</t>
        </is>
      </c>
      <c r="J619" t="inlineStr">
        <is>
          <t>0</t>
        </is>
      </c>
      <c r="K619" t="inlineStr">
        <is>
          <t>Hooper, J. Leon.</t>
        </is>
      </c>
      <c r="L619" t="inlineStr">
        <is>
          <t>[Washington, D.C.] : Georgetown University Press, c1986.</t>
        </is>
      </c>
      <c r="M619" t="inlineStr">
        <is>
          <t>1986</t>
        </is>
      </c>
      <c r="O619" t="inlineStr">
        <is>
          <t>eng</t>
        </is>
      </c>
      <c r="P619" t="inlineStr">
        <is>
          <t>dcu</t>
        </is>
      </c>
      <c r="R619" t="inlineStr">
        <is>
          <t xml:space="preserve">BX </t>
        </is>
      </c>
      <c r="S619" t="n">
        <v>4</v>
      </c>
      <c r="T619" t="n">
        <v>4</v>
      </c>
      <c r="U619" t="inlineStr">
        <is>
          <t>2000-08-23</t>
        </is>
      </c>
      <c r="V619" t="inlineStr">
        <is>
          <t>2000-08-23</t>
        </is>
      </c>
      <c r="W619" t="inlineStr">
        <is>
          <t>1991-05-13</t>
        </is>
      </c>
      <c r="X619" t="inlineStr">
        <is>
          <t>1991-05-13</t>
        </is>
      </c>
      <c r="Y619" t="n">
        <v>314</v>
      </c>
      <c r="Z619" t="n">
        <v>269</v>
      </c>
      <c r="AA619" t="n">
        <v>271</v>
      </c>
      <c r="AB619" t="n">
        <v>4</v>
      </c>
      <c r="AC619" t="n">
        <v>4</v>
      </c>
      <c r="AD619" t="n">
        <v>34</v>
      </c>
      <c r="AE619" t="n">
        <v>34</v>
      </c>
      <c r="AF619" t="n">
        <v>9</v>
      </c>
      <c r="AG619" t="n">
        <v>9</v>
      </c>
      <c r="AH619" t="n">
        <v>9</v>
      </c>
      <c r="AI619" t="n">
        <v>9</v>
      </c>
      <c r="AJ619" t="n">
        <v>24</v>
      </c>
      <c r="AK619" t="n">
        <v>24</v>
      </c>
      <c r="AL619" t="n">
        <v>2</v>
      </c>
      <c r="AM619" t="n">
        <v>2</v>
      </c>
      <c r="AN619" t="n">
        <v>1</v>
      </c>
      <c r="AO619" t="n">
        <v>1</v>
      </c>
      <c r="AP619" t="inlineStr">
        <is>
          <t>No</t>
        </is>
      </c>
      <c r="AQ619" t="inlineStr">
        <is>
          <t>Yes</t>
        </is>
      </c>
      <c r="AR619">
        <f>HYPERLINK("http://catalog.hathitrust.org/Record/000812877","HathiTrust Record")</f>
        <v/>
      </c>
      <c r="AS619">
        <f>HYPERLINK("https://creighton-primo.hosted.exlibrisgroup.com/primo-explore/search?tab=default_tab&amp;search_scope=EVERYTHING&amp;vid=01CRU&amp;lang=en_US&amp;offset=0&amp;query=any,contains,991005406979702656","Catalog Record")</f>
        <v/>
      </c>
      <c r="AT619">
        <f>HYPERLINK("http://www.worldcat.org/oclc/13947091","WorldCat Record")</f>
        <v/>
      </c>
      <c r="AU619" t="inlineStr">
        <is>
          <t>7968348:eng</t>
        </is>
      </c>
      <c r="AV619" t="inlineStr">
        <is>
          <t>13947091</t>
        </is>
      </c>
      <c r="AW619" t="inlineStr">
        <is>
          <t>991005406979702656</t>
        </is>
      </c>
      <c r="AX619" t="inlineStr">
        <is>
          <t>991005406979702656</t>
        </is>
      </c>
      <c r="AY619" t="inlineStr">
        <is>
          <t>2255791830002656</t>
        </is>
      </c>
      <c r="AZ619" t="inlineStr">
        <is>
          <t>BOOK</t>
        </is>
      </c>
      <c r="BB619" t="inlineStr">
        <is>
          <t>9780878404162</t>
        </is>
      </c>
      <c r="BC619" t="inlineStr">
        <is>
          <t>32285000609007</t>
        </is>
      </c>
      <c r="BD619" t="inlineStr">
        <is>
          <t>893320571</t>
        </is>
      </c>
    </row>
    <row r="620">
      <c r="A620" t="inlineStr">
        <is>
          <t>No</t>
        </is>
      </c>
      <c r="B620" t="inlineStr">
        <is>
          <t>BX1753 .H8 1944</t>
        </is>
      </c>
      <c r="C620" t="inlineStr">
        <is>
          <t>0                      BX 1753000H  8           1944</t>
        </is>
      </c>
      <c r="D620" t="inlineStr">
        <is>
          <t>The popes' new order : a systematic summary of the social encyclicals and addresses, from Leo XIII to Pius XII / by Philip Hughes.</t>
        </is>
      </c>
      <c r="F620" t="inlineStr">
        <is>
          <t>No</t>
        </is>
      </c>
      <c r="G620" t="inlineStr">
        <is>
          <t>1</t>
        </is>
      </c>
      <c r="H620" t="inlineStr">
        <is>
          <t>No</t>
        </is>
      </c>
      <c r="I620" t="inlineStr">
        <is>
          <t>No</t>
        </is>
      </c>
      <c r="J620" t="inlineStr">
        <is>
          <t>0</t>
        </is>
      </c>
      <c r="K620" t="inlineStr">
        <is>
          <t>Hughes, Philip, 1895-1967.</t>
        </is>
      </c>
      <c r="L620" t="inlineStr">
        <is>
          <t>New York : The Macmillan Co., 1944.</t>
        </is>
      </c>
      <c r="M620" t="inlineStr">
        <is>
          <t>1944</t>
        </is>
      </c>
      <c r="O620" t="inlineStr">
        <is>
          <t>eng</t>
        </is>
      </c>
      <c r="P620" t="inlineStr">
        <is>
          <t>nyu</t>
        </is>
      </c>
      <c r="R620" t="inlineStr">
        <is>
          <t xml:space="preserve">BX </t>
        </is>
      </c>
      <c r="S620" t="n">
        <v>1</v>
      </c>
      <c r="T620" t="n">
        <v>1</v>
      </c>
      <c r="U620" t="inlineStr">
        <is>
          <t>1993-11-16</t>
        </is>
      </c>
      <c r="V620" t="inlineStr">
        <is>
          <t>1993-11-16</t>
        </is>
      </c>
      <c r="W620" t="inlineStr">
        <is>
          <t>1991-05-13</t>
        </is>
      </c>
      <c r="X620" t="inlineStr">
        <is>
          <t>1991-05-13</t>
        </is>
      </c>
      <c r="Y620" t="n">
        <v>219</v>
      </c>
      <c r="Z620" t="n">
        <v>209</v>
      </c>
      <c r="AA620" t="n">
        <v>212</v>
      </c>
      <c r="AB620" t="n">
        <v>3</v>
      </c>
      <c r="AC620" t="n">
        <v>3</v>
      </c>
      <c r="AD620" t="n">
        <v>21</v>
      </c>
      <c r="AE620" t="n">
        <v>21</v>
      </c>
      <c r="AF620" t="n">
        <v>7</v>
      </c>
      <c r="AG620" t="n">
        <v>7</v>
      </c>
      <c r="AH620" t="n">
        <v>3</v>
      </c>
      <c r="AI620" t="n">
        <v>3</v>
      </c>
      <c r="AJ620" t="n">
        <v>17</v>
      </c>
      <c r="AK620" t="n">
        <v>17</v>
      </c>
      <c r="AL620" t="n">
        <v>1</v>
      </c>
      <c r="AM620" t="n">
        <v>1</v>
      </c>
      <c r="AN620" t="n">
        <v>0</v>
      </c>
      <c r="AO620" t="n">
        <v>0</v>
      </c>
      <c r="AP620" t="inlineStr">
        <is>
          <t>No</t>
        </is>
      </c>
      <c r="AQ620" t="inlineStr">
        <is>
          <t>No</t>
        </is>
      </c>
      <c r="AR620">
        <f>HYPERLINK("http://catalog.hathitrust.org/Record/001931797","HathiTrust Record")</f>
        <v/>
      </c>
      <c r="AS620">
        <f>HYPERLINK("https://creighton-primo.hosted.exlibrisgroup.com/primo-explore/search?tab=default_tab&amp;search_scope=EVERYTHING&amp;vid=01CRU&amp;lang=en_US&amp;offset=0&amp;query=any,contains,991002282299702656","Catalog Record")</f>
        <v/>
      </c>
      <c r="AT620">
        <f>HYPERLINK("http://www.worldcat.org/oclc/310880","WorldCat Record")</f>
        <v/>
      </c>
      <c r="AU620" t="inlineStr">
        <is>
          <t>1371383:eng</t>
        </is>
      </c>
      <c r="AV620" t="inlineStr">
        <is>
          <t>310880</t>
        </is>
      </c>
      <c r="AW620" t="inlineStr">
        <is>
          <t>991002282299702656</t>
        </is>
      </c>
      <c r="AX620" t="inlineStr">
        <is>
          <t>991002282299702656</t>
        </is>
      </c>
      <c r="AY620" t="inlineStr">
        <is>
          <t>2257280660002656</t>
        </is>
      </c>
      <c r="AZ620" t="inlineStr">
        <is>
          <t>BOOK</t>
        </is>
      </c>
      <c r="BC620" t="inlineStr">
        <is>
          <t>32285000609015</t>
        </is>
      </c>
      <c r="BD620" t="inlineStr">
        <is>
          <t>893710102</t>
        </is>
      </c>
    </row>
    <row r="621">
      <c r="A621" t="inlineStr">
        <is>
          <t>No</t>
        </is>
      </c>
      <c r="B621" t="inlineStr">
        <is>
          <t>BX1753 .L48 1987</t>
        </is>
      </c>
      <c r="C621" t="inlineStr">
        <is>
          <t>0                      BX 1753000L  48          1987</t>
        </is>
      </c>
      <c r="D621" t="inlineStr">
        <is>
          <t>Guide for sponsors / Ron Lewinski.</t>
        </is>
      </c>
      <c r="F621" t="inlineStr">
        <is>
          <t>No</t>
        </is>
      </c>
      <c r="G621" t="inlineStr">
        <is>
          <t>1</t>
        </is>
      </c>
      <c r="H621" t="inlineStr">
        <is>
          <t>No</t>
        </is>
      </c>
      <c r="I621" t="inlineStr">
        <is>
          <t>No</t>
        </is>
      </c>
      <c r="J621" t="inlineStr">
        <is>
          <t>0</t>
        </is>
      </c>
      <c r="K621" t="inlineStr">
        <is>
          <t>Lewinski, Ron.</t>
        </is>
      </c>
      <c r="L621" t="inlineStr">
        <is>
          <t>Chicago : Liturgy Training Publications, 1987.</t>
        </is>
      </c>
      <c r="M621" t="inlineStr">
        <is>
          <t>1987</t>
        </is>
      </c>
      <c r="N621" t="inlineStr">
        <is>
          <t>Rev. ed.</t>
        </is>
      </c>
      <c r="O621" t="inlineStr">
        <is>
          <t>eng</t>
        </is>
      </c>
      <c r="P621" t="inlineStr">
        <is>
          <t>ilu</t>
        </is>
      </c>
      <c r="Q621" t="inlineStr">
        <is>
          <t>Font and table series</t>
        </is>
      </c>
      <c r="R621" t="inlineStr">
        <is>
          <t xml:space="preserve">BX </t>
        </is>
      </c>
      <c r="S621" t="n">
        <v>3</v>
      </c>
      <c r="T621" t="n">
        <v>3</v>
      </c>
      <c r="U621" t="inlineStr">
        <is>
          <t>2005-04-13</t>
        </is>
      </c>
      <c r="V621" t="inlineStr">
        <is>
          <t>2005-04-13</t>
        </is>
      </c>
      <c r="W621" t="inlineStr">
        <is>
          <t>2005-04-13</t>
        </is>
      </c>
      <c r="X621" t="inlineStr">
        <is>
          <t>2005-04-13</t>
        </is>
      </c>
      <c r="Y621" t="n">
        <v>17</v>
      </c>
      <c r="Z621" t="n">
        <v>17</v>
      </c>
      <c r="AA621" t="n">
        <v>52</v>
      </c>
      <c r="AB621" t="n">
        <v>1</v>
      </c>
      <c r="AC621" t="n">
        <v>1</v>
      </c>
      <c r="AD621" t="n">
        <v>0</v>
      </c>
      <c r="AE621" t="n">
        <v>5</v>
      </c>
      <c r="AF621" t="n">
        <v>0</v>
      </c>
      <c r="AG621" t="n">
        <v>1</v>
      </c>
      <c r="AH621" t="n">
        <v>0</v>
      </c>
      <c r="AI621" t="n">
        <v>1</v>
      </c>
      <c r="AJ621" t="n">
        <v>0</v>
      </c>
      <c r="AK621" t="n">
        <v>3</v>
      </c>
      <c r="AL621" t="n">
        <v>0</v>
      </c>
      <c r="AM621" t="n">
        <v>0</v>
      </c>
      <c r="AN621" t="n">
        <v>0</v>
      </c>
      <c r="AO621" t="n">
        <v>0</v>
      </c>
      <c r="AP621" t="inlineStr">
        <is>
          <t>No</t>
        </is>
      </c>
      <c r="AQ621" t="inlineStr">
        <is>
          <t>No</t>
        </is>
      </c>
      <c r="AS621">
        <f>HYPERLINK("https://creighton-primo.hosted.exlibrisgroup.com/primo-explore/search?tab=default_tab&amp;search_scope=EVERYTHING&amp;vid=01CRU&amp;lang=en_US&amp;offset=0&amp;query=any,contains,991004529789702656","Catalog Record")</f>
        <v/>
      </c>
      <c r="AT621">
        <f>HYPERLINK("http://www.worldcat.org/oclc/17763098","WorldCat Record")</f>
        <v/>
      </c>
      <c r="AU621" t="inlineStr">
        <is>
          <t>680432:eng</t>
        </is>
      </c>
      <c r="AV621" t="inlineStr">
        <is>
          <t>17763098</t>
        </is>
      </c>
      <c r="AW621" t="inlineStr">
        <is>
          <t>991004529789702656</t>
        </is>
      </c>
      <c r="AX621" t="inlineStr">
        <is>
          <t>991004529789702656</t>
        </is>
      </c>
      <c r="AY621" t="inlineStr">
        <is>
          <t>2271253190002656</t>
        </is>
      </c>
      <c r="AZ621" t="inlineStr">
        <is>
          <t>BOOK</t>
        </is>
      </c>
      <c r="BB621" t="inlineStr">
        <is>
          <t>9780930467715</t>
        </is>
      </c>
      <c r="BC621" t="inlineStr">
        <is>
          <t>32285005030373</t>
        </is>
      </c>
      <c r="BD621" t="inlineStr">
        <is>
          <t>893423922</t>
        </is>
      </c>
    </row>
    <row r="622">
      <c r="A622" t="inlineStr">
        <is>
          <t>No</t>
        </is>
      </c>
      <c r="B622" t="inlineStr">
        <is>
          <t>BX1753 .M325 1994</t>
        </is>
      </c>
      <c r="C622" t="inlineStr">
        <is>
          <t>0                      BX 1753000M  325         1994</t>
        </is>
      </c>
      <c r="D622" t="inlineStr">
        <is>
          <t>Communicating Christ to the world : the pastoral letters / Carlo Maria Martini ; translated by Thomas M. Lucas.</t>
        </is>
      </c>
      <c r="F622" t="inlineStr">
        <is>
          <t>No</t>
        </is>
      </c>
      <c r="G622" t="inlineStr">
        <is>
          <t>1</t>
        </is>
      </c>
      <c r="H622" t="inlineStr">
        <is>
          <t>No</t>
        </is>
      </c>
      <c r="I622" t="inlineStr">
        <is>
          <t>No</t>
        </is>
      </c>
      <c r="J622" t="inlineStr">
        <is>
          <t>0</t>
        </is>
      </c>
      <c r="K622" t="inlineStr">
        <is>
          <t>Martini, Carlo Maria, 1927-2012.</t>
        </is>
      </c>
      <c r="L622" t="inlineStr">
        <is>
          <t>Kansas City, MO : Sheed &amp; Ward, c1994.</t>
        </is>
      </c>
      <c r="M622" t="inlineStr">
        <is>
          <t>1994</t>
        </is>
      </c>
      <c r="O622" t="inlineStr">
        <is>
          <t>eng</t>
        </is>
      </c>
      <c r="P622" t="inlineStr">
        <is>
          <t>mou</t>
        </is>
      </c>
      <c r="R622" t="inlineStr">
        <is>
          <t xml:space="preserve">BX </t>
        </is>
      </c>
      <c r="S622" t="n">
        <v>3</v>
      </c>
      <c r="T622" t="n">
        <v>3</v>
      </c>
      <c r="U622" t="inlineStr">
        <is>
          <t>2010-04-09</t>
        </is>
      </c>
      <c r="V622" t="inlineStr">
        <is>
          <t>2010-04-09</t>
        </is>
      </c>
      <c r="W622" t="inlineStr">
        <is>
          <t>1995-06-06</t>
        </is>
      </c>
      <c r="X622" t="inlineStr">
        <is>
          <t>1995-06-06</t>
        </is>
      </c>
      <c r="Y622" t="n">
        <v>90</v>
      </c>
      <c r="Z622" t="n">
        <v>73</v>
      </c>
      <c r="AA622" t="n">
        <v>74</v>
      </c>
      <c r="AB622" t="n">
        <v>3</v>
      </c>
      <c r="AC622" t="n">
        <v>3</v>
      </c>
      <c r="AD622" t="n">
        <v>13</v>
      </c>
      <c r="AE622" t="n">
        <v>13</v>
      </c>
      <c r="AF622" t="n">
        <v>3</v>
      </c>
      <c r="AG622" t="n">
        <v>3</v>
      </c>
      <c r="AH622" t="n">
        <v>2</v>
      </c>
      <c r="AI622" t="n">
        <v>2</v>
      </c>
      <c r="AJ622" t="n">
        <v>10</v>
      </c>
      <c r="AK622" t="n">
        <v>10</v>
      </c>
      <c r="AL622" t="n">
        <v>1</v>
      </c>
      <c r="AM622" t="n">
        <v>1</v>
      </c>
      <c r="AN622" t="n">
        <v>0</v>
      </c>
      <c r="AO622" t="n">
        <v>0</v>
      </c>
      <c r="AP622" t="inlineStr">
        <is>
          <t>No</t>
        </is>
      </c>
      <c r="AQ622" t="inlineStr">
        <is>
          <t>Yes</t>
        </is>
      </c>
      <c r="AR622">
        <f>HYPERLINK("http://catalog.hathitrust.org/Record/006019606","HathiTrust Record")</f>
        <v/>
      </c>
      <c r="AS622">
        <f>HYPERLINK("https://creighton-primo.hosted.exlibrisgroup.com/primo-explore/search?tab=default_tab&amp;search_scope=EVERYTHING&amp;vid=01CRU&amp;lang=en_US&amp;offset=0&amp;query=any,contains,991002234589702656","Catalog Record")</f>
        <v/>
      </c>
      <c r="AT622">
        <f>HYPERLINK("http://www.worldcat.org/oclc/28800226","WorldCat Record")</f>
        <v/>
      </c>
      <c r="AU622" t="inlineStr">
        <is>
          <t>3769221106:eng</t>
        </is>
      </c>
      <c r="AV622" t="inlineStr">
        <is>
          <t>28800226</t>
        </is>
      </c>
      <c r="AW622" t="inlineStr">
        <is>
          <t>991002234589702656</t>
        </is>
      </c>
      <c r="AX622" t="inlineStr">
        <is>
          <t>991002234589702656</t>
        </is>
      </c>
      <c r="AY622" t="inlineStr">
        <is>
          <t>2258571530002656</t>
        </is>
      </c>
      <c r="AZ622" t="inlineStr">
        <is>
          <t>BOOK</t>
        </is>
      </c>
      <c r="BB622" t="inlineStr">
        <is>
          <t>9781556126550</t>
        </is>
      </c>
      <c r="BC622" t="inlineStr">
        <is>
          <t>32285002050242</t>
        </is>
      </c>
      <c r="BD622" t="inlineStr">
        <is>
          <t>893615872</t>
        </is>
      </c>
    </row>
    <row r="623">
      <c r="A623" t="inlineStr">
        <is>
          <t>No</t>
        </is>
      </c>
      <c r="B623" t="inlineStr">
        <is>
          <t>BX1753 .M46 2004</t>
        </is>
      </c>
      <c r="C623" t="inlineStr">
        <is>
          <t>0                      BX 1753000M  46          2004</t>
        </is>
      </c>
      <c r="D623" t="inlineStr">
        <is>
          <t>From the heart of the church : the Catholic social tradition / Judith A. Merkle.</t>
        </is>
      </c>
      <c r="F623" t="inlineStr">
        <is>
          <t>No</t>
        </is>
      </c>
      <c r="G623" t="inlineStr">
        <is>
          <t>1</t>
        </is>
      </c>
      <c r="H623" t="inlineStr">
        <is>
          <t>No</t>
        </is>
      </c>
      <c r="I623" t="inlineStr">
        <is>
          <t>No</t>
        </is>
      </c>
      <c r="J623" t="inlineStr">
        <is>
          <t>0</t>
        </is>
      </c>
      <c r="K623" t="inlineStr">
        <is>
          <t>Riley, Judith Merkle.</t>
        </is>
      </c>
      <c r="L623" t="inlineStr">
        <is>
          <t>Collegeville, Minn. : Liturgical Press, c2004.</t>
        </is>
      </c>
      <c r="M623" t="inlineStr">
        <is>
          <t>2004</t>
        </is>
      </c>
      <c r="O623" t="inlineStr">
        <is>
          <t>eng</t>
        </is>
      </c>
      <c r="P623" t="inlineStr">
        <is>
          <t>mnu</t>
        </is>
      </c>
      <c r="R623" t="inlineStr">
        <is>
          <t xml:space="preserve">BX </t>
        </is>
      </c>
      <c r="S623" t="n">
        <v>8</v>
      </c>
      <c r="T623" t="n">
        <v>8</v>
      </c>
      <c r="U623" t="inlineStr">
        <is>
          <t>2010-10-22</t>
        </is>
      </c>
      <c r="V623" t="inlineStr">
        <is>
          <t>2010-10-22</t>
        </is>
      </c>
      <c r="W623" t="inlineStr">
        <is>
          <t>2004-08-17</t>
        </is>
      </c>
      <c r="X623" t="inlineStr">
        <is>
          <t>2004-08-17</t>
        </is>
      </c>
      <c r="Y623" t="n">
        <v>173</v>
      </c>
      <c r="Z623" t="n">
        <v>134</v>
      </c>
      <c r="AA623" t="n">
        <v>139</v>
      </c>
      <c r="AB623" t="n">
        <v>1</v>
      </c>
      <c r="AC623" t="n">
        <v>1</v>
      </c>
      <c r="AD623" t="n">
        <v>20</v>
      </c>
      <c r="AE623" t="n">
        <v>20</v>
      </c>
      <c r="AF623" t="n">
        <v>6</v>
      </c>
      <c r="AG623" t="n">
        <v>6</v>
      </c>
      <c r="AH623" t="n">
        <v>5</v>
      </c>
      <c r="AI623" t="n">
        <v>5</v>
      </c>
      <c r="AJ623" t="n">
        <v>15</v>
      </c>
      <c r="AK623" t="n">
        <v>15</v>
      </c>
      <c r="AL623" t="n">
        <v>0</v>
      </c>
      <c r="AM623" t="n">
        <v>0</v>
      </c>
      <c r="AN623" t="n">
        <v>0</v>
      </c>
      <c r="AO623" t="n">
        <v>0</v>
      </c>
      <c r="AP623" t="inlineStr">
        <is>
          <t>No</t>
        </is>
      </c>
      <c r="AQ623" t="inlineStr">
        <is>
          <t>No</t>
        </is>
      </c>
      <c r="AS623">
        <f>HYPERLINK("https://creighton-primo.hosted.exlibrisgroup.com/primo-explore/search?tab=default_tab&amp;search_scope=EVERYTHING&amp;vid=01CRU&amp;lang=en_US&amp;offset=0&amp;query=any,contains,991004321219702656","Catalog Record")</f>
        <v/>
      </c>
      <c r="AT623">
        <f>HYPERLINK("http://www.worldcat.org/oclc/53485321","WorldCat Record")</f>
        <v/>
      </c>
      <c r="AU623" t="inlineStr">
        <is>
          <t>891402050:eng</t>
        </is>
      </c>
      <c r="AV623" t="inlineStr">
        <is>
          <t>53485321</t>
        </is>
      </c>
      <c r="AW623" t="inlineStr">
        <is>
          <t>991004321219702656</t>
        </is>
      </c>
      <c r="AX623" t="inlineStr">
        <is>
          <t>991004321219702656</t>
        </is>
      </c>
      <c r="AY623" t="inlineStr">
        <is>
          <t>2267796830002656</t>
        </is>
      </c>
      <c r="AZ623" t="inlineStr">
        <is>
          <t>BOOK</t>
        </is>
      </c>
      <c r="BB623" t="inlineStr">
        <is>
          <t>9780814651117</t>
        </is>
      </c>
      <c r="BC623" t="inlineStr">
        <is>
          <t>32285004982012</t>
        </is>
      </c>
      <c r="BD623" t="inlineStr">
        <is>
          <t>893411377</t>
        </is>
      </c>
    </row>
    <row r="624">
      <c r="A624" t="inlineStr">
        <is>
          <t>No</t>
        </is>
      </c>
      <c r="B624" t="inlineStr">
        <is>
          <t>BX1753 .M57 1991</t>
        </is>
      </c>
      <c r="C624" t="inlineStr">
        <is>
          <t>0                      BX 1753000M  57          1991</t>
        </is>
      </c>
      <c r="D624" t="inlineStr">
        <is>
          <t>Social Catholicism in Europe : from the onset of industrialization to the First World War / Paul Misner.</t>
        </is>
      </c>
      <c r="F624" t="inlineStr">
        <is>
          <t>No</t>
        </is>
      </c>
      <c r="G624" t="inlineStr">
        <is>
          <t>1</t>
        </is>
      </c>
      <c r="H624" t="inlineStr">
        <is>
          <t>No</t>
        </is>
      </c>
      <c r="I624" t="inlineStr">
        <is>
          <t>No</t>
        </is>
      </c>
      <c r="J624" t="inlineStr">
        <is>
          <t>0</t>
        </is>
      </c>
      <c r="K624" t="inlineStr">
        <is>
          <t>Misner, Paul.</t>
        </is>
      </c>
      <c r="L624" t="inlineStr">
        <is>
          <t>New York : Crossroad, 1991.</t>
        </is>
      </c>
      <c r="M624" t="inlineStr">
        <is>
          <t>1991</t>
        </is>
      </c>
      <c r="O624" t="inlineStr">
        <is>
          <t>eng</t>
        </is>
      </c>
      <c r="P624" t="inlineStr">
        <is>
          <t>nyu</t>
        </is>
      </c>
      <c r="R624" t="inlineStr">
        <is>
          <t xml:space="preserve">BX </t>
        </is>
      </c>
      <c r="S624" t="n">
        <v>7</v>
      </c>
      <c r="T624" t="n">
        <v>7</v>
      </c>
      <c r="U624" t="inlineStr">
        <is>
          <t>2006-09-26</t>
        </is>
      </c>
      <c r="V624" t="inlineStr">
        <is>
          <t>2006-09-26</t>
        </is>
      </c>
      <c r="W624" t="inlineStr">
        <is>
          <t>1992-06-02</t>
        </is>
      </c>
      <c r="X624" t="inlineStr">
        <is>
          <t>1992-06-02</t>
        </is>
      </c>
      <c r="Y624" t="n">
        <v>345</v>
      </c>
      <c r="Z624" t="n">
        <v>292</v>
      </c>
      <c r="AA624" t="n">
        <v>299</v>
      </c>
      <c r="AB624" t="n">
        <v>4</v>
      </c>
      <c r="AC624" t="n">
        <v>4</v>
      </c>
      <c r="AD624" t="n">
        <v>33</v>
      </c>
      <c r="AE624" t="n">
        <v>33</v>
      </c>
      <c r="AF624" t="n">
        <v>12</v>
      </c>
      <c r="AG624" t="n">
        <v>12</v>
      </c>
      <c r="AH624" t="n">
        <v>8</v>
      </c>
      <c r="AI624" t="n">
        <v>8</v>
      </c>
      <c r="AJ624" t="n">
        <v>22</v>
      </c>
      <c r="AK624" t="n">
        <v>22</v>
      </c>
      <c r="AL624" t="n">
        <v>3</v>
      </c>
      <c r="AM624" t="n">
        <v>3</v>
      </c>
      <c r="AN624" t="n">
        <v>0</v>
      </c>
      <c r="AO624" t="n">
        <v>0</v>
      </c>
      <c r="AP624" t="inlineStr">
        <is>
          <t>No</t>
        </is>
      </c>
      <c r="AQ624" t="inlineStr">
        <is>
          <t>Yes</t>
        </is>
      </c>
      <c r="AR624">
        <f>HYPERLINK("http://catalog.hathitrust.org/Record/002480145","HathiTrust Record")</f>
        <v/>
      </c>
      <c r="AS624">
        <f>HYPERLINK("https://creighton-primo.hosted.exlibrisgroup.com/primo-explore/search?tab=default_tab&amp;search_scope=EVERYTHING&amp;vid=01CRU&amp;lang=en_US&amp;offset=0&amp;query=any,contains,991001820349702656","Catalog Record")</f>
        <v/>
      </c>
      <c r="AT624">
        <f>HYPERLINK("http://www.worldcat.org/oclc/22888671","WorldCat Record")</f>
        <v/>
      </c>
      <c r="AU624" t="inlineStr">
        <is>
          <t>24567186:eng</t>
        </is>
      </c>
      <c r="AV624" t="inlineStr">
        <is>
          <t>22888671</t>
        </is>
      </c>
      <c r="AW624" t="inlineStr">
        <is>
          <t>991001820349702656</t>
        </is>
      </c>
      <c r="AX624" t="inlineStr">
        <is>
          <t>991001820349702656</t>
        </is>
      </c>
      <c r="AY624" t="inlineStr">
        <is>
          <t>2268120540002656</t>
        </is>
      </c>
      <c r="AZ624" t="inlineStr">
        <is>
          <t>BOOK</t>
        </is>
      </c>
      <c r="BB624" t="inlineStr">
        <is>
          <t>9780824510978</t>
        </is>
      </c>
      <c r="BC624" t="inlineStr">
        <is>
          <t>32285001125664</t>
        </is>
      </c>
      <c r="BD624" t="inlineStr">
        <is>
          <t>893703359</t>
        </is>
      </c>
    </row>
    <row r="625">
      <c r="A625" t="inlineStr">
        <is>
          <t>No</t>
        </is>
      </c>
      <c r="B625" t="inlineStr">
        <is>
          <t>BX1753 .M96 1994</t>
        </is>
      </c>
      <c r="C625" t="inlineStr">
        <is>
          <t>0                      BX 1753000M  96          1994</t>
        </is>
      </c>
      <c r="D625" t="inlineStr">
        <is>
          <t>Bridging the sacred and the secular : selected writings of John Courtney Murray / edited by J. Leon Hooper.</t>
        </is>
      </c>
      <c r="F625" t="inlineStr">
        <is>
          <t>No</t>
        </is>
      </c>
      <c r="G625" t="inlineStr">
        <is>
          <t>1</t>
        </is>
      </c>
      <c r="H625" t="inlineStr">
        <is>
          <t>No</t>
        </is>
      </c>
      <c r="I625" t="inlineStr">
        <is>
          <t>No</t>
        </is>
      </c>
      <c r="J625" t="inlineStr">
        <is>
          <t>0</t>
        </is>
      </c>
      <c r="K625" t="inlineStr">
        <is>
          <t>Murray, John Courtney.</t>
        </is>
      </c>
      <c r="L625" t="inlineStr">
        <is>
          <t>Washington, D.C. : Georgetown University Press, 1994.</t>
        </is>
      </c>
      <c r="M625" t="inlineStr">
        <is>
          <t>1994</t>
        </is>
      </c>
      <c r="O625" t="inlineStr">
        <is>
          <t>eng</t>
        </is>
      </c>
      <c r="P625" t="inlineStr">
        <is>
          <t>dcu</t>
        </is>
      </c>
      <c r="Q625" t="inlineStr">
        <is>
          <t>Moral traditions and moral arguments series</t>
        </is>
      </c>
      <c r="R625" t="inlineStr">
        <is>
          <t xml:space="preserve">BX </t>
        </is>
      </c>
      <c r="S625" t="n">
        <v>6</v>
      </c>
      <c r="T625" t="n">
        <v>6</v>
      </c>
      <c r="U625" t="inlineStr">
        <is>
          <t>2005-01-26</t>
        </is>
      </c>
      <c r="V625" t="inlineStr">
        <is>
          <t>2005-01-26</t>
        </is>
      </c>
      <c r="W625" t="inlineStr">
        <is>
          <t>1996-06-06</t>
        </is>
      </c>
      <c r="X625" t="inlineStr">
        <is>
          <t>1996-06-06</t>
        </is>
      </c>
      <c r="Y625" t="n">
        <v>222</v>
      </c>
      <c r="Z625" t="n">
        <v>193</v>
      </c>
      <c r="AA625" t="n">
        <v>193</v>
      </c>
      <c r="AB625" t="n">
        <v>1</v>
      </c>
      <c r="AC625" t="n">
        <v>1</v>
      </c>
      <c r="AD625" t="n">
        <v>26</v>
      </c>
      <c r="AE625" t="n">
        <v>26</v>
      </c>
      <c r="AF625" t="n">
        <v>11</v>
      </c>
      <c r="AG625" t="n">
        <v>11</v>
      </c>
      <c r="AH625" t="n">
        <v>4</v>
      </c>
      <c r="AI625" t="n">
        <v>4</v>
      </c>
      <c r="AJ625" t="n">
        <v>17</v>
      </c>
      <c r="AK625" t="n">
        <v>17</v>
      </c>
      <c r="AL625" t="n">
        <v>0</v>
      </c>
      <c r="AM625" t="n">
        <v>0</v>
      </c>
      <c r="AN625" t="n">
        <v>1</v>
      </c>
      <c r="AO625" t="n">
        <v>1</v>
      </c>
      <c r="AP625" t="inlineStr">
        <is>
          <t>No</t>
        </is>
      </c>
      <c r="AQ625" t="inlineStr">
        <is>
          <t>No</t>
        </is>
      </c>
      <c r="AS625">
        <f>HYPERLINK("https://creighton-primo.hosted.exlibrisgroup.com/primo-explore/search?tab=default_tab&amp;search_scope=EVERYTHING&amp;vid=01CRU&amp;lang=en_US&amp;offset=0&amp;query=any,contains,991002312779702656","Catalog Record")</f>
        <v/>
      </c>
      <c r="AT625">
        <f>HYPERLINK("http://www.worldcat.org/oclc/30028943","WorldCat Record")</f>
        <v/>
      </c>
      <c r="AU625" t="inlineStr">
        <is>
          <t>2553502554:eng</t>
        </is>
      </c>
      <c r="AV625" t="inlineStr">
        <is>
          <t>30028943</t>
        </is>
      </c>
      <c r="AW625" t="inlineStr">
        <is>
          <t>991002312779702656</t>
        </is>
      </c>
      <c r="AX625" t="inlineStr">
        <is>
          <t>991002312779702656</t>
        </is>
      </c>
      <c r="AY625" t="inlineStr">
        <is>
          <t>2261427620002656</t>
        </is>
      </c>
      <c r="AZ625" t="inlineStr">
        <is>
          <t>BOOK</t>
        </is>
      </c>
      <c r="BB625" t="inlineStr">
        <is>
          <t>9780878405619</t>
        </is>
      </c>
      <c r="BC625" t="inlineStr">
        <is>
          <t>32285002188687</t>
        </is>
      </c>
      <c r="BD625" t="inlineStr">
        <is>
          <t>893341300</t>
        </is>
      </c>
    </row>
    <row r="626">
      <c r="A626" t="inlineStr">
        <is>
          <t>No</t>
        </is>
      </c>
      <c r="B626" t="inlineStr">
        <is>
          <t>BX1753 .N3 1940</t>
        </is>
      </c>
      <c r="C626" t="inlineStr">
        <is>
          <t>0                      BX 1753000N  3           1940</t>
        </is>
      </c>
      <c r="D626" t="inlineStr">
        <is>
          <t>Man and modern secularism : essays on the conflict of of the two cultures.</t>
        </is>
      </c>
      <c r="F626" t="inlineStr">
        <is>
          <t>No</t>
        </is>
      </c>
      <c r="G626" t="inlineStr">
        <is>
          <t>1</t>
        </is>
      </c>
      <c r="H626" t="inlineStr">
        <is>
          <t>No</t>
        </is>
      </c>
      <c r="I626" t="inlineStr">
        <is>
          <t>No</t>
        </is>
      </c>
      <c r="J626" t="inlineStr">
        <is>
          <t>0</t>
        </is>
      </c>
      <c r="K626" t="inlineStr">
        <is>
          <t>National Catholic Alumni Federation.</t>
        </is>
      </c>
      <c r="L626" t="inlineStr">
        <is>
          <t>New York : National Catholic Alumni Federation, 1940.</t>
        </is>
      </c>
      <c r="M626" t="inlineStr">
        <is>
          <t>1940</t>
        </is>
      </c>
      <c r="O626" t="inlineStr">
        <is>
          <t>eng</t>
        </is>
      </c>
      <c r="P626" t="inlineStr">
        <is>
          <t>nyu</t>
        </is>
      </c>
      <c r="R626" t="inlineStr">
        <is>
          <t xml:space="preserve">BX </t>
        </is>
      </c>
      <c r="S626" t="n">
        <v>0</v>
      </c>
      <c r="T626" t="n">
        <v>0</v>
      </c>
      <c r="U626" t="inlineStr">
        <is>
          <t>2001-09-19</t>
        </is>
      </c>
      <c r="V626" t="inlineStr">
        <is>
          <t>2001-09-19</t>
        </is>
      </c>
      <c r="W626" t="inlineStr">
        <is>
          <t>1991-05-14</t>
        </is>
      </c>
      <c r="X626" t="inlineStr">
        <is>
          <t>1991-05-14</t>
        </is>
      </c>
      <c r="Y626" t="n">
        <v>51</v>
      </c>
      <c r="Z626" t="n">
        <v>50</v>
      </c>
      <c r="AA626" t="n">
        <v>50</v>
      </c>
      <c r="AB626" t="n">
        <v>1</v>
      </c>
      <c r="AC626" t="n">
        <v>1</v>
      </c>
      <c r="AD626" t="n">
        <v>17</v>
      </c>
      <c r="AE626" t="n">
        <v>17</v>
      </c>
      <c r="AF626" t="n">
        <v>5</v>
      </c>
      <c r="AG626" t="n">
        <v>5</v>
      </c>
      <c r="AH626" t="n">
        <v>4</v>
      </c>
      <c r="AI626" t="n">
        <v>4</v>
      </c>
      <c r="AJ626" t="n">
        <v>14</v>
      </c>
      <c r="AK626" t="n">
        <v>14</v>
      </c>
      <c r="AL626" t="n">
        <v>0</v>
      </c>
      <c r="AM626" t="n">
        <v>0</v>
      </c>
      <c r="AN626" t="n">
        <v>0</v>
      </c>
      <c r="AO626" t="n">
        <v>0</v>
      </c>
      <c r="AP626" t="inlineStr">
        <is>
          <t>No</t>
        </is>
      </c>
      <c r="AQ626" t="inlineStr">
        <is>
          <t>No</t>
        </is>
      </c>
      <c r="AS626">
        <f>HYPERLINK("https://creighton-primo.hosted.exlibrisgroup.com/primo-explore/search?tab=default_tab&amp;search_scope=EVERYTHING&amp;vid=01CRU&amp;lang=en_US&amp;offset=0&amp;query=any,contains,991004622849702656","Catalog Record")</f>
        <v/>
      </c>
      <c r="AT626">
        <f>HYPERLINK("http://www.worldcat.org/oclc/4311960","WorldCat Record")</f>
        <v/>
      </c>
      <c r="AU626" t="inlineStr">
        <is>
          <t>14661185:eng</t>
        </is>
      </c>
      <c r="AV626" t="inlineStr">
        <is>
          <t>4311960</t>
        </is>
      </c>
      <c r="AW626" t="inlineStr">
        <is>
          <t>991004622849702656</t>
        </is>
      </c>
      <c r="AX626" t="inlineStr">
        <is>
          <t>991004622849702656</t>
        </is>
      </c>
      <c r="AY626" t="inlineStr">
        <is>
          <t>2268470680002656</t>
        </is>
      </c>
      <c r="AZ626" t="inlineStr">
        <is>
          <t>BOOK</t>
        </is>
      </c>
      <c r="BC626" t="inlineStr">
        <is>
          <t>32285000609403</t>
        </is>
      </c>
      <c r="BD626" t="inlineStr">
        <is>
          <t>893600045</t>
        </is>
      </c>
    </row>
    <row r="627">
      <c r="A627" t="inlineStr">
        <is>
          <t>No</t>
        </is>
      </c>
      <c r="B627" t="inlineStr">
        <is>
          <t>BX1753 .O27 1956</t>
        </is>
      </c>
      <c r="C627" t="inlineStr">
        <is>
          <t>0                      BX 1753000O  27          1956</t>
        </is>
      </c>
      <c r="D627" t="inlineStr">
        <is>
          <t>Catholic social doctrine / by Daniel A. O'Connor.</t>
        </is>
      </c>
      <c r="F627" t="inlineStr">
        <is>
          <t>No</t>
        </is>
      </c>
      <c r="G627" t="inlineStr">
        <is>
          <t>1</t>
        </is>
      </c>
      <c r="H627" t="inlineStr">
        <is>
          <t>No</t>
        </is>
      </c>
      <c r="I627" t="inlineStr">
        <is>
          <t>No</t>
        </is>
      </c>
      <c r="J627" t="inlineStr">
        <is>
          <t>0</t>
        </is>
      </c>
      <c r="K627" t="inlineStr">
        <is>
          <t>O'Connor, Daniel A.</t>
        </is>
      </c>
      <c r="L627" t="inlineStr">
        <is>
          <t>Westminster, Md. : Newman Press, 1956.</t>
        </is>
      </c>
      <c r="M627" t="inlineStr">
        <is>
          <t>1956</t>
        </is>
      </c>
      <c r="O627" t="inlineStr">
        <is>
          <t>eng</t>
        </is>
      </c>
      <c r="P627" t="inlineStr">
        <is>
          <t xml:space="preserve">xx </t>
        </is>
      </c>
      <c r="R627" t="inlineStr">
        <is>
          <t xml:space="preserve">BX </t>
        </is>
      </c>
      <c r="S627" t="n">
        <v>8</v>
      </c>
      <c r="T627" t="n">
        <v>8</v>
      </c>
      <c r="U627" t="inlineStr">
        <is>
          <t>2002-02-26</t>
        </is>
      </c>
      <c r="V627" t="inlineStr">
        <is>
          <t>2002-02-26</t>
        </is>
      </c>
      <c r="W627" t="inlineStr">
        <is>
          <t>1993-05-14</t>
        </is>
      </c>
      <c r="X627" t="inlineStr">
        <is>
          <t>1993-05-14</t>
        </is>
      </c>
      <c r="Y627" t="n">
        <v>186</v>
      </c>
      <c r="Z627" t="n">
        <v>163</v>
      </c>
      <c r="AA627" t="n">
        <v>164</v>
      </c>
      <c r="AB627" t="n">
        <v>2</v>
      </c>
      <c r="AC627" t="n">
        <v>2</v>
      </c>
      <c r="AD627" t="n">
        <v>31</v>
      </c>
      <c r="AE627" t="n">
        <v>31</v>
      </c>
      <c r="AF627" t="n">
        <v>9</v>
      </c>
      <c r="AG627" t="n">
        <v>9</v>
      </c>
      <c r="AH627" t="n">
        <v>8</v>
      </c>
      <c r="AI627" t="n">
        <v>8</v>
      </c>
      <c r="AJ627" t="n">
        <v>25</v>
      </c>
      <c r="AK627" t="n">
        <v>25</v>
      </c>
      <c r="AL627" t="n">
        <v>0</v>
      </c>
      <c r="AM627" t="n">
        <v>0</v>
      </c>
      <c r="AN627" t="n">
        <v>0</v>
      </c>
      <c r="AO627" t="n">
        <v>0</v>
      </c>
      <c r="AP627" t="inlineStr">
        <is>
          <t>No</t>
        </is>
      </c>
      <c r="AQ627" t="inlineStr">
        <is>
          <t>No</t>
        </is>
      </c>
      <c r="AS627">
        <f>HYPERLINK("https://creighton-primo.hosted.exlibrisgroup.com/primo-explore/search?tab=default_tab&amp;search_scope=EVERYTHING&amp;vid=01CRU&amp;lang=en_US&amp;offset=0&amp;query=any,contains,991003412219702656","Catalog Record")</f>
        <v/>
      </c>
      <c r="AT627">
        <f>HYPERLINK("http://www.worldcat.org/oclc/950291","WorldCat Record")</f>
        <v/>
      </c>
      <c r="AU627" t="inlineStr">
        <is>
          <t>1890866:eng</t>
        </is>
      </c>
      <c r="AV627" t="inlineStr">
        <is>
          <t>950291</t>
        </is>
      </c>
      <c r="AW627" t="inlineStr">
        <is>
          <t>991003412219702656</t>
        </is>
      </c>
      <c r="AX627" t="inlineStr">
        <is>
          <t>991003412219702656</t>
        </is>
      </c>
      <c r="AY627" t="inlineStr">
        <is>
          <t>2262077060002656</t>
        </is>
      </c>
      <c r="AZ627" t="inlineStr">
        <is>
          <t>BOOK</t>
        </is>
      </c>
      <c r="BC627" t="inlineStr">
        <is>
          <t>32285001656494</t>
        </is>
      </c>
      <c r="BD627" t="inlineStr">
        <is>
          <t>893352817</t>
        </is>
      </c>
    </row>
    <row r="628">
      <c r="A628" t="inlineStr">
        <is>
          <t>No</t>
        </is>
      </c>
      <c r="B628" t="inlineStr">
        <is>
          <t>BX1753 .O3 1927</t>
        </is>
      </c>
      <c r="C628" t="inlineStr">
        <is>
          <t>0                      BX 1753000O  3           1927</t>
        </is>
      </c>
      <c r="D628" t="inlineStr">
        <is>
          <t>The church and the country community / by Edwin V. O'Hara. Introd. by John A. Ryan.</t>
        </is>
      </c>
      <c r="F628" t="inlineStr">
        <is>
          <t>No</t>
        </is>
      </c>
      <c r="G628" t="inlineStr">
        <is>
          <t>1</t>
        </is>
      </c>
      <c r="H628" t="inlineStr">
        <is>
          <t>No</t>
        </is>
      </c>
      <c r="I628" t="inlineStr">
        <is>
          <t>No</t>
        </is>
      </c>
      <c r="J628" t="inlineStr">
        <is>
          <t>0</t>
        </is>
      </c>
      <c r="K628" t="inlineStr">
        <is>
          <t>O'Hara, Edwin V. (Edwin Vincent), 1881-1956.</t>
        </is>
      </c>
      <c r="L628" t="inlineStr">
        <is>
          <t>New York : Macmillan, 1927.</t>
        </is>
      </c>
      <c r="M628" t="inlineStr">
        <is>
          <t>1927</t>
        </is>
      </c>
      <c r="O628" t="inlineStr">
        <is>
          <t>eng</t>
        </is>
      </c>
      <c r="P628" t="inlineStr">
        <is>
          <t>nyu</t>
        </is>
      </c>
      <c r="R628" t="inlineStr">
        <is>
          <t xml:space="preserve">BX </t>
        </is>
      </c>
      <c r="S628" t="n">
        <v>1</v>
      </c>
      <c r="T628" t="n">
        <v>1</v>
      </c>
      <c r="U628" t="inlineStr">
        <is>
          <t>1997-12-04</t>
        </is>
      </c>
      <c r="V628" t="inlineStr">
        <is>
          <t>1997-12-04</t>
        </is>
      </c>
      <c r="W628" t="inlineStr">
        <is>
          <t>1991-05-14</t>
        </is>
      </c>
      <c r="X628" t="inlineStr">
        <is>
          <t>1991-05-14</t>
        </is>
      </c>
      <c r="Y628" t="n">
        <v>121</v>
      </c>
      <c r="Z628" t="n">
        <v>115</v>
      </c>
      <c r="AA628" t="n">
        <v>172</v>
      </c>
      <c r="AB628" t="n">
        <v>1</v>
      </c>
      <c r="AC628" t="n">
        <v>1</v>
      </c>
      <c r="AD628" t="n">
        <v>21</v>
      </c>
      <c r="AE628" t="n">
        <v>24</v>
      </c>
      <c r="AF628" t="n">
        <v>4</v>
      </c>
      <c r="AG628" t="n">
        <v>6</v>
      </c>
      <c r="AH628" t="n">
        <v>9</v>
      </c>
      <c r="AI628" t="n">
        <v>9</v>
      </c>
      <c r="AJ628" t="n">
        <v>15</v>
      </c>
      <c r="AK628" t="n">
        <v>18</v>
      </c>
      <c r="AL628" t="n">
        <v>0</v>
      </c>
      <c r="AM628" t="n">
        <v>0</v>
      </c>
      <c r="AN628" t="n">
        <v>0</v>
      </c>
      <c r="AO628" t="n">
        <v>0</v>
      </c>
      <c r="AP628" t="inlineStr">
        <is>
          <t>No</t>
        </is>
      </c>
      <c r="AQ628" t="inlineStr">
        <is>
          <t>No</t>
        </is>
      </c>
      <c r="AR628">
        <f>HYPERLINK("http://catalog.hathitrust.org/Record/006772697","HathiTrust Record")</f>
        <v/>
      </c>
      <c r="AS628">
        <f>HYPERLINK("https://creighton-primo.hosted.exlibrisgroup.com/primo-explore/search?tab=default_tab&amp;search_scope=EVERYTHING&amp;vid=01CRU&amp;lang=en_US&amp;offset=0&amp;query=any,contains,991003986109702656","Catalog Record")</f>
        <v/>
      </c>
      <c r="AT628">
        <f>HYPERLINK("http://www.worldcat.org/oclc/2031799","WorldCat Record")</f>
        <v/>
      </c>
      <c r="AU628" t="inlineStr">
        <is>
          <t>2802184:eng</t>
        </is>
      </c>
      <c r="AV628" t="inlineStr">
        <is>
          <t>2031799</t>
        </is>
      </c>
      <c r="AW628" t="inlineStr">
        <is>
          <t>991003986109702656</t>
        </is>
      </c>
      <c r="AX628" t="inlineStr">
        <is>
          <t>991003986109702656</t>
        </is>
      </c>
      <c r="AY628" t="inlineStr">
        <is>
          <t>2269359440002656</t>
        </is>
      </c>
      <c r="AZ628" t="inlineStr">
        <is>
          <t>BOOK</t>
        </is>
      </c>
      <c r="BC628" t="inlineStr">
        <is>
          <t>32285000609429</t>
        </is>
      </c>
      <c r="BD628" t="inlineStr">
        <is>
          <t>893693387</t>
        </is>
      </c>
    </row>
    <row r="629">
      <c r="A629" t="inlineStr">
        <is>
          <t>No</t>
        </is>
      </c>
      <c r="B629" t="inlineStr">
        <is>
          <t>BX1753 .P86 1998</t>
        </is>
      </c>
      <c r="C629" t="inlineStr">
        <is>
          <t>0                      BX 1753000P  86          1998</t>
        </is>
      </c>
      <c r="D629" t="inlineStr">
        <is>
          <t>Poverty and faith justice: an adult education program on Christian discipleship in the United States.</t>
        </is>
      </c>
      <c r="F629" t="inlineStr">
        <is>
          <t>No</t>
        </is>
      </c>
      <c r="G629" t="inlineStr">
        <is>
          <t>1</t>
        </is>
      </c>
      <c r="H629" t="inlineStr">
        <is>
          <t>No</t>
        </is>
      </c>
      <c r="I629" t="inlineStr">
        <is>
          <t>No</t>
        </is>
      </c>
      <c r="J629" t="inlineStr">
        <is>
          <t>0</t>
        </is>
      </c>
      <c r="K629" t="inlineStr">
        <is>
          <t>Campaign for Human Development.</t>
        </is>
      </c>
      <c r="L629" t="inlineStr">
        <is>
          <t>Washington, D.C.: United States Catholic Conference, 1998.</t>
        </is>
      </c>
      <c r="M629" t="inlineStr">
        <is>
          <t>1998</t>
        </is>
      </c>
      <c r="O629" t="inlineStr">
        <is>
          <t>eng</t>
        </is>
      </c>
      <c r="P629" t="inlineStr">
        <is>
          <t>xxu</t>
        </is>
      </c>
      <c r="Q629" t="inlineStr">
        <is>
          <t>Publication (United States Catholic Conference) ; no. 5-240</t>
        </is>
      </c>
      <c r="R629" t="inlineStr">
        <is>
          <t xml:space="preserve">BX </t>
        </is>
      </c>
      <c r="S629" t="n">
        <v>1</v>
      </c>
      <c r="T629" t="n">
        <v>1</v>
      </c>
      <c r="U629" t="inlineStr">
        <is>
          <t>2003-07-07</t>
        </is>
      </c>
      <c r="V629" t="inlineStr">
        <is>
          <t>2003-07-07</t>
        </is>
      </c>
      <c r="W629" t="inlineStr">
        <is>
          <t>1998-12-03</t>
        </is>
      </c>
      <c r="X629" t="inlineStr">
        <is>
          <t>1998-12-03</t>
        </is>
      </c>
      <c r="Y629" t="n">
        <v>55</v>
      </c>
      <c r="Z629" t="n">
        <v>55</v>
      </c>
      <c r="AA629" t="n">
        <v>55</v>
      </c>
      <c r="AB629" t="n">
        <v>1</v>
      </c>
      <c r="AC629" t="n">
        <v>1</v>
      </c>
      <c r="AD629" t="n">
        <v>7</v>
      </c>
      <c r="AE629" t="n">
        <v>7</v>
      </c>
      <c r="AF629" t="n">
        <v>1</v>
      </c>
      <c r="AG629" t="n">
        <v>1</v>
      </c>
      <c r="AH629" t="n">
        <v>3</v>
      </c>
      <c r="AI629" t="n">
        <v>3</v>
      </c>
      <c r="AJ629" t="n">
        <v>5</v>
      </c>
      <c r="AK629" t="n">
        <v>5</v>
      </c>
      <c r="AL629" t="n">
        <v>0</v>
      </c>
      <c r="AM629" t="n">
        <v>0</v>
      </c>
      <c r="AN629" t="n">
        <v>0</v>
      </c>
      <c r="AO629" t="n">
        <v>0</v>
      </c>
      <c r="AP629" t="inlineStr">
        <is>
          <t>No</t>
        </is>
      </c>
      <c r="AQ629" t="inlineStr">
        <is>
          <t>No</t>
        </is>
      </c>
      <c r="AS629">
        <f>HYPERLINK("https://creighton-primo.hosted.exlibrisgroup.com/primo-explore/search?tab=default_tab&amp;search_scope=EVERYTHING&amp;vid=01CRU&amp;lang=en_US&amp;offset=0&amp;query=any,contains,991002988859702656","Catalog Record")</f>
        <v/>
      </c>
      <c r="AT629">
        <f>HYPERLINK("http://www.worldcat.org/oclc/45209275","WorldCat Record")</f>
        <v/>
      </c>
      <c r="AU629" t="inlineStr">
        <is>
          <t>34593072:eng</t>
        </is>
      </c>
      <c r="AV629" t="inlineStr">
        <is>
          <t>45209275</t>
        </is>
      </c>
      <c r="AW629" t="inlineStr">
        <is>
          <t>991002988859702656</t>
        </is>
      </c>
      <c r="AX629" t="inlineStr">
        <is>
          <t>991002988859702656</t>
        </is>
      </c>
      <c r="AY629" t="inlineStr">
        <is>
          <t>2266762490002656</t>
        </is>
      </c>
      <c r="AZ629" t="inlineStr">
        <is>
          <t>BOOK</t>
        </is>
      </c>
      <c r="BB629" t="inlineStr">
        <is>
          <t>9781574552409</t>
        </is>
      </c>
      <c r="BC629" t="inlineStr">
        <is>
          <t>32285003493680</t>
        </is>
      </c>
      <c r="BD629" t="inlineStr">
        <is>
          <t>893692245</t>
        </is>
      </c>
    </row>
    <row r="630">
      <c r="A630" t="inlineStr">
        <is>
          <t>No</t>
        </is>
      </c>
      <c r="B630" t="inlineStr">
        <is>
          <t>BX1753 .S32</t>
        </is>
      </c>
      <c r="C630" t="inlineStr">
        <is>
          <t>0                      BX 1753000S  32</t>
        </is>
      </c>
      <c r="D630" t="inlineStr">
        <is>
          <t>The Church, the state and society in the thought of John Paul II / by James V. Schall.</t>
        </is>
      </c>
      <c r="F630" t="inlineStr">
        <is>
          <t>No</t>
        </is>
      </c>
      <c r="G630" t="inlineStr">
        <is>
          <t>1</t>
        </is>
      </c>
      <c r="H630" t="inlineStr">
        <is>
          <t>No</t>
        </is>
      </c>
      <c r="I630" t="inlineStr">
        <is>
          <t>No</t>
        </is>
      </c>
      <c r="J630" t="inlineStr">
        <is>
          <t>0</t>
        </is>
      </c>
      <c r="K630" t="inlineStr">
        <is>
          <t>Schall, James V.</t>
        </is>
      </c>
      <c r="L630" t="inlineStr">
        <is>
          <t>Chicago, Ill. : Franciscan Herald Press, [1982]</t>
        </is>
      </c>
      <c r="M630" t="inlineStr">
        <is>
          <t>1981</t>
        </is>
      </c>
      <c r="O630" t="inlineStr">
        <is>
          <t>eng</t>
        </is>
      </c>
      <c r="P630" t="inlineStr">
        <is>
          <t>ilu</t>
        </is>
      </c>
      <c r="R630" t="inlineStr">
        <is>
          <t xml:space="preserve">BX </t>
        </is>
      </c>
      <c r="S630" t="n">
        <v>4</v>
      </c>
      <c r="T630" t="n">
        <v>4</v>
      </c>
      <c r="U630" t="inlineStr">
        <is>
          <t>1998-11-09</t>
        </is>
      </c>
      <c r="V630" t="inlineStr">
        <is>
          <t>1998-11-09</t>
        </is>
      </c>
      <c r="W630" t="inlineStr">
        <is>
          <t>1992-05-08</t>
        </is>
      </c>
      <c r="X630" t="inlineStr">
        <is>
          <t>1992-05-08</t>
        </is>
      </c>
      <c r="Y630" t="n">
        <v>180</v>
      </c>
      <c r="Z630" t="n">
        <v>158</v>
      </c>
      <c r="AA630" t="n">
        <v>158</v>
      </c>
      <c r="AB630" t="n">
        <v>3</v>
      </c>
      <c r="AC630" t="n">
        <v>3</v>
      </c>
      <c r="AD630" t="n">
        <v>16</v>
      </c>
      <c r="AE630" t="n">
        <v>16</v>
      </c>
      <c r="AF630" t="n">
        <v>5</v>
      </c>
      <c r="AG630" t="n">
        <v>5</v>
      </c>
      <c r="AH630" t="n">
        <v>3</v>
      </c>
      <c r="AI630" t="n">
        <v>3</v>
      </c>
      <c r="AJ630" t="n">
        <v>14</v>
      </c>
      <c r="AK630" t="n">
        <v>14</v>
      </c>
      <c r="AL630" t="n">
        <v>0</v>
      </c>
      <c r="AM630" t="n">
        <v>0</v>
      </c>
      <c r="AN630" t="n">
        <v>0</v>
      </c>
      <c r="AO630" t="n">
        <v>0</v>
      </c>
      <c r="AP630" t="inlineStr">
        <is>
          <t>No</t>
        </is>
      </c>
      <c r="AQ630" t="inlineStr">
        <is>
          <t>No</t>
        </is>
      </c>
      <c r="AS630">
        <f>HYPERLINK("https://creighton-primo.hosted.exlibrisgroup.com/primo-explore/search?tab=default_tab&amp;search_scope=EVERYTHING&amp;vid=01CRU&amp;lang=en_US&amp;offset=0&amp;query=any,contains,991005152429702656","Catalog Record")</f>
        <v/>
      </c>
      <c r="AT630">
        <f>HYPERLINK("http://www.worldcat.org/oclc/7734142","WorldCat Record")</f>
        <v/>
      </c>
      <c r="AU630" t="inlineStr">
        <is>
          <t>29689024:eng</t>
        </is>
      </c>
      <c r="AV630" t="inlineStr">
        <is>
          <t>7734142</t>
        </is>
      </c>
      <c r="AW630" t="inlineStr">
        <is>
          <t>991005152429702656</t>
        </is>
      </c>
      <c r="AX630" t="inlineStr">
        <is>
          <t>991005152429702656</t>
        </is>
      </c>
      <c r="AY630" t="inlineStr">
        <is>
          <t>2255821640002656</t>
        </is>
      </c>
      <c r="AZ630" t="inlineStr">
        <is>
          <t>BOOK</t>
        </is>
      </c>
      <c r="BB630" t="inlineStr">
        <is>
          <t>9780819908384</t>
        </is>
      </c>
      <c r="BC630" t="inlineStr">
        <is>
          <t>32285001106565</t>
        </is>
      </c>
      <c r="BD630" t="inlineStr">
        <is>
          <t>893424642</t>
        </is>
      </c>
    </row>
    <row r="631">
      <c r="A631" t="inlineStr">
        <is>
          <t>No</t>
        </is>
      </c>
      <c r="B631" t="inlineStr">
        <is>
          <t>BX1753 .S35 1990</t>
        </is>
      </c>
      <c r="C631" t="inlineStr">
        <is>
          <t>0                      BX 1753000S  35          1990</t>
        </is>
      </c>
      <c r="D631" t="inlineStr">
        <is>
          <t>Catholicism and secularization in America : essays on nature, grace, and culture / edited by David L. Schindler.</t>
        </is>
      </c>
      <c r="F631" t="inlineStr">
        <is>
          <t>No</t>
        </is>
      </c>
      <c r="G631" t="inlineStr">
        <is>
          <t>1</t>
        </is>
      </c>
      <c r="H631" t="inlineStr">
        <is>
          <t>No</t>
        </is>
      </c>
      <c r="I631" t="inlineStr">
        <is>
          <t>No</t>
        </is>
      </c>
      <c r="J631" t="inlineStr">
        <is>
          <t>0</t>
        </is>
      </c>
      <c r="K631" t="inlineStr">
        <is>
          <t>Schindler, David L., 1943-</t>
        </is>
      </c>
      <c r="L631" t="inlineStr">
        <is>
          <t>Huntington, Ind. : Our Sunday Visitor, 1990.</t>
        </is>
      </c>
      <c r="M631" t="inlineStr">
        <is>
          <t>1990</t>
        </is>
      </c>
      <c r="O631" t="inlineStr">
        <is>
          <t>eng</t>
        </is>
      </c>
      <c r="P631" t="inlineStr">
        <is>
          <t>inu</t>
        </is>
      </c>
      <c r="R631" t="inlineStr">
        <is>
          <t xml:space="preserve">BX </t>
        </is>
      </c>
      <c r="S631" t="n">
        <v>8</v>
      </c>
      <c r="T631" t="n">
        <v>8</v>
      </c>
      <c r="U631" t="inlineStr">
        <is>
          <t>2005-06-27</t>
        </is>
      </c>
      <c r="V631" t="inlineStr">
        <is>
          <t>2005-06-27</t>
        </is>
      </c>
      <c r="W631" t="inlineStr">
        <is>
          <t>1990-08-29</t>
        </is>
      </c>
      <c r="X631" t="inlineStr">
        <is>
          <t>1990-08-29</t>
        </is>
      </c>
      <c r="Y631" t="n">
        <v>128</v>
      </c>
      <c r="Z631" t="n">
        <v>107</v>
      </c>
      <c r="AA631" t="n">
        <v>109</v>
      </c>
      <c r="AB631" t="n">
        <v>2</v>
      </c>
      <c r="AC631" t="n">
        <v>2</v>
      </c>
      <c r="AD631" t="n">
        <v>15</v>
      </c>
      <c r="AE631" t="n">
        <v>15</v>
      </c>
      <c r="AF631" t="n">
        <v>5</v>
      </c>
      <c r="AG631" t="n">
        <v>5</v>
      </c>
      <c r="AH631" t="n">
        <v>5</v>
      </c>
      <c r="AI631" t="n">
        <v>5</v>
      </c>
      <c r="AJ631" t="n">
        <v>10</v>
      </c>
      <c r="AK631" t="n">
        <v>10</v>
      </c>
      <c r="AL631" t="n">
        <v>0</v>
      </c>
      <c r="AM631" t="n">
        <v>0</v>
      </c>
      <c r="AN631" t="n">
        <v>0</v>
      </c>
      <c r="AO631" t="n">
        <v>0</v>
      </c>
      <c r="AP631" t="inlineStr">
        <is>
          <t>No</t>
        </is>
      </c>
      <c r="AQ631" t="inlineStr">
        <is>
          <t>Yes</t>
        </is>
      </c>
      <c r="AR631">
        <f>HYPERLINK("http://catalog.hathitrust.org/Record/009813161","HathiTrust Record")</f>
        <v/>
      </c>
      <c r="AS631">
        <f>HYPERLINK("https://creighton-primo.hosted.exlibrisgroup.com/primo-explore/search?tab=default_tab&amp;search_scope=EVERYTHING&amp;vid=01CRU&amp;lang=en_US&amp;offset=0&amp;query=any,contains,991005412639702656","Catalog Record")</f>
        <v/>
      </c>
      <c r="AT631">
        <f>HYPERLINK("http://www.worldcat.org/oclc/22192377","WorldCat Record")</f>
        <v/>
      </c>
      <c r="AU631" t="inlineStr">
        <is>
          <t>365887541:eng</t>
        </is>
      </c>
      <c r="AV631" t="inlineStr">
        <is>
          <t>22192377</t>
        </is>
      </c>
      <c r="AW631" t="inlineStr">
        <is>
          <t>991005412639702656</t>
        </is>
      </c>
      <c r="AX631" t="inlineStr">
        <is>
          <t>991005412639702656</t>
        </is>
      </c>
      <c r="AY631" t="inlineStr">
        <is>
          <t>2270388070002656</t>
        </is>
      </c>
      <c r="AZ631" t="inlineStr">
        <is>
          <t>BOOK</t>
        </is>
      </c>
      <c r="BB631" t="inlineStr">
        <is>
          <t>9780879734503</t>
        </is>
      </c>
      <c r="BC631" t="inlineStr">
        <is>
          <t>32285000275304</t>
        </is>
      </c>
      <c r="BD631" t="inlineStr">
        <is>
          <t>893326717</t>
        </is>
      </c>
    </row>
    <row r="632">
      <c r="A632" t="inlineStr">
        <is>
          <t>No</t>
        </is>
      </c>
      <c r="B632" t="inlineStr">
        <is>
          <t>BX1753 .S48 1998</t>
        </is>
      </c>
      <c r="C632" t="inlineStr">
        <is>
          <t>0                      BX 1753000S  48          1998</t>
        </is>
      </c>
      <c r="D632" t="inlineStr">
        <is>
          <t>Sharing Catholic Social Teaching: Challenges and Directions: Reflections of the U.S. Catholic Bishops.</t>
        </is>
      </c>
      <c r="F632" t="inlineStr">
        <is>
          <t>No</t>
        </is>
      </c>
      <c r="G632" t="inlineStr">
        <is>
          <t>1</t>
        </is>
      </c>
      <c r="H632" t="inlineStr">
        <is>
          <t>No</t>
        </is>
      </c>
      <c r="I632" t="inlineStr">
        <is>
          <t>No</t>
        </is>
      </c>
      <c r="J632" t="inlineStr">
        <is>
          <t>0</t>
        </is>
      </c>
      <c r="K632" t="inlineStr">
        <is>
          <t>United States Catholic Conference.</t>
        </is>
      </c>
      <c r="L632" t="inlineStr">
        <is>
          <t>Washington, DC: United States Catholic Conference, 1998.</t>
        </is>
      </c>
      <c r="M632" t="inlineStr">
        <is>
          <t>1998</t>
        </is>
      </c>
      <c r="O632" t="inlineStr">
        <is>
          <t>eng</t>
        </is>
      </c>
      <c r="P632" t="inlineStr">
        <is>
          <t>dcu</t>
        </is>
      </c>
      <c r="Q632" t="inlineStr">
        <is>
          <t>Publication/ United States Catholic Conference; no.5-281.</t>
        </is>
      </c>
      <c r="R632" t="inlineStr">
        <is>
          <t xml:space="preserve">BX </t>
        </is>
      </c>
      <c r="S632" t="n">
        <v>8</v>
      </c>
      <c r="T632" t="n">
        <v>8</v>
      </c>
      <c r="U632" t="inlineStr">
        <is>
          <t>2006-06-29</t>
        </is>
      </c>
      <c r="V632" t="inlineStr">
        <is>
          <t>2006-06-29</t>
        </is>
      </c>
      <c r="W632" t="inlineStr">
        <is>
          <t>1998-10-12</t>
        </is>
      </c>
      <c r="X632" t="inlineStr">
        <is>
          <t>1998-10-12</t>
        </is>
      </c>
      <c r="Y632" t="n">
        <v>102</v>
      </c>
      <c r="Z632" t="n">
        <v>100</v>
      </c>
      <c r="AA632" t="n">
        <v>102</v>
      </c>
      <c r="AB632" t="n">
        <v>1</v>
      </c>
      <c r="AC632" t="n">
        <v>1</v>
      </c>
      <c r="AD632" t="n">
        <v>18</v>
      </c>
      <c r="AE632" t="n">
        <v>18</v>
      </c>
      <c r="AF632" t="n">
        <v>4</v>
      </c>
      <c r="AG632" t="n">
        <v>4</v>
      </c>
      <c r="AH632" t="n">
        <v>5</v>
      </c>
      <c r="AI632" t="n">
        <v>5</v>
      </c>
      <c r="AJ632" t="n">
        <v>15</v>
      </c>
      <c r="AK632" t="n">
        <v>15</v>
      </c>
      <c r="AL632" t="n">
        <v>0</v>
      </c>
      <c r="AM632" t="n">
        <v>0</v>
      </c>
      <c r="AN632" t="n">
        <v>0</v>
      </c>
      <c r="AO632" t="n">
        <v>0</v>
      </c>
      <c r="AP632" t="inlineStr">
        <is>
          <t>No</t>
        </is>
      </c>
      <c r="AQ632" t="inlineStr">
        <is>
          <t>No</t>
        </is>
      </c>
      <c r="AS632">
        <f>HYPERLINK("https://creighton-primo.hosted.exlibrisgroup.com/primo-explore/search?tab=default_tab&amp;search_scope=EVERYTHING&amp;vid=01CRU&amp;lang=en_US&amp;offset=0&amp;query=any,contains,991002964079702656","Catalog Record")</f>
        <v/>
      </c>
      <c r="AT632">
        <f>HYPERLINK("http://www.worldcat.org/oclc/39657813","WorldCat Record")</f>
        <v/>
      </c>
      <c r="AU632" t="inlineStr">
        <is>
          <t>892344960:eng</t>
        </is>
      </c>
      <c r="AV632" t="inlineStr">
        <is>
          <t>39657813</t>
        </is>
      </c>
      <c r="AW632" t="inlineStr">
        <is>
          <t>991002964079702656</t>
        </is>
      </c>
      <c r="AX632" t="inlineStr">
        <is>
          <t>991002964079702656</t>
        </is>
      </c>
      <c r="AY632" t="inlineStr">
        <is>
          <t>2268462740002656</t>
        </is>
      </c>
      <c r="AZ632" t="inlineStr">
        <is>
          <t>BOOK</t>
        </is>
      </c>
      <c r="BB632" t="inlineStr">
        <is>
          <t>9781574552812</t>
        </is>
      </c>
      <c r="BC632" t="inlineStr">
        <is>
          <t>32285003480448</t>
        </is>
      </c>
      <c r="BD632" t="inlineStr">
        <is>
          <t>893805269</t>
        </is>
      </c>
    </row>
    <row r="633">
      <c r="A633" t="inlineStr">
        <is>
          <t>No</t>
        </is>
      </c>
      <c r="B633" t="inlineStr">
        <is>
          <t>BX1753 .S48 2000, Supp.</t>
        </is>
      </c>
      <c r="C633" t="inlineStr">
        <is>
          <t>0                      BX 1753000S  48          2000                                        Supp.</t>
        </is>
      </c>
      <c r="D633" t="inlineStr">
        <is>
          <t>Leader's guide to Sharing Catholic social teaching / [written by Stephen M. Colecchi].</t>
        </is>
      </c>
      <c r="E633" t="inlineStr">
        <is>
          <t>Supp.*</t>
        </is>
      </c>
      <c r="F633" t="inlineStr">
        <is>
          <t>No</t>
        </is>
      </c>
      <c r="G633" t="inlineStr">
        <is>
          <t>1</t>
        </is>
      </c>
      <c r="H633" t="inlineStr">
        <is>
          <t>No</t>
        </is>
      </c>
      <c r="I633" t="inlineStr">
        <is>
          <t>No</t>
        </is>
      </c>
      <c r="J633" t="inlineStr">
        <is>
          <t>0</t>
        </is>
      </c>
      <c r="K633" t="inlineStr">
        <is>
          <t>Colecchi, Stephen M.</t>
        </is>
      </c>
      <c r="L633" t="inlineStr">
        <is>
          <t>Washington, D.C. : United States Catholic Conference, c2000.</t>
        </is>
      </c>
      <c r="M633" t="inlineStr">
        <is>
          <t>2000</t>
        </is>
      </c>
      <c r="O633" t="inlineStr">
        <is>
          <t>eng</t>
        </is>
      </c>
      <c r="P633" t="inlineStr">
        <is>
          <t>dcu</t>
        </is>
      </c>
      <c r="Q633" t="inlineStr">
        <is>
          <t>Publication (United States Catholic Conference) ; no. 5-366</t>
        </is>
      </c>
      <c r="R633" t="inlineStr">
        <is>
          <t xml:space="preserve">BX </t>
        </is>
      </c>
      <c r="S633" t="n">
        <v>3</v>
      </c>
      <c r="T633" t="n">
        <v>3</v>
      </c>
      <c r="U633" t="inlineStr">
        <is>
          <t>2009-11-14</t>
        </is>
      </c>
      <c r="V633" t="inlineStr">
        <is>
          <t>2009-11-14</t>
        </is>
      </c>
      <c r="W633" t="inlineStr">
        <is>
          <t>2000-03-01</t>
        </is>
      </c>
      <c r="X633" t="inlineStr">
        <is>
          <t>2000-03-01</t>
        </is>
      </c>
      <c r="Y633" t="n">
        <v>60</v>
      </c>
      <c r="Z633" t="n">
        <v>58</v>
      </c>
      <c r="AA633" t="n">
        <v>58</v>
      </c>
      <c r="AB633" t="n">
        <v>1</v>
      </c>
      <c r="AC633" t="n">
        <v>1</v>
      </c>
      <c r="AD633" t="n">
        <v>10</v>
      </c>
      <c r="AE633" t="n">
        <v>10</v>
      </c>
      <c r="AF633" t="n">
        <v>1</v>
      </c>
      <c r="AG633" t="n">
        <v>1</v>
      </c>
      <c r="AH633" t="n">
        <v>2</v>
      </c>
      <c r="AI633" t="n">
        <v>2</v>
      </c>
      <c r="AJ633" t="n">
        <v>8</v>
      </c>
      <c r="AK633" t="n">
        <v>8</v>
      </c>
      <c r="AL633" t="n">
        <v>0</v>
      </c>
      <c r="AM633" t="n">
        <v>0</v>
      </c>
      <c r="AN633" t="n">
        <v>0</v>
      </c>
      <c r="AO633" t="n">
        <v>0</v>
      </c>
      <c r="AP633" t="inlineStr">
        <is>
          <t>No</t>
        </is>
      </c>
      <c r="AQ633" t="inlineStr">
        <is>
          <t>No</t>
        </is>
      </c>
      <c r="AS633">
        <f>HYPERLINK("https://creighton-primo.hosted.exlibrisgroup.com/primo-explore/search?tab=default_tab&amp;search_scope=EVERYTHING&amp;vid=01CRU&amp;lang=en_US&amp;offset=0&amp;query=any,contains,991003053649702656","Catalog Record")</f>
        <v/>
      </c>
      <c r="AT633">
        <f>HYPERLINK("http://www.worldcat.org/oclc/43479300","WorldCat Record")</f>
        <v/>
      </c>
      <c r="AU633" t="inlineStr">
        <is>
          <t>45192363:eng</t>
        </is>
      </c>
      <c r="AV633" t="inlineStr">
        <is>
          <t>43479300</t>
        </is>
      </c>
      <c r="AW633" t="inlineStr">
        <is>
          <t>991003053649702656</t>
        </is>
      </c>
      <c r="AX633" t="inlineStr">
        <is>
          <t>991003053649702656</t>
        </is>
      </c>
      <c r="AY633" t="inlineStr">
        <is>
          <t>2254891180002656</t>
        </is>
      </c>
      <c r="AZ633" t="inlineStr">
        <is>
          <t>BOOK</t>
        </is>
      </c>
      <c r="BB633" t="inlineStr">
        <is>
          <t>9781574553666</t>
        </is>
      </c>
      <c r="BC633" t="inlineStr">
        <is>
          <t>32285003666368</t>
        </is>
      </c>
      <c r="BD633" t="inlineStr">
        <is>
          <t>893698634</t>
        </is>
      </c>
    </row>
    <row r="634">
      <c r="A634" t="inlineStr">
        <is>
          <t>No</t>
        </is>
      </c>
      <c r="B634" t="inlineStr">
        <is>
          <t>BX1753 .S49 1953</t>
        </is>
      </c>
      <c r="C634" t="inlineStr">
        <is>
          <t>0                      BX 1753000S  49          1953</t>
        </is>
      </c>
      <c r="D634" t="inlineStr">
        <is>
          <t>Society and sanity / by F.J. Sheed.</t>
        </is>
      </c>
      <c r="F634" t="inlineStr">
        <is>
          <t>No</t>
        </is>
      </c>
      <c r="G634" t="inlineStr">
        <is>
          <t>1</t>
        </is>
      </c>
      <c r="H634" t="inlineStr">
        <is>
          <t>No</t>
        </is>
      </c>
      <c r="I634" t="inlineStr">
        <is>
          <t>No</t>
        </is>
      </c>
      <c r="J634" t="inlineStr">
        <is>
          <t>0</t>
        </is>
      </c>
      <c r="K634" t="inlineStr">
        <is>
          <t>Sheed, F. J. (Francis Joseph), 1897-1981.</t>
        </is>
      </c>
      <c r="L634" t="inlineStr">
        <is>
          <t>London ; New York : Sheed and Ward, [1953]</t>
        </is>
      </c>
      <c r="M634" t="inlineStr">
        <is>
          <t>1953</t>
        </is>
      </c>
      <c r="O634" t="inlineStr">
        <is>
          <t>eng</t>
        </is>
      </c>
      <c r="P634" t="inlineStr">
        <is>
          <t>enk</t>
        </is>
      </c>
      <c r="R634" t="inlineStr">
        <is>
          <t xml:space="preserve">BX </t>
        </is>
      </c>
      <c r="S634" t="n">
        <v>2</v>
      </c>
      <c r="T634" t="n">
        <v>2</v>
      </c>
      <c r="U634" t="inlineStr">
        <is>
          <t>2004-09-07</t>
        </is>
      </c>
      <c r="V634" t="inlineStr">
        <is>
          <t>2004-09-07</t>
        </is>
      </c>
      <c r="W634" t="inlineStr">
        <is>
          <t>1991-05-14</t>
        </is>
      </c>
      <c r="X634" t="inlineStr">
        <is>
          <t>1991-05-14</t>
        </is>
      </c>
      <c r="Y634" t="n">
        <v>113</v>
      </c>
      <c r="Z634" t="n">
        <v>70</v>
      </c>
      <c r="AA634" t="n">
        <v>453</v>
      </c>
      <c r="AB634" t="n">
        <v>2</v>
      </c>
      <c r="AC634" t="n">
        <v>5</v>
      </c>
      <c r="AD634" t="n">
        <v>10</v>
      </c>
      <c r="AE634" t="n">
        <v>32</v>
      </c>
      <c r="AF634" t="n">
        <v>1</v>
      </c>
      <c r="AG634" t="n">
        <v>12</v>
      </c>
      <c r="AH634" t="n">
        <v>4</v>
      </c>
      <c r="AI634" t="n">
        <v>9</v>
      </c>
      <c r="AJ634" t="n">
        <v>7</v>
      </c>
      <c r="AK634" t="n">
        <v>22</v>
      </c>
      <c r="AL634" t="n">
        <v>0</v>
      </c>
      <c r="AM634" t="n">
        <v>1</v>
      </c>
      <c r="AN634" t="n">
        <v>0</v>
      </c>
      <c r="AO634" t="n">
        <v>0</v>
      </c>
      <c r="AP634" t="inlineStr">
        <is>
          <t>No</t>
        </is>
      </c>
      <c r="AQ634" t="inlineStr">
        <is>
          <t>No</t>
        </is>
      </c>
      <c r="AS634">
        <f>HYPERLINK("https://creighton-primo.hosted.exlibrisgroup.com/primo-explore/search?tab=default_tab&amp;search_scope=EVERYTHING&amp;vid=01CRU&amp;lang=en_US&amp;offset=0&amp;query=any,contains,991004612169702656","Catalog Record")</f>
        <v/>
      </c>
      <c r="AT634">
        <f>HYPERLINK("http://www.worldcat.org/oclc/4221525","WorldCat Record")</f>
        <v/>
      </c>
      <c r="AU634" t="inlineStr">
        <is>
          <t>50133589:eng</t>
        </is>
      </c>
      <c r="AV634" t="inlineStr">
        <is>
          <t>4221525</t>
        </is>
      </c>
      <c r="AW634" t="inlineStr">
        <is>
          <t>991004612169702656</t>
        </is>
      </c>
      <c r="AX634" t="inlineStr">
        <is>
          <t>991004612169702656</t>
        </is>
      </c>
      <c r="AY634" t="inlineStr">
        <is>
          <t>2261830270002656</t>
        </is>
      </c>
      <c r="AZ634" t="inlineStr">
        <is>
          <t>BOOK</t>
        </is>
      </c>
      <c r="BC634" t="inlineStr">
        <is>
          <t>32285000609866</t>
        </is>
      </c>
      <c r="BD634" t="inlineStr">
        <is>
          <t>893612548</t>
        </is>
      </c>
    </row>
    <row r="635">
      <c r="A635" t="inlineStr">
        <is>
          <t>No</t>
        </is>
      </c>
      <c r="B635" t="inlineStr">
        <is>
          <t>BX1753 .S527 1940</t>
        </is>
      </c>
      <c r="C635" t="inlineStr">
        <is>
          <t>0                      BX 1753000S  527         1940</t>
        </is>
      </c>
      <c r="D635" t="inlineStr">
        <is>
          <t>Whence come wars / by Fulton J. Sheen.</t>
        </is>
      </c>
      <c r="F635" t="inlineStr">
        <is>
          <t>No</t>
        </is>
      </c>
      <c r="G635" t="inlineStr">
        <is>
          <t>1</t>
        </is>
      </c>
      <c r="H635" t="inlineStr">
        <is>
          <t>No</t>
        </is>
      </c>
      <c r="I635" t="inlineStr">
        <is>
          <t>No</t>
        </is>
      </c>
      <c r="J635" t="inlineStr">
        <is>
          <t>0</t>
        </is>
      </c>
      <c r="K635" t="inlineStr">
        <is>
          <t>Sheen, Fulton J. (Fulton John), 1895-1979.</t>
        </is>
      </c>
      <c r="L635" t="inlineStr">
        <is>
          <t>New York : Sheed &amp; Ward, 1940.</t>
        </is>
      </c>
      <c r="M635" t="inlineStr">
        <is>
          <t>1940</t>
        </is>
      </c>
      <c r="O635" t="inlineStr">
        <is>
          <t>eng</t>
        </is>
      </c>
      <c r="P635" t="inlineStr">
        <is>
          <t>___</t>
        </is>
      </c>
      <c r="R635" t="inlineStr">
        <is>
          <t xml:space="preserve">BX </t>
        </is>
      </c>
      <c r="S635" t="n">
        <v>1</v>
      </c>
      <c r="T635" t="n">
        <v>1</v>
      </c>
      <c r="U635" t="inlineStr">
        <is>
          <t>1996-12-23</t>
        </is>
      </c>
      <c r="V635" t="inlineStr">
        <is>
          <t>1996-12-23</t>
        </is>
      </c>
      <c r="W635" t="inlineStr">
        <is>
          <t>1991-05-14</t>
        </is>
      </c>
      <c r="X635" t="inlineStr">
        <is>
          <t>1991-05-14</t>
        </is>
      </c>
      <c r="Y635" t="n">
        <v>147</v>
      </c>
      <c r="Z635" t="n">
        <v>136</v>
      </c>
      <c r="AA635" t="n">
        <v>141</v>
      </c>
      <c r="AB635" t="n">
        <v>2</v>
      </c>
      <c r="AC635" t="n">
        <v>2</v>
      </c>
      <c r="AD635" t="n">
        <v>22</v>
      </c>
      <c r="AE635" t="n">
        <v>22</v>
      </c>
      <c r="AF635" t="n">
        <v>5</v>
      </c>
      <c r="AG635" t="n">
        <v>5</v>
      </c>
      <c r="AH635" t="n">
        <v>7</v>
      </c>
      <c r="AI635" t="n">
        <v>7</v>
      </c>
      <c r="AJ635" t="n">
        <v>16</v>
      </c>
      <c r="AK635" t="n">
        <v>16</v>
      </c>
      <c r="AL635" t="n">
        <v>1</v>
      </c>
      <c r="AM635" t="n">
        <v>1</v>
      </c>
      <c r="AN635" t="n">
        <v>0</v>
      </c>
      <c r="AO635" t="n">
        <v>0</v>
      </c>
      <c r="AP635" t="inlineStr">
        <is>
          <t>No</t>
        </is>
      </c>
      <c r="AQ635" t="inlineStr">
        <is>
          <t>No</t>
        </is>
      </c>
      <c r="AS635">
        <f>HYPERLINK("https://creighton-primo.hosted.exlibrisgroup.com/primo-explore/search?tab=default_tab&amp;search_scope=EVERYTHING&amp;vid=01CRU&amp;lang=en_US&amp;offset=0&amp;query=any,contains,991002114869702656","Catalog Record")</f>
        <v/>
      </c>
      <c r="AT635">
        <f>HYPERLINK("http://www.worldcat.org/oclc/268165","WorldCat Record")</f>
        <v/>
      </c>
      <c r="AU635" t="inlineStr">
        <is>
          <t>1391161:eng</t>
        </is>
      </c>
      <c r="AV635" t="inlineStr">
        <is>
          <t>268165</t>
        </is>
      </c>
      <c r="AW635" t="inlineStr">
        <is>
          <t>991002114869702656</t>
        </is>
      </c>
      <c r="AX635" t="inlineStr">
        <is>
          <t>991002114869702656</t>
        </is>
      </c>
      <c r="AY635" t="inlineStr">
        <is>
          <t>2270301770002656</t>
        </is>
      </c>
      <c r="AZ635" t="inlineStr">
        <is>
          <t>BOOK</t>
        </is>
      </c>
      <c r="BC635" t="inlineStr">
        <is>
          <t>32285000609452</t>
        </is>
      </c>
      <c r="BD635" t="inlineStr">
        <is>
          <t>893408706</t>
        </is>
      </c>
    </row>
    <row r="636">
      <c r="A636" t="inlineStr">
        <is>
          <t>No</t>
        </is>
      </c>
      <c r="B636" t="inlineStr">
        <is>
          <t>BX1753 .W47 2001</t>
        </is>
      </c>
      <c r="C636" t="inlineStr">
        <is>
          <t>0                      BX 1753000W  47          2001</t>
        </is>
      </c>
      <c r="D636" t="inlineStr">
        <is>
          <t>Prophet of the Christian social manifesto : Joseph Husslein, S.J., his life, work &amp; social thought / by Stephen A. Werner.</t>
        </is>
      </c>
      <c r="F636" t="inlineStr">
        <is>
          <t>No</t>
        </is>
      </c>
      <c r="G636" t="inlineStr">
        <is>
          <t>1</t>
        </is>
      </c>
      <c r="H636" t="inlineStr">
        <is>
          <t>No</t>
        </is>
      </c>
      <c r="I636" t="inlineStr">
        <is>
          <t>No</t>
        </is>
      </c>
      <c r="J636" t="inlineStr">
        <is>
          <t>0</t>
        </is>
      </c>
      <c r="K636" t="inlineStr">
        <is>
          <t>Werner, Stephen A., 1956-</t>
        </is>
      </c>
      <c r="L636" t="inlineStr">
        <is>
          <t>Milwaukee : Marquette University Press, [2001]</t>
        </is>
      </c>
      <c r="M636" t="inlineStr">
        <is>
          <t>2001</t>
        </is>
      </c>
      <c r="O636" t="inlineStr">
        <is>
          <t>eng</t>
        </is>
      </c>
      <c r="P636" t="inlineStr">
        <is>
          <t>wiu</t>
        </is>
      </c>
      <c r="Q636" t="inlineStr">
        <is>
          <t>Marquette studies in theology ; no. 24</t>
        </is>
      </c>
      <c r="R636" t="inlineStr">
        <is>
          <t xml:space="preserve">BX </t>
        </is>
      </c>
      <c r="S636" t="n">
        <v>1</v>
      </c>
      <c r="T636" t="n">
        <v>1</v>
      </c>
      <c r="U636" t="inlineStr">
        <is>
          <t>2003-03-21</t>
        </is>
      </c>
      <c r="V636" t="inlineStr">
        <is>
          <t>2003-03-21</t>
        </is>
      </c>
      <c r="W636" t="inlineStr">
        <is>
          <t>2003-01-08</t>
        </is>
      </c>
      <c r="X636" t="inlineStr">
        <is>
          <t>2003-01-08</t>
        </is>
      </c>
      <c r="Y636" t="n">
        <v>125</v>
      </c>
      <c r="Z636" t="n">
        <v>112</v>
      </c>
      <c r="AA636" t="n">
        <v>541</v>
      </c>
      <c r="AB636" t="n">
        <v>2</v>
      </c>
      <c r="AC636" t="n">
        <v>6</v>
      </c>
      <c r="AD636" t="n">
        <v>15</v>
      </c>
      <c r="AE636" t="n">
        <v>31</v>
      </c>
      <c r="AF636" t="n">
        <v>3</v>
      </c>
      <c r="AG636" t="n">
        <v>10</v>
      </c>
      <c r="AH636" t="n">
        <v>5</v>
      </c>
      <c r="AI636" t="n">
        <v>8</v>
      </c>
      <c r="AJ636" t="n">
        <v>11</v>
      </c>
      <c r="AK636" t="n">
        <v>14</v>
      </c>
      <c r="AL636" t="n">
        <v>1</v>
      </c>
      <c r="AM636" t="n">
        <v>5</v>
      </c>
      <c r="AN636" t="n">
        <v>0</v>
      </c>
      <c r="AO636" t="n">
        <v>1</v>
      </c>
      <c r="AP636" t="inlineStr">
        <is>
          <t>No</t>
        </is>
      </c>
      <c r="AQ636" t="inlineStr">
        <is>
          <t>Yes</t>
        </is>
      </c>
      <c r="AR636">
        <f>HYPERLINK("http://catalog.hathitrust.org/Record/004204466","HathiTrust Record")</f>
        <v/>
      </c>
      <c r="AS636">
        <f>HYPERLINK("https://creighton-primo.hosted.exlibrisgroup.com/primo-explore/search?tab=default_tab&amp;search_scope=EVERYTHING&amp;vid=01CRU&amp;lang=en_US&amp;offset=0&amp;query=any,contains,991003937559702656","Catalog Record")</f>
        <v/>
      </c>
      <c r="AT636">
        <f>HYPERLINK("http://www.worldcat.org/oclc/45356579","WorldCat Record")</f>
        <v/>
      </c>
      <c r="AU636" t="inlineStr">
        <is>
          <t>797206023:eng</t>
        </is>
      </c>
      <c r="AV636" t="inlineStr">
        <is>
          <t>45356579</t>
        </is>
      </c>
      <c r="AW636" t="inlineStr">
        <is>
          <t>991003937559702656</t>
        </is>
      </c>
      <c r="AX636" t="inlineStr">
        <is>
          <t>991003937559702656</t>
        </is>
      </c>
      <c r="AY636" t="inlineStr">
        <is>
          <t>2263366820002656</t>
        </is>
      </c>
      <c r="AZ636" t="inlineStr">
        <is>
          <t>BOOK</t>
        </is>
      </c>
      <c r="BB636" t="inlineStr">
        <is>
          <t>9780874626483</t>
        </is>
      </c>
      <c r="BC636" t="inlineStr">
        <is>
          <t>32285004693288</t>
        </is>
      </c>
      <c r="BD636" t="inlineStr">
        <is>
          <t>893894375</t>
        </is>
      </c>
    </row>
    <row r="637">
      <c r="A637" t="inlineStr">
        <is>
          <t>No</t>
        </is>
      </c>
      <c r="B637" t="inlineStr">
        <is>
          <t>BX1754 .B37 1999</t>
        </is>
      </c>
      <c r="C637" t="inlineStr">
        <is>
          <t>0                      BX 1754000B  37          1999</t>
        </is>
      </c>
      <c r="D637" t="inlineStr">
        <is>
          <t>Catholics in crisis? : the church confronts contemporary challenges / William J. Bausch.</t>
        </is>
      </c>
      <c r="F637" t="inlineStr">
        <is>
          <t>No</t>
        </is>
      </c>
      <c r="G637" t="inlineStr">
        <is>
          <t>1</t>
        </is>
      </c>
      <c r="H637" t="inlineStr">
        <is>
          <t>No</t>
        </is>
      </c>
      <c r="I637" t="inlineStr">
        <is>
          <t>No</t>
        </is>
      </c>
      <c r="J637" t="inlineStr">
        <is>
          <t>0</t>
        </is>
      </c>
      <c r="K637" t="inlineStr">
        <is>
          <t>Bausch, William J.</t>
        </is>
      </c>
      <c r="L637" t="inlineStr">
        <is>
          <t>Mystic, CT : Twenty-Third Publications, c1999.</t>
        </is>
      </c>
      <c r="M637" t="inlineStr">
        <is>
          <t>1999</t>
        </is>
      </c>
      <c r="O637" t="inlineStr">
        <is>
          <t>eng</t>
        </is>
      </c>
      <c r="P637" t="inlineStr">
        <is>
          <t>ctu</t>
        </is>
      </c>
      <c r="R637" t="inlineStr">
        <is>
          <t xml:space="preserve">BX </t>
        </is>
      </c>
      <c r="S637" t="n">
        <v>3</v>
      </c>
      <c r="T637" t="n">
        <v>3</v>
      </c>
      <c r="U637" t="inlineStr">
        <is>
          <t>2008-03-18</t>
        </is>
      </c>
      <c r="V637" t="inlineStr">
        <is>
          <t>2008-03-18</t>
        </is>
      </c>
      <c r="W637" t="inlineStr">
        <is>
          <t>2001-01-16</t>
        </is>
      </c>
      <c r="X637" t="inlineStr">
        <is>
          <t>2001-01-16</t>
        </is>
      </c>
      <c r="Y637" t="n">
        <v>105</v>
      </c>
      <c r="Z637" t="n">
        <v>77</v>
      </c>
      <c r="AA637" t="n">
        <v>77</v>
      </c>
      <c r="AB637" t="n">
        <v>2</v>
      </c>
      <c r="AC637" t="n">
        <v>2</v>
      </c>
      <c r="AD637" t="n">
        <v>12</v>
      </c>
      <c r="AE637" t="n">
        <v>12</v>
      </c>
      <c r="AF637" t="n">
        <v>2</v>
      </c>
      <c r="AG637" t="n">
        <v>2</v>
      </c>
      <c r="AH637" t="n">
        <v>3</v>
      </c>
      <c r="AI637" t="n">
        <v>3</v>
      </c>
      <c r="AJ637" t="n">
        <v>10</v>
      </c>
      <c r="AK637" t="n">
        <v>10</v>
      </c>
      <c r="AL637" t="n">
        <v>0</v>
      </c>
      <c r="AM637" t="n">
        <v>0</v>
      </c>
      <c r="AN637" t="n">
        <v>0</v>
      </c>
      <c r="AO637" t="n">
        <v>0</v>
      </c>
      <c r="AP637" t="inlineStr">
        <is>
          <t>No</t>
        </is>
      </c>
      <c r="AQ637" t="inlineStr">
        <is>
          <t>No</t>
        </is>
      </c>
      <c r="AS637">
        <f>HYPERLINK("https://creighton-primo.hosted.exlibrisgroup.com/primo-explore/search?tab=default_tab&amp;search_scope=EVERYTHING&amp;vid=01CRU&amp;lang=en_US&amp;offset=0&amp;query=any,contains,991003350009702656","Catalog Record")</f>
        <v/>
      </c>
      <c r="AT637">
        <f>HYPERLINK("http://www.worldcat.org/oclc/41656487","WorldCat Record")</f>
        <v/>
      </c>
      <c r="AU637" t="inlineStr">
        <is>
          <t>26604239:eng</t>
        </is>
      </c>
      <c r="AV637" t="inlineStr">
        <is>
          <t>41656487</t>
        </is>
      </c>
      <c r="AW637" t="inlineStr">
        <is>
          <t>991003350009702656</t>
        </is>
      </c>
      <c r="AX637" t="inlineStr">
        <is>
          <t>991003350009702656</t>
        </is>
      </c>
      <c r="AY637" t="inlineStr">
        <is>
          <t>2260323470002656</t>
        </is>
      </c>
      <c r="AZ637" t="inlineStr">
        <is>
          <t>BOOK</t>
        </is>
      </c>
      <c r="BB637" t="inlineStr">
        <is>
          <t>9780896229655</t>
        </is>
      </c>
      <c r="BC637" t="inlineStr">
        <is>
          <t>32285004284369</t>
        </is>
      </c>
      <c r="BD637" t="inlineStr">
        <is>
          <t>893342486</t>
        </is>
      </c>
    </row>
    <row r="638">
      <c r="A638" t="inlineStr">
        <is>
          <t>No</t>
        </is>
      </c>
      <c r="B638" t="inlineStr">
        <is>
          <t>BX1754 .B772</t>
        </is>
      </c>
      <c r="C638" t="inlineStr">
        <is>
          <t>0                      BX 1754000B  772</t>
        </is>
      </c>
      <c r="D638" t="inlineStr">
        <is>
          <t>"For them also", a résumé of Catholic doctrine : fundamentals to live by / by Charles Francis Buddy.</t>
        </is>
      </c>
      <c r="F638" t="inlineStr">
        <is>
          <t>No</t>
        </is>
      </c>
      <c r="G638" t="inlineStr">
        <is>
          <t>1</t>
        </is>
      </c>
      <c r="H638" t="inlineStr">
        <is>
          <t>No</t>
        </is>
      </c>
      <c r="I638" t="inlineStr">
        <is>
          <t>No</t>
        </is>
      </c>
      <c r="J638" t="inlineStr">
        <is>
          <t>0</t>
        </is>
      </c>
      <c r="K638" t="inlineStr">
        <is>
          <t>Buddy, Charles Francis, 1887-1966.</t>
        </is>
      </c>
      <c r="L638" t="inlineStr">
        <is>
          <t>San Diego, University of San Diego Press [1963]</t>
        </is>
      </c>
      <c r="M638" t="inlineStr">
        <is>
          <t>1963</t>
        </is>
      </c>
      <c r="O638" t="inlineStr">
        <is>
          <t>eng</t>
        </is>
      </c>
      <c r="P638" t="inlineStr">
        <is>
          <t>___</t>
        </is>
      </c>
      <c r="R638" t="inlineStr">
        <is>
          <t xml:space="preserve">BX </t>
        </is>
      </c>
      <c r="S638" t="n">
        <v>2</v>
      </c>
      <c r="T638" t="n">
        <v>2</v>
      </c>
      <c r="U638" t="inlineStr">
        <is>
          <t>1995-10-09</t>
        </is>
      </c>
      <c r="V638" t="inlineStr">
        <is>
          <t>1995-10-09</t>
        </is>
      </c>
      <c r="W638" t="inlineStr">
        <is>
          <t>1991-05-14</t>
        </is>
      </c>
      <c r="X638" t="inlineStr">
        <is>
          <t>1991-05-14</t>
        </is>
      </c>
      <c r="Y638" t="n">
        <v>87</v>
      </c>
      <c r="Z638" t="n">
        <v>84</v>
      </c>
      <c r="AA638" t="n">
        <v>90</v>
      </c>
      <c r="AB638" t="n">
        <v>3</v>
      </c>
      <c r="AC638" t="n">
        <v>3</v>
      </c>
      <c r="AD638" t="n">
        <v>8</v>
      </c>
      <c r="AE638" t="n">
        <v>8</v>
      </c>
      <c r="AF638" t="n">
        <v>1</v>
      </c>
      <c r="AG638" t="n">
        <v>1</v>
      </c>
      <c r="AH638" t="n">
        <v>2</v>
      </c>
      <c r="AI638" t="n">
        <v>2</v>
      </c>
      <c r="AJ638" t="n">
        <v>5</v>
      </c>
      <c r="AK638" t="n">
        <v>5</v>
      </c>
      <c r="AL638" t="n">
        <v>0</v>
      </c>
      <c r="AM638" t="n">
        <v>0</v>
      </c>
      <c r="AN638" t="n">
        <v>0</v>
      </c>
      <c r="AO638" t="n">
        <v>0</v>
      </c>
      <c r="AP638" t="inlineStr">
        <is>
          <t>Yes</t>
        </is>
      </c>
      <c r="AQ638" t="inlineStr">
        <is>
          <t>No</t>
        </is>
      </c>
      <c r="AR638">
        <f>HYPERLINK("http://catalog.hathitrust.org/Record/102709061","HathiTrust Record")</f>
        <v/>
      </c>
      <c r="AS638">
        <f>HYPERLINK("https://creighton-primo.hosted.exlibrisgroup.com/primo-explore/search?tab=default_tab&amp;search_scope=EVERYTHING&amp;vid=01CRU&amp;lang=en_US&amp;offset=0&amp;query=any,contains,991003287509702656","Catalog Record")</f>
        <v/>
      </c>
      <c r="AT638">
        <f>HYPERLINK("http://www.worldcat.org/oclc/809609","WorldCat Record")</f>
        <v/>
      </c>
      <c r="AU638" t="inlineStr">
        <is>
          <t>1643117:eng</t>
        </is>
      </c>
      <c r="AV638" t="inlineStr">
        <is>
          <t>809609</t>
        </is>
      </c>
      <c r="AW638" t="inlineStr">
        <is>
          <t>991003287509702656</t>
        </is>
      </c>
      <c r="AX638" t="inlineStr">
        <is>
          <t>991003287509702656</t>
        </is>
      </c>
      <c r="AY638" t="inlineStr">
        <is>
          <t>2265531670002656</t>
        </is>
      </c>
      <c r="AZ638" t="inlineStr">
        <is>
          <t>BOOK</t>
        </is>
      </c>
      <c r="BC638" t="inlineStr">
        <is>
          <t>32285000609510</t>
        </is>
      </c>
      <c r="BD638" t="inlineStr">
        <is>
          <t>893604629</t>
        </is>
      </c>
    </row>
    <row r="639">
      <c r="A639" t="inlineStr">
        <is>
          <t>No</t>
        </is>
      </c>
      <c r="B639" t="inlineStr">
        <is>
          <t>BX1754 .C45 1957</t>
        </is>
      </c>
      <c r="C639" t="inlineStr">
        <is>
          <t>0                      BX 1754000C  45          1957</t>
        </is>
      </c>
      <c r="D639" t="inlineStr">
        <is>
          <t>The thing / G.K. Chesterton.</t>
        </is>
      </c>
      <c r="F639" t="inlineStr">
        <is>
          <t>No</t>
        </is>
      </c>
      <c r="G639" t="inlineStr">
        <is>
          <t>1</t>
        </is>
      </c>
      <c r="H639" t="inlineStr">
        <is>
          <t>No</t>
        </is>
      </c>
      <c r="I639" t="inlineStr">
        <is>
          <t>No</t>
        </is>
      </c>
      <c r="J639" t="inlineStr">
        <is>
          <t>0</t>
        </is>
      </c>
      <c r="K639" t="inlineStr">
        <is>
          <t>Chesterton, G. K. (Gilbert Keith), 1874-1936.</t>
        </is>
      </c>
      <c r="L639" t="inlineStr">
        <is>
          <t>[New York] S[heed] &amp; W[ard, 1957]</t>
        </is>
      </c>
      <c r="M639" t="inlineStr">
        <is>
          <t>1957</t>
        </is>
      </c>
      <c r="O639" t="inlineStr">
        <is>
          <t>eng</t>
        </is>
      </c>
      <c r="P639" t="inlineStr">
        <is>
          <t>nyu</t>
        </is>
      </c>
      <c r="Q639" t="inlineStr">
        <is>
          <t>A Thomas More book to live</t>
        </is>
      </c>
      <c r="R639" t="inlineStr">
        <is>
          <t xml:space="preserve">BX </t>
        </is>
      </c>
      <c r="S639" t="n">
        <v>3</v>
      </c>
      <c r="T639" t="n">
        <v>3</v>
      </c>
      <c r="U639" t="inlineStr">
        <is>
          <t>1995-10-25</t>
        </is>
      </c>
      <c r="V639" t="inlineStr">
        <is>
          <t>1995-10-25</t>
        </is>
      </c>
      <c r="W639" t="inlineStr">
        <is>
          <t>1991-05-14</t>
        </is>
      </c>
      <c r="X639" t="inlineStr">
        <is>
          <t>1991-05-14</t>
        </is>
      </c>
      <c r="Y639" t="n">
        <v>313</v>
      </c>
      <c r="Z639" t="n">
        <v>299</v>
      </c>
      <c r="AA639" t="n">
        <v>404</v>
      </c>
      <c r="AB639" t="n">
        <v>3</v>
      </c>
      <c r="AC639" t="n">
        <v>5</v>
      </c>
      <c r="AD639" t="n">
        <v>20</v>
      </c>
      <c r="AE639" t="n">
        <v>31</v>
      </c>
      <c r="AF639" t="n">
        <v>7</v>
      </c>
      <c r="AG639" t="n">
        <v>12</v>
      </c>
      <c r="AH639" t="n">
        <v>5</v>
      </c>
      <c r="AI639" t="n">
        <v>7</v>
      </c>
      <c r="AJ639" t="n">
        <v>11</v>
      </c>
      <c r="AK639" t="n">
        <v>20</v>
      </c>
      <c r="AL639" t="n">
        <v>1</v>
      </c>
      <c r="AM639" t="n">
        <v>2</v>
      </c>
      <c r="AN639" t="n">
        <v>0</v>
      </c>
      <c r="AO639" t="n">
        <v>0</v>
      </c>
      <c r="AP639" t="inlineStr">
        <is>
          <t>No</t>
        </is>
      </c>
      <c r="AQ639" t="inlineStr">
        <is>
          <t>Yes</t>
        </is>
      </c>
      <c r="AR639">
        <f>HYPERLINK("http://catalog.hathitrust.org/Record/006019595","HathiTrust Record")</f>
        <v/>
      </c>
      <c r="AS639">
        <f>HYPERLINK("https://creighton-primo.hosted.exlibrisgroup.com/primo-explore/search?tab=default_tab&amp;search_scope=EVERYTHING&amp;vid=01CRU&amp;lang=en_US&amp;offset=0&amp;query=any,contains,991002665659702656","Catalog Record")</f>
        <v/>
      </c>
      <c r="AT639">
        <f>HYPERLINK("http://www.worldcat.org/oclc/393100","WorldCat Record")</f>
        <v/>
      </c>
      <c r="AU639" t="inlineStr">
        <is>
          <t>1531002:eng</t>
        </is>
      </c>
      <c r="AV639" t="inlineStr">
        <is>
          <t>393100</t>
        </is>
      </c>
      <c r="AW639" t="inlineStr">
        <is>
          <t>991002665659702656</t>
        </is>
      </c>
      <c r="AX639" t="inlineStr">
        <is>
          <t>991002665659702656</t>
        </is>
      </c>
      <c r="AY639" t="inlineStr">
        <is>
          <t>2263815100002656</t>
        </is>
      </c>
      <c r="AZ639" t="inlineStr">
        <is>
          <t>BOOK</t>
        </is>
      </c>
      <c r="BC639" t="inlineStr">
        <is>
          <t>32285000609536</t>
        </is>
      </c>
      <c r="BD639" t="inlineStr">
        <is>
          <t>893773886</t>
        </is>
      </c>
    </row>
    <row r="640">
      <c r="A640" t="inlineStr">
        <is>
          <t>No</t>
        </is>
      </c>
      <c r="B640" t="inlineStr">
        <is>
          <t>BX1754 .F6</t>
        </is>
      </c>
      <c r="C640" t="inlineStr">
        <is>
          <t>0                      BX 1754000F  6</t>
        </is>
      </c>
      <c r="D640" t="inlineStr">
        <is>
          <t>Chats with converts : complete explanation and proof of Catholic belief / by Rev. M.D. Forrest, with preface by Bishop Fulton J. Sheen.</t>
        </is>
      </c>
      <c r="F640" t="inlineStr">
        <is>
          <t>No</t>
        </is>
      </c>
      <c r="G640" t="inlineStr">
        <is>
          <t>1</t>
        </is>
      </c>
      <c r="H640" t="inlineStr">
        <is>
          <t>No</t>
        </is>
      </c>
      <c r="I640" t="inlineStr">
        <is>
          <t>No</t>
        </is>
      </c>
      <c r="J640" t="inlineStr">
        <is>
          <t>0</t>
        </is>
      </c>
      <c r="K640" t="inlineStr">
        <is>
          <t>Forrest, Michael D.</t>
        </is>
      </c>
      <c r="L640" t="inlineStr">
        <is>
          <t>St. Paul, Minn. : Fathers Rumble ad Carty, Radio Replies Press, 1943.</t>
        </is>
      </c>
      <c r="M640" t="inlineStr">
        <is>
          <t>1943</t>
        </is>
      </c>
      <c r="N640" t="inlineStr">
        <is>
          <t>30th ed.</t>
        </is>
      </c>
      <c r="O640" t="inlineStr">
        <is>
          <t>eng</t>
        </is>
      </c>
      <c r="P640" t="inlineStr">
        <is>
          <t>miu</t>
        </is>
      </c>
      <c r="R640" t="inlineStr">
        <is>
          <t xml:space="preserve">BX </t>
        </is>
      </c>
      <c r="S640" t="n">
        <v>2</v>
      </c>
      <c r="T640" t="n">
        <v>2</v>
      </c>
      <c r="U640" t="inlineStr">
        <is>
          <t>2006-09-13</t>
        </is>
      </c>
      <c r="V640" t="inlineStr">
        <is>
          <t>2006-09-13</t>
        </is>
      </c>
      <c r="W640" t="inlineStr">
        <is>
          <t>1991-05-14</t>
        </is>
      </c>
      <c r="X640" t="inlineStr">
        <is>
          <t>1991-05-14</t>
        </is>
      </c>
      <c r="Y640" t="n">
        <v>15</v>
      </c>
      <c r="Z640" t="n">
        <v>9</v>
      </c>
      <c r="AA640" t="n">
        <v>38</v>
      </c>
      <c r="AB640" t="n">
        <v>2</v>
      </c>
      <c r="AC640" t="n">
        <v>3</v>
      </c>
      <c r="AD640" t="n">
        <v>1</v>
      </c>
      <c r="AE640" t="n">
        <v>5</v>
      </c>
      <c r="AF640" t="n">
        <v>0</v>
      </c>
      <c r="AG640" t="n">
        <v>2</v>
      </c>
      <c r="AH640" t="n">
        <v>0</v>
      </c>
      <c r="AI640" t="n">
        <v>2</v>
      </c>
      <c r="AJ640" t="n">
        <v>1</v>
      </c>
      <c r="AK640" t="n">
        <v>4</v>
      </c>
      <c r="AL640" t="n">
        <v>0</v>
      </c>
      <c r="AM640" t="n">
        <v>0</v>
      </c>
      <c r="AN640" t="n">
        <v>0</v>
      </c>
      <c r="AO640" t="n">
        <v>0</v>
      </c>
      <c r="AP640" t="inlineStr">
        <is>
          <t>No</t>
        </is>
      </c>
      <c r="AQ640" t="inlineStr">
        <is>
          <t>No</t>
        </is>
      </c>
      <c r="AS640">
        <f>HYPERLINK("https://creighton-primo.hosted.exlibrisgroup.com/primo-explore/search?tab=default_tab&amp;search_scope=EVERYTHING&amp;vid=01CRU&amp;lang=en_US&amp;offset=0&amp;query=any,contains,991005235079702656","Catalog Record")</f>
        <v/>
      </c>
      <c r="AT640">
        <f>HYPERLINK("http://www.worldcat.org/oclc/8365918","WorldCat Record")</f>
        <v/>
      </c>
      <c r="AU640" t="inlineStr">
        <is>
          <t>2542113738:eng</t>
        </is>
      </c>
      <c r="AV640" t="inlineStr">
        <is>
          <t>8365918</t>
        </is>
      </c>
      <c r="AW640" t="inlineStr">
        <is>
          <t>991005235079702656</t>
        </is>
      </c>
      <c r="AX640" t="inlineStr">
        <is>
          <t>991005235079702656</t>
        </is>
      </c>
      <c r="AY640" t="inlineStr">
        <is>
          <t>2258416760002656</t>
        </is>
      </c>
      <c r="AZ640" t="inlineStr">
        <is>
          <t>BOOK</t>
        </is>
      </c>
      <c r="BC640" t="inlineStr">
        <is>
          <t>32285000609585</t>
        </is>
      </c>
      <c r="BD640" t="inlineStr">
        <is>
          <t>893713693</t>
        </is>
      </c>
    </row>
    <row r="641">
      <c r="A641" t="inlineStr">
        <is>
          <t>No</t>
        </is>
      </c>
      <c r="B641" t="inlineStr">
        <is>
          <t>BX1754 .G68</t>
        </is>
      </c>
      <c r="C641" t="inlineStr">
        <is>
          <t>0                      BX 1754000G  68</t>
        </is>
      </c>
      <c r="D641" t="inlineStr">
        <is>
          <t>The inner life of the Catholic / by the Most Rev. Alban Goodier.</t>
        </is>
      </c>
      <c r="F641" t="inlineStr">
        <is>
          <t>No</t>
        </is>
      </c>
      <c r="G641" t="inlineStr">
        <is>
          <t>1</t>
        </is>
      </c>
      <c r="H641" t="inlineStr">
        <is>
          <t>No</t>
        </is>
      </c>
      <c r="I641" t="inlineStr">
        <is>
          <t>No</t>
        </is>
      </c>
      <c r="J641" t="inlineStr">
        <is>
          <t>0</t>
        </is>
      </c>
      <c r="K641" t="inlineStr">
        <is>
          <t>Goodier, Alban, 1869-1939.</t>
        </is>
      </c>
      <c r="L641" t="inlineStr">
        <is>
          <t>London, New York [etc.] Longmans, Green and co., 1933.</t>
        </is>
      </c>
      <c r="M641" t="inlineStr">
        <is>
          <t>1933</t>
        </is>
      </c>
      <c r="O641" t="inlineStr">
        <is>
          <t>eng</t>
        </is>
      </c>
      <c r="P641" t="inlineStr">
        <is>
          <t>enk</t>
        </is>
      </c>
      <c r="R641" t="inlineStr">
        <is>
          <t xml:space="preserve">BX </t>
        </is>
      </c>
      <c r="S641" t="n">
        <v>0</v>
      </c>
      <c r="T641" t="n">
        <v>0</v>
      </c>
      <c r="U641" t="inlineStr">
        <is>
          <t>2004-01-27</t>
        </is>
      </c>
      <c r="V641" t="inlineStr">
        <is>
          <t>2004-01-27</t>
        </is>
      </c>
      <c r="W641" t="inlineStr">
        <is>
          <t>1991-05-14</t>
        </is>
      </c>
      <c r="X641" t="inlineStr">
        <is>
          <t>1991-05-14</t>
        </is>
      </c>
      <c r="Y641" t="n">
        <v>112</v>
      </c>
      <c r="Z641" t="n">
        <v>89</v>
      </c>
      <c r="AA641" t="n">
        <v>106</v>
      </c>
      <c r="AB641" t="n">
        <v>2</v>
      </c>
      <c r="AC641" t="n">
        <v>2</v>
      </c>
      <c r="AD641" t="n">
        <v>22</v>
      </c>
      <c r="AE641" t="n">
        <v>25</v>
      </c>
      <c r="AF641" t="n">
        <v>4</v>
      </c>
      <c r="AG641" t="n">
        <v>5</v>
      </c>
      <c r="AH641" t="n">
        <v>5</v>
      </c>
      <c r="AI641" t="n">
        <v>6</v>
      </c>
      <c r="AJ641" t="n">
        <v>18</v>
      </c>
      <c r="AK641" t="n">
        <v>21</v>
      </c>
      <c r="AL641" t="n">
        <v>0</v>
      </c>
      <c r="AM641" t="n">
        <v>0</v>
      </c>
      <c r="AN641" t="n">
        <v>0</v>
      </c>
      <c r="AO641" t="n">
        <v>0</v>
      </c>
      <c r="AP641" t="inlineStr">
        <is>
          <t>No</t>
        </is>
      </c>
      <c r="AQ641" t="inlineStr">
        <is>
          <t>No</t>
        </is>
      </c>
      <c r="AR641">
        <f>HYPERLINK("http://catalog.hathitrust.org/Record/001931787","HathiTrust Record")</f>
        <v/>
      </c>
      <c r="AS641">
        <f>HYPERLINK("https://creighton-primo.hosted.exlibrisgroup.com/primo-explore/search?tab=default_tab&amp;search_scope=EVERYTHING&amp;vid=01CRU&amp;lang=en_US&amp;offset=0&amp;query=any,contains,991005018159702656","Catalog Record")</f>
        <v/>
      </c>
      <c r="AT641">
        <f>HYPERLINK("http://www.worldcat.org/oclc/6631896","WorldCat Record")</f>
        <v/>
      </c>
      <c r="AU641" t="inlineStr">
        <is>
          <t>2339379:eng</t>
        </is>
      </c>
      <c r="AV641" t="inlineStr">
        <is>
          <t>6631896</t>
        </is>
      </c>
      <c r="AW641" t="inlineStr">
        <is>
          <t>991005018159702656</t>
        </is>
      </c>
      <c r="AX641" t="inlineStr">
        <is>
          <t>991005018159702656</t>
        </is>
      </c>
      <c r="AY641" t="inlineStr">
        <is>
          <t>2268826590002656</t>
        </is>
      </c>
      <c r="AZ641" t="inlineStr">
        <is>
          <t>BOOK</t>
        </is>
      </c>
      <c r="BC641" t="inlineStr">
        <is>
          <t>32285000609619</t>
        </is>
      </c>
      <c r="BD641" t="inlineStr">
        <is>
          <t>893338382</t>
        </is>
      </c>
    </row>
    <row r="642">
      <c r="A642" t="inlineStr">
        <is>
          <t>No</t>
        </is>
      </c>
      <c r="B642" t="inlineStr">
        <is>
          <t>BX1754 .G684 1964</t>
        </is>
      </c>
      <c r="C642" t="inlineStr">
        <is>
          <t>0                      BX 1754000G  684         1964</t>
        </is>
      </c>
      <c r="D642" t="inlineStr">
        <is>
          <t>The Catholic Church and you / by William J. Grace ; revised by Francis N. Korth.</t>
        </is>
      </c>
      <c r="F642" t="inlineStr">
        <is>
          <t>No</t>
        </is>
      </c>
      <c r="G642" t="inlineStr">
        <is>
          <t>1</t>
        </is>
      </c>
      <c r="H642" t="inlineStr">
        <is>
          <t>No</t>
        </is>
      </c>
      <c r="I642" t="inlineStr">
        <is>
          <t>No</t>
        </is>
      </c>
      <c r="J642" t="inlineStr">
        <is>
          <t>0</t>
        </is>
      </c>
      <c r="K642" t="inlineStr">
        <is>
          <t>Grace, William J. (William Joseph), 1882-</t>
        </is>
      </c>
      <c r="L642" t="inlineStr">
        <is>
          <t>Milwaukee : Bruce, 1964.</t>
        </is>
      </c>
      <c r="M642" t="inlineStr">
        <is>
          <t>1964</t>
        </is>
      </c>
      <c r="N642" t="inlineStr">
        <is>
          <t>Rev. ed.</t>
        </is>
      </c>
      <c r="O642" t="inlineStr">
        <is>
          <t>eng</t>
        </is>
      </c>
      <c r="P642" t="inlineStr">
        <is>
          <t>wiu</t>
        </is>
      </c>
      <c r="R642" t="inlineStr">
        <is>
          <t xml:space="preserve">BX </t>
        </is>
      </c>
      <c r="S642" t="n">
        <v>1</v>
      </c>
      <c r="T642" t="n">
        <v>1</v>
      </c>
      <c r="U642" t="inlineStr">
        <is>
          <t>1994-11-16</t>
        </is>
      </c>
      <c r="V642" t="inlineStr">
        <is>
          <t>1994-11-16</t>
        </is>
      </c>
      <c r="W642" t="inlineStr">
        <is>
          <t>1991-05-14</t>
        </is>
      </c>
      <c r="X642" t="inlineStr">
        <is>
          <t>1991-05-14</t>
        </is>
      </c>
      <c r="Y642" t="n">
        <v>37</v>
      </c>
      <c r="Z642" t="n">
        <v>34</v>
      </c>
      <c r="AA642" t="n">
        <v>80</v>
      </c>
      <c r="AB642" t="n">
        <v>1</v>
      </c>
      <c r="AC642" t="n">
        <v>1</v>
      </c>
      <c r="AD642" t="n">
        <v>8</v>
      </c>
      <c r="AE642" t="n">
        <v>19</v>
      </c>
      <c r="AF642" t="n">
        <v>1</v>
      </c>
      <c r="AG642" t="n">
        <v>4</v>
      </c>
      <c r="AH642" t="n">
        <v>3</v>
      </c>
      <c r="AI642" t="n">
        <v>6</v>
      </c>
      <c r="AJ642" t="n">
        <v>7</v>
      </c>
      <c r="AK642" t="n">
        <v>15</v>
      </c>
      <c r="AL642" t="n">
        <v>0</v>
      </c>
      <c r="AM642" t="n">
        <v>0</v>
      </c>
      <c r="AN642" t="n">
        <v>0</v>
      </c>
      <c r="AO642" t="n">
        <v>0</v>
      </c>
      <c r="AP642" t="inlineStr">
        <is>
          <t>No</t>
        </is>
      </c>
      <c r="AQ642" t="inlineStr">
        <is>
          <t>No</t>
        </is>
      </c>
      <c r="AS642">
        <f>HYPERLINK("https://creighton-primo.hosted.exlibrisgroup.com/primo-explore/search?tab=default_tab&amp;search_scope=EVERYTHING&amp;vid=01CRU&amp;lang=en_US&amp;offset=0&amp;query=any,contains,991004309979702656","Catalog Record")</f>
        <v/>
      </c>
      <c r="AT642">
        <f>HYPERLINK("http://www.worldcat.org/oclc/2988502","WorldCat Record")</f>
        <v/>
      </c>
      <c r="AU642" t="inlineStr">
        <is>
          <t>7167305:eng</t>
        </is>
      </c>
      <c r="AV642" t="inlineStr">
        <is>
          <t>2988502</t>
        </is>
      </c>
      <c r="AW642" t="inlineStr">
        <is>
          <t>991004309979702656</t>
        </is>
      </c>
      <c r="AX642" t="inlineStr">
        <is>
          <t>991004309979702656</t>
        </is>
      </c>
      <c r="AY642" t="inlineStr">
        <is>
          <t>2263399840002656</t>
        </is>
      </c>
      <c r="AZ642" t="inlineStr">
        <is>
          <t>BOOK</t>
        </is>
      </c>
      <c r="BC642" t="inlineStr">
        <is>
          <t>32285000609700</t>
        </is>
      </c>
      <c r="BD642" t="inlineStr">
        <is>
          <t>893612198</t>
        </is>
      </c>
    </row>
    <row r="643">
      <c r="A643" t="inlineStr">
        <is>
          <t>No</t>
        </is>
      </c>
      <c r="B643" t="inlineStr">
        <is>
          <t>BX1754 .G6845</t>
        </is>
      </c>
      <c r="C643" t="inlineStr">
        <is>
          <t>0                      BX 1754000G  6845</t>
        </is>
      </c>
      <c r="D643" t="inlineStr">
        <is>
          <t>Adult Christianity / [by] Hilda Graef.</t>
        </is>
      </c>
      <c r="F643" t="inlineStr">
        <is>
          <t>No</t>
        </is>
      </c>
      <c r="G643" t="inlineStr">
        <is>
          <t>1</t>
        </is>
      </c>
      <c r="H643" t="inlineStr">
        <is>
          <t>No</t>
        </is>
      </c>
      <c r="I643" t="inlineStr">
        <is>
          <t>No</t>
        </is>
      </c>
      <c r="J643" t="inlineStr">
        <is>
          <t>0</t>
        </is>
      </c>
      <c r="K643" t="inlineStr">
        <is>
          <t>Graef, Hilda C.</t>
        </is>
      </c>
      <c r="L643" t="inlineStr">
        <is>
          <t>Chicago, Franciscan Herald Press [1965]</t>
        </is>
      </c>
      <c r="M643" t="inlineStr">
        <is>
          <t>1965</t>
        </is>
      </c>
      <c r="O643" t="inlineStr">
        <is>
          <t>eng</t>
        </is>
      </c>
      <c r="P643" t="inlineStr">
        <is>
          <t>ilu</t>
        </is>
      </c>
      <c r="R643" t="inlineStr">
        <is>
          <t xml:space="preserve">BX </t>
        </is>
      </c>
      <c r="S643" t="n">
        <v>1</v>
      </c>
      <c r="T643" t="n">
        <v>1</v>
      </c>
      <c r="U643" t="inlineStr">
        <is>
          <t>1994-02-01</t>
        </is>
      </c>
      <c r="V643" t="inlineStr">
        <is>
          <t>1994-02-01</t>
        </is>
      </c>
      <c r="W643" t="inlineStr">
        <is>
          <t>1991-05-14</t>
        </is>
      </c>
      <c r="X643" t="inlineStr">
        <is>
          <t>1991-05-14</t>
        </is>
      </c>
      <c r="Y643" t="n">
        <v>162</v>
      </c>
      <c r="Z643" t="n">
        <v>147</v>
      </c>
      <c r="AA643" t="n">
        <v>187</v>
      </c>
      <c r="AB643" t="n">
        <v>3</v>
      </c>
      <c r="AC643" t="n">
        <v>3</v>
      </c>
      <c r="AD643" t="n">
        <v>21</v>
      </c>
      <c r="AE643" t="n">
        <v>26</v>
      </c>
      <c r="AF643" t="n">
        <v>7</v>
      </c>
      <c r="AG643" t="n">
        <v>9</v>
      </c>
      <c r="AH643" t="n">
        <v>6</v>
      </c>
      <c r="AI643" t="n">
        <v>7</v>
      </c>
      <c r="AJ643" t="n">
        <v>19</v>
      </c>
      <c r="AK643" t="n">
        <v>22</v>
      </c>
      <c r="AL643" t="n">
        <v>0</v>
      </c>
      <c r="AM643" t="n">
        <v>0</v>
      </c>
      <c r="AN643" t="n">
        <v>0</v>
      </c>
      <c r="AO643" t="n">
        <v>0</v>
      </c>
      <c r="AP643" t="inlineStr">
        <is>
          <t>No</t>
        </is>
      </c>
      <c r="AQ643" t="inlineStr">
        <is>
          <t>No</t>
        </is>
      </c>
      <c r="AS643">
        <f>HYPERLINK("https://creighton-primo.hosted.exlibrisgroup.com/primo-explore/search?tab=default_tab&amp;search_scope=EVERYTHING&amp;vid=01CRU&amp;lang=en_US&amp;offset=0&amp;query=any,contains,991003436979702656","Catalog Record")</f>
        <v/>
      </c>
      <c r="AT643">
        <f>HYPERLINK("http://www.worldcat.org/oclc/972553","WorldCat Record")</f>
        <v/>
      </c>
      <c r="AU643" t="inlineStr">
        <is>
          <t>1930993:eng</t>
        </is>
      </c>
      <c r="AV643" t="inlineStr">
        <is>
          <t>972553</t>
        </is>
      </c>
      <c r="AW643" t="inlineStr">
        <is>
          <t>991003436979702656</t>
        </is>
      </c>
      <c r="AX643" t="inlineStr">
        <is>
          <t>991003436979702656</t>
        </is>
      </c>
      <c r="AY643" t="inlineStr">
        <is>
          <t>2258903620002656</t>
        </is>
      </c>
      <c r="AZ643" t="inlineStr">
        <is>
          <t>BOOK</t>
        </is>
      </c>
      <c r="BC643" t="inlineStr">
        <is>
          <t>32285000609635</t>
        </is>
      </c>
      <c r="BD643" t="inlineStr">
        <is>
          <t>893781012</t>
        </is>
      </c>
    </row>
    <row r="644">
      <c r="A644" t="inlineStr">
        <is>
          <t>No</t>
        </is>
      </c>
      <c r="B644" t="inlineStr">
        <is>
          <t>BX1754 .G698</t>
        </is>
      </c>
      <c r="C644" t="inlineStr">
        <is>
          <t>0                      BX 1754000G  698</t>
        </is>
      </c>
      <c r="D644" t="inlineStr">
        <is>
          <t>Everything you wanted to know about the Catholic Church but were too pious to ask / by Andrew M. Greeley.</t>
        </is>
      </c>
      <c r="F644" t="inlineStr">
        <is>
          <t>No</t>
        </is>
      </c>
      <c r="G644" t="inlineStr">
        <is>
          <t>1</t>
        </is>
      </c>
      <c r="H644" t="inlineStr">
        <is>
          <t>No</t>
        </is>
      </c>
      <c r="I644" t="inlineStr">
        <is>
          <t>No</t>
        </is>
      </c>
      <c r="J644" t="inlineStr">
        <is>
          <t>0</t>
        </is>
      </c>
      <c r="K644" t="inlineStr">
        <is>
          <t>Greeley, Andrew M., 1928-2013.</t>
        </is>
      </c>
      <c r="L644" t="inlineStr">
        <is>
          <t>Chicago : Thomas More Press, c1978.</t>
        </is>
      </c>
      <c r="M644" t="inlineStr">
        <is>
          <t>1978</t>
        </is>
      </c>
      <c r="O644" t="inlineStr">
        <is>
          <t>eng</t>
        </is>
      </c>
      <c r="P644" t="inlineStr">
        <is>
          <t>ilu</t>
        </is>
      </c>
      <c r="R644" t="inlineStr">
        <is>
          <t xml:space="preserve">BX </t>
        </is>
      </c>
      <c r="S644" t="n">
        <v>4</v>
      </c>
      <c r="T644" t="n">
        <v>4</v>
      </c>
      <c r="U644" t="inlineStr">
        <is>
          <t>1994-02-23</t>
        </is>
      </c>
      <c r="V644" t="inlineStr">
        <is>
          <t>1994-02-23</t>
        </is>
      </c>
      <c r="W644" t="inlineStr">
        <is>
          <t>1990-06-26</t>
        </is>
      </c>
      <c r="X644" t="inlineStr">
        <is>
          <t>1990-06-26</t>
        </is>
      </c>
      <c r="Y644" t="n">
        <v>306</v>
      </c>
      <c r="Z644" t="n">
        <v>281</v>
      </c>
      <c r="AA644" t="n">
        <v>372</v>
      </c>
      <c r="AB644" t="n">
        <v>3</v>
      </c>
      <c r="AC644" t="n">
        <v>3</v>
      </c>
      <c r="AD644" t="n">
        <v>21</v>
      </c>
      <c r="AE644" t="n">
        <v>26</v>
      </c>
      <c r="AF644" t="n">
        <v>6</v>
      </c>
      <c r="AG644" t="n">
        <v>9</v>
      </c>
      <c r="AH644" t="n">
        <v>3</v>
      </c>
      <c r="AI644" t="n">
        <v>5</v>
      </c>
      <c r="AJ644" t="n">
        <v>16</v>
      </c>
      <c r="AK644" t="n">
        <v>17</v>
      </c>
      <c r="AL644" t="n">
        <v>1</v>
      </c>
      <c r="AM644" t="n">
        <v>1</v>
      </c>
      <c r="AN644" t="n">
        <v>0</v>
      </c>
      <c r="AO644" t="n">
        <v>0</v>
      </c>
      <c r="AP644" t="inlineStr">
        <is>
          <t>No</t>
        </is>
      </c>
      <c r="AQ644" t="inlineStr">
        <is>
          <t>No</t>
        </is>
      </c>
      <c r="AS644">
        <f>HYPERLINK("https://creighton-primo.hosted.exlibrisgroup.com/primo-explore/search?tab=default_tab&amp;search_scope=EVERYTHING&amp;vid=01CRU&amp;lang=en_US&amp;offset=0&amp;query=any,contains,991004580619702656","Catalog Record")</f>
        <v/>
      </c>
      <c r="AT644">
        <f>HYPERLINK("http://www.worldcat.org/oclc/4057218","WorldCat Record")</f>
        <v/>
      </c>
      <c r="AU644" t="inlineStr">
        <is>
          <t>13742889:eng</t>
        </is>
      </c>
      <c r="AV644" t="inlineStr">
        <is>
          <t>4057218</t>
        </is>
      </c>
      <c r="AW644" t="inlineStr">
        <is>
          <t>991004580619702656</t>
        </is>
      </c>
      <c r="AX644" t="inlineStr">
        <is>
          <t>991004580619702656</t>
        </is>
      </c>
      <c r="AY644" t="inlineStr">
        <is>
          <t>2269786070002656</t>
        </is>
      </c>
      <c r="AZ644" t="inlineStr">
        <is>
          <t>BOOK</t>
        </is>
      </c>
      <c r="BB644" t="inlineStr">
        <is>
          <t>9780883470862</t>
        </is>
      </c>
      <c r="BC644" t="inlineStr">
        <is>
          <t>32285000215110</t>
        </is>
      </c>
      <c r="BD644" t="inlineStr">
        <is>
          <t>893353457</t>
        </is>
      </c>
    </row>
    <row r="645">
      <c r="A645" t="inlineStr">
        <is>
          <t>No</t>
        </is>
      </c>
      <c r="B645" t="inlineStr">
        <is>
          <t>BX1754 .H18</t>
        </is>
      </c>
      <c r="C645" t="inlineStr">
        <is>
          <t>0                      BX 1754000H  18</t>
        </is>
      </c>
      <c r="D645" t="inlineStr">
        <is>
          <t>What is Catholicity? / Paul H. Hallett.</t>
        </is>
      </c>
      <c r="F645" t="inlineStr">
        <is>
          <t>No</t>
        </is>
      </c>
      <c r="G645" t="inlineStr">
        <is>
          <t>1</t>
        </is>
      </c>
      <c r="H645" t="inlineStr">
        <is>
          <t>No</t>
        </is>
      </c>
      <c r="I645" t="inlineStr">
        <is>
          <t>No</t>
        </is>
      </c>
      <c r="J645" t="inlineStr">
        <is>
          <t>0</t>
        </is>
      </c>
      <c r="K645" t="inlineStr">
        <is>
          <t>Hallett, Paul H.</t>
        </is>
      </c>
      <c r="L645" t="inlineStr">
        <is>
          <t>Cleveland, World Pub. Co. [1955]</t>
        </is>
      </c>
      <c r="M645" t="inlineStr">
        <is>
          <t>1955</t>
        </is>
      </c>
      <c r="N645" t="inlineStr">
        <is>
          <t>[1st ed.]</t>
        </is>
      </c>
      <c r="O645" t="inlineStr">
        <is>
          <t>eng</t>
        </is>
      </c>
      <c r="P645" t="inlineStr">
        <is>
          <t>ohu</t>
        </is>
      </c>
      <c r="R645" t="inlineStr">
        <is>
          <t xml:space="preserve">BX </t>
        </is>
      </c>
      <c r="S645" t="n">
        <v>1</v>
      </c>
      <c r="T645" t="n">
        <v>1</v>
      </c>
      <c r="U645" t="inlineStr">
        <is>
          <t>1993-11-30</t>
        </is>
      </c>
      <c r="V645" t="inlineStr">
        <is>
          <t>1993-11-30</t>
        </is>
      </c>
      <c r="W645" t="inlineStr">
        <is>
          <t>1991-05-14</t>
        </is>
      </c>
      <c r="X645" t="inlineStr">
        <is>
          <t>1991-05-14</t>
        </is>
      </c>
      <c r="Y645" t="n">
        <v>165</v>
      </c>
      <c r="Z645" t="n">
        <v>141</v>
      </c>
      <c r="AA645" t="n">
        <v>142</v>
      </c>
      <c r="AB645" t="n">
        <v>3</v>
      </c>
      <c r="AC645" t="n">
        <v>3</v>
      </c>
      <c r="AD645" t="n">
        <v>21</v>
      </c>
      <c r="AE645" t="n">
        <v>21</v>
      </c>
      <c r="AF645" t="n">
        <v>5</v>
      </c>
      <c r="AG645" t="n">
        <v>5</v>
      </c>
      <c r="AH645" t="n">
        <v>7</v>
      </c>
      <c r="AI645" t="n">
        <v>7</v>
      </c>
      <c r="AJ645" t="n">
        <v>15</v>
      </c>
      <c r="AK645" t="n">
        <v>15</v>
      </c>
      <c r="AL645" t="n">
        <v>0</v>
      </c>
      <c r="AM645" t="n">
        <v>0</v>
      </c>
      <c r="AN645" t="n">
        <v>0</v>
      </c>
      <c r="AO645" t="n">
        <v>0</v>
      </c>
      <c r="AP645" t="inlineStr">
        <is>
          <t>No</t>
        </is>
      </c>
      <c r="AQ645" t="inlineStr">
        <is>
          <t>No</t>
        </is>
      </c>
      <c r="AS645">
        <f>HYPERLINK("https://creighton-primo.hosted.exlibrisgroup.com/primo-explore/search?tab=default_tab&amp;search_scope=EVERYTHING&amp;vid=01CRU&amp;lang=en_US&amp;offset=0&amp;query=any,contains,991003332689702656","Catalog Record")</f>
        <v/>
      </c>
      <c r="AT645">
        <f>HYPERLINK("http://www.worldcat.org/oclc/864354","WorldCat Record")</f>
        <v/>
      </c>
      <c r="AU645" t="inlineStr">
        <is>
          <t>66972207:eng</t>
        </is>
      </c>
      <c r="AV645" t="inlineStr">
        <is>
          <t>864354</t>
        </is>
      </c>
      <c r="AW645" t="inlineStr">
        <is>
          <t>991003332689702656</t>
        </is>
      </c>
      <c r="AX645" t="inlineStr">
        <is>
          <t>991003332689702656</t>
        </is>
      </c>
      <c r="AY645" t="inlineStr">
        <is>
          <t>2266222760002656</t>
        </is>
      </c>
      <c r="AZ645" t="inlineStr">
        <is>
          <t>BOOK</t>
        </is>
      </c>
      <c r="BC645" t="inlineStr">
        <is>
          <t>32285000609726</t>
        </is>
      </c>
      <c r="BD645" t="inlineStr">
        <is>
          <t>893887371</t>
        </is>
      </c>
    </row>
    <row r="646">
      <c r="A646" t="inlineStr">
        <is>
          <t>No</t>
        </is>
      </c>
      <c r="B646" t="inlineStr">
        <is>
          <t>BX1754 .K5195 1964</t>
        </is>
      </c>
      <c r="C646" t="inlineStr">
        <is>
          <t>0                      BX 1754000K  5195        1964</t>
        </is>
      </c>
      <c r="D646" t="inlineStr">
        <is>
          <t>The wall between us : a Protestant-Catholic dialogue / by Betty King and Lorraine Juliana. With a foreword by Dale Francis.</t>
        </is>
      </c>
      <c r="F646" t="inlineStr">
        <is>
          <t>No</t>
        </is>
      </c>
      <c r="G646" t="inlineStr">
        <is>
          <t>1</t>
        </is>
      </c>
      <c r="H646" t="inlineStr">
        <is>
          <t>No</t>
        </is>
      </c>
      <c r="I646" t="inlineStr">
        <is>
          <t>No</t>
        </is>
      </c>
      <c r="J646" t="inlineStr">
        <is>
          <t>0</t>
        </is>
      </c>
      <c r="K646" t="inlineStr">
        <is>
          <t>King, Betty.</t>
        </is>
      </c>
      <c r="L646" t="inlineStr">
        <is>
          <t>Milwaukee : Bruce Pub. Co., [1964]</t>
        </is>
      </c>
      <c r="M646" t="inlineStr">
        <is>
          <t>1964</t>
        </is>
      </c>
      <c r="O646" t="inlineStr">
        <is>
          <t>eng</t>
        </is>
      </c>
      <c r="P646" t="inlineStr">
        <is>
          <t>___</t>
        </is>
      </c>
      <c r="R646" t="inlineStr">
        <is>
          <t xml:space="preserve">BX </t>
        </is>
      </c>
      <c r="S646" t="n">
        <v>4</v>
      </c>
      <c r="T646" t="n">
        <v>4</v>
      </c>
      <c r="U646" t="inlineStr">
        <is>
          <t>1997-04-08</t>
        </is>
      </c>
      <c r="V646" t="inlineStr">
        <is>
          <t>1997-04-08</t>
        </is>
      </c>
      <c r="W646" t="inlineStr">
        <is>
          <t>1991-05-14</t>
        </is>
      </c>
      <c r="X646" t="inlineStr">
        <is>
          <t>1991-05-14</t>
        </is>
      </c>
      <c r="Y646" t="n">
        <v>273</v>
      </c>
      <c r="Z646" t="n">
        <v>250</v>
      </c>
      <c r="AA646" t="n">
        <v>252</v>
      </c>
      <c r="AB646" t="n">
        <v>2</v>
      </c>
      <c r="AC646" t="n">
        <v>2</v>
      </c>
      <c r="AD646" t="n">
        <v>22</v>
      </c>
      <c r="AE646" t="n">
        <v>22</v>
      </c>
      <c r="AF646" t="n">
        <v>6</v>
      </c>
      <c r="AG646" t="n">
        <v>6</v>
      </c>
      <c r="AH646" t="n">
        <v>4</v>
      </c>
      <c r="AI646" t="n">
        <v>4</v>
      </c>
      <c r="AJ646" t="n">
        <v>17</v>
      </c>
      <c r="AK646" t="n">
        <v>17</v>
      </c>
      <c r="AL646" t="n">
        <v>1</v>
      </c>
      <c r="AM646" t="n">
        <v>1</v>
      </c>
      <c r="AN646" t="n">
        <v>0</v>
      </c>
      <c r="AO646" t="n">
        <v>0</v>
      </c>
      <c r="AP646" t="inlineStr">
        <is>
          <t>No</t>
        </is>
      </c>
      <c r="AQ646" t="inlineStr">
        <is>
          <t>No</t>
        </is>
      </c>
      <c r="AS646">
        <f>HYPERLINK("https://creighton-primo.hosted.exlibrisgroup.com/primo-explore/search?tab=default_tab&amp;search_scope=EVERYTHING&amp;vid=01CRU&amp;lang=en_US&amp;offset=0&amp;query=any,contains,991003685779702656","Catalog Record")</f>
        <v/>
      </c>
      <c r="AT646">
        <f>HYPERLINK("http://www.worldcat.org/oclc/1313978","WorldCat Record")</f>
        <v/>
      </c>
      <c r="AU646" t="inlineStr">
        <is>
          <t>181221034:eng</t>
        </is>
      </c>
      <c r="AV646" t="inlineStr">
        <is>
          <t>1313978</t>
        </is>
      </c>
      <c r="AW646" t="inlineStr">
        <is>
          <t>991003685779702656</t>
        </is>
      </c>
      <c r="AX646" t="inlineStr">
        <is>
          <t>991003685779702656</t>
        </is>
      </c>
      <c r="AY646" t="inlineStr">
        <is>
          <t>2257683510002656</t>
        </is>
      </c>
      <c r="AZ646" t="inlineStr">
        <is>
          <t>BOOK</t>
        </is>
      </c>
      <c r="BC646" t="inlineStr">
        <is>
          <t>32285000609759</t>
        </is>
      </c>
      <c r="BD646" t="inlineStr">
        <is>
          <t>893900251</t>
        </is>
      </c>
    </row>
    <row r="647">
      <c r="A647" t="inlineStr">
        <is>
          <t>No</t>
        </is>
      </c>
      <c r="B647" t="inlineStr">
        <is>
          <t>BX1754 .L4</t>
        </is>
      </c>
      <c r="C647" t="inlineStr">
        <is>
          <t>0                      BX 1754000L  4</t>
        </is>
      </c>
      <c r="D647" t="inlineStr">
        <is>
          <t>Judaism and Catholicism / by Rosalie Marie Levy.</t>
        </is>
      </c>
      <c r="F647" t="inlineStr">
        <is>
          <t>No</t>
        </is>
      </c>
      <c r="G647" t="inlineStr">
        <is>
          <t>1</t>
        </is>
      </c>
      <c r="H647" t="inlineStr">
        <is>
          <t>No</t>
        </is>
      </c>
      <c r="I647" t="inlineStr">
        <is>
          <t>No</t>
        </is>
      </c>
      <c r="J647" t="inlineStr">
        <is>
          <t>0</t>
        </is>
      </c>
      <c r="K647" t="inlineStr">
        <is>
          <t>Levy, Rosalie Marie, 1889-</t>
        </is>
      </c>
      <c r="L647" t="inlineStr">
        <is>
          <t>New York, Rosalie Marie Levy, [c.1927]</t>
        </is>
      </c>
      <c r="M647" t="inlineStr">
        <is>
          <t>1927</t>
        </is>
      </c>
      <c r="O647" t="inlineStr">
        <is>
          <t>eng</t>
        </is>
      </c>
      <c r="P647" t="inlineStr">
        <is>
          <t>___</t>
        </is>
      </c>
      <c r="R647" t="inlineStr">
        <is>
          <t xml:space="preserve">BX </t>
        </is>
      </c>
      <c r="S647" t="n">
        <v>5</v>
      </c>
      <c r="T647" t="n">
        <v>5</v>
      </c>
      <c r="U647" t="inlineStr">
        <is>
          <t>1993-04-20</t>
        </is>
      </c>
      <c r="V647" t="inlineStr">
        <is>
          <t>1993-04-20</t>
        </is>
      </c>
      <c r="W647" t="inlineStr">
        <is>
          <t>1991-05-14</t>
        </is>
      </c>
      <c r="X647" t="inlineStr">
        <is>
          <t>1991-05-14</t>
        </is>
      </c>
      <c r="Y647" t="n">
        <v>62</v>
      </c>
      <c r="Z647" t="n">
        <v>57</v>
      </c>
      <c r="AA647" t="n">
        <v>64</v>
      </c>
      <c r="AB647" t="n">
        <v>1</v>
      </c>
      <c r="AC647" t="n">
        <v>1</v>
      </c>
      <c r="AD647" t="n">
        <v>17</v>
      </c>
      <c r="AE647" t="n">
        <v>17</v>
      </c>
      <c r="AF647" t="n">
        <v>3</v>
      </c>
      <c r="AG647" t="n">
        <v>3</v>
      </c>
      <c r="AH647" t="n">
        <v>6</v>
      </c>
      <c r="AI647" t="n">
        <v>6</v>
      </c>
      <c r="AJ647" t="n">
        <v>13</v>
      </c>
      <c r="AK647" t="n">
        <v>13</v>
      </c>
      <c r="AL647" t="n">
        <v>0</v>
      </c>
      <c r="AM647" t="n">
        <v>0</v>
      </c>
      <c r="AN647" t="n">
        <v>0</v>
      </c>
      <c r="AO647" t="n">
        <v>0</v>
      </c>
      <c r="AP647" t="inlineStr">
        <is>
          <t>Yes</t>
        </is>
      </c>
      <c r="AQ647" t="inlineStr">
        <is>
          <t>No</t>
        </is>
      </c>
      <c r="AR647">
        <f>HYPERLINK("http://catalog.hathitrust.org/Record/102743600","HathiTrust Record")</f>
        <v/>
      </c>
      <c r="AS647">
        <f>HYPERLINK("https://creighton-primo.hosted.exlibrisgroup.com/primo-explore/search?tab=default_tab&amp;search_scope=EVERYTHING&amp;vid=01CRU&amp;lang=en_US&amp;offset=0&amp;query=any,contains,991003190689702656","Catalog Record")</f>
        <v/>
      </c>
      <c r="AT647">
        <f>HYPERLINK("http://www.worldcat.org/oclc/715855","WorldCat Record")</f>
        <v/>
      </c>
      <c r="AU647" t="inlineStr">
        <is>
          <t>1685475:eng</t>
        </is>
      </c>
      <c r="AV647" t="inlineStr">
        <is>
          <t>715855</t>
        </is>
      </c>
      <c r="AW647" t="inlineStr">
        <is>
          <t>991003190689702656</t>
        </is>
      </c>
      <c r="AX647" t="inlineStr">
        <is>
          <t>991003190689702656</t>
        </is>
      </c>
      <c r="AY647" t="inlineStr">
        <is>
          <t>2255452890002656</t>
        </is>
      </c>
      <c r="AZ647" t="inlineStr">
        <is>
          <t>BOOK</t>
        </is>
      </c>
      <c r="BC647" t="inlineStr">
        <is>
          <t>32285000609783</t>
        </is>
      </c>
      <c r="BD647" t="inlineStr">
        <is>
          <t>893686270</t>
        </is>
      </c>
    </row>
    <row r="648">
      <c r="A648" t="inlineStr">
        <is>
          <t>No</t>
        </is>
      </c>
      <c r="B648" t="inlineStr">
        <is>
          <t>BX1754 .M67</t>
        </is>
      </c>
      <c r="C648" t="inlineStr">
        <is>
          <t>0                      BX 1754000M  67</t>
        </is>
      </c>
      <c r="D648" t="inlineStr">
        <is>
          <t>God is a new language / Sebastian Moore.</t>
        </is>
      </c>
      <c r="F648" t="inlineStr">
        <is>
          <t>No</t>
        </is>
      </c>
      <c r="G648" t="inlineStr">
        <is>
          <t>1</t>
        </is>
      </c>
      <c r="H648" t="inlineStr">
        <is>
          <t>No</t>
        </is>
      </c>
      <c r="I648" t="inlineStr">
        <is>
          <t>No</t>
        </is>
      </c>
      <c r="J648" t="inlineStr">
        <is>
          <t>0</t>
        </is>
      </c>
      <c r="K648" t="inlineStr">
        <is>
          <t>Moore, Sebastian, 1917-2014.</t>
        </is>
      </c>
      <c r="L648" t="inlineStr">
        <is>
          <t>Westminster, Md., Newman Press [1967]</t>
        </is>
      </c>
      <c r="M648" t="inlineStr">
        <is>
          <t>1967</t>
        </is>
      </c>
      <c r="O648" t="inlineStr">
        <is>
          <t>eng</t>
        </is>
      </c>
      <c r="P648" t="inlineStr">
        <is>
          <t>mdu</t>
        </is>
      </c>
      <c r="R648" t="inlineStr">
        <is>
          <t xml:space="preserve">BX </t>
        </is>
      </c>
      <c r="S648" t="n">
        <v>6</v>
      </c>
      <c r="T648" t="n">
        <v>6</v>
      </c>
      <c r="U648" t="inlineStr">
        <is>
          <t>2007-03-26</t>
        </is>
      </c>
      <c r="V648" t="inlineStr">
        <is>
          <t>2007-03-26</t>
        </is>
      </c>
      <c r="W648" t="inlineStr">
        <is>
          <t>1991-05-14</t>
        </is>
      </c>
      <c r="X648" t="inlineStr">
        <is>
          <t>1991-05-14</t>
        </is>
      </c>
      <c r="Y648" t="n">
        <v>317</v>
      </c>
      <c r="Z648" t="n">
        <v>281</v>
      </c>
      <c r="AA648" t="n">
        <v>312</v>
      </c>
      <c r="AB648" t="n">
        <v>4</v>
      </c>
      <c r="AC648" t="n">
        <v>4</v>
      </c>
      <c r="AD648" t="n">
        <v>34</v>
      </c>
      <c r="AE648" t="n">
        <v>35</v>
      </c>
      <c r="AF648" t="n">
        <v>12</v>
      </c>
      <c r="AG648" t="n">
        <v>12</v>
      </c>
      <c r="AH648" t="n">
        <v>8</v>
      </c>
      <c r="AI648" t="n">
        <v>8</v>
      </c>
      <c r="AJ648" t="n">
        <v>24</v>
      </c>
      <c r="AK648" t="n">
        <v>25</v>
      </c>
      <c r="AL648" t="n">
        <v>2</v>
      </c>
      <c r="AM648" t="n">
        <v>2</v>
      </c>
      <c r="AN648" t="n">
        <v>0</v>
      </c>
      <c r="AO648" t="n">
        <v>0</v>
      </c>
      <c r="AP648" t="inlineStr">
        <is>
          <t>No</t>
        </is>
      </c>
      <c r="AQ648" t="inlineStr">
        <is>
          <t>No</t>
        </is>
      </c>
      <c r="AS648">
        <f>HYPERLINK("https://creighton-primo.hosted.exlibrisgroup.com/primo-explore/search?tab=default_tab&amp;search_scope=EVERYTHING&amp;vid=01CRU&amp;lang=en_US&amp;offset=0&amp;query=any,contains,991002967699702656","Catalog Record")</f>
        <v/>
      </c>
      <c r="AT648">
        <f>HYPERLINK("http://www.worldcat.org/oclc/546827","WorldCat Record")</f>
        <v/>
      </c>
      <c r="AU648" t="inlineStr">
        <is>
          <t>1579991:eng</t>
        </is>
      </c>
      <c r="AV648" t="inlineStr">
        <is>
          <t>546827</t>
        </is>
      </c>
      <c r="AW648" t="inlineStr">
        <is>
          <t>991002967699702656</t>
        </is>
      </c>
      <c r="AX648" t="inlineStr">
        <is>
          <t>991002967699702656</t>
        </is>
      </c>
      <c r="AY648" t="inlineStr">
        <is>
          <t>2265027980002656</t>
        </is>
      </c>
      <c r="AZ648" t="inlineStr">
        <is>
          <t>BOOK</t>
        </is>
      </c>
      <c r="BC648" t="inlineStr">
        <is>
          <t>32285000609817</t>
        </is>
      </c>
      <c r="BD648" t="inlineStr">
        <is>
          <t>893428285</t>
        </is>
      </c>
    </row>
    <row r="649">
      <c r="A649" t="inlineStr">
        <is>
          <t>No</t>
        </is>
      </c>
      <c r="B649" t="inlineStr">
        <is>
          <t>BX1754 .O17</t>
        </is>
      </c>
      <c r="C649" t="inlineStr">
        <is>
          <t>0                      BX 1754000O  17</t>
        </is>
      </c>
      <c r="D649" t="inlineStr">
        <is>
          <t>The Catholic way of life / by John A. O'Brien.</t>
        </is>
      </c>
      <c r="F649" t="inlineStr">
        <is>
          <t>No</t>
        </is>
      </c>
      <c r="G649" t="inlineStr">
        <is>
          <t>1</t>
        </is>
      </c>
      <c r="H649" t="inlineStr">
        <is>
          <t>No</t>
        </is>
      </c>
      <c r="I649" t="inlineStr">
        <is>
          <t>No</t>
        </is>
      </c>
      <c r="J649" t="inlineStr">
        <is>
          <t>0</t>
        </is>
      </c>
      <c r="K649" t="inlineStr">
        <is>
          <t>O'Brien, John A. (John Anthony), 1893-1980.</t>
        </is>
      </c>
      <c r="L649" t="inlineStr">
        <is>
          <t>Englewood Cliffs, N. J., Prentice-Hall [1962]</t>
        </is>
      </c>
      <c r="M649" t="inlineStr">
        <is>
          <t>1962</t>
        </is>
      </c>
      <c r="O649" t="inlineStr">
        <is>
          <t>eng</t>
        </is>
      </c>
      <c r="P649" t="inlineStr">
        <is>
          <t>___</t>
        </is>
      </c>
      <c r="R649" t="inlineStr">
        <is>
          <t xml:space="preserve">BX </t>
        </is>
      </c>
      <c r="S649" t="n">
        <v>4</v>
      </c>
      <c r="T649" t="n">
        <v>4</v>
      </c>
      <c r="U649" t="inlineStr">
        <is>
          <t>1997-09-23</t>
        </is>
      </c>
      <c r="V649" t="inlineStr">
        <is>
          <t>1997-09-23</t>
        </is>
      </c>
      <c r="W649" t="inlineStr">
        <is>
          <t>1992-06-09</t>
        </is>
      </c>
      <c r="X649" t="inlineStr">
        <is>
          <t>1992-06-09</t>
        </is>
      </c>
      <c r="Y649" t="n">
        <v>178</v>
      </c>
      <c r="Z649" t="n">
        <v>168</v>
      </c>
      <c r="AA649" t="n">
        <v>185</v>
      </c>
      <c r="AB649" t="n">
        <v>3</v>
      </c>
      <c r="AC649" t="n">
        <v>3</v>
      </c>
      <c r="AD649" t="n">
        <v>12</v>
      </c>
      <c r="AE649" t="n">
        <v>13</v>
      </c>
      <c r="AF649" t="n">
        <v>4</v>
      </c>
      <c r="AG649" t="n">
        <v>4</v>
      </c>
      <c r="AH649" t="n">
        <v>3</v>
      </c>
      <c r="AI649" t="n">
        <v>3</v>
      </c>
      <c r="AJ649" t="n">
        <v>9</v>
      </c>
      <c r="AK649" t="n">
        <v>10</v>
      </c>
      <c r="AL649" t="n">
        <v>0</v>
      </c>
      <c r="AM649" t="n">
        <v>0</v>
      </c>
      <c r="AN649" t="n">
        <v>0</v>
      </c>
      <c r="AO649" t="n">
        <v>0</v>
      </c>
      <c r="AP649" t="inlineStr">
        <is>
          <t>No</t>
        </is>
      </c>
      <c r="AQ649" t="inlineStr">
        <is>
          <t>No</t>
        </is>
      </c>
      <c r="AS649">
        <f>HYPERLINK("https://creighton-primo.hosted.exlibrisgroup.com/primo-explore/search?tab=default_tab&amp;search_scope=EVERYTHING&amp;vid=01CRU&amp;lang=en_US&amp;offset=0&amp;query=any,contains,991003749469702656","Catalog Record")</f>
        <v/>
      </c>
      <c r="AT649">
        <f>HYPERLINK("http://www.worldcat.org/oclc/1423576","WorldCat Record")</f>
        <v/>
      </c>
      <c r="AU649" t="inlineStr">
        <is>
          <t>2293296:eng</t>
        </is>
      </c>
      <c r="AV649" t="inlineStr">
        <is>
          <t>1423576</t>
        </is>
      </c>
      <c r="AW649" t="inlineStr">
        <is>
          <t>991003749469702656</t>
        </is>
      </c>
      <c r="AX649" t="inlineStr">
        <is>
          <t>991003749469702656</t>
        </is>
      </c>
      <c r="AY649" t="inlineStr">
        <is>
          <t>2269515070002656</t>
        </is>
      </c>
      <c r="AZ649" t="inlineStr">
        <is>
          <t>BOOK</t>
        </is>
      </c>
      <c r="BC649" t="inlineStr">
        <is>
          <t>32285001074656</t>
        </is>
      </c>
      <c r="BD649" t="inlineStr">
        <is>
          <t>893342955</t>
        </is>
      </c>
    </row>
    <row r="650">
      <c r="A650" t="inlineStr">
        <is>
          <t>No</t>
        </is>
      </c>
      <c r="B650" t="inlineStr">
        <is>
          <t>BX1754 .P35</t>
        </is>
      </c>
      <c r="C650" t="inlineStr">
        <is>
          <t>0                      BX 1754000P  35</t>
        </is>
      </c>
      <c r="D650" t="inlineStr">
        <is>
          <t>The what and why of Catholicism / by Charles W. Paris.</t>
        </is>
      </c>
      <c r="F650" t="inlineStr">
        <is>
          <t>No</t>
        </is>
      </c>
      <c r="G650" t="inlineStr">
        <is>
          <t>1</t>
        </is>
      </c>
      <c r="H650" t="inlineStr">
        <is>
          <t>No</t>
        </is>
      </c>
      <c r="I650" t="inlineStr">
        <is>
          <t>No</t>
        </is>
      </c>
      <c r="J650" t="inlineStr">
        <is>
          <t>0</t>
        </is>
      </c>
      <c r="K650" t="inlineStr">
        <is>
          <t>Paris, Charles W.</t>
        </is>
      </c>
      <c r="L650" t="inlineStr">
        <is>
          <t>New York City, J. F. Wagner [1961]</t>
        </is>
      </c>
      <c r="M650" t="inlineStr">
        <is>
          <t>1961</t>
        </is>
      </c>
      <c r="O650" t="inlineStr">
        <is>
          <t>eng</t>
        </is>
      </c>
      <c r="P650" t="inlineStr">
        <is>
          <t>___</t>
        </is>
      </c>
      <c r="R650" t="inlineStr">
        <is>
          <t xml:space="preserve">BX </t>
        </is>
      </c>
      <c r="S650" t="n">
        <v>7</v>
      </c>
      <c r="T650" t="n">
        <v>7</v>
      </c>
      <c r="U650" t="inlineStr">
        <is>
          <t>1998-11-08</t>
        </is>
      </c>
      <c r="V650" t="inlineStr">
        <is>
          <t>1998-11-08</t>
        </is>
      </c>
      <c r="W650" t="inlineStr">
        <is>
          <t>1991-05-15</t>
        </is>
      </c>
      <c r="X650" t="inlineStr">
        <is>
          <t>1991-05-15</t>
        </is>
      </c>
      <c r="Y650" t="n">
        <v>67</v>
      </c>
      <c r="Z650" t="n">
        <v>61</v>
      </c>
      <c r="AA650" t="n">
        <v>61</v>
      </c>
      <c r="AB650" t="n">
        <v>2</v>
      </c>
      <c r="AC650" t="n">
        <v>2</v>
      </c>
      <c r="AD650" t="n">
        <v>10</v>
      </c>
      <c r="AE650" t="n">
        <v>10</v>
      </c>
      <c r="AF650" t="n">
        <v>3</v>
      </c>
      <c r="AG650" t="n">
        <v>3</v>
      </c>
      <c r="AH650" t="n">
        <v>1</v>
      </c>
      <c r="AI650" t="n">
        <v>1</v>
      </c>
      <c r="AJ650" t="n">
        <v>7</v>
      </c>
      <c r="AK650" t="n">
        <v>7</v>
      </c>
      <c r="AL650" t="n">
        <v>1</v>
      </c>
      <c r="AM650" t="n">
        <v>1</v>
      </c>
      <c r="AN650" t="n">
        <v>0</v>
      </c>
      <c r="AO650" t="n">
        <v>0</v>
      </c>
      <c r="AP650" t="inlineStr">
        <is>
          <t>No</t>
        </is>
      </c>
      <c r="AQ650" t="inlineStr">
        <is>
          <t>No</t>
        </is>
      </c>
      <c r="AS650">
        <f>HYPERLINK("https://creighton-primo.hosted.exlibrisgroup.com/primo-explore/search?tab=default_tab&amp;search_scope=EVERYTHING&amp;vid=01CRU&amp;lang=en_US&amp;offset=0&amp;query=any,contains,991003459879702656","Catalog Record")</f>
        <v/>
      </c>
      <c r="AT650">
        <f>HYPERLINK("http://www.worldcat.org/oclc/1000748","WorldCat Record")</f>
        <v/>
      </c>
      <c r="AU650" t="inlineStr">
        <is>
          <t>1914942:eng</t>
        </is>
      </c>
      <c r="AV650" t="inlineStr">
        <is>
          <t>1000748</t>
        </is>
      </c>
      <c r="AW650" t="inlineStr">
        <is>
          <t>991003459879702656</t>
        </is>
      </c>
      <c r="AX650" t="inlineStr">
        <is>
          <t>991003459879702656</t>
        </is>
      </c>
      <c r="AY650" t="inlineStr">
        <is>
          <t>2258863130002656</t>
        </is>
      </c>
      <c r="AZ650" t="inlineStr">
        <is>
          <t>BOOK</t>
        </is>
      </c>
      <c r="BC650" t="inlineStr">
        <is>
          <t>32285000609924</t>
        </is>
      </c>
      <c r="BD650" t="inlineStr">
        <is>
          <t>893592530</t>
        </is>
      </c>
    </row>
    <row r="651">
      <c r="A651" t="inlineStr">
        <is>
          <t>No</t>
        </is>
      </c>
      <c r="B651" t="inlineStr">
        <is>
          <t>BX1754 .S44</t>
        </is>
      </c>
      <c r="C651" t="inlineStr">
        <is>
          <t>0                      BX 1754000S  44</t>
        </is>
      </c>
      <c r="D651" t="inlineStr">
        <is>
          <t>Things Catholics are asked about / Martin J. Scott.</t>
        </is>
      </c>
      <c r="F651" t="inlineStr">
        <is>
          <t>No</t>
        </is>
      </c>
      <c r="G651" t="inlineStr">
        <is>
          <t>1</t>
        </is>
      </c>
      <c r="H651" t="inlineStr">
        <is>
          <t>No</t>
        </is>
      </c>
      <c r="I651" t="inlineStr">
        <is>
          <t>No</t>
        </is>
      </c>
      <c r="J651" t="inlineStr">
        <is>
          <t>0</t>
        </is>
      </c>
      <c r="K651" t="inlineStr">
        <is>
          <t>Scott, Martin J. (Martin Jerome), 1865-1964.</t>
        </is>
      </c>
      <c r="L651" t="inlineStr">
        <is>
          <t>New York : P.J. Kenedy, 1927.</t>
        </is>
      </c>
      <c r="M651" t="inlineStr">
        <is>
          <t>1927</t>
        </is>
      </c>
      <c r="O651" t="inlineStr">
        <is>
          <t>eng</t>
        </is>
      </c>
      <c r="P651" t="inlineStr">
        <is>
          <t>___</t>
        </is>
      </c>
      <c r="R651" t="inlineStr">
        <is>
          <t xml:space="preserve">BX </t>
        </is>
      </c>
      <c r="S651" t="n">
        <v>6</v>
      </c>
      <c r="T651" t="n">
        <v>6</v>
      </c>
      <c r="U651" t="inlineStr">
        <is>
          <t>1998-11-08</t>
        </is>
      </c>
      <c r="V651" t="inlineStr">
        <is>
          <t>1998-11-08</t>
        </is>
      </c>
      <c r="W651" t="inlineStr">
        <is>
          <t>1991-05-15</t>
        </is>
      </c>
      <c r="X651" t="inlineStr">
        <is>
          <t>1991-05-15</t>
        </is>
      </c>
      <c r="Y651" t="n">
        <v>87</v>
      </c>
      <c r="Z651" t="n">
        <v>75</v>
      </c>
      <c r="AA651" t="n">
        <v>75</v>
      </c>
      <c r="AB651" t="n">
        <v>1</v>
      </c>
      <c r="AC651" t="n">
        <v>1</v>
      </c>
      <c r="AD651" t="n">
        <v>16</v>
      </c>
      <c r="AE651" t="n">
        <v>16</v>
      </c>
      <c r="AF651" t="n">
        <v>4</v>
      </c>
      <c r="AG651" t="n">
        <v>4</v>
      </c>
      <c r="AH651" t="n">
        <v>5</v>
      </c>
      <c r="AI651" t="n">
        <v>5</v>
      </c>
      <c r="AJ651" t="n">
        <v>13</v>
      </c>
      <c r="AK651" t="n">
        <v>13</v>
      </c>
      <c r="AL651" t="n">
        <v>0</v>
      </c>
      <c r="AM651" t="n">
        <v>0</v>
      </c>
      <c r="AN651" t="n">
        <v>0</v>
      </c>
      <c r="AO651" t="n">
        <v>0</v>
      </c>
      <c r="AP651" t="inlineStr">
        <is>
          <t>No</t>
        </is>
      </c>
      <c r="AQ651" t="inlineStr">
        <is>
          <t>No</t>
        </is>
      </c>
      <c r="AS651">
        <f>HYPERLINK("https://creighton-primo.hosted.exlibrisgroup.com/primo-explore/search?tab=default_tab&amp;search_scope=EVERYTHING&amp;vid=01CRU&amp;lang=en_US&amp;offset=0&amp;query=any,contains,991001374589702656","Catalog Record")</f>
        <v/>
      </c>
      <c r="AT651">
        <f>HYPERLINK("http://www.worldcat.org/oclc/224594","WorldCat Record")</f>
        <v/>
      </c>
      <c r="AU651" t="inlineStr">
        <is>
          <t>1334309:eng</t>
        </is>
      </c>
      <c r="AV651" t="inlineStr">
        <is>
          <t>224594</t>
        </is>
      </c>
      <c r="AW651" t="inlineStr">
        <is>
          <t>991001374589702656</t>
        </is>
      </c>
      <c r="AX651" t="inlineStr">
        <is>
          <t>991001374589702656</t>
        </is>
      </c>
      <c r="AY651" t="inlineStr">
        <is>
          <t>2264284760002656</t>
        </is>
      </c>
      <c r="AZ651" t="inlineStr">
        <is>
          <t>BOOK</t>
        </is>
      </c>
      <c r="BC651" t="inlineStr">
        <is>
          <t>32285000610005</t>
        </is>
      </c>
      <c r="BD651" t="inlineStr">
        <is>
          <t>893797524</t>
        </is>
      </c>
    </row>
    <row r="652">
      <c r="A652" t="inlineStr">
        <is>
          <t>No</t>
        </is>
      </c>
      <c r="B652" t="inlineStr">
        <is>
          <t>BX1754 .S56 1950</t>
        </is>
      </c>
      <c r="C652" t="inlineStr">
        <is>
          <t>0                      BX 1754000S  56          1950</t>
        </is>
      </c>
      <c r="D652" t="inlineStr">
        <is>
          <t>The divine romance / by Fulton J. Sheen.</t>
        </is>
      </c>
      <c r="F652" t="inlineStr">
        <is>
          <t>No</t>
        </is>
      </c>
      <c r="G652" t="inlineStr">
        <is>
          <t>1</t>
        </is>
      </c>
      <c r="H652" t="inlineStr">
        <is>
          <t>No</t>
        </is>
      </c>
      <c r="I652" t="inlineStr">
        <is>
          <t>No</t>
        </is>
      </c>
      <c r="J652" t="inlineStr">
        <is>
          <t>0</t>
        </is>
      </c>
      <c r="K652" t="inlineStr">
        <is>
          <t>Sheen, Fulton J. (Fulton John), 1895-1979.</t>
        </is>
      </c>
      <c r="L652" t="inlineStr">
        <is>
          <t>Garden City, N.Y. : Garden City Pub. Co., 1950.</t>
        </is>
      </c>
      <c r="M652" t="inlineStr">
        <is>
          <t>1950</t>
        </is>
      </c>
      <c r="N652" t="inlineStr">
        <is>
          <t>Rev. ed.</t>
        </is>
      </c>
      <c r="O652" t="inlineStr">
        <is>
          <t>eng</t>
        </is>
      </c>
      <c r="P652" t="inlineStr">
        <is>
          <t>nyu</t>
        </is>
      </c>
      <c r="R652" t="inlineStr">
        <is>
          <t xml:space="preserve">BX </t>
        </is>
      </c>
      <c r="S652" t="n">
        <v>3</v>
      </c>
      <c r="T652" t="n">
        <v>3</v>
      </c>
      <c r="U652" t="inlineStr">
        <is>
          <t>2008-07-09</t>
        </is>
      </c>
      <c r="V652" t="inlineStr">
        <is>
          <t>2008-07-09</t>
        </is>
      </c>
      <c r="W652" t="inlineStr">
        <is>
          <t>1991-05-15</t>
        </is>
      </c>
      <c r="X652" t="inlineStr">
        <is>
          <t>1991-05-15</t>
        </is>
      </c>
      <c r="Y652" t="n">
        <v>41</v>
      </c>
      <c r="Z652" t="n">
        <v>39</v>
      </c>
      <c r="AA652" t="n">
        <v>188</v>
      </c>
      <c r="AB652" t="n">
        <v>3</v>
      </c>
      <c r="AC652" t="n">
        <v>3</v>
      </c>
      <c r="AD652" t="n">
        <v>3</v>
      </c>
      <c r="AE652" t="n">
        <v>23</v>
      </c>
      <c r="AF652" t="n">
        <v>1</v>
      </c>
      <c r="AG652" t="n">
        <v>7</v>
      </c>
      <c r="AH652" t="n">
        <v>0</v>
      </c>
      <c r="AI652" t="n">
        <v>7</v>
      </c>
      <c r="AJ652" t="n">
        <v>3</v>
      </c>
      <c r="AK652" t="n">
        <v>17</v>
      </c>
      <c r="AL652" t="n">
        <v>0</v>
      </c>
      <c r="AM652" t="n">
        <v>0</v>
      </c>
      <c r="AN652" t="n">
        <v>0</v>
      </c>
      <c r="AO652" t="n">
        <v>0</v>
      </c>
      <c r="AP652" t="inlineStr">
        <is>
          <t>No</t>
        </is>
      </c>
      <c r="AQ652" t="inlineStr">
        <is>
          <t>No</t>
        </is>
      </c>
      <c r="AS652">
        <f>HYPERLINK("https://creighton-primo.hosted.exlibrisgroup.com/primo-explore/search?tab=default_tab&amp;search_scope=EVERYTHING&amp;vid=01CRU&amp;lang=en_US&amp;offset=0&amp;query=any,contains,991004411019702656","Catalog Record")</f>
        <v/>
      </c>
      <c r="AT652">
        <f>HYPERLINK("http://www.worldcat.org/oclc/3343363","WorldCat Record")</f>
        <v/>
      </c>
      <c r="AU652" t="inlineStr">
        <is>
          <t>1446988:eng</t>
        </is>
      </c>
      <c r="AV652" t="inlineStr">
        <is>
          <t>3343363</t>
        </is>
      </c>
      <c r="AW652" t="inlineStr">
        <is>
          <t>991004411019702656</t>
        </is>
      </c>
      <c r="AX652" t="inlineStr">
        <is>
          <t>991004411019702656</t>
        </is>
      </c>
      <c r="AY652" t="inlineStr">
        <is>
          <t>2254906440002656</t>
        </is>
      </c>
      <c r="AZ652" t="inlineStr">
        <is>
          <t>BOOK</t>
        </is>
      </c>
      <c r="BC652" t="inlineStr">
        <is>
          <t>32285000640044</t>
        </is>
      </c>
      <c r="BD652" t="inlineStr">
        <is>
          <t>893331557</t>
        </is>
      </c>
    </row>
    <row r="653">
      <c r="A653" t="inlineStr">
        <is>
          <t>No</t>
        </is>
      </c>
      <c r="B653" t="inlineStr">
        <is>
          <t>BX1754 .S566</t>
        </is>
      </c>
      <c r="C653" t="inlineStr">
        <is>
          <t>0                      BX 1754000S  566</t>
        </is>
      </c>
      <c r="D653" t="inlineStr">
        <is>
          <t>Preface to religion / by Fulton J. Sheen.</t>
        </is>
      </c>
      <c r="F653" t="inlineStr">
        <is>
          <t>No</t>
        </is>
      </c>
      <c r="G653" t="inlineStr">
        <is>
          <t>1</t>
        </is>
      </c>
      <c r="H653" t="inlineStr">
        <is>
          <t>No</t>
        </is>
      </c>
      <c r="I653" t="inlineStr">
        <is>
          <t>No</t>
        </is>
      </c>
      <c r="J653" t="inlineStr">
        <is>
          <t>0</t>
        </is>
      </c>
      <c r="K653" t="inlineStr">
        <is>
          <t>Sheen, Fulton J. (Fulton John), 1895-1979.</t>
        </is>
      </c>
      <c r="L653" t="inlineStr">
        <is>
          <t>New York, P.J.Kenedy &amp; sons, c1946.</t>
        </is>
      </c>
      <c r="M653" t="inlineStr">
        <is>
          <t>1946</t>
        </is>
      </c>
      <c r="O653" t="inlineStr">
        <is>
          <t>eng</t>
        </is>
      </c>
      <c r="P653" t="inlineStr">
        <is>
          <t>nyu</t>
        </is>
      </c>
      <c r="R653" t="inlineStr">
        <is>
          <t xml:space="preserve">BX </t>
        </is>
      </c>
      <c r="S653" t="n">
        <v>1</v>
      </c>
      <c r="T653" t="n">
        <v>1</v>
      </c>
      <c r="U653" t="inlineStr">
        <is>
          <t>1995-06-27</t>
        </is>
      </c>
      <c r="V653" t="inlineStr">
        <is>
          <t>1995-06-27</t>
        </is>
      </c>
      <c r="W653" t="inlineStr">
        <is>
          <t>1991-05-15</t>
        </is>
      </c>
      <c r="X653" t="inlineStr">
        <is>
          <t>1991-05-15</t>
        </is>
      </c>
      <c r="Y653" t="n">
        <v>320</v>
      </c>
      <c r="Z653" t="n">
        <v>287</v>
      </c>
      <c r="AA653" t="n">
        <v>379</v>
      </c>
      <c r="AB653" t="n">
        <v>4</v>
      </c>
      <c r="AC653" t="n">
        <v>5</v>
      </c>
      <c r="AD653" t="n">
        <v>35</v>
      </c>
      <c r="AE653" t="n">
        <v>40</v>
      </c>
      <c r="AF653" t="n">
        <v>12</v>
      </c>
      <c r="AG653" t="n">
        <v>14</v>
      </c>
      <c r="AH653" t="n">
        <v>8</v>
      </c>
      <c r="AI653" t="n">
        <v>9</v>
      </c>
      <c r="AJ653" t="n">
        <v>25</v>
      </c>
      <c r="AK653" t="n">
        <v>25</v>
      </c>
      <c r="AL653" t="n">
        <v>1</v>
      </c>
      <c r="AM653" t="n">
        <v>2</v>
      </c>
      <c r="AN653" t="n">
        <v>0</v>
      </c>
      <c r="AO653" t="n">
        <v>2</v>
      </c>
      <c r="AP653" t="inlineStr">
        <is>
          <t>No</t>
        </is>
      </c>
      <c r="AQ653" t="inlineStr">
        <is>
          <t>Yes</t>
        </is>
      </c>
      <c r="AR653">
        <f>HYPERLINK("http://catalog.hathitrust.org/Record/012270987","HathiTrust Record")</f>
        <v/>
      </c>
      <c r="AS653">
        <f>HYPERLINK("https://creighton-primo.hosted.exlibrisgroup.com/primo-explore/search?tab=default_tab&amp;search_scope=EVERYTHING&amp;vid=01CRU&amp;lang=en_US&amp;offset=0&amp;query=any,contains,991003100239702656","Catalog Record")</f>
        <v/>
      </c>
      <c r="AT653">
        <f>HYPERLINK("http://www.worldcat.org/oclc/649387","WorldCat Record")</f>
        <v/>
      </c>
      <c r="AU653" t="inlineStr">
        <is>
          <t>1823583:eng</t>
        </is>
      </c>
      <c r="AV653" t="inlineStr">
        <is>
          <t>649387</t>
        </is>
      </c>
      <c r="AW653" t="inlineStr">
        <is>
          <t>991003100239702656</t>
        </is>
      </c>
      <c r="AX653" t="inlineStr">
        <is>
          <t>991003100239702656</t>
        </is>
      </c>
      <c r="AY653" t="inlineStr">
        <is>
          <t>2259113210002656</t>
        </is>
      </c>
      <c r="AZ653" t="inlineStr">
        <is>
          <t>BOOK</t>
        </is>
      </c>
      <c r="BC653" t="inlineStr">
        <is>
          <t>32285000640051</t>
        </is>
      </c>
      <c r="BD653" t="inlineStr">
        <is>
          <t>893698674</t>
        </is>
      </c>
    </row>
    <row r="654">
      <c r="A654" t="inlineStr">
        <is>
          <t>No</t>
        </is>
      </c>
      <c r="B654" t="inlineStr">
        <is>
          <t>BX1754 .T35 1991</t>
        </is>
      </c>
      <c r="C654" t="inlineStr">
        <is>
          <t>0                      BX 1754000T  35          1991</t>
        </is>
      </c>
      <c r="D654" t="inlineStr">
        <is>
          <t>Theology : love's question / Terry J. Tekippe.</t>
        </is>
      </c>
      <c r="F654" t="inlineStr">
        <is>
          <t>No</t>
        </is>
      </c>
      <c r="G654" t="inlineStr">
        <is>
          <t>1</t>
        </is>
      </c>
      <c r="H654" t="inlineStr">
        <is>
          <t>No</t>
        </is>
      </c>
      <c r="I654" t="inlineStr">
        <is>
          <t>No</t>
        </is>
      </c>
      <c r="J654" t="inlineStr">
        <is>
          <t>0</t>
        </is>
      </c>
      <c r="K654" t="inlineStr">
        <is>
          <t>Tekippe, Terry J.</t>
        </is>
      </c>
      <c r="L654" t="inlineStr">
        <is>
          <t>Lanham, Md. : University Press of America, c1991.</t>
        </is>
      </c>
      <c r="M654" t="inlineStr">
        <is>
          <t>1991</t>
        </is>
      </c>
      <c r="O654" t="inlineStr">
        <is>
          <t>eng</t>
        </is>
      </c>
      <c r="P654" t="inlineStr">
        <is>
          <t>mdu</t>
        </is>
      </c>
      <c r="R654" t="inlineStr">
        <is>
          <t xml:space="preserve">BX </t>
        </is>
      </c>
      <c r="S654" t="n">
        <v>1</v>
      </c>
      <c r="T654" t="n">
        <v>1</v>
      </c>
      <c r="U654" t="inlineStr">
        <is>
          <t>1997-11-26</t>
        </is>
      </c>
      <c r="V654" t="inlineStr">
        <is>
          <t>1997-11-26</t>
        </is>
      </c>
      <c r="W654" t="inlineStr">
        <is>
          <t>1994-07-29</t>
        </is>
      </c>
      <c r="X654" t="inlineStr">
        <is>
          <t>1994-07-29</t>
        </is>
      </c>
      <c r="Y654" t="n">
        <v>58</v>
      </c>
      <c r="Z654" t="n">
        <v>51</v>
      </c>
      <c r="AA654" t="n">
        <v>52</v>
      </c>
      <c r="AB654" t="n">
        <v>1</v>
      </c>
      <c r="AC654" t="n">
        <v>1</v>
      </c>
      <c r="AD654" t="n">
        <v>7</v>
      </c>
      <c r="AE654" t="n">
        <v>7</v>
      </c>
      <c r="AF654" t="n">
        <v>0</v>
      </c>
      <c r="AG654" t="n">
        <v>0</v>
      </c>
      <c r="AH654" t="n">
        <v>3</v>
      </c>
      <c r="AI654" t="n">
        <v>3</v>
      </c>
      <c r="AJ654" t="n">
        <v>4</v>
      </c>
      <c r="AK654" t="n">
        <v>4</v>
      </c>
      <c r="AL654" t="n">
        <v>0</v>
      </c>
      <c r="AM654" t="n">
        <v>0</v>
      </c>
      <c r="AN654" t="n">
        <v>0</v>
      </c>
      <c r="AO654" t="n">
        <v>0</v>
      </c>
      <c r="AP654" t="inlineStr">
        <is>
          <t>No</t>
        </is>
      </c>
      <c r="AQ654" t="inlineStr">
        <is>
          <t>Yes</t>
        </is>
      </c>
      <c r="AR654">
        <f>HYPERLINK("http://catalog.hathitrust.org/Record/102376919","HathiTrust Record")</f>
        <v/>
      </c>
      <c r="AS654">
        <f>HYPERLINK("https://creighton-primo.hosted.exlibrisgroup.com/primo-explore/search?tab=default_tab&amp;search_scope=EVERYTHING&amp;vid=01CRU&amp;lang=en_US&amp;offset=0&amp;query=any,contains,991001918409702656","Catalog Record")</f>
        <v/>
      </c>
      <c r="AT654">
        <f>HYPERLINK("http://www.worldcat.org/oclc/24218210","WorldCat Record")</f>
        <v/>
      </c>
      <c r="AU654" t="inlineStr">
        <is>
          <t>1097368006:eng</t>
        </is>
      </c>
      <c r="AV654" t="inlineStr">
        <is>
          <t>24218210</t>
        </is>
      </c>
      <c r="AW654" t="inlineStr">
        <is>
          <t>991001918409702656</t>
        </is>
      </c>
      <c r="AX654" t="inlineStr">
        <is>
          <t>991001918409702656</t>
        </is>
      </c>
      <c r="AY654" t="inlineStr">
        <is>
          <t>2271720030002656</t>
        </is>
      </c>
      <c r="AZ654" t="inlineStr">
        <is>
          <t>BOOK</t>
        </is>
      </c>
      <c r="BB654" t="inlineStr">
        <is>
          <t>9780819184320</t>
        </is>
      </c>
      <c r="BC654" t="inlineStr">
        <is>
          <t>32285001934461</t>
        </is>
      </c>
      <c r="BD654" t="inlineStr">
        <is>
          <t>893497538</t>
        </is>
      </c>
    </row>
    <row r="655">
      <c r="A655" t="inlineStr">
        <is>
          <t>No</t>
        </is>
      </c>
      <c r="B655" t="inlineStr">
        <is>
          <t>BX1754 .W39 2001</t>
        </is>
      </c>
      <c r="C655" t="inlineStr">
        <is>
          <t>0                      BX 1754000W  39          2001</t>
        </is>
      </c>
      <c r="D655" t="inlineStr">
        <is>
          <t>The truth of Catholicism : ten controversies explored / George Weigel.</t>
        </is>
      </c>
      <c r="F655" t="inlineStr">
        <is>
          <t>No</t>
        </is>
      </c>
      <c r="G655" t="inlineStr">
        <is>
          <t>1</t>
        </is>
      </c>
      <c r="H655" t="inlineStr">
        <is>
          <t>No</t>
        </is>
      </c>
      <c r="I655" t="inlineStr">
        <is>
          <t>No</t>
        </is>
      </c>
      <c r="J655" t="inlineStr">
        <is>
          <t>0</t>
        </is>
      </c>
      <c r="K655" t="inlineStr">
        <is>
          <t>Weigel, George, 1951-</t>
        </is>
      </c>
      <c r="L655" t="inlineStr">
        <is>
          <t>New York : Cliff Street Books, c2001.</t>
        </is>
      </c>
      <c r="M655" t="inlineStr">
        <is>
          <t>2001</t>
        </is>
      </c>
      <c r="N655" t="inlineStr">
        <is>
          <t>1st ed.</t>
        </is>
      </c>
      <c r="O655" t="inlineStr">
        <is>
          <t>eng</t>
        </is>
      </c>
      <c r="P655" t="inlineStr">
        <is>
          <t>nyu</t>
        </is>
      </c>
      <c r="R655" t="inlineStr">
        <is>
          <t xml:space="preserve">BX </t>
        </is>
      </c>
      <c r="S655" t="n">
        <v>8</v>
      </c>
      <c r="T655" t="n">
        <v>8</v>
      </c>
      <c r="U655" t="inlineStr">
        <is>
          <t>2004-12-05</t>
        </is>
      </c>
      <c r="V655" t="inlineStr">
        <is>
          <t>2004-12-05</t>
        </is>
      </c>
      <c r="W655" t="inlineStr">
        <is>
          <t>2001-11-12</t>
        </is>
      </c>
      <c r="X655" t="inlineStr">
        <is>
          <t>2001-11-12</t>
        </is>
      </c>
      <c r="Y655" t="n">
        <v>641</v>
      </c>
      <c r="Z655" t="n">
        <v>600</v>
      </c>
      <c r="AA655" t="n">
        <v>606</v>
      </c>
      <c r="AB655" t="n">
        <v>8</v>
      </c>
      <c r="AC655" t="n">
        <v>8</v>
      </c>
      <c r="AD655" t="n">
        <v>26</v>
      </c>
      <c r="AE655" t="n">
        <v>26</v>
      </c>
      <c r="AF655" t="n">
        <v>6</v>
      </c>
      <c r="AG655" t="n">
        <v>6</v>
      </c>
      <c r="AH655" t="n">
        <v>9</v>
      </c>
      <c r="AI655" t="n">
        <v>9</v>
      </c>
      <c r="AJ655" t="n">
        <v>16</v>
      </c>
      <c r="AK655" t="n">
        <v>16</v>
      </c>
      <c r="AL655" t="n">
        <v>2</v>
      </c>
      <c r="AM655" t="n">
        <v>2</v>
      </c>
      <c r="AN655" t="n">
        <v>0</v>
      </c>
      <c r="AO655" t="n">
        <v>0</v>
      </c>
      <c r="AP655" t="inlineStr">
        <is>
          <t>No</t>
        </is>
      </c>
      <c r="AQ655" t="inlineStr">
        <is>
          <t>No</t>
        </is>
      </c>
      <c r="AS655">
        <f>HYPERLINK("https://creighton-primo.hosted.exlibrisgroup.com/primo-explore/search?tab=default_tab&amp;search_scope=EVERYTHING&amp;vid=01CRU&amp;lang=en_US&amp;offset=0&amp;query=any,contains,991003657149702656","Catalog Record")</f>
        <v/>
      </c>
      <c r="AT655">
        <f>HYPERLINK("http://www.worldcat.org/oclc/46713176","WorldCat Record")</f>
        <v/>
      </c>
      <c r="AU655" t="inlineStr">
        <is>
          <t>3943892914:eng</t>
        </is>
      </c>
      <c r="AV655" t="inlineStr">
        <is>
          <t>46713176</t>
        </is>
      </c>
      <c r="AW655" t="inlineStr">
        <is>
          <t>991003657149702656</t>
        </is>
      </c>
      <c r="AX655" t="inlineStr">
        <is>
          <t>991003657149702656</t>
        </is>
      </c>
      <c r="AY655" t="inlineStr">
        <is>
          <t>2255221920002656</t>
        </is>
      </c>
      <c r="AZ655" t="inlineStr">
        <is>
          <t>BOOK</t>
        </is>
      </c>
      <c r="BB655" t="inlineStr">
        <is>
          <t>9780066213309</t>
        </is>
      </c>
      <c r="BC655" t="inlineStr">
        <is>
          <t>32285004410147</t>
        </is>
      </c>
      <c r="BD655" t="inlineStr">
        <is>
          <t>893342823</t>
        </is>
      </c>
    </row>
    <row r="656">
      <c r="A656" t="inlineStr">
        <is>
          <t>No</t>
        </is>
      </c>
      <c r="B656" t="inlineStr">
        <is>
          <t>BX1754.3 .C6</t>
        </is>
      </c>
      <c r="C656" t="inlineStr">
        <is>
          <t>0                      BX 1754300C  6</t>
        </is>
      </c>
      <c r="D656" t="inlineStr">
        <is>
          <t>What they ask about the church / J.D.Conway.</t>
        </is>
      </c>
      <c r="F656" t="inlineStr">
        <is>
          <t>No</t>
        </is>
      </c>
      <c r="G656" t="inlineStr">
        <is>
          <t>1</t>
        </is>
      </c>
      <c r="H656" t="inlineStr">
        <is>
          <t>No</t>
        </is>
      </c>
      <c r="I656" t="inlineStr">
        <is>
          <t>No</t>
        </is>
      </c>
      <c r="J656" t="inlineStr">
        <is>
          <t>0</t>
        </is>
      </c>
      <c r="K656" t="inlineStr">
        <is>
          <t>Conway, J. D. (John Donald), 1905-1967.</t>
        </is>
      </c>
      <c r="L656" t="inlineStr">
        <is>
          <t>Chicago, Fides [1958]</t>
        </is>
      </c>
      <c r="M656" t="inlineStr">
        <is>
          <t>1958</t>
        </is>
      </c>
      <c r="O656" t="inlineStr">
        <is>
          <t>eng</t>
        </is>
      </c>
      <c r="P656" t="inlineStr">
        <is>
          <t>___</t>
        </is>
      </c>
      <c r="R656" t="inlineStr">
        <is>
          <t xml:space="preserve">BX </t>
        </is>
      </c>
      <c r="S656" t="n">
        <v>2</v>
      </c>
      <c r="T656" t="n">
        <v>2</v>
      </c>
      <c r="U656" t="inlineStr">
        <is>
          <t>1995-02-23</t>
        </is>
      </c>
      <c r="V656" t="inlineStr">
        <is>
          <t>1995-02-23</t>
        </is>
      </c>
      <c r="W656" t="inlineStr">
        <is>
          <t>1991-05-15</t>
        </is>
      </c>
      <c r="X656" t="inlineStr">
        <is>
          <t>1991-05-15</t>
        </is>
      </c>
      <c r="Y656" t="n">
        <v>141</v>
      </c>
      <c r="Z656" t="n">
        <v>130</v>
      </c>
      <c r="AA656" t="n">
        <v>136</v>
      </c>
      <c r="AB656" t="n">
        <v>4</v>
      </c>
      <c r="AC656" t="n">
        <v>4</v>
      </c>
      <c r="AD656" t="n">
        <v>22</v>
      </c>
      <c r="AE656" t="n">
        <v>23</v>
      </c>
      <c r="AF656" t="n">
        <v>6</v>
      </c>
      <c r="AG656" t="n">
        <v>7</v>
      </c>
      <c r="AH656" t="n">
        <v>5</v>
      </c>
      <c r="AI656" t="n">
        <v>5</v>
      </c>
      <c r="AJ656" t="n">
        <v>16</v>
      </c>
      <c r="AK656" t="n">
        <v>17</v>
      </c>
      <c r="AL656" t="n">
        <v>1</v>
      </c>
      <c r="AM656" t="n">
        <v>1</v>
      </c>
      <c r="AN656" t="n">
        <v>0</v>
      </c>
      <c r="AO656" t="n">
        <v>0</v>
      </c>
      <c r="AP656" t="inlineStr">
        <is>
          <t>No</t>
        </is>
      </c>
      <c r="AQ656" t="inlineStr">
        <is>
          <t>Yes</t>
        </is>
      </c>
      <c r="AR656">
        <f>HYPERLINK("http://catalog.hathitrust.org/Record/101665053","HathiTrust Record")</f>
        <v/>
      </c>
      <c r="AS656">
        <f>HYPERLINK("https://creighton-primo.hosted.exlibrisgroup.com/primo-explore/search?tab=default_tab&amp;search_scope=EVERYTHING&amp;vid=01CRU&amp;lang=en_US&amp;offset=0&amp;query=any,contains,991003369479702656","Catalog Record")</f>
        <v/>
      </c>
      <c r="AT656">
        <f>HYPERLINK("http://www.worldcat.org/oclc/905034","WorldCat Record")</f>
        <v/>
      </c>
      <c r="AU656" t="inlineStr">
        <is>
          <t>1841038:eng</t>
        </is>
      </c>
      <c r="AV656" t="inlineStr">
        <is>
          <t>905034</t>
        </is>
      </c>
      <c r="AW656" t="inlineStr">
        <is>
          <t>991003369479702656</t>
        </is>
      </c>
      <c r="AX656" t="inlineStr">
        <is>
          <t>991003369479702656</t>
        </is>
      </c>
      <c r="AY656" t="inlineStr">
        <is>
          <t>2263971150002656</t>
        </is>
      </c>
      <c r="AZ656" t="inlineStr">
        <is>
          <t>BOOK</t>
        </is>
      </c>
      <c r="BC656" t="inlineStr">
        <is>
          <t>32285000640150</t>
        </is>
      </c>
      <c r="BD656" t="inlineStr">
        <is>
          <t>893787272</t>
        </is>
      </c>
    </row>
    <row r="657">
      <c r="A657" t="inlineStr">
        <is>
          <t>No</t>
        </is>
      </c>
      <c r="B657" t="inlineStr">
        <is>
          <t>BX1754.3 .K54 1976</t>
        </is>
      </c>
      <c r="C657" t="inlineStr">
        <is>
          <t>0                      BX 1754300K  54          1976</t>
        </is>
      </c>
      <c r="D657" t="inlineStr">
        <is>
          <t>Life in Christ / James Killgallon, Gerard Weber, and Leonard Ziegmann.</t>
        </is>
      </c>
      <c r="F657" t="inlineStr">
        <is>
          <t>No</t>
        </is>
      </c>
      <c r="G657" t="inlineStr">
        <is>
          <t>1</t>
        </is>
      </c>
      <c r="H657" t="inlineStr">
        <is>
          <t>No</t>
        </is>
      </c>
      <c r="I657" t="inlineStr">
        <is>
          <t>No</t>
        </is>
      </c>
      <c r="J657" t="inlineStr">
        <is>
          <t>0</t>
        </is>
      </c>
      <c r="K657" t="inlineStr">
        <is>
          <t>Killgallon, James J., 1914-1988.</t>
        </is>
      </c>
      <c r="L657" t="inlineStr">
        <is>
          <t>Chicago : Life in Christ, 1976.</t>
        </is>
      </c>
      <c r="M657" t="inlineStr">
        <is>
          <t>1976</t>
        </is>
      </c>
      <c r="N657" t="inlineStr">
        <is>
          <t>2d ed., rev. ed.</t>
        </is>
      </c>
      <c r="O657" t="inlineStr">
        <is>
          <t>eng</t>
        </is>
      </c>
      <c r="P657" t="inlineStr">
        <is>
          <t>ilu</t>
        </is>
      </c>
      <c r="R657" t="inlineStr">
        <is>
          <t xml:space="preserve">BX </t>
        </is>
      </c>
      <c r="S657" t="n">
        <v>1</v>
      </c>
      <c r="T657" t="n">
        <v>1</v>
      </c>
      <c r="U657" t="inlineStr">
        <is>
          <t>2009-07-28</t>
        </is>
      </c>
      <c r="V657" t="inlineStr">
        <is>
          <t>2009-07-28</t>
        </is>
      </c>
      <c r="W657" t="inlineStr">
        <is>
          <t>2009-07-28</t>
        </is>
      </c>
      <c r="X657" t="inlineStr">
        <is>
          <t>2009-07-28</t>
        </is>
      </c>
      <c r="Y657" t="n">
        <v>87</v>
      </c>
      <c r="Z657" t="n">
        <v>79</v>
      </c>
      <c r="AA657" t="n">
        <v>96</v>
      </c>
      <c r="AB657" t="n">
        <v>3</v>
      </c>
      <c r="AC657" t="n">
        <v>3</v>
      </c>
      <c r="AD657" t="n">
        <v>8</v>
      </c>
      <c r="AE657" t="n">
        <v>9</v>
      </c>
      <c r="AF657" t="n">
        <v>1</v>
      </c>
      <c r="AG657" t="n">
        <v>1</v>
      </c>
      <c r="AH657" t="n">
        <v>1</v>
      </c>
      <c r="AI657" t="n">
        <v>1</v>
      </c>
      <c r="AJ657" t="n">
        <v>5</v>
      </c>
      <c r="AK657" t="n">
        <v>6</v>
      </c>
      <c r="AL657" t="n">
        <v>1</v>
      </c>
      <c r="AM657" t="n">
        <v>1</v>
      </c>
      <c r="AN657" t="n">
        <v>0</v>
      </c>
      <c r="AO657" t="n">
        <v>0</v>
      </c>
      <c r="AP657" t="inlineStr">
        <is>
          <t>No</t>
        </is>
      </c>
      <c r="AQ657" t="inlineStr">
        <is>
          <t>No</t>
        </is>
      </c>
      <c r="AS657">
        <f>HYPERLINK("https://creighton-primo.hosted.exlibrisgroup.com/primo-explore/search?tab=default_tab&amp;search_scope=EVERYTHING&amp;vid=01CRU&amp;lang=en_US&amp;offset=0&amp;query=any,contains,991005328369702656","Catalog Record")</f>
        <v/>
      </c>
      <c r="AT657">
        <f>HYPERLINK("http://www.worldcat.org/oclc/3003796","WorldCat Record")</f>
        <v/>
      </c>
      <c r="AU657" t="inlineStr">
        <is>
          <t>4417259777:eng</t>
        </is>
      </c>
      <c r="AV657" t="inlineStr">
        <is>
          <t>3003796</t>
        </is>
      </c>
      <c r="AW657" t="inlineStr">
        <is>
          <t>991005328369702656</t>
        </is>
      </c>
      <c r="AX657" t="inlineStr">
        <is>
          <t>991005328369702656</t>
        </is>
      </c>
      <c r="AY657" t="inlineStr">
        <is>
          <t>2272736510002656</t>
        </is>
      </c>
      <c r="AZ657" t="inlineStr">
        <is>
          <t>BOOK</t>
        </is>
      </c>
      <c r="BB657" t="inlineStr">
        <is>
          <t>9780914070085</t>
        </is>
      </c>
      <c r="BC657" t="inlineStr">
        <is>
          <t>32285005539449</t>
        </is>
      </c>
      <c r="BD657" t="inlineStr">
        <is>
          <t>893446742</t>
        </is>
      </c>
    </row>
    <row r="658">
      <c r="A658" t="inlineStr">
        <is>
          <t>No</t>
        </is>
      </c>
      <c r="B658" t="inlineStr">
        <is>
          <t>BX1755 .C66513 1988</t>
        </is>
      </c>
      <c r="C658" t="inlineStr">
        <is>
          <t>0                      BX 1755000C  66513       1988</t>
        </is>
      </c>
      <c r="D658" t="inlineStr">
        <is>
          <t>Fifty years of Catholic theology : conversations with Yves Congar ; edited and introduced by Bernard Lauret.</t>
        </is>
      </c>
      <c r="F658" t="inlineStr">
        <is>
          <t>No</t>
        </is>
      </c>
      <c r="G658" t="inlineStr">
        <is>
          <t>1</t>
        </is>
      </c>
      <c r="H658" t="inlineStr">
        <is>
          <t>No</t>
        </is>
      </c>
      <c r="I658" t="inlineStr">
        <is>
          <t>No</t>
        </is>
      </c>
      <c r="J658" t="inlineStr">
        <is>
          <t>0</t>
        </is>
      </c>
      <c r="K658" t="inlineStr">
        <is>
          <t>Congar, Yves, 1904-1995.</t>
        </is>
      </c>
      <c r="L658" t="inlineStr">
        <is>
          <t>Philadelphia : Fortress Press, 1988.</t>
        </is>
      </c>
      <c r="M658" t="inlineStr">
        <is>
          <t>1988</t>
        </is>
      </c>
      <c r="O658" t="inlineStr">
        <is>
          <t>eng</t>
        </is>
      </c>
      <c r="P658" t="inlineStr">
        <is>
          <t>pau</t>
        </is>
      </c>
      <c r="R658" t="inlineStr">
        <is>
          <t xml:space="preserve">BX </t>
        </is>
      </c>
      <c r="S658" t="n">
        <v>5</v>
      </c>
      <c r="T658" t="n">
        <v>5</v>
      </c>
      <c r="U658" t="inlineStr">
        <is>
          <t>1994-09-06</t>
        </is>
      </c>
      <c r="V658" t="inlineStr">
        <is>
          <t>1994-09-06</t>
        </is>
      </c>
      <c r="W658" t="inlineStr">
        <is>
          <t>1991-05-15</t>
        </is>
      </c>
      <c r="X658" t="inlineStr">
        <is>
          <t>1991-05-15</t>
        </is>
      </c>
      <c r="Y658" t="n">
        <v>226</v>
      </c>
      <c r="Z658" t="n">
        <v>201</v>
      </c>
      <c r="AA658" t="n">
        <v>202</v>
      </c>
      <c r="AB658" t="n">
        <v>2</v>
      </c>
      <c r="AC658" t="n">
        <v>2</v>
      </c>
      <c r="AD658" t="n">
        <v>20</v>
      </c>
      <c r="AE658" t="n">
        <v>20</v>
      </c>
      <c r="AF658" t="n">
        <v>8</v>
      </c>
      <c r="AG658" t="n">
        <v>8</v>
      </c>
      <c r="AH658" t="n">
        <v>6</v>
      </c>
      <c r="AI658" t="n">
        <v>6</v>
      </c>
      <c r="AJ658" t="n">
        <v>12</v>
      </c>
      <c r="AK658" t="n">
        <v>12</v>
      </c>
      <c r="AL658" t="n">
        <v>0</v>
      </c>
      <c r="AM658" t="n">
        <v>0</v>
      </c>
      <c r="AN658" t="n">
        <v>0</v>
      </c>
      <c r="AO658" t="n">
        <v>0</v>
      </c>
      <c r="AP658" t="inlineStr">
        <is>
          <t>No</t>
        </is>
      </c>
      <c r="AQ658" t="inlineStr">
        <is>
          <t>Yes</t>
        </is>
      </c>
      <c r="AR658">
        <f>HYPERLINK("http://catalog.hathitrust.org/Record/006019587","HathiTrust Record")</f>
        <v/>
      </c>
      <c r="AS658">
        <f>HYPERLINK("https://creighton-primo.hosted.exlibrisgroup.com/primo-explore/search?tab=default_tab&amp;search_scope=EVERYTHING&amp;vid=01CRU&amp;lang=en_US&amp;offset=0&amp;query=any,contains,991001241149702656","Catalog Record")</f>
        <v/>
      </c>
      <c r="AT658">
        <f>HYPERLINK("http://www.worldcat.org/oclc/17619709","WorldCat Record")</f>
        <v/>
      </c>
      <c r="AU658" t="inlineStr">
        <is>
          <t>10792208538:eng</t>
        </is>
      </c>
      <c r="AV658" t="inlineStr">
        <is>
          <t>17619709</t>
        </is>
      </c>
      <c r="AW658" t="inlineStr">
        <is>
          <t>991001241149702656</t>
        </is>
      </c>
      <c r="AX658" t="inlineStr">
        <is>
          <t>991001241149702656</t>
        </is>
      </c>
      <c r="AY658" t="inlineStr">
        <is>
          <t>2257782170002656</t>
        </is>
      </c>
      <c r="AZ658" t="inlineStr">
        <is>
          <t>BOOK</t>
        </is>
      </c>
      <c r="BB658" t="inlineStr">
        <is>
          <t>9780800623036</t>
        </is>
      </c>
      <c r="BC658" t="inlineStr">
        <is>
          <t>32285000640192</t>
        </is>
      </c>
      <c r="BD658" t="inlineStr">
        <is>
          <t>893866079</t>
        </is>
      </c>
    </row>
    <row r="659">
      <c r="A659" t="inlineStr">
        <is>
          <t>No</t>
        </is>
      </c>
      <c r="B659" t="inlineStr">
        <is>
          <t>BX1755 .G76 1985</t>
        </is>
      </c>
      <c r="C659" t="inlineStr">
        <is>
          <t>0                      BX 1755000G  76          1985</t>
        </is>
      </c>
      <c r="D659" t="inlineStr">
        <is>
          <t>Growing up Catholic : an infinitely funny guide for the faithful, the fallen, and everyone in-between / Mary Jane Frances Cavolina Meara ... [et al.] ; illustrations by Bob Kiley.</t>
        </is>
      </c>
      <c r="F659" t="inlineStr">
        <is>
          <t>No</t>
        </is>
      </c>
      <c r="G659" t="inlineStr">
        <is>
          <t>1</t>
        </is>
      </c>
      <c r="H659" t="inlineStr">
        <is>
          <t>No</t>
        </is>
      </c>
      <c r="I659" t="inlineStr">
        <is>
          <t>No</t>
        </is>
      </c>
      <c r="J659" t="inlineStr">
        <is>
          <t>0</t>
        </is>
      </c>
      <c r="L659" t="inlineStr">
        <is>
          <t>Garden City, N.Y. : Doubleday, 1985.</t>
        </is>
      </c>
      <c r="M659" t="inlineStr">
        <is>
          <t>1984</t>
        </is>
      </c>
      <c r="N659" t="inlineStr">
        <is>
          <t>Dolphin Books ed., 1st ed.</t>
        </is>
      </c>
      <c r="O659" t="inlineStr">
        <is>
          <t>eng</t>
        </is>
      </c>
      <c r="P659" t="inlineStr">
        <is>
          <t>nyu</t>
        </is>
      </c>
      <c r="R659" t="inlineStr">
        <is>
          <t xml:space="preserve">BX </t>
        </is>
      </c>
      <c r="S659" t="n">
        <v>7</v>
      </c>
      <c r="T659" t="n">
        <v>7</v>
      </c>
      <c r="U659" t="inlineStr">
        <is>
          <t>1995-01-24</t>
        </is>
      </c>
      <c r="V659" t="inlineStr">
        <is>
          <t>1995-01-24</t>
        </is>
      </c>
      <c r="W659" t="inlineStr">
        <is>
          <t>1991-05-15</t>
        </is>
      </c>
      <c r="X659" t="inlineStr">
        <is>
          <t>1991-05-15</t>
        </is>
      </c>
      <c r="Y659" t="n">
        <v>557</v>
      </c>
      <c r="Z659" t="n">
        <v>549</v>
      </c>
      <c r="AA659" t="n">
        <v>643</v>
      </c>
      <c r="AB659" t="n">
        <v>8</v>
      </c>
      <c r="AC659" t="n">
        <v>9</v>
      </c>
      <c r="AD659" t="n">
        <v>9</v>
      </c>
      <c r="AE659" t="n">
        <v>10</v>
      </c>
      <c r="AF659" t="n">
        <v>3</v>
      </c>
      <c r="AG659" t="n">
        <v>4</v>
      </c>
      <c r="AH659" t="n">
        <v>1</v>
      </c>
      <c r="AI659" t="n">
        <v>1</v>
      </c>
      <c r="AJ659" t="n">
        <v>6</v>
      </c>
      <c r="AK659" t="n">
        <v>6</v>
      </c>
      <c r="AL659" t="n">
        <v>1</v>
      </c>
      <c r="AM659" t="n">
        <v>1</v>
      </c>
      <c r="AN659" t="n">
        <v>0</v>
      </c>
      <c r="AO659" t="n">
        <v>0</v>
      </c>
      <c r="AP659" t="inlineStr">
        <is>
          <t>No</t>
        </is>
      </c>
      <c r="AQ659" t="inlineStr">
        <is>
          <t>No</t>
        </is>
      </c>
      <c r="AS659">
        <f>HYPERLINK("https://creighton-primo.hosted.exlibrisgroup.com/primo-explore/search?tab=default_tab&amp;search_scope=EVERYTHING&amp;vid=01CRU&amp;lang=en_US&amp;offset=0&amp;query=any,contains,991000342679702656","Catalog Record")</f>
        <v/>
      </c>
      <c r="AT659">
        <f>HYPERLINK("http://www.worldcat.org/oclc/10275309","WorldCat Record")</f>
        <v/>
      </c>
      <c r="AU659" t="inlineStr">
        <is>
          <t>911985611:eng</t>
        </is>
      </c>
      <c r="AV659" t="inlineStr">
        <is>
          <t>10275309</t>
        </is>
      </c>
      <c r="AW659" t="inlineStr">
        <is>
          <t>991000342679702656</t>
        </is>
      </c>
      <c r="AX659" t="inlineStr">
        <is>
          <t>991000342679702656</t>
        </is>
      </c>
      <c r="AY659" t="inlineStr">
        <is>
          <t>2268938790002656</t>
        </is>
      </c>
      <c r="AZ659" t="inlineStr">
        <is>
          <t>BOOK</t>
        </is>
      </c>
      <c r="BB659" t="inlineStr">
        <is>
          <t>9780385192408</t>
        </is>
      </c>
      <c r="BC659" t="inlineStr">
        <is>
          <t>32285000640200</t>
        </is>
      </c>
      <c r="BD659" t="inlineStr">
        <is>
          <t>893231043</t>
        </is>
      </c>
    </row>
    <row r="660">
      <c r="A660" t="inlineStr">
        <is>
          <t>No</t>
        </is>
      </c>
      <c r="B660" t="inlineStr">
        <is>
          <t>BX1755 .H26 1984</t>
        </is>
      </c>
      <c r="C660" t="inlineStr">
        <is>
          <t>0                      BX 1755000H  26          1984</t>
        </is>
      </c>
      <c r="D660" t="inlineStr">
        <is>
          <t>A Catholic vision / Stephen Happel and David Tracy.</t>
        </is>
      </c>
      <c r="F660" t="inlineStr">
        <is>
          <t>No</t>
        </is>
      </c>
      <c r="G660" t="inlineStr">
        <is>
          <t>1</t>
        </is>
      </c>
      <c r="H660" t="inlineStr">
        <is>
          <t>No</t>
        </is>
      </c>
      <c r="I660" t="inlineStr">
        <is>
          <t>No</t>
        </is>
      </c>
      <c r="J660" t="inlineStr">
        <is>
          <t>0</t>
        </is>
      </c>
      <c r="K660" t="inlineStr">
        <is>
          <t>Happel, Stephen, 1944-</t>
        </is>
      </c>
      <c r="L660" t="inlineStr">
        <is>
          <t>Philadelphia : Fortress Press, c1984.</t>
        </is>
      </c>
      <c r="M660" t="inlineStr">
        <is>
          <t>1984</t>
        </is>
      </c>
      <c r="O660" t="inlineStr">
        <is>
          <t>eng</t>
        </is>
      </c>
      <c r="P660" t="inlineStr">
        <is>
          <t>pau</t>
        </is>
      </c>
      <c r="R660" t="inlineStr">
        <is>
          <t xml:space="preserve">BX </t>
        </is>
      </c>
      <c r="S660" t="n">
        <v>7</v>
      </c>
      <c r="T660" t="n">
        <v>7</v>
      </c>
      <c r="U660" t="inlineStr">
        <is>
          <t>2003-08-20</t>
        </is>
      </c>
      <c r="V660" t="inlineStr">
        <is>
          <t>2003-08-20</t>
        </is>
      </c>
      <c r="W660" t="inlineStr">
        <is>
          <t>1994-04-19</t>
        </is>
      </c>
      <c r="X660" t="inlineStr">
        <is>
          <t>1994-04-19</t>
        </is>
      </c>
      <c r="Y660" t="n">
        <v>450</v>
      </c>
      <c r="Z660" t="n">
        <v>392</v>
      </c>
      <c r="AA660" t="n">
        <v>396</v>
      </c>
      <c r="AB660" t="n">
        <v>5</v>
      </c>
      <c r="AC660" t="n">
        <v>5</v>
      </c>
      <c r="AD660" t="n">
        <v>38</v>
      </c>
      <c r="AE660" t="n">
        <v>38</v>
      </c>
      <c r="AF660" t="n">
        <v>16</v>
      </c>
      <c r="AG660" t="n">
        <v>16</v>
      </c>
      <c r="AH660" t="n">
        <v>8</v>
      </c>
      <c r="AI660" t="n">
        <v>8</v>
      </c>
      <c r="AJ660" t="n">
        <v>23</v>
      </c>
      <c r="AK660" t="n">
        <v>23</v>
      </c>
      <c r="AL660" t="n">
        <v>3</v>
      </c>
      <c r="AM660" t="n">
        <v>3</v>
      </c>
      <c r="AN660" t="n">
        <v>0</v>
      </c>
      <c r="AO660" t="n">
        <v>0</v>
      </c>
      <c r="AP660" t="inlineStr">
        <is>
          <t>No</t>
        </is>
      </c>
      <c r="AQ660" t="inlineStr">
        <is>
          <t>No</t>
        </is>
      </c>
      <c r="AS660">
        <f>HYPERLINK("https://creighton-primo.hosted.exlibrisgroup.com/primo-explore/search?tab=default_tab&amp;search_scope=EVERYTHING&amp;vid=01CRU&amp;lang=en_US&amp;offset=0&amp;query=any,contains,991000343949702656","Catalog Record")</f>
        <v/>
      </c>
      <c r="AT660">
        <f>HYPERLINK("http://www.worldcat.org/oclc/10276097","WorldCat Record")</f>
        <v/>
      </c>
      <c r="AU660" t="inlineStr">
        <is>
          <t>3387334:eng</t>
        </is>
      </c>
      <c r="AV660" t="inlineStr">
        <is>
          <t>10276097</t>
        </is>
      </c>
      <c r="AW660" t="inlineStr">
        <is>
          <t>991000343949702656</t>
        </is>
      </c>
      <c r="AX660" t="inlineStr">
        <is>
          <t>991000343949702656</t>
        </is>
      </c>
      <c r="AY660" t="inlineStr">
        <is>
          <t>2270620670002656</t>
        </is>
      </c>
      <c r="AZ660" t="inlineStr">
        <is>
          <t>BOOK</t>
        </is>
      </c>
      <c r="BB660" t="inlineStr">
        <is>
          <t>9780800617196</t>
        </is>
      </c>
      <c r="BC660" t="inlineStr">
        <is>
          <t>32285001890374</t>
        </is>
      </c>
      <c r="BD660" t="inlineStr">
        <is>
          <t>893884298</t>
        </is>
      </c>
    </row>
    <row r="661">
      <c r="A661" t="inlineStr">
        <is>
          <t>No</t>
        </is>
      </c>
      <c r="B661" t="inlineStr">
        <is>
          <t>BX1755 .J648 1982, v...</t>
        </is>
      </c>
      <c r="C661" t="inlineStr">
        <is>
          <t>0                      BX 1755000J  648         1982                                        v...</t>
        </is>
      </c>
      <c r="D661" t="inlineStr">
        <is>
          <t>Through the priestly ministry, the gift of salvation / messages of John Paul II to bishops, priests, and deacons ; compiled and indexed by the Daughters of St. Paul.</t>
        </is>
      </c>
      <c r="E661" t="inlineStr">
        <is>
          <t>V.2</t>
        </is>
      </c>
      <c r="F661" t="inlineStr">
        <is>
          <t>Yes</t>
        </is>
      </c>
      <c r="G661" t="inlineStr">
        <is>
          <t>1</t>
        </is>
      </c>
      <c r="H661" t="inlineStr">
        <is>
          <t>No</t>
        </is>
      </c>
      <c r="I661" t="inlineStr">
        <is>
          <t>No</t>
        </is>
      </c>
      <c r="J661" t="inlineStr">
        <is>
          <t>0</t>
        </is>
      </c>
      <c r="K661" t="inlineStr">
        <is>
          <t>John Paul II, Pope, 1920-2005.</t>
        </is>
      </c>
      <c r="L661" t="inlineStr">
        <is>
          <t>[Boston] : St. Paul Editions, c1982-</t>
        </is>
      </c>
      <c r="M661" t="inlineStr">
        <is>
          <t>1982</t>
        </is>
      </c>
      <c r="O661" t="inlineStr">
        <is>
          <t>eng</t>
        </is>
      </c>
      <c r="P661" t="inlineStr">
        <is>
          <t>mau</t>
        </is>
      </c>
      <c r="R661" t="inlineStr">
        <is>
          <t xml:space="preserve">BX </t>
        </is>
      </c>
      <c r="S661" t="n">
        <v>1</v>
      </c>
      <c r="T661" t="n">
        <v>1</v>
      </c>
      <c r="U661" t="inlineStr">
        <is>
          <t>2003-11-16</t>
        </is>
      </c>
      <c r="V661" t="inlineStr">
        <is>
          <t>2003-11-16</t>
        </is>
      </c>
      <c r="W661" t="inlineStr">
        <is>
          <t>1991-05-15</t>
        </is>
      </c>
      <c r="X661" t="inlineStr">
        <is>
          <t>1991-05-15</t>
        </is>
      </c>
      <c r="Y661" t="n">
        <v>75</v>
      </c>
      <c r="Z661" t="n">
        <v>72</v>
      </c>
      <c r="AA661" t="n">
        <v>74</v>
      </c>
      <c r="AB661" t="n">
        <v>2</v>
      </c>
      <c r="AC661" t="n">
        <v>2</v>
      </c>
      <c r="AD661" t="n">
        <v>9</v>
      </c>
      <c r="AE661" t="n">
        <v>9</v>
      </c>
      <c r="AF661" t="n">
        <v>2</v>
      </c>
      <c r="AG661" t="n">
        <v>2</v>
      </c>
      <c r="AH661" t="n">
        <v>3</v>
      </c>
      <c r="AI661" t="n">
        <v>3</v>
      </c>
      <c r="AJ661" t="n">
        <v>7</v>
      </c>
      <c r="AK661" t="n">
        <v>7</v>
      </c>
      <c r="AL661" t="n">
        <v>0</v>
      </c>
      <c r="AM661" t="n">
        <v>0</v>
      </c>
      <c r="AN661" t="n">
        <v>0</v>
      </c>
      <c r="AO661" t="n">
        <v>0</v>
      </c>
      <c r="AP661" t="inlineStr">
        <is>
          <t>No</t>
        </is>
      </c>
      <c r="AQ661" t="inlineStr">
        <is>
          <t>Yes</t>
        </is>
      </c>
      <c r="AR661">
        <f>HYPERLINK("http://catalog.hathitrust.org/Record/012273831","HathiTrust Record")</f>
        <v/>
      </c>
      <c r="AS661">
        <f>HYPERLINK("https://creighton-primo.hosted.exlibrisgroup.com/primo-explore/search?tab=default_tab&amp;search_scope=EVERYTHING&amp;vid=01CRU&amp;lang=en_US&amp;offset=0&amp;query=any,contains,991005193299702656","Catalog Record")</f>
        <v/>
      </c>
      <c r="AT661">
        <f>HYPERLINK("http://www.worldcat.org/oclc/8032310","WorldCat Record")</f>
        <v/>
      </c>
      <c r="AU661" t="inlineStr">
        <is>
          <t>46744835:eng</t>
        </is>
      </c>
      <c r="AV661" t="inlineStr">
        <is>
          <t>8032310</t>
        </is>
      </c>
      <c r="AW661" t="inlineStr">
        <is>
          <t>991005193299702656</t>
        </is>
      </c>
      <c r="AX661" t="inlineStr">
        <is>
          <t>991005193299702656</t>
        </is>
      </c>
      <c r="AY661" t="inlineStr">
        <is>
          <t>2269030020002656</t>
        </is>
      </c>
      <c r="AZ661" t="inlineStr">
        <is>
          <t>BOOK</t>
        </is>
      </c>
      <c r="BB661" t="inlineStr">
        <is>
          <t>9780819873224</t>
        </is>
      </c>
      <c r="BC661" t="inlineStr">
        <is>
          <t>32285000640234</t>
        </is>
      </c>
      <c r="BD661" t="inlineStr">
        <is>
          <t>893338684</t>
        </is>
      </c>
    </row>
    <row r="662">
      <c r="A662" t="inlineStr">
        <is>
          <t>No</t>
        </is>
      </c>
      <c r="B662" t="inlineStr">
        <is>
          <t>BX1755 .J648 1982, v...</t>
        </is>
      </c>
      <c r="C662" t="inlineStr">
        <is>
          <t>0                      BX 1755000J  648         1982                                        v...</t>
        </is>
      </c>
      <c r="D662" t="inlineStr">
        <is>
          <t>Through the priestly ministry, the gift of salvation / messages of John Paul II to bishops, priests, and deacons ; compiled and indexed by the Daughters of St. Paul.</t>
        </is>
      </c>
      <c r="E662" t="inlineStr">
        <is>
          <t>V.1</t>
        </is>
      </c>
      <c r="F662" t="inlineStr">
        <is>
          <t>Yes</t>
        </is>
      </c>
      <c r="G662" t="inlineStr">
        <is>
          <t>1</t>
        </is>
      </c>
      <c r="H662" t="inlineStr">
        <is>
          <t>No</t>
        </is>
      </c>
      <c r="I662" t="inlineStr">
        <is>
          <t>No</t>
        </is>
      </c>
      <c r="J662" t="inlineStr">
        <is>
          <t>0</t>
        </is>
      </c>
      <c r="K662" t="inlineStr">
        <is>
          <t>John Paul II, Pope, 1920-2005.</t>
        </is>
      </c>
      <c r="L662" t="inlineStr">
        <is>
          <t>[Boston] : St. Paul Editions, c1982-</t>
        </is>
      </c>
      <c r="M662" t="inlineStr">
        <is>
          <t>1982</t>
        </is>
      </c>
      <c r="O662" t="inlineStr">
        <is>
          <t>eng</t>
        </is>
      </c>
      <c r="P662" t="inlineStr">
        <is>
          <t>mau</t>
        </is>
      </c>
      <c r="R662" t="inlineStr">
        <is>
          <t xml:space="preserve">BX </t>
        </is>
      </c>
      <c r="S662" t="n">
        <v>0</v>
      </c>
      <c r="T662" t="n">
        <v>1</v>
      </c>
      <c r="V662" t="inlineStr">
        <is>
          <t>2003-11-16</t>
        </is>
      </c>
      <c r="W662" t="inlineStr">
        <is>
          <t>1991-05-15</t>
        </is>
      </c>
      <c r="X662" t="inlineStr">
        <is>
          <t>1991-05-15</t>
        </is>
      </c>
      <c r="Y662" t="n">
        <v>75</v>
      </c>
      <c r="Z662" t="n">
        <v>72</v>
      </c>
      <c r="AA662" t="n">
        <v>74</v>
      </c>
      <c r="AB662" t="n">
        <v>2</v>
      </c>
      <c r="AC662" t="n">
        <v>2</v>
      </c>
      <c r="AD662" t="n">
        <v>9</v>
      </c>
      <c r="AE662" t="n">
        <v>9</v>
      </c>
      <c r="AF662" t="n">
        <v>2</v>
      </c>
      <c r="AG662" t="n">
        <v>2</v>
      </c>
      <c r="AH662" t="n">
        <v>3</v>
      </c>
      <c r="AI662" t="n">
        <v>3</v>
      </c>
      <c r="AJ662" t="n">
        <v>7</v>
      </c>
      <c r="AK662" t="n">
        <v>7</v>
      </c>
      <c r="AL662" t="n">
        <v>0</v>
      </c>
      <c r="AM662" t="n">
        <v>0</v>
      </c>
      <c r="AN662" t="n">
        <v>0</v>
      </c>
      <c r="AO662" t="n">
        <v>0</v>
      </c>
      <c r="AP662" t="inlineStr">
        <is>
          <t>No</t>
        </is>
      </c>
      <c r="AQ662" t="inlineStr">
        <is>
          <t>Yes</t>
        </is>
      </c>
      <c r="AR662">
        <f>HYPERLINK("http://catalog.hathitrust.org/Record/012273831","HathiTrust Record")</f>
        <v/>
      </c>
      <c r="AS662">
        <f>HYPERLINK("https://creighton-primo.hosted.exlibrisgroup.com/primo-explore/search?tab=default_tab&amp;search_scope=EVERYTHING&amp;vid=01CRU&amp;lang=en_US&amp;offset=0&amp;query=any,contains,991005193299702656","Catalog Record")</f>
        <v/>
      </c>
      <c r="AT662">
        <f>HYPERLINK("http://www.worldcat.org/oclc/8032310","WorldCat Record")</f>
        <v/>
      </c>
      <c r="AU662" t="inlineStr">
        <is>
          <t>46744835:eng</t>
        </is>
      </c>
      <c r="AV662" t="inlineStr">
        <is>
          <t>8032310</t>
        </is>
      </c>
      <c r="AW662" t="inlineStr">
        <is>
          <t>991005193299702656</t>
        </is>
      </c>
      <c r="AX662" t="inlineStr">
        <is>
          <t>991005193299702656</t>
        </is>
      </c>
      <c r="AY662" t="inlineStr">
        <is>
          <t>2269030020002656</t>
        </is>
      </c>
      <c r="AZ662" t="inlineStr">
        <is>
          <t>BOOK</t>
        </is>
      </c>
      <c r="BB662" t="inlineStr">
        <is>
          <t>9780819873224</t>
        </is>
      </c>
      <c r="BC662" t="inlineStr">
        <is>
          <t>32285000640226</t>
        </is>
      </c>
      <c r="BD662" t="inlineStr">
        <is>
          <t>893338683</t>
        </is>
      </c>
    </row>
    <row r="663">
      <c r="A663" t="inlineStr">
        <is>
          <t>No</t>
        </is>
      </c>
      <c r="B663" t="inlineStr">
        <is>
          <t>BX1755 .W43 1985</t>
        </is>
      </c>
      <c r="C663" t="inlineStr">
        <is>
          <t>0                      BX 1755000W  43          1985</t>
        </is>
      </c>
      <c r="D663" t="inlineStr">
        <is>
          <t>All God's people : Catholic identity after the Second Vatican Council / Rembert G. Weakland.</t>
        </is>
      </c>
      <c r="F663" t="inlineStr">
        <is>
          <t>No</t>
        </is>
      </c>
      <c r="G663" t="inlineStr">
        <is>
          <t>1</t>
        </is>
      </c>
      <c r="H663" t="inlineStr">
        <is>
          <t>No</t>
        </is>
      </c>
      <c r="I663" t="inlineStr">
        <is>
          <t>No</t>
        </is>
      </c>
      <c r="J663" t="inlineStr">
        <is>
          <t>0</t>
        </is>
      </c>
      <c r="K663" t="inlineStr">
        <is>
          <t>Weakland, Rembert.</t>
        </is>
      </c>
      <c r="L663" t="inlineStr">
        <is>
          <t>New York : Paulist Press, c1985.</t>
        </is>
      </c>
      <c r="M663" t="inlineStr">
        <is>
          <t>1985</t>
        </is>
      </c>
      <c r="O663" t="inlineStr">
        <is>
          <t>eng</t>
        </is>
      </c>
      <c r="P663" t="inlineStr">
        <is>
          <t>nyu</t>
        </is>
      </c>
      <c r="R663" t="inlineStr">
        <is>
          <t xml:space="preserve">BX </t>
        </is>
      </c>
      <c r="S663" t="n">
        <v>2</v>
      </c>
      <c r="T663" t="n">
        <v>2</v>
      </c>
      <c r="U663" t="inlineStr">
        <is>
          <t>2001-12-08</t>
        </is>
      </c>
      <c r="V663" t="inlineStr">
        <is>
          <t>2001-12-08</t>
        </is>
      </c>
      <c r="W663" t="inlineStr">
        <is>
          <t>1991-05-15</t>
        </is>
      </c>
      <c r="X663" t="inlineStr">
        <is>
          <t>1991-05-15</t>
        </is>
      </c>
      <c r="Y663" t="n">
        <v>171</v>
      </c>
      <c r="Z663" t="n">
        <v>152</v>
      </c>
      <c r="AA663" t="n">
        <v>156</v>
      </c>
      <c r="AB663" t="n">
        <v>3</v>
      </c>
      <c r="AC663" t="n">
        <v>3</v>
      </c>
      <c r="AD663" t="n">
        <v>20</v>
      </c>
      <c r="AE663" t="n">
        <v>20</v>
      </c>
      <c r="AF663" t="n">
        <v>3</v>
      </c>
      <c r="AG663" t="n">
        <v>3</v>
      </c>
      <c r="AH663" t="n">
        <v>6</v>
      </c>
      <c r="AI663" t="n">
        <v>6</v>
      </c>
      <c r="AJ663" t="n">
        <v>15</v>
      </c>
      <c r="AK663" t="n">
        <v>15</v>
      </c>
      <c r="AL663" t="n">
        <v>1</v>
      </c>
      <c r="AM663" t="n">
        <v>1</v>
      </c>
      <c r="AN663" t="n">
        <v>0</v>
      </c>
      <c r="AO663" t="n">
        <v>0</v>
      </c>
      <c r="AP663" t="inlineStr">
        <is>
          <t>No</t>
        </is>
      </c>
      <c r="AQ663" t="inlineStr">
        <is>
          <t>No</t>
        </is>
      </c>
      <c r="AS663">
        <f>HYPERLINK("https://creighton-primo.hosted.exlibrisgroup.com/primo-explore/search?tab=default_tab&amp;search_scope=EVERYTHING&amp;vid=01CRU&amp;lang=en_US&amp;offset=0&amp;query=any,contains,991000659639702656","Catalog Record")</f>
        <v/>
      </c>
      <c r="AT663">
        <f>HYPERLINK("http://www.worldcat.org/oclc/12236681","WorldCat Record")</f>
        <v/>
      </c>
      <c r="AU663" t="inlineStr">
        <is>
          <t>5183345:eng</t>
        </is>
      </c>
      <c r="AV663" t="inlineStr">
        <is>
          <t>12236681</t>
        </is>
      </c>
      <c r="AW663" t="inlineStr">
        <is>
          <t>991000659639702656</t>
        </is>
      </c>
      <c r="AX663" t="inlineStr">
        <is>
          <t>991000659639702656</t>
        </is>
      </c>
      <c r="AY663" t="inlineStr">
        <is>
          <t>2261213140002656</t>
        </is>
      </c>
      <c r="AZ663" t="inlineStr">
        <is>
          <t>BOOK</t>
        </is>
      </c>
      <c r="BB663" t="inlineStr">
        <is>
          <t>9780809126651</t>
        </is>
      </c>
      <c r="BC663" t="inlineStr">
        <is>
          <t>32285000640333</t>
        </is>
      </c>
      <c r="BD663" t="inlineStr">
        <is>
          <t>893708590</t>
        </is>
      </c>
    </row>
    <row r="664">
      <c r="A664" t="inlineStr">
        <is>
          <t>No</t>
        </is>
      </c>
      <c r="B664" t="inlineStr">
        <is>
          <t>BX1756 .B4 1968</t>
        </is>
      </c>
      <c r="C664" t="inlineStr">
        <is>
          <t>0                      BX 1756000B  4           1968</t>
        </is>
      </c>
      <c r="D664" t="inlineStr">
        <is>
          <t>A book of essays / by Robert High Benson. With a memoir by Allan Ross and a foreword by C. C. Martindale.</t>
        </is>
      </c>
      <c r="F664" t="inlineStr">
        <is>
          <t>No</t>
        </is>
      </c>
      <c r="G664" t="inlineStr">
        <is>
          <t>1</t>
        </is>
      </c>
      <c r="H664" t="inlineStr">
        <is>
          <t>No</t>
        </is>
      </c>
      <c r="I664" t="inlineStr">
        <is>
          <t>No</t>
        </is>
      </c>
      <c r="J664" t="inlineStr">
        <is>
          <t>0</t>
        </is>
      </c>
      <c r="K664" t="inlineStr">
        <is>
          <t>Benson, Robert Hugh, 1871-1914.</t>
        </is>
      </c>
      <c r="L664" t="inlineStr">
        <is>
          <t>Freeport, N.Y., Books for Libraries Press [1968]</t>
        </is>
      </c>
      <c r="M664" t="inlineStr">
        <is>
          <t>1968</t>
        </is>
      </c>
      <c r="O664" t="inlineStr">
        <is>
          <t>eng</t>
        </is>
      </c>
      <c r="P664" t="inlineStr">
        <is>
          <t>nyu</t>
        </is>
      </c>
      <c r="Q664" t="inlineStr">
        <is>
          <t>Essay index reprint series</t>
        </is>
      </c>
      <c r="R664" t="inlineStr">
        <is>
          <t xml:space="preserve">BX </t>
        </is>
      </c>
      <c r="S664" t="n">
        <v>5</v>
      </c>
      <c r="T664" t="n">
        <v>5</v>
      </c>
      <c r="U664" t="inlineStr">
        <is>
          <t>2004-07-19</t>
        </is>
      </c>
      <c r="V664" t="inlineStr">
        <is>
          <t>2004-07-19</t>
        </is>
      </c>
      <c r="W664" t="inlineStr">
        <is>
          <t>1991-05-16</t>
        </is>
      </c>
      <c r="X664" t="inlineStr">
        <is>
          <t>1991-05-16</t>
        </is>
      </c>
      <c r="Y664" t="n">
        <v>286</v>
      </c>
      <c r="Z664" t="n">
        <v>270</v>
      </c>
      <c r="AA664" t="n">
        <v>340</v>
      </c>
      <c r="AB664" t="n">
        <v>2</v>
      </c>
      <c r="AC664" t="n">
        <v>2</v>
      </c>
      <c r="AD664" t="n">
        <v>10</v>
      </c>
      <c r="AE664" t="n">
        <v>24</v>
      </c>
      <c r="AF664" t="n">
        <v>5</v>
      </c>
      <c r="AG664" t="n">
        <v>6</v>
      </c>
      <c r="AH664" t="n">
        <v>4</v>
      </c>
      <c r="AI664" t="n">
        <v>6</v>
      </c>
      <c r="AJ664" t="n">
        <v>4</v>
      </c>
      <c r="AK664" t="n">
        <v>16</v>
      </c>
      <c r="AL664" t="n">
        <v>1</v>
      </c>
      <c r="AM664" t="n">
        <v>1</v>
      </c>
      <c r="AN664" t="n">
        <v>0</v>
      </c>
      <c r="AO664" t="n">
        <v>0</v>
      </c>
      <c r="AP664" t="inlineStr">
        <is>
          <t>No</t>
        </is>
      </c>
      <c r="AQ664" t="inlineStr">
        <is>
          <t>Yes</t>
        </is>
      </c>
      <c r="AR664">
        <f>HYPERLINK("http://catalog.hathitrust.org/Record/009519168","HathiTrust Record")</f>
        <v/>
      </c>
      <c r="AS664">
        <f>HYPERLINK("https://creighton-primo.hosted.exlibrisgroup.com/primo-explore/search?tab=default_tab&amp;search_scope=EVERYTHING&amp;vid=01CRU&amp;lang=en_US&amp;offset=0&amp;query=any,contains,991002674819702656","Catalog Record")</f>
        <v/>
      </c>
      <c r="AT664">
        <f>HYPERLINK("http://www.worldcat.org/oclc/396561","WorldCat Record")</f>
        <v/>
      </c>
      <c r="AU664" t="inlineStr">
        <is>
          <t>1541774:eng</t>
        </is>
      </c>
      <c r="AV664" t="inlineStr">
        <is>
          <t>396561</t>
        </is>
      </c>
      <c r="AW664" t="inlineStr">
        <is>
          <t>991002674819702656</t>
        </is>
      </c>
      <c r="AX664" t="inlineStr">
        <is>
          <t>991002674819702656</t>
        </is>
      </c>
      <c r="AY664" t="inlineStr">
        <is>
          <t>2261071780002656</t>
        </is>
      </c>
      <c r="AZ664" t="inlineStr">
        <is>
          <t>BOOK</t>
        </is>
      </c>
      <c r="BC664" t="inlineStr">
        <is>
          <t>32285000641166</t>
        </is>
      </c>
      <c r="BD664" t="inlineStr">
        <is>
          <t>893347785</t>
        </is>
      </c>
    </row>
    <row r="665">
      <c r="A665" t="inlineStr">
        <is>
          <t>No</t>
        </is>
      </c>
      <c r="B665" t="inlineStr">
        <is>
          <t>BX1756 .M371 1916</t>
        </is>
      </c>
      <c r="C665" t="inlineStr">
        <is>
          <t>0                      BX 1756000M  371         1916</t>
        </is>
      </c>
      <c r="D665" t="inlineStr">
        <is>
          <t>Sermons and sermon notes / eited by Wilfrid Ward.</t>
        </is>
      </c>
      <c r="F665" t="inlineStr">
        <is>
          <t>No</t>
        </is>
      </c>
      <c r="G665" t="inlineStr">
        <is>
          <t>1</t>
        </is>
      </c>
      <c r="H665" t="inlineStr">
        <is>
          <t>No</t>
        </is>
      </c>
      <c r="I665" t="inlineStr">
        <is>
          <t>No</t>
        </is>
      </c>
      <c r="J665" t="inlineStr">
        <is>
          <t>0</t>
        </is>
      </c>
      <c r="K665" t="inlineStr">
        <is>
          <t>Maturin, B. W. (Basil William), 1847-1915.</t>
        </is>
      </c>
      <c r="L665" t="inlineStr">
        <is>
          <t>London ; New York : Longmans, Green, 1916.</t>
        </is>
      </c>
      <c r="M665" t="inlineStr">
        <is>
          <t>1916</t>
        </is>
      </c>
      <c r="O665" t="inlineStr">
        <is>
          <t>eng</t>
        </is>
      </c>
      <c r="P665" t="inlineStr">
        <is>
          <t>enk</t>
        </is>
      </c>
      <c r="R665" t="inlineStr">
        <is>
          <t xml:space="preserve">BX </t>
        </is>
      </c>
      <c r="S665" t="n">
        <v>1</v>
      </c>
      <c r="T665" t="n">
        <v>1</v>
      </c>
      <c r="U665" t="inlineStr">
        <is>
          <t>2005-01-25</t>
        </is>
      </c>
      <c r="V665" t="inlineStr">
        <is>
          <t>2005-01-25</t>
        </is>
      </c>
      <c r="W665" t="inlineStr">
        <is>
          <t>1991-05-17</t>
        </is>
      </c>
      <c r="X665" t="inlineStr">
        <is>
          <t>1991-05-17</t>
        </is>
      </c>
      <c r="Y665" t="n">
        <v>43</v>
      </c>
      <c r="Z665" t="n">
        <v>34</v>
      </c>
      <c r="AA665" t="n">
        <v>58</v>
      </c>
      <c r="AB665" t="n">
        <v>1</v>
      </c>
      <c r="AC665" t="n">
        <v>1</v>
      </c>
      <c r="AD665" t="n">
        <v>8</v>
      </c>
      <c r="AE665" t="n">
        <v>13</v>
      </c>
      <c r="AF665" t="n">
        <v>0</v>
      </c>
      <c r="AG665" t="n">
        <v>2</v>
      </c>
      <c r="AH665" t="n">
        <v>1</v>
      </c>
      <c r="AI665" t="n">
        <v>3</v>
      </c>
      <c r="AJ665" t="n">
        <v>7</v>
      </c>
      <c r="AK665" t="n">
        <v>11</v>
      </c>
      <c r="AL665" t="n">
        <v>0</v>
      </c>
      <c r="AM665" t="n">
        <v>0</v>
      </c>
      <c r="AN665" t="n">
        <v>0</v>
      </c>
      <c r="AO665" t="n">
        <v>0</v>
      </c>
      <c r="AP665" t="inlineStr">
        <is>
          <t>No</t>
        </is>
      </c>
      <c r="AQ665" t="inlineStr">
        <is>
          <t>No</t>
        </is>
      </c>
      <c r="AS665">
        <f>HYPERLINK("https://creighton-primo.hosted.exlibrisgroup.com/primo-explore/search?tab=default_tab&amp;search_scope=EVERYTHING&amp;vid=01CRU&amp;lang=en_US&amp;offset=0&amp;query=any,contains,991004521399702656","Catalog Record")</f>
        <v/>
      </c>
      <c r="AT665">
        <f>HYPERLINK("http://www.worldcat.org/oclc/3820419","WorldCat Record")</f>
        <v/>
      </c>
      <c r="AU665" t="inlineStr">
        <is>
          <t>9795872:eng</t>
        </is>
      </c>
      <c r="AV665" t="inlineStr">
        <is>
          <t>3820419</t>
        </is>
      </c>
      <c r="AW665" t="inlineStr">
        <is>
          <t>991004521399702656</t>
        </is>
      </c>
      <c r="AX665" t="inlineStr">
        <is>
          <t>991004521399702656</t>
        </is>
      </c>
      <c r="AY665" t="inlineStr">
        <is>
          <t>2255729490002656</t>
        </is>
      </c>
      <c r="AZ665" t="inlineStr">
        <is>
          <t>BOOK</t>
        </is>
      </c>
      <c r="BC665" t="inlineStr">
        <is>
          <t>32285000641703</t>
        </is>
      </c>
      <c r="BD665" t="inlineStr">
        <is>
          <t>893229462</t>
        </is>
      </c>
    </row>
    <row r="666">
      <c r="A666" t="inlineStr">
        <is>
          <t>No</t>
        </is>
      </c>
      <c r="B666" t="inlineStr">
        <is>
          <t>BX1756 .W9D43 1966</t>
        </is>
      </c>
      <c r="C666" t="inlineStr">
        <is>
          <t>0                      BX 1756000W  9                  D  43          1966</t>
        </is>
      </c>
      <c r="D666" t="inlineStr">
        <is>
          <t>The deeds of faith / by Cardinal Wyszyński ; selected and translated by Alexander T. Jordan.</t>
        </is>
      </c>
      <c r="F666" t="inlineStr">
        <is>
          <t>No</t>
        </is>
      </c>
      <c r="G666" t="inlineStr">
        <is>
          <t>1</t>
        </is>
      </c>
      <c r="H666" t="inlineStr">
        <is>
          <t>No</t>
        </is>
      </c>
      <c r="I666" t="inlineStr">
        <is>
          <t>No</t>
        </is>
      </c>
      <c r="J666" t="inlineStr">
        <is>
          <t>0</t>
        </is>
      </c>
      <c r="K666" t="inlineStr">
        <is>
          <t>Wyszyński, Stefan, 1901-1981.</t>
        </is>
      </c>
      <c r="L666" t="inlineStr">
        <is>
          <t>New York : Harper &amp; Row, [1966]</t>
        </is>
      </c>
      <c r="M666" t="inlineStr">
        <is>
          <t>1966</t>
        </is>
      </c>
      <c r="N666" t="inlineStr">
        <is>
          <t>[1st ed.]</t>
        </is>
      </c>
      <c r="O666" t="inlineStr">
        <is>
          <t>eng</t>
        </is>
      </c>
      <c r="P666" t="inlineStr">
        <is>
          <t>nyu</t>
        </is>
      </c>
      <c r="R666" t="inlineStr">
        <is>
          <t xml:space="preserve">BX </t>
        </is>
      </c>
      <c r="S666" t="n">
        <v>1</v>
      </c>
      <c r="T666" t="n">
        <v>1</v>
      </c>
      <c r="U666" t="inlineStr">
        <is>
          <t>1995-05-26</t>
        </is>
      </c>
      <c r="V666" t="inlineStr">
        <is>
          <t>1995-05-26</t>
        </is>
      </c>
      <c r="W666" t="inlineStr">
        <is>
          <t>1991-01-03</t>
        </is>
      </c>
      <c r="X666" t="inlineStr">
        <is>
          <t>1991-01-03</t>
        </is>
      </c>
      <c r="Y666" t="n">
        <v>287</v>
      </c>
      <c r="Z666" t="n">
        <v>266</v>
      </c>
      <c r="AA666" t="n">
        <v>271</v>
      </c>
      <c r="AB666" t="n">
        <v>4</v>
      </c>
      <c r="AC666" t="n">
        <v>4</v>
      </c>
      <c r="AD666" t="n">
        <v>22</v>
      </c>
      <c r="AE666" t="n">
        <v>22</v>
      </c>
      <c r="AF666" t="n">
        <v>6</v>
      </c>
      <c r="AG666" t="n">
        <v>6</v>
      </c>
      <c r="AH666" t="n">
        <v>5</v>
      </c>
      <c r="AI666" t="n">
        <v>5</v>
      </c>
      <c r="AJ666" t="n">
        <v>16</v>
      </c>
      <c r="AK666" t="n">
        <v>16</v>
      </c>
      <c r="AL666" t="n">
        <v>1</v>
      </c>
      <c r="AM666" t="n">
        <v>1</v>
      </c>
      <c r="AN666" t="n">
        <v>0</v>
      </c>
      <c r="AO666" t="n">
        <v>0</v>
      </c>
      <c r="AP666" t="inlineStr">
        <is>
          <t>No</t>
        </is>
      </c>
      <c r="AQ666" t="inlineStr">
        <is>
          <t>No</t>
        </is>
      </c>
      <c r="AS666">
        <f>HYPERLINK("https://creighton-primo.hosted.exlibrisgroup.com/primo-explore/search?tab=default_tab&amp;search_scope=EVERYTHING&amp;vid=01CRU&amp;lang=en_US&amp;offset=0&amp;query=any,contains,991003826119702656","Catalog Record")</f>
        <v/>
      </c>
      <c r="AT666">
        <f>HYPERLINK("http://www.worldcat.org/oclc/1576916","WorldCat Record")</f>
        <v/>
      </c>
      <c r="AU666" t="inlineStr">
        <is>
          <t>1352746117:eng</t>
        </is>
      </c>
      <c r="AV666" t="inlineStr">
        <is>
          <t>1576916</t>
        </is>
      </c>
      <c r="AW666" t="inlineStr">
        <is>
          <t>991003826119702656</t>
        </is>
      </c>
      <c r="AX666" t="inlineStr">
        <is>
          <t>991003826119702656</t>
        </is>
      </c>
      <c r="AY666" t="inlineStr">
        <is>
          <t>2262610500002656</t>
        </is>
      </c>
      <c r="AZ666" t="inlineStr">
        <is>
          <t>BOOK</t>
        </is>
      </c>
      <c r="BC666" t="inlineStr">
        <is>
          <t>32285000297654</t>
        </is>
      </c>
      <c r="BD666" t="inlineStr">
        <is>
          <t>893512406</t>
        </is>
      </c>
    </row>
    <row r="667">
      <c r="A667" t="inlineStr">
        <is>
          <t>No</t>
        </is>
      </c>
      <c r="B667" t="inlineStr">
        <is>
          <t>BX1756.B42 S5 1981</t>
        </is>
      </c>
      <c r="C667" t="inlineStr">
        <is>
          <t>0                      BX 1756000B  42                 S  5           1981</t>
        </is>
      </c>
      <c r="D667" t="inlineStr">
        <is>
          <t>Sermons on conversion / Bernard of Clairvaux ; translated with an introd. by Marie-Bernard Saïd.</t>
        </is>
      </c>
      <c r="F667" t="inlineStr">
        <is>
          <t>No</t>
        </is>
      </c>
      <c r="G667" t="inlineStr">
        <is>
          <t>1</t>
        </is>
      </c>
      <c r="H667" t="inlineStr">
        <is>
          <t>No</t>
        </is>
      </c>
      <c r="I667" t="inlineStr">
        <is>
          <t>No</t>
        </is>
      </c>
      <c r="J667" t="inlineStr">
        <is>
          <t>0</t>
        </is>
      </c>
      <c r="K667" t="inlineStr">
        <is>
          <t>Bernard, of Clairvaux, Saint, 1090 or 1091-1153.</t>
        </is>
      </c>
      <c r="L667" t="inlineStr">
        <is>
          <t>Kalamazoo, Mich. : Cistercian Publications, 1981.</t>
        </is>
      </c>
      <c r="M667" t="inlineStr">
        <is>
          <t>1981</t>
        </is>
      </c>
      <c r="O667" t="inlineStr">
        <is>
          <t>eng</t>
        </is>
      </c>
      <c r="P667" t="inlineStr">
        <is>
          <t>miu</t>
        </is>
      </c>
      <c r="Q667" t="inlineStr">
        <is>
          <t>The Cistercian Fathers series ; no. 25</t>
        </is>
      </c>
      <c r="R667" t="inlineStr">
        <is>
          <t xml:space="preserve">BX </t>
        </is>
      </c>
      <c r="S667" t="n">
        <v>7</v>
      </c>
      <c r="T667" t="n">
        <v>7</v>
      </c>
      <c r="U667" t="inlineStr">
        <is>
          <t>2010-12-10</t>
        </is>
      </c>
      <c r="V667" t="inlineStr">
        <is>
          <t>2010-12-10</t>
        </is>
      </c>
      <c r="W667" t="inlineStr">
        <is>
          <t>1991-05-16</t>
        </is>
      </c>
      <c r="X667" t="inlineStr">
        <is>
          <t>1991-05-16</t>
        </is>
      </c>
      <c r="Y667" t="n">
        <v>390</v>
      </c>
      <c r="Z667" t="n">
        <v>336</v>
      </c>
      <c r="AA667" t="n">
        <v>352</v>
      </c>
      <c r="AB667" t="n">
        <v>4</v>
      </c>
      <c r="AC667" t="n">
        <v>4</v>
      </c>
      <c r="AD667" t="n">
        <v>25</v>
      </c>
      <c r="AE667" t="n">
        <v>25</v>
      </c>
      <c r="AF667" t="n">
        <v>11</v>
      </c>
      <c r="AG667" t="n">
        <v>11</v>
      </c>
      <c r="AH667" t="n">
        <v>6</v>
      </c>
      <c r="AI667" t="n">
        <v>6</v>
      </c>
      <c r="AJ667" t="n">
        <v>14</v>
      </c>
      <c r="AK667" t="n">
        <v>14</v>
      </c>
      <c r="AL667" t="n">
        <v>2</v>
      </c>
      <c r="AM667" t="n">
        <v>2</v>
      </c>
      <c r="AN667" t="n">
        <v>0</v>
      </c>
      <c r="AO667" t="n">
        <v>0</v>
      </c>
      <c r="AP667" t="inlineStr">
        <is>
          <t>No</t>
        </is>
      </c>
      <c r="AQ667" t="inlineStr">
        <is>
          <t>No</t>
        </is>
      </c>
      <c r="AS667">
        <f>HYPERLINK("https://creighton-primo.hosted.exlibrisgroup.com/primo-explore/search?tab=default_tab&amp;search_scope=EVERYTHING&amp;vid=01CRU&amp;lang=en_US&amp;offset=0&amp;query=any,contains,991005053929702656","Catalog Record")</f>
        <v/>
      </c>
      <c r="AT667">
        <f>HYPERLINK("http://www.worldcat.org/oclc/6889931","WorldCat Record")</f>
        <v/>
      </c>
      <c r="AU667" t="inlineStr">
        <is>
          <t>9566356192:eng</t>
        </is>
      </c>
      <c r="AV667" t="inlineStr">
        <is>
          <t>6889931</t>
        </is>
      </c>
      <c r="AW667" t="inlineStr">
        <is>
          <t>991005053929702656</t>
        </is>
      </c>
      <c r="AX667" t="inlineStr">
        <is>
          <t>991005053929702656</t>
        </is>
      </c>
      <c r="AY667" t="inlineStr">
        <is>
          <t>2269279020002656</t>
        </is>
      </c>
      <c r="AZ667" t="inlineStr">
        <is>
          <t>BOOK</t>
        </is>
      </c>
      <c r="BB667" t="inlineStr">
        <is>
          <t>9780879071257</t>
        </is>
      </c>
      <c r="BC667" t="inlineStr">
        <is>
          <t>32285000641174</t>
        </is>
      </c>
      <c r="BD667" t="inlineStr">
        <is>
          <t>893801648</t>
        </is>
      </c>
    </row>
    <row r="668">
      <c r="A668" t="inlineStr">
        <is>
          <t>No</t>
        </is>
      </c>
      <c r="B668" t="inlineStr">
        <is>
          <t>BX1756.B58 S413</t>
        </is>
      </c>
      <c r="C668" t="inlineStr">
        <is>
          <t>0                      BX 1756000B  58                 S  413</t>
        </is>
      </c>
      <c r="D668" t="inlineStr">
        <is>
          <t>Rooted in faith: homilies to a contemporary world. Translation and introductory essay by Marigwen Schumacher. Foreword by Peter Damian Fehlner.</t>
        </is>
      </c>
      <c r="F668" t="inlineStr">
        <is>
          <t>No</t>
        </is>
      </c>
      <c r="G668" t="inlineStr">
        <is>
          <t>1</t>
        </is>
      </c>
      <c r="H668" t="inlineStr">
        <is>
          <t>No</t>
        </is>
      </c>
      <c r="I668" t="inlineStr">
        <is>
          <t>No</t>
        </is>
      </c>
      <c r="J668" t="inlineStr">
        <is>
          <t>0</t>
        </is>
      </c>
      <c r="K668" t="inlineStr">
        <is>
          <t>Bonaventure, Saint, Cardinal, approximately 1217-1274.</t>
        </is>
      </c>
      <c r="L668" t="inlineStr">
        <is>
          <t>Chicago, Franciscan Herald Press [1974]</t>
        </is>
      </c>
      <c r="M668" t="inlineStr">
        <is>
          <t>1974</t>
        </is>
      </c>
      <c r="O668" t="inlineStr">
        <is>
          <t>eng</t>
        </is>
      </c>
      <c r="P668" t="inlineStr">
        <is>
          <t>ilu</t>
        </is>
      </c>
      <c r="R668" t="inlineStr">
        <is>
          <t xml:space="preserve">BX </t>
        </is>
      </c>
      <c r="S668" t="n">
        <v>6</v>
      </c>
      <c r="T668" t="n">
        <v>6</v>
      </c>
      <c r="U668" t="inlineStr">
        <is>
          <t>1999-03-23</t>
        </is>
      </c>
      <c r="V668" t="inlineStr">
        <is>
          <t>1999-03-23</t>
        </is>
      </c>
      <c r="W668" t="inlineStr">
        <is>
          <t>1991-05-16</t>
        </is>
      </c>
      <c r="X668" t="inlineStr">
        <is>
          <t>1991-05-16</t>
        </is>
      </c>
      <c r="Y668" t="n">
        <v>156</v>
      </c>
      <c r="Z668" t="n">
        <v>138</v>
      </c>
      <c r="AA668" t="n">
        <v>140</v>
      </c>
      <c r="AB668" t="n">
        <v>3</v>
      </c>
      <c r="AC668" t="n">
        <v>3</v>
      </c>
      <c r="AD668" t="n">
        <v>14</v>
      </c>
      <c r="AE668" t="n">
        <v>14</v>
      </c>
      <c r="AF668" t="n">
        <v>4</v>
      </c>
      <c r="AG668" t="n">
        <v>4</v>
      </c>
      <c r="AH668" t="n">
        <v>3</v>
      </c>
      <c r="AI668" t="n">
        <v>3</v>
      </c>
      <c r="AJ668" t="n">
        <v>9</v>
      </c>
      <c r="AK668" t="n">
        <v>9</v>
      </c>
      <c r="AL668" t="n">
        <v>1</v>
      </c>
      <c r="AM668" t="n">
        <v>1</v>
      </c>
      <c r="AN668" t="n">
        <v>0</v>
      </c>
      <c r="AO668" t="n">
        <v>0</v>
      </c>
      <c r="AP668" t="inlineStr">
        <is>
          <t>No</t>
        </is>
      </c>
      <c r="AQ668" t="inlineStr">
        <is>
          <t>Yes</t>
        </is>
      </c>
      <c r="AR668">
        <f>HYPERLINK("http://catalog.hathitrust.org/Record/000324563","HathiTrust Record")</f>
        <v/>
      </c>
      <c r="AS668">
        <f>HYPERLINK("https://creighton-primo.hosted.exlibrisgroup.com/primo-explore/search?tab=default_tab&amp;search_scope=EVERYTHING&amp;vid=01CRU&amp;lang=en_US&amp;offset=0&amp;query=any,contains,991003220549702656","Catalog Record")</f>
        <v/>
      </c>
      <c r="AT668">
        <f>HYPERLINK("http://www.worldcat.org/oclc/745950","WorldCat Record")</f>
        <v/>
      </c>
      <c r="AU668" t="inlineStr">
        <is>
          <t>1910425579:eng</t>
        </is>
      </c>
      <c r="AV668" t="inlineStr">
        <is>
          <t>745950</t>
        </is>
      </c>
      <c r="AW668" t="inlineStr">
        <is>
          <t>991003220549702656</t>
        </is>
      </c>
      <c r="AX668" t="inlineStr">
        <is>
          <t>991003220549702656</t>
        </is>
      </c>
      <c r="AY668" t="inlineStr">
        <is>
          <t>2268955440002656</t>
        </is>
      </c>
      <c r="AZ668" t="inlineStr">
        <is>
          <t>BOOK</t>
        </is>
      </c>
      <c r="BB668" t="inlineStr">
        <is>
          <t>9780819904652</t>
        </is>
      </c>
      <c r="BC668" t="inlineStr">
        <is>
          <t>32285000641208</t>
        </is>
      </c>
      <c r="BD668" t="inlineStr">
        <is>
          <t>893787087</t>
        </is>
      </c>
    </row>
    <row r="669">
      <c r="A669" t="inlineStr">
        <is>
          <t>No</t>
        </is>
      </c>
      <c r="B669" t="inlineStr">
        <is>
          <t>BX1756.B825 .T5 1954</t>
        </is>
      </c>
      <c r="C669" t="inlineStr">
        <is>
          <t>0                      BX 1756000B  825                T  5           1954</t>
        </is>
      </c>
      <c r="D669" t="inlineStr">
        <is>
          <t>The thoughts of His heart : and selected writings / by Charles Francis Buddy.</t>
        </is>
      </c>
      <c r="F669" t="inlineStr">
        <is>
          <t>No</t>
        </is>
      </c>
      <c r="G669" t="inlineStr">
        <is>
          <t>1</t>
        </is>
      </c>
      <c r="H669" t="inlineStr">
        <is>
          <t>No</t>
        </is>
      </c>
      <c r="I669" t="inlineStr">
        <is>
          <t>No</t>
        </is>
      </c>
      <c r="J669" t="inlineStr">
        <is>
          <t>0</t>
        </is>
      </c>
      <c r="K669" t="inlineStr">
        <is>
          <t>Buddy, Charles Francis, 1887-1966.</t>
        </is>
      </c>
      <c r="L669" t="inlineStr">
        <is>
          <t>[Patterson, N.J.] : St. Anthony Guild Press, 1954.</t>
        </is>
      </c>
      <c r="M669" t="inlineStr">
        <is>
          <t>1954</t>
        </is>
      </c>
      <c r="O669" t="inlineStr">
        <is>
          <t>eng</t>
        </is>
      </c>
      <c r="P669" t="inlineStr">
        <is>
          <t>nju</t>
        </is>
      </c>
      <c r="R669" t="inlineStr">
        <is>
          <t xml:space="preserve">BX </t>
        </is>
      </c>
      <c r="S669" t="n">
        <v>2</v>
      </c>
      <c r="T669" t="n">
        <v>2</v>
      </c>
      <c r="U669" t="inlineStr">
        <is>
          <t>1999-07-13</t>
        </is>
      </c>
      <c r="V669" t="inlineStr">
        <is>
          <t>1999-07-13</t>
        </is>
      </c>
      <c r="W669" t="inlineStr">
        <is>
          <t>1991-05-16</t>
        </is>
      </c>
      <c r="X669" t="inlineStr">
        <is>
          <t>1991-05-16</t>
        </is>
      </c>
      <c r="Y669" t="n">
        <v>43</v>
      </c>
      <c r="Z669" t="n">
        <v>42</v>
      </c>
      <c r="AA669" t="n">
        <v>42</v>
      </c>
      <c r="AB669" t="n">
        <v>1</v>
      </c>
      <c r="AC669" t="n">
        <v>1</v>
      </c>
      <c r="AD669" t="n">
        <v>5</v>
      </c>
      <c r="AE669" t="n">
        <v>5</v>
      </c>
      <c r="AF669" t="n">
        <v>1</v>
      </c>
      <c r="AG669" t="n">
        <v>1</v>
      </c>
      <c r="AH669" t="n">
        <v>0</v>
      </c>
      <c r="AI669" t="n">
        <v>0</v>
      </c>
      <c r="AJ669" t="n">
        <v>4</v>
      </c>
      <c r="AK669" t="n">
        <v>4</v>
      </c>
      <c r="AL669" t="n">
        <v>0</v>
      </c>
      <c r="AM669" t="n">
        <v>0</v>
      </c>
      <c r="AN669" t="n">
        <v>0</v>
      </c>
      <c r="AO669" t="n">
        <v>0</v>
      </c>
      <c r="AP669" t="inlineStr">
        <is>
          <t>No</t>
        </is>
      </c>
      <c r="AQ669" t="inlineStr">
        <is>
          <t>No</t>
        </is>
      </c>
      <c r="AS669">
        <f>HYPERLINK("https://creighton-primo.hosted.exlibrisgroup.com/primo-explore/search?tab=default_tab&amp;search_scope=EVERYTHING&amp;vid=01CRU&amp;lang=en_US&amp;offset=0&amp;query=any,contains,991004554579702656","Catalog Record")</f>
        <v/>
      </c>
      <c r="AT669">
        <f>HYPERLINK("http://www.worldcat.org/oclc/3962090","WorldCat Record")</f>
        <v/>
      </c>
      <c r="AU669" t="inlineStr">
        <is>
          <t>13179385:eng</t>
        </is>
      </c>
      <c r="AV669" t="inlineStr">
        <is>
          <t>3962090</t>
        </is>
      </c>
      <c r="AW669" t="inlineStr">
        <is>
          <t>991004554579702656</t>
        </is>
      </c>
      <c r="AX669" t="inlineStr">
        <is>
          <t>991004554579702656</t>
        </is>
      </c>
      <c r="AY669" t="inlineStr">
        <is>
          <t>2262814100002656</t>
        </is>
      </c>
      <c r="AZ669" t="inlineStr">
        <is>
          <t>BOOK</t>
        </is>
      </c>
      <c r="BC669" t="inlineStr">
        <is>
          <t>32285000641257</t>
        </is>
      </c>
      <c r="BD669" t="inlineStr">
        <is>
          <t>893532532</t>
        </is>
      </c>
    </row>
    <row r="670">
      <c r="A670" t="inlineStr">
        <is>
          <t>No</t>
        </is>
      </c>
      <c r="B670" t="inlineStr">
        <is>
          <t>BX1756.D634 J47 1978</t>
        </is>
      </c>
      <c r="C670" t="inlineStr">
        <is>
          <t>0                      BX 1756000D  634                J  47          1978</t>
        </is>
      </c>
      <c r="D670" t="inlineStr">
        <is>
          <t>Jesus, the stranger : reflections on the Gospels / Joseph G. Donders.</t>
        </is>
      </c>
      <c r="F670" t="inlineStr">
        <is>
          <t>No</t>
        </is>
      </c>
      <c r="G670" t="inlineStr">
        <is>
          <t>1</t>
        </is>
      </c>
      <c r="H670" t="inlineStr">
        <is>
          <t>No</t>
        </is>
      </c>
      <c r="I670" t="inlineStr">
        <is>
          <t>No</t>
        </is>
      </c>
      <c r="J670" t="inlineStr">
        <is>
          <t>0</t>
        </is>
      </c>
      <c r="K670" t="inlineStr">
        <is>
          <t>Donders, Joseph G.</t>
        </is>
      </c>
      <c r="L670" t="inlineStr">
        <is>
          <t>Maryknoll, N.Y. : Orbis Books, c1978, 1988 printing.</t>
        </is>
      </c>
      <c r="M670" t="inlineStr">
        <is>
          <t>1978</t>
        </is>
      </c>
      <c r="O670" t="inlineStr">
        <is>
          <t>eng</t>
        </is>
      </c>
      <c r="P670" t="inlineStr">
        <is>
          <t>nyu</t>
        </is>
      </c>
      <c r="R670" t="inlineStr">
        <is>
          <t xml:space="preserve">BX </t>
        </is>
      </c>
      <c r="S670" t="n">
        <v>5</v>
      </c>
      <c r="T670" t="n">
        <v>5</v>
      </c>
      <c r="U670" t="inlineStr">
        <is>
          <t>1998-03-02</t>
        </is>
      </c>
      <c r="V670" t="inlineStr">
        <is>
          <t>1998-03-02</t>
        </is>
      </c>
      <c r="W670" t="inlineStr">
        <is>
          <t>1989-10-19</t>
        </is>
      </c>
      <c r="X670" t="inlineStr">
        <is>
          <t>1989-10-19</t>
        </is>
      </c>
      <c r="Y670" t="n">
        <v>264</v>
      </c>
      <c r="Z670" t="n">
        <v>231</v>
      </c>
      <c r="AA670" t="n">
        <v>276</v>
      </c>
      <c r="AB670" t="n">
        <v>2</v>
      </c>
      <c r="AC670" t="n">
        <v>2</v>
      </c>
      <c r="AD670" t="n">
        <v>20</v>
      </c>
      <c r="AE670" t="n">
        <v>23</v>
      </c>
      <c r="AF670" t="n">
        <v>6</v>
      </c>
      <c r="AG670" t="n">
        <v>8</v>
      </c>
      <c r="AH670" t="n">
        <v>5</v>
      </c>
      <c r="AI670" t="n">
        <v>5</v>
      </c>
      <c r="AJ670" t="n">
        <v>15</v>
      </c>
      <c r="AK670" t="n">
        <v>17</v>
      </c>
      <c r="AL670" t="n">
        <v>0</v>
      </c>
      <c r="AM670" t="n">
        <v>0</v>
      </c>
      <c r="AN670" t="n">
        <v>0</v>
      </c>
      <c r="AO670" t="n">
        <v>0</v>
      </c>
      <c r="AP670" t="inlineStr">
        <is>
          <t>No</t>
        </is>
      </c>
      <c r="AQ670" t="inlineStr">
        <is>
          <t>No</t>
        </is>
      </c>
      <c r="AS670">
        <f>HYPERLINK("https://creighton-primo.hosted.exlibrisgroup.com/primo-explore/search?tab=default_tab&amp;search_scope=EVERYTHING&amp;vid=01CRU&amp;lang=en_US&amp;offset=0&amp;query=any,contains,991004365059702656","Catalog Record")</f>
        <v/>
      </c>
      <c r="AT670">
        <f>HYPERLINK("http://www.worldcat.org/oclc/3169143","WorldCat Record")</f>
        <v/>
      </c>
      <c r="AU670" t="inlineStr">
        <is>
          <t>8172392:eng</t>
        </is>
      </c>
      <c r="AV670" t="inlineStr">
        <is>
          <t>3169143</t>
        </is>
      </c>
      <c r="AW670" t="inlineStr">
        <is>
          <t>991004365059702656</t>
        </is>
      </c>
      <c r="AX670" t="inlineStr">
        <is>
          <t>991004365059702656</t>
        </is>
      </c>
      <c r="AY670" t="inlineStr">
        <is>
          <t>2263196920002656</t>
        </is>
      </c>
      <c r="AZ670" t="inlineStr">
        <is>
          <t>BOOK</t>
        </is>
      </c>
      <c r="BB670" t="inlineStr">
        <is>
          <t>9780883442340</t>
        </is>
      </c>
      <c r="BC670" t="inlineStr">
        <is>
          <t>32285000000165</t>
        </is>
      </c>
      <c r="BD670" t="inlineStr">
        <is>
          <t>893612259</t>
        </is>
      </c>
    </row>
    <row r="671">
      <c r="A671" t="inlineStr">
        <is>
          <t>No</t>
        </is>
      </c>
      <c r="B671" t="inlineStr">
        <is>
          <t>BX1756.E77 E813 1982</t>
        </is>
      </c>
      <c r="C671" t="inlineStr">
        <is>
          <t>0                      BX 1756000E  77                 E  813         1982</t>
        </is>
      </c>
      <c r="D671" t="inlineStr">
        <is>
          <t>Christ is passing by : homilies / Josemaría Escrivá de Balaguer.</t>
        </is>
      </c>
      <c r="F671" t="inlineStr">
        <is>
          <t>No</t>
        </is>
      </c>
      <c r="G671" t="inlineStr">
        <is>
          <t>1</t>
        </is>
      </c>
      <c r="H671" t="inlineStr">
        <is>
          <t>No</t>
        </is>
      </c>
      <c r="I671" t="inlineStr">
        <is>
          <t>No</t>
        </is>
      </c>
      <c r="J671" t="inlineStr">
        <is>
          <t>0</t>
        </is>
      </c>
      <c r="K671" t="inlineStr">
        <is>
          <t>Escrivá de Balaguer, Josemaría, Saint, 1902-1975.</t>
        </is>
      </c>
      <c r="L671" t="inlineStr">
        <is>
          <t>Dublin, Ireland : Four Courts Press, 1982.</t>
        </is>
      </c>
      <c r="M671" t="inlineStr">
        <is>
          <t>1982</t>
        </is>
      </c>
      <c r="O671" t="inlineStr">
        <is>
          <t>eng</t>
        </is>
      </c>
      <c r="P671" t="inlineStr">
        <is>
          <t xml:space="preserve">ir </t>
        </is>
      </c>
      <c r="R671" t="inlineStr">
        <is>
          <t xml:space="preserve">BX </t>
        </is>
      </c>
      <c r="S671" t="n">
        <v>8</v>
      </c>
      <c r="T671" t="n">
        <v>8</v>
      </c>
      <c r="U671" t="inlineStr">
        <is>
          <t>2008-09-16</t>
        </is>
      </c>
      <c r="V671" t="inlineStr">
        <is>
          <t>2008-09-16</t>
        </is>
      </c>
      <c r="W671" t="inlineStr">
        <is>
          <t>1991-05-16</t>
        </is>
      </c>
      <c r="X671" t="inlineStr">
        <is>
          <t>1991-05-16</t>
        </is>
      </c>
      <c r="Y671" t="n">
        <v>20</v>
      </c>
      <c r="Z671" t="n">
        <v>14</v>
      </c>
      <c r="AA671" t="n">
        <v>84</v>
      </c>
      <c r="AB671" t="n">
        <v>1</v>
      </c>
      <c r="AC671" t="n">
        <v>3</v>
      </c>
      <c r="AD671" t="n">
        <v>1</v>
      </c>
      <c r="AE671" t="n">
        <v>9</v>
      </c>
      <c r="AF671" t="n">
        <v>0</v>
      </c>
      <c r="AG671" t="n">
        <v>1</v>
      </c>
      <c r="AH671" t="n">
        <v>1</v>
      </c>
      <c r="AI671" t="n">
        <v>3</v>
      </c>
      <c r="AJ671" t="n">
        <v>0</v>
      </c>
      <c r="AK671" t="n">
        <v>8</v>
      </c>
      <c r="AL671" t="n">
        <v>0</v>
      </c>
      <c r="AM671" t="n">
        <v>0</v>
      </c>
      <c r="AN671" t="n">
        <v>0</v>
      </c>
      <c r="AO671" t="n">
        <v>0</v>
      </c>
      <c r="AP671" t="inlineStr">
        <is>
          <t>No</t>
        </is>
      </c>
      <c r="AQ671" t="inlineStr">
        <is>
          <t>Yes</t>
        </is>
      </c>
      <c r="AR671">
        <f>HYPERLINK("http://catalog.hathitrust.org/Record/102013835","HathiTrust Record")</f>
        <v/>
      </c>
      <c r="AS671">
        <f>HYPERLINK("https://creighton-primo.hosted.exlibrisgroup.com/primo-explore/search?tab=default_tab&amp;search_scope=EVERYTHING&amp;vid=01CRU&amp;lang=en_US&amp;offset=0&amp;query=any,contains,991000403709702656","Catalog Record")</f>
        <v/>
      </c>
      <c r="AT671">
        <f>HYPERLINK("http://www.worldcat.org/oclc/10652446","WorldCat Record")</f>
        <v/>
      </c>
      <c r="AU671" t="inlineStr">
        <is>
          <t>2908474065:eng</t>
        </is>
      </c>
      <c r="AV671" t="inlineStr">
        <is>
          <t>10652446</t>
        </is>
      </c>
      <c r="AW671" t="inlineStr">
        <is>
          <t>991000403709702656</t>
        </is>
      </c>
      <c r="AX671" t="inlineStr">
        <is>
          <t>991000403709702656</t>
        </is>
      </c>
      <c r="AY671" t="inlineStr">
        <is>
          <t>2258575130002656</t>
        </is>
      </c>
      <c r="AZ671" t="inlineStr">
        <is>
          <t>BOOK</t>
        </is>
      </c>
      <c r="BB671" t="inlineStr">
        <is>
          <t>9780906127490</t>
        </is>
      </c>
      <c r="BC671" t="inlineStr">
        <is>
          <t>32285000641380</t>
        </is>
      </c>
      <c r="BD671" t="inlineStr">
        <is>
          <t>893878003</t>
        </is>
      </c>
    </row>
    <row r="672">
      <c r="A672" t="inlineStr">
        <is>
          <t>No</t>
        </is>
      </c>
      <c r="B672" t="inlineStr">
        <is>
          <t>BX1756.F28 S64 1957</t>
        </is>
      </c>
      <c r="C672" t="inlineStr">
        <is>
          <t>0                      BX 1756000F  28                 S  64          1957</t>
        </is>
      </c>
      <c r="D672" t="inlineStr">
        <is>
          <t>Spiritual conferences / by Frederick William Faber.</t>
        </is>
      </c>
      <c r="F672" t="inlineStr">
        <is>
          <t>No</t>
        </is>
      </c>
      <c r="G672" t="inlineStr">
        <is>
          <t>1</t>
        </is>
      </c>
      <c r="H672" t="inlineStr">
        <is>
          <t>No</t>
        </is>
      </c>
      <c r="I672" t="inlineStr">
        <is>
          <t>No</t>
        </is>
      </c>
      <c r="J672" t="inlineStr">
        <is>
          <t>0</t>
        </is>
      </c>
      <c r="K672" t="inlineStr">
        <is>
          <t>Faber, Frederick William, 1814-1863.</t>
        </is>
      </c>
      <c r="L672" t="inlineStr">
        <is>
          <t>Philadelphia : Peter Reilly, 1957.</t>
        </is>
      </c>
      <c r="M672" t="inlineStr">
        <is>
          <t>1957</t>
        </is>
      </c>
      <c r="N672" t="inlineStr">
        <is>
          <t>New ed.</t>
        </is>
      </c>
      <c r="O672" t="inlineStr">
        <is>
          <t>eng</t>
        </is>
      </c>
      <c r="P672" t="inlineStr">
        <is>
          <t>pau</t>
        </is>
      </c>
      <c r="R672" t="inlineStr">
        <is>
          <t xml:space="preserve">BX </t>
        </is>
      </c>
      <c r="S672" t="n">
        <v>0</v>
      </c>
      <c r="T672" t="n">
        <v>0</v>
      </c>
      <c r="U672" t="inlineStr">
        <is>
          <t>2010-03-15</t>
        </is>
      </c>
      <c r="V672" t="inlineStr">
        <is>
          <t>2010-03-15</t>
        </is>
      </c>
      <c r="W672" t="inlineStr">
        <is>
          <t>1991-05-16</t>
        </is>
      </c>
      <c r="X672" t="inlineStr">
        <is>
          <t>1991-05-16</t>
        </is>
      </c>
      <c r="Y672" t="n">
        <v>73</v>
      </c>
      <c r="Z672" t="n">
        <v>68</v>
      </c>
      <c r="AA672" t="n">
        <v>250</v>
      </c>
      <c r="AB672" t="n">
        <v>2</v>
      </c>
      <c r="AC672" t="n">
        <v>3</v>
      </c>
      <c r="AD672" t="n">
        <v>9</v>
      </c>
      <c r="AE672" t="n">
        <v>26</v>
      </c>
      <c r="AF672" t="n">
        <v>0</v>
      </c>
      <c r="AG672" t="n">
        <v>7</v>
      </c>
      <c r="AH672" t="n">
        <v>3</v>
      </c>
      <c r="AI672" t="n">
        <v>8</v>
      </c>
      <c r="AJ672" t="n">
        <v>6</v>
      </c>
      <c r="AK672" t="n">
        <v>17</v>
      </c>
      <c r="AL672" t="n">
        <v>0</v>
      </c>
      <c r="AM672" t="n">
        <v>1</v>
      </c>
      <c r="AN672" t="n">
        <v>0</v>
      </c>
      <c r="AO672" t="n">
        <v>0</v>
      </c>
      <c r="AP672" t="inlineStr">
        <is>
          <t>No</t>
        </is>
      </c>
      <c r="AQ672" t="inlineStr">
        <is>
          <t>Yes</t>
        </is>
      </c>
      <c r="AR672">
        <f>HYPERLINK("http://catalog.hathitrust.org/Record/101652248","HathiTrust Record")</f>
        <v/>
      </c>
      <c r="AS672">
        <f>HYPERLINK("https://creighton-primo.hosted.exlibrisgroup.com/primo-explore/search?tab=default_tab&amp;search_scope=EVERYTHING&amp;vid=01CRU&amp;lang=en_US&amp;offset=0&amp;query=any,contains,991005209019702656","Catalog Record")</f>
        <v/>
      </c>
      <c r="AT672">
        <f>HYPERLINK("http://www.worldcat.org/oclc/8139511","WorldCat Record")</f>
        <v/>
      </c>
      <c r="AU672" t="inlineStr">
        <is>
          <t>2077041:eng</t>
        </is>
      </c>
      <c r="AV672" t="inlineStr">
        <is>
          <t>8139511</t>
        </is>
      </c>
      <c r="AW672" t="inlineStr">
        <is>
          <t>991005209019702656</t>
        </is>
      </c>
      <c r="AX672" t="inlineStr">
        <is>
          <t>991005209019702656</t>
        </is>
      </c>
      <c r="AY672" t="inlineStr">
        <is>
          <t>2264114610002656</t>
        </is>
      </c>
      <c r="AZ672" t="inlineStr">
        <is>
          <t>BOOK</t>
        </is>
      </c>
      <c r="BC672" t="inlineStr">
        <is>
          <t>32285000641430</t>
        </is>
      </c>
      <c r="BD672" t="inlineStr">
        <is>
          <t>893701207</t>
        </is>
      </c>
    </row>
    <row r="673">
      <c r="A673" t="inlineStr">
        <is>
          <t>No</t>
        </is>
      </c>
      <c r="B673" t="inlineStr">
        <is>
          <t>BX1756.G89 C6613 1997</t>
        </is>
      </c>
      <c r="C673" t="inlineStr">
        <is>
          <t>0                      BX 1756000G  89                 C  6613        1997</t>
        </is>
      </c>
      <c r="D673" t="inlineStr">
        <is>
          <t>Sharing the Word through the liturgical year / Gustavo Gutiérrez ; translated from the Spanish by Colette Joly Dees.</t>
        </is>
      </c>
      <c r="F673" t="inlineStr">
        <is>
          <t>No</t>
        </is>
      </c>
      <c r="G673" t="inlineStr">
        <is>
          <t>1</t>
        </is>
      </c>
      <c r="H673" t="inlineStr">
        <is>
          <t>No</t>
        </is>
      </c>
      <c r="I673" t="inlineStr">
        <is>
          <t>No</t>
        </is>
      </c>
      <c r="J673" t="inlineStr">
        <is>
          <t>0</t>
        </is>
      </c>
      <c r="K673" t="inlineStr">
        <is>
          <t>Gutiérrez, Gustavo, 1928-</t>
        </is>
      </c>
      <c r="L673" t="inlineStr">
        <is>
          <t>Maryknoll, N.Y. : Orbis Books, c1997.</t>
        </is>
      </c>
      <c r="M673" t="inlineStr">
        <is>
          <t>1997</t>
        </is>
      </c>
      <c r="O673" t="inlineStr">
        <is>
          <t>eng</t>
        </is>
      </c>
      <c r="P673" t="inlineStr">
        <is>
          <t>nyu</t>
        </is>
      </c>
      <c r="R673" t="inlineStr">
        <is>
          <t xml:space="preserve">BX </t>
        </is>
      </c>
      <c r="S673" t="n">
        <v>1</v>
      </c>
      <c r="T673" t="n">
        <v>1</v>
      </c>
      <c r="U673" t="inlineStr">
        <is>
          <t>2008-02-05</t>
        </is>
      </c>
      <c r="V673" t="inlineStr">
        <is>
          <t>2008-02-05</t>
        </is>
      </c>
      <c r="W673" t="inlineStr">
        <is>
          <t>2008-02-05</t>
        </is>
      </c>
      <c r="X673" t="inlineStr">
        <is>
          <t>2008-02-05</t>
        </is>
      </c>
      <c r="Y673" t="n">
        <v>154</v>
      </c>
      <c r="Z673" t="n">
        <v>113</v>
      </c>
      <c r="AA673" t="n">
        <v>114</v>
      </c>
      <c r="AB673" t="n">
        <v>1</v>
      </c>
      <c r="AC673" t="n">
        <v>1</v>
      </c>
      <c r="AD673" t="n">
        <v>12</v>
      </c>
      <c r="AE673" t="n">
        <v>12</v>
      </c>
      <c r="AF673" t="n">
        <v>4</v>
      </c>
      <c r="AG673" t="n">
        <v>4</v>
      </c>
      <c r="AH673" t="n">
        <v>4</v>
      </c>
      <c r="AI673" t="n">
        <v>4</v>
      </c>
      <c r="AJ673" t="n">
        <v>7</v>
      </c>
      <c r="AK673" t="n">
        <v>7</v>
      </c>
      <c r="AL673" t="n">
        <v>0</v>
      </c>
      <c r="AM673" t="n">
        <v>0</v>
      </c>
      <c r="AN673" t="n">
        <v>0</v>
      </c>
      <c r="AO673" t="n">
        <v>0</v>
      </c>
      <c r="AP673" t="inlineStr">
        <is>
          <t>No</t>
        </is>
      </c>
      <c r="AQ673" t="inlineStr">
        <is>
          <t>No</t>
        </is>
      </c>
      <c r="AS673">
        <f>HYPERLINK("https://creighton-primo.hosted.exlibrisgroup.com/primo-explore/search?tab=default_tab&amp;search_scope=EVERYTHING&amp;vid=01CRU&amp;lang=en_US&amp;offset=0&amp;query=any,contains,991005118819702656","Catalog Record")</f>
        <v/>
      </c>
      <c r="AT673">
        <f>HYPERLINK("http://www.worldcat.org/oclc/36847815","WorldCat Record")</f>
        <v/>
      </c>
      <c r="AU673" t="inlineStr">
        <is>
          <t>318705149:eng</t>
        </is>
      </c>
      <c r="AV673" t="inlineStr">
        <is>
          <t>36847815</t>
        </is>
      </c>
      <c r="AW673" t="inlineStr">
        <is>
          <t>991005118819702656</t>
        </is>
      </c>
      <c r="AX673" t="inlineStr">
        <is>
          <t>991005118819702656</t>
        </is>
      </c>
      <c r="AY673" t="inlineStr">
        <is>
          <t>2259109400002656</t>
        </is>
      </c>
      <c r="AZ673" t="inlineStr">
        <is>
          <t>BOOK</t>
        </is>
      </c>
      <c r="BB673" t="inlineStr">
        <is>
          <t>9780225668582</t>
        </is>
      </c>
      <c r="BC673" t="inlineStr">
        <is>
          <t>32285005392435</t>
        </is>
      </c>
      <c r="BD673" t="inlineStr">
        <is>
          <t>893870545</t>
        </is>
      </c>
    </row>
    <row r="674">
      <c r="A674" t="inlineStr">
        <is>
          <t>No</t>
        </is>
      </c>
      <c r="B674" t="inlineStr">
        <is>
          <t>BX1756.J64 A37</t>
        </is>
      </c>
      <c r="C674" t="inlineStr">
        <is>
          <t>0                      BX 1756000J  64                 A  37</t>
        </is>
      </c>
      <c r="D674" t="inlineStr">
        <is>
          <t>Addresses and homilies given in West Germany / John Paul II ; translated by National Catholic News Service.</t>
        </is>
      </c>
      <c r="F674" t="inlineStr">
        <is>
          <t>No</t>
        </is>
      </c>
      <c r="G674" t="inlineStr">
        <is>
          <t>1</t>
        </is>
      </c>
      <c r="H674" t="inlineStr">
        <is>
          <t>No</t>
        </is>
      </c>
      <c r="I674" t="inlineStr">
        <is>
          <t>No</t>
        </is>
      </c>
      <c r="J674" t="inlineStr">
        <is>
          <t>0</t>
        </is>
      </c>
      <c r="K674" t="inlineStr">
        <is>
          <t>John Paul II, Pope, 1920-2005.</t>
        </is>
      </c>
      <c r="L674" t="inlineStr">
        <is>
          <t>Washington, D.C. : Publications Office, U.S. Catholic Conference, c1980.</t>
        </is>
      </c>
      <c r="M674" t="inlineStr">
        <is>
          <t>1980</t>
        </is>
      </c>
      <c r="O674" t="inlineStr">
        <is>
          <t>eng</t>
        </is>
      </c>
      <c r="P674" t="inlineStr">
        <is>
          <t>dcu</t>
        </is>
      </c>
      <c r="R674" t="inlineStr">
        <is>
          <t xml:space="preserve">BX </t>
        </is>
      </c>
      <c r="S674" t="n">
        <v>6</v>
      </c>
      <c r="T674" t="n">
        <v>6</v>
      </c>
      <c r="U674" t="inlineStr">
        <is>
          <t>2000-06-01</t>
        </is>
      </c>
      <c r="V674" t="inlineStr">
        <is>
          <t>2000-06-01</t>
        </is>
      </c>
      <c r="W674" t="inlineStr">
        <is>
          <t>1991-05-16</t>
        </is>
      </c>
      <c r="X674" t="inlineStr">
        <is>
          <t>1991-05-16</t>
        </is>
      </c>
      <c r="Y674" t="n">
        <v>108</v>
      </c>
      <c r="Z674" t="n">
        <v>99</v>
      </c>
      <c r="AA674" t="n">
        <v>99</v>
      </c>
      <c r="AB674" t="n">
        <v>2</v>
      </c>
      <c r="AC674" t="n">
        <v>2</v>
      </c>
      <c r="AD674" t="n">
        <v>16</v>
      </c>
      <c r="AE674" t="n">
        <v>16</v>
      </c>
      <c r="AF674" t="n">
        <v>4</v>
      </c>
      <c r="AG674" t="n">
        <v>4</v>
      </c>
      <c r="AH674" t="n">
        <v>8</v>
      </c>
      <c r="AI674" t="n">
        <v>8</v>
      </c>
      <c r="AJ674" t="n">
        <v>11</v>
      </c>
      <c r="AK674" t="n">
        <v>11</v>
      </c>
      <c r="AL674" t="n">
        <v>0</v>
      </c>
      <c r="AM674" t="n">
        <v>0</v>
      </c>
      <c r="AN674" t="n">
        <v>0</v>
      </c>
      <c r="AO674" t="n">
        <v>0</v>
      </c>
      <c r="AP674" t="inlineStr">
        <is>
          <t>No</t>
        </is>
      </c>
      <c r="AQ674" t="inlineStr">
        <is>
          <t>No</t>
        </is>
      </c>
      <c r="AS674">
        <f>HYPERLINK("https://creighton-primo.hosted.exlibrisgroup.com/primo-explore/search?tab=default_tab&amp;search_scope=EVERYTHING&amp;vid=01CRU&amp;lang=en_US&amp;offset=0&amp;query=any,contains,991005387619702656","Catalog Record")</f>
        <v/>
      </c>
      <c r="AT674">
        <f>HYPERLINK("http://www.worldcat.org/oclc/7369210","WorldCat Record")</f>
        <v/>
      </c>
      <c r="AU674" t="inlineStr">
        <is>
          <t>6183066273:eng</t>
        </is>
      </c>
      <c r="AV674" t="inlineStr">
        <is>
          <t>7369210</t>
        </is>
      </c>
      <c r="AW674" t="inlineStr">
        <is>
          <t>991005387619702656</t>
        </is>
      </c>
      <c r="AX674" t="inlineStr">
        <is>
          <t>991005387619702656</t>
        </is>
      </c>
      <c r="AY674" t="inlineStr">
        <is>
          <t>2254821140002656</t>
        </is>
      </c>
      <c r="AZ674" t="inlineStr">
        <is>
          <t>BOOK</t>
        </is>
      </c>
      <c r="BC674" t="inlineStr">
        <is>
          <t>32285000641521</t>
        </is>
      </c>
      <c r="BD674" t="inlineStr">
        <is>
          <t>893808383</t>
        </is>
      </c>
    </row>
    <row r="675">
      <c r="A675" t="inlineStr">
        <is>
          <t>No</t>
        </is>
      </c>
      <c r="B675" t="inlineStr">
        <is>
          <t>BX1756.L27 A7 2000</t>
        </is>
      </c>
      <c r="C675" t="inlineStr">
        <is>
          <t>0                      BX 1756000L  27                 A  7           2000</t>
        </is>
      </c>
      <c r="D675" t="inlineStr">
        <is>
          <t>Archbishop Lamy : in his own words / edited &amp; translated by Thomas J. Steele, S.J. ; foreword by Janice Schuetz and Andrew Burgess ; afterword by Michael J. Sheehan.</t>
        </is>
      </c>
      <c r="F675" t="inlineStr">
        <is>
          <t>No</t>
        </is>
      </c>
      <c r="G675" t="inlineStr">
        <is>
          <t>1</t>
        </is>
      </c>
      <c r="H675" t="inlineStr">
        <is>
          <t>No</t>
        </is>
      </c>
      <c r="I675" t="inlineStr">
        <is>
          <t>No</t>
        </is>
      </c>
      <c r="J675" t="inlineStr">
        <is>
          <t>0</t>
        </is>
      </c>
      <c r="K675" t="inlineStr">
        <is>
          <t>Lamy, John Baptist, 1814-1888.</t>
        </is>
      </c>
      <c r="L675" t="inlineStr">
        <is>
          <t>Albuquerque, N.M. : LPD Press, 2000.</t>
        </is>
      </c>
      <c r="M675" t="inlineStr">
        <is>
          <t>2000</t>
        </is>
      </c>
      <c r="N675" t="inlineStr">
        <is>
          <t>1st ed.</t>
        </is>
      </c>
      <c r="O675" t="inlineStr">
        <is>
          <t>eng</t>
        </is>
      </c>
      <c r="P675" t="inlineStr">
        <is>
          <t>nmu</t>
        </is>
      </c>
      <c r="R675" t="inlineStr">
        <is>
          <t xml:space="preserve">BX </t>
        </is>
      </c>
      <c r="S675" t="n">
        <v>2</v>
      </c>
      <c r="T675" t="n">
        <v>2</v>
      </c>
      <c r="U675" t="inlineStr">
        <is>
          <t>2000-09-27</t>
        </is>
      </c>
      <c r="V675" t="inlineStr">
        <is>
          <t>2000-09-27</t>
        </is>
      </c>
      <c r="W675" t="inlineStr">
        <is>
          <t>2000-09-27</t>
        </is>
      </c>
      <c r="X675" t="inlineStr">
        <is>
          <t>2000-09-27</t>
        </is>
      </c>
      <c r="Y675" t="n">
        <v>167</v>
      </c>
      <c r="Z675" t="n">
        <v>164</v>
      </c>
      <c r="AA675" t="n">
        <v>166</v>
      </c>
      <c r="AB675" t="n">
        <v>3</v>
      </c>
      <c r="AC675" t="n">
        <v>3</v>
      </c>
      <c r="AD675" t="n">
        <v>23</v>
      </c>
      <c r="AE675" t="n">
        <v>23</v>
      </c>
      <c r="AF675" t="n">
        <v>6</v>
      </c>
      <c r="AG675" t="n">
        <v>6</v>
      </c>
      <c r="AH675" t="n">
        <v>6</v>
      </c>
      <c r="AI675" t="n">
        <v>6</v>
      </c>
      <c r="AJ675" t="n">
        <v>16</v>
      </c>
      <c r="AK675" t="n">
        <v>16</v>
      </c>
      <c r="AL675" t="n">
        <v>2</v>
      </c>
      <c r="AM675" t="n">
        <v>2</v>
      </c>
      <c r="AN675" t="n">
        <v>0</v>
      </c>
      <c r="AO675" t="n">
        <v>0</v>
      </c>
      <c r="AP675" t="inlineStr">
        <is>
          <t>No</t>
        </is>
      </c>
      <c r="AQ675" t="inlineStr">
        <is>
          <t>Yes</t>
        </is>
      </c>
      <c r="AR675">
        <f>HYPERLINK("http://catalog.hathitrust.org/Record/004132840","HathiTrust Record")</f>
        <v/>
      </c>
      <c r="AS675">
        <f>HYPERLINK("https://creighton-primo.hosted.exlibrisgroup.com/primo-explore/search?tab=default_tab&amp;search_scope=EVERYTHING&amp;vid=01CRU&amp;lang=en_US&amp;offset=0&amp;query=any,contains,991003255659702656","Catalog Record")</f>
        <v/>
      </c>
      <c r="AT675">
        <f>HYPERLINK("http://www.worldcat.org/oclc/44580783","WorldCat Record")</f>
        <v/>
      </c>
      <c r="AU675" t="inlineStr">
        <is>
          <t>2070148:eng</t>
        </is>
      </c>
      <c r="AV675" t="inlineStr">
        <is>
          <t>44580783</t>
        </is>
      </c>
      <c r="AW675" t="inlineStr">
        <is>
          <t>991003255659702656</t>
        </is>
      </c>
      <c r="AX675" t="inlineStr">
        <is>
          <t>991003255659702656</t>
        </is>
      </c>
      <c r="AY675" t="inlineStr">
        <is>
          <t>2268946530002656</t>
        </is>
      </c>
      <c r="AZ675" t="inlineStr">
        <is>
          <t>BOOK</t>
        </is>
      </c>
      <c r="BB675" t="inlineStr">
        <is>
          <t>9781890689049</t>
        </is>
      </c>
      <c r="BC675" t="inlineStr">
        <is>
          <t>32285003765251</t>
        </is>
      </c>
      <c r="BD675" t="inlineStr">
        <is>
          <t>893868235</t>
        </is>
      </c>
    </row>
    <row r="676">
      <c r="A676" t="inlineStr">
        <is>
          <t>No</t>
        </is>
      </c>
      <c r="B676" t="inlineStr">
        <is>
          <t>BX1756.L54 S47 1982</t>
        </is>
      </c>
      <c r="C676" t="inlineStr">
        <is>
          <t>0                      BX 1756000L  54                 S  47          1982</t>
        </is>
      </c>
      <c r="D676" t="inlineStr">
        <is>
          <t>The sermons of St. Alphonsus Liguori for all the Sundays of the year / by St. Alphonsus de Liguori.</t>
        </is>
      </c>
      <c r="F676" t="inlineStr">
        <is>
          <t>No</t>
        </is>
      </c>
      <c r="G676" t="inlineStr">
        <is>
          <t>1</t>
        </is>
      </c>
      <c r="H676" t="inlineStr">
        <is>
          <t>No</t>
        </is>
      </c>
      <c r="I676" t="inlineStr">
        <is>
          <t>No</t>
        </is>
      </c>
      <c r="J676" t="inlineStr">
        <is>
          <t>0</t>
        </is>
      </c>
      <c r="K676" t="inlineStr">
        <is>
          <t>Liguori, Alfonso Maria de', Saint, 1696-1787.</t>
        </is>
      </c>
      <c r="L676" t="inlineStr">
        <is>
          <t>Rockford, Ill. : TAN Books and Publishers, 1982.</t>
        </is>
      </c>
      <c r="M676" t="inlineStr">
        <is>
          <t>1982</t>
        </is>
      </c>
      <c r="N676" t="inlineStr">
        <is>
          <t>4th ed.</t>
        </is>
      </c>
      <c r="O676" t="inlineStr">
        <is>
          <t>eng</t>
        </is>
      </c>
      <c r="P676" t="inlineStr">
        <is>
          <t>ilu</t>
        </is>
      </c>
      <c r="R676" t="inlineStr">
        <is>
          <t xml:space="preserve">BX </t>
        </is>
      </c>
      <c r="S676" t="n">
        <v>8</v>
      </c>
      <c r="T676" t="n">
        <v>8</v>
      </c>
      <c r="U676" t="inlineStr">
        <is>
          <t>2010-04-26</t>
        </is>
      </c>
      <c r="V676" t="inlineStr">
        <is>
          <t>2010-04-26</t>
        </is>
      </c>
      <c r="W676" t="inlineStr">
        <is>
          <t>1991-05-16</t>
        </is>
      </c>
      <c r="X676" t="inlineStr">
        <is>
          <t>1991-05-16</t>
        </is>
      </c>
      <c r="Y676" t="n">
        <v>59</v>
      </c>
      <c r="Z676" t="n">
        <v>47</v>
      </c>
      <c r="AA676" t="n">
        <v>61</v>
      </c>
      <c r="AB676" t="n">
        <v>2</v>
      </c>
      <c r="AC676" t="n">
        <v>2</v>
      </c>
      <c r="AD676" t="n">
        <v>7</v>
      </c>
      <c r="AE676" t="n">
        <v>8</v>
      </c>
      <c r="AF676" t="n">
        <v>1</v>
      </c>
      <c r="AG676" t="n">
        <v>2</v>
      </c>
      <c r="AH676" t="n">
        <v>2</v>
      </c>
      <c r="AI676" t="n">
        <v>3</v>
      </c>
      <c r="AJ676" t="n">
        <v>6</v>
      </c>
      <c r="AK676" t="n">
        <v>6</v>
      </c>
      <c r="AL676" t="n">
        <v>0</v>
      </c>
      <c r="AM676" t="n">
        <v>0</v>
      </c>
      <c r="AN676" t="n">
        <v>0</v>
      </c>
      <c r="AO676" t="n">
        <v>0</v>
      </c>
      <c r="AP676" t="inlineStr">
        <is>
          <t>No</t>
        </is>
      </c>
      <c r="AQ676" t="inlineStr">
        <is>
          <t>No</t>
        </is>
      </c>
      <c r="AS676">
        <f>HYPERLINK("https://creighton-primo.hosted.exlibrisgroup.com/primo-explore/search?tab=default_tab&amp;search_scope=EVERYTHING&amp;vid=01CRU&amp;lang=en_US&amp;offset=0&amp;query=any,contains,991000343329702656","Catalog Record")</f>
        <v/>
      </c>
      <c r="AT676">
        <f>HYPERLINK("http://www.worldcat.org/oclc/10275758","WorldCat Record")</f>
        <v/>
      </c>
      <c r="AU676" t="inlineStr">
        <is>
          <t>3805385094:eng</t>
        </is>
      </c>
      <c r="AV676" t="inlineStr">
        <is>
          <t>10275758</t>
        </is>
      </c>
      <c r="AW676" t="inlineStr">
        <is>
          <t>991000343329702656</t>
        </is>
      </c>
      <c r="AX676" t="inlineStr">
        <is>
          <t>991000343329702656</t>
        </is>
      </c>
      <c r="AY676" t="inlineStr">
        <is>
          <t>2269063920002656</t>
        </is>
      </c>
      <c r="AZ676" t="inlineStr">
        <is>
          <t>BOOK</t>
        </is>
      </c>
      <c r="BB676" t="inlineStr">
        <is>
          <t>9780895551931</t>
        </is>
      </c>
      <c r="BC676" t="inlineStr">
        <is>
          <t>32285000641638</t>
        </is>
      </c>
      <c r="BD676" t="inlineStr">
        <is>
          <t>893589366</t>
        </is>
      </c>
    </row>
    <row r="677">
      <c r="A677" t="inlineStr">
        <is>
          <t>No</t>
        </is>
      </c>
      <c r="B677" t="inlineStr">
        <is>
          <t>BX1756.L55 E52 1941</t>
        </is>
      </c>
      <c r="C677" t="inlineStr">
        <is>
          <t>0                      BX 1756000L  55                 E  52          1941</t>
        </is>
      </c>
      <c r="D677" t="inlineStr">
        <is>
          <t>A light to my paths / [by] Peter Lippert, S.J. English version by Sister Mary Aloysi Kiener.</t>
        </is>
      </c>
      <c r="F677" t="inlineStr">
        <is>
          <t>No</t>
        </is>
      </c>
      <c r="G677" t="inlineStr">
        <is>
          <t>1</t>
        </is>
      </c>
      <c r="H677" t="inlineStr">
        <is>
          <t>No</t>
        </is>
      </c>
      <c r="I677" t="inlineStr">
        <is>
          <t>No</t>
        </is>
      </c>
      <c r="J677" t="inlineStr">
        <is>
          <t>0</t>
        </is>
      </c>
      <c r="K677" t="inlineStr">
        <is>
          <t>Lippert, Peter, 1879-1936.</t>
        </is>
      </c>
      <c r="L677" t="inlineStr">
        <is>
          <t>New York ; Cincinnati : Frederick Pustet co. inc., 1941.</t>
        </is>
      </c>
      <c r="M677" t="inlineStr">
        <is>
          <t>1941</t>
        </is>
      </c>
      <c r="O677" t="inlineStr">
        <is>
          <t>eng</t>
        </is>
      </c>
      <c r="P677" t="inlineStr">
        <is>
          <t>nyu</t>
        </is>
      </c>
      <c r="R677" t="inlineStr">
        <is>
          <t xml:space="preserve">BX </t>
        </is>
      </c>
      <c r="S677" t="n">
        <v>2</v>
      </c>
      <c r="T677" t="n">
        <v>2</v>
      </c>
      <c r="U677" t="inlineStr">
        <is>
          <t>1995-07-10</t>
        </is>
      </c>
      <c r="V677" t="inlineStr">
        <is>
          <t>1995-07-10</t>
        </is>
      </c>
      <c r="W677" t="inlineStr">
        <is>
          <t>1991-05-16</t>
        </is>
      </c>
      <c r="X677" t="inlineStr">
        <is>
          <t>1991-05-16</t>
        </is>
      </c>
      <c r="Y677" t="n">
        <v>44</v>
      </c>
      <c r="Z677" t="n">
        <v>36</v>
      </c>
      <c r="AA677" t="n">
        <v>37</v>
      </c>
      <c r="AB677" t="n">
        <v>1</v>
      </c>
      <c r="AC677" t="n">
        <v>1</v>
      </c>
      <c r="AD677" t="n">
        <v>10</v>
      </c>
      <c r="AE677" t="n">
        <v>11</v>
      </c>
      <c r="AF677" t="n">
        <v>1</v>
      </c>
      <c r="AG677" t="n">
        <v>1</v>
      </c>
      <c r="AH677" t="n">
        <v>3</v>
      </c>
      <c r="AI677" t="n">
        <v>3</v>
      </c>
      <c r="AJ677" t="n">
        <v>9</v>
      </c>
      <c r="AK677" t="n">
        <v>10</v>
      </c>
      <c r="AL677" t="n">
        <v>0</v>
      </c>
      <c r="AM677" t="n">
        <v>0</v>
      </c>
      <c r="AN677" t="n">
        <v>0</v>
      </c>
      <c r="AO677" t="n">
        <v>0</v>
      </c>
      <c r="AP677" t="inlineStr">
        <is>
          <t>No</t>
        </is>
      </c>
      <c r="AQ677" t="inlineStr">
        <is>
          <t>No</t>
        </is>
      </c>
      <c r="AS677">
        <f>HYPERLINK("https://creighton-primo.hosted.exlibrisgroup.com/primo-explore/search?tab=default_tab&amp;search_scope=EVERYTHING&amp;vid=01CRU&amp;lang=en_US&amp;offset=0&amp;query=any,contains,991004805609702656","Catalog Record")</f>
        <v/>
      </c>
      <c r="AT677">
        <f>HYPERLINK("http://www.worldcat.org/oclc/5242101","WorldCat Record")</f>
        <v/>
      </c>
      <c r="AU677" t="inlineStr">
        <is>
          <t>16903940:eng</t>
        </is>
      </c>
      <c r="AV677" t="inlineStr">
        <is>
          <t>5242101</t>
        </is>
      </c>
      <c r="AW677" t="inlineStr">
        <is>
          <t>991004805609702656</t>
        </is>
      </c>
      <c r="AX677" t="inlineStr">
        <is>
          <t>991004805609702656</t>
        </is>
      </c>
      <c r="AY677" t="inlineStr">
        <is>
          <t>2264280260002656</t>
        </is>
      </c>
      <c r="AZ677" t="inlineStr">
        <is>
          <t>BOOK</t>
        </is>
      </c>
      <c r="BC677" t="inlineStr">
        <is>
          <t>32285000641646</t>
        </is>
      </c>
      <c r="BD677" t="inlineStr">
        <is>
          <t>893241858</t>
        </is>
      </c>
    </row>
    <row r="678">
      <c r="A678" t="inlineStr">
        <is>
          <t>No</t>
        </is>
      </c>
      <c r="B678" t="inlineStr">
        <is>
          <t>BX1756.N39 T56 1994</t>
        </is>
      </c>
      <c r="C678" t="inlineStr">
        <is>
          <t>0                      BX 1756000N  39                 T  56          1994</t>
        </is>
      </c>
      <c r="D678" t="inlineStr">
        <is>
          <t>Times and seasons : homilies for church year / Sergio P. Negro ; edited by Sharon M. Young.</t>
        </is>
      </c>
      <c r="F678" t="inlineStr">
        <is>
          <t>No</t>
        </is>
      </c>
      <c r="G678" t="inlineStr">
        <is>
          <t>1</t>
        </is>
      </c>
      <c r="H678" t="inlineStr">
        <is>
          <t>No</t>
        </is>
      </c>
      <c r="I678" t="inlineStr">
        <is>
          <t>No</t>
        </is>
      </c>
      <c r="J678" t="inlineStr">
        <is>
          <t>0</t>
        </is>
      </c>
      <c r="K678" t="inlineStr">
        <is>
          <t>Negro, Sergio P. (Sergio Piero), 1929-</t>
        </is>
      </c>
      <c r="L678" t="inlineStr">
        <is>
          <t>Fresno, Calif. : WordWorks, c1994.</t>
        </is>
      </c>
      <c r="M678" t="inlineStr">
        <is>
          <t>1994</t>
        </is>
      </c>
      <c r="O678" t="inlineStr">
        <is>
          <t>eng</t>
        </is>
      </c>
      <c r="P678" t="inlineStr">
        <is>
          <t>cau</t>
        </is>
      </c>
      <c r="R678" t="inlineStr">
        <is>
          <t xml:space="preserve">BX </t>
        </is>
      </c>
      <c r="S678" t="n">
        <v>1</v>
      </c>
      <c r="T678" t="n">
        <v>1</v>
      </c>
      <c r="U678" t="inlineStr">
        <is>
          <t>2009-07-28</t>
        </is>
      </c>
      <c r="V678" t="inlineStr">
        <is>
          <t>2009-07-28</t>
        </is>
      </c>
      <c r="W678" t="inlineStr">
        <is>
          <t>2009-07-28</t>
        </is>
      </c>
      <c r="X678" t="inlineStr">
        <is>
          <t>2009-07-28</t>
        </is>
      </c>
      <c r="Y678" t="n">
        <v>13</v>
      </c>
      <c r="Z678" t="n">
        <v>13</v>
      </c>
      <c r="AA678" t="n">
        <v>26</v>
      </c>
      <c r="AB678" t="n">
        <v>1</v>
      </c>
      <c r="AC678" t="n">
        <v>1</v>
      </c>
      <c r="AD678" t="n">
        <v>1</v>
      </c>
      <c r="AE678" t="n">
        <v>4</v>
      </c>
      <c r="AF678" t="n">
        <v>0</v>
      </c>
      <c r="AG678" t="n">
        <v>0</v>
      </c>
      <c r="AH678" t="n">
        <v>0</v>
      </c>
      <c r="AI678" t="n">
        <v>1</v>
      </c>
      <c r="AJ678" t="n">
        <v>1</v>
      </c>
      <c r="AK678" t="n">
        <v>3</v>
      </c>
      <c r="AL678" t="n">
        <v>0</v>
      </c>
      <c r="AM678" t="n">
        <v>0</v>
      </c>
      <c r="AN678" t="n">
        <v>0</v>
      </c>
      <c r="AO678" t="n">
        <v>0</v>
      </c>
      <c r="AP678" t="inlineStr">
        <is>
          <t>No</t>
        </is>
      </c>
      <c r="AQ678" t="inlineStr">
        <is>
          <t>No</t>
        </is>
      </c>
      <c r="AS678">
        <f>HYPERLINK("https://creighton-primo.hosted.exlibrisgroup.com/primo-explore/search?tab=default_tab&amp;search_scope=EVERYTHING&amp;vid=01CRU&amp;lang=en_US&amp;offset=0&amp;query=any,contains,991005328539702656","Catalog Record")</f>
        <v/>
      </c>
      <c r="AT678">
        <f>HYPERLINK("http://www.worldcat.org/oclc/31012267","WorldCat Record")</f>
        <v/>
      </c>
      <c r="AU678" t="inlineStr">
        <is>
          <t>9692492:eng</t>
        </is>
      </c>
      <c r="AV678" t="inlineStr">
        <is>
          <t>31012267</t>
        </is>
      </c>
      <c r="AW678" t="inlineStr">
        <is>
          <t>991005328539702656</t>
        </is>
      </c>
      <c r="AX678" t="inlineStr">
        <is>
          <t>991005328539702656</t>
        </is>
      </c>
      <c r="AY678" t="inlineStr">
        <is>
          <t>2272504400002656</t>
        </is>
      </c>
      <c r="AZ678" t="inlineStr">
        <is>
          <t>BOOK</t>
        </is>
      </c>
      <c r="BB678" t="inlineStr">
        <is>
          <t>9780964140493</t>
        </is>
      </c>
      <c r="BC678" t="inlineStr">
        <is>
          <t>32285005539191</t>
        </is>
      </c>
      <c r="BD678" t="inlineStr">
        <is>
          <t>893783407</t>
        </is>
      </c>
    </row>
    <row r="679">
      <c r="A679" t="inlineStr">
        <is>
          <t>No</t>
        </is>
      </c>
      <c r="B679" t="inlineStr">
        <is>
          <t>BX1756.N5 D5 1966</t>
        </is>
      </c>
      <c r="C679" t="inlineStr">
        <is>
          <t>0                      BX 1756000N  5                  D  5           1966</t>
        </is>
      </c>
      <c r="D679" t="inlineStr">
        <is>
          <t>Discourses addressed to mixed congregations / by John Henry Newman.</t>
        </is>
      </c>
      <c r="F679" t="inlineStr">
        <is>
          <t>No</t>
        </is>
      </c>
      <c r="G679" t="inlineStr">
        <is>
          <t>1</t>
        </is>
      </c>
      <c r="H679" t="inlineStr">
        <is>
          <t>No</t>
        </is>
      </c>
      <c r="I679" t="inlineStr">
        <is>
          <t>Yes</t>
        </is>
      </c>
      <c r="J679" t="inlineStr">
        <is>
          <t>0</t>
        </is>
      </c>
      <c r="K679" t="inlineStr">
        <is>
          <t>Newman, John Henry, 1801-1890.</t>
        </is>
      </c>
      <c r="L679" t="inlineStr">
        <is>
          <t>Westminster, Md. : Christian Classics, 1966.</t>
        </is>
      </c>
      <c r="M679" t="inlineStr">
        <is>
          <t>1966</t>
        </is>
      </c>
      <c r="O679" t="inlineStr">
        <is>
          <t>eng</t>
        </is>
      </c>
      <c r="P679" t="inlineStr">
        <is>
          <t>mdu</t>
        </is>
      </c>
      <c r="Q679" t="inlineStr">
        <is>
          <t>His Works</t>
        </is>
      </c>
      <c r="R679" t="inlineStr">
        <is>
          <t xml:space="preserve">BX </t>
        </is>
      </c>
      <c r="S679" t="n">
        <v>1</v>
      </c>
      <c r="T679" t="n">
        <v>1</v>
      </c>
      <c r="U679" t="inlineStr">
        <is>
          <t>2001-09-12</t>
        </is>
      </c>
      <c r="V679" t="inlineStr">
        <is>
          <t>2001-09-12</t>
        </is>
      </c>
      <c r="W679" t="inlineStr">
        <is>
          <t>2001-09-11</t>
        </is>
      </c>
      <c r="X679" t="inlineStr">
        <is>
          <t>2001-09-11</t>
        </is>
      </c>
      <c r="Y679" t="n">
        <v>105</v>
      </c>
      <c r="Z679" t="n">
        <v>97</v>
      </c>
      <c r="AA679" t="n">
        <v>450</v>
      </c>
      <c r="AB679" t="n">
        <v>1</v>
      </c>
      <c r="AC679" t="n">
        <v>5</v>
      </c>
      <c r="AD679" t="n">
        <v>8</v>
      </c>
      <c r="AE679" t="n">
        <v>36</v>
      </c>
      <c r="AF679" t="n">
        <v>1</v>
      </c>
      <c r="AG679" t="n">
        <v>11</v>
      </c>
      <c r="AH679" t="n">
        <v>2</v>
      </c>
      <c r="AI679" t="n">
        <v>9</v>
      </c>
      <c r="AJ679" t="n">
        <v>7</v>
      </c>
      <c r="AK679" t="n">
        <v>25</v>
      </c>
      <c r="AL679" t="n">
        <v>0</v>
      </c>
      <c r="AM679" t="n">
        <v>2</v>
      </c>
      <c r="AN679" t="n">
        <v>0</v>
      </c>
      <c r="AO679" t="n">
        <v>0</v>
      </c>
      <c r="AP679" t="inlineStr">
        <is>
          <t>No</t>
        </is>
      </c>
      <c r="AQ679" t="inlineStr">
        <is>
          <t>No</t>
        </is>
      </c>
      <c r="AS679">
        <f>HYPERLINK("https://creighton-primo.hosted.exlibrisgroup.com/primo-explore/search?tab=default_tab&amp;search_scope=EVERYTHING&amp;vid=01CRU&amp;lang=en_US&amp;offset=0&amp;query=any,contains,991003600539702656","Catalog Record")</f>
        <v/>
      </c>
      <c r="AT679">
        <f>HYPERLINK("http://www.worldcat.org/oclc/3171165","WorldCat Record")</f>
        <v/>
      </c>
      <c r="AU679" t="inlineStr">
        <is>
          <t>726985:eng</t>
        </is>
      </c>
      <c r="AV679" t="inlineStr">
        <is>
          <t>3171165</t>
        </is>
      </c>
      <c r="AW679" t="inlineStr">
        <is>
          <t>991003600539702656</t>
        </is>
      </c>
      <c r="AX679" t="inlineStr">
        <is>
          <t>991003600539702656</t>
        </is>
      </c>
      <c r="AY679" t="inlineStr">
        <is>
          <t>2262818990002656</t>
        </is>
      </c>
      <c r="AZ679" t="inlineStr">
        <is>
          <t>BOOK</t>
        </is>
      </c>
      <c r="BC679" t="inlineStr">
        <is>
          <t>32285004390174</t>
        </is>
      </c>
      <c r="BD679" t="inlineStr">
        <is>
          <t>893598748</t>
        </is>
      </c>
    </row>
    <row r="680">
      <c r="A680" t="inlineStr">
        <is>
          <t>No</t>
        </is>
      </c>
      <c r="B680" t="inlineStr">
        <is>
          <t>BX1756.R25 B53 1966</t>
        </is>
      </c>
      <c r="C680" t="inlineStr">
        <is>
          <t>0                      BX 1756000R  25                 B  53          1966</t>
        </is>
      </c>
      <c r="D680" t="inlineStr">
        <is>
          <t>Biblical homilies / Karl Rahner. [Translated by Desmond Forristal and Richard Strachan.</t>
        </is>
      </c>
      <c r="F680" t="inlineStr">
        <is>
          <t>No</t>
        </is>
      </c>
      <c r="G680" t="inlineStr">
        <is>
          <t>1</t>
        </is>
      </c>
      <c r="H680" t="inlineStr">
        <is>
          <t>No</t>
        </is>
      </c>
      <c r="I680" t="inlineStr">
        <is>
          <t>No</t>
        </is>
      </c>
      <c r="J680" t="inlineStr">
        <is>
          <t>0</t>
        </is>
      </c>
      <c r="K680" t="inlineStr">
        <is>
          <t>Rahner, Karl, 1904-1984.</t>
        </is>
      </c>
      <c r="L680" t="inlineStr">
        <is>
          <t>New York] : Herder and Herder, [1966]</t>
        </is>
      </c>
      <c r="M680" t="inlineStr">
        <is>
          <t>1966</t>
        </is>
      </c>
      <c r="O680" t="inlineStr">
        <is>
          <t>eng</t>
        </is>
      </c>
      <c r="P680" t="inlineStr">
        <is>
          <t>nyu</t>
        </is>
      </c>
      <c r="R680" t="inlineStr">
        <is>
          <t xml:space="preserve">BX </t>
        </is>
      </c>
      <c r="S680" t="n">
        <v>7</v>
      </c>
      <c r="T680" t="n">
        <v>7</v>
      </c>
      <c r="U680" t="inlineStr">
        <is>
          <t>2008-09-17</t>
        </is>
      </c>
      <c r="V680" t="inlineStr">
        <is>
          <t>2008-09-17</t>
        </is>
      </c>
      <c r="W680" t="inlineStr">
        <is>
          <t>1991-05-17</t>
        </is>
      </c>
      <c r="X680" t="inlineStr">
        <is>
          <t>1991-05-17</t>
        </is>
      </c>
      <c r="Y680" t="n">
        <v>324</v>
      </c>
      <c r="Z680" t="n">
        <v>271</v>
      </c>
      <c r="AA680" t="n">
        <v>275</v>
      </c>
      <c r="AB680" t="n">
        <v>2</v>
      </c>
      <c r="AC680" t="n">
        <v>2</v>
      </c>
      <c r="AD680" t="n">
        <v>33</v>
      </c>
      <c r="AE680" t="n">
        <v>33</v>
      </c>
      <c r="AF680" t="n">
        <v>12</v>
      </c>
      <c r="AG680" t="n">
        <v>12</v>
      </c>
      <c r="AH680" t="n">
        <v>8</v>
      </c>
      <c r="AI680" t="n">
        <v>8</v>
      </c>
      <c r="AJ680" t="n">
        <v>25</v>
      </c>
      <c r="AK680" t="n">
        <v>25</v>
      </c>
      <c r="AL680" t="n">
        <v>0</v>
      </c>
      <c r="AM680" t="n">
        <v>0</v>
      </c>
      <c r="AN680" t="n">
        <v>0</v>
      </c>
      <c r="AO680" t="n">
        <v>0</v>
      </c>
      <c r="AP680" t="inlineStr">
        <is>
          <t>No</t>
        </is>
      </c>
      <c r="AQ680" t="inlineStr">
        <is>
          <t>Yes</t>
        </is>
      </c>
      <c r="AR680">
        <f>HYPERLINK("http://catalog.hathitrust.org/Record/101875321","HathiTrust Record")</f>
        <v/>
      </c>
      <c r="AS680">
        <f>HYPERLINK("https://creighton-primo.hosted.exlibrisgroup.com/primo-explore/search?tab=default_tab&amp;search_scope=EVERYTHING&amp;vid=01CRU&amp;lang=en_US&amp;offset=0&amp;query=any,contains,991003251639702656","Catalog Record")</f>
        <v/>
      </c>
      <c r="AT680">
        <f>HYPERLINK("http://www.worldcat.org/oclc/776401","WorldCat Record")</f>
        <v/>
      </c>
      <c r="AU680" t="inlineStr">
        <is>
          <t>52124334:eng</t>
        </is>
      </c>
      <c r="AV680" t="inlineStr">
        <is>
          <t>776401</t>
        </is>
      </c>
      <c r="AW680" t="inlineStr">
        <is>
          <t>991003251639702656</t>
        </is>
      </c>
      <c r="AX680" t="inlineStr">
        <is>
          <t>991003251639702656</t>
        </is>
      </c>
      <c r="AY680" t="inlineStr">
        <is>
          <t>2268580290002656</t>
        </is>
      </c>
      <c r="AZ680" t="inlineStr">
        <is>
          <t>BOOK</t>
        </is>
      </c>
      <c r="BC680" t="inlineStr">
        <is>
          <t>32285000641737</t>
        </is>
      </c>
      <c r="BD680" t="inlineStr">
        <is>
          <t>893348483</t>
        </is>
      </c>
    </row>
    <row r="681">
      <c r="A681" t="inlineStr">
        <is>
          <t>No</t>
        </is>
      </c>
      <c r="B681" t="inlineStr">
        <is>
          <t>BX1756.S353 E8313 1983</t>
        </is>
      </c>
      <c r="C681" t="inlineStr">
        <is>
          <t>0                      BX 1756000S  353                E  8313        1983</t>
        </is>
      </c>
      <c r="D681" t="inlineStr">
        <is>
          <t>God among us : the gospel proclaimed / by Edward Schillebeeckx.</t>
        </is>
      </c>
      <c r="F681" t="inlineStr">
        <is>
          <t>No</t>
        </is>
      </c>
      <c r="G681" t="inlineStr">
        <is>
          <t>1</t>
        </is>
      </c>
      <c r="H681" t="inlineStr">
        <is>
          <t>No</t>
        </is>
      </c>
      <c r="I681" t="inlineStr">
        <is>
          <t>No</t>
        </is>
      </c>
      <c r="J681" t="inlineStr">
        <is>
          <t>0</t>
        </is>
      </c>
      <c r="K681" t="inlineStr">
        <is>
          <t>Schillebeeckx, Edward, 1914-2009.</t>
        </is>
      </c>
      <c r="L681" t="inlineStr">
        <is>
          <t>New York : Crossroad Pub. Co., 1983.</t>
        </is>
      </c>
      <c r="M681" t="inlineStr">
        <is>
          <t>1983</t>
        </is>
      </c>
      <c r="O681" t="inlineStr">
        <is>
          <t>eng</t>
        </is>
      </c>
      <c r="P681" t="inlineStr">
        <is>
          <t>nyu</t>
        </is>
      </c>
      <c r="R681" t="inlineStr">
        <is>
          <t xml:space="preserve">BX </t>
        </is>
      </c>
      <c r="S681" t="n">
        <v>3</v>
      </c>
      <c r="T681" t="n">
        <v>3</v>
      </c>
      <c r="U681" t="inlineStr">
        <is>
          <t>2004-01-09</t>
        </is>
      </c>
      <c r="V681" t="inlineStr">
        <is>
          <t>2004-01-09</t>
        </is>
      </c>
      <c r="W681" t="inlineStr">
        <is>
          <t>1991-05-17</t>
        </is>
      </c>
      <c r="X681" t="inlineStr">
        <is>
          <t>1991-05-17</t>
        </is>
      </c>
      <c r="Y681" t="n">
        <v>367</v>
      </c>
      <c r="Z681" t="n">
        <v>316</v>
      </c>
      <c r="AA681" t="n">
        <v>335</v>
      </c>
      <c r="AB681" t="n">
        <v>2</v>
      </c>
      <c r="AC681" t="n">
        <v>2</v>
      </c>
      <c r="AD681" t="n">
        <v>30</v>
      </c>
      <c r="AE681" t="n">
        <v>31</v>
      </c>
      <c r="AF681" t="n">
        <v>10</v>
      </c>
      <c r="AG681" t="n">
        <v>11</v>
      </c>
      <c r="AH681" t="n">
        <v>8</v>
      </c>
      <c r="AI681" t="n">
        <v>8</v>
      </c>
      <c r="AJ681" t="n">
        <v>22</v>
      </c>
      <c r="AK681" t="n">
        <v>22</v>
      </c>
      <c r="AL681" t="n">
        <v>0</v>
      </c>
      <c r="AM681" t="n">
        <v>0</v>
      </c>
      <c r="AN681" t="n">
        <v>0</v>
      </c>
      <c r="AO681" t="n">
        <v>0</v>
      </c>
      <c r="AP681" t="inlineStr">
        <is>
          <t>No</t>
        </is>
      </c>
      <c r="AQ681" t="inlineStr">
        <is>
          <t>Yes</t>
        </is>
      </c>
      <c r="AR681">
        <f>HYPERLINK("http://catalog.hathitrust.org/Record/102076394","HathiTrust Record")</f>
        <v/>
      </c>
      <c r="AS681">
        <f>HYPERLINK("https://creighton-primo.hosted.exlibrisgroup.com/primo-explore/search?tab=default_tab&amp;search_scope=EVERYTHING&amp;vid=01CRU&amp;lang=en_US&amp;offset=0&amp;query=any,contains,991000132419702656","Catalog Record")</f>
        <v/>
      </c>
      <c r="AT681">
        <f>HYPERLINK("http://www.worldcat.org/oclc/9112215","WorldCat Record")</f>
        <v/>
      </c>
      <c r="AU681" t="inlineStr">
        <is>
          <t>427816044:eng</t>
        </is>
      </c>
      <c r="AV681" t="inlineStr">
        <is>
          <t>9112215</t>
        </is>
      </c>
      <c r="AW681" t="inlineStr">
        <is>
          <t>991000132419702656</t>
        </is>
      </c>
      <c r="AX681" t="inlineStr">
        <is>
          <t>991000132419702656</t>
        </is>
      </c>
      <c r="AY681" t="inlineStr">
        <is>
          <t>2265289150002656</t>
        </is>
      </c>
      <c r="AZ681" t="inlineStr">
        <is>
          <t>BOOK</t>
        </is>
      </c>
      <c r="BB681" t="inlineStr">
        <is>
          <t>9780824505752</t>
        </is>
      </c>
      <c r="BC681" t="inlineStr">
        <is>
          <t>32285000641745</t>
        </is>
      </c>
      <c r="BD681" t="inlineStr">
        <is>
          <t>893890448</t>
        </is>
      </c>
    </row>
    <row r="682">
      <c r="A682" t="inlineStr">
        <is>
          <t>No</t>
        </is>
      </c>
      <c r="B682" t="inlineStr">
        <is>
          <t>BX1756.V5 S34 1984</t>
        </is>
      </c>
      <c r="C682" t="inlineStr">
        <is>
          <t>0                      BX 1756000V  5                  S  34          1984</t>
        </is>
      </c>
      <c r="D682" t="inlineStr">
        <is>
          <t>Sermons for the Sundays and Feasts of the year / by the Ven. Curé of Ars (Jean Baptiste Marie Vianney).</t>
        </is>
      </c>
      <c r="F682" t="inlineStr">
        <is>
          <t>No</t>
        </is>
      </c>
      <c r="G682" t="inlineStr">
        <is>
          <t>1</t>
        </is>
      </c>
      <c r="H682" t="inlineStr">
        <is>
          <t>No</t>
        </is>
      </c>
      <c r="I682" t="inlineStr">
        <is>
          <t>No</t>
        </is>
      </c>
      <c r="J682" t="inlineStr">
        <is>
          <t>0</t>
        </is>
      </c>
      <c r="K682" t="inlineStr">
        <is>
          <t>Vianney, Jean-Baptiste-Marie, Saint, 1786-1859.</t>
        </is>
      </c>
      <c r="L682" t="inlineStr">
        <is>
          <t>Long Prairie, Minn. : Neumann Press, 1984.</t>
        </is>
      </c>
      <c r="M682" t="inlineStr">
        <is>
          <t>1984</t>
        </is>
      </c>
      <c r="O682" t="inlineStr">
        <is>
          <t>eng</t>
        </is>
      </c>
      <c r="P682" t="inlineStr">
        <is>
          <t>mnu</t>
        </is>
      </c>
      <c r="R682" t="inlineStr">
        <is>
          <t xml:space="preserve">BX </t>
        </is>
      </c>
      <c r="S682" t="n">
        <v>1</v>
      </c>
      <c r="T682" t="n">
        <v>1</v>
      </c>
      <c r="U682" t="inlineStr">
        <is>
          <t>1997-10-24</t>
        </is>
      </c>
      <c r="V682" t="inlineStr">
        <is>
          <t>1997-10-24</t>
        </is>
      </c>
      <c r="W682" t="inlineStr">
        <is>
          <t>1991-05-17</t>
        </is>
      </c>
      <c r="X682" t="inlineStr">
        <is>
          <t>1991-05-17</t>
        </is>
      </c>
      <c r="Y682" t="n">
        <v>21</v>
      </c>
      <c r="Z682" t="n">
        <v>21</v>
      </c>
      <c r="AA682" t="n">
        <v>74</v>
      </c>
      <c r="AB682" t="n">
        <v>2</v>
      </c>
      <c r="AC682" t="n">
        <v>2</v>
      </c>
      <c r="AD682" t="n">
        <v>2</v>
      </c>
      <c r="AE682" t="n">
        <v>16</v>
      </c>
      <c r="AF682" t="n">
        <v>0</v>
      </c>
      <c r="AG682" t="n">
        <v>2</v>
      </c>
      <c r="AH682" t="n">
        <v>1</v>
      </c>
      <c r="AI682" t="n">
        <v>6</v>
      </c>
      <c r="AJ682" t="n">
        <v>1</v>
      </c>
      <c r="AK682" t="n">
        <v>12</v>
      </c>
      <c r="AL682" t="n">
        <v>0</v>
      </c>
      <c r="AM682" t="n">
        <v>0</v>
      </c>
      <c r="AN682" t="n">
        <v>0</v>
      </c>
      <c r="AO682" t="n">
        <v>0</v>
      </c>
      <c r="AP682" t="inlineStr">
        <is>
          <t>No</t>
        </is>
      </c>
      <c r="AQ682" t="inlineStr">
        <is>
          <t>No</t>
        </is>
      </c>
      <c r="AS682">
        <f>HYPERLINK("https://creighton-primo.hosted.exlibrisgroup.com/primo-explore/search?tab=default_tab&amp;search_scope=EVERYTHING&amp;vid=01CRU&amp;lang=en_US&amp;offset=0&amp;query=any,contains,991000837839702656","Catalog Record")</f>
        <v/>
      </c>
      <c r="AT682">
        <f>HYPERLINK("http://www.worldcat.org/oclc/13501929","WorldCat Record")</f>
        <v/>
      </c>
      <c r="AU682" t="inlineStr">
        <is>
          <t>2260816829:eng</t>
        </is>
      </c>
      <c r="AV682" t="inlineStr">
        <is>
          <t>13501929</t>
        </is>
      </c>
      <c r="AW682" t="inlineStr">
        <is>
          <t>991000837839702656</t>
        </is>
      </c>
      <c r="AX682" t="inlineStr">
        <is>
          <t>991000837839702656</t>
        </is>
      </c>
      <c r="AY682" t="inlineStr">
        <is>
          <t>2262219470002656</t>
        </is>
      </c>
      <c r="AZ682" t="inlineStr">
        <is>
          <t>BOOK</t>
        </is>
      </c>
      <c r="BC682" t="inlineStr">
        <is>
          <t>32285000641828</t>
        </is>
      </c>
      <c r="BD682" t="inlineStr">
        <is>
          <t>893803112</t>
        </is>
      </c>
    </row>
    <row r="683">
      <c r="A683" t="inlineStr">
        <is>
          <t>No</t>
        </is>
      </c>
      <c r="B683" t="inlineStr">
        <is>
          <t>BX1758 .D3 1938</t>
        </is>
      </c>
      <c r="C683" t="inlineStr">
        <is>
          <t>0                      BX 1758000D  3           1938</t>
        </is>
      </c>
      <c r="D683" t="inlineStr">
        <is>
          <t>Moral and pastoral theology / by Henry Davis.</t>
        </is>
      </c>
      <c r="E683" t="inlineStr">
        <is>
          <t>V.4</t>
        </is>
      </c>
      <c r="F683" t="inlineStr">
        <is>
          <t>Yes</t>
        </is>
      </c>
      <c r="G683" t="inlineStr">
        <is>
          <t>1</t>
        </is>
      </c>
      <c r="H683" t="inlineStr">
        <is>
          <t>No</t>
        </is>
      </c>
      <c r="I683" t="inlineStr">
        <is>
          <t>No</t>
        </is>
      </c>
      <c r="J683" t="inlineStr">
        <is>
          <t>0</t>
        </is>
      </c>
      <c r="K683" t="inlineStr">
        <is>
          <t>Davis, Henry, 1866-1952.</t>
        </is>
      </c>
      <c r="L683" t="inlineStr">
        <is>
          <t>London : Sheed and Ward, 1938.</t>
        </is>
      </c>
      <c r="M683" t="inlineStr">
        <is>
          <t>1938</t>
        </is>
      </c>
      <c r="N683" t="inlineStr">
        <is>
          <t>3d ed., rev. and enl.</t>
        </is>
      </c>
      <c r="O683" t="inlineStr">
        <is>
          <t>eng</t>
        </is>
      </c>
      <c r="P683" t="inlineStr">
        <is>
          <t>enk</t>
        </is>
      </c>
      <c r="Q683" t="inlineStr">
        <is>
          <t>Heythrop series ; 2</t>
        </is>
      </c>
      <c r="R683" t="inlineStr">
        <is>
          <t xml:space="preserve">BX </t>
        </is>
      </c>
      <c r="S683" t="n">
        <v>6</v>
      </c>
      <c r="T683" t="n">
        <v>17</v>
      </c>
      <c r="U683" t="inlineStr">
        <is>
          <t>2001-07-11</t>
        </is>
      </c>
      <c r="V683" t="inlineStr">
        <is>
          <t>2002-10-07</t>
        </is>
      </c>
      <c r="W683" t="inlineStr">
        <is>
          <t>1991-05-20</t>
        </is>
      </c>
      <c r="X683" t="inlineStr">
        <is>
          <t>1991-05-20</t>
        </is>
      </c>
      <c r="Y683" t="n">
        <v>37</v>
      </c>
      <c r="Z683" t="n">
        <v>22</v>
      </c>
      <c r="AA683" t="n">
        <v>131</v>
      </c>
      <c r="AB683" t="n">
        <v>1</v>
      </c>
      <c r="AC683" t="n">
        <v>2</v>
      </c>
      <c r="AD683" t="n">
        <v>3</v>
      </c>
      <c r="AE683" t="n">
        <v>20</v>
      </c>
      <c r="AF683" t="n">
        <v>2</v>
      </c>
      <c r="AG683" t="n">
        <v>3</v>
      </c>
      <c r="AH683" t="n">
        <v>0</v>
      </c>
      <c r="AI683" t="n">
        <v>6</v>
      </c>
      <c r="AJ683" t="n">
        <v>2</v>
      </c>
      <c r="AK683" t="n">
        <v>14</v>
      </c>
      <c r="AL683" t="n">
        <v>0</v>
      </c>
      <c r="AM683" t="n">
        <v>0</v>
      </c>
      <c r="AN683" t="n">
        <v>0</v>
      </c>
      <c r="AO683" t="n">
        <v>1</v>
      </c>
      <c r="AP683" t="inlineStr">
        <is>
          <t>No</t>
        </is>
      </c>
      <c r="AQ683" t="inlineStr">
        <is>
          <t>No</t>
        </is>
      </c>
      <c r="AS683">
        <f>HYPERLINK("https://creighton-primo.hosted.exlibrisgroup.com/primo-explore/search?tab=default_tab&amp;search_scope=EVERYTHING&amp;vid=01CRU&amp;lang=en_US&amp;offset=0&amp;query=any,contains,991004057129702656","Catalog Record")</f>
        <v/>
      </c>
      <c r="AT683">
        <f>HYPERLINK("http://www.worldcat.org/oclc/2228469","WorldCat Record")</f>
        <v/>
      </c>
      <c r="AU683" t="inlineStr">
        <is>
          <t>4917192426:eng</t>
        </is>
      </c>
      <c r="AV683" t="inlineStr">
        <is>
          <t>2228469</t>
        </is>
      </c>
      <c r="AW683" t="inlineStr">
        <is>
          <t>991004057129702656</t>
        </is>
      </c>
      <c r="AX683" t="inlineStr">
        <is>
          <t>991004057129702656</t>
        </is>
      </c>
      <c r="AY683" t="inlineStr">
        <is>
          <t>2270133680002656</t>
        </is>
      </c>
      <c r="AZ683" t="inlineStr">
        <is>
          <t>BOOK</t>
        </is>
      </c>
      <c r="BC683" t="inlineStr">
        <is>
          <t>32285000643204</t>
        </is>
      </c>
      <c r="BD683" t="inlineStr">
        <is>
          <t>893442120</t>
        </is>
      </c>
    </row>
    <row r="684">
      <c r="A684" t="inlineStr">
        <is>
          <t>No</t>
        </is>
      </c>
      <c r="B684" t="inlineStr">
        <is>
          <t>BX1758 .D3 1938</t>
        </is>
      </c>
      <c r="C684" t="inlineStr">
        <is>
          <t>0                      BX 1758000D  3           1938</t>
        </is>
      </c>
      <c r="D684" t="inlineStr">
        <is>
          <t>Moral and pastoral theology / by Henry Davis.</t>
        </is>
      </c>
      <c r="E684" t="inlineStr">
        <is>
          <t>V.2</t>
        </is>
      </c>
      <c r="F684" t="inlineStr">
        <is>
          <t>Yes</t>
        </is>
      </c>
      <c r="G684" t="inlineStr">
        <is>
          <t>1</t>
        </is>
      </c>
      <c r="H684" t="inlineStr">
        <is>
          <t>No</t>
        </is>
      </c>
      <c r="I684" t="inlineStr">
        <is>
          <t>No</t>
        </is>
      </c>
      <c r="J684" t="inlineStr">
        <is>
          <t>0</t>
        </is>
      </c>
      <c r="K684" t="inlineStr">
        <is>
          <t>Davis, Henry, 1866-1952.</t>
        </is>
      </c>
      <c r="L684" t="inlineStr">
        <is>
          <t>London : Sheed and Ward, 1938.</t>
        </is>
      </c>
      <c r="M684" t="inlineStr">
        <is>
          <t>1938</t>
        </is>
      </c>
      <c r="N684" t="inlineStr">
        <is>
          <t>3d ed., rev. and enl.</t>
        </is>
      </c>
      <c r="O684" t="inlineStr">
        <is>
          <t>eng</t>
        </is>
      </c>
      <c r="P684" t="inlineStr">
        <is>
          <t>enk</t>
        </is>
      </c>
      <c r="Q684" t="inlineStr">
        <is>
          <t>Heythrop series ; 2</t>
        </is>
      </c>
      <c r="R684" t="inlineStr">
        <is>
          <t xml:space="preserve">BX </t>
        </is>
      </c>
      <c r="S684" t="n">
        <v>5</v>
      </c>
      <c r="T684" t="n">
        <v>17</v>
      </c>
      <c r="U684" t="inlineStr">
        <is>
          <t>2002-10-07</t>
        </is>
      </c>
      <c r="V684" t="inlineStr">
        <is>
          <t>2002-10-07</t>
        </is>
      </c>
      <c r="W684" t="inlineStr">
        <is>
          <t>1991-05-20</t>
        </is>
      </c>
      <c r="X684" t="inlineStr">
        <is>
          <t>1991-05-20</t>
        </is>
      </c>
      <c r="Y684" t="n">
        <v>37</v>
      </c>
      <c r="Z684" t="n">
        <v>22</v>
      </c>
      <c r="AA684" t="n">
        <v>131</v>
      </c>
      <c r="AB684" t="n">
        <v>1</v>
      </c>
      <c r="AC684" t="n">
        <v>2</v>
      </c>
      <c r="AD684" t="n">
        <v>3</v>
      </c>
      <c r="AE684" t="n">
        <v>20</v>
      </c>
      <c r="AF684" t="n">
        <v>2</v>
      </c>
      <c r="AG684" t="n">
        <v>3</v>
      </c>
      <c r="AH684" t="n">
        <v>0</v>
      </c>
      <c r="AI684" t="n">
        <v>6</v>
      </c>
      <c r="AJ684" t="n">
        <v>2</v>
      </c>
      <c r="AK684" t="n">
        <v>14</v>
      </c>
      <c r="AL684" t="n">
        <v>0</v>
      </c>
      <c r="AM684" t="n">
        <v>0</v>
      </c>
      <c r="AN684" t="n">
        <v>0</v>
      </c>
      <c r="AO684" t="n">
        <v>1</v>
      </c>
      <c r="AP684" t="inlineStr">
        <is>
          <t>No</t>
        </is>
      </c>
      <c r="AQ684" t="inlineStr">
        <is>
          <t>No</t>
        </is>
      </c>
      <c r="AS684">
        <f>HYPERLINK("https://creighton-primo.hosted.exlibrisgroup.com/primo-explore/search?tab=default_tab&amp;search_scope=EVERYTHING&amp;vid=01CRU&amp;lang=en_US&amp;offset=0&amp;query=any,contains,991004057129702656","Catalog Record")</f>
        <v/>
      </c>
      <c r="AT684">
        <f>HYPERLINK("http://www.worldcat.org/oclc/2228469","WorldCat Record")</f>
        <v/>
      </c>
      <c r="AU684" t="inlineStr">
        <is>
          <t>4917192426:eng</t>
        </is>
      </c>
      <c r="AV684" t="inlineStr">
        <is>
          <t>2228469</t>
        </is>
      </c>
      <c r="AW684" t="inlineStr">
        <is>
          <t>991004057129702656</t>
        </is>
      </c>
      <c r="AX684" t="inlineStr">
        <is>
          <t>991004057129702656</t>
        </is>
      </c>
      <c r="AY684" t="inlineStr">
        <is>
          <t>2270133680002656</t>
        </is>
      </c>
      <c r="AZ684" t="inlineStr">
        <is>
          <t>BOOK</t>
        </is>
      </c>
      <c r="BC684" t="inlineStr">
        <is>
          <t>32285000643352</t>
        </is>
      </c>
      <c r="BD684" t="inlineStr">
        <is>
          <t>893423333</t>
        </is>
      </c>
    </row>
    <row r="685">
      <c r="A685" t="inlineStr">
        <is>
          <t>No</t>
        </is>
      </c>
      <c r="B685" t="inlineStr">
        <is>
          <t>BX1758 .D3 1938</t>
        </is>
      </c>
      <c r="C685" t="inlineStr">
        <is>
          <t>0                      BX 1758000D  3           1938</t>
        </is>
      </c>
      <c r="D685" t="inlineStr">
        <is>
          <t>Moral and pastoral theology / by Henry Davis.</t>
        </is>
      </c>
      <c r="E685" t="inlineStr">
        <is>
          <t>V.3</t>
        </is>
      </c>
      <c r="F685" t="inlineStr">
        <is>
          <t>Yes</t>
        </is>
      </c>
      <c r="G685" t="inlineStr">
        <is>
          <t>1</t>
        </is>
      </c>
      <c r="H685" t="inlineStr">
        <is>
          <t>No</t>
        </is>
      </c>
      <c r="I685" t="inlineStr">
        <is>
          <t>No</t>
        </is>
      </c>
      <c r="J685" t="inlineStr">
        <is>
          <t>0</t>
        </is>
      </c>
      <c r="K685" t="inlineStr">
        <is>
          <t>Davis, Henry, 1866-1952.</t>
        </is>
      </c>
      <c r="L685" t="inlineStr">
        <is>
          <t>London : Sheed and Ward, 1938.</t>
        </is>
      </c>
      <c r="M685" t="inlineStr">
        <is>
          <t>1938</t>
        </is>
      </c>
      <c r="N685" t="inlineStr">
        <is>
          <t>3d ed., rev. and enl.</t>
        </is>
      </c>
      <c r="O685" t="inlineStr">
        <is>
          <t>eng</t>
        </is>
      </c>
      <c r="P685" t="inlineStr">
        <is>
          <t>enk</t>
        </is>
      </c>
      <c r="Q685" t="inlineStr">
        <is>
          <t>Heythrop series ; 2</t>
        </is>
      </c>
      <c r="R685" t="inlineStr">
        <is>
          <t xml:space="preserve">BX </t>
        </is>
      </c>
      <c r="S685" t="n">
        <v>2</v>
      </c>
      <c r="T685" t="n">
        <v>17</v>
      </c>
      <c r="V685" t="inlineStr">
        <is>
          <t>2002-10-07</t>
        </is>
      </c>
      <c r="W685" t="inlineStr">
        <is>
          <t>1991-05-20</t>
        </is>
      </c>
      <c r="X685" t="inlineStr">
        <is>
          <t>1991-05-20</t>
        </is>
      </c>
      <c r="Y685" t="n">
        <v>37</v>
      </c>
      <c r="Z685" t="n">
        <v>22</v>
      </c>
      <c r="AA685" t="n">
        <v>131</v>
      </c>
      <c r="AB685" t="n">
        <v>1</v>
      </c>
      <c r="AC685" t="n">
        <v>2</v>
      </c>
      <c r="AD685" t="n">
        <v>3</v>
      </c>
      <c r="AE685" t="n">
        <v>20</v>
      </c>
      <c r="AF685" t="n">
        <v>2</v>
      </c>
      <c r="AG685" t="n">
        <v>3</v>
      </c>
      <c r="AH685" t="n">
        <v>0</v>
      </c>
      <c r="AI685" t="n">
        <v>6</v>
      </c>
      <c r="AJ685" t="n">
        <v>2</v>
      </c>
      <c r="AK685" t="n">
        <v>14</v>
      </c>
      <c r="AL685" t="n">
        <v>0</v>
      </c>
      <c r="AM685" t="n">
        <v>0</v>
      </c>
      <c r="AN685" t="n">
        <v>0</v>
      </c>
      <c r="AO685" t="n">
        <v>1</v>
      </c>
      <c r="AP685" t="inlineStr">
        <is>
          <t>No</t>
        </is>
      </c>
      <c r="AQ685" t="inlineStr">
        <is>
          <t>No</t>
        </is>
      </c>
      <c r="AS685">
        <f>HYPERLINK("https://creighton-primo.hosted.exlibrisgroup.com/primo-explore/search?tab=default_tab&amp;search_scope=EVERYTHING&amp;vid=01CRU&amp;lang=en_US&amp;offset=0&amp;query=any,contains,991004057129702656","Catalog Record")</f>
        <v/>
      </c>
      <c r="AT685">
        <f>HYPERLINK("http://www.worldcat.org/oclc/2228469","WorldCat Record")</f>
        <v/>
      </c>
      <c r="AU685" t="inlineStr">
        <is>
          <t>4917192426:eng</t>
        </is>
      </c>
      <c r="AV685" t="inlineStr">
        <is>
          <t>2228469</t>
        </is>
      </c>
      <c r="AW685" t="inlineStr">
        <is>
          <t>991004057129702656</t>
        </is>
      </c>
      <c r="AX685" t="inlineStr">
        <is>
          <t>991004057129702656</t>
        </is>
      </c>
      <c r="AY685" t="inlineStr">
        <is>
          <t>2270133680002656</t>
        </is>
      </c>
      <c r="AZ685" t="inlineStr">
        <is>
          <t>BOOK</t>
        </is>
      </c>
      <c r="BC685" t="inlineStr">
        <is>
          <t>32285000643196</t>
        </is>
      </c>
      <c r="BD685" t="inlineStr">
        <is>
          <t>893423332</t>
        </is>
      </c>
    </row>
    <row r="686">
      <c r="A686" t="inlineStr">
        <is>
          <t>No</t>
        </is>
      </c>
      <c r="B686" t="inlineStr">
        <is>
          <t>BX1758 .D3 1938</t>
        </is>
      </c>
      <c r="C686" t="inlineStr">
        <is>
          <t>0                      BX 1758000D  3           1938</t>
        </is>
      </c>
      <c r="D686" t="inlineStr">
        <is>
          <t>Moral and pastoral theology / by Henry Davis.</t>
        </is>
      </c>
      <c r="E686" t="inlineStr">
        <is>
          <t>V.1</t>
        </is>
      </c>
      <c r="F686" t="inlineStr">
        <is>
          <t>Yes</t>
        </is>
      </c>
      <c r="G686" t="inlineStr">
        <is>
          <t>1</t>
        </is>
      </c>
      <c r="H686" t="inlineStr">
        <is>
          <t>No</t>
        </is>
      </c>
      <c r="I686" t="inlineStr">
        <is>
          <t>No</t>
        </is>
      </c>
      <c r="J686" t="inlineStr">
        <is>
          <t>0</t>
        </is>
      </c>
      <c r="K686" t="inlineStr">
        <is>
          <t>Davis, Henry, 1866-1952.</t>
        </is>
      </c>
      <c r="L686" t="inlineStr">
        <is>
          <t>London : Sheed and Ward, 1938.</t>
        </is>
      </c>
      <c r="M686" t="inlineStr">
        <is>
          <t>1938</t>
        </is>
      </c>
      <c r="N686" t="inlineStr">
        <is>
          <t>3d ed., rev. and enl.</t>
        </is>
      </c>
      <c r="O686" t="inlineStr">
        <is>
          <t>eng</t>
        </is>
      </c>
      <c r="P686" t="inlineStr">
        <is>
          <t>enk</t>
        </is>
      </c>
      <c r="Q686" t="inlineStr">
        <is>
          <t>Heythrop series ; 2</t>
        </is>
      </c>
      <c r="R686" t="inlineStr">
        <is>
          <t xml:space="preserve">BX </t>
        </is>
      </c>
      <c r="S686" t="n">
        <v>4</v>
      </c>
      <c r="T686" t="n">
        <v>17</v>
      </c>
      <c r="U686" t="inlineStr">
        <is>
          <t>1997-11-11</t>
        </is>
      </c>
      <c r="V686" t="inlineStr">
        <is>
          <t>2002-10-07</t>
        </is>
      </c>
      <c r="W686" t="inlineStr">
        <is>
          <t>1991-05-20</t>
        </is>
      </c>
      <c r="X686" t="inlineStr">
        <is>
          <t>1991-05-20</t>
        </is>
      </c>
      <c r="Y686" t="n">
        <v>37</v>
      </c>
      <c r="Z686" t="n">
        <v>22</v>
      </c>
      <c r="AA686" t="n">
        <v>131</v>
      </c>
      <c r="AB686" t="n">
        <v>1</v>
      </c>
      <c r="AC686" t="n">
        <v>2</v>
      </c>
      <c r="AD686" t="n">
        <v>3</v>
      </c>
      <c r="AE686" t="n">
        <v>20</v>
      </c>
      <c r="AF686" t="n">
        <v>2</v>
      </c>
      <c r="AG686" t="n">
        <v>3</v>
      </c>
      <c r="AH686" t="n">
        <v>0</v>
      </c>
      <c r="AI686" t="n">
        <v>6</v>
      </c>
      <c r="AJ686" t="n">
        <v>2</v>
      </c>
      <c r="AK686" t="n">
        <v>14</v>
      </c>
      <c r="AL686" t="n">
        <v>0</v>
      </c>
      <c r="AM686" t="n">
        <v>0</v>
      </c>
      <c r="AN686" t="n">
        <v>0</v>
      </c>
      <c r="AO686" t="n">
        <v>1</v>
      </c>
      <c r="AP686" t="inlineStr">
        <is>
          <t>No</t>
        </is>
      </c>
      <c r="AQ686" t="inlineStr">
        <is>
          <t>No</t>
        </is>
      </c>
      <c r="AS686">
        <f>HYPERLINK("https://creighton-primo.hosted.exlibrisgroup.com/primo-explore/search?tab=default_tab&amp;search_scope=EVERYTHING&amp;vid=01CRU&amp;lang=en_US&amp;offset=0&amp;query=any,contains,991004057129702656","Catalog Record")</f>
        <v/>
      </c>
      <c r="AT686">
        <f>HYPERLINK("http://www.worldcat.org/oclc/2228469","WorldCat Record")</f>
        <v/>
      </c>
      <c r="AU686" t="inlineStr">
        <is>
          <t>4917192426:eng</t>
        </is>
      </c>
      <c r="AV686" t="inlineStr">
        <is>
          <t>2228469</t>
        </is>
      </c>
      <c r="AW686" t="inlineStr">
        <is>
          <t>991004057129702656</t>
        </is>
      </c>
      <c r="AX686" t="inlineStr">
        <is>
          <t>991004057129702656</t>
        </is>
      </c>
      <c r="AY686" t="inlineStr">
        <is>
          <t>2270133680002656</t>
        </is>
      </c>
      <c r="AZ686" t="inlineStr">
        <is>
          <t>BOOK</t>
        </is>
      </c>
      <c r="BC686" t="inlineStr">
        <is>
          <t>32285000643188</t>
        </is>
      </c>
      <c r="BD686" t="inlineStr">
        <is>
          <t>893423334</t>
        </is>
      </c>
    </row>
    <row r="687">
      <c r="A687" t="inlineStr">
        <is>
          <t>No</t>
        </is>
      </c>
      <c r="B687" t="inlineStr">
        <is>
          <t>BX1758 .D32 1952a</t>
        </is>
      </c>
      <c r="C687" t="inlineStr">
        <is>
          <t>0                      BX 1758000D  32          1952a</t>
        </is>
      </c>
      <c r="D687" t="inlineStr">
        <is>
          <t>Moral and pastoral theology : a summary / by Henry Davis.</t>
        </is>
      </c>
      <c r="F687" t="inlineStr">
        <is>
          <t>No</t>
        </is>
      </c>
      <c r="G687" t="inlineStr">
        <is>
          <t>1</t>
        </is>
      </c>
      <c r="H687" t="inlineStr">
        <is>
          <t>No</t>
        </is>
      </c>
      <c r="I687" t="inlineStr">
        <is>
          <t>No</t>
        </is>
      </c>
      <c r="J687" t="inlineStr">
        <is>
          <t>0</t>
        </is>
      </c>
      <c r="K687" t="inlineStr">
        <is>
          <t>Davis, Henry, 1866-1952.</t>
        </is>
      </c>
      <c r="L687" t="inlineStr">
        <is>
          <t>London ; New York : Sheed &amp; Ward, 1952.</t>
        </is>
      </c>
      <c r="M687" t="inlineStr">
        <is>
          <t>1952</t>
        </is>
      </c>
      <c r="O687" t="inlineStr">
        <is>
          <t>eng</t>
        </is>
      </c>
      <c r="P687" t="inlineStr">
        <is>
          <t>enk</t>
        </is>
      </c>
      <c r="Q687" t="inlineStr">
        <is>
          <t>Heythrop series ; 3</t>
        </is>
      </c>
      <c r="R687" t="inlineStr">
        <is>
          <t xml:space="preserve">BX </t>
        </is>
      </c>
      <c r="S687" t="n">
        <v>8</v>
      </c>
      <c r="T687" t="n">
        <v>8</v>
      </c>
      <c r="U687" t="inlineStr">
        <is>
          <t>2002-09-09</t>
        </is>
      </c>
      <c r="V687" t="inlineStr">
        <is>
          <t>2002-09-09</t>
        </is>
      </c>
      <c r="W687" t="inlineStr">
        <is>
          <t>1991-05-20</t>
        </is>
      </c>
      <c r="X687" t="inlineStr">
        <is>
          <t>1991-05-20</t>
        </is>
      </c>
      <c r="Y687" t="n">
        <v>84</v>
      </c>
      <c r="Z687" t="n">
        <v>55</v>
      </c>
      <c r="AA687" t="n">
        <v>147</v>
      </c>
      <c r="AB687" t="n">
        <v>3</v>
      </c>
      <c r="AC687" t="n">
        <v>3</v>
      </c>
      <c r="AD687" t="n">
        <v>10</v>
      </c>
      <c r="AE687" t="n">
        <v>27</v>
      </c>
      <c r="AF687" t="n">
        <v>4</v>
      </c>
      <c r="AG687" t="n">
        <v>8</v>
      </c>
      <c r="AH687" t="n">
        <v>4</v>
      </c>
      <c r="AI687" t="n">
        <v>7</v>
      </c>
      <c r="AJ687" t="n">
        <v>7</v>
      </c>
      <c r="AK687" t="n">
        <v>20</v>
      </c>
      <c r="AL687" t="n">
        <v>0</v>
      </c>
      <c r="AM687" t="n">
        <v>0</v>
      </c>
      <c r="AN687" t="n">
        <v>0</v>
      </c>
      <c r="AO687" t="n">
        <v>0</v>
      </c>
      <c r="AP687" t="inlineStr">
        <is>
          <t>No</t>
        </is>
      </c>
      <c r="AQ687" t="inlineStr">
        <is>
          <t>No</t>
        </is>
      </c>
      <c r="AS687">
        <f>HYPERLINK("https://creighton-primo.hosted.exlibrisgroup.com/primo-explore/search?tab=default_tab&amp;search_scope=EVERYTHING&amp;vid=01CRU&amp;lang=en_US&amp;offset=0&amp;query=any,contains,991000818859702656","Catalog Record")</f>
        <v/>
      </c>
      <c r="AT687">
        <f>HYPERLINK("http://www.worldcat.org/oclc/13363320","WorldCat Record")</f>
        <v/>
      </c>
      <c r="AU687" t="inlineStr">
        <is>
          <t>5090518769:eng</t>
        </is>
      </c>
      <c r="AV687" t="inlineStr">
        <is>
          <t>13363320</t>
        </is>
      </c>
      <c r="AW687" t="inlineStr">
        <is>
          <t>991000818859702656</t>
        </is>
      </c>
      <c r="AX687" t="inlineStr">
        <is>
          <t>991000818859702656</t>
        </is>
      </c>
      <c r="AY687" t="inlineStr">
        <is>
          <t>2271310680002656</t>
        </is>
      </c>
      <c r="AZ687" t="inlineStr">
        <is>
          <t>BOOK</t>
        </is>
      </c>
      <c r="BC687" t="inlineStr">
        <is>
          <t>32285000643212</t>
        </is>
      </c>
      <c r="BD687" t="inlineStr">
        <is>
          <t>893515638</t>
        </is>
      </c>
    </row>
    <row r="688">
      <c r="A688" t="inlineStr">
        <is>
          <t>No</t>
        </is>
      </c>
      <c r="B688" t="inlineStr">
        <is>
          <t>BX1758 .F65</t>
        </is>
      </c>
      <c r="C688" t="inlineStr">
        <is>
          <t>0                      BX 1758000F  65</t>
        </is>
      </c>
      <c r="D688" t="inlineStr">
        <is>
          <t>Contemporary moral theology / by John C. Ford and Gerald Kelly.</t>
        </is>
      </c>
      <c r="E688" t="inlineStr">
        <is>
          <t>V.1</t>
        </is>
      </c>
      <c r="F688" t="inlineStr">
        <is>
          <t>Yes</t>
        </is>
      </c>
      <c r="G688" t="inlineStr">
        <is>
          <t>1</t>
        </is>
      </c>
      <c r="H688" t="inlineStr">
        <is>
          <t>No</t>
        </is>
      </c>
      <c r="I688" t="inlineStr">
        <is>
          <t>No</t>
        </is>
      </c>
      <c r="J688" t="inlineStr">
        <is>
          <t>0</t>
        </is>
      </c>
      <c r="K688" t="inlineStr">
        <is>
          <t>Ford, John C. (John Cuthbert), 1902-1989.</t>
        </is>
      </c>
      <c r="L688" t="inlineStr">
        <is>
          <t>Westminster, Md. : Newman Press, 1958-63.</t>
        </is>
      </c>
      <c r="M688" t="inlineStr">
        <is>
          <t>1958</t>
        </is>
      </c>
      <c r="O688" t="inlineStr">
        <is>
          <t>eng</t>
        </is>
      </c>
      <c r="P688" t="inlineStr">
        <is>
          <t>mdu</t>
        </is>
      </c>
      <c r="R688" t="inlineStr">
        <is>
          <t xml:space="preserve">BX </t>
        </is>
      </c>
      <c r="S688" t="n">
        <v>0</v>
      </c>
      <c r="T688" t="n">
        <v>1</v>
      </c>
      <c r="V688" t="inlineStr">
        <is>
          <t>2004-03-12</t>
        </is>
      </c>
      <c r="W688" t="inlineStr">
        <is>
          <t>1991-05-20</t>
        </is>
      </c>
      <c r="X688" t="inlineStr">
        <is>
          <t>1991-05-20</t>
        </is>
      </c>
      <c r="Y688" t="n">
        <v>313</v>
      </c>
      <c r="Z688" t="n">
        <v>276</v>
      </c>
      <c r="AA688" t="n">
        <v>286</v>
      </c>
      <c r="AB688" t="n">
        <v>3</v>
      </c>
      <c r="AC688" t="n">
        <v>3</v>
      </c>
      <c r="AD688" t="n">
        <v>32</v>
      </c>
      <c r="AE688" t="n">
        <v>32</v>
      </c>
      <c r="AF688" t="n">
        <v>12</v>
      </c>
      <c r="AG688" t="n">
        <v>12</v>
      </c>
      <c r="AH688" t="n">
        <v>8</v>
      </c>
      <c r="AI688" t="n">
        <v>8</v>
      </c>
      <c r="AJ688" t="n">
        <v>25</v>
      </c>
      <c r="AK688" t="n">
        <v>25</v>
      </c>
      <c r="AL688" t="n">
        <v>0</v>
      </c>
      <c r="AM688" t="n">
        <v>0</v>
      </c>
      <c r="AN688" t="n">
        <v>0</v>
      </c>
      <c r="AO688" t="n">
        <v>0</v>
      </c>
      <c r="AP688" t="inlineStr">
        <is>
          <t>No</t>
        </is>
      </c>
      <c r="AQ688" t="inlineStr">
        <is>
          <t>No</t>
        </is>
      </c>
      <c r="AS688">
        <f>HYPERLINK("https://creighton-primo.hosted.exlibrisgroup.com/primo-explore/search?tab=default_tab&amp;search_scope=EVERYTHING&amp;vid=01CRU&amp;lang=en_US&amp;offset=0&amp;query=any,contains,991002392359702656","Catalog Record")</f>
        <v/>
      </c>
      <c r="AT688">
        <f>HYPERLINK("http://www.worldcat.org/oclc/332961","WorldCat Record")</f>
        <v/>
      </c>
      <c r="AU688" t="inlineStr">
        <is>
          <t>3373473956:eng</t>
        </is>
      </c>
      <c r="AV688" t="inlineStr">
        <is>
          <t>332961</t>
        </is>
      </c>
      <c r="AW688" t="inlineStr">
        <is>
          <t>991002392359702656</t>
        </is>
      </c>
      <c r="AX688" t="inlineStr">
        <is>
          <t>991002392359702656</t>
        </is>
      </c>
      <c r="AY688" t="inlineStr">
        <is>
          <t>2257952840002656</t>
        </is>
      </c>
      <c r="AZ688" t="inlineStr">
        <is>
          <t>BOOK</t>
        </is>
      </c>
      <c r="BC688" t="inlineStr">
        <is>
          <t>32285000643220</t>
        </is>
      </c>
      <c r="BD688" t="inlineStr">
        <is>
          <t>893710229</t>
        </is>
      </c>
    </row>
    <row r="689">
      <c r="A689" t="inlineStr">
        <is>
          <t>No</t>
        </is>
      </c>
      <c r="B689" t="inlineStr">
        <is>
          <t>BX1758 .F65</t>
        </is>
      </c>
      <c r="C689" t="inlineStr">
        <is>
          <t>0                      BX 1758000F  65</t>
        </is>
      </c>
      <c r="D689" t="inlineStr">
        <is>
          <t>Contemporary moral theology / by John C. Ford and Gerald Kelly.</t>
        </is>
      </c>
      <c r="E689" t="inlineStr">
        <is>
          <t>V.2</t>
        </is>
      </c>
      <c r="F689" t="inlineStr">
        <is>
          <t>Yes</t>
        </is>
      </c>
      <c r="G689" t="inlineStr">
        <is>
          <t>1</t>
        </is>
      </c>
      <c r="H689" t="inlineStr">
        <is>
          <t>No</t>
        </is>
      </c>
      <c r="I689" t="inlineStr">
        <is>
          <t>No</t>
        </is>
      </c>
      <c r="J689" t="inlineStr">
        <is>
          <t>0</t>
        </is>
      </c>
      <c r="K689" t="inlineStr">
        <is>
          <t>Ford, John C. (John Cuthbert), 1902-1989.</t>
        </is>
      </c>
      <c r="L689" t="inlineStr">
        <is>
          <t>Westminster, Md. : Newman Press, 1958-63.</t>
        </is>
      </c>
      <c r="M689" t="inlineStr">
        <is>
          <t>1958</t>
        </is>
      </c>
      <c r="O689" t="inlineStr">
        <is>
          <t>eng</t>
        </is>
      </c>
      <c r="P689" t="inlineStr">
        <is>
          <t>mdu</t>
        </is>
      </c>
      <c r="R689" t="inlineStr">
        <is>
          <t xml:space="preserve">BX </t>
        </is>
      </c>
      <c r="S689" t="n">
        <v>1</v>
      </c>
      <c r="T689" t="n">
        <v>1</v>
      </c>
      <c r="U689" t="inlineStr">
        <is>
          <t>2004-03-12</t>
        </is>
      </c>
      <c r="V689" t="inlineStr">
        <is>
          <t>2004-03-12</t>
        </is>
      </c>
      <c r="W689" t="inlineStr">
        <is>
          <t>1991-05-20</t>
        </is>
      </c>
      <c r="X689" t="inlineStr">
        <is>
          <t>1991-05-20</t>
        </is>
      </c>
      <c r="Y689" t="n">
        <v>313</v>
      </c>
      <c r="Z689" t="n">
        <v>276</v>
      </c>
      <c r="AA689" t="n">
        <v>286</v>
      </c>
      <c r="AB689" t="n">
        <v>3</v>
      </c>
      <c r="AC689" t="n">
        <v>3</v>
      </c>
      <c r="AD689" t="n">
        <v>32</v>
      </c>
      <c r="AE689" t="n">
        <v>32</v>
      </c>
      <c r="AF689" t="n">
        <v>12</v>
      </c>
      <c r="AG689" t="n">
        <v>12</v>
      </c>
      <c r="AH689" t="n">
        <v>8</v>
      </c>
      <c r="AI689" t="n">
        <v>8</v>
      </c>
      <c r="AJ689" t="n">
        <v>25</v>
      </c>
      <c r="AK689" t="n">
        <v>25</v>
      </c>
      <c r="AL689" t="n">
        <v>0</v>
      </c>
      <c r="AM689" t="n">
        <v>0</v>
      </c>
      <c r="AN689" t="n">
        <v>0</v>
      </c>
      <c r="AO689" t="n">
        <v>0</v>
      </c>
      <c r="AP689" t="inlineStr">
        <is>
          <t>No</t>
        </is>
      </c>
      <c r="AQ689" t="inlineStr">
        <is>
          <t>No</t>
        </is>
      </c>
      <c r="AS689">
        <f>HYPERLINK("https://creighton-primo.hosted.exlibrisgroup.com/primo-explore/search?tab=default_tab&amp;search_scope=EVERYTHING&amp;vid=01CRU&amp;lang=en_US&amp;offset=0&amp;query=any,contains,991002392359702656","Catalog Record")</f>
        <v/>
      </c>
      <c r="AT689">
        <f>HYPERLINK("http://www.worldcat.org/oclc/332961","WorldCat Record")</f>
        <v/>
      </c>
      <c r="AU689" t="inlineStr">
        <is>
          <t>3373473956:eng</t>
        </is>
      </c>
      <c r="AV689" t="inlineStr">
        <is>
          <t>332961</t>
        </is>
      </c>
      <c r="AW689" t="inlineStr">
        <is>
          <t>991002392359702656</t>
        </is>
      </c>
      <c r="AX689" t="inlineStr">
        <is>
          <t>991002392359702656</t>
        </is>
      </c>
      <c r="AY689" t="inlineStr">
        <is>
          <t>2257952840002656</t>
        </is>
      </c>
      <c r="AZ689" t="inlineStr">
        <is>
          <t>BOOK</t>
        </is>
      </c>
      <c r="BC689" t="inlineStr">
        <is>
          <t>32285000643238</t>
        </is>
      </c>
      <c r="BD689" t="inlineStr">
        <is>
          <t>893710228</t>
        </is>
      </c>
    </row>
    <row r="690">
      <c r="A690" t="inlineStr">
        <is>
          <t>No</t>
        </is>
      </c>
      <c r="B690" t="inlineStr">
        <is>
          <t>BX1758 .H314</t>
        </is>
      </c>
      <c r="C690" t="inlineStr">
        <is>
          <t>0                      BX 1758000H  314</t>
        </is>
      </c>
      <c r="D690" t="inlineStr">
        <is>
          <t>La loi du Christ : théologie morale à l'intention des prêtres et des laïcs / Bernard Häring. [Traduction par F. Bourdeau, A. Danet et L. Vereecke.</t>
        </is>
      </c>
      <c r="E690" t="inlineStr">
        <is>
          <t>V.2</t>
        </is>
      </c>
      <c r="F690" t="inlineStr">
        <is>
          <t>Yes</t>
        </is>
      </c>
      <c r="G690" t="inlineStr">
        <is>
          <t>1</t>
        </is>
      </c>
      <c r="H690" t="inlineStr">
        <is>
          <t>No</t>
        </is>
      </c>
      <c r="I690" t="inlineStr">
        <is>
          <t>No</t>
        </is>
      </c>
      <c r="J690" t="inlineStr">
        <is>
          <t>0</t>
        </is>
      </c>
      <c r="K690" t="inlineStr">
        <is>
          <t>Häring, Bernhard, 1912-1998.</t>
        </is>
      </c>
      <c r="L690" t="inlineStr">
        <is>
          <t>Tournai] : Desclée, [1955-59]</t>
        </is>
      </c>
      <c r="M690" t="inlineStr">
        <is>
          <t>1955</t>
        </is>
      </c>
      <c r="O690" t="inlineStr">
        <is>
          <t>fre</t>
        </is>
      </c>
      <c r="P690" t="inlineStr">
        <is>
          <t>|||</t>
        </is>
      </c>
      <c r="R690" t="inlineStr">
        <is>
          <t xml:space="preserve">BX </t>
        </is>
      </c>
      <c r="S690" t="n">
        <v>1</v>
      </c>
      <c r="T690" t="n">
        <v>2</v>
      </c>
      <c r="U690" t="inlineStr">
        <is>
          <t>1992-12-18</t>
        </is>
      </c>
      <c r="V690" t="inlineStr">
        <is>
          <t>1992-12-18</t>
        </is>
      </c>
      <c r="W690" t="inlineStr">
        <is>
          <t>1991-05-20</t>
        </is>
      </c>
      <c r="X690" t="inlineStr">
        <is>
          <t>1991-05-20</t>
        </is>
      </c>
      <c r="Y690" t="n">
        <v>47</v>
      </c>
      <c r="Z690" t="n">
        <v>37</v>
      </c>
      <c r="AA690" t="n">
        <v>57</v>
      </c>
      <c r="AB690" t="n">
        <v>1</v>
      </c>
      <c r="AC690" t="n">
        <v>1</v>
      </c>
      <c r="AD690" t="n">
        <v>13</v>
      </c>
      <c r="AE690" t="n">
        <v>14</v>
      </c>
      <c r="AF690" t="n">
        <v>3</v>
      </c>
      <c r="AG690" t="n">
        <v>3</v>
      </c>
      <c r="AH690" t="n">
        <v>5</v>
      </c>
      <c r="AI690" t="n">
        <v>5</v>
      </c>
      <c r="AJ690" t="n">
        <v>9</v>
      </c>
      <c r="AK690" t="n">
        <v>10</v>
      </c>
      <c r="AL690" t="n">
        <v>0</v>
      </c>
      <c r="AM690" t="n">
        <v>0</v>
      </c>
      <c r="AN690" t="n">
        <v>0</v>
      </c>
      <c r="AO690" t="n">
        <v>0</v>
      </c>
      <c r="AP690" t="inlineStr">
        <is>
          <t>No</t>
        </is>
      </c>
      <c r="AQ690" t="inlineStr">
        <is>
          <t>No</t>
        </is>
      </c>
      <c r="AS690">
        <f>HYPERLINK("https://creighton-primo.hosted.exlibrisgroup.com/primo-explore/search?tab=default_tab&amp;search_scope=EVERYTHING&amp;vid=01CRU&amp;lang=en_US&amp;offset=0&amp;query=any,contains,991003016019702656","Catalog Record")</f>
        <v/>
      </c>
      <c r="AT690">
        <f>HYPERLINK("http://www.worldcat.org/oclc/580998","WorldCat Record")</f>
        <v/>
      </c>
      <c r="AU690" t="inlineStr">
        <is>
          <t>4915103182:fre</t>
        </is>
      </c>
      <c r="AV690" t="inlineStr">
        <is>
          <t>580998</t>
        </is>
      </c>
      <c r="AW690" t="inlineStr">
        <is>
          <t>991003016019702656</t>
        </is>
      </c>
      <c r="AX690" t="inlineStr">
        <is>
          <t>991003016019702656</t>
        </is>
      </c>
      <c r="AY690" t="inlineStr">
        <is>
          <t>2272397060002656</t>
        </is>
      </c>
      <c r="AZ690" t="inlineStr">
        <is>
          <t>BOOK</t>
        </is>
      </c>
      <c r="BC690" t="inlineStr">
        <is>
          <t>32285000643253</t>
        </is>
      </c>
      <c r="BD690" t="inlineStr">
        <is>
          <t>893245931</t>
        </is>
      </c>
    </row>
    <row r="691">
      <c r="A691" t="inlineStr">
        <is>
          <t>No</t>
        </is>
      </c>
      <c r="B691" t="inlineStr">
        <is>
          <t>BX1758 .H314</t>
        </is>
      </c>
      <c r="C691" t="inlineStr">
        <is>
          <t>0                      BX 1758000H  314</t>
        </is>
      </c>
      <c r="D691" t="inlineStr">
        <is>
          <t>La loi du Christ : théologie morale à l'intention des prêtres et des laïcs / Bernard Häring. [Traduction par F. Bourdeau, A. Danet et L. Vereecke.</t>
        </is>
      </c>
      <c r="E691" t="inlineStr">
        <is>
          <t>V.1</t>
        </is>
      </c>
      <c r="F691" t="inlineStr">
        <is>
          <t>Yes</t>
        </is>
      </c>
      <c r="G691" t="inlineStr">
        <is>
          <t>1</t>
        </is>
      </c>
      <c r="H691" t="inlineStr">
        <is>
          <t>No</t>
        </is>
      </c>
      <c r="I691" t="inlineStr">
        <is>
          <t>No</t>
        </is>
      </c>
      <c r="J691" t="inlineStr">
        <is>
          <t>0</t>
        </is>
      </c>
      <c r="K691" t="inlineStr">
        <is>
          <t>Häring, Bernhard, 1912-1998.</t>
        </is>
      </c>
      <c r="L691" t="inlineStr">
        <is>
          <t>Tournai] : Desclée, [1955-59]</t>
        </is>
      </c>
      <c r="M691" t="inlineStr">
        <is>
          <t>1955</t>
        </is>
      </c>
      <c r="O691" t="inlineStr">
        <is>
          <t>fre</t>
        </is>
      </c>
      <c r="P691" t="inlineStr">
        <is>
          <t>|||</t>
        </is>
      </c>
      <c r="R691" t="inlineStr">
        <is>
          <t xml:space="preserve">BX </t>
        </is>
      </c>
      <c r="S691" t="n">
        <v>1</v>
      </c>
      <c r="T691" t="n">
        <v>2</v>
      </c>
      <c r="U691" t="inlineStr">
        <is>
          <t>1992-12-18</t>
        </is>
      </c>
      <c r="V691" t="inlineStr">
        <is>
          <t>1992-12-18</t>
        </is>
      </c>
      <c r="W691" t="inlineStr">
        <is>
          <t>1991-05-20</t>
        </is>
      </c>
      <c r="X691" t="inlineStr">
        <is>
          <t>1991-05-20</t>
        </is>
      </c>
      <c r="Y691" t="n">
        <v>47</v>
      </c>
      <c r="Z691" t="n">
        <v>37</v>
      </c>
      <c r="AA691" t="n">
        <v>57</v>
      </c>
      <c r="AB691" t="n">
        <v>1</v>
      </c>
      <c r="AC691" t="n">
        <v>1</v>
      </c>
      <c r="AD691" t="n">
        <v>13</v>
      </c>
      <c r="AE691" t="n">
        <v>14</v>
      </c>
      <c r="AF691" t="n">
        <v>3</v>
      </c>
      <c r="AG691" t="n">
        <v>3</v>
      </c>
      <c r="AH691" t="n">
        <v>5</v>
      </c>
      <c r="AI691" t="n">
        <v>5</v>
      </c>
      <c r="AJ691" t="n">
        <v>9</v>
      </c>
      <c r="AK691" t="n">
        <v>10</v>
      </c>
      <c r="AL691" t="n">
        <v>0</v>
      </c>
      <c r="AM691" t="n">
        <v>0</v>
      </c>
      <c r="AN691" t="n">
        <v>0</v>
      </c>
      <c r="AO691" t="n">
        <v>0</v>
      </c>
      <c r="AP691" t="inlineStr">
        <is>
          <t>No</t>
        </is>
      </c>
      <c r="AQ691" t="inlineStr">
        <is>
          <t>No</t>
        </is>
      </c>
      <c r="AS691">
        <f>HYPERLINK("https://creighton-primo.hosted.exlibrisgroup.com/primo-explore/search?tab=default_tab&amp;search_scope=EVERYTHING&amp;vid=01CRU&amp;lang=en_US&amp;offset=0&amp;query=any,contains,991003016019702656","Catalog Record")</f>
        <v/>
      </c>
      <c r="AT691">
        <f>HYPERLINK("http://www.worldcat.org/oclc/580998","WorldCat Record")</f>
        <v/>
      </c>
      <c r="AU691" t="inlineStr">
        <is>
          <t>4915103182:fre</t>
        </is>
      </c>
      <c r="AV691" t="inlineStr">
        <is>
          <t>580998</t>
        </is>
      </c>
      <c r="AW691" t="inlineStr">
        <is>
          <t>991003016019702656</t>
        </is>
      </c>
      <c r="AX691" t="inlineStr">
        <is>
          <t>991003016019702656</t>
        </is>
      </c>
      <c r="AY691" t="inlineStr">
        <is>
          <t>2272397060002656</t>
        </is>
      </c>
      <c r="AZ691" t="inlineStr">
        <is>
          <t>BOOK</t>
        </is>
      </c>
      <c r="BC691" t="inlineStr">
        <is>
          <t>32285000643246</t>
        </is>
      </c>
      <c r="BD691" t="inlineStr">
        <is>
          <t>893251916</t>
        </is>
      </c>
    </row>
    <row r="692">
      <c r="A692" t="inlineStr">
        <is>
          <t>No</t>
        </is>
      </c>
      <c r="B692" t="inlineStr">
        <is>
          <t>BX1758 .S47 1949</t>
        </is>
      </c>
      <c r="C692" t="inlineStr">
        <is>
          <t>0                      BX 1758000S  47          1949</t>
        </is>
      </c>
      <c r="D692" t="inlineStr">
        <is>
          <t>The Christian virtues : a book on moral theology for college students and lay readers / by Charles E. Sheedy.</t>
        </is>
      </c>
      <c r="F692" t="inlineStr">
        <is>
          <t>No</t>
        </is>
      </c>
      <c r="G692" t="inlineStr">
        <is>
          <t>1</t>
        </is>
      </c>
      <c r="H692" t="inlineStr">
        <is>
          <t>No</t>
        </is>
      </c>
      <c r="I692" t="inlineStr">
        <is>
          <t>No</t>
        </is>
      </c>
      <c r="J692" t="inlineStr">
        <is>
          <t>0</t>
        </is>
      </c>
      <c r="K692" t="inlineStr">
        <is>
          <t>Sheedy, Charles Edmund.</t>
        </is>
      </c>
      <c r="L692" t="inlineStr">
        <is>
          <t>Notre Dame, Ind. : University of Notre Dame Press, [c1949]</t>
        </is>
      </c>
      <c r="M692" t="inlineStr">
        <is>
          <t>1949</t>
        </is>
      </c>
      <c r="O692" t="inlineStr">
        <is>
          <t>eng</t>
        </is>
      </c>
      <c r="P692" t="inlineStr">
        <is>
          <t>inu</t>
        </is>
      </c>
      <c r="Q692" t="inlineStr">
        <is>
          <t>University religion series</t>
        </is>
      </c>
      <c r="R692" t="inlineStr">
        <is>
          <t xml:space="preserve">BX </t>
        </is>
      </c>
      <c r="S692" t="n">
        <v>7</v>
      </c>
      <c r="T692" t="n">
        <v>7</v>
      </c>
      <c r="U692" t="inlineStr">
        <is>
          <t>2000-03-26</t>
        </is>
      </c>
      <c r="V692" t="inlineStr">
        <is>
          <t>2000-03-26</t>
        </is>
      </c>
      <c r="W692" t="inlineStr">
        <is>
          <t>1991-05-20</t>
        </is>
      </c>
      <c r="X692" t="inlineStr">
        <is>
          <t>1991-05-20</t>
        </is>
      </c>
      <c r="Y692" t="n">
        <v>79</v>
      </c>
      <c r="Z692" t="n">
        <v>75</v>
      </c>
      <c r="AA692" t="n">
        <v>175</v>
      </c>
      <c r="AB692" t="n">
        <v>1</v>
      </c>
      <c r="AC692" t="n">
        <v>2</v>
      </c>
      <c r="AD692" t="n">
        <v>13</v>
      </c>
      <c r="AE692" t="n">
        <v>24</v>
      </c>
      <c r="AF692" t="n">
        <v>5</v>
      </c>
      <c r="AG692" t="n">
        <v>5</v>
      </c>
      <c r="AH692" t="n">
        <v>4</v>
      </c>
      <c r="AI692" t="n">
        <v>9</v>
      </c>
      <c r="AJ692" t="n">
        <v>9</v>
      </c>
      <c r="AK692" t="n">
        <v>18</v>
      </c>
      <c r="AL692" t="n">
        <v>0</v>
      </c>
      <c r="AM692" t="n">
        <v>0</v>
      </c>
      <c r="AN692" t="n">
        <v>0</v>
      </c>
      <c r="AO692" t="n">
        <v>0</v>
      </c>
      <c r="AP692" t="inlineStr">
        <is>
          <t>No</t>
        </is>
      </c>
      <c r="AQ692" t="inlineStr">
        <is>
          <t>No</t>
        </is>
      </c>
      <c r="AS692">
        <f>HYPERLINK("https://creighton-primo.hosted.exlibrisgroup.com/primo-explore/search?tab=default_tab&amp;search_scope=EVERYTHING&amp;vid=01CRU&amp;lang=en_US&amp;offset=0&amp;query=any,contains,991004081739702656","Catalog Record")</f>
        <v/>
      </c>
      <c r="AT692">
        <f>HYPERLINK("http://www.worldcat.org/oclc/2330170","WorldCat Record")</f>
        <v/>
      </c>
      <c r="AU692" t="inlineStr">
        <is>
          <t>1780011:eng</t>
        </is>
      </c>
      <c r="AV692" t="inlineStr">
        <is>
          <t>2330170</t>
        </is>
      </c>
      <c r="AW692" t="inlineStr">
        <is>
          <t>991004081739702656</t>
        </is>
      </c>
      <c r="AX692" t="inlineStr">
        <is>
          <t>991004081739702656</t>
        </is>
      </c>
      <c r="AY692" t="inlineStr">
        <is>
          <t>2263730490002656</t>
        </is>
      </c>
      <c r="AZ692" t="inlineStr">
        <is>
          <t>BOOK</t>
        </is>
      </c>
      <c r="BC692" t="inlineStr">
        <is>
          <t>32285000643360</t>
        </is>
      </c>
      <c r="BD692" t="inlineStr">
        <is>
          <t>893599412</t>
        </is>
      </c>
    </row>
    <row r="693">
      <c r="A693" t="inlineStr">
        <is>
          <t>No</t>
        </is>
      </c>
      <c r="B693" t="inlineStr">
        <is>
          <t>BX1758.2 .B5713 1968</t>
        </is>
      </c>
      <c r="C693" t="inlineStr">
        <is>
          <t>0                      BX 1758200B  5713        1968</t>
        </is>
      </c>
      <c r="D693" t="inlineStr">
        <is>
          <t>Fundamental concepts of moral theology / by Franz Böckle. Translated by William Jerman.</t>
        </is>
      </c>
      <c r="F693" t="inlineStr">
        <is>
          <t>No</t>
        </is>
      </c>
      <c r="G693" t="inlineStr">
        <is>
          <t>1</t>
        </is>
      </c>
      <c r="H693" t="inlineStr">
        <is>
          <t>No</t>
        </is>
      </c>
      <c r="I693" t="inlineStr">
        <is>
          <t>No</t>
        </is>
      </c>
      <c r="J693" t="inlineStr">
        <is>
          <t>0</t>
        </is>
      </c>
      <c r="K693" t="inlineStr">
        <is>
          <t>Böckle, Franz.</t>
        </is>
      </c>
      <c r="L693" t="inlineStr">
        <is>
          <t>New York : Paulist Press, [1968]</t>
        </is>
      </c>
      <c r="M693" t="inlineStr">
        <is>
          <t>1968</t>
        </is>
      </c>
      <c r="O693" t="inlineStr">
        <is>
          <t>eng</t>
        </is>
      </c>
      <c r="P693" t="inlineStr">
        <is>
          <t>nyu</t>
        </is>
      </c>
      <c r="Q693" t="inlineStr">
        <is>
          <t>Exploration books</t>
        </is>
      </c>
      <c r="R693" t="inlineStr">
        <is>
          <t xml:space="preserve">BX </t>
        </is>
      </c>
      <c r="S693" t="n">
        <v>6</v>
      </c>
      <c r="T693" t="n">
        <v>6</v>
      </c>
      <c r="U693" t="inlineStr">
        <is>
          <t>1998-06-14</t>
        </is>
      </c>
      <c r="V693" t="inlineStr">
        <is>
          <t>1998-06-14</t>
        </is>
      </c>
      <c r="W693" t="inlineStr">
        <is>
          <t>1991-05-28</t>
        </is>
      </c>
      <c r="X693" t="inlineStr">
        <is>
          <t>1991-05-28</t>
        </is>
      </c>
      <c r="Y693" t="n">
        <v>265</v>
      </c>
      <c r="Z693" t="n">
        <v>221</v>
      </c>
      <c r="AA693" t="n">
        <v>227</v>
      </c>
      <c r="AB693" t="n">
        <v>3</v>
      </c>
      <c r="AC693" t="n">
        <v>3</v>
      </c>
      <c r="AD693" t="n">
        <v>34</v>
      </c>
      <c r="AE693" t="n">
        <v>34</v>
      </c>
      <c r="AF693" t="n">
        <v>11</v>
      </c>
      <c r="AG693" t="n">
        <v>11</v>
      </c>
      <c r="AH693" t="n">
        <v>8</v>
      </c>
      <c r="AI693" t="n">
        <v>8</v>
      </c>
      <c r="AJ693" t="n">
        <v>25</v>
      </c>
      <c r="AK693" t="n">
        <v>25</v>
      </c>
      <c r="AL693" t="n">
        <v>1</v>
      </c>
      <c r="AM693" t="n">
        <v>1</v>
      </c>
      <c r="AN693" t="n">
        <v>0</v>
      </c>
      <c r="AO693" t="n">
        <v>0</v>
      </c>
      <c r="AP693" t="inlineStr">
        <is>
          <t>No</t>
        </is>
      </c>
      <c r="AQ693" t="inlineStr">
        <is>
          <t>Yes</t>
        </is>
      </c>
      <c r="AR693">
        <f>HYPERLINK("http://catalog.hathitrust.org/Record/009519171","HathiTrust Record")</f>
        <v/>
      </c>
      <c r="AS693">
        <f>HYPERLINK("https://creighton-primo.hosted.exlibrisgroup.com/primo-explore/search?tab=default_tab&amp;search_scope=EVERYTHING&amp;vid=01CRU&amp;lang=en_US&amp;offset=0&amp;query=any,contains,991002778839702656","Catalog Record")</f>
        <v/>
      </c>
      <c r="AT693">
        <f>HYPERLINK("http://www.worldcat.org/oclc/439563","WorldCat Record")</f>
        <v/>
      </c>
      <c r="AU693" t="inlineStr">
        <is>
          <t>25527821:eng</t>
        </is>
      </c>
      <c r="AV693" t="inlineStr">
        <is>
          <t>439563</t>
        </is>
      </c>
      <c r="AW693" t="inlineStr">
        <is>
          <t>991002778839702656</t>
        </is>
      </c>
      <c r="AX693" t="inlineStr">
        <is>
          <t>991002778839702656</t>
        </is>
      </c>
      <c r="AY693" t="inlineStr">
        <is>
          <t>2266522540002656</t>
        </is>
      </c>
      <c r="AZ693" t="inlineStr">
        <is>
          <t>BOOK</t>
        </is>
      </c>
      <c r="BC693" t="inlineStr">
        <is>
          <t>32285000645019</t>
        </is>
      </c>
      <c r="BD693" t="inlineStr">
        <is>
          <t>893323363</t>
        </is>
      </c>
    </row>
    <row r="694">
      <c r="A694" t="inlineStr">
        <is>
          <t>No</t>
        </is>
      </c>
      <c r="B694" t="inlineStr">
        <is>
          <t>BX1758.2 .D39 1974</t>
        </is>
      </c>
      <c r="C694" t="inlineStr">
        <is>
          <t>0                      BX 1758200D  39          1974</t>
        </is>
      </c>
      <c r="D694" t="inlineStr">
        <is>
          <t>Titius and Bertha ride again : contemporary moral cases / John F. Dedek.</t>
        </is>
      </c>
      <c r="F694" t="inlineStr">
        <is>
          <t>No</t>
        </is>
      </c>
      <c r="G694" t="inlineStr">
        <is>
          <t>1</t>
        </is>
      </c>
      <c r="H694" t="inlineStr">
        <is>
          <t>No</t>
        </is>
      </c>
      <c r="I694" t="inlineStr">
        <is>
          <t>No</t>
        </is>
      </c>
      <c r="J694" t="inlineStr">
        <is>
          <t>0</t>
        </is>
      </c>
      <c r="K694" t="inlineStr">
        <is>
          <t>Dedek, John F., 1929-</t>
        </is>
      </c>
      <c r="L694" t="inlineStr">
        <is>
          <t>New York : Sheed and Ward, [1974]</t>
        </is>
      </c>
      <c r="M694" t="inlineStr">
        <is>
          <t>1974</t>
        </is>
      </c>
      <c r="O694" t="inlineStr">
        <is>
          <t>eng</t>
        </is>
      </c>
      <c r="P694" t="inlineStr">
        <is>
          <t>nyu</t>
        </is>
      </c>
      <c r="R694" t="inlineStr">
        <is>
          <t xml:space="preserve">BX </t>
        </is>
      </c>
      <c r="S694" t="n">
        <v>1</v>
      </c>
      <c r="T694" t="n">
        <v>1</v>
      </c>
      <c r="U694" t="inlineStr">
        <is>
          <t>1997-11-18</t>
        </is>
      </c>
      <c r="V694" t="inlineStr">
        <is>
          <t>1997-11-18</t>
        </is>
      </c>
      <c r="W694" t="inlineStr">
        <is>
          <t>1991-05-28</t>
        </is>
      </c>
      <c r="X694" t="inlineStr">
        <is>
          <t>1991-05-28</t>
        </is>
      </c>
      <c r="Y694" t="n">
        <v>146</v>
      </c>
      <c r="Z694" t="n">
        <v>137</v>
      </c>
      <c r="AA694" t="n">
        <v>139</v>
      </c>
      <c r="AB694" t="n">
        <v>2</v>
      </c>
      <c r="AC694" t="n">
        <v>2</v>
      </c>
      <c r="AD694" t="n">
        <v>21</v>
      </c>
      <c r="AE694" t="n">
        <v>21</v>
      </c>
      <c r="AF694" t="n">
        <v>6</v>
      </c>
      <c r="AG694" t="n">
        <v>6</v>
      </c>
      <c r="AH694" t="n">
        <v>7</v>
      </c>
      <c r="AI694" t="n">
        <v>7</v>
      </c>
      <c r="AJ694" t="n">
        <v>15</v>
      </c>
      <c r="AK694" t="n">
        <v>15</v>
      </c>
      <c r="AL694" t="n">
        <v>1</v>
      </c>
      <c r="AM694" t="n">
        <v>1</v>
      </c>
      <c r="AN694" t="n">
        <v>0</v>
      </c>
      <c r="AO694" t="n">
        <v>0</v>
      </c>
      <c r="AP694" t="inlineStr">
        <is>
          <t>No</t>
        </is>
      </c>
      <c r="AQ694" t="inlineStr">
        <is>
          <t>Yes</t>
        </is>
      </c>
      <c r="AR694">
        <f>HYPERLINK("http://catalog.hathitrust.org/Record/011231387","HathiTrust Record")</f>
        <v/>
      </c>
      <c r="AS694">
        <f>HYPERLINK("https://creighton-primo.hosted.exlibrisgroup.com/primo-explore/search?tab=default_tab&amp;search_scope=EVERYTHING&amp;vid=01CRU&amp;lang=en_US&amp;offset=0&amp;query=any,contains,991003529959702656","Catalog Record")</f>
        <v/>
      </c>
      <c r="AT694">
        <f>HYPERLINK("http://www.worldcat.org/oclc/1093304","WorldCat Record")</f>
        <v/>
      </c>
      <c r="AU694" t="inlineStr">
        <is>
          <t>196151794:eng</t>
        </is>
      </c>
      <c r="AV694" t="inlineStr">
        <is>
          <t>1093304</t>
        </is>
      </c>
      <c r="AW694" t="inlineStr">
        <is>
          <t>991003529959702656</t>
        </is>
      </c>
      <c r="AX694" t="inlineStr">
        <is>
          <t>991003529959702656</t>
        </is>
      </c>
      <c r="AY694" t="inlineStr">
        <is>
          <t>2264844220002656</t>
        </is>
      </c>
      <c r="AZ694" t="inlineStr">
        <is>
          <t>BOOK</t>
        </is>
      </c>
      <c r="BB694" t="inlineStr">
        <is>
          <t>9780836205701</t>
        </is>
      </c>
      <c r="BC694" t="inlineStr">
        <is>
          <t>32285000645399</t>
        </is>
      </c>
      <c r="BD694" t="inlineStr">
        <is>
          <t>893781103</t>
        </is>
      </c>
    </row>
    <row r="695">
      <c r="A695" t="inlineStr">
        <is>
          <t>No</t>
        </is>
      </c>
      <c r="B695" t="inlineStr">
        <is>
          <t>BX1758.2 .F55 1976</t>
        </is>
      </c>
      <c r="C695" t="inlineStr">
        <is>
          <t>0                      BX 1758200F  55          1976</t>
        </is>
      </c>
      <c r="D695" t="inlineStr">
        <is>
          <t>Christian morality &amp; you : right &amp; wrong in an age of freedom / James Finley, Michael Pennock.</t>
        </is>
      </c>
      <c r="F695" t="inlineStr">
        <is>
          <t>No</t>
        </is>
      </c>
      <c r="G695" t="inlineStr">
        <is>
          <t>1</t>
        </is>
      </c>
      <c r="H695" t="inlineStr">
        <is>
          <t>No</t>
        </is>
      </c>
      <c r="I695" t="inlineStr">
        <is>
          <t>Yes</t>
        </is>
      </c>
      <c r="J695" t="inlineStr">
        <is>
          <t>0</t>
        </is>
      </c>
      <c r="K695" t="inlineStr">
        <is>
          <t>Finley, James.</t>
        </is>
      </c>
      <c r="L695" t="inlineStr">
        <is>
          <t>Notre Dame, Ind. : Ave Maria Press, c1976.</t>
        </is>
      </c>
      <c r="M695" t="inlineStr">
        <is>
          <t>1976</t>
        </is>
      </c>
      <c r="O695" t="inlineStr">
        <is>
          <t>eng</t>
        </is>
      </c>
      <c r="P695" t="inlineStr">
        <is>
          <t>inu</t>
        </is>
      </c>
      <c r="R695" t="inlineStr">
        <is>
          <t xml:space="preserve">BX </t>
        </is>
      </c>
      <c r="S695" t="n">
        <v>2</v>
      </c>
      <c r="T695" t="n">
        <v>2</v>
      </c>
      <c r="U695" t="inlineStr">
        <is>
          <t>1993-11-30</t>
        </is>
      </c>
      <c r="V695" t="inlineStr">
        <is>
          <t>1993-11-30</t>
        </is>
      </c>
      <c r="W695" t="inlineStr">
        <is>
          <t>1991-05-28</t>
        </is>
      </c>
      <c r="X695" t="inlineStr">
        <is>
          <t>1991-05-28</t>
        </is>
      </c>
      <c r="Y695" t="n">
        <v>114</v>
      </c>
      <c r="Z695" t="n">
        <v>87</v>
      </c>
      <c r="AA695" t="n">
        <v>108</v>
      </c>
      <c r="AB695" t="n">
        <v>1</v>
      </c>
      <c r="AC695" t="n">
        <v>2</v>
      </c>
      <c r="AD695" t="n">
        <v>9</v>
      </c>
      <c r="AE695" t="n">
        <v>11</v>
      </c>
      <c r="AF695" t="n">
        <v>4</v>
      </c>
      <c r="AG695" t="n">
        <v>4</v>
      </c>
      <c r="AH695" t="n">
        <v>1</v>
      </c>
      <c r="AI695" t="n">
        <v>1</v>
      </c>
      <c r="AJ695" t="n">
        <v>7</v>
      </c>
      <c r="AK695" t="n">
        <v>9</v>
      </c>
      <c r="AL695" t="n">
        <v>0</v>
      </c>
      <c r="AM695" t="n">
        <v>0</v>
      </c>
      <c r="AN695" t="n">
        <v>0</v>
      </c>
      <c r="AO695" t="n">
        <v>0</v>
      </c>
      <c r="AP695" t="inlineStr">
        <is>
          <t>No</t>
        </is>
      </c>
      <c r="AQ695" t="inlineStr">
        <is>
          <t>No</t>
        </is>
      </c>
      <c r="AS695">
        <f>HYPERLINK("https://creighton-primo.hosted.exlibrisgroup.com/primo-explore/search?tab=default_tab&amp;search_scope=EVERYTHING&amp;vid=01CRU&amp;lang=en_US&amp;offset=0&amp;query=any,contains,991004107509702656","Catalog Record")</f>
        <v/>
      </c>
      <c r="AT695">
        <f>HYPERLINK("http://www.worldcat.org/oclc/2388048","WorldCat Record")</f>
        <v/>
      </c>
      <c r="AU695" t="inlineStr">
        <is>
          <t>2999305866:eng</t>
        </is>
      </c>
      <c r="AV695" t="inlineStr">
        <is>
          <t>2388048</t>
        </is>
      </c>
      <c r="AW695" t="inlineStr">
        <is>
          <t>991004107509702656</t>
        </is>
      </c>
      <c r="AX695" t="inlineStr">
        <is>
          <t>991004107509702656</t>
        </is>
      </c>
      <c r="AY695" t="inlineStr">
        <is>
          <t>2259304300002656</t>
        </is>
      </c>
      <c r="AZ695" t="inlineStr">
        <is>
          <t>BOOK</t>
        </is>
      </c>
      <c r="BB695" t="inlineStr">
        <is>
          <t>9780877931126</t>
        </is>
      </c>
      <c r="BC695" t="inlineStr">
        <is>
          <t>32285000645092</t>
        </is>
      </c>
      <c r="BD695" t="inlineStr">
        <is>
          <t>893531988</t>
        </is>
      </c>
    </row>
    <row r="696">
      <c r="A696" t="inlineStr">
        <is>
          <t>No</t>
        </is>
      </c>
      <c r="B696" t="inlineStr">
        <is>
          <t>BX1758.2 .G32 1974</t>
        </is>
      </c>
      <c r="C696" t="inlineStr">
        <is>
          <t>0                      BX 1758200G  32          1974</t>
        </is>
      </c>
      <c r="D696" t="inlineStr">
        <is>
          <t>Moral questions / by James Gaffney.</t>
        </is>
      </c>
      <c r="F696" t="inlineStr">
        <is>
          <t>No</t>
        </is>
      </c>
      <c r="G696" t="inlineStr">
        <is>
          <t>1</t>
        </is>
      </c>
      <c r="H696" t="inlineStr">
        <is>
          <t>No</t>
        </is>
      </c>
      <c r="I696" t="inlineStr">
        <is>
          <t>No</t>
        </is>
      </c>
      <c r="J696" t="inlineStr">
        <is>
          <t>0</t>
        </is>
      </c>
      <c r="K696" t="inlineStr">
        <is>
          <t>Gaffney, James.</t>
        </is>
      </c>
      <c r="L696" t="inlineStr">
        <is>
          <t>New York : Paulist Press, c1974.</t>
        </is>
      </c>
      <c r="M696" t="inlineStr">
        <is>
          <t>1974</t>
        </is>
      </c>
      <c r="O696" t="inlineStr">
        <is>
          <t>eng</t>
        </is>
      </c>
      <c r="P696" t="inlineStr">
        <is>
          <t>nyu</t>
        </is>
      </c>
      <c r="Q696" t="inlineStr">
        <is>
          <t>Deus books</t>
        </is>
      </c>
      <c r="R696" t="inlineStr">
        <is>
          <t xml:space="preserve">BX </t>
        </is>
      </c>
      <c r="S696" t="n">
        <v>3</v>
      </c>
      <c r="T696" t="n">
        <v>3</v>
      </c>
      <c r="U696" t="inlineStr">
        <is>
          <t>1994-04-15</t>
        </is>
      </c>
      <c r="V696" t="inlineStr">
        <is>
          <t>1994-04-15</t>
        </is>
      </c>
      <c r="W696" t="inlineStr">
        <is>
          <t>1991-05-28</t>
        </is>
      </c>
      <c r="X696" t="inlineStr">
        <is>
          <t>1991-05-28</t>
        </is>
      </c>
      <c r="Y696" t="n">
        <v>143</v>
      </c>
      <c r="Z696" t="n">
        <v>111</v>
      </c>
      <c r="AA696" t="n">
        <v>112</v>
      </c>
      <c r="AB696" t="n">
        <v>1</v>
      </c>
      <c r="AC696" t="n">
        <v>1</v>
      </c>
      <c r="AD696" t="n">
        <v>19</v>
      </c>
      <c r="AE696" t="n">
        <v>19</v>
      </c>
      <c r="AF696" t="n">
        <v>6</v>
      </c>
      <c r="AG696" t="n">
        <v>6</v>
      </c>
      <c r="AH696" t="n">
        <v>5</v>
      </c>
      <c r="AI696" t="n">
        <v>5</v>
      </c>
      <c r="AJ696" t="n">
        <v>15</v>
      </c>
      <c r="AK696" t="n">
        <v>15</v>
      </c>
      <c r="AL696" t="n">
        <v>0</v>
      </c>
      <c r="AM696" t="n">
        <v>0</v>
      </c>
      <c r="AN696" t="n">
        <v>0</v>
      </c>
      <c r="AO696" t="n">
        <v>0</v>
      </c>
      <c r="AP696" t="inlineStr">
        <is>
          <t>No</t>
        </is>
      </c>
      <c r="AQ696" t="inlineStr">
        <is>
          <t>No</t>
        </is>
      </c>
      <c r="AS696">
        <f>HYPERLINK("https://creighton-primo.hosted.exlibrisgroup.com/primo-explore/search?tab=default_tab&amp;search_scope=EVERYTHING&amp;vid=01CRU&amp;lang=en_US&amp;offset=0&amp;query=any,contains,991003717689702656","Catalog Record")</f>
        <v/>
      </c>
      <c r="AT696">
        <f>HYPERLINK("http://www.worldcat.org/oclc/1363592","WorldCat Record")</f>
        <v/>
      </c>
      <c r="AU696" t="inlineStr">
        <is>
          <t>2268122:eng</t>
        </is>
      </c>
      <c r="AV696" t="inlineStr">
        <is>
          <t>1363592</t>
        </is>
      </c>
      <c r="AW696" t="inlineStr">
        <is>
          <t>991003717689702656</t>
        </is>
      </c>
      <c r="AX696" t="inlineStr">
        <is>
          <t>991003717689702656</t>
        </is>
      </c>
      <c r="AY696" t="inlineStr">
        <is>
          <t>2259274530002656</t>
        </is>
      </c>
      <c r="AZ696" t="inlineStr">
        <is>
          <t>BOOK</t>
        </is>
      </c>
      <c r="BB696" t="inlineStr">
        <is>
          <t>9780809118700</t>
        </is>
      </c>
      <c r="BC696" t="inlineStr">
        <is>
          <t>32285000645126</t>
        </is>
      </c>
      <c r="BD696" t="inlineStr">
        <is>
          <t>893246667</t>
        </is>
      </c>
    </row>
    <row r="697">
      <c r="A697" t="inlineStr">
        <is>
          <t>No</t>
        </is>
      </c>
      <c r="B697" t="inlineStr">
        <is>
          <t>BX1758.2 .H27</t>
        </is>
      </c>
      <c r="C697" t="inlineStr">
        <is>
          <t>0                      BX 1758200H  27</t>
        </is>
      </c>
      <c r="D697" t="inlineStr">
        <is>
          <t>Free and faithful in Christ : moral theology for clergy and laity / Bernard Häring.</t>
        </is>
      </c>
      <c r="E697" t="inlineStr">
        <is>
          <t>V.3</t>
        </is>
      </c>
      <c r="F697" t="inlineStr">
        <is>
          <t>Yes</t>
        </is>
      </c>
      <c r="G697" t="inlineStr">
        <is>
          <t>1</t>
        </is>
      </c>
      <c r="H697" t="inlineStr">
        <is>
          <t>No</t>
        </is>
      </c>
      <c r="I697" t="inlineStr">
        <is>
          <t>No</t>
        </is>
      </c>
      <c r="J697" t="inlineStr">
        <is>
          <t>0</t>
        </is>
      </c>
      <c r="K697" t="inlineStr">
        <is>
          <t>Häring, Bernhard, 1912-1998.</t>
        </is>
      </c>
      <c r="L697" t="inlineStr">
        <is>
          <t>New York : Seabury Press, 1978-</t>
        </is>
      </c>
      <c r="M697" t="inlineStr">
        <is>
          <t>1978</t>
        </is>
      </c>
      <c r="O697" t="inlineStr">
        <is>
          <t>eng</t>
        </is>
      </c>
      <c r="P697" t="inlineStr">
        <is>
          <t>nyu</t>
        </is>
      </c>
      <c r="R697" t="inlineStr">
        <is>
          <t xml:space="preserve">BX </t>
        </is>
      </c>
      <c r="S697" t="n">
        <v>5</v>
      </c>
      <c r="T697" t="n">
        <v>69</v>
      </c>
      <c r="U697" t="inlineStr">
        <is>
          <t>1998-09-29</t>
        </is>
      </c>
      <c r="V697" t="inlineStr">
        <is>
          <t>2001-09-13</t>
        </is>
      </c>
      <c r="W697" t="inlineStr">
        <is>
          <t>1991-05-28</t>
        </is>
      </c>
      <c r="X697" t="inlineStr">
        <is>
          <t>1991-05-28</t>
        </is>
      </c>
      <c r="Y697" t="n">
        <v>511</v>
      </c>
      <c r="Z697" t="n">
        <v>460</v>
      </c>
      <c r="AA697" t="n">
        <v>532</v>
      </c>
      <c r="AB697" t="n">
        <v>4</v>
      </c>
      <c r="AC697" t="n">
        <v>6</v>
      </c>
      <c r="AD697" t="n">
        <v>38</v>
      </c>
      <c r="AE697" t="n">
        <v>42</v>
      </c>
      <c r="AF697" t="n">
        <v>15</v>
      </c>
      <c r="AG697" t="n">
        <v>15</v>
      </c>
      <c r="AH697" t="n">
        <v>9</v>
      </c>
      <c r="AI697" t="n">
        <v>9</v>
      </c>
      <c r="AJ697" t="n">
        <v>24</v>
      </c>
      <c r="AK697" t="n">
        <v>26</v>
      </c>
      <c r="AL697" t="n">
        <v>2</v>
      </c>
      <c r="AM697" t="n">
        <v>4</v>
      </c>
      <c r="AN697" t="n">
        <v>0</v>
      </c>
      <c r="AO697" t="n">
        <v>0</v>
      </c>
      <c r="AP697" t="inlineStr">
        <is>
          <t>No</t>
        </is>
      </c>
      <c r="AQ697" t="inlineStr">
        <is>
          <t>No</t>
        </is>
      </c>
      <c r="AS697">
        <f>HYPERLINK("https://creighton-primo.hosted.exlibrisgroup.com/primo-explore/search?tab=default_tab&amp;search_scope=EVERYTHING&amp;vid=01CRU&amp;lang=en_US&amp;offset=0&amp;query=any,contains,991004607389702656","Catalog Record")</f>
        <v/>
      </c>
      <c r="AT697">
        <f>HYPERLINK("http://www.worldcat.org/oclc/4195189","WorldCat Record")</f>
        <v/>
      </c>
      <c r="AU697" t="inlineStr">
        <is>
          <t>902144134:eng</t>
        </is>
      </c>
      <c r="AV697" t="inlineStr">
        <is>
          <t>4195189</t>
        </is>
      </c>
      <c r="AW697" t="inlineStr">
        <is>
          <t>991004607389702656</t>
        </is>
      </c>
      <c r="AX697" t="inlineStr">
        <is>
          <t>991004607389702656</t>
        </is>
      </c>
      <c r="AY697" t="inlineStr">
        <is>
          <t>2261107860002656</t>
        </is>
      </c>
      <c r="AZ697" t="inlineStr">
        <is>
          <t>BOOK</t>
        </is>
      </c>
      <c r="BB697" t="inlineStr">
        <is>
          <t>9780816403981</t>
        </is>
      </c>
      <c r="BC697" t="inlineStr">
        <is>
          <t>32285000645175</t>
        </is>
      </c>
      <c r="BD697" t="inlineStr">
        <is>
          <t>893888941</t>
        </is>
      </c>
    </row>
    <row r="698">
      <c r="A698" t="inlineStr">
        <is>
          <t>No</t>
        </is>
      </c>
      <c r="B698" t="inlineStr">
        <is>
          <t>BX1758.2 .H313</t>
        </is>
      </c>
      <c r="C698" t="inlineStr">
        <is>
          <t>0                      BX 1758200H  313</t>
        </is>
      </c>
      <c r="D698" t="inlineStr">
        <is>
          <t>The law of Christ : moral theology for priests and laity / by Bernard Häring. Translated by Edwin G. Kaiser.</t>
        </is>
      </c>
      <c r="E698" t="inlineStr">
        <is>
          <t>V.1</t>
        </is>
      </c>
      <c r="F698" t="inlineStr">
        <is>
          <t>Yes</t>
        </is>
      </c>
      <c r="G698" t="inlineStr">
        <is>
          <t>1</t>
        </is>
      </c>
      <c r="H698" t="inlineStr">
        <is>
          <t>No</t>
        </is>
      </c>
      <c r="I698" t="inlineStr">
        <is>
          <t>No</t>
        </is>
      </c>
      <c r="J698" t="inlineStr">
        <is>
          <t>0</t>
        </is>
      </c>
      <c r="K698" t="inlineStr">
        <is>
          <t>Häring, Bernhard, 1912-1998.</t>
        </is>
      </c>
      <c r="L698" t="inlineStr">
        <is>
          <t>Westminster, Md. : Newman Press, 1961-</t>
        </is>
      </c>
      <c r="M698" t="inlineStr">
        <is>
          <t>1961</t>
        </is>
      </c>
      <c r="O698" t="inlineStr">
        <is>
          <t>eng</t>
        </is>
      </c>
      <c r="P698" t="inlineStr">
        <is>
          <t>mdu</t>
        </is>
      </c>
      <c r="R698" t="inlineStr">
        <is>
          <t xml:space="preserve">BX </t>
        </is>
      </c>
      <c r="S698" t="n">
        <v>9</v>
      </c>
      <c r="T698" t="n">
        <v>14</v>
      </c>
      <c r="U698" t="inlineStr">
        <is>
          <t>1999-02-10</t>
        </is>
      </c>
      <c r="V698" t="inlineStr">
        <is>
          <t>2004-03-12</t>
        </is>
      </c>
      <c r="W698" t="inlineStr">
        <is>
          <t>1991-05-28</t>
        </is>
      </c>
      <c r="X698" t="inlineStr">
        <is>
          <t>1991-05-28</t>
        </is>
      </c>
      <c r="Y698" t="n">
        <v>505</v>
      </c>
      <c r="Z698" t="n">
        <v>450</v>
      </c>
      <c r="AA698" t="n">
        <v>496</v>
      </c>
      <c r="AB698" t="n">
        <v>7</v>
      </c>
      <c r="AC698" t="n">
        <v>7</v>
      </c>
      <c r="AD698" t="n">
        <v>43</v>
      </c>
      <c r="AE698" t="n">
        <v>43</v>
      </c>
      <c r="AF698" t="n">
        <v>15</v>
      </c>
      <c r="AG698" t="n">
        <v>15</v>
      </c>
      <c r="AH698" t="n">
        <v>8</v>
      </c>
      <c r="AI698" t="n">
        <v>8</v>
      </c>
      <c r="AJ698" t="n">
        <v>28</v>
      </c>
      <c r="AK698" t="n">
        <v>28</v>
      </c>
      <c r="AL698" t="n">
        <v>5</v>
      </c>
      <c r="AM698" t="n">
        <v>5</v>
      </c>
      <c r="AN698" t="n">
        <v>0</v>
      </c>
      <c r="AO698" t="n">
        <v>0</v>
      </c>
      <c r="AP698" t="inlineStr">
        <is>
          <t>No</t>
        </is>
      </c>
      <c r="AQ698" t="inlineStr">
        <is>
          <t>Yes</t>
        </is>
      </c>
      <c r="AR698">
        <f>HYPERLINK("http://catalog.hathitrust.org/Record/101872753","HathiTrust Record")</f>
        <v/>
      </c>
      <c r="AS698">
        <f>HYPERLINK("https://creighton-primo.hosted.exlibrisgroup.com/primo-explore/search?tab=default_tab&amp;search_scope=EVERYTHING&amp;vid=01CRU&amp;lang=en_US&amp;offset=0&amp;query=any,contains,991002659739702656","Catalog Record")</f>
        <v/>
      </c>
      <c r="AT698">
        <f>HYPERLINK("http://www.worldcat.org/oclc/390986","WorldCat Record")</f>
        <v/>
      </c>
      <c r="AU698" t="inlineStr">
        <is>
          <t>5090785245:eng</t>
        </is>
      </c>
      <c r="AV698" t="inlineStr">
        <is>
          <t>390986</t>
        </is>
      </c>
      <c r="AW698" t="inlineStr">
        <is>
          <t>991002659739702656</t>
        </is>
      </c>
      <c r="AX698" t="inlineStr">
        <is>
          <t>991002659739702656</t>
        </is>
      </c>
      <c r="AY698" t="inlineStr">
        <is>
          <t>2262041420002656</t>
        </is>
      </c>
      <c r="AZ698" t="inlineStr">
        <is>
          <t>BOOK</t>
        </is>
      </c>
      <c r="BC698" t="inlineStr">
        <is>
          <t>32285000645183</t>
        </is>
      </c>
      <c r="BD698" t="inlineStr">
        <is>
          <t>893517568</t>
        </is>
      </c>
    </row>
    <row r="699">
      <c r="A699" t="inlineStr">
        <is>
          <t>No</t>
        </is>
      </c>
      <c r="B699" t="inlineStr">
        <is>
          <t>BX1758.2 .H313</t>
        </is>
      </c>
      <c r="C699" t="inlineStr">
        <is>
          <t>0                      BX 1758200H  313</t>
        </is>
      </c>
      <c r="D699" t="inlineStr">
        <is>
          <t>The law of Christ : moral theology for priests and laity / by Bernard Häring. Translated by Edwin G. Kaiser.</t>
        </is>
      </c>
      <c r="E699" t="inlineStr">
        <is>
          <t>V.2</t>
        </is>
      </c>
      <c r="F699" t="inlineStr">
        <is>
          <t>Yes</t>
        </is>
      </c>
      <c r="G699" t="inlineStr">
        <is>
          <t>1</t>
        </is>
      </c>
      <c r="H699" t="inlineStr">
        <is>
          <t>No</t>
        </is>
      </c>
      <c r="I699" t="inlineStr">
        <is>
          <t>No</t>
        </is>
      </c>
      <c r="J699" t="inlineStr">
        <is>
          <t>0</t>
        </is>
      </c>
      <c r="K699" t="inlineStr">
        <is>
          <t>Häring, Bernhard, 1912-1998.</t>
        </is>
      </c>
      <c r="L699" t="inlineStr">
        <is>
          <t>Westminster, Md. : Newman Press, 1961-</t>
        </is>
      </c>
      <c r="M699" t="inlineStr">
        <is>
          <t>1961</t>
        </is>
      </c>
      <c r="O699" t="inlineStr">
        <is>
          <t>eng</t>
        </is>
      </c>
      <c r="P699" t="inlineStr">
        <is>
          <t>mdu</t>
        </is>
      </c>
      <c r="R699" t="inlineStr">
        <is>
          <t xml:space="preserve">BX </t>
        </is>
      </c>
      <c r="S699" t="n">
        <v>1</v>
      </c>
      <c r="T699" t="n">
        <v>14</v>
      </c>
      <c r="V699" t="inlineStr">
        <is>
          <t>2004-03-12</t>
        </is>
      </c>
      <c r="W699" t="inlineStr">
        <is>
          <t>1991-05-28</t>
        </is>
      </c>
      <c r="X699" t="inlineStr">
        <is>
          <t>1991-05-28</t>
        </is>
      </c>
      <c r="Y699" t="n">
        <v>505</v>
      </c>
      <c r="Z699" t="n">
        <v>450</v>
      </c>
      <c r="AA699" t="n">
        <v>496</v>
      </c>
      <c r="AB699" t="n">
        <v>7</v>
      </c>
      <c r="AC699" t="n">
        <v>7</v>
      </c>
      <c r="AD699" t="n">
        <v>43</v>
      </c>
      <c r="AE699" t="n">
        <v>43</v>
      </c>
      <c r="AF699" t="n">
        <v>15</v>
      </c>
      <c r="AG699" t="n">
        <v>15</v>
      </c>
      <c r="AH699" t="n">
        <v>8</v>
      </c>
      <c r="AI699" t="n">
        <v>8</v>
      </c>
      <c r="AJ699" t="n">
        <v>28</v>
      </c>
      <c r="AK699" t="n">
        <v>28</v>
      </c>
      <c r="AL699" t="n">
        <v>5</v>
      </c>
      <c r="AM699" t="n">
        <v>5</v>
      </c>
      <c r="AN699" t="n">
        <v>0</v>
      </c>
      <c r="AO699" t="n">
        <v>0</v>
      </c>
      <c r="AP699" t="inlineStr">
        <is>
          <t>No</t>
        </is>
      </c>
      <c r="AQ699" t="inlineStr">
        <is>
          <t>Yes</t>
        </is>
      </c>
      <c r="AR699">
        <f>HYPERLINK("http://catalog.hathitrust.org/Record/101872753","HathiTrust Record")</f>
        <v/>
      </c>
      <c r="AS699">
        <f>HYPERLINK("https://creighton-primo.hosted.exlibrisgroup.com/primo-explore/search?tab=default_tab&amp;search_scope=EVERYTHING&amp;vid=01CRU&amp;lang=en_US&amp;offset=0&amp;query=any,contains,991002659739702656","Catalog Record")</f>
        <v/>
      </c>
      <c r="AT699">
        <f>HYPERLINK("http://www.worldcat.org/oclc/390986","WorldCat Record")</f>
        <v/>
      </c>
      <c r="AU699" t="inlineStr">
        <is>
          <t>5090785245:eng</t>
        </is>
      </c>
      <c r="AV699" t="inlineStr">
        <is>
          <t>390986</t>
        </is>
      </c>
      <c r="AW699" t="inlineStr">
        <is>
          <t>991002659739702656</t>
        </is>
      </c>
      <c r="AX699" t="inlineStr">
        <is>
          <t>991002659739702656</t>
        </is>
      </c>
      <c r="AY699" t="inlineStr">
        <is>
          <t>2262041420002656</t>
        </is>
      </c>
      <c r="AZ699" t="inlineStr">
        <is>
          <t>BOOK</t>
        </is>
      </c>
      <c r="BC699" t="inlineStr">
        <is>
          <t>32285000645191</t>
        </is>
      </c>
      <c r="BD699" t="inlineStr">
        <is>
          <t>893517567</t>
        </is>
      </c>
    </row>
    <row r="700">
      <c r="A700" t="inlineStr">
        <is>
          <t>No</t>
        </is>
      </c>
      <c r="B700" t="inlineStr">
        <is>
          <t>BX1758.2 .H313</t>
        </is>
      </c>
      <c r="C700" t="inlineStr">
        <is>
          <t>0                      BX 1758200H  313</t>
        </is>
      </c>
      <c r="D700" t="inlineStr">
        <is>
          <t>The law of Christ : moral theology for priests and laity / by Bernard Häring. Translated by Edwin G. Kaiser.</t>
        </is>
      </c>
      <c r="E700" t="inlineStr">
        <is>
          <t>V.3</t>
        </is>
      </c>
      <c r="F700" t="inlineStr">
        <is>
          <t>Yes</t>
        </is>
      </c>
      <c r="G700" t="inlineStr">
        <is>
          <t>1</t>
        </is>
      </c>
      <c r="H700" t="inlineStr">
        <is>
          <t>No</t>
        </is>
      </c>
      <c r="I700" t="inlineStr">
        <is>
          <t>No</t>
        </is>
      </c>
      <c r="J700" t="inlineStr">
        <is>
          <t>0</t>
        </is>
      </c>
      <c r="K700" t="inlineStr">
        <is>
          <t>Häring, Bernhard, 1912-1998.</t>
        </is>
      </c>
      <c r="L700" t="inlineStr">
        <is>
          <t>Westminster, Md. : Newman Press, 1961-</t>
        </is>
      </c>
      <c r="M700" t="inlineStr">
        <is>
          <t>1961</t>
        </is>
      </c>
      <c r="O700" t="inlineStr">
        <is>
          <t>eng</t>
        </is>
      </c>
      <c r="P700" t="inlineStr">
        <is>
          <t>mdu</t>
        </is>
      </c>
      <c r="R700" t="inlineStr">
        <is>
          <t xml:space="preserve">BX </t>
        </is>
      </c>
      <c r="S700" t="n">
        <v>4</v>
      </c>
      <c r="T700" t="n">
        <v>14</v>
      </c>
      <c r="U700" t="inlineStr">
        <is>
          <t>2004-03-12</t>
        </is>
      </c>
      <c r="V700" t="inlineStr">
        <is>
          <t>2004-03-12</t>
        </is>
      </c>
      <c r="W700" t="inlineStr">
        <is>
          <t>1991-05-28</t>
        </is>
      </c>
      <c r="X700" t="inlineStr">
        <is>
          <t>1991-05-28</t>
        </is>
      </c>
      <c r="Y700" t="n">
        <v>505</v>
      </c>
      <c r="Z700" t="n">
        <v>450</v>
      </c>
      <c r="AA700" t="n">
        <v>496</v>
      </c>
      <c r="AB700" t="n">
        <v>7</v>
      </c>
      <c r="AC700" t="n">
        <v>7</v>
      </c>
      <c r="AD700" t="n">
        <v>43</v>
      </c>
      <c r="AE700" t="n">
        <v>43</v>
      </c>
      <c r="AF700" t="n">
        <v>15</v>
      </c>
      <c r="AG700" t="n">
        <v>15</v>
      </c>
      <c r="AH700" t="n">
        <v>8</v>
      </c>
      <c r="AI700" t="n">
        <v>8</v>
      </c>
      <c r="AJ700" t="n">
        <v>28</v>
      </c>
      <c r="AK700" t="n">
        <v>28</v>
      </c>
      <c r="AL700" t="n">
        <v>5</v>
      </c>
      <c r="AM700" t="n">
        <v>5</v>
      </c>
      <c r="AN700" t="n">
        <v>0</v>
      </c>
      <c r="AO700" t="n">
        <v>0</v>
      </c>
      <c r="AP700" t="inlineStr">
        <is>
          <t>No</t>
        </is>
      </c>
      <c r="AQ700" t="inlineStr">
        <is>
          <t>Yes</t>
        </is>
      </c>
      <c r="AR700">
        <f>HYPERLINK("http://catalog.hathitrust.org/Record/101872753","HathiTrust Record")</f>
        <v/>
      </c>
      <c r="AS700">
        <f>HYPERLINK("https://creighton-primo.hosted.exlibrisgroup.com/primo-explore/search?tab=default_tab&amp;search_scope=EVERYTHING&amp;vid=01CRU&amp;lang=en_US&amp;offset=0&amp;query=any,contains,991002659739702656","Catalog Record")</f>
        <v/>
      </c>
      <c r="AT700">
        <f>HYPERLINK("http://www.worldcat.org/oclc/390986","WorldCat Record")</f>
        <v/>
      </c>
      <c r="AU700" t="inlineStr">
        <is>
          <t>5090785245:eng</t>
        </is>
      </c>
      <c r="AV700" t="inlineStr">
        <is>
          <t>390986</t>
        </is>
      </c>
      <c r="AW700" t="inlineStr">
        <is>
          <t>991002659739702656</t>
        </is>
      </c>
      <c r="AX700" t="inlineStr">
        <is>
          <t>991002659739702656</t>
        </is>
      </c>
      <c r="AY700" t="inlineStr">
        <is>
          <t>2262041420002656</t>
        </is>
      </c>
      <c r="AZ700" t="inlineStr">
        <is>
          <t>BOOK</t>
        </is>
      </c>
      <c r="BC700" t="inlineStr">
        <is>
          <t>32285000645209</t>
        </is>
      </c>
      <c r="BD700" t="inlineStr">
        <is>
          <t>893504653</t>
        </is>
      </c>
    </row>
    <row r="701">
      <c r="A701" t="inlineStr">
        <is>
          <t>No</t>
        </is>
      </c>
      <c r="B701" t="inlineStr">
        <is>
          <t>BX1758.2 .H38 1997</t>
        </is>
      </c>
      <c r="C701" t="inlineStr">
        <is>
          <t>0                      BX 1758200H  38          1997</t>
        </is>
      </c>
      <c r="D701" t="inlineStr">
        <is>
          <t>Catholicism and society / Edward J. Hayes, Paul J. Hayes &amp; James J. Drummey.</t>
        </is>
      </c>
      <c r="F701" t="inlineStr">
        <is>
          <t>No</t>
        </is>
      </c>
      <c r="G701" t="inlineStr">
        <is>
          <t>1</t>
        </is>
      </c>
      <c r="H701" t="inlineStr">
        <is>
          <t>Yes</t>
        </is>
      </c>
      <c r="I701" t="inlineStr">
        <is>
          <t>No</t>
        </is>
      </c>
      <c r="J701" t="inlineStr">
        <is>
          <t>0</t>
        </is>
      </c>
      <c r="K701" t="inlineStr">
        <is>
          <t>Hayes, Edward J.</t>
        </is>
      </c>
      <c r="L701" t="inlineStr">
        <is>
          <t>Norwood, MA : C.R. Publications, c1997.</t>
        </is>
      </c>
      <c r="M701" t="inlineStr">
        <is>
          <t>1997</t>
        </is>
      </c>
      <c r="O701" t="inlineStr">
        <is>
          <t>eng</t>
        </is>
      </c>
      <c r="P701" t="inlineStr">
        <is>
          <t>mau</t>
        </is>
      </c>
      <c r="R701" t="inlineStr">
        <is>
          <t xml:space="preserve">BX </t>
        </is>
      </c>
      <c r="S701" t="n">
        <v>4</v>
      </c>
      <c r="T701" t="n">
        <v>6</v>
      </c>
      <c r="U701" t="inlineStr">
        <is>
          <t>2001-03-23</t>
        </is>
      </c>
      <c r="V701" t="inlineStr">
        <is>
          <t>2002-09-24</t>
        </is>
      </c>
      <c r="W701" t="inlineStr">
        <is>
          <t>1999-08-10</t>
        </is>
      </c>
      <c r="X701" t="inlineStr">
        <is>
          <t>1999-08-10</t>
        </is>
      </c>
      <c r="Y701" t="n">
        <v>24</v>
      </c>
      <c r="Z701" t="n">
        <v>23</v>
      </c>
      <c r="AA701" t="n">
        <v>69</v>
      </c>
      <c r="AB701" t="n">
        <v>1</v>
      </c>
      <c r="AC701" t="n">
        <v>2</v>
      </c>
      <c r="AD701" t="n">
        <v>1</v>
      </c>
      <c r="AE701" t="n">
        <v>6</v>
      </c>
      <c r="AF701" t="n">
        <v>0</v>
      </c>
      <c r="AG701" t="n">
        <v>1</v>
      </c>
      <c r="AH701" t="n">
        <v>0</v>
      </c>
      <c r="AI701" t="n">
        <v>2</v>
      </c>
      <c r="AJ701" t="n">
        <v>1</v>
      </c>
      <c r="AK701" t="n">
        <v>4</v>
      </c>
      <c r="AL701" t="n">
        <v>0</v>
      </c>
      <c r="AM701" t="n">
        <v>0</v>
      </c>
      <c r="AN701" t="n">
        <v>0</v>
      </c>
      <c r="AO701" t="n">
        <v>0</v>
      </c>
      <c r="AP701" t="inlineStr">
        <is>
          <t>No</t>
        </is>
      </c>
      <c r="AQ701" t="inlineStr">
        <is>
          <t>No</t>
        </is>
      </c>
      <c r="AS701">
        <f>HYPERLINK("https://creighton-primo.hosted.exlibrisgroup.com/primo-explore/search?tab=default_tab&amp;search_scope=EVERYTHING&amp;vid=01CRU&amp;lang=en_US&amp;offset=0&amp;query=any,contains,991002938989702656","Catalog Record")</f>
        <v/>
      </c>
      <c r="AT701">
        <f>HYPERLINK("http://www.worldcat.org/oclc/39098010","WorldCat Record")</f>
        <v/>
      </c>
      <c r="AU701" t="inlineStr">
        <is>
          <t>37546605:eng</t>
        </is>
      </c>
      <c r="AV701" t="inlineStr">
        <is>
          <t>39098010</t>
        </is>
      </c>
      <c r="AW701" t="inlineStr">
        <is>
          <t>991002938989702656</t>
        </is>
      </c>
      <c r="AX701" t="inlineStr">
        <is>
          <t>991002938989702656</t>
        </is>
      </c>
      <c r="AY701" t="inlineStr">
        <is>
          <t>2256590540002656</t>
        </is>
      </c>
      <c r="AZ701" t="inlineStr">
        <is>
          <t>BOOK</t>
        </is>
      </c>
      <c r="BB701" t="inlineStr">
        <is>
          <t>9780964908758</t>
        </is>
      </c>
      <c r="BC701" t="inlineStr">
        <is>
          <t>32285003581351</t>
        </is>
      </c>
      <c r="BD701" t="inlineStr">
        <is>
          <t>893899422</t>
        </is>
      </c>
    </row>
    <row r="702">
      <c r="A702" t="inlineStr">
        <is>
          <t>No</t>
        </is>
      </c>
      <c r="B702" t="inlineStr">
        <is>
          <t>BX1758.2 .H38 1997</t>
        </is>
      </c>
      <c r="C702" t="inlineStr">
        <is>
          <t>0                      BX 1758200H  38          1997</t>
        </is>
      </c>
      <c r="D702" t="inlineStr">
        <is>
          <t>Catholicism and society / Edward J. Hayes, Paul J. Hayes &amp; James J. Drummey.</t>
        </is>
      </c>
      <c r="F702" t="inlineStr">
        <is>
          <t>No</t>
        </is>
      </c>
      <c r="G702" t="inlineStr">
        <is>
          <t>1</t>
        </is>
      </c>
      <c r="H702" t="inlineStr">
        <is>
          <t>Yes</t>
        </is>
      </c>
      <c r="I702" t="inlineStr">
        <is>
          <t>No</t>
        </is>
      </c>
      <c r="J702" t="inlineStr">
        <is>
          <t>0</t>
        </is>
      </c>
      <c r="K702" t="inlineStr">
        <is>
          <t>Hayes, Edward J.</t>
        </is>
      </c>
      <c r="L702" t="inlineStr">
        <is>
          <t>Norwood, MA : C.R. Publications, c1997.</t>
        </is>
      </c>
      <c r="M702" t="inlineStr">
        <is>
          <t>1997</t>
        </is>
      </c>
      <c r="O702" t="inlineStr">
        <is>
          <t>eng</t>
        </is>
      </c>
      <c r="P702" t="inlineStr">
        <is>
          <t>mau</t>
        </is>
      </c>
      <c r="R702" t="inlineStr">
        <is>
          <t xml:space="preserve">BX </t>
        </is>
      </c>
      <c r="S702" t="n">
        <v>2</v>
      </c>
      <c r="T702" t="n">
        <v>6</v>
      </c>
      <c r="U702" t="inlineStr">
        <is>
          <t>2002-09-24</t>
        </is>
      </c>
      <c r="V702" t="inlineStr">
        <is>
          <t>2002-09-24</t>
        </is>
      </c>
      <c r="W702" t="inlineStr">
        <is>
          <t>1999-08-10</t>
        </is>
      </c>
      <c r="X702" t="inlineStr">
        <is>
          <t>1999-08-10</t>
        </is>
      </c>
      <c r="Y702" t="n">
        <v>24</v>
      </c>
      <c r="Z702" t="n">
        <v>23</v>
      </c>
      <c r="AA702" t="n">
        <v>69</v>
      </c>
      <c r="AB702" t="n">
        <v>1</v>
      </c>
      <c r="AC702" t="n">
        <v>2</v>
      </c>
      <c r="AD702" t="n">
        <v>1</v>
      </c>
      <c r="AE702" t="n">
        <v>6</v>
      </c>
      <c r="AF702" t="n">
        <v>0</v>
      </c>
      <c r="AG702" t="n">
        <v>1</v>
      </c>
      <c r="AH702" t="n">
        <v>0</v>
      </c>
      <c r="AI702" t="n">
        <v>2</v>
      </c>
      <c r="AJ702" t="n">
        <v>1</v>
      </c>
      <c r="AK702" t="n">
        <v>4</v>
      </c>
      <c r="AL702" t="n">
        <v>0</v>
      </c>
      <c r="AM702" t="n">
        <v>0</v>
      </c>
      <c r="AN702" t="n">
        <v>0</v>
      </c>
      <c r="AO702" t="n">
        <v>0</v>
      </c>
      <c r="AP702" t="inlineStr">
        <is>
          <t>No</t>
        </is>
      </c>
      <c r="AQ702" t="inlineStr">
        <is>
          <t>No</t>
        </is>
      </c>
      <c r="AS702">
        <f>HYPERLINK("https://creighton-primo.hosted.exlibrisgroup.com/primo-explore/search?tab=default_tab&amp;search_scope=EVERYTHING&amp;vid=01CRU&amp;lang=en_US&amp;offset=0&amp;query=any,contains,991002938989702656","Catalog Record")</f>
        <v/>
      </c>
      <c r="AT702">
        <f>HYPERLINK("http://www.worldcat.org/oclc/39098010","WorldCat Record")</f>
        <v/>
      </c>
      <c r="AU702" t="inlineStr">
        <is>
          <t>37546605:eng</t>
        </is>
      </c>
      <c r="AV702" t="inlineStr">
        <is>
          <t>39098010</t>
        </is>
      </c>
      <c r="AW702" t="inlineStr">
        <is>
          <t>991002938989702656</t>
        </is>
      </c>
      <c r="AX702" t="inlineStr">
        <is>
          <t>991002938989702656</t>
        </is>
      </c>
      <c r="AY702" t="inlineStr">
        <is>
          <t>2256590540002656</t>
        </is>
      </c>
      <c r="AZ702" t="inlineStr">
        <is>
          <t>BOOK</t>
        </is>
      </c>
      <c r="BB702" t="inlineStr">
        <is>
          <t>9780964908758</t>
        </is>
      </c>
      <c r="BC702" t="inlineStr">
        <is>
          <t>32285003581369</t>
        </is>
      </c>
      <c r="BD702" t="inlineStr">
        <is>
          <t>893880605</t>
        </is>
      </c>
    </row>
    <row r="703">
      <c r="A703" t="inlineStr">
        <is>
          <t>No</t>
        </is>
      </c>
      <c r="B703" t="inlineStr">
        <is>
          <t>BX1758.2 .J64 1980</t>
        </is>
      </c>
      <c r="C703" t="inlineStr">
        <is>
          <t>0                      BX 1758200J  64          1980</t>
        </is>
      </c>
      <c r="D703" t="inlineStr">
        <is>
          <t>Addresses and homilies given in Brazil / John Paul II ; translation by National Catholic News Service.</t>
        </is>
      </c>
      <c r="E703" t="inlineStr">
        <is>
          <t>V.2</t>
        </is>
      </c>
      <c r="F703" t="inlineStr">
        <is>
          <t>Yes</t>
        </is>
      </c>
      <c r="G703" t="inlineStr">
        <is>
          <t>1</t>
        </is>
      </c>
      <c r="H703" t="inlineStr">
        <is>
          <t>No</t>
        </is>
      </c>
      <c r="I703" t="inlineStr">
        <is>
          <t>No</t>
        </is>
      </c>
      <c r="J703" t="inlineStr">
        <is>
          <t>0</t>
        </is>
      </c>
      <c r="K703" t="inlineStr">
        <is>
          <t>John Paul II, Pope, 1920-2005.</t>
        </is>
      </c>
      <c r="L703" t="inlineStr">
        <is>
          <t>Washington (D.C.) : United States Catholic Conference, 1980.</t>
        </is>
      </c>
      <c r="M703" t="inlineStr">
        <is>
          <t>1980</t>
        </is>
      </c>
      <c r="O703" t="inlineStr">
        <is>
          <t>eng</t>
        </is>
      </c>
      <c r="P703" t="inlineStr">
        <is>
          <t>dcu</t>
        </is>
      </c>
      <c r="R703" t="inlineStr">
        <is>
          <t xml:space="preserve">BX </t>
        </is>
      </c>
      <c r="S703" t="n">
        <v>5</v>
      </c>
      <c r="T703" t="n">
        <v>11</v>
      </c>
      <c r="U703" t="inlineStr">
        <is>
          <t>1996-07-16</t>
        </is>
      </c>
      <c r="V703" t="inlineStr">
        <is>
          <t>1996-07-16</t>
        </is>
      </c>
      <c r="W703" t="inlineStr">
        <is>
          <t>1991-05-28</t>
        </is>
      </c>
      <c r="X703" t="inlineStr">
        <is>
          <t>1991-05-28</t>
        </is>
      </c>
      <c r="Y703" t="n">
        <v>58</v>
      </c>
      <c r="Z703" t="n">
        <v>53</v>
      </c>
      <c r="AA703" t="n">
        <v>104</v>
      </c>
      <c r="AB703" t="n">
        <v>1</v>
      </c>
      <c r="AC703" t="n">
        <v>1</v>
      </c>
      <c r="AD703" t="n">
        <v>9</v>
      </c>
      <c r="AE703" t="n">
        <v>18</v>
      </c>
      <c r="AF703" t="n">
        <v>1</v>
      </c>
      <c r="AG703" t="n">
        <v>6</v>
      </c>
      <c r="AH703" t="n">
        <v>4</v>
      </c>
      <c r="AI703" t="n">
        <v>8</v>
      </c>
      <c r="AJ703" t="n">
        <v>6</v>
      </c>
      <c r="AK703" t="n">
        <v>12</v>
      </c>
      <c r="AL703" t="n">
        <v>0</v>
      </c>
      <c r="AM703" t="n">
        <v>0</v>
      </c>
      <c r="AN703" t="n">
        <v>0</v>
      </c>
      <c r="AO703" t="n">
        <v>0</v>
      </c>
      <c r="AP703" t="inlineStr">
        <is>
          <t>No</t>
        </is>
      </c>
      <c r="AQ703" t="inlineStr">
        <is>
          <t>No</t>
        </is>
      </c>
      <c r="AS703">
        <f>HYPERLINK("https://creighton-primo.hosted.exlibrisgroup.com/primo-explore/search?tab=default_tab&amp;search_scope=EVERYTHING&amp;vid=01CRU&amp;lang=en_US&amp;offset=0&amp;query=any,contains,991005091579702656","Catalog Record")</f>
        <v/>
      </c>
      <c r="AT703">
        <f>HYPERLINK("http://www.worldcat.org/oclc/7225495","WorldCat Record")</f>
        <v/>
      </c>
      <c r="AU703" t="inlineStr">
        <is>
          <t>117764216:eng</t>
        </is>
      </c>
      <c r="AV703" t="inlineStr">
        <is>
          <t>7225495</t>
        </is>
      </c>
      <c r="AW703" t="inlineStr">
        <is>
          <t>991005091579702656</t>
        </is>
      </c>
      <c r="AX703" t="inlineStr">
        <is>
          <t>991005091579702656</t>
        </is>
      </c>
      <c r="AY703" t="inlineStr">
        <is>
          <t>2266586590002656</t>
        </is>
      </c>
      <c r="AZ703" t="inlineStr">
        <is>
          <t>BOOK</t>
        </is>
      </c>
      <c r="BC703" t="inlineStr">
        <is>
          <t>32285000645241</t>
        </is>
      </c>
      <c r="BD703" t="inlineStr">
        <is>
          <t>893260529</t>
        </is>
      </c>
    </row>
    <row r="704">
      <c r="A704" t="inlineStr">
        <is>
          <t>No</t>
        </is>
      </c>
      <c r="B704" t="inlineStr">
        <is>
          <t>BX1758.2 .J64 1980</t>
        </is>
      </c>
      <c r="C704" t="inlineStr">
        <is>
          <t>0                      BX 1758200J  64          1980</t>
        </is>
      </c>
      <c r="D704" t="inlineStr">
        <is>
          <t>Addresses and homilies given in Brazil / John Paul II ; translation by National Catholic News Service.</t>
        </is>
      </c>
      <c r="E704" t="inlineStr">
        <is>
          <t>V.1</t>
        </is>
      </c>
      <c r="F704" t="inlineStr">
        <is>
          <t>Yes</t>
        </is>
      </c>
      <c r="G704" t="inlineStr">
        <is>
          <t>1</t>
        </is>
      </c>
      <c r="H704" t="inlineStr">
        <is>
          <t>No</t>
        </is>
      </c>
      <c r="I704" t="inlineStr">
        <is>
          <t>No</t>
        </is>
      </c>
      <c r="J704" t="inlineStr">
        <is>
          <t>0</t>
        </is>
      </c>
      <c r="K704" t="inlineStr">
        <is>
          <t>John Paul II, Pope, 1920-2005.</t>
        </is>
      </c>
      <c r="L704" t="inlineStr">
        <is>
          <t>Washington (D.C.) : United States Catholic Conference, 1980.</t>
        </is>
      </c>
      <c r="M704" t="inlineStr">
        <is>
          <t>1980</t>
        </is>
      </c>
      <c r="O704" t="inlineStr">
        <is>
          <t>eng</t>
        </is>
      </c>
      <c r="P704" t="inlineStr">
        <is>
          <t>dcu</t>
        </is>
      </c>
      <c r="R704" t="inlineStr">
        <is>
          <t xml:space="preserve">BX </t>
        </is>
      </c>
      <c r="S704" t="n">
        <v>6</v>
      </c>
      <c r="T704" t="n">
        <v>11</v>
      </c>
      <c r="U704" t="inlineStr">
        <is>
          <t>1996-07-16</t>
        </is>
      </c>
      <c r="V704" t="inlineStr">
        <is>
          <t>1996-07-16</t>
        </is>
      </c>
      <c r="W704" t="inlineStr">
        <is>
          <t>1991-05-28</t>
        </is>
      </c>
      <c r="X704" t="inlineStr">
        <is>
          <t>1991-05-28</t>
        </is>
      </c>
      <c r="Y704" t="n">
        <v>58</v>
      </c>
      <c r="Z704" t="n">
        <v>53</v>
      </c>
      <c r="AA704" t="n">
        <v>104</v>
      </c>
      <c r="AB704" t="n">
        <v>1</v>
      </c>
      <c r="AC704" t="n">
        <v>1</v>
      </c>
      <c r="AD704" t="n">
        <v>9</v>
      </c>
      <c r="AE704" t="n">
        <v>18</v>
      </c>
      <c r="AF704" t="n">
        <v>1</v>
      </c>
      <c r="AG704" t="n">
        <v>6</v>
      </c>
      <c r="AH704" t="n">
        <v>4</v>
      </c>
      <c r="AI704" t="n">
        <v>8</v>
      </c>
      <c r="AJ704" t="n">
        <v>6</v>
      </c>
      <c r="AK704" t="n">
        <v>12</v>
      </c>
      <c r="AL704" t="n">
        <v>0</v>
      </c>
      <c r="AM704" t="n">
        <v>0</v>
      </c>
      <c r="AN704" t="n">
        <v>0</v>
      </c>
      <c r="AO704" t="n">
        <v>0</v>
      </c>
      <c r="AP704" t="inlineStr">
        <is>
          <t>No</t>
        </is>
      </c>
      <c r="AQ704" t="inlineStr">
        <is>
          <t>No</t>
        </is>
      </c>
      <c r="AS704">
        <f>HYPERLINK("https://creighton-primo.hosted.exlibrisgroup.com/primo-explore/search?tab=default_tab&amp;search_scope=EVERYTHING&amp;vid=01CRU&amp;lang=en_US&amp;offset=0&amp;query=any,contains,991005091579702656","Catalog Record")</f>
        <v/>
      </c>
      <c r="AT704">
        <f>HYPERLINK("http://www.worldcat.org/oclc/7225495","WorldCat Record")</f>
        <v/>
      </c>
      <c r="AU704" t="inlineStr">
        <is>
          <t>117764216:eng</t>
        </is>
      </c>
      <c r="AV704" t="inlineStr">
        <is>
          <t>7225495</t>
        </is>
      </c>
      <c r="AW704" t="inlineStr">
        <is>
          <t>991005091579702656</t>
        </is>
      </c>
      <c r="AX704" t="inlineStr">
        <is>
          <t>991005091579702656</t>
        </is>
      </c>
      <c r="AY704" t="inlineStr">
        <is>
          <t>2266586590002656</t>
        </is>
      </c>
      <c r="AZ704" t="inlineStr">
        <is>
          <t>BOOK</t>
        </is>
      </c>
      <c r="BC704" t="inlineStr">
        <is>
          <t>32285000645233</t>
        </is>
      </c>
      <c r="BD704" t="inlineStr">
        <is>
          <t>893260528</t>
        </is>
      </c>
    </row>
    <row r="705">
      <c r="A705" t="inlineStr">
        <is>
          <t>No</t>
        </is>
      </c>
      <c r="B705" t="inlineStr">
        <is>
          <t>BX1758.2 .K8 1974</t>
        </is>
      </c>
      <c r="C705" t="inlineStr">
        <is>
          <t>0                      BX 1758200K  8           1974</t>
        </is>
      </c>
      <c r="D705" t="inlineStr">
        <is>
          <t>To settle your conscience / [by] Cass Kucharek.</t>
        </is>
      </c>
      <c r="F705" t="inlineStr">
        <is>
          <t>No</t>
        </is>
      </c>
      <c r="G705" t="inlineStr">
        <is>
          <t>1</t>
        </is>
      </c>
      <c r="H705" t="inlineStr">
        <is>
          <t>No</t>
        </is>
      </c>
      <c r="I705" t="inlineStr">
        <is>
          <t>No</t>
        </is>
      </c>
      <c r="J705" t="inlineStr">
        <is>
          <t>0</t>
        </is>
      </c>
      <c r="K705" t="inlineStr">
        <is>
          <t>Kucharek, Casimir A.</t>
        </is>
      </c>
      <c r="L705" t="inlineStr">
        <is>
          <t>Huntington, IN : Our Sunday Visitor, inc., [1974]</t>
        </is>
      </c>
      <c r="M705" t="inlineStr">
        <is>
          <t>1974</t>
        </is>
      </c>
      <c r="O705" t="inlineStr">
        <is>
          <t>eng</t>
        </is>
      </c>
      <c r="P705" t="inlineStr">
        <is>
          <t>inu</t>
        </is>
      </c>
      <c r="R705" t="inlineStr">
        <is>
          <t xml:space="preserve">BX </t>
        </is>
      </c>
      <c r="S705" t="n">
        <v>1</v>
      </c>
      <c r="T705" t="n">
        <v>1</v>
      </c>
      <c r="U705" t="inlineStr">
        <is>
          <t>2004-02-27</t>
        </is>
      </c>
      <c r="V705" t="inlineStr">
        <is>
          <t>2004-02-27</t>
        </is>
      </c>
      <c r="W705" t="inlineStr">
        <is>
          <t>1991-05-28</t>
        </is>
      </c>
      <c r="X705" t="inlineStr">
        <is>
          <t>1991-05-28</t>
        </is>
      </c>
      <c r="Y705" t="n">
        <v>74</v>
      </c>
      <c r="Z705" t="n">
        <v>62</v>
      </c>
      <c r="AA705" t="n">
        <v>67</v>
      </c>
      <c r="AB705" t="n">
        <v>4</v>
      </c>
      <c r="AC705" t="n">
        <v>4</v>
      </c>
      <c r="AD705" t="n">
        <v>8</v>
      </c>
      <c r="AE705" t="n">
        <v>8</v>
      </c>
      <c r="AF705" t="n">
        <v>1</v>
      </c>
      <c r="AG705" t="n">
        <v>1</v>
      </c>
      <c r="AH705" t="n">
        <v>1</v>
      </c>
      <c r="AI705" t="n">
        <v>1</v>
      </c>
      <c r="AJ705" t="n">
        <v>6</v>
      </c>
      <c r="AK705" t="n">
        <v>6</v>
      </c>
      <c r="AL705" t="n">
        <v>1</v>
      </c>
      <c r="AM705" t="n">
        <v>1</v>
      </c>
      <c r="AN705" t="n">
        <v>0</v>
      </c>
      <c r="AO705" t="n">
        <v>0</v>
      </c>
      <c r="AP705" t="inlineStr">
        <is>
          <t>No</t>
        </is>
      </c>
      <c r="AQ705" t="inlineStr">
        <is>
          <t>No</t>
        </is>
      </c>
      <c r="AS705">
        <f>HYPERLINK("https://creighton-primo.hosted.exlibrisgroup.com/primo-explore/search?tab=default_tab&amp;search_scope=EVERYTHING&amp;vid=01CRU&amp;lang=en_US&amp;offset=0&amp;query=any,contains,991003385649702656","Catalog Record")</f>
        <v/>
      </c>
      <c r="AT705">
        <f>HYPERLINK("http://www.worldcat.org/oclc/922535","WorldCat Record")</f>
        <v/>
      </c>
      <c r="AU705" t="inlineStr">
        <is>
          <t>1867840:eng</t>
        </is>
      </c>
      <c r="AV705" t="inlineStr">
        <is>
          <t>922535</t>
        </is>
      </c>
      <c r="AW705" t="inlineStr">
        <is>
          <t>991003385649702656</t>
        </is>
      </c>
      <c r="AX705" t="inlineStr">
        <is>
          <t>991003385649702656</t>
        </is>
      </c>
      <c r="AY705" t="inlineStr">
        <is>
          <t>2264833390002656</t>
        </is>
      </c>
      <c r="AZ705" t="inlineStr">
        <is>
          <t>BOOK</t>
        </is>
      </c>
      <c r="BB705" t="inlineStr">
        <is>
          <t>9780879738778</t>
        </is>
      </c>
      <c r="BC705" t="inlineStr">
        <is>
          <t>32285000645258</t>
        </is>
      </c>
      <c r="BD705" t="inlineStr">
        <is>
          <t>893434956</t>
        </is>
      </c>
    </row>
    <row r="706">
      <c r="A706" t="inlineStr">
        <is>
          <t>No</t>
        </is>
      </c>
      <c r="B706" t="inlineStr">
        <is>
          <t>BX1758.2 .M3116 1982</t>
        </is>
      </c>
      <c r="C706" t="inlineStr">
        <is>
          <t>0                      BX 1758200M  3116        1982</t>
        </is>
      </c>
      <c r="D706" t="inlineStr">
        <is>
          <t>The making of disciples : tasks of moral theology / [by] Enda McDonagh.</t>
        </is>
      </c>
      <c r="F706" t="inlineStr">
        <is>
          <t>No</t>
        </is>
      </c>
      <c r="G706" t="inlineStr">
        <is>
          <t>1</t>
        </is>
      </c>
      <c r="H706" t="inlineStr">
        <is>
          <t>No</t>
        </is>
      </c>
      <c r="I706" t="inlineStr">
        <is>
          <t>No</t>
        </is>
      </c>
      <c r="J706" t="inlineStr">
        <is>
          <t>0</t>
        </is>
      </c>
      <c r="K706" t="inlineStr">
        <is>
          <t>McDonagh, Enda.</t>
        </is>
      </c>
      <c r="L706" t="inlineStr">
        <is>
          <t>Wilmington, DE : M. Glazier c1982.</t>
        </is>
      </c>
      <c r="M706" t="inlineStr">
        <is>
          <t>1982</t>
        </is>
      </c>
      <c r="O706" t="inlineStr">
        <is>
          <t>eng</t>
        </is>
      </c>
      <c r="P706" t="inlineStr">
        <is>
          <t>deu</t>
        </is>
      </c>
      <c r="Q706" t="inlineStr">
        <is>
          <t>Good news studies ; v. 5</t>
        </is>
      </c>
      <c r="R706" t="inlineStr">
        <is>
          <t xml:space="preserve">BX </t>
        </is>
      </c>
      <c r="S706" t="n">
        <v>2</v>
      </c>
      <c r="T706" t="n">
        <v>2</v>
      </c>
      <c r="U706" t="inlineStr">
        <is>
          <t>1995-03-21</t>
        </is>
      </c>
      <c r="V706" t="inlineStr">
        <is>
          <t>1995-03-21</t>
        </is>
      </c>
      <c r="W706" t="inlineStr">
        <is>
          <t>1991-05-29</t>
        </is>
      </c>
      <c r="X706" t="inlineStr">
        <is>
          <t>1991-05-29</t>
        </is>
      </c>
      <c r="Y706" t="n">
        <v>153</v>
      </c>
      <c r="Z706" t="n">
        <v>127</v>
      </c>
      <c r="AA706" t="n">
        <v>155</v>
      </c>
      <c r="AB706" t="n">
        <v>1</v>
      </c>
      <c r="AC706" t="n">
        <v>1</v>
      </c>
      <c r="AD706" t="n">
        <v>21</v>
      </c>
      <c r="AE706" t="n">
        <v>22</v>
      </c>
      <c r="AF706" t="n">
        <v>7</v>
      </c>
      <c r="AG706" t="n">
        <v>7</v>
      </c>
      <c r="AH706" t="n">
        <v>5</v>
      </c>
      <c r="AI706" t="n">
        <v>5</v>
      </c>
      <c r="AJ706" t="n">
        <v>17</v>
      </c>
      <c r="AK706" t="n">
        <v>18</v>
      </c>
      <c r="AL706" t="n">
        <v>0</v>
      </c>
      <c r="AM706" t="n">
        <v>0</v>
      </c>
      <c r="AN706" t="n">
        <v>0</v>
      </c>
      <c r="AO706" t="n">
        <v>0</v>
      </c>
      <c r="AP706" t="inlineStr">
        <is>
          <t>No</t>
        </is>
      </c>
      <c r="AQ706" t="inlineStr">
        <is>
          <t>No</t>
        </is>
      </c>
      <c r="AS706">
        <f>HYPERLINK("https://creighton-primo.hosted.exlibrisgroup.com/primo-explore/search?tab=default_tab&amp;search_scope=EVERYTHING&amp;vid=01CRU&amp;lang=en_US&amp;offset=0&amp;query=any,contains,991000167239702656","Catalog Record")</f>
        <v/>
      </c>
      <c r="AT706">
        <f>HYPERLINK("http://www.worldcat.org/oclc/9294886","WorldCat Record")</f>
        <v/>
      </c>
      <c r="AU706" t="inlineStr">
        <is>
          <t>1042362669:eng</t>
        </is>
      </c>
      <c r="AV706" t="inlineStr">
        <is>
          <t>9294886</t>
        </is>
      </c>
      <c r="AW706" t="inlineStr">
        <is>
          <t>991000167239702656</t>
        </is>
      </c>
      <c r="AX706" t="inlineStr">
        <is>
          <t>991000167239702656</t>
        </is>
      </c>
      <c r="AY706" t="inlineStr">
        <is>
          <t>2264159890002656</t>
        </is>
      </c>
      <c r="AZ706" t="inlineStr">
        <is>
          <t>BOOK</t>
        </is>
      </c>
      <c r="BC706" t="inlineStr">
        <is>
          <t>32285000645282</t>
        </is>
      </c>
      <c r="BD706" t="inlineStr">
        <is>
          <t>893683211</t>
        </is>
      </c>
    </row>
    <row r="707">
      <c r="A707" t="inlineStr">
        <is>
          <t>No</t>
        </is>
      </c>
      <c r="B707" t="inlineStr">
        <is>
          <t>BX1759 .C85</t>
        </is>
      </c>
      <c r="C707" t="inlineStr">
        <is>
          <t>0                      BX 1759000C  85</t>
        </is>
      </c>
      <c r="D707" t="inlineStr">
        <is>
          <t>Issues in sexual and medical ethics / Charles E. Curran.</t>
        </is>
      </c>
      <c r="F707" t="inlineStr">
        <is>
          <t>No</t>
        </is>
      </c>
      <c r="G707" t="inlineStr">
        <is>
          <t>1</t>
        </is>
      </c>
      <c r="H707" t="inlineStr">
        <is>
          <t>No</t>
        </is>
      </c>
      <c r="I707" t="inlineStr">
        <is>
          <t>No</t>
        </is>
      </c>
      <c r="J707" t="inlineStr">
        <is>
          <t>0</t>
        </is>
      </c>
      <c r="K707" t="inlineStr">
        <is>
          <t>Curran, Charles E.</t>
        </is>
      </c>
      <c r="L707" t="inlineStr">
        <is>
          <t>Notre Dame, Ind. : University of Notre Dame Press, c1978.</t>
        </is>
      </c>
      <c r="M707" t="inlineStr">
        <is>
          <t>1978</t>
        </is>
      </c>
      <c r="O707" t="inlineStr">
        <is>
          <t>eng</t>
        </is>
      </c>
      <c r="P707" t="inlineStr">
        <is>
          <t>inu</t>
        </is>
      </c>
      <c r="R707" t="inlineStr">
        <is>
          <t xml:space="preserve">BX </t>
        </is>
      </c>
      <c r="S707" t="n">
        <v>7</v>
      </c>
      <c r="T707" t="n">
        <v>7</v>
      </c>
      <c r="U707" t="inlineStr">
        <is>
          <t>2007-11-29</t>
        </is>
      </c>
      <c r="V707" t="inlineStr">
        <is>
          <t>2007-11-29</t>
        </is>
      </c>
      <c r="W707" t="inlineStr">
        <is>
          <t>1991-05-29</t>
        </is>
      </c>
      <c r="X707" t="inlineStr">
        <is>
          <t>1991-05-29</t>
        </is>
      </c>
      <c r="Y707" t="n">
        <v>758</v>
      </c>
      <c r="Z707" t="n">
        <v>662</v>
      </c>
      <c r="AA707" t="n">
        <v>670</v>
      </c>
      <c r="AB707" t="n">
        <v>6</v>
      </c>
      <c r="AC707" t="n">
        <v>6</v>
      </c>
      <c r="AD707" t="n">
        <v>42</v>
      </c>
      <c r="AE707" t="n">
        <v>42</v>
      </c>
      <c r="AF707" t="n">
        <v>16</v>
      </c>
      <c r="AG707" t="n">
        <v>16</v>
      </c>
      <c r="AH707" t="n">
        <v>10</v>
      </c>
      <c r="AI707" t="n">
        <v>10</v>
      </c>
      <c r="AJ707" t="n">
        <v>25</v>
      </c>
      <c r="AK707" t="n">
        <v>25</v>
      </c>
      <c r="AL707" t="n">
        <v>4</v>
      </c>
      <c r="AM707" t="n">
        <v>4</v>
      </c>
      <c r="AN707" t="n">
        <v>0</v>
      </c>
      <c r="AO707" t="n">
        <v>0</v>
      </c>
      <c r="AP707" t="inlineStr">
        <is>
          <t>No</t>
        </is>
      </c>
      <c r="AQ707" t="inlineStr">
        <is>
          <t>Yes</t>
        </is>
      </c>
      <c r="AR707">
        <f>HYPERLINK("http://catalog.hathitrust.org/Record/000751216","HathiTrust Record")</f>
        <v/>
      </c>
      <c r="AS707">
        <f>HYPERLINK("https://creighton-primo.hosted.exlibrisgroup.com/primo-explore/search?tab=default_tab&amp;search_scope=EVERYTHING&amp;vid=01CRU&amp;lang=en_US&amp;offset=0&amp;query=any,contains,991004424359702656","Catalog Record")</f>
        <v/>
      </c>
      <c r="AT707">
        <f>HYPERLINK("http://www.worldcat.org/oclc/3396484","WorldCat Record")</f>
        <v/>
      </c>
      <c r="AU707" t="inlineStr">
        <is>
          <t>10266887:eng</t>
        </is>
      </c>
      <c r="AV707" t="inlineStr">
        <is>
          <t>3396484</t>
        </is>
      </c>
      <c r="AW707" t="inlineStr">
        <is>
          <t>991004424359702656</t>
        </is>
      </c>
      <c r="AX707" t="inlineStr">
        <is>
          <t>991004424359702656</t>
        </is>
      </c>
      <c r="AY707" t="inlineStr">
        <is>
          <t>2267338320002656</t>
        </is>
      </c>
      <c r="AZ707" t="inlineStr">
        <is>
          <t>BOOK</t>
        </is>
      </c>
      <c r="BB707" t="inlineStr">
        <is>
          <t>9780268011413</t>
        </is>
      </c>
      <c r="BC707" t="inlineStr">
        <is>
          <t>32285004806252</t>
        </is>
      </c>
      <c r="BD707" t="inlineStr">
        <is>
          <t>893229348</t>
        </is>
      </c>
    </row>
    <row r="708">
      <c r="A708" t="inlineStr">
        <is>
          <t>No</t>
        </is>
      </c>
      <c r="B708" t="inlineStr">
        <is>
          <t>BX1759 .H65 1933</t>
        </is>
      </c>
      <c r="C708" t="inlineStr">
        <is>
          <t>0                      BX 1759000H  65          1933</t>
        </is>
      </c>
      <c r="D708" t="inlineStr">
        <is>
          <t>The ecclesiastical review on morality of hunger-strike / Michael Hogan.</t>
        </is>
      </c>
      <c r="F708" t="inlineStr">
        <is>
          <t>No</t>
        </is>
      </c>
      <c r="G708" t="inlineStr">
        <is>
          <t>1</t>
        </is>
      </c>
      <c r="H708" t="inlineStr">
        <is>
          <t>No</t>
        </is>
      </c>
      <c r="I708" t="inlineStr">
        <is>
          <t>No</t>
        </is>
      </c>
      <c r="J708" t="inlineStr">
        <is>
          <t>0</t>
        </is>
      </c>
      <c r="K708" t="inlineStr">
        <is>
          <t>Hogan, Michael.</t>
        </is>
      </c>
      <c r="L708" t="inlineStr">
        <is>
          <t>Jersey City : St. Peter's College Press, [1933?]</t>
        </is>
      </c>
      <c r="M708" t="inlineStr">
        <is>
          <t>1933</t>
        </is>
      </c>
      <c r="N708" t="inlineStr">
        <is>
          <t>[2d ed.]</t>
        </is>
      </c>
      <c r="O708" t="inlineStr">
        <is>
          <t>eng</t>
        </is>
      </c>
      <c r="P708" t="inlineStr">
        <is>
          <t>nju</t>
        </is>
      </c>
      <c r="R708" t="inlineStr">
        <is>
          <t xml:space="preserve">BX </t>
        </is>
      </c>
      <c r="S708" t="n">
        <v>2</v>
      </c>
      <c r="T708" t="n">
        <v>2</v>
      </c>
      <c r="U708" t="inlineStr">
        <is>
          <t>1998-07-17</t>
        </is>
      </c>
      <c r="V708" t="inlineStr">
        <is>
          <t>1998-07-17</t>
        </is>
      </c>
      <c r="W708" t="inlineStr">
        <is>
          <t>1991-05-29</t>
        </is>
      </c>
      <c r="X708" t="inlineStr">
        <is>
          <t>1991-05-29</t>
        </is>
      </c>
      <c r="Y708" t="n">
        <v>147</v>
      </c>
      <c r="Z708" t="n">
        <v>134</v>
      </c>
      <c r="AA708" t="n">
        <v>138</v>
      </c>
      <c r="AB708" t="n">
        <v>3</v>
      </c>
      <c r="AC708" t="n">
        <v>3</v>
      </c>
      <c r="AD708" t="n">
        <v>20</v>
      </c>
      <c r="AE708" t="n">
        <v>20</v>
      </c>
      <c r="AF708" t="n">
        <v>4</v>
      </c>
      <c r="AG708" t="n">
        <v>4</v>
      </c>
      <c r="AH708" t="n">
        <v>4</v>
      </c>
      <c r="AI708" t="n">
        <v>4</v>
      </c>
      <c r="AJ708" t="n">
        <v>16</v>
      </c>
      <c r="AK708" t="n">
        <v>16</v>
      </c>
      <c r="AL708" t="n">
        <v>0</v>
      </c>
      <c r="AM708" t="n">
        <v>0</v>
      </c>
      <c r="AN708" t="n">
        <v>1</v>
      </c>
      <c r="AO708" t="n">
        <v>1</v>
      </c>
      <c r="AP708" t="inlineStr">
        <is>
          <t>No</t>
        </is>
      </c>
      <c r="AQ708" t="inlineStr">
        <is>
          <t>Yes</t>
        </is>
      </c>
      <c r="AR708">
        <f>HYPERLINK("http://catalog.hathitrust.org/Record/007319708","HathiTrust Record")</f>
        <v/>
      </c>
      <c r="AS708">
        <f>HYPERLINK("https://creighton-primo.hosted.exlibrisgroup.com/primo-explore/search?tab=default_tab&amp;search_scope=EVERYTHING&amp;vid=01CRU&amp;lang=en_US&amp;offset=0&amp;query=any,contains,991004292949702656","Catalog Record")</f>
        <v/>
      </c>
      <c r="AT708">
        <f>HYPERLINK("http://www.worldcat.org/oclc/2954163","WorldCat Record")</f>
        <v/>
      </c>
      <c r="AU708" t="inlineStr">
        <is>
          <t>37184887:eng</t>
        </is>
      </c>
      <c r="AV708" t="inlineStr">
        <is>
          <t>2954163</t>
        </is>
      </c>
      <c r="AW708" t="inlineStr">
        <is>
          <t>991004292949702656</t>
        </is>
      </c>
      <c r="AX708" t="inlineStr">
        <is>
          <t>991004292949702656</t>
        </is>
      </c>
      <c r="AY708" t="inlineStr">
        <is>
          <t>2267432710002656</t>
        </is>
      </c>
      <c r="AZ708" t="inlineStr">
        <is>
          <t>BOOK</t>
        </is>
      </c>
      <c r="BC708" t="inlineStr">
        <is>
          <t>32285000645423</t>
        </is>
      </c>
      <c r="BD708" t="inlineStr">
        <is>
          <t>893331416</t>
        </is>
      </c>
    </row>
    <row r="709">
      <c r="A709" t="inlineStr">
        <is>
          <t>No</t>
        </is>
      </c>
      <c r="B709" t="inlineStr">
        <is>
          <t>BX1759.5.M4 I57 1975</t>
        </is>
      </c>
      <c r="C709" t="inlineStr">
        <is>
          <t>0                      BX 1759500M  4                  I  57          1975</t>
        </is>
      </c>
      <c r="D709" t="inlineStr">
        <is>
          <t>Human life : problems of birth, of living, and of dying / edited by William C. Bier.</t>
        </is>
      </c>
      <c r="F709" t="inlineStr">
        <is>
          <t>No</t>
        </is>
      </c>
      <c r="G709" t="inlineStr">
        <is>
          <t>1</t>
        </is>
      </c>
      <c r="H709" t="inlineStr">
        <is>
          <t>No</t>
        </is>
      </c>
      <c r="I709" t="inlineStr">
        <is>
          <t>No</t>
        </is>
      </c>
      <c r="J709" t="inlineStr">
        <is>
          <t>0</t>
        </is>
      </c>
      <c r="K709" t="inlineStr">
        <is>
          <t>Institute of Pastoral Psychology (10th : 1975 : Fordham University)</t>
        </is>
      </c>
      <c r="L709" t="inlineStr">
        <is>
          <t>New York : Fordham University Press, c1977.</t>
        </is>
      </c>
      <c r="M709" t="inlineStr">
        <is>
          <t>1977</t>
        </is>
      </c>
      <c r="O709" t="inlineStr">
        <is>
          <t>eng</t>
        </is>
      </c>
      <c r="P709" t="inlineStr">
        <is>
          <t>nyu</t>
        </is>
      </c>
      <c r="Q709" t="inlineStr">
        <is>
          <t>The Pastoral psychology series ; no. 9</t>
        </is>
      </c>
      <c r="R709" t="inlineStr">
        <is>
          <t xml:space="preserve">BX </t>
        </is>
      </c>
      <c r="S709" t="n">
        <v>2</v>
      </c>
      <c r="T709" t="n">
        <v>2</v>
      </c>
      <c r="U709" t="inlineStr">
        <is>
          <t>2008-12-01</t>
        </is>
      </c>
      <c r="V709" t="inlineStr">
        <is>
          <t>2008-12-01</t>
        </is>
      </c>
      <c r="W709" t="inlineStr">
        <is>
          <t>1991-05-29</t>
        </is>
      </c>
      <c r="X709" t="inlineStr">
        <is>
          <t>1991-05-29</t>
        </is>
      </c>
      <c r="Y709" t="n">
        <v>333</v>
      </c>
      <c r="Z709" t="n">
        <v>290</v>
      </c>
      <c r="AA709" t="n">
        <v>293</v>
      </c>
      <c r="AB709" t="n">
        <v>5</v>
      </c>
      <c r="AC709" t="n">
        <v>5</v>
      </c>
      <c r="AD709" t="n">
        <v>30</v>
      </c>
      <c r="AE709" t="n">
        <v>30</v>
      </c>
      <c r="AF709" t="n">
        <v>8</v>
      </c>
      <c r="AG709" t="n">
        <v>8</v>
      </c>
      <c r="AH709" t="n">
        <v>8</v>
      </c>
      <c r="AI709" t="n">
        <v>8</v>
      </c>
      <c r="AJ709" t="n">
        <v>18</v>
      </c>
      <c r="AK709" t="n">
        <v>18</v>
      </c>
      <c r="AL709" t="n">
        <v>4</v>
      </c>
      <c r="AM709" t="n">
        <v>4</v>
      </c>
      <c r="AN709" t="n">
        <v>0</v>
      </c>
      <c r="AO709" t="n">
        <v>0</v>
      </c>
      <c r="AP709" t="inlineStr">
        <is>
          <t>No</t>
        </is>
      </c>
      <c r="AQ709" t="inlineStr">
        <is>
          <t>Yes</t>
        </is>
      </c>
      <c r="AR709">
        <f>HYPERLINK("http://catalog.hathitrust.org/Record/000296582","HathiTrust Record")</f>
        <v/>
      </c>
      <c r="AS709">
        <f>HYPERLINK("https://creighton-primo.hosted.exlibrisgroup.com/primo-explore/search?tab=default_tab&amp;search_scope=EVERYTHING&amp;vid=01CRU&amp;lang=en_US&amp;offset=0&amp;query=any,contains,991004390569702656","Catalog Record")</f>
        <v/>
      </c>
      <c r="AT709">
        <f>HYPERLINK("http://www.worldcat.org/oclc/3261192","WorldCat Record")</f>
        <v/>
      </c>
      <c r="AU709" t="inlineStr">
        <is>
          <t>866253441:eng</t>
        </is>
      </c>
      <c r="AV709" t="inlineStr">
        <is>
          <t>3261192</t>
        </is>
      </c>
      <c r="AW709" t="inlineStr">
        <is>
          <t>991004390569702656</t>
        </is>
      </c>
      <c r="AX709" t="inlineStr">
        <is>
          <t>991004390569702656</t>
        </is>
      </c>
      <c r="AY709" t="inlineStr">
        <is>
          <t>2255348610002656</t>
        </is>
      </c>
      <c r="AZ709" t="inlineStr">
        <is>
          <t>BOOK</t>
        </is>
      </c>
      <c r="BB709" t="inlineStr">
        <is>
          <t>9780823210251</t>
        </is>
      </c>
      <c r="BC709" t="inlineStr">
        <is>
          <t>32285000645837</t>
        </is>
      </c>
      <c r="BD709" t="inlineStr">
        <is>
          <t>893687677</t>
        </is>
      </c>
    </row>
    <row r="710">
      <c r="A710" t="inlineStr">
        <is>
          <t>No</t>
        </is>
      </c>
      <c r="B710" t="inlineStr">
        <is>
          <t>BX1759.5.S4 O33 1966</t>
        </is>
      </c>
      <c r="C710" t="inlineStr">
        <is>
          <t>0                      BX 1759500S  4                  O  33          1966</t>
        </is>
      </c>
      <c r="D710" t="inlineStr">
        <is>
          <t>How to cure scruples / [by] V.M. O'Flaherty.</t>
        </is>
      </c>
      <c r="F710" t="inlineStr">
        <is>
          <t>No</t>
        </is>
      </c>
      <c r="G710" t="inlineStr">
        <is>
          <t>1</t>
        </is>
      </c>
      <c r="H710" t="inlineStr">
        <is>
          <t>No</t>
        </is>
      </c>
      <c r="I710" t="inlineStr">
        <is>
          <t>No</t>
        </is>
      </c>
      <c r="J710" t="inlineStr">
        <is>
          <t>0</t>
        </is>
      </c>
      <c r="K710" t="inlineStr">
        <is>
          <t>O'Flaherty, Vincent M.</t>
        </is>
      </c>
      <c r="L710" t="inlineStr">
        <is>
          <t>Milwaukee : Bruce Pub. Co., [1966]</t>
        </is>
      </c>
      <c r="M710" t="inlineStr">
        <is>
          <t>1966</t>
        </is>
      </c>
      <c r="O710" t="inlineStr">
        <is>
          <t>eng</t>
        </is>
      </c>
      <c r="P710" t="inlineStr">
        <is>
          <t>wiu</t>
        </is>
      </c>
      <c r="R710" t="inlineStr">
        <is>
          <t xml:space="preserve">BX </t>
        </is>
      </c>
      <c r="S710" t="n">
        <v>1</v>
      </c>
      <c r="T710" t="n">
        <v>1</v>
      </c>
      <c r="U710" t="inlineStr">
        <is>
          <t>2002-01-14</t>
        </is>
      </c>
      <c r="V710" t="inlineStr">
        <is>
          <t>2002-01-14</t>
        </is>
      </c>
      <c r="W710" t="inlineStr">
        <is>
          <t>1991-05-29</t>
        </is>
      </c>
      <c r="X710" t="inlineStr">
        <is>
          <t>1991-05-29</t>
        </is>
      </c>
      <c r="Y710" t="n">
        <v>108</v>
      </c>
      <c r="Z710" t="n">
        <v>100</v>
      </c>
      <c r="AA710" t="n">
        <v>100</v>
      </c>
      <c r="AB710" t="n">
        <v>2</v>
      </c>
      <c r="AC710" t="n">
        <v>2</v>
      </c>
      <c r="AD710" t="n">
        <v>15</v>
      </c>
      <c r="AE710" t="n">
        <v>15</v>
      </c>
      <c r="AF710" t="n">
        <v>4</v>
      </c>
      <c r="AG710" t="n">
        <v>4</v>
      </c>
      <c r="AH710" t="n">
        <v>3</v>
      </c>
      <c r="AI710" t="n">
        <v>3</v>
      </c>
      <c r="AJ710" t="n">
        <v>11</v>
      </c>
      <c r="AK710" t="n">
        <v>11</v>
      </c>
      <c r="AL710" t="n">
        <v>1</v>
      </c>
      <c r="AM710" t="n">
        <v>1</v>
      </c>
      <c r="AN710" t="n">
        <v>0</v>
      </c>
      <c r="AO710" t="n">
        <v>0</v>
      </c>
      <c r="AP710" t="inlineStr">
        <is>
          <t>No</t>
        </is>
      </c>
      <c r="AQ710" t="inlineStr">
        <is>
          <t>No</t>
        </is>
      </c>
      <c r="AS710">
        <f>HYPERLINK("https://creighton-primo.hosted.exlibrisgroup.com/primo-explore/search?tab=default_tab&amp;search_scope=EVERYTHING&amp;vid=01CRU&amp;lang=en_US&amp;offset=0&amp;query=any,contains,991005254359702656","Catalog Record")</f>
        <v/>
      </c>
      <c r="AT710">
        <f>HYPERLINK("http://www.worldcat.org/oclc/1485078","WorldCat Record")</f>
        <v/>
      </c>
      <c r="AU710" t="inlineStr">
        <is>
          <t>2387473:eng</t>
        </is>
      </c>
      <c r="AV710" t="inlineStr">
        <is>
          <t>1485078</t>
        </is>
      </c>
      <c r="AW710" t="inlineStr">
        <is>
          <t>991005254359702656</t>
        </is>
      </c>
      <c r="AX710" t="inlineStr">
        <is>
          <t>991005254359702656</t>
        </is>
      </c>
      <c r="AY710" t="inlineStr">
        <is>
          <t>2271699530002656</t>
        </is>
      </c>
      <c r="AZ710" t="inlineStr">
        <is>
          <t>BOOK</t>
        </is>
      </c>
      <c r="BC710" t="inlineStr">
        <is>
          <t>32285000645845</t>
        </is>
      </c>
      <c r="BD710" t="inlineStr">
        <is>
          <t>893896141</t>
        </is>
      </c>
    </row>
    <row r="711">
      <c r="A711" t="inlineStr">
        <is>
          <t>No</t>
        </is>
      </c>
      <c r="B711" t="inlineStr">
        <is>
          <t>BX1765 .M244</t>
        </is>
      </c>
      <c r="C711" t="inlineStr">
        <is>
          <t>0                      BX 1765000M  244</t>
        </is>
      </c>
      <c r="D711" t="inlineStr">
        <is>
          <t>People's padre : an autobiography / an autobiography by Emmett McLoughlin.</t>
        </is>
      </c>
      <c r="F711" t="inlineStr">
        <is>
          <t>No</t>
        </is>
      </c>
      <c r="G711" t="inlineStr">
        <is>
          <t>1</t>
        </is>
      </c>
      <c r="H711" t="inlineStr">
        <is>
          <t>No</t>
        </is>
      </c>
      <c r="I711" t="inlineStr">
        <is>
          <t>No</t>
        </is>
      </c>
      <c r="J711" t="inlineStr">
        <is>
          <t>0</t>
        </is>
      </c>
      <c r="K711" t="inlineStr">
        <is>
          <t>McLoughlin, Emmett, 1907-</t>
        </is>
      </c>
      <c r="L711" t="inlineStr">
        <is>
          <t>Boston : Beacon Press, c1954, 1961 printing.</t>
        </is>
      </c>
      <c r="M711" t="inlineStr">
        <is>
          <t>1954</t>
        </is>
      </c>
      <c r="O711" t="inlineStr">
        <is>
          <t>eng</t>
        </is>
      </c>
      <c r="P711" t="inlineStr">
        <is>
          <t>mau</t>
        </is>
      </c>
      <c r="R711" t="inlineStr">
        <is>
          <t xml:space="preserve">BX </t>
        </is>
      </c>
      <c r="S711" t="n">
        <v>1</v>
      </c>
      <c r="T711" t="n">
        <v>1</v>
      </c>
      <c r="U711" t="inlineStr">
        <is>
          <t>1998-10-05</t>
        </is>
      </c>
      <c r="V711" t="inlineStr">
        <is>
          <t>1998-10-05</t>
        </is>
      </c>
      <c r="W711" t="inlineStr">
        <is>
          <t>1991-05-29</t>
        </is>
      </c>
      <c r="X711" t="inlineStr">
        <is>
          <t>1991-05-29</t>
        </is>
      </c>
      <c r="Y711" t="n">
        <v>725</v>
      </c>
      <c r="Z711" t="n">
        <v>702</v>
      </c>
      <c r="AA711" t="n">
        <v>725</v>
      </c>
      <c r="AB711" t="n">
        <v>8</v>
      </c>
      <c r="AC711" t="n">
        <v>8</v>
      </c>
      <c r="AD711" t="n">
        <v>23</v>
      </c>
      <c r="AE711" t="n">
        <v>23</v>
      </c>
      <c r="AF711" t="n">
        <v>9</v>
      </c>
      <c r="AG711" t="n">
        <v>9</v>
      </c>
      <c r="AH711" t="n">
        <v>4</v>
      </c>
      <c r="AI711" t="n">
        <v>4</v>
      </c>
      <c r="AJ711" t="n">
        <v>11</v>
      </c>
      <c r="AK711" t="n">
        <v>11</v>
      </c>
      <c r="AL711" t="n">
        <v>5</v>
      </c>
      <c r="AM711" t="n">
        <v>5</v>
      </c>
      <c r="AN711" t="n">
        <v>0</v>
      </c>
      <c r="AO711" t="n">
        <v>0</v>
      </c>
      <c r="AP711" t="inlineStr">
        <is>
          <t>No</t>
        </is>
      </c>
      <c r="AQ711" t="inlineStr">
        <is>
          <t>Yes</t>
        </is>
      </c>
      <c r="AR711">
        <f>HYPERLINK("http://catalog.hathitrust.org/Record/001416600","HathiTrust Record")</f>
        <v/>
      </c>
      <c r="AS711">
        <f>HYPERLINK("https://creighton-primo.hosted.exlibrisgroup.com/primo-explore/search?tab=default_tab&amp;search_scope=EVERYTHING&amp;vid=01CRU&amp;lang=en_US&amp;offset=0&amp;query=any,contains,991003425179702656","Catalog Record")</f>
        <v/>
      </c>
      <c r="AT711">
        <f>HYPERLINK("http://www.worldcat.org/oclc/385813","WorldCat Record")</f>
        <v/>
      </c>
      <c r="AU711" t="inlineStr">
        <is>
          <t>1508991:eng</t>
        </is>
      </c>
      <c r="AV711" t="inlineStr">
        <is>
          <t>385813</t>
        </is>
      </c>
      <c r="AW711" t="inlineStr">
        <is>
          <t>991003425179702656</t>
        </is>
      </c>
      <c r="AX711" t="inlineStr">
        <is>
          <t>991003425179702656</t>
        </is>
      </c>
      <c r="AY711" t="inlineStr">
        <is>
          <t>2261846560002656</t>
        </is>
      </c>
      <c r="AZ711" t="inlineStr">
        <is>
          <t>BOOK</t>
        </is>
      </c>
      <c r="BC711" t="inlineStr">
        <is>
          <t>32285000645886</t>
        </is>
      </c>
      <c r="BD711" t="inlineStr">
        <is>
          <t>893531178</t>
        </is>
      </c>
    </row>
    <row r="712">
      <c r="A712" t="inlineStr">
        <is>
          <t>No</t>
        </is>
      </c>
      <c r="B712" t="inlineStr">
        <is>
          <t>BX1765.2 .B69 1988</t>
        </is>
      </c>
      <c r="C712" t="inlineStr">
        <is>
          <t>0                      BX 1765200B  69          1988</t>
        </is>
      </c>
      <c r="D712" t="inlineStr">
        <is>
          <t>Vicars of Christ : the dark side of the papacy / Peter De Rosa.</t>
        </is>
      </c>
      <c r="F712" t="inlineStr">
        <is>
          <t>No</t>
        </is>
      </c>
      <c r="G712" t="inlineStr">
        <is>
          <t>1</t>
        </is>
      </c>
      <c r="H712" t="inlineStr">
        <is>
          <t>No</t>
        </is>
      </c>
      <c r="I712" t="inlineStr">
        <is>
          <t>No</t>
        </is>
      </c>
      <c r="J712" t="inlineStr">
        <is>
          <t>0</t>
        </is>
      </c>
      <c r="K712" t="inlineStr">
        <is>
          <t>Boyd, Neil.</t>
        </is>
      </c>
      <c r="L712" t="inlineStr">
        <is>
          <t>New York : Crown Publishers, 1988.</t>
        </is>
      </c>
      <c r="M712" t="inlineStr">
        <is>
          <t>1988</t>
        </is>
      </c>
      <c r="N712" t="inlineStr">
        <is>
          <t>1st American ed.</t>
        </is>
      </c>
      <c r="O712" t="inlineStr">
        <is>
          <t>eng</t>
        </is>
      </c>
      <c r="P712" t="inlineStr">
        <is>
          <t>nyu</t>
        </is>
      </c>
      <c r="R712" t="inlineStr">
        <is>
          <t xml:space="preserve">BX </t>
        </is>
      </c>
      <c r="S712" t="n">
        <v>3</v>
      </c>
      <c r="T712" t="n">
        <v>3</v>
      </c>
      <c r="U712" t="inlineStr">
        <is>
          <t>2004-02-12</t>
        </is>
      </c>
      <c r="V712" t="inlineStr">
        <is>
          <t>2004-02-12</t>
        </is>
      </c>
      <c r="W712" t="inlineStr">
        <is>
          <t>1991-05-30</t>
        </is>
      </c>
      <c r="X712" t="inlineStr">
        <is>
          <t>1991-05-30</t>
        </is>
      </c>
      <c r="Y712" t="n">
        <v>704</v>
      </c>
      <c r="Z712" t="n">
        <v>669</v>
      </c>
      <c r="AA712" t="n">
        <v>709</v>
      </c>
      <c r="AB712" t="n">
        <v>3</v>
      </c>
      <c r="AC712" t="n">
        <v>4</v>
      </c>
      <c r="AD712" t="n">
        <v>18</v>
      </c>
      <c r="AE712" t="n">
        <v>21</v>
      </c>
      <c r="AF712" t="n">
        <v>6</v>
      </c>
      <c r="AG712" t="n">
        <v>6</v>
      </c>
      <c r="AH712" t="n">
        <v>3</v>
      </c>
      <c r="AI712" t="n">
        <v>4</v>
      </c>
      <c r="AJ712" t="n">
        <v>12</v>
      </c>
      <c r="AK712" t="n">
        <v>14</v>
      </c>
      <c r="AL712" t="n">
        <v>1</v>
      </c>
      <c r="AM712" t="n">
        <v>2</v>
      </c>
      <c r="AN712" t="n">
        <v>0</v>
      </c>
      <c r="AO712" t="n">
        <v>0</v>
      </c>
      <c r="AP712" t="inlineStr">
        <is>
          <t>No</t>
        </is>
      </c>
      <c r="AQ712" t="inlineStr">
        <is>
          <t>No</t>
        </is>
      </c>
      <c r="AS712">
        <f>HYPERLINK("https://creighton-primo.hosted.exlibrisgroup.com/primo-explore/search?tab=default_tab&amp;search_scope=EVERYTHING&amp;vid=01CRU&amp;lang=en_US&amp;offset=0&amp;query=any,contains,991001252129702656","Catalog Record")</f>
        <v/>
      </c>
      <c r="AT712">
        <f>HYPERLINK("http://www.worldcat.org/oclc/17677689","WorldCat Record")</f>
        <v/>
      </c>
      <c r="AU712" t="inlineStr">
        <is>
          <t>139955726:eng</t>
        </is>
      </c>
      <c r="AV712" t="inlineStr">
        <is>
          <t>17677689</t>
        </is>
      </c>
      <c r="AW712" t="inlineStr">
        <is>
          <t>991001252129702656</t>
        </is>
      </c>
      <c r="AX712" t="inlineStr">
        <is>
          <t>991001252129702656</t>
        </is>
      </c>
      <c r="AY712" t="inlineStr">
        <is>
          <t>2261059060002656</t>
        </is>
      </c>
      <c r="AZ712" t="inlineStr">
        <is>
          <t>BOOK</t>
        </is>
      </c>
      <c r="BB712" t="inlineStr">
        <is>
          <t>9780517570272</t>
        </is>
      </c>
      <c r="BC712" t="inlineStr">
        <is>
          <t>32285000646900</t>
        </is>
      </c>
      <c r="BD712" t="inlineStr">
        <is>
          <t>893614909</t>
        </is>
      </c>
    </row>
    <row r="713">
      <c r="A713" t="inlineStr">
        <is>
          <t>No</t>
        </is>
      </c>
      <c r="B713" t="inlineStr">
        <is>
          <t>BX1767 .G37</t>
        </is>
      </c>
      <c r="C713" t="inlineStr">
        <is>
          <t>0                      BX 1767000G  37</t>
        </is>
      </c>
      <c r="D713" t="inlineStr">
        <is>
          <t>Breaking with the past : or, Catholic principles abandoned at the reformation; four sermons delivered at St. Patrick's cathedral, New York, on the Sundays of Advent, 1913 / by Francis Aidan Gasquet ; with a preface by His Eminence Cardinal Farley.</t>
        </is>
      </c>
      <c r="F713" t="inlineStr">
        <is>
          <t>No</t>
        </is>
      </c>
      <c r="G713" t="inlineStr">
        <is>
          <t>1</t>
        </is>
      </c>
      <c r="H713" t="inlineStr">
        <is>
          <t>No</t>
        </is>
      </c>
      <c r="I713" t="inlineStr">
        <is>
          <t>No</t>
        </is>
      </c>
      <c r="J713" t="inlineStr">
        <is>
          <t>0</t>
        </is>
      </c>
      <c r="K713" t="inlineStr">
        <is>
          <t>Gasquet, Francis Aidan, 1846-1929.</t>
        </is>
      </c>
      <c r="L713" t="inlineStr">
        <is>
          <t>New York, P. J. Kenedy [1914]</t>
        </is>
      </c>
      <c r="M713" t="inlineStr">
        <is>
          <t>1914</t>
        </is>
      </c>
      <c r="O713" t="inlineStr">
        <is>
          <t>eng</t>
        </is>
      </c>
      <c r="P713" t="inlineStr">
        <is>
          <t>___</t>
        </is>
      </c>
      <c r="R713" t="inlineStr">
        <is>
          <t xml:space="preserve">BX </t>
        </is>
      </c>
      <c r="S713" t="n">
        <v>1</v>
      </c>
      <c r="T713" t="n">
        <v>1</v>
      </c>
      <c r="U713" t="inlineStr">
        <is>
          <t>2000-11-14</t>
        </is>
      </c>
      <c r="V713" t="inlineStr">
        <is>
          <t>2000-11-14</t>
        </is>
      </c>
      <c r="W713" t="inlineStr">
        <is>
          <t>1991-05-30</t>
        </is>
      </c>
      <c r="X713" t="inlineStr">
        <is>
          <t>1991-05-30</t>
        </is>
      </c>
      <c r="Y713" t="n">
        <v>78</v>
      </c>
      <c r="Z713" t="n">
        <v>73</v>
      </c>
      <c r="AA713" t="n">
        <v>138</v>
      </c>
      <c r="AB713" t="n">
        <v>1</v>
      </c>
      <c r="AC713" t="n">
        <v>1</v>
      </c>
      <c r="AD713" t="n">
        <v>19</v>
      </c>
      <c r="AE713" t="n">
        <v>19</v>
      </c>
      <c r="AF713" t="n">
        <v>5</v>
      </c>
      <c r="AG713" t="n">
        <v>5</v>
      </c>
      <c r="AH713" t="n">
        <v>5</v>
      </c>
      <c r="AI713" t="n">
        <v>5</v>
      </c>
      <c r="AJ713" t="n">
        <v>15</v>
      </c>
      <c r="AK713" t="n">
        <v>15</v>
      </c>
      <c r="AL713" t="n">
        <v>0</v>
      </c>
      <c r="AM713" t="n">
        <v>0</v>
      </c>
      <c r="AN713" t="n">
        <v>0</v>
      </c>
      <c r="AO713" t="n">
        <v>0</v>
      </c>
      <c r="AP713" t="inlineStr">
        <is>
          <t>Yes</t>
        </is>
      </c>
      <c r="AQ713" t="inlineStr">
        <is>
          <t>No</t>
        </is>
      </c>
      <c r="AR713">
        <f>HYPERLINK("http://catalog.hathitrust.org/Record/008417135","HathiTrust Record")</f>
        <v/>
      </c>
      <c r="AS713">
        <f>HYPERLINK("https://creighton-primo.hosted.exlibrisgroup.com/primo-explore/search?tab=default_tab&amp;search_scope=EVERYTHING&amp;vid=01CRU&amp;lang=en_US&amp;offset=0&amp;query=any,contains,991003133599702656","Catalog Record")</f>
        <v/>
      </c>
      <c r="AT713">
        <f>HYPERLINK("http://www.worldcat.org/oclc/676058","WorldCat Record")</f>
        <v/>
      </c>
      <c r="AU713" t="inlineStr">
        <is>
          <t>285121030:eng</t>
        </is>
      </c>
      <c r="AV713" t="inlineStr">
        <is>
          <t>676058</t>
        </is>
      </c>
      <c r="AW713" t="inlineStr">
        <is>
          <t>991003133599702656</t>
        </is>
      </c>
      <c r="AX713" t="inlineStr">
        <is>
          <t>991003133599702656</t>
        </is>
      </c>
      <c r="AY713" t="inlineStr">
        <is>
          <t>2270277440002656</t>
        </is>
      </c>
      <c r="AZ713" t="inlineStr">
        <is>
          <t>BOOK</t>
        </is>
      </c>
      <c r="BC713" t="inlineStr">
        <is>
          <t>32285000646934</t>
        </is>
      </c>
      <c r="BD713" t="inlineStr">
        <is>
          <t>893799412</t>
        </is>
      </c>
    </row>
    <row r="714">
      <c r="A714" t="inlineStr">
        <is>
          <t>No</t>
        </is>
      </c>
      <c r="B714" t="inlineStr">
        <is>
          <t>BX177 .S64 1993</t>
        </is>
      </c>
      <c r="C714" t="inlineStr">
        <is>
          <t>0                      BX 0177000S  64          1993</t>
        </is>
      </c>
      <c r="D714" t="inlineStr">
        <is>
          <t>Worship : prayers from the East / Bryan D. Spinks.</t>
        </is>
      </c>
      <c r="F714" t="inlineStr">
        <is>
          <t>No</t>
        </is>
      </c>
      <c r="G714" t="inlineStr">
        <is>
          <t>1</t>
        </is>
      </c>
      <c r="H714" t="inlineStr">
        <is>
          <t>No</t>
        </is>
      </c>
      <c r="I714" t="inlineStr">
        <is>
          <t>No</t>
        </is>
      </c>
      <c r="J714" t="inlineStr">
        <is>
          <t>0</t>
        </is>
      </c>
      <c r="K714" t="inlineStr">
        <is>
          <t>Spinks, Bryan D.</t>
        </is>
      </c>
      <c r="L714" t="inlineStr">
        <is>
          <t>Washington, D.C. : Pastoral Press, 1993.</t>
        </is>
      </c>
      <c r="M714" t="inlineStr">
        <is>
          <t>1993</t>
        </is>
      </c>
      <c r="O714" t="inlineStr">
        <is>
          <t>eng</t>
        </is>
      </c>
      <c r="P714" t="inlineStr">
        <is>
          <t>dcu</t>
        </is>
      </c>
      <c r="R714" t="inlineStr">
        <is>
          <t xml:space="preserve">BX </t>
        </is>
      </c>
      <c r="S714" t="n">
        <v>3</v>
      </c>
      <c r="T714" t="n">
        <v>3</v>
      </c>
      <c r="U714" t="inlineStr">
        <is>
          <t>1998-06-19</t>
        </is>
      </c>
      <c r="V714" t="inlineStr">
        <is>
          <t>1998-06-19</t>
        </is>
      </c>
      <c r="W714" t="inlineStr">
        <is>
          <t>1994-04-21</t>
        </is>
      </c>
      <c r="X714" t="inlineStr">
        <is>
          <t>1994-04-21</t>
        </is>
      </c>
      <c r="Y714" t="n">
        <v>90</v>
      </c>
      <c r="Z714" t="n">
        <v>73</v>
      </c>
      <c r="AA714" t="n">
        <v>81</v>
      </c>
      <c r="AB714" t="n">
        <v>1</v>
      </c>
      <c r="AC714" t="n">
        <v>1</v>
      </c>
      <c r="AD714" t="n">
        <v>9</v>
      </c>
      <c r="AE714" t="n">
        <v>9</v>
      </c>
      <c r="AF714" t="n">
        <v>2</v>
      </c>
      <c r="AG714" t="n">
        <v>2</v>
      </c>
      <c r="AH714" t="n">
        <v>3</v>
      </c>
      <c r="AI714" t="n">
        <v>3</v>
      </c>
      <c r="AJ714" t="n">
        <v>7</v>
      </c>
      <c r="AK714" t="n">
        <v>7</v>
      </c>
      <c r="AL714" t="n">
        <v>0</v>
      </c>
      <c r="AM714" t="n">
        <v>0</v>
      </c>
      <c r="AN714" t="n">
        <v>0</v>
      </c>
      <c r="AO714" t="n">
        <v>0</v>
      </c>
      <c r="AP714" t="inlineStr">
        <is>
          <t>No</t>
        </is>
      </c>
      <c r="AQ714" t="inlineStr">
        <is>
          <t>No</t>
        </is>
      </c>
      <c r="AS714">
        <f>HYPERLINK("https://creighton-primo.hosted.exlibrisgroup.com/primo-explore/search?tab=default_tab&amp;search_scope=EVERYTHING&amp;vid=01CRU&amp;lang=en_US&amp;offset=0&amp;query=any,contains,991002212349702656","Catalog Record")</f>
        <v/>
      </c>
      <c r="AT714">
        <f>HYPERLINK("http://www.worldcat.org/oclc/28461390","WorldCat Record")</f>
        <v/>
      </c>
      <c r="AU714" t="inlineStr">
        <is>
          <t>3901469896:eng</t>
        </is>
      </c>
      <c r="AV714" t="inlineStr">
        <is>
          <t>28461390</t>
        </is>
      </c>
      <c r="AW714" t="inlineStr">
        <is>
          <t>991002212349702656</t>
        </is>
      </c>
      <c r="AX714" t="inlineStr">
        <is>
          <t>991002212349702656</t>
        </is>
      </c>
      <c r="AY714" t="inlineStr">
        <is>
          <t>2262839350002656</t>
        </is>
      </c>
      <c r="AZ714" t="inlineStr">
        <is>
          <t>BOOK</t>
        </is>
      </c>
      <c r="BB714" t="inlineStr">
        <is>
          <t>9781569290002</t>
        </is>
      </c>
      <c r="BC714" t="inlineStr">
        <is>
          <t>32285001875748</t>
        </is>
      </c>
      <c r="BD714" t="inlineStr">
        <is>
          <t>893703805</t>
        </is>
      </c>
    </row>
    <row r="715">
      <c r="A715" t="inlineStr">
        <is>
          <t>No</t>
        </is>
      </c>
      <c r="B715" t="inlineStr">
        <is>
          <t>BX177.15 .L53 2004</t>
        </is>
      </c>
      <c r="C715" t="inlineStr">
        <is>
          <t>0                      BX 0177150L  53          2004</t>
        </is>
      </c>
      <c r="D715" t="inlineStr">
        <is>
          <t>The book of steps : the Syriac Liber Graduum / translated with an introduction and notes by Robert A. Kitchen and Martien F.G. Parmentier.</t>
        </is>
      </c>
      <c r="F715" t="inlineStr">
        <is>
          <t>No</t>
        </is>
      </c>
      <c r="G715" t="inlineStr">
        <is>
          <t>1</t>
        </is>
      </c>
      <c r="H715" t="inlineStr">
        <is>
          <t>No</t>
        </is>
      </c>
      <c r="I715" t="inlineStr">
        <is>
          <t>No</t>
        </is>
      </c>
      <c r="J715" t="inlineStr">
        <is>
          <t>0</t>
        </is>
      </c>
      <c r="K715" t="inlineStr">
        <is>
          <t>Liber Graduum. English.</t>
        </is>
      </c>
      <c r="L715" t="inlineStr">
        <is>
          <t>Kalamazoo, Mich. : Cistercian, 2004.</t>
        </is>
      </c>
      <c r="M715" t="inlineStr">
        <is>
          <t>2004</t>
        </is>
      </c>
      <c r="O715" t="inlineStr">
        <is>
          <t>eng</t>
        </is>
      </c>
      <c r="P715" t="inlineStr">
        <is>
          <t>miu</t>
        </is>
      </c>
      <c r="Q715" t="inlineStr">
        <is>
          <t>Cistercian studies series ; no. 196</t>
        </is>
      </c>
      <c r="R715" t="inlineStr">
        <is>
          <t xml:space="preserve">BX </t>
        </is>
      </c>
      <c r="S715" t="n">
        <v>1</v>
      </c>
      <c r="T715" t="n">
        <v>1</v>
      </c>
      <c r="U715" t="inlineStr">
        <is>
          <t>2006-02-13</t>
        </is>
      </c>
      <c r="V715" t="inlineStr">
        <is>
          <t>2006-02-13</t>
        </is>
      </c>
      <c r="W715" t="inlineStr">
        <is>
          <t>2006-02-13</t>
        </is>
      </c>
      <c r="X715" t="inlineStr">
        <is>
          <t>2006-02-13</t>
        </is>
      </c>
      <c r="Y715" t="n">
        <v>174</v>
      </c>
      <c r="Z715" t="n">
        <v>141</v>
      </c>
      <c r="AA715" t="n">
        <v>141</v>
      </c>
      <c r="AB715" t="n">
        <v>1</v>
      </c>
      <c r="AC715" t="n">
        <v>1</v>
      </c>
      <c r="AD715" t="n">
        <v>15</v>
      </c>
      <c r="AE715" t="n">
        <v>15</v>
      </c>
      <c r="AF715" t="n">
        <v>5</v>
      </c>
      <c r="AG715" t="n">
        <v>5</v>
      </c>
      <c r="AH715" t="n">
        <v>5</v>
      </c>
      <c r="AI715" t="n">
        <v>5</v>
      </c>
      <c r="AJ715" t="n">
        <v>9</v>
      </c>
      <c r="AK715" t="n">
        <v>9</v>
      </c>
      <c r="AL715" t="n">
        <v>0</v>
      </c>
      <c r="AM715" t="n">
        <v>0</v>
      </c>
      <c r="AN715" t="n">
        <v>0</v>
      </c>
      <c r="AO715" t="n">
        <v>0</v>
      </c>
      <c r="AP715" t="inlineStr">
        <is>
          <t>No</t>
        </is>
      </c>
      <c r="AQ715" t="inlineStr">
        <is>
          <t>No</t>
        </is>
      </c>
      <c r="AS715">
        <f>HYPERLINK("https://creighton-primo.hosted.exlibrisgroup.com/primo-explore/search?tab=default_tab&amp;search_scope=EVERYTHING&amp;vid=01CRU&amp;lang=en_US&amp;offset=0&amp;query=any,contains,991004665109702656","Catalog Record")</f>
        <v/>
      </c>
      <c r="AT715">
        <f>HYPERLINK("http://www.worldcat.org/oclc/56483560","WorldCat Record")</f>
        <v/>
      </c>
      <c r="AU715" t="inlineStr">
        <is>
          <t>10200567605:eng</t>
        </is>
      </c>
      <c r="AV715" t="inlineStr">
        <is>
          <t>56483560</t>
        </is>
      </c>
      <c r="AW715" t="inlineStr">
        <is>
          <t>991004665109702656</t>
        </is>
      </c>
      <c r="AX715" t="inlineStr">
        <is>
          <t>991004665109702656</t>
        </is>
      </c>
      <c r="AY715" t="inlineStr">
        <is>
          <t>2257595090002656</t>
        </is>
      </c>
      <c r="AZ715" t="inlineStr">
        <is>
          <t>BOOK</t>
        </is>
      </c>
      <c r="BB715" t="inlineStr">
        <is>
          <t>9780879076962</t>
        </is>
      </c>
      <c r="BC715" t="inlineStr">
        <is>
          <t>32285005158380</t>
        </is>
      </c>
      <c r="BD715" t="inlineStr">
        <is>
          <t>893442920</t>
        </is>
      </c>
    </row>
    <row r="716">
      <c r="A716" t="inlineStr">
        <is>
          <t>No</t>
        </is>
      </c>
      <c r="B716" t="inlineStr">
        <is>
          <t>BX1770 .M28 2003</t>
        </is>
      </c>
      <c r="C716" t="inlineStr">
        <is>
          <t>0                      BX 1770000M  28          2003</t>
        </is>
      </c>
      <c r="D716" t="inlineStr">
        <is>
          <t>Anti-Catholicism in America : the last acceptable prejudice / Mark S. Massa.</t>
        </is>
      </c>
      <c r="F716" t="inlineStr">
        <is>
          <t>No</t>
        </is>
      </c>
      <c r="G716" t="inlineStr">
        <is>
          <t>1</t>
        </is>
      </c>
      <c r="H716" t="inlineStr">
        <is>
          <t>No</t>
        </is>
      </c>
      <c r="I716" t="inlineStr">
        <is>
          <t>No</t>
        </is>
      </c>
      <c r="J716" t="inlineStr">
        <is>
          <t>0</t>
        </is>
      </c>
      <c r="K716" t="inlineStr">
        <is>
          <t>Massa, Mark Stephen.</t>
        </is>
      </c>
      <c r="L716" t="inlineStr">
        <is>
          <t>New York : Crossroad Pub., c2003.</t>
        </is>
      </c>
      <c r="M716" t="inlineStr">
        <is>
          <t>2003</t>
        </is>
      </c>
      <c r="O716" t="inlineStr">
        <is>
          <t>eng</t>
        </is>
      </c>
      <c r="P716" t="inlineStr">
        <is>
          <t>nyu</t>
        </is>
      </c>
      <c r="R716" t="inlineStr">
        <is>
          <t xml:space="preserve">BX </t>
        </is>
      </c>
      <c r="S716" t="n">
        <v>6</v>
      </c>
      <c r="T716" t="n">
        <v>6</v>
      </c>
      <c r="U716" t="inlineStr">
        <is>
          <t>2008-11-03</t>
        </is>
      </c>
      <c r="V716" t="inlineStr">
        <is>
          <t>2008-11-03</t>
        </is>
      </c>
      <c r="W716" t="inlineStr">
        <is>
          <t>2003-11-13</t>
        </is>
      </c>
      <c r="X716" t="inlineStr">
        <is>
          <t>2003-11-13</t>
        </is>
      </c>
      <c r="Y716" t="n">
        <v>453</v>
      </c>
      <c r="Z716" t="n">
        <v>420</v>
      </c>
      <c r="AA716" t="n">
        <v>433</v>
      </c>
      <c r="AB716" t="n">
        <v>5</v>
      </c>
      <c r="AC716" t="n">
        <v>5</v>
      </c>
      <c r="AD716" t="n">
        <v>32</v>
      </c>
      <c r="AE716" t="n">
        <v>32</v>
      </c>
      <c r="AF716" t="n">
        <v>12</v>
      </c>
      <c r="AG716" t="n">
        <v>12</v>
      </c>
      <c r="AH716" t="n">
        <v>7</v>
      </c>
      <c r="AI716" t="n">
        <v>7</v>
      </c>
      <c r="AJ716" t="n">
        <v>20</v>
      </c>
      <c r="AK716" t="n">
        <v>20</v>
      </c>
      <c r="AL716" t="n">
        <v>2</v>
      </c>
      <c r="AM716" t="n">
        <v>2</v>
      </c>
      <c r="AN716" t="n">
        <v>0</v>
      </c>
      <c r="AO716" t="n">
        <v>0</v>
      </c>
      <c r="AP716" t="inlineStr">
        <is>
          <t>No</t>
        </is>
      </c>
      <c r="AQ716" t="inlineStr">
        <is>
          <t>Yes</t>
        </is>
      </c>
      <c r="AR716">
        <f>HYPERLINK("http://catalog.hathitrust.org/Record/004354732","HathiTrust Record")</f>
        <v/>
      </c>
      <c r="AS716">
        <f>HYPERLINK("https://creighton-primo.hosted.exlibrisgroup.com/primo-explore/search?tab=default_tab&amp;search_scope=EVERYTHING&amp;vid=01CRU&amp;lang=en_US&amp;offset=0&amp;query=any,contains,991004171609702656","Catalog Record")</f>
        <v/>
      </c>
      <c r="AT716">
        <f>HYPERLINK("http://www.worldcat.org/oclc/51848615","WorldCat Record")</f>
        <v/>
      </c>
      <c r="AU716" t="inlineStr">
        <is>
          <t>716924:eng</t>
        </is>
      </c>
      <c r="AV716" t="inlineStr">
        <is>
          <t>51848615</t>
        </is>
      </c>
      <c r="AW716" t="inlineStr">
        <is>
          <t>991004171609702656</t>
        </is>
      </c>
      <c r="AX716" t="inlineStr">
        <is>
          <t>991004171609702656</t>
        </is>
      </c>
      <c r="AY716" t="inlineStr">
        <is>
          <t>2257399400002656</t>
        </is>
      </c>
      <c r="AZ716" t="inlineStr">
        <is>
          <t>BOOK</t>
        </is>
      </c>
      <c r="BB716" t="inlineStr">
        <is>
          <t>9780824521295</t>
        </is>
      </c>
      <c r="BC716" t="inlineStr">
        <is>
          <t>32285004796008</t>
        </is>
      </c>
      <c r="BD716" t="inlineStr">
        <is>
          <t>893429743</t>
        </is>
      </c>
    </row>
    <row r="717">
      <c r="A717" t="inlineStr">
        <is>
          <t>No</t>
        </is>
      </c>
      <c r="B717" t="inlineStr">
        <is>
          <t>BX1775.S6 B5</t>
        </is>
      </c>
      <c r="C717" t="inlineStr">
        <is>
          <t>0                      BX 1775000S  6                  B  5</t>
        </is>
      </c>
      <c r="D717" t="inlineStr">
        <is>
          <t>Freedom and Catholic power in Spain and Portugal : an American interpretation / by Paul Blanshard.</t>
        </is>
      </c>
      <c r="F717" t="inlineStr">
        <is>
          <t>No</t>
        </is>
      </c>
      <c r="G717" t="inlineStr">
        <is>
          <t>1</t>
        </is>
      </c>
      <c r="H717" t="inlineStr">
        <is>
          <t>No</t>
        </is>
      </c>
      <c r="I717" t="inlineStr">
        <is>
          <t>No</t>
        </is>
      </c>
      <c r="J717" t="inlineStr">
        <is>
          <t>0</t>
        </is>
      </c>
      <c r="K717" t="inlineStr">
        <is>
          <t>Blanshard, Paul, 1892-1980.</t>
        </is>
      </c>
      <c r="L717" t="inlineStr">
        <is>
          <t>Boston : Beacon Press, c1962.</t>
        </is>
      </c>
      <c r="M717" t="inlineStr">
        <is>
          <t>1962</t>
        </is>
      </c>
      <c r="O717" t="inlineStr">
        <is>
          <t>eng</t>
        </is>
      </c>
      <c r="P717" t="inlineStr">
        <is>
          <t>mau</t>
        </is>
      </c>
      <c r="R717" t="inlineStr">
        <is>
          <t xml:space="preserve">BX </t>
        </is>
      </c>
      <c r="S717" t="n">
        <v>1</v>
      </c>
      <c r="T717" t="n">
        <v>1</v>
      </c>
      <c r="U717" t="inlineStr">
        <is>
          <t>1992-04-03</t>
        </is>
      </c>
      <c r="V717" t="inlineStr">
        <is>
          <t>1992-04-03</t>
        </is>
      </c>
      <c r="W717" t="inlineStr">
        <is>
          <t>1991-05-30</t>
        </is>
      </c>
      <c r="X717" t="inlineStr">
        <is>
          <t>1991-05-30</t>
        </is>
      </c>
      <c r="Y717" t="n">
        <v>623</v>
      </c>
      <c r="Z717" t="n">
        <v>572</v>
      </c>
      <c r="AA717" t="n">
        <v>578</v>
      </c>
      <c r="AB717" t="n">
        <v>4</v>
      </c>
      <c r="AC717" t="n">
        <v>4</v>
      </c>
      <c r="AD717" t="n">
        <v>25</v>
      </c>
      <c r="AE717" t="n">
        <v>26</v>
      </c>
      <c r="AF717" t="n">
        <v>6</v>
      </c>
      <c r="AG717" t="n">
        <v>6</v>
      </c>
      <c r="AH717" t="n">
        <v>4</v>
      </c>
      <c r="AI717" t="n">
        <v>5</v>
      </c>
      <c r="AJ717" t="n">
        <v>13</v>
      </c>
      <c r="AK717" t="n">
        <v>14</v>
      </c>
      <c r="AL717" t="n">
        <v>3</v>
      </c>
      <c r="AM717" t="n">
        <v>3</v>
      </c>
      <c r="AN717" t="n">
        <v>1</v>
      </c>
      <c r="AO717" t="n">
        <v>1</v>
      </c>
      <c r="AP717" t="inlineStr">
        <is>
          <t>No</t>
        </is>
      </c>
      <c r="AQ717" t="inlineStr">
        <is>
          <t>Yes</t>
        </is>
      </c>
      <c r="AR717">
        <f>HYPERLINK("http://catalog.hathitrust.org/Record/001416623","HathiTrust Record")</f>
        <v/>
      </c>
      <c r="AS717">
        <f>HYPERLINK("https://creighton-primo.hosted.exlibrisgroup.com/primo-explore/search?tab=default_tab&amp;search_scope=EVERYTHING&amp;vid=01CRU&amp;lang=en_US&amp;offset=0&amp;query=any,contains,991002647179702656","Catalog Record")</f>
        <v/>
      </c>
      <c r="AT717">
        <f>HYPERLINK("http://www.worldcat.org/oclc/386095","WorldCat Record")</f>
        <v/>
      </c>
      <c r="AU717" t="inlineStr">
        <is>
          <t>3901418599:eng</t>
        </is>
      </c>
      <c r="AV717" t="inlineStr">
        <is>
          <t>386095</t>
        </is>
      </c>
      <c r="AW717" t="inlineStr">
        <is>
          <t>991002647179702656</t>
        </is>
      </c>
      <c r="AX717" t="inlineStr">
        <is>
          <t>991002647179702656</t>
        </is>
      </c>
      <c r="AY717" t="inlineStr">
        <is>
          <t>2257521940002656</t>
        </is>
      </c>
      <c r="AZ717" t="inlineStr">
        <is>
          <t>BOOK</t>
        </is>
      </c>
      <c r="BC717" t="inlineStr">
        <is>
          <t>32285000646975</t>
        </is>
      </c>
      <c r="BD717" t="inlineStr">
        <is>
          <t>893603831</t>
        </is>
      </c>
    </row>
    <row r="718">
      <c r="A718" t="inlineStr">
        <is>
          <t>No</t>
        </is>
      </c>
      <c r="B718" t="inlineStr">
        <is>
          <t>BX1779.5 .F57 1994</t>
        </is>
      </c>
      <c r="C718" t="inlineStr">
        <is>
          <t>0                      BX 1779500F  57          1994</t>
        </is>
      </c>
      <c r="D718" t="inlineStr">
        <is>
          <t>Catholicism : agenda for renewal / Eileen P. Flynn.</t>
        </is>
      </c>
      <c r="F718" t="inlineStr">
        <is>
          <t>No</t>
        </is>
      </c>
      <c r="G718" t="inlineStr">
        <is>
          <t>1</t>
        </is>
      </c>
      <c r="H718" t="inlineStr">
        <is>
          <t>No</t>
        </is>
      </c>
      <c r="I718" t="inlineStr">
        <is>
          <t>No</t>
        </is>
      </c>
      <c r="J718" t="inlineStr">
        <is>
          <t>0</t>
        </is>
      </c>
      <c r="K718" t="inlineStr">
        <is>
          <t>Flynn, Eileen P. (Eileen Patricia)</t>
        </is>
      </c>
      <c r="L718" t="inlineStr">
        <is>
          <t>Lanham, Md. : University Press of America, c1994.</t>
        </is>
      </c>
      <c r="M718" t="inlineStr">
        <is>
          <t>1994</t>
        </is>
      </c>
      <c r="O718" t="inlineStr">
        <is>
          <t>eng</t>
        </is>
      </c>
      <c r="P718" t="inlineStr">
        <is>
          <t>mdu</t>
        </is>
      </c>
      <c r="R718" t="inlineStr">
        <is>
          <t xml:space="preserve">BX </t>
        </is>
      </c>
      <c r="S718" t="n">
        <v>4</v>
      </c>
      <c r="T718" t="n">
        <v>4</v>
      </c>
      <c r="U718" t="inlineStr">
        <is>
          <t>1999-05-01</t>
        </is>
      </c>
      <c r="V718" t="inlineStr">
        <is>
          <t>1999-05-01</t>
        </is>
      </c>
      <c r="W718" t="inlineStr">
        <is>
          <t>1995-05-10</t>
        </is>
      </c>
      <c r="X718" t="inlineStr">
        <is>
          <t>1995-05-10</t>
        </is>
      </c>
      <c r="Y718" t="n">
        <v>112</v>
      </c>
      <c r="Z718" t="n">
        <v>98</v>
      </c>
      <c r="AA718" t="n">
        <v>98</v>
      </c>
      <c r="AB718" t="n">
        <v>2</v>
      </c>
      <c r="AC718" t="n">
        <v>2</v>
      </c>
      <c r="AD718" t="n">
        <v>18</v>
      </c>
      <c r="AE718" t="n">
        <v>18</v>
      </c>
      <c r="AF718" t="n">
        <v>5</v>
      </c>
      <c r="AG718" t="n">
        <v>5</v>
      </c>
      <c r="AH718" t="n">
        <v>4</v>
      </c>
      <c r="AI718" t="n">
        <v>4</v>
      </c>
      <c r="AJ718" t="n">
        <v>14</v>
      </c>
      <c r="AK718" t="n">
        <v>14</v>
      </c>
      <c r="AL718" t="n">
        <v>1</v>
      </c>
      <c r="AM718" t="n">
        <v>1</v>
      </c>
      <c r="AN718" t="n">
        <v>0</v>
      </c>
      <c r="AO718" t="n">
        <v>0</v>
      </c>
      <c r="AP718" t="inlineStr">
        <is>
          <t>No</t>
        </is>
      </c>
      <c r="AQ718" t="inlineStr">
        <is>
          <t>No</t>
        </is>
      </c>
      <c r="AS718">
        <f>HYPERLINK("https://creighton-primo.hosted.exlibrisgroup.com/primo-explore/search?tab=default_tab&amp;search_scope=EVERYTHING&amp;vid=01CRU&amp;lang=en_US&amp;offset=0&amp;query=any,contains,991002374029702656","Catalog Record")</f>
        <v/>
      </c>
      <c r="AT718">
        <f>HYPERLINK("http://www.worldcat.org/oclc/30892749","WorldCat Record")</f>
        <v/>
      </c>
      <c r="AU718" t="inlineStr">
        <is>
          <t>33273989:eng</t>
        </is>
      </c>
      <c r="AV718" t="inlineStr">
        <is>
          <t>30892749</t>
        </is>
      </c>
      <c r="AW718" t="inlineStr">
        <is>
          <t>991002374029702656</t>
        </is>
      </c>
      <c r="AX718" t="inlineStr">
        <is>
          <t>991002374029702656</t>
        </is>
      </c>
      <c r="AY718" t="inlineStr">
        <is>
          <t>2270056450002656</t>
        </is>
      </c>
      <c r="AZ718" t="inlineStr">
        <is>
          <t>BOOK</t>
        </is>
      </c>
      <c r="BB718" t="inlineStr">
        <is>
          <t>9780819197214</t>
        </is>
      </c>
      <c r="BC718" t="inlineStr">
        <is>
          <t>32285002038791</t>
        </is>
      </c>
      <c r="BD718" t="inlineStr">
        <is>
          <t>893603511</t>
        </is>
      </c>
    </row>
    <row r="719">
      <c r="A719" t="inlineStr">
        <is>
          <t>No</t>
        </is>
      </c>
      <c r="B719" t="inlineStr">
        <is>
          <t>BX1779.5 .M275 1981</t>
        </is>
      </c>
      <c r="C719" t="inlineStr">
        <is>
          <t>0                      BX 1779500M  275         1981</t>
        </is>
      </c>
      <c r="D719" t="inlineStr">
        <is>
          <t>The decline and fall of the Roman church / Malachi Martin.</t>
        </is>
      </c>
      <c r="F719" t="inlineStr">
        <is>
          <t>No</t>
        </is>
      </c>
      <c r="G719" t="inlineStr">
        <is>
          <t>1</t>
        </is>
      </c>
      <c r="H719" t="inlineStr">
        <is>
          <t>No</t>
        </is>
      </c>
      <c r="I719" t="inlineStr">
        <is>
          <t>No</t>
        </is>
      </c>
      <c r="J719" t="inlineStr">
        <is>
          <t>0</t>
        </is>
      </c>
      <c r="K719" t="inlineStr">
        <is>
          <t>Martin, Malachi.</t>
        </is>
      </c>
      <c r="L719" t="inlineStr">
        <is>
          <t>New York : Putnam, c1981.</t>
        </is>
      </c>
      <c r="M719" t="inlineStr">
        <is>
          <t>1981</t>
        </is>
      </c>
      <c r="O719" t="inlineStr">
        <is>
          <t>eng</t>
        </is>
      </c>
      <c r="P719" t="inlineStr">
        <is>
          <t>nyu</t>
        </is>
      </c>
      <c r="R719" t="inlineStr">
        <is>
          <t xml:space="preserve">BX </t>
        </is>
      </c>
      <c r="S719" t="n">
        <v>7</v>
      </c>
      <c r="T719" t="n">
        <v>7</v>
      </c>
      <c r="U719" t="inlineStr">
        <is>
          <t>1999-08-09</t>
        </is>
      </c>
      <c r="V719" t="inlineStr">
        <is>
          <t>1999-08-09</t>
        </is>
      </c>
      <c r="W719" t="inlineStr">
        <is>
          <t>1991-05-30</t>
        </is>
      </c>
      <c r="X719" t="inlineStr">
        <is>
          <t>1991-05-30</t>
        </is>
      </c>
      <c r="Y719" t="n">
        <v>1050</v>
      </c>
      <c r="Z719" t="n">
        <v>981</v>
      </c>
      <c r="AA719" t="n">
        <v>1020</v>
      </c>
      <c r="AB719" t="n">
        <v>5</v>
      </c>
      <c r="AC719" t="n">
        <v>5</v>
      </c>
      <c r="AD719" t="n">
        <v>36</v>
      </c>
      <c r="AE719" t="n">
        <v>37</v>
      </c>
      <c r="AF719" t="n">
        <v>16</v>
      </c>
      <c r="AG719" t="n">
        <v>17</v>
      </c>
      <c r="AH719" t="n">
        <v>10</v>
      </c>
      <c r="AI719" t="n">
        <v>10</v>
      </c>
      <c r="AJ719" t="n">
        <v>19</v>
      </c>
      <c r="AK719" t="n">
        <v>19</v>
      </c>
      <c r="AL719" t="n">
        <v>2</v>
      </c>
      <c r="AM719" t="n">
        <v>2</v>
      </c>
      <c r="AN719" t="n">
        <v>0</v>
      </c>
      <c r="AO719" t="n">
        <v>0</v>
      </c>
      <c r="AP719" t="inlineStr">
        <is>
          <t>No</t>
        </is>
      </c>
      <c r="AQ719" t="inlineStr">
        <is>
          <t>Yes</t>
        </is>
      </c>
      <c r="AR719">
        <f>HYPERLINK("http://catalog.hathitrust.org/Record/000141532","HathiTrust Record")</f>
        <v/>
      </c>
      <c r="AS719">
        <f>HYPERLINK("https://creighton-primo.hosted.exlibrisgroup.com/primo-explore/search?tab=default_tab&amp;search_scope=EVERYTHING&amp;vid=01CRU&amp;lang=en_US&amp;offset=0&amp;query=any,contains,991005126899702656","Catalog Record")</f>
        <v/>
      </c>
      <c r="AT719">
        <f>HYPERLINK("http://www.worldcat.org/oclc/7554124","WorldCat Record")</f>
        <v/>
      </c>
      <c r="AU719" t="inlineStr">
        <is>
          <t>473131:eng</t>
        </is>
      </c>
      <c r="AV719" t="inlineStr">
        <is>
          <t>7554124</t>
        </is>
      </c>
      <c r="AW719" t="inlineStr">
        <is>
          <t>991005126899702656</t>
        </is>
      </c>
      <c r="AX719" t="inlineStr">
        <is>
          <t>991005126899702656</t>
        </is>
      </c>
      <c r="AY719" t="inlineStr">
        <is>
          <t>2264803770002656</t>
        </is>
      </c>
      <c r="AZ719" t="inlineStr">
        <is>
          <t>BOOK</t>
        </is>
      </c>
      <c r="BB719" t="inlineStr">
        <is>
          <t>9780399126659</t>
        </is>
      </c>
      <c r="BC719" t="inlineStr">
        <is>
          <t>32285000647007</t>
        </is>
      </c>
      <c r="BD719" t="inlineStr">
        <is>
          <t>893783059</t>
        </is>
      </c>
    </row>
    <row r="720">
      <c r="A720" t="inlineStr">
        <is>
          <t>No</t>
        </is>
      </c>
      <c r="B720" t="inlineStr">
        <is>
          <t>BX1780 .B46</t>
        </is>
      </c>
      <c r="C720" t="inlineStr">
        <is>
          <t>0                      BX 1780000B  46</t>
        </is>
      </c>
      <c r="D720" t="inlineStr">
        <is>
          <t>The Catholic Church and history / by Hilaire Belloc.</t>
        </is>
      </c>
      <c r="F720" t="inlineStr">
        <is>
          <t>No</t>
        </is>
      </c>
      <c r="G720" t="inlineStr">
        <is>
          <t>1</t>
        </is>
      </c>
      <c r="H720" t="inlineStr">
        <is>
          <t>No</t>
        </is>
      </c>
      <c r="I720" t="inlineStr">
        <is>
          <t>No</t>
        </is>
      </c>
      <c r="J720" t="inlineStr">
        <is>
          <t>0</t>
        </is>
      </c>
      <c r="K720" t="inlineStr">
        <is>
          <t>Belloc, Hilaire, 1870-1953.</t>
        </is>
      </c>
      <c r="L720" t="inlineStr">
        <is>
          <t>New York, The Macmillan company 1926.</t>
        </is>
      </c>
      <c r="M720" t="inlineStr">
        <is>
          <t>1926</t>
        </is>
      </c>
      <c r="O720" t="inlineStr">
        <is>
          <t>eng</t>
        </is>
      </c>
      <c r="P720" t="inlineStr">
        <is>
          <t>___</t>
        </is>
      </c>
      <c r="Q720" t="inlineStr">
        <is>
          <t>The Calvert series</t>
        </is>
      </c>
      <c r="R720" t="inlineStr">
        <is>
          <t xml:space="preserve">BX </t>
        </is>
      </c>
      <c r="S720" t="n">
        <v>1</v>
      </c>
      <c r="T720" t="n">
        <v>1</v>
      </c>
      <c r="U720" t="inlineStr">
        <is>
          <t>1994-02-23</t>
        </is>
      </c>
      <c r="V720" t="inlineStr">
        <is>
          <t>1994-02-23</t>
        </is>
      </c>
      <c r="W720" t="inlineStr">
        <is>
          <t>1991-05-30</t>
        </is>
      </c>
      <c r="X720" t="inlineStr">
        <is>
          <t>1991-05-30</t>
        </is>
      </c>
      <c r="Y720" t="n">
        <v>253</v>
      </c>
      <c r="Z720" t="n">
        <v>225</v>
      </c>
      <c r="AA720" t="n">
        <v>274</v>
      </c>
      <c r="AB720" t="n">
        <v>3</v>
      </c>
      <c r="AC720" t="n">
        <v>3</v>
      </c>
      <c r="AD720" t="n">
        <v>28</v>
      </c>
      <c r="AE720" t="n">
        <v>32</v>
      </c>
      <c r="AF720" t="n">
        <v>11</v>
      </c>
      <c r="AG720" t="n">
        <v>13</v>
      </c>
      <c r="AH720" t="n">
        <v>7</v>
      </c>
      <c r="AI720" t="n">
        <v>7</v>
      </c>
      <c r="AJ720" t="n">
        <v>21</v>
      </c>
      <c r="AK720" t="n">
        <v>24</v>
      </c>
      <c r="AL720" t="n">
        <v>0</v>
      </c>
      <c r="AM720" t="n">
        <v>0</v>
      </c>
      <c r="AN720" t="n">
        <v>0</v>
      </c>
      <c r="AO720" t="n">
        <v>0</v>
      </c>
      <c r="AP720" t="inlineStr">
        <is>
          <t>No</t>
        </is>
      </c>
      <c r="AQ720" t="inlineStr">
        <is>
          <t>No</t>
        </is>
      </c>
      <c r="AS720">
        <f>HYPERLINK("https://creighton-primo.hosted.exlibrisgroup.com/primo-explore/search?tab=default_tab&amp;search_scope=EVERYTHING&amp;vid=01CRU&amp;lang=en_US&amp;offset=0&amp;query=any,contains,991003792779702656","Catalog Record")</f>
        <v/>
      </c>
      <c r="AT720">
        <f>HYPERLINK("http://www.worldcat.org/oclc/1512246","WorldCat Record")</f>
        <v/>
      </c>
      <c r="AU720" t="inlineStr">
        <is>
          <t>1615160:eng</t>
        </is>
      </c>
      <c r="AV720" t="inlineStr">
        <is>
          <t>1512246</t>
        </is>
      </c>
      <c r="AW720" t="inlineStr">
        <is>
          <t>991003792779702656</t>
        </is>
      </c>
      <c r="AX720" t="inlineStr">
        <is>
          <t>991003792779702656</t>
        </is>
      </c>
      <c r="AY720" t="inlineStr">
        <is>
          <t>2260180460002656</t>
        </is>
      </c>
      <c r="AZ720" t="inlineStr">
        <is>
          <t>BOOK</t>
        </is>
      </c>
      <c r="BC720" t="inlineStr">
        <is>
          <t>32285000647023</t>
        </is>
      </c>
      <c r="BD720" t="inlineStr">
        <is>
          <t>893881553</t>
        </is>
      </c>
    </row>
    <row r="721">
      <c r="A721" t="inlineStr">
        <is>
          <t>No</t>
        </is>
      </c>
      <c r="B721" t="inlineStr">
        <is>
          <t>BX1780 .D6</t>
        </is>
      </c>
      <c r="C721" t="inlineStr">
        <is>
          <t>0                      BX 1780000D  6</t>
        </is>
      </c>
      <c r="D721" t="inlineStr">
        <is>
          <t>The defense of the Catholic church, combined with a study of the life of Christ based on the Gospels : a textbook for colleges and universities / by Francis X. Doyle ; with the complete text of the four Gospels having passages relating to the divinity of Christ and church in outstanding types and with a map of Palestine.</t>
        </is>
      </c>
      <c r="F721" t="inlineStr">
        <is>
          <t>No</t>
        </is>
      </c>
      <c r="G721" t="inlineStr">
        <is>
          <t>1</t>
        </is>
      </c>
      <c r="H721" t="inlineStr">
        <is>
          <t>No</t>
        </is>
      </c>
      <c r="I721" t="inlineStr">
        <is>
          <t>No</t>
        </is>
      </c>
      <c r="J721" t="inlineStr">
        <is>
          <t>0</t>
        </is>
      </c>
      <c r="K721" t="inlineStr">
        <is>
          <t>Doyle, Francis X., 1886-1928.</t>
        </is>
      </c>
      <c r="L721" t="inlineStr">
        <is>
          <t>New York, Cincinnati [etc.] Benziger brothers, 1927.</t>
        </is>
      </c>
      <c r="M721" t="inlineStr">
        <is>
          <t>1927</t>
        </is>
      </c>
      <c r="O721" t="inlineStr">
        <is>
          <t>eng</t>
        </is>
      </c>
      <c r="P721" t="inlineStr">
        <is>
          <t>___</t>
        </is>
      </c>
      <c r="Q721" t="inlineStr">
        <is>
          <t>The truth of Christianity series</t>
        </is>
      </c>
      <c r="R721" t="inlineStr">
        <is>
          <t xml:space="preserve">BX </t>
        </is>
      </c>
      <c r="S721" t="n">
        <v>3</v>
      </c>
      <c r="T721" t="n">
        <v>3</v>
      </c>
      <c r="U721" t="inlineStr">
        <is>
          <t>2006-04-11</t>
        </is>
      </c>
      <c r="V721" t="inlineStr">
        <is>
          <t>2006-04-11</t>
        </is>
      </c>
      <c r="W721" t="inlineStr">
        <is>
          <t>1991-05-30</t>
        </is>
      </c>
      <c r="X721" t="inlineStr">
        <is>
          <t>1991-05-30</t>
        </is>
      </c>
      <c r="Y721" t="n">
        <v>146</v>
      </c>
      <c r="Z721" t="n">
        <v>139</v>
      </c>
      <c r="AA721" t="n">
        <v>142</v>
      </c>
      <c r="AB721" t="n">
        <v>3</v>
      </c>
      <c r="AC721" t="n">
        <v>3</v>
      </c>
      <c r="AD721" t="n">
        <v>26</v>
      </c>
      <c r="AE721" t="n">
        <v>26</v>
      </c>
      <c r="AF721" t="n">
        <v>9</v>
      </c>
      <c r="AG721" t="n">
        <v>9</v>
      </c>
      <c r="AH721" t="n">
        <v>7</v>
      </c>
      <c r="AI721" t="n">
        <v>7</v>
      </c>
      <c r="AJ721" t="n">
        <v>18</v>
      </c>
      <c r="AK721" t="n">
        <v>18</v>
      </c>
      <c r="AL721" t="n">
        <v>0</v>
      </c>
      <c r="AM721" t="n">
        <v>0</v>
      </c>
      <c r="AN721" t="n">
        <v>0</v>
      </c>
      <c r="AO721" t="n">
        <v>0</v>
      </c>
      <c r="AP721" t="inlineStr">
        <is>
          <t>No</t>
        </is>
      </c>
      <c r="AQ721" t="inlineStr">
        <is>
          <t>No</t>
        </is>
      </c>
      <c r="AR721">
        <f>HYPERLINK("http://catalog.hathitrust.org/Record/006284354","HathiTrust Record")</f>
        <v/>
      </c>
      <c r="AS721">
        <f>HYPERLINK("https://creighton-primo.hosted.exlibrisgroup.com/primo-explore/search?tab=default_tab&amp;search_scope=EVERYTHING&amp;vid=01CRU&amp;lang=en_US&amp;offset=0&amp;query=any,contains,991003779419702656","Catalog Record")</f>
        <v/>
      </c>
      <c r="AT721">
        <f>HYPERLINK("http://www.worldcat.org/oclc/1491179","WorldCat Record")</f>
        <v/>
      </c>
      <c r="AU721" t="inlineStr">
        <is>
          <t>2405834:eng</t>
        </is>
      </c>
      <c r="AV721" t="inlineStr">
        <is>
          <t>1491179</t>
        </is>
      </c>
      <c r="AW721" t="inlineStr">
        <is>
          <t>991003779419702656</t>
        </is>
      </c>
      <c r="AX721" t="inlineStr">
        <is>
          <t>991003779419702656</t>
        </is>
      </c>
      <c r="AY721" t="inlineStr">
        <is>
          <t>2272277630002656</t>
        </is>
      </c>
      <c r="AZ721" t="inlineStr">
        <is>
          <t>BOOK</t>
        </is>
      </c>
      <c r="BC721" t="inlineStr">
        <is>
          <t>32285000647080</t>
        </is>
      </c>
      <c r="BD721" t="inlineStr">
        <is>
          <t>893623892</t>
        </is>
      </c>
    </row>
    <row r="722">
      <c r="A722" t="inlineStr">
        <is>
          <t>No</t>
        </is>
      </c>
      <c r="B722" t="inlineStr">
        <is>
          <t>BX1780 .M63 1944</t>
        </is>
      </c>
      <c r="C722" t="inlineStr">
        <is>
          <t>0                      BX 1780000M  63          1944</t>
        </is>
      </c>
      <c r="D722" t="inlineStr">
        <is>
          <t>The apostolate of public opinion / by Félix A. Morlion ; with an introduction by A. M. Brady.</t>
        </is>
      </c>
      <c r="F722" t="inlineStr">
        <is>
          <t>No</t>
        </is>
      </c>
      <c r="G722" t="inlineStr">
        <is>
          <t>1</t>
        </is>
      </c>
      <c r="H722" t="inlineStr">
        <is>
          <t>No</t>
        </is>
      </c>
      <c r="I722" t="inlineStr">
        <is>
          <t>No</t>
        </is>
      </c>
      <c r="J722" t="inlineStr">
        <is>
          <t>0</t>
        </is>
      </c>
      <c r="K722" t="inlineStr">
        <is>
          <t>Morlion, Félix A., 1904-1987.</t>
        </is>
      </c>
      <c r="L722" t="inlineStr">
        <is>
          <t>Montreal : Fides, [1944]</t>
        </is>
      </c>
      <c r="M722" t="inlineStr">
        <is>
          <t>1944</t>
        </is>
      </c>
      <c r="O722" t="inlineStr">
        <is>
          <t>eng</t>
        </is>
      </c>
      <c r="P722" t="inlineStr">
        <is>
          <t xml:space="preserve">xx </t>
        </is>
      </c>
      <c r="R722" t="inlineStr">
        <is>
          <t xml:space="preserve">BX </t>
        </is>
      </c>
      <c r="S722" t="n">
        <v>2</v>
      </c>
      <c r="T722" t="n">
        <v>2</v>
      </c>
      <c r="U722" t="inlineStr">
        <is>
          <t>1996-08-06</t>
        </is>
      </c>
      <c r="V722" t="inlineStr">
        <is>
          <t>1996-08-06</t>
        </is>
      </c>
      <c r="W722" t="inlineStr">
        <is>
          <t>1991-05-30</t>
        </is>
      </c>
      <c r="X722" t="inlineStr">
        <is>
          <t>1991-05-30</t>
        </is>
      </c>
      <c r="Y722" t="n">
        <v>91</v>
      </c>
      <c r="Z722" t="n">
        <v>80</v>
      </c>
      <c r="AA722" t="n">
        <v>80</v>
      </c>
      <c r="AB722" t="n">
        <v>1</v>
      </c>
      <c r="AC722" t="n">
        <v>1</v>
      </c>
      <c r="AD722" t="n">
        <v>21</v>
      </c>
      <c r="AE722" t="n">
        <v>21</v>
      </c>
      <c r="AF722" t="n">
        <v>6</v>
      </c>
      <c r="AG722" t="n">
        <v>6</v>
      </c>
      <c r="AH722" t="n">
        <v>7</v>
      </c>
      <c r="AI722" t="n">
        <v>7</v>
      </c>
      <c r="AJ722" t="n">
        <v>16</v>
      </c>
      <c r="AK722" t="n">
        <v>16</v>
      </c>
      <c r="AL722" t="n">
        <v>0</v>
      </c>
      <c r="AM722" t="n">
        <v>0</v>
      </c>
      <c r="AN722" t="n">
        <v>0</v>
      </c>
      <c r="AO722" t="n">
        <v>0</v>
      </c>
      <c r="AP722" t="inlineStr">
        <is>
          <t>No</t>
        </is>
      </c>
      <c r="AQ722" t="inlineStr">
        <is>
          <t>No</t>
        </is>
      </c>
      <c r="AS722">
        <f>HYPERLINK("https://creighton-primo.hosted.exlibrisgroup.com/primo-explore/search?tab=default_tab&amp;search_scope=EVERYTHING&amp;vid=01CRU&amp;lang=en_US&amp;offset=0&amp;query=any,contains,991003642889702656","Catalog Record")</f>
        <v/>
      </c>
      <c r="AT722">
        <f>HYPERLINK("http://www.worldcat.org/oclc/1241124","WorldCat Record")</f>
        <v/>
      </c>
      <c r="AU722" t="inlineStr">
        <is>
          <t>2145650:eng</t>
        </is>
      </c>
      <c r="AV722" t="inlineStr">
        <is>
          <t>1241124</t>
        </is>
      </c>
      <c r="AW722" t="inlineStr">
        <is>
          <t>991003642889702656</t>
        </is>
      </c>
      <c r="AX722" t="inlineStr">
        <is>
          <t>991003642889702656</t>
        </is>
      </c>
      <c r="AY722" t="inlineStr">
        <is>
          <t>2258053760002656</t>
        </is>
      </c>
      <c r="AZ722" t="inlineStr">
        <is>
          <t>BOOK</t>
        </is>
      </c>
      <c r="BC722" t="inlineStr">
        <is>
          <t>32285000647148</t>
        </is>
      </c>
      <c r="BD722" t="inlineStr">
        <is>
          <t>893887701</t>
        </is>
      </c>
    </row>
    <row r="723">
      <c r="A723" t="inlineStr">
        <is>
          <t>No</t>
        </is>
      </c>
      <c r="B723" t="inlineStr">
        <is>
          <t>BX1780 .R6 1954</t>
        </is>
      </c>
      <c r="C723" t="inlineStr">
        <is>
          <t>0                      BX 1780000R  6           1954</t>
        </is>
      </c>
      <c r="D723" t="inlineStr">
        <is>
          <t>Black popes : authority : its use and abuse / by Archbishop Roberts.</t>
        </is>
      </c>
      <c r="F723" t="inlineStr">
        <is>
          <t>No</t>
        </is>
      </c>
      <c r="G723" t="inlineStr">
        <is>
          <t>1</t>
        </is>
      </c>
      <c r="H723" t="inlineStr">
        <is>
          <t>No</t>
        </is>
      </c>
      <c r="I723" t="inlineStr">
        <is>
          <t>No</t>
        </is>
      </c>
      <c r="J723" t="inlineStr">
        <is>
          <t>0</t>
        </is>
      </c>
      <c r="K723" t="inlineStr">
        <is>
          <t>Roberts, Thomas D'Esterre, 1893-1976.</t>
        </is>
      </c>
      <c r="L723" t="inlineStr">
        <is>
          <t>New York : Sheed and Ward, 1954.</t>
        </is>
      </c>
      <c r="M723" t="inlineStr">
        <is>
          <t>1954</t>
        </is>
      </c>
      <c r="O723" t="inlineStr">
        <is>
          <t>eng</t>
        </is>
      </c>
      <c r="P723" t="inlineStr">
        <is>
          <t>nyu</t>
        </is>
      </c>
      <c r="R723" t="inlineStr">
        <is>
          <t xml:space="preserve">BX </t>
        </is>
      </c>
      <c r="S723" t="n">
        <v>1</v>
      </c>
      <c r="T723" t="n">
        <v>1</v>
      </c>
      <c r="U723" t="inlineStr">
        <is>
          <t>1999-11-26</t>
        </is>
      </c>
      <c r="V723" t="inlineStr">
        <is>
          <t>1999-11-26</t>
        </is>
      </c>
      <c r="W723" t="inlineStr">
        <is>
          <t>1990-03-02</t>
        </is>
      </c>
      <c r="X723" t="inlineStr">
        <is>
          <t>1990-03-02</t>
        </is>
      </c>
      <c r="Y723" t="n">
        <v>232</v>
      </c>
      <c r="Z723" t="n">
        <v>220</v>
      </c>
      <c r="AA723" t="n">
        <v>245</v>
      </c>
      <c r="AB723" t="n">
        <v>3</v>
      </c>
      <c r="AC723" t="n">
        <v>3</v>
      </c>
      <c r="AD723" t="n">
        <v>31</v>
      </c>
      <c r="AE723" t="n">
        <v>35</v>
      </c>
      <c r="AF723" t="n">
        <v>11</v>
      </c>
      <c r="AG723" t="n">
        <v>13</v>
      </c>
      <c r="AH723" t="n">
        <v>8</v>
      </c>
      <c r="AI723" t="n">
        <v>8</v>
      </c>
      <c r="AJ723" t="n">
        <v>20</v>
      </c>
      <c r="AK723" t="n">
        <v>24</v>
      </c>
      <c r="AL723" t="n">
        <v>1</v>
      </c>
      <c r="AM723" t="n">
        <v>1</v>
      </c>
      <c r="AN723" t="n">
        <v>0</v>
      </c>
      <c r="AO723" t="n">
        <v>0</v>
      </c>
      <c r="AP723" t="inlineStr">
        <is>
          <t>No</t>
        </is>
      </c>
      <c r="AQ723" t="inlineStr">
        <is>
          <t>No</t>
        </is>
      </c>
      <c r="AS723">
        <f>HYPERLINK("https://creighton-primo.hosted.exlibrisgroup.com/primo-explore/search?tab=default_tab&amp;search_scope=EVERYTHING&amp;vid=01CRU&amp;lang=en_US&amp;offset=0&amp;query=any,contains,991002869299702656","Catalog Record")</f>
        <v/>
      </c>
      <c r="AT723">
        <f>HYPERLINK("http://www.worldcat.org/oclc/497992","WorldCat Record")</f>
        <v/>
      </c>
      <c r="AU723" t="inlineStr">
        <is>
          <t>4159877851:eng</t>
        </is>
      </c>
      <c r="AV723" t="inlineStr">
        <is>
          <t>497992</t>
        </is>
      </c>
      <c r="AW723" t="inlineStr">
        <is>
          <t>991002869299702656</t>
        </is>
      </c>
      <c r="AX723" t="inlineStr">
        <is>
          <t>991002869299702656</t>
        </is>
      </c>
      <c r="AY723" t="inlineStr">
        <is>
          <t>2272234710002656</t>
        </is>
      </c>
      <c r="AZ723" t="inlineStr">
        <is>
          <t>BOOK</t>
        </is>
      </c>
      <c r="BC723" t="inlineStr">
        <is>
          <t>32285000074392</t>
        </is>
      </c>
      <c r="BD723" t="inlineStr">
        <is>
          <t>893257824</t>
        </is>
      </c>
    </row>
    <row r="724">
      <c r="A724" t="inlineStr">
        <is>
          <t>No</t>
        </is>
      </c>
      <c r="B724" t="inlineStr">
        <is>
          <t>BX1780 .S87 1984</t>
        </is>
      </c>
      <c r="C724" t="inlineStr">
        <is>
          <t>0                      BX 1780000S  87          1984</t>
        </is>
      </c>
      <c r="D724" t="inlineStr">
        <is>
          <t>Catholic answers to fundamentalists' questions / Philip St. Romain.</t>
        </is>
      </c>
      <c r="F724" t="inlineStr">
        <is>
          <t>No</t>
        </is>
      </c>
      <c r="G724" t="inlineStr">
        <is>
          <t>1</t>
        </is>
      </c>
      <c r="H724" t="inlineStr">
        <is>
          <t>No</t>
        </is>
      </c>
      <c r="I724" t="inlineStr">
        <is>
          <t>No</t>
        </is>
      </c>
      <c r="J724" t="inlineStr">
        <is>
          <t>0</t>
        </is>
      </c>
      <c r="K724" t="inlineStr">
        <is>
          <t>St. Romain, Philip.</t>
        </is>
      </c>
      <c r="L724" t="inlineStr">
        <is>
          <t>Liguori, Mo. : Liguori Publications, c1984.</t>
        </is>
      </c>
      <c r="M724" t="inlineStr">
        <is>
          <t>1984</t>
        </is>
      </c>
      <c r="O724" t="inlineStr">
        <is>
          <t>eng</t>
        </is>
      </c>
      <c r="P724" t="inlineStr">
        <is>
          <t>mou</t>
        </is>
      </c>
      <c r="R724" t="inlineStr">
        <is>
          <t xml:space="preserve">BX </t>
        </is>
      </c>
      <c r="S724" t="n">
        <v>5</v>
      </c>
      <c r="T724" t="n">
        <v>5</v>
      </c>
      <c r="U724" t="inlineStr">
        <is>
          <t>1994-10-10</t>
        </is>
      </c>
      <c r="V724" t="inlineStr">
        <is>
          <t>1994-10-10</t>
        </is>
      </c>
      <c r="W724" t="inlineStr">
        <is>
          <t>1991-05-30</t>
        </is>
      </c>
      <c r="X724" t="inlineStr">
        <is>
          <t>1991-05-30</t>
        </is>
      </c>
      <c r="Y724" t="n">
        <v>79</v>
      </c>
      <c r="Z724" t="n">
        <v>67</v>
      </c>
      <c r="AA724" t="n">
        <v>148</v>
      </c>
      <c r="AB724" t="n">
        <v>3</v>
      </c>
      <c r="AC724" t="n">
        <v>3</v>
      </c>
      <c r="AD724" t="n">
        <v>10</v>
      </c>
      <c r="AE724" t="n">
        <v>12</v>
      </c>
      <c r="AF724" t="n">
        <v>0</v>
      </c>
      <c r="AG724" t="n">
        <v>1</v>
      </c>
      <c r="AH724" t="n">
        <v>1</v>
      </c>
      <c r="AI724" t="n">
        <v>2</v>
      </c>
      <c r="AJ724" t="n">
        <v>8</v>
      </c>
      <c r="AK724" t="n">
        <v>10</v>
      </c>
      <c r="AL724" t="n">
        <v>1</v>
      </c>
      <c r="AM724" t="n">
        <v>1</v>
      </c>
      <c r="AN724" t="n">
        <v>0</v>
      </c>
      <c r="AO724" t="n">
        <v>0</v>
      </c>
      <c r="AP724" t="inlineStr">
        <is>
          <t>No</t>
        </is>
      </c>
      <c r="AQ724" t="inlineStr">
        <is>
          <t>No</t>
        </is>
      </c>
      <c r="AS724">
        <f>HYPERLINK("https://creighton-primo.hosted.exlibrisgroup.com/primo-explore/search?tab=default_tab&amp;search_scope=EVERYTHING&amp;vid=01CRU&amp;lang=en_US&amp;offset=0&amp;query=any,contains,991000715789702656","Catalog Record")</f>
        <v/>
      </c>
      <c r="AT724">
        <f>HYPERLINK("http://www.worldcat.org/oclc/12624834","WorldCat Record")</f>
        <v/>
      </c>
      <c r="AU724" t="inlineStr">
        <is>
          <t>737502:eng</t>
        </is>
      </c>
      <c r="AV724" t="inlineStr">
        <is>
          <t>12624834</t>
        </is>
      </c>
      <c r="AW724" t="inlineStr">
        <is>
          <t>991000715789702656</t>
        </is>
      </c>
      <c r="AX724" t="inlineStr">
        <is>
          <t>991000715789702656</t>
        </is>
      </c>
      <c r="AY724" t="inlineStr">
        <is>
          <t>2260215430002656</t>
        </is>
      </c>
      <c r="AZ724" t="inlineStr">
        <is>
          <t>BOOK</t>
        </is>
      </c>
      <c r="BB724" t="inlineStr">
        <is>
          <t>9780892432202</t>
        </is>
      </c>
      <c r="BC724" t="inlineStr">
        <is>
          <t>32285000647213</t>
        </is>
      </c>
      <c r="BD724" t="inlineStr">
        <is>
          <t>893351629</t>
        </is>
      </c>
    </row>
    <row r="725">
      <c r="A725" t="inlineStr">
        <is>
          <t>No</t>
        </is>
      </c>
      <c r="B725" t="inlineStr">
        <is>
          <t>BX1780 .Y6 1913</t>
        </is>
      </c>
      <c r="C725" t="inlineStr">
        <is>
          <t>0                      BX 1780000Y  6           1913</t>
        </is>
      </c>
      <c r="D725" t="inlineStr">
        <is>
          <t>The ghosts of bigotry : six lectures / by Rev. P. C. Yorke, D. D.</t>
        </is>
      </c>
      <c r="F725" t="inlineStr">
        <is>
          <t>No</t>
        </is>
      </c>
      <c r="G725" t="inlineStr">
        <is>
          <t>1</t>
        </is>
      </c>
      <c r="H725" t="inlineStr">
        <is>
          <t>No</t>
        </is>
      </c>
      <c r="I725" t="inlineStr">
        <is>
          <t>No</t>
        </is>
      </c>
      <c r="J725" t="inlineStr">
        <is>
          <t>0</t>
        </is>
      </c>
      <c r="K725" t="inlineStr">
        <is>
          <t>Yorke, P. C. (Peter Christopher), 1864-1925.</t>
        </is>
      </c>
      <c r="L725" t="inlineStr">
        <is>
          <t>San Francisco : The Text book publishing co., 1913.</t>
        </is>
      </c>
      <c r="M725" t="inlineStr">
        <is>
          <t>1913</t>
        </is>
      </c>
      <c r="N725" t="inlineStr">
        <is>
          <t>2d ed.</t>
        </is>
      </c>
      <c r="O725" t="inlineStr">
        <is>
          <t>eng</t>
        </is>
      </c>
      <c r="P725" t="inlineStr">
        <is>
          <t xml:space="preserve">xx </t>
        </is>
      </c>
      <c r="R725" t="inlineStr">
        <is>
          <t xml:space="preserve">BX </t>
        </is>
      </c>
      <c r="S725" t="n">
        <v>3</v>
      </c>
      <c r="T725" t="n">
        <v>3</v>
      </c>
      <c r="U725" t="inlineStr">
        <is>
          <t>1994-03-14</t>
        </is>
      </c>
      <c r="V725" t="inlineStr">
        <is>
          <t>1994-03-14</t>
        </is>
      </c>
      <c r="W725" t="inlineStr">
        <is>
          <t>1991-05-30</t>
        </is>
      </c>
      <c r="X725" t="inlineStr">
        <is>
          <t>1991-05-30</t>
        </is>
      </c>
      <c r="Y725" t="n">
        <v>109</v>
      </c>
      <c r="Z725" t="n">
        <v>98</v>
      </c>
      <c r="AA725" t="n">
        <v>113</v>
      </c>
      <c r="AB725" t="n">
        <v>2</v>
      </c>
      <c r="AC725" t="n">
        <v>3</v>
      </c>
      <c r="AD725" t="n">
        <v>19</v>
      </c>
      <c r="AE725" t="n">
        <v>20</v>
      </c>
      <c r="AF725" t="n">
        <v>5</v>
      </c>
      <c r="AG725" t="n">
        <v>5</v>
      </c>
      <c r="AH725" t="n">
        <v>6</v>
      </c>
      <c r="AI725" t="n">
        <v>6</v>
      </c>
      <c r="AJ725" t="n">
        <v>13</v>
      </c>
      <c r="AK725" t="n">
        <v>13</v>
      </c>
      <c r="AL725" t="n">
        <v>0</v>
      </c>
      <c r="AM725" t="n">
        <v>1</v>
      </c>
      <c r="AN725" t="n">
        <v>0</v>
      </c>
      <c r="AO725" t="n">
        <v>0</v>
      </c>
      <c r="AP725" t="inlineStr">
        <is>
          <t>Yes</t>
        </is>
      </c>
      <c r="AQ725" t="inlineStr">
        <is>
          <t>No</t>
        </is>
      </c>
      <c r="AR725">
        <f>HYPERLINK("http://catalog.hathitrust.org/Record/007685020","HathiTrust Record")</f>
        <v/>
      </c>
      <c r="AS725">
        <f>HYPERLINK("https://creighton-primo.hosted.exlibrisgroup.com/primo-explore/search?tab=default_tab&amp;search_scope=EVERYTHING&amp;vid=01CRU&amp;lang=en_US&amp;offset=0&amp;query=any,contains,991003339729702656","Catalog Record")</f>
        <v/>
      </c>
      <c r="AT725">
        <f>HYPERLINK("http://www.worldcat.org/oclc/870394","WorldCat Record")</f>
        <v/>
      </c>
      <c r="AU725" t="inlineStr">
        <is>
          <t>2908767261:eng</t>
        </is>
      </c>
      <c r="AV725" t="inlineStr">
        <is>
          <t>870394</t>
        </is>
      </c>
      <c r="AW725" t="inlineStr">
        <is>
          <t>991003339729702656</t>
        </is>
      </c>
      <c r="AX725" t="inlineStr">
        <is>
          <t>991003339729702656</t>
        </is>
      </c>
      <c r="AY725" t="inlineStr">
        <is>
          <t>2259749110002656</t>
        </is>
      </c>
      <c r="AZ725" t="inlineStr">
        <is>
          <t>BOOK</t>
        </is>
      </c>
      <c r="BC725" t="inlineStr">
        <is>
          <t>32285000647221</t>
        </is>
      </c>
      <c r="BD725" t="inlineStr">
        <is>
          <t>893416278</t>
        </is>
      </c>
    </row>
    <row r="726">
      <c r="A726" t="inlineStr">
        <is>
          <t>No</t>
        </is>
      </c>
      <c r="B726" t="inlineStr">
        <is>
          <t>BX1784 .B47 1984</t>
        </is>
      </c>
      <c r="C726" t="inlineStr">
        <is>
          <t>0                      BX 1784000B  47          1984</t>
        </is>
      </c>
      <c r="D726" t="inlineStr">
        <is>
          <t>Towards Christian reunion : Vatican I, obstacles and opportunities / Luis M. Bermejo.</t>
        </is>
      </c>
      <c r="F726" t="inlineStr">
        <is>
          <t>No</t>
        </is>
      </c>
      <c r="G726" t="inlineStr">
        <is>
          <t>1</t>
        </is>
      </c>
      <c r="H726" t="inlineStr">
        <is>
          <t>No</t>
        </is>
      </c>
      <c r="I726" t="inlineStr">
        <is>
          <t>No</t>
        </is>
      </c>
      <c r="J726" t="inlineStr">
        <is>
          <t>0</t>
        </is>
      </c>
      <c r="K726" t="inlineStr">
        <is>
          <t>Bermejo, Luis M., 1929-</t>
        </is>
      </c>
      <c r="L726" t="inlineStr">
        <is>
          <t>Anand, India : Gujarat Sahitya Prakash, 1984.</t>
        </is>
      </c>
      <c r="M726" t="inlineStr">
        <is>
          <t>1984</t>
        </is>
      </c>
      <c r="O726" t="inlineStr">
        <is>
          <t>eng</t>
        </is>
      </c>
      <c r="P726" t="inlineStr">
        <is>
          <t xml:space="preserve">ii </t>
        </is>
      </c>
      <c r="Q726" t="inlineStr">
        <is>
          <t>Jesuit theological forum. Studies ; no. 2</t>
        </is>
      </c>
      <c r="R726" t="inlineStr">
        <is>
          <t xml:space="preserve">BX </t>
        </is>
      </c>
      <c r="S726" t="n">
        <v>2</v>
      </c>
      <c r="T726" t="n">
        <v>2</v>
      </c>
      <c r="U726" t="inlineStr">
        <is>
          <t>2002-04-07</t>
        </is>
      </c>
      <c r="V726" t="inlineStr">
        <is>
          <t>2002-04-07</t>
        </is>
      </c>
      <c r="W726" t="inlineStr">
        <is>
          <t>1990-03-27</t>
        </is>
      </c>
      <c r="X726" t="inlineStr">
        <is>
          <t>1990-03-27</t>
        </is>
      </c>
      <c r="Y726" t="n">
        <v>45</v>
      </c>
      <c r="Z726" t="n">
        <v>26</v>
      </c>
      <c r="AA726" t="n">
        <v>71</v>
      </c>
      <c r="AB726" t="n">
        <v>1</v>
      </c>
      <c r="AC726" t="n">
        <v>1</v>
      </c>
      <c r="AD726" t="n">
        <v>7</v>
      </c>
      <c r="AE726" t="n">
        <v>12</v>
      </c>
      <c r="AF726" t="n">
        <v>1</v>
      </c>
      <c r="AG726" t="n">
        <v>2</v>
      </c>
      <c r="AH726" t="n">
        <v>2</v>
      </c>
      <c r="AI726" t="n">
        <v>3</v>
      </c>
      <c r="AJ726" t="n">
        <v>6</v>
      </c>
      <c r="AK726" t="n">
        <v>10</v>
      </c>
      <c r="AL726" t="n">
        <v>0</v>
      </c>
      <c r="AM726" t="n">
        <v>0</v>
      </c>
      <c r="AN726" t="n">
        <v>0</v>
      </c>
      <c r="AO726" t="n">
        <v>0</v>
      </c>
      <c r="AP726" t="inlineStr">
        <is>
          <t>No</t>
        </is>
      </c>
      <c r="AQ726" t="inlineStr">
        <is>
          <t>No</t>
        </is>
      </c>
      <c r="AS726">
        <f>HYPERLINK("https://creighton-primo.hosted.exlibrisgroup.com/primo-explore/search?tab=default_tab&amp;search_scope=EVERYTHING&amp;vid=01CRU&amp;lang=en_US&amp;offset=0&amp;query=any,contains,991000645339702656","Catalog Record")</f>
        <v/>
      </c>
      <c r="AT726">
        <f>HYPERLINK("http://www.worldcat.org/oclc/12129892","WorldCat Record")</f>
        <v/>
      </c>
      <c r="AU726" t="inlineStr">
        <is>
          <t>5107075:eng</t>
        </is>
      </c>
      <c r="AV726" t="inlineStr">
        <is>
          <t>12129892</t>
        </is>
      </c>
      <c r="AW726" t="inlineStr">
        <is>
          <t>991000645339702656</t>
        </is>
      </c>
      <c r="AX726" t="inlineStr">
        <is>
          <t>991000645339702656</t>
        </is>
      </c>
      <c r="AY726" t="inlineStr">
        <is>
          <t>2263516160002656</t>
        </is>
      </c>
      <c r="AZ726" t="inlineStr">
        <is>
          <t>BOOK</t>
        </is>
      </c>
      <c r="BC726" t="inlineStr">
        <is>
          <t>32285000098458</t>
        </is>
      </c>
      <c r="BD726" t="inlineStr">
        <is>
          <t>893614370</t>
        </is>
      </c>
    </row>
    <row r="727">
      <c r="A727" t="inlineStr">
        <is>
          <t>No</t>
        </is>
      </c>
      <c r="B727" t="inlineStr">
        <is>
          <t>BX1784 .C37 1993</t>
        </is>
      </c>
      <c r="C727" t="inlineStr">
        <is>
          <t>0                      BX 1784000C  37          1993</t>
        </is>
      </c>
      <c r="D727" t="inlineStr">
        <is>
          <t>Directory for the application of principles and norms on ecumenism.</t>
        </is>
      </c>
      <c r="F727" t="inlineStr">
        <is>
          <t>No</t>
        </is>
      </c>
      <c r="G727" t="inlineStr">
        <is>
          <t>1</t>
        </is>
      </c>
      <c r="H727" t="inlineStr">
        <is>
          <t>No</t>
        </is>
      </c>
      <c r="I727" t="inlineStr">
        <is>
          <t>No</t>
        </is>
      </c>
      <c r="J727" t="inlineStr">
        <is>
          <t>0</t>
        </is>
      </c>
      <c r="K727" t="inlineStr">
        <is>
          <t>Catholic Church. Pontificium Consilium ad Christianorum Unitatem Fovendam.</t>
        </is>
      </c>
      <c r="L727" t="inlineStr">
        <is>
          <t>Washington, DC : United States Catholic Conference, 1993.</t>
        </is>
      </c>
      <c r="M727" t="inlineStr">
        <is>
          <t>1993</t>
        </is>
      </c>
      <c r="O727" t="inlineStr">
        <is>
          <t>eng</t>
        </is>
      </c>
      <c r="P727" t="inlineStr">
        <is>
          <t>dcu</t>
        </is>
      </c>
      <c r="Q727" t="inlineStr">
        <is>
          <t>Publication / Office for Publishing and Promotion Services ; no. 658-1</t>
        </is>
      </c>
      <c r="R727" t="inlineStr">
        <is>
          <t xml:space="preserve">BX </t>
        </is>
      </c>
      <c r="S727" t="n">
        <v>3</v>
      </c>
      <c r="T727" t="n">
        <v>3</v>
      </c>
      <c r="U727" t="inlineStr">
        <is>
          <t>2004-01-15</t>
        </is>
      </c>
      <c r="V727" t="inlineStr">
        <is>
          <t>2004-01-15</t>
        </is>
      </c>
      <c r="W727" t="inlineStr">
        <is>
          <t>1993-10-27</t>
        </is>
      </c>
      <c r="X727" t="inlineStr">
        <is>
          <t>1993-10-27</t>
        </is>
      </c>
      <c r="Y727" t="n">
        <v>104</v>
      </c>
      <c r="Z727" t="n">
        <v>101</v>
      </c>
      <c r="AA727" t="n">
        <v>101</v>
      </c>
      <c r="AB727" t="n">
        <v>2</v>
      </c>
      <c r="AC727" t="n">
        <v>2</v>
      </c>
      <c r="AD727" t="n">
        <v>13</v>
      </c>
      <c r="AE727" t="n">
        <v>13</v>
      </c>
      <c r="AF727" t="n">
        <v>3</v>
      </c>
      <c r="AG727" t="n">
        <v>3</v>
      </c>
      <c r="AH727" t="n">
        <v>5</v>
      </c>
      <c r="AI727" t="n">
        <v>5</v>
      </c>
      <c r="AJ727" t="n">
        <v>9</v>
      </c>
      <c r="AK727" t="n">
        <v>9</v>
      </c>
      <c r="AL727" t="n">
        <v>0</v>
      </c>
      <c r="AM727" t="n">
        <v>0</v>
      </c>
      <c r="AN727" t="n">
        <v>0</v>
      </c>
      <c r="AO727" t="n">
        <v>0</v>
      </c>
      <c r="AP727" t="inlineStr">
        <is>
          <t>No</t>
        </is>
      </c>
      <c r="AQ727" t="inlineStr">
        <is>
          <t>No</t>
        </is>
      </c>
      <c r="AS727">
        <f>HYPERLINK("https://creighton-primo.hosted.exlibrisgroup.com/primo-explore/search?tab=default_tab&amp;search_scope=EVERYTHING&amp;vid=01CRU&amp;lang=en_US&amp;offset=0&amp;query=any,contains,991002244349702656","Catalog Record")</f>
        <v/>
      </c>
      <c r="AT727">
        <f>HYPERLINK("http://www.worldcat.org/oclc/28948759","WorldCat Record")</f>
        <v/>
      </c>
      <c r="AU727" t="inlineStr">
        <is>
          <t>8908388718:eng</t>
        </is>
      </c>
      <c r="AV727" t="inlineStr">
        <is>
          <t>28948759</t>
        </is>
      </c>
      <c r="AW727" t="inlineStr">
        <is>
          <t>991002244349702656</t>
        </is>
      </c>
      <c r="AX727" t="inlineStr">
        <is>
          <t>991002244349702656</t>
        </is>
      </c>
      <c r="AY727" t="inlineStr">
        <is>
          <t>2255381100002656</t>
        </is>
      </c>
      <c r="AZ727" t="inlineStr">
        <is>
          <t>BOOK</t>
        </is>
      </c>
      <c r="BB727" t="inlineStr">
        <is>
          <t>9781555866587</t>
        </is>
      </c>
      <c r="BC727" t="inlineStr">
        <is>
          <t>32285001800886</t>
        </is>
      </c>
      <c r="BD727" t="inlineStr">
        <is>
          <t>893685134</t>
        </is>
      </c>
    </row>
    <row r="728">
      <c r="A728" t="inlineStr">
        <is>
          <t>No</t>
        </is>
      </c>
      <c r="B728" t="inlineStr">
        <is>
          <t>BX1784 .C48 2001</t>
        </is>
      </c>
      <c r="C728" t="inlineStr">
        <is>
          <t>0                      BX 1784000C  48          2001</t>
        </is>
      </c>
      <c r="D728" t="inlineStr">
        <is>
          <t>Church unity and the papal office : an ecumenical dialogue on John Paul II's encyclical Ut unum sint (That all may be one) / edited by Carl E. Braaten and Robert W. Jenson.</t>
        </is>
      </c>
      <c r="F728" t="inlineStr">
        <is>
          <t>No</t>
        </is>
      </c>
      <c r="G728" t="inlineStr">
        <is>
          <t>1</t>
        </is>
      </c>
      <c r="H728" t="inlineStr">
        <is>
          <t>No</t>
        </is>
      </c>
      <c r="I728" t="inlineStr">
        <is>
          <t>No</t>
        </is>
      </c>
      <c r="J728" t="inlineStr">
        <is>
          <t>0</t>
        </is>
      </c>
      <c r="L728" t="inlineStr">
        <is>
          <t>Grand Rapids, Mich. : W.B. Eerdmans, c2001.</t>
        </is>
      </c>
      <c r="M728" t="inlineStr">
        <is>
          <t>2001</t>
        </is>
      </c>
      <c r="O728" t="inlineStr">
        <is>
          <t>eng</t>
        </is>
      </c>
      <c r="P728" t="inlineStr">
        <is>
          <t>miu</t>
        </is>
      </c>
      <c r="R728" t="inlineStr">
        <is>
          <t xml:space="preserve">BX </t>
        </is>
      </c>
      <c r="S728" t="n">
        <v>6</v>
      </c>
      <c r="T728" t="n">
        <v>6</v>
      </c>
      <c r="U728" t="inlineStr">
        <is>
          <t>2008-07-25</t>
        </is>
      </c>
      <c r="V728" t="inlineStr">
        <is>
          <t>2008-07-25</t>
        </is>
      </c>
      <c r="W728" t="inlineStr">
        <is>
          <t>2002-03-26</t>
        </is>
      </c>
      <c r="X728" t="inlineStr">
        <is>
          <t>2002-03-26</t>
        </is>
      </c>
      <c r="Y728" t="n">
        <v>265</v>
      </c>
      <c r="Z728" t="n">
        <v>209</v>
      </c>
      <c r="AA728" t="n">
        <v>212</v>
      </c>
      <c r="AB728" t="n">
        <v>2</v>
      </c>
      <c r="AC728" t="n">
        <v>2</v>
      </c>
      <c r="AD728" t="n">
        <v>26</v>
      </c>
      <c r="AE728" t="n">
        <v>26</v>
      </c>
      <c r="AF728" t="n">
        <v>10</v>
      </c>
      <c r="AG728" t="n">
        <v>10</v>
      </c>
      <c r="AH728" t="n">
        <v>5</v>
      </c>
      <c r="AI728" t="n">
        <v>5</v>
      </c>
      <c r="AJ728" t="n">
        <v>16</v>
      </c>
      <c r="AK728" t="n">
        <v>16</v>
      </c>
      <c r="AL728" t="n">
        <v>1</v>
      </c>
      <c r="AM728" t="n">
        <v>1</v>
      </c>
      <c r="AN728" t="n">
        <v>0</v>
      </c>
      <c r="AO728" t="n">
        <v>0</v>
      </c>
      <c r="AP728" t="inlineStr">
        <is>
          <t>No</t>
        </is>
      </c>
      <c r="AQ728" t="inlineStr">
        <is>
          <t>Yes</t>
        </is>
      </c>
      <c r="AR728">
        <f>HYPERLINK("http://catalog.hathitrust.org/Record/004164935","HathiTrust Record")</f>
        <v/>
      </c>
      <c r="AS728">
        <f>HYPERLINK("https://creighton-primo.hosted.exlibrisgroup.com/primo-explore/search?tab=default_tab&amp;search_scope=EVERYTHING&amp;vid=01CRU&amp;lang=en_US&amp;offset=0&amp;query=any,contains,991003746729702656","Catalog Record")</f>
        <v/>
      </c>
      <c r="AT728">
        <f>HYPERLINK("http://www.worldcat.org/oclc/45487508","WorldCat Record")</f>
        <v/>
      </c>
      <c r="AU728" t="inlineStr">
        <is>
          <t>836994921:eng</t>
        </is>
      </c>
      <c r="AV728" t="inlineStr">
        <is>
          <t>45487508</t>
        </is>
      </c>
      <c r="AW728" t="inlineStr">
        <is>
          <t>991003746729702656</t>
        </is>
      </c>
      <c r="AX728" t="inlineStr">
        <is>
          <t>991003746729702656</t>
        </is>
      </c>
      <c r="AY728" t="inlineStr">
        <is>
          <t>2271629570002656</t>
        </is>
      </c>
      <c r="AZ728" t="inlineStr">
        <is>
          <t>BOOK</t>
        </is>
      </c>
      <c r="BB728" t="inlineStr">
        <is>
          <t>9780802848024</t>
        </is>
      </c>
      <c r="BC728" t="inlineStr">
        <is>
          <t>32285004464250</t>
        </is>
      </c>
      <c r="BD728" t="inlineStr">
        <is>
          <t>893252719</t>
        </is>
      </c>
    </row>
    <row r="729">
      <c r="A729" t="inlineStr">
        <is>
          <t>No</t>
        </is>
      </c>
      <c r="B729" t="inlineStr">
        <is>
          <t>BX1784 .I87 1999</t>
        </is>
      </c>
      <c r="C729" t="inlineStr">
        <is>
          <t>0                      BX 1784000I  87          1999</t>
        </is>
      </c>
      <c r="D729" t="inlineStr">
        <is>
          <t>Israel and the Holy See : A Catholic view of the state of Israel.</t>
        </is>
      </c>
      <c r="F729" t="inlineStr">
        <is>
          <t>No</t>
        </is>
      </c>
      <c r="G729" t="inlineStr">
        <is>
          <t>1</t>
        </is>
      </c>
      <c r="H729" t="inlineStr">
        <is>
          <t>No</t>
        </is>
      </c>
      <c r="I729" t="inlineStr">
        <is>
          <t>No</t>
        </is>
      </c>
      <c r="J729" t="inlineStr">
        <is>
          <t>0</t>
        </is>
      </c>
      <c r="L729" t="inlineStr">
        <is>
          <t>South Orange, NJ : Institute of Judaeo-Christian Studies, Seton Hall University, [c1999]</t>
        </is>
      </c>
      <c r="M729" t="inlineStr">
        <is>
          <t>1999</t>
        </is>
      </c>
      <c r="O729" t="inlineStr">
        <is>
          <t>eng</t>
        </is>
      </c>
      <c r="P729" t="inlineStr">
        <is>
          <t>nju</t>
        </is>
      </c>
      <c r="Q729" t="inlineStr">
        <is>
          <t>First and fifth Monsignor John M. Oesterreicher Memorial Lectures</t>
        </is>
      </c>
      <c r="R729" t="inlineStr">
        <is>
          <t xml:space="preserve">BX </t>
        </is>
      </c>
      <c r="S729" t="n">
        <v>4</v>
      </c>
      <c r="T729" t="n">
        <v>4</v>
      </c>
      <c r="U729" t="inlineStr">
        <is>
          <t>2000-08-23</t>
        </is>
      </c>
      <c r="V729" t="inlineStr">
        <is>
          <t>2000-08-23</t>
        </is>
      </c>
      <c r="W729" t="inlineStr">
        <is>
          <t>2000-07-19</t>
        </is>
      </c>
      <c r="X729" t="inlineStr">
        <is>
          <t>2000-07-19</t>
        </is>
      </c>
      <c r="Y729" t="n">
        <v>63</v>
      </c>
      <c r="Z729" t="n">
        <v>63</v>
      </c>
      <c r="AA729" t="n">
        <v>63</v>
      </c>
      <c r="AB729" t="n">
        <v>1</v>
      </c>
      <c r="AC729" t="n">
        <v>1</v>
      </c>
      <c r="AD729" t="n">
        <v>15</v>
      </c>
      <c r="AE729" t="n">
        <v>15</v>
      </c>
      <c r="AF729" t="n">
        <v>4</v>
      </c>
      <c r="AG729" t="n">
        <v>4</v>
      </c>
      <c r="AH729" t="n">
        <v>4</v>
      </c>
      <c r="AI729" t="n">
        <v>4</v>
      </c>
      <c r="AJ729" t="n">
        <v>12</v>
      </c>
      <c r="AK729" t="n">
        <v>12</v>
      </c>
      <c r="AL729" t="n">
        <v>0</v>
      </c>
      <c r="AM729" t="n">
        <v>0</v>
      </c>
      <c r="AN729" t="n">
        <v>0</v>
      </c>
      <c r="AO729" t="n">
        <v>0</v>
      </c>
      <c r="AP729" t="inlineStr">
        <is>
          <t>No</t>
        </is>
      </c>
      <c r="AQ729" t="inlineStr">
        <is>
          <t>No</t>
        </is>
      </c>
      <c r="AS729">
        <f>HYPERLINK("https://creighton-primo.hosted.exlibrisgroup.com/primo-explore/search?tab=default_tab&amp;search_scope=EVERYTHING&amp;vid=01CRU&amp;lang=en_US&amp;offset=0&amp;query=any,contains,991003208099702656","Catalog Record")</f>
        <v/>
      </c>
      <c r="AT729">
        <f>HYPERLINK("http://www.worldcat.org/oclc/44461713","WorldCat Record")</f>
        <v/>
      </c>
      <c r="AU729" t="inlineStr">
        <is>
          <t>33831097:eng</t>
        </is>
      </c>
      <c r="AV729" t="inlineStr">
        <is>
          <t>44461713</t>
        </is>
      </c>
      <c r="AW729" t="inlineStr">
        <is>
          <t>991003208099702656</t>
        </is>
      </c>
      <c r="AX729" t="inlineStr">
        <is>
          <t>991003208099702656</t>
        </is>
      </c>
      <c r="AY729" t="inlineStr">
        <is>
          <t>2267883980002656</t>
        </is>
      </c>
      <c r="AZ729" t="inlineStr">
        <is>
          <t>BOOK</t>
        </is>
      </c>
      <c r="BC729" t="inlineStr">
        <is>
          <t>32285003687364</t>
        </is>
      </c>
      <c r="BD729" t="inlineStr">
        <is>
          <t>893868187</t>
        </is>
      </c>
    </row>
    <row r="730">
      <c r="A730" t="inlineStr">
        <is>
          <t>No</t>
        </is>
      </c>
      <c r="B730" t="inlineStr">
        <is>
          <t>BX1784 .K813 1962</t>
        </is>
      </c>
      <c r="C730" t="inlineStr">
        <is>
          <t>0                      BX 1784000K  813         1962</t>
        </is>
      </c>
      <c r="D730" t="inlineStr">
        <is>
          <t>The Council, reform and reunion. Translated by Cecily Hastings.</t>
        </is>
      </c>
      <c r="F730" t="inlineStr">
        <is>
          <t>No</t>
        </is>
      </c>
      <c r="G730" t="inlineStr">
        <is>
          <t>1</t>
        </is>
      </c>
      <c r="H730" t="inlineStr">
        <is>
          <t>No</t>
        </is>
      </c>
      <c r="I730" t="inlineStr">
        <is>
          <t>No</t>
        </is>
      </c>
      <c r="J730" t="inlineStr">
        <is>
          <t>0</t>
        </is>
      </c>
      <c r="K730" t="inlineStr">
        <is>
          <t>Küng, Hans, 1928-</t>
        </is>
      </c>
      <c r="L730" t="inlineStr">
        <is>
          <t>New York, Sheed and Ward [1962, c1961]</t>
        </is>
      </c>
      <c r="M730" t="inlineStr">
        <is>
          <t>1962</t>
        </is>
      </c>
      <c r="O730" t="inlineStr">
        <is>
          <t>eng</t>
        </is>
      </c>
      <c r="P730" t="inlineStr">
        <is>
          <t>nyu</t>
        </is>
      </c>
      <c r="R730" t="inlineStr">
        <is>
          <t xml:space="preserve">BX </t>
        </is>
      </c>
      <c r="S730" t="n">
        <v>3</v>
      </c>
      <c r="T730" t="n">
        <v>3</v>
      </c>
      <c r="U730" t="inlineStr">
        <is>
          <t>2002-06-05</t>
        </is>
      </c>
      <c r="V730" t="inlineStr">
        <is>
          <t>2002-06-05</t>
        </is>
      </c>
      <c r="W730" t="inlineStr">
        <is>
          <t>1991-05-30</t>
        </is>
      </c>
      <c r="X730" t="inlineStr">
        <is>
          <t>1991-05-30</t>
        </is>
      </c>
      <c r="Y730" t="n">
        <v>892</v>
      </c>
      <c r="Z730" t="n">
        <v>843</v>
      </c>
      <c r="AA730" t="n">
        <v>1004</v>
      </c>
      <c r="AB730" t="n">
        <v>9</v>
      </c>
      <c r="AC730" t="n">
        <v>9</v>
      </c>
      <c r="AD730" t="n">
        <v>47</v>
      </c>
      <c r="AE730" t="n">
        <v>53</v>
      </c>
      <c r="AF730" t="n">
        <v>18</v>
      </c>
      <c r="AG730" t="n">
        <v>22</v>
      </c>
      <c r="AH730" t="n">
        <v>9</v>
      </c>
      <c r="AI730" t="n">
        <v>10</v>
      </c>
      <c r="AJ730" t="n">
        <v>26</v>
      </c>
      <c r="AK730" t="n">
        <v>27</v>
      </c>
      <c r="AL730" t="n">
        <v>7</v>
      </c>
      <c r="AM730" t="n">
        <v>7</v>
      </c>
      <c r="AN730" t="n">
        <v>0</v>
      </c>
      <c r="AO730" t="n">
        <v>0</v>
      </c>
      <c r="AP730" t="inlineStr">
        <is>
          <t>No</t>
        </is>
      </c>
      <c r="AQ730" t="inlineStr">
        <is>
          <t>Yes</t>
        </is>
      </c>
      <c r="AR730">
        <f>HYPERLINK("http://catalog.hathitrust.org/Record/001933328","HathiTrust Record")</f>
        <v/>
      </c>
      <c r="AS730">
        <f>HYPERLINK("https://creighton-primo.hosted.exlibrisgroup.com/primo-explore/search?tab=default_tab&amp;search_scope=EVERYTHING&amp;vid=01CRU&amp;lang=en_US&amp;offset=0&amp;query=any,contains,991002351409702656","Catalog Record")</f>
        <v/>
      </c>
      <c r="AT730">
        <f>HYPERLINK("http://www.worldcat.org/oclc/325284","WorldCat Record")</f>
        <v/>
      </c>
      <c r="AU730" t="inlineStr">
        <is>
          <t>3863788076:eng</t>
        </is>
      </c>
      <c r="AV730" t="inlineStr">
        <is>
          <t>325284</t>
        </is>
      </c>
      <c r="AW730" t="inlineStr">
        <is>
          <t>991002351409702656</t>
        </is>
      </c>
      <c r="AX730" t="inlineStr">
        <is>
          <t>991002351409702656</t>
        </is>
      </c>
      <c r="AY730" t="inlineStr">
        <is>
          <t>2269700890002656</t>
        </is>
      </c>
      <c r="AZ730" t="inlineStr">
        <is>
          <t>BOOK</t>
        </is>
      </c>
      <c r="BC730" t="inlineStr">
        <is>
          <t>32285000647247</t>
        </is>
      </c>
      <c r="BD730" t="inlineStr">
        <is>
          <t>893335199</t>
        </is>
      </c>
    </row>
    <row r="731">
      <c r="A731" t="inlineStr">
        <is>
          <t>No</t>
        </is>
      </c>
      <c r="B731" t="inlineStr">
        <is>
          <t>BX1784 .M56</t>
        </is>
      </c>
      <c r="C731" t="inlineStr">
        <is>
          <t>0                      BX 1784000M  56</t>
        </is>
      </c>
      <c r="D731" t="inlineStr">
        <is>
          <t>The Catholic rediscovery of Protestantism : a history of Roman Catholic ecumenical pioneering / by Paul M. Minus, Jr.</t>
        </is>
      </c>
      <c r="F731" t="inlineStr">
        <is>
          <t>No</t>
        </is>
      </c>
      <c r="G731" t="inlineStr">
        <is>
          <t>1</t>
        </is>
      </c>
      <c r="H731" t="inlineStr">
        <is>
          <t>No</t>
        </is>
      </c>
      <c r="I731" t="inlineStr">
        <is>
          <t>No</t>
        </is>
      </c>
      <c r="J731" t="inlineStr">
        <is>
          <t>0</t>
        </is>
      </c>
      <c r="K731" t="inlineStr">
        <is>
          <t>Minus, Paul M.</t>
        </is>
      </c>
      <c r="L731" t="inlineStr">
        <is>
          <t>New York : Paulist Press, c1976.</t>
        </is>
      </c>
      <c r="M731" t="inlineStr">
        <is>
          <t>1976</t>
        </is>
      </c>
      <c r="O731" t="inlineStr">
        <is>
          <t>eng</t>
        </is>
      </c>
      <c r="P731" t="inlineStr">
        <is>
          <t>nyu</t>
        </is>
      </c>
      <c r="Q731" t="inlineStr">
        <is>
          <t>An Exploration book</t>
        </is>
      </c>
      <c r="R731" t="inlineStr">
        <is>
          <t xml:space="preserve">BX </t>
        </is>
      </c>
      <c r="S731" t="n">
        <v>4</v>
      </c>
      <c r="T731" t="n">
        <v>4</v>
      </c>
      <c r="U731" t="inlineStr">
        <is>
          <t>2010-04-23</t>
        </is>
      </c>
      <c r="V731" t="inlineStr">
        <is>
          <t>2010-04-23</t>
        </is>
      </c>
      <c r="W731" t="inlineStr">
        <is>
          <t>1991-05-30</t>
        </is>
      </c>
      <c r="X731" t="inlineStr">
        <is>
          <t>1991-05-30</t>
        </is>
      </c>
      <c r="Y731" t="n">
        <v>532</v>
      </c>
      <c r="Z731" t="n">
        <v>470</v>
      </c>
      <c r="AA731" t="n">
        <v>472</v>
      </c>
      <c r="AB731" t="n">
        <v>3</v>
      </c>
      <c r="AC731" t="n">
        <v>3</v>
      </c>
      <c r="AD731" t="n">
        <v>35</v>
      </c>
      <c r="AE731" t="n">
        <v>35</v>
      </c>
      <c r="AF731" t="n">
        <v>15</v>
      </c>
      <c r="AG731" t="n">
        <v>15</v>
      </c>
      <c r="AH731" t="n">
        <v>8</v>
      </c>
      <c r="AI731" t="n">
        <v>8</v>
      </c>
      <c r="AJ731" t="n">
        <v>20</v>
      </c>
      <c r="AK731" t="n">
        <v>20</v>
      </c>
      <c r="AL731" t="n">
        <v>2</v>
      </c>
      <c r="AM731" t="n">
        <v>2</v>
      </c>
      <c r="AN731" t="n">
        <v>0</v>
      </c>
      <c r="AO731" t="n">
        <v>0</v>
      </c>
      <c r="AP731" t="inlineStr">
        <is>
          <t>No</t>
        </is>
      </c>
      <c r="AQ731" t="inlineStr">
        <is>
          <t>Yes</t>
        </is>
      </c>
      <c r="AR731">
        <f>HYPERLINK("http://catalog.hathitrust.org/Record/000736316","HathiTrust Record")</f>
        <v/>
      </c>
      <c r="AS731">
        <f>HYPERLINK("https://creighton-primo.hosted.exlibrisgroup.com/primo-explore/search?tab=default_tab&amp;search_scope=EVERYTHING&amp;vid=01CRU&amp;lang=en_US&amp;offset=0&amp;query=any,contains,991004107179702656","Catalog Record")</f>
        <v/>
      </c>
      <c r="AT731">
        <f>HYPERLINK("http://www.worldcat.org/oclc/2387798","WorldCat Record")</f>
        <v/>
      </c>
      <c r="AU731" t="inlineStr">
        <is>
          <t>891791042:eng</t>
        </is>
      </c>
      <c r="AV731" t="inlineStr">
        <is>
          <t>2387798</t>
        </is>
      </c>
      <c r="AW731" t="inlineStr">
        <is>
          <t>991004107179702656</t>
        </is>
      </c>
      <c r="AX731" t="inlineStr">
        <is>
          <t>991004107179702656</t>
        </is>
      </c>
      <c r="AY731" t="inlineStr">
        <is>
          <t>2258679720002656</t>
        </is>
      </c>
      <c r="AZ731" t="inlineStr">
        <is>
          <t>BOOK</t>
        </is>
      </c>
      <c r="BB731" t="inlineStr">
        <is>
          <t>9780089119442</t>
        </is>
      </c>
      <c r="BC731" t="inlineStr">
        <is>
          <t>32285000647270</t>
        </is>
      </c>
      <c r="BD731" t="inlineStr">
        <is>
          <t>893241017</t>
        </is>
      </c>
    </row>
    <row r="732">
      <c r="A732" t="inlineStr">
        <is>
          <t>No</t>
        </is>
      </c>
      <c r="B732" t="inlineStr">
        <is>
          <t>BX1784 .N36</t>
        </is>
      </c>
      <c r="C732" t="inlineStr">
        <is>
          <t>0                      BX 1784000N  36</t>
        </is>
      </c>
      <c r="D732" t="inlineStr">
        <is>
          <t>Catholic doctrine as defined by the Council of Trent : expounded in a series of conferences delivered in Geneva ... proposed as a means of reuniting all Christians / by A. Nampon.</t>
        </is>
      </c>
      <c r="F732" t="inlineStr">
        <is>
          <t>No</t>
        </is>
      </c>
      <c r="G732" t="inlineStr">
        <is>
          <t>1</t>
        </is>
      </c>
      <c r="H732" t="inlineStr">
        <is>
          <t>No</t>
        </is>
      </c>
      <c r="I732" t="inlineStr">
        <is>
          <t>No</t>
        </is>
      </c>
      <c r="J732" t="inlineStr">
        <is>
          <t>0</t>
        </is>
      </c>
      <c r="K732" t="inlineStr">
        <is>
          <t>Nampon, Adrien, 1809-1869.</t>
        </is>
      </c>
      <c r="L732" t="inlineStr">
        <is>
          <t>Philadelphia : P. F. Cunningham, 1869.</t>
        </is>
      </c>
      <c r="M732" t="inlineStr">
        <is>
          <t>1869</t>
        </is>
      </c>
      <c r="O732" t="inlineStr">
        <is>
          <t>eng</t>
        </is>
      </c>
      <c r="P732" t="inlineStr">
        <is>
          <t>pau</t>
        </is>
      </c>
      <c r="R732" t="inlineStr">
        <is>
          <t xml:space="preserve">BX </t>
        </is>
      </c>
      <c r="S732" t="n">
        <v>9</v>
      </c>
      <c r="T732" t="n">
        <v>9</v>
      </c>
      <c r="U732" t="inlineStr">
        <is>
          <t>2004-04-25</t>
        </is>
      </c>
      <c r="V732" t="inlineStr">
        <is>
          <t>2004-04-25</t>
        </is>
      </c>
      <c r="W732" t="inlineStr">
        <is>
          <t>1991-05-30</t>
        </is>
      </c>
      <c r="X732" t="inlineStr">
        <is>
          <t>1991-05-30</t>
        </is>
      </c>
      <c r="Y732" t="n">
        <v>46</v>
      </c>
      <c r="Z732" t="n">
        <v>42</v>
      </c>
      <c r="AA732" t="n">
        <v>88</v>
      </c>
      <c r="AB732" t="n">
        <v>2</v>
      </c>
      <c r="AC732" t="n">
        <v>2</v>
      </c>
      <c r="AD732" t="n">
        <v>7</v>
      </c>
      <c r="AE732" t="n">
        <v>13</v>
      </c>
      <c r="AF732" t="n">
        <v>2</v>
      </c>
      <c r="AG732" t="n">
        <v>3</v>
      </c>
      <c r="AH732" t="n">
        <v>3</v>
      </c>
      <c r="AI732" t="n">
        <v>5</v>
      </c>
      <c r="AJ732" t="n">
        <v>4</v>
      </c>
      <c r="AK732" t="n">
        <v>8</v>
      </c>
      <c r="AL732" t="n">
        <v>0</v>
      </c>
      <c r="AM732" t="n">
        <v>0</v>
      </c>
      <c r="AN732" t="n">
        <v>0</v>
      </c>
      <c r="AO732" t="n">
        <v>0</v>
      </c>
      <c r="AP732" t="inlineStr">
        <is>
          <t>Yes</t>
        </is>
      </c>
      <c r="AQ732" t="inlineStr">
        <is>
          <t>No</t>
        </is>
      </c>
      <c r="AR732">
        <f>HYPERLINK("http://catalog.hathitrust.org/Record/008625593","HathiTrust Record")</f>
        <v/>
      </c>
      <c r="AS732">
        <f>HYPERLINK("https://creighton-primo.hosted.exlibrisgroup.com/primo-explore/search?tab=default_tab&amp;search_scope=EVERYTHING&amp;vid=01CRU&amp;lang=en_US&amp;offset=0&amp;query=any,contains,991000247469702656","Catalog Record")</f>
        <v/>
      </c>
      <c r="AT732">
        <f>HYPERLINK("http://www.worldcat.org/oclc/9728682","WorldCat Record")</f>
        <v/>
      </c>
      <c r="AU732" t="inlineStr">
        <is>
          <t>4159936132:eng</t>
        </is>
      </c>
      <c r="AV732" t="inlineStr">
        <is>
          <t>9728682</t>
        </is>
      </c>
      <c r="AW732" t="inlineStr">
        <is>
          <t>991000247469702656</t>
        </is>
      </c>
      <c r="AX732" t="inlineStr">
        <is>
          <t>991000247469702656</t>
        </is>
      </c>
      <c r="AY732" t="inlineStr">
        <is>
          <t>2266243540002656</t>
        </is>
      </c>
      <c r="AZ732" t="inlineStr">
        <is>
          <t>BOOK</t>
        </is>
      </c>
      <c r="BC732" t="inlineStr">
        <is>
          <t>32285000647288</t>
        </is>
      </c>
      <c r="BD732" t="inlineStr">
        <is>
          <t>893407053</t>
        </is>
      </c>
    </row>
    <row r="733">
      <c r="A733" t="inlineStr">
        <is>
          <t>No</t>
        </is>
      </c>
      <c r="B733" t="inlineStr">
        <is>
          <t>BX1784 .P38</t>
        </is>
      </c>
      <c r="C733" t="inlineStr">
        <is>
          <t>0                      BX 1784000P  38</t>
        </is>
      </c>
      <c r="D733" t="inlineStr">
        <is>
          <t>Catechetics and prejudice : how Catholic teaching materials view Jews, Protestants, and racial minorities / by John T. Pawlikowski.</t>
        </is>
      </c>
      <c r="F733" t="inlineStr">
        <is>
          <t>No</t>
        </is>
      </c>
      <c r="G733" t="inlineStr">
        <is>
          <t>1</t>
        </is>
      </c>
      <c r="H733" t="inlineStr">
        <is>
          <t>No</t>
        </is>
      </c>
      <c r="I733" t="inlineStr">
        <is>
          <t>No</t>
        </is>
      </c>
      <c r="J733" t="inlineStr">
        <is>
          <t>0</t>
        </is>
      </c>
      <c r="K733" t="inlineStr">
        <is>
          <t>Pawlikowski, John.</t>
        </is>
      </c>
      <c r="L733" t="inlineStr">
        <is>
          <t>New York, Paulist Press [1973]</t>
        </is>
      </c>
      <c r="M733" t="inlineStr">
        <is>
          <t>1973</t>
        </is>
      </c>
      <c r="O733" t="inlineStr">
        <is>
          <t>eng</t>
        </is>
      </c>
      <c r="P733" t="inlineStr">
        <is>
          <t>nyu</t>
        </is>
      </c>
      <c r="R733" t="inlineStr">
        <is>
          <t xml:space="preserve">BX </t>
        </is>
      </c>
      <c r="S733" t="n">
        <v>2</v>
      </c>
      <c r="T733" t="n">
        <v>2</v>
      </c>
      <c r="U733" t="inlineStr">
        <is>
          <t>2002-03-28</t>
        </is>
      </c>
      <c r="V733" t="inlineStr">
        <is>
          <t>2002-03-28</t>
        </is>
      </c>
      <c r="W733" t="inlineStr">
        <is>
          <t>1991-05-30</t>
        </is>
      </c>
      <c r="X733" t="inlineStr">
        <is>
          <t>1991-05-30</t>
        </is>
      </c>
      <c r="Y733" t="n">
        <v>263</v>
      </c>
      <c r="Z733" t="n">
        <v>231</v>
      </c>
      <c r="AA733" t="n">
        <v>237</v>
      </c>
      <c r="AB733" t="n">
        <v>2</v>
      </c>
      <c r="AC733" t="n">
        <v>2</v>
      </c>
      <c r="AD733" t="n">
        <v>22</v>
      </c>
      <c r="AE733" t="n">
        <v>22</v>
      </c>
      <c r="AF733" t="n">
        <v>5</v>
      </c>
      <c r="AG733" t="n">
        <v>5</v>
      </c>
      <c r="AH733" t="n">
        <v>7</v>
      </c>
      <c r="AI733" t="n">
        <v>7</v>
      </c>
      <c r="AJ733" t="n">
        <v>15</v>
      </c>
      <c r="AK733" t="n">
        <v>15</v>
      </c>
      <c r="AL733" t="n">
        <v>1</v>
      </c>
      <c r="AM733" t="n">
        <v>1</v>
      </c>
      <c r="AN733" t="n">
        <v>0</v>
      </c>
      <c r="AO733" t="n">
        <v>0</v>
      </c>
      <c r="AP733" t="inlineStr">
        <is>
          <t>No</t>
        </is>
      </c>
      <c r="AQ733" t="inlineStr">
        <is>
          <t>No</t>
        </is>
      </c>
      <c r="AS733">
        <f>HYPERLINK("https://creighton-primo.hosted.exlibrisgroup.com/primo-explore/search?tab=default_tab&amp;search_scope=EVERYTHING&amp;vid=01CRU&amp;lang=en_US&amp;offset=0&amp;query=any,contains,991003011759702656","Catalog Record")</f>
        <v/>
      </c>
      <c r="AT733">
        <f>HYPERLINK("http://www.worldcat.org/oclc/578280","WorldCat Record")</f>
        <v/>
      </c>
      <c r="AU733" t="inlineStr">
        <is>
          <t>366567436:eng</t>
        </is>
      </c>
      <c r="AV733" t="inlineStr">
        <is>
          <t>578280</t>
        </is>
      </c>
      <c r="AW733" t="inlineStr">
        <is>
          <t>991003011759702656</t>
        </is>
      </c>
      <c r="AX733" t="inlineStr">
        <is>
          <t>991003011759702656</t>
        </is>
      </c>
      <c r="AY733" t="inlineStr">
        <is>
          <t>2258731350002656</t>
        </is>
      </c>
      <c r="AZ733" t="inlineStr">
        <is>
          <t>BOOK</t>
        </is>
      </c>
      <c r="BB733" t="inlineStr">
        <is>
          <t>9780809117581</t>
        </is>
      </c>
      <c r="BC733" t="inlineStr">
        <is>
          <t>32285000647296</t>
        </is>
      </c>
      <c r="BD733" t="inlineStr">
        <is>
          <t>893867991</t>
        </is>
      </c>
    </row>
    <row r="734">
      <c r="A734" t="inlineStr">
        <is>
          <t>No</t>
        </is>
      </c>
      <c r="B734" t="inlineStr">
        <is>
          <t>BX1784 .W34 1990</t>
        </is>
      </c>
      <c r="C734" t="inlineStr">
        <is>
          <t>0                      BX 1784000W  34          1990</t>
        </is>
      </c>
      <c r="D734" t="inlineStr">
        <is>
          <t>Walking together : Roman Catholics and ecumenism twenty-five years after Vatican II / edited by Thaddeus D. Horgan.</t>
        </is>
      </c>
      <c r="F734" t="inlineStr">
        <is>
          <t>No</t>
        </is>
      </c>
      <c r="G734" t="inlineStr">
        <is>
          <t>1</t>
        </is>
      </c>
      <c r="H734" t="inlineStr">
        <is>
          <t>No</t>
        </is>
      </c>
      <c r="I734" t="inlineStr">
        <is>
          <t>No</t>
        </is>
      </c>
      <c r="J734" t="inlineStr">
        <is>
          <t>0</t>
        </is>
      </c>
      <c r="L734" t="inlineStr">
        <is>
          <t>Grand Rapids, Mich. : W.B Eerdmans, c1990.</t>
        </is>
      </c>
      <c r="M734" t="inlineStr">
        <is>
          <t>1990</t>
        </is>
      </c>
      <c r="O734" t="inlineStr">
        <is>
          <t>eng</t>
        </is>
      </c>
      <c r="P734" t="inlineStr">
        <is>
          <t>miu</t>
        </is>
      </c>
      <c r="R734" t="inlineStr">
        <is>
          <t xml:space="preserve">BX </t>
        </is>
      </c>
      <c r="S734" t="n">
        <v>3</v>
      </c>
      <c r="T734" t="n">
        <v>3</v>
      </c>
      <c r="U734" t="inlineStr">
        <is>
          <t>1992-04-02</t>
        </is>
      </c>
      <c r="V734" t="inlineStr">
        <is>
          <t>1992-04-02</t>
        </is>
      </c>
      <c r="W734" t="inlineStr">
        <is>
          <t>1991-03-06</t>
        </is>
      </c>
      <c r="X734" t="inlineStr">
        <is>
          <t>1991-03-06</t>
        </is>
      </c>
      <c r="Y734" t="n">
        <v>251</v>
      </c>
      <c r="Z734" t="n">
        <v>203</v>
      </c>
      <c r="AA734" t="n">
        <v>204</v>
      </c>
      <c r="AB734" t="n">
        <v>1</v>
      </c>
      <c r="AC734" t="n">
        <v>1</v>
      </c>
      <c r="AD734" t="n">
        <v>18</v>
      </c>
      <c r="AE734" t="n">
        <v>18</v>
      </c>
      <c r="AF734" t="n">
        <v>4</v>
      </c>
      <c r="AG734" t="n">
        <v>4</v>
      </c>
      <c r="AH734" t="n">
        <v>6</v>
      </c>
      <c r="AI734" t="n">
        <v>6</v>
      </c>
      <c r="AJ734" t="n">
        <v>14</v>
      </c>
      <c r="AK734" t="n">
        <v>14</v>
      </c>
      <c r="AL734" t="n">
        <v>0</v>
      </c>
      <c r="AM734" t="n">
        <v>0</v>
      </c>
      <c r="AN734" t="n">
        <v>0</v>
      </c>
      <c r="AO734" t="n">
        <v>0</v>
      </c>
      <c r="AP734" t="inlineStr">
        <is>
          <t>No</t>
        </is>
      </c>
      <c r="AQ734" t="inlineStr">
        <is>
          <t>No</t>
        </is>
      </c>
      <c r="AS734">
        <f>HYPERLINK("https://creighton-primo.hosted.exlibrisgroup.com/primo-explore/search?tab=default_tab&amp;search_scope=EVERYTHING&amp;vid=01CRU&amp;lang=en_US&amp;offset=0&amp;query=any,contains,991001761839702656","Catalog Record")</f>
        <v/>
      </c>
      <c r="AT734">
        <f>HYPERLINK("http://www.worldcat.org/oclc/22276132","WorldCat Record")</f>
        <v/>
      </c>
      <c r="AU734" t="inlineStr">
        <is>
          <t>24297245:eng</t>
        </is>
      </c>
      <c r="AV734" t="inlineStr">
        <is>
          <t>22276132</t>
        </is>
      </c>
      <c r="AW734" t="inlineStr">
        <is>
          <t>991001761839702656</t>
        </is>
      </c>
      <c r="AX734" t="inlineStr">
        <is>
          <t>991001761839702656</t>
        </is>
      </c>
      <c r="AY734" t="inlineStr">
        <is>
          <t>2263250610002656</t>
        </is>
      </c>
      <c r="AZ734" t="inlineStr">
        <is>
          <t>BOOK</t>
        </is>
      </c>
      <c r="BC734" t="inlineStr">
        <is>
          <t>32285000493154</t>
        </is>
      </c>
      <c r="BD734" t="inlineStr">
        <is>
          <t>893803872</t>
        </is>
      </c>
    </row>
    <row r="735">
      <c r="A735" t="inlineStr">
        <is>
          <t>No</t>
        </is>
      </c>
      <c r="B735" t="inlineStr">
        <is>
          <t>BX1785 .F34</t>
        </is>
      </c>
      <c r="C735" t="inlineStr">
        <is>
          <t>0                      BX 1785000F  34</t>
        </is>
      </c>
      <c r="D735" t="inlineStr">
        <is>
          <t>Assembly 2000 A.D. : preparing for a truly ecumenical gathering of Christians / by Michael A. Fahey.</t>
        </is>
      </c>
      <c r="F735" t="inlineStr">
        <is>
          <t>No</t>
        </is>
      </c>
      <c r="G735" t="inlineStr">
        <is>
          <t>1</t>
        </is>
      </c>
      <c r="H735" t="inlineStr">
        <is>
          <t>No</t>
        </is>
      </c>
      <c r="I735" t="inlineStr">
        <is>
          <t>No</t>
        </is>
      </c>
      <c r="J735" t="inlineStr">
        <is>
          <t>0</t>
        </is>
      </c>
      <c r="K735" t="inlineStr">
        <is>
          <t>Fahey, Michael A. (Michael Andrew), 1933-</t>
        </is>
      </c>
      <c r="L735" t="inlineStr">
        <is>
          <t>Regina : Campion College, University of Regina, 1980.</t>
        </is>
      </c>
      <c r="M735" t="inlineStr">
        <is>
          <t>1980</t>
        </is>
      </c>
      <c r="O735" t="inlineStr">
        <is>
          <t>eng</t>
        </is>
      </c>
      <c r="P735" t="inlineStr">
        <is>
          <t xml:space="preserve">sn </t>
        </is>
      </c>
      <c r="Q735" t="inlineStr">
        <is>
          <t>The Nash lecture ; 1980</t>
        </is>
      </c>
      <c r="R735" t="inlineStr">
        <is>
          <t xml:space="preserve">BX </t>
        </is>
      </c>
      <c r="S735" t="n">
        <v>2</v>
      </c>
      <c r="T735" t="n">
        <v>2</v>
      </c>
      <c r="U735" t="inlineStr">
        <is>
          <t>1993-04-13</t>
        </is>
      </c>
      <c r="V735" t="inlineStr">
        <is>
          <t>1993-04-13</t>
        </is>
      </c>
      <c r="W735" t="inlineStr">
        <is>
          <t>1991-05-30</t>
        </is>
      </c>
      <c r="X735" t="inlineStr">
        <is>
          <t>1991-05-30</t>
        </is>
      </c>
      <c r="Y735" t="n">
        <v>10</v>
      </c>
      <c r="Z735" t="n">
        <v>10</v>
      </c>
      <c r="AA735" t="n">
        <v>24</v>
      </c>
      <c r="AB735" t="n">
        <v>1</v>
      </c>
      <c r="AC735" t="n">
        <v>1</v>
      </c>
      <c r="AD735" t="n">
        <v>8</v>
      </c>
      <c r="AE735" t="n">
        <v>11</v>
      </c>
      <c r="AF735" t="n">
        <v>3</v>
      </c>
      <c r="AG735" t="n">
        <v>4</v>
      </c>
      <c r="AH735" t="n">
        <v>2</v>
      </c>
      <c r="AI735" t="n">
        <v>2</v>
      </c>
      <c r="AJ735" t="n">
        <v>8</v>
      </c>
      <c r="AK735" t="n">
        <v>11</v>
      </c>
      <c r="AL735" t="n">
        <v>0</v>
      </c>
      <c r="AM735" t="n">
        <v>0</v>
      </c>
      <c r="AN735" t="n">
        <v>0</v>
      </c>
      <c r="AO735" t="n">
        <v>0</v>
      </c>
      <c r="AP735" t="inlineStr">
        <is>
          <t>No</t>
        </is>
      </c>
      <c r="AQ735" t="inlineStr">
        <is>
          <t>No</t>
        </is>
      </c>
      <c r="AS735">
        <f>HYPERLINK("https://creighton-primo.hosted.exlibrisgroup.com/primo-explore/search?tab=default_tab&amp;search_scope=EVERYTHING&amp;vid=01CRU&amp;lang=en_US&amp;offset=0&amp;query=any,contains,991005174379702656","Catalog Record")</f>
        <v/>
      </c>
      <c r="AT735">
        <f>HYPERLINK("http://www.worldcat.org/oclc/7894838","WorldCat Record")</f>
        <v/>
      </c>
      <c r="AU735" t="inlineStr">
        <is>
          <t>909670323:eng</t>
        </is>
      </c>
      <c r="AV735" t="inlineStr">
        <is>
          <t>7894838</t>
        </is>
      </c>
      <c r="AW735" t="inlineStr">
        <is>
          <t>991005174379702656</t>
        </is>
      </c>
      <c r="AX735" t="inlineStr">
        <is>
          <t>991005174379702656</t>
        </is>
      </c>
      <c r="AY735" t="inlineStr">
        <is>
          <t>2261324470002656</t>
        </is>
      </c>
      <c r="AZ735" t="inlineStr">
        <is>
          <t>BOOK</t>
        </is>
      </c>
      <c r="BB735" t="inlineStr">
        <is>
          <t>9780969001720</t>
        </is>
      </c>
      <c r="BC735" t="inlineStr">
        <is>
          <t>32285000647353</t>
        </is>
      </c>
      <c r="BD735" t="inlineStr">
        <is>
          <t>893443527</t>
        </is>
      </c>
    </row>
    <row r="736">
      <c r="A736" t="inlineStr">
        <is>
          <t>No</t>
        </is>
      </c>
      <c r="B736" t="inlineStr">
        <is>
          <t>BX1785 .J63</t>
        </is>
      </c>
      <c r="C736" t="inlineStr">
        <is>
          <t>0                      BX 1785000J  63</t>
        </is>
      </c>
      <c r="D736" t="inlineStr">
        <is>
          <t>Pope John Paul II : addresses and homilies on ecumenism, 1978-1980 / edited by John B. Sheerin, John F. Hotchkin.</t>
        </is>
      </c>
      <c r="F736" t="inlineStr">
        <is>
          <t>No</t>
        </is>
      </c>
      <c r="G736" t="inlineStr">
        <is>
          <t>1</t>
        </is>
      </c>
      <c r="H736" t="inlineStr">
        <is>
          <t>No</t>
        </is>
      </c>
      <c r="I736" t="inlineStr">
        <is>
          <t>No</t>
        </is>
      </c>
      <c r="J736" t="inlineStr">
        <is>
          <t>0</t>
        </is>
      </c>
      <c r="K736" t="inlineStr">
        <is>
          <t>John Paul II, Pope, 1920-2005.</t>
        </is>
      </c>
      <c r="L736" t="inlineStr">
        <is>
          <t>Washington, D.C. : Publications Office, United States Catholic Conference, c1981.</t>
        </is>
      </c>
      <c r="M736" t="inlineStr">
        <is>
          <t>1981</t>
        </is>
      </c>
      <c r="O736" t="inlineStr">
        <is>
          <t>eng</t>
        </is>
      </c>
      <c r="P736" t="inlineStr">
        <is>
          <t>dcu</t>
        </is>
      </c>
      <c r="R736" t="inlineStr">
        <is>
          <t xml:space="preserve">BX </t>
        </is>
      </c>
      <c r="S736" t="n">
        <v>3</v>
      </c>
      <c r="T736" t="n">
        <v>3</v>
      </c>
      <c r="U736" t="inlineStr">
        <is>
          <t>2001-07-25</t>
        </is>
      </c>
      <c r="V736" t="inlineStr">
        <is>
          <t>2001-07-25</t>
        </is>
      </c>
      <c r="W736" t="inlineStr">
        <is>
          <t>1991-05-30</t>
        </is>
      </c>
      <c r="X736" t="inlineStr">
        <is>
          <t>1991-05-30</t>
        </is>
      </c>
      <c r="Y736" t="n">
        <v>191</v>
      </c>
      <c r="Z736" t="n">
        <v>177</v>
      </c>
      <c r="AA736" t="n">
        <v>178</v>
      </c>
      <c r="AB736" t="n">
        <v>2</v>
      </c>
      <c r="AC736" t="n">
        <v>2</v>
      </c>
      <c r="AD736" t="n">
        <v>22</v>
      </c>
      <c r="AE736" t="n">
        <v>22</v>
      </c>
      <c r="AF736" t="n">
        <v>7</v>
      </c>
      <c r="AG736" t="n">
        <v>7</v>
      </c>
      <c r="AH736" t="n">
        <v>8</v>
      </c>
      <c r="AI736" t="n">
        <v>8</v>
      </c>
      <c r="AJ736" t="n">
        <v>16</v>
      </c>
      <c r="AK736" t="n">
        <v>16</v>
      </c>
      <c r="AL736" t="n">
        <v>0</v>
      </c>
      <c r="AM736" t="n">
        <v>0</v>
      </c>
      <c r="AN736" t="n">
        <v>0</v>
      </c>
      <c r="AO736" t="n">
        <v>0</v>
      </c>
      <c r="AP736" t="inlineStr">
        <is>
          <t>No</t>
        </is>
      </c>
      <c r="AQ736" t="inlineStr">
        <is>
          <t>No</t>
        </is>
      </c>
      <c r="AS736">
        <f>HYPERLINK("https://creighton-primo.hosted.exlibrisgroup.com/primo-explore/search?tab=default_tab&amp;search_scope=EVERYTHING&amp;vid=01CRU&amp;lang=en_US&amp;offset=0&amp;query=any,contains,991005218149702656","Catalog Record")</f>
        <v/>
      </c>
      <c r="AT736">
        <f>HYPERLINK("http://www.worldcat.org/oclc/8202095","WorldCat Record")</f>
        <v/>
      </c>
      <c r="AU736" t="inlineStr">
        <is>
          <t>3149435992:eng</t>
        </is>
      </c>
      <c r="AV736" t="inlineStr">
        <is>
          <t>8202095</t>
        </is>
      </c>
      <c r="AW736" t="inlineStr">
        <is>
          <t>991005218149702656</t>
        </is>
      </c>
      <c r="AX736" t="inlineStr">
        <is>
          <t>991005218149702656</t>
        </is>
      </c>
      <c r="AY736" t="inlineStr">
        <is>
          <t>2269193150002656</t>
        </is>
      </c>
      <c r="AZ736" t="inlineStr">
        <is>
          <t>BOOK</t>
        </is>
      </c>
      <c r="BC736" t="inlineStr">
        <is>
          <t>32285004386024</t>
        </is>
      </c>
      <c r="BD736" t="inlineStr">
        <is>
          <t>893520655</t>
        </is>
      </c>
    </row>
    <row r="737">
      <c r="A737" t="inlineStr">
        <is>
          <t>No</t>
        </is>
      </c>
      <c r="B737" t="inlineStr">
        <is>
          <t>BX1785 .T35</t>
        </is>
      </c>
      <c r="C737" t="inlineStr">
        <is>
          <t>0                      BX 1785000T  35</t>
        </is>
      </c>
      <c r="D737" t="inlineStr">
        <is>
          <t>Protestant hopes and the Catholic responsibility / by George Tavard.</t>
        </is>
      </c>
      <c r="F737" t="inlineStr">
        <is>
          <t>No</t>
        </is>
      </c>
      <c r="G737" t="inlineStr">
        <is>
          <t>1</t>
        </is>
      </c>
      <c r="H737" t="inlineStr">
        <is>
          <t>No</t>
        </is>
      </c>
      <c r="I737" t="inlineStr">
        <is>
          <t>No</t>
        </is>
      </c>
      <c r="J737" t="inlineStr">
        <is>
          <t>0</t>
        </is>
      </c>
      <c r="K737" t="inlineStr">
        <is>
          <t>Tavard, George H. (George Henry), 1922-2007.</t>
        </is>
      </c>
      <c r="L737" t="inlineStr">
        <is>
          <t>Notre Dame, Ind., Fides Publishers [1964]</t>
        </is>
      </c>
      <c r="M737" t="inlineStr">
        <is>
          <t>1964</t>
        </is>
      </c>
      <c r="O737" t="inlineStr">
        <is>
          <t>eng</t>
        </is>
      </c>
      <c r="P737" t="inlineStr">
        <is>
          <t>inu</t>
        </is>
      </c>
      <c r="Q737" t="inlineStr">
        <is>
          <t>A Fides dome book, D-40</t>
        </is>
      </c>
      <c r="R737" t="inlineStr">
        <is>
          <t xml:space="preserve">BX </t>
        </is>
      </c>
      <c r="S737" t="n">
        <v>2</v>
      </c>
      <c r="T737" t="n">
        <v>2</v>
      </c>
      <c r="U737" t="inlineStr">
        <is>
          <t>2005-08-17</t>
        </is>
      </c>
      <c r="V737" t="inlineStr">
        <is>
          <t>2005-08-17</t>
        </is>
      </c>
      <c r="W737" t="inlineStr">
        <is>
          <t>1991-05-31</t>
        </is>
      </c>
      <c r="X737" t="inlineStr">
        <is>
          <t>1991-05-31</t>
        </is>
      </c>
      <c r="Y737" t="n">
        <v>122</v>
      </c>
      <c r="Z737" t="n">
        <v>107</v>
      </c>
      <c r="AA737" t="n">
        <v>172</v>
      </c>
      <c r="AB737" t="n">
        <v>1</v>
      </c>
      <c r="AC737" t="n">
        <v>1</v>
      </c>
      <c r="AD737" t="n">
        <v>7</v>
      </c>
      <c r="AE737" t="n">
        <v>16</v>
      </c>
      <c r="AF737" t="n">
        <v>3</v>
      </c>
      <c r="AG737" t="n">
        <v>7</v>
      </c>
      <c r="AH737" t="n">
        <v>1</v>
      </c>
      <c r="AI737" t="n">
        <v>2</v>
      </c>
      <c r="AJ737" t="n">
        <v>6</v>
      </c>
      <c r="AK737" t="n">
        <v>13</v>
      </c>
      <c r="AL737" t="n">
        <v>0</v>
      </c>
      <c r="AM737" t="n">
        <v>0</v>
      </c>
      <c r="AN737" t="n">
        <v>0</v>
      </c>
      <c r="AO737" t="n">
        <v>0</v>
      </c>
      <c r="AP737" t="inlineStr">
        <is>
          <t>No</t>
        </is>
      </c>
      <c r="AQ737" t="inlineStr">
        <is>
          <t>No</t>
        </is>
      </c>
      <c r="AS737">
        <f>HYPERLINK("https://creighton-primo.hosted.exlibrisgroup.com/primo-explore/search?tab=default_tab&amp;search_scope=EVERYTHING&amp;vid=01CRU&amp;lang=en_US&amp;offset=0&amp;query=any,contains,991002256279702656","Catalog Record")</f>
        <v/>
      </c>
      <c r="AT737">
        <f>HYPERLINK("http://www.worldcat.org/oclc/301880","WorldCat Record")</f>
        <v/>
      </c>
      <c r="AU737" t="inlineStr">
        <is>
          <t>1345399:eng</t>
        </is>
      </c>
      <c r="AV737" t="inlineStr">
        <is>
          <t>301880</t>
        </is>
      </c>
      <c r="AW737" t="inlineStr">
        <is>
          <t>991002256279702656</t>
        </is>
      </c>
      <c r="AX737" t="inlineStr">
        <is>
          <t>991002256279702656</t>
        </is>
      </c>
      <c r="AY737" t="inlineStr">
        <is>
          <t>2269945720002656</t>
        </is>
      </c>
      <c r="AZ737" t="inlineStr">
        <is>
          <t>BOOK</t>
        </is>
      </c>
      <c r="BC737" t="inlineStr">
        <is>
          <t>32285000665017</t>
        </is>
      </c>
      <c r="BD737" t="inlineStr">
        <is>
          <t>893591120</t>
        </is>
      </c>
    </row>
    <row r="738">
      <c r="A738" t="inlineStr">
        <is>
          <t>No</t>
        </is>
      </c>
      <c r="B738" t="inlineStr">
        <is>
          <t>BX1787 .H45 2005</t>
        </is>
      </c>
      <c r="C738" t="inlineStr">
        <is>
          <t>0                      BX 1787000H  45          2005</t>
        </is>
      </c>
      <c r="D738" t="inlineStr">
        <is>
          <t>Heirs of Abraham : the future of Muslim, Jewish, and Christian relations / edited by Bradford E. Hinze and Irfan A. Omar.</t>
        </is>
      </c>
      <c r="F738" t="inlineStr">
        <is>
          <t>No</t>
        </is>
      </c>
      <c r="G738" t="inlineStr">
        <is>
          <t>1</t>
        </is>
      </c>
      <c r="H738" t="inlineStr">
        <is>
          <t>No</t>
        </is>
      </c>
      <c r="I738" t="inlineStr">
        <is>
          <t>No</t>
        </is>
      </c>
      <c r="J738" t="inlineStr">
        <is>
          <t>0</t>
        </is>
      </c>
      <c r="L738" t="inlineStr">
        <is>
          <t>Maryknoll, N.Y. : Orbis Books, c2005.</t>
        </is>
      </c>
      <c r="M738" t="inlineStr">
        <is>
          <t>2005</t>
        </is>
      </c>
      <c r="O738" t="inlineStr">
        <is>
          <t>eng</t>
        </is>
      </c>
      <c r="P738" t="inlineStr">
        <is>
          <t>nyu</t>
        </is>
      </c>
      <c r="R738" t="inlineStr">
        <is>
          <t xml:space="preserve">BX </t>
        </is>
      </c>
      <c r="S738" t="n">
        <v>1</v>
      </c>
      <c r="T738" t="n">
        <v>1</v>
      </c>
      <c r="U738" t="inlineStr">
        <is>
          <t>2005-08-17</t>
        </is>
      </c>
      <c r="V738" t="inlineStr">
        <is>
          <t>2005-08-17</t>
        </is>
      </c>
      <c r="W738" t="inlineStr">
        <is>
          <t>2005-07-26</t>
        </is>
      </c>
      <c r="X738" t="inlineStr">
        <is>
          <t>2005-07-26</t>
        </is>
      </c>
      <c r="Y738" t="n">
        <v>237</v>
      </c>
      <c r="Z738" t="n">
        <v>186</v>
      </c>
      <c r="AA738" t="n">
        <v>191</v>
      </c>
      <c r="AB738" t="n">
        <v>1</v>
      </c>
      <c r="AC738" t="n">
        <v>1</v>
      </c>
      <c r="AD738" t="n">
        <v>18</v>
      </c>
      <c r="AE738" t="n">
        <v>18</v>
      </c>
      <c r="AF738" t="n">
        <v>6</v>
      </c>
      <c r="AG738" t="n">
        <v>6</v>
      </c>
      <c r="AH738" t="n">
        <v>5</v>
      </c>
      <c r="AI738" t="n">
        <v>5</v>
      </c>
      <c r="AJ738" t="n">
        <v>12</v>
      </c>
      <c r="AK738" t="n">
        <v>12</v>
      </c>
      <c r="AL738" t="n">
        <v>0</v>
      </c>
      <c r="AM738" t="n">
        <v>0</v>
      </c>
      <c r="AN738" t="n">
        <v>0</v>
      </c>
      <c r="AO738" t="n">
        <v>0</v>
      </c>
      <c r="AP738" t="inlineStr">
        <is>
          <t>No</t>
        </is>
      </c>
      <c r="AQ738" t="inlineStr">
        <is>
          <t>Yes</t>
        </is>
      </c>
      <c r="AR738">
        <f>HYPERLINK("http://catalog.hathitrust.org/Record/005051535","HathiTrust Record")</f>
        <v/>
      </c>
      <c r="AS738">
        <f>HYPERLINK("https://creighton-primo.hosted.exlibrisgroup.com/primo-explore/search?tab=default_tab&amp;search_scope=EVERYTHING&amp;vid=01CRU&amp;lang=en_US&amp;offset=0&amp;query=any,contains,991004601819702656","Catalog Record")</f>
        <v/>
      </c>
      <c r="AT738">
        <f>HYPERLINK("http://www.worldcat.org/oclc/57007714","WorldCat Record")</f>
        <v/>
      </c>
      <c r="AU738" t="inlineStr">
        <is>
          <t>900788631:eng</t>
        </is>
      </c>
      <c r="AV738" t="inlineStr">
        <is>
          <t>57007714</t>
        </is>
      </c>
      <c r="AW738" t="inlineStr">
        <is>
          <t>991004601819702656</t>
        </is>
      </c>
      <c r="AX738" t="inlineStr">
        <is>
          <t>991004601819702656</t>
        </is>
      </c>
      <c r="AY738" t="inlineStr">
        <is>
          <t>2258150850002656</t>
        </is>
      </c>
      <c r="AZ738" t="inlineStr">
        <is>
          <t>BOOK</t>
        </is>
      </c>
      <c r="BB738" t="inlineStr">
        <is>
          <t>9781570755859</t>
        </is>
      </c>
      <c r="BC738" t="inlineStr">
        <is>
          <t>32285005097992</t>
        </is>
      </c>
      <c r="BD738" t="inlineStr">
        <is>
          <t>893411740</t>
        </is>
      </c>
    </row>
    <row r="739">
      <c r="A739" t="inlineStr">
        <is>
          <t>No</t>
        </is>
      </c>
      <c r="B739" t="inlineStr">
        <is>
          <t>BX1790 .B27 1955</t>
        </is>
      </c>
      <c r="C739" t="inlineStr">
        <is>
          <t>0                      BX 1790000B  27          1955</t>
        </is>
      </c>
      <c r="D739" t="inlineStr">
        <is>
          <t>The Catholic Church and the modern state : a study of their mutual juridical claims / by Joseph J. Baierl.</t>
        </is>
      </c>
      <c r="F739" t="inlineStr">
        <is>
          <t>No</t>
        </is>
      </c>
      <c r="G739" t="inlineStr">
        <is>
          <t>1</t>
        </is>
      </c>
      <c r="H739" t="inlineStr">
        <is>
          <t>No</t>
        </is>
      </c>
      <c r="I739" t="inlineStr">
        <is>
          <t>No</t>
        </is>
      </c>
      <c r="J739" t="inlineStr">
        <is>
          <t>0</t>
        </is>
      </c>
      <c r="K739" t="inlineStr">
        <is>
          <t>Baierl, Joseph J. (Joseph John), 1884-1955.</t>
        </is>
      </c>
      <c r="L739" t="inlineStr">
        <is>
          <t>Rochester, N. Y. : St. Bernard's Seminary, 1955.</t>
        </is>
      </c>
      <c r="M739" t="inlineStr">
        <is>
          <t>1955</t>
        </is>
      </c>
      <c r="O739" t="inlineStr">
        <is>
          <t>eng</t>
        </is>
      </c>
      <c r="P739" t="inlineStr">
        <is>
          <t>nyu</t>
        </is>
      </c>
      <c r="R739" t="inlineStr">
        <is>
          <t xml:space="preserve">BX </t>
        </is>
      </c>
      <c r="S739" t="n">
        <v>2</v>
      </c>
      <c r="T739" t="n">
        <v>2</v>
      </c>
      <c r="U739" t="inlineStr">
        <is>
          <t>2004-05-13</t>
        </is>
      </c>
      <c r="V739" t="inlineStr">
        <is>
          <t>2004-05-13</t>
        </is>
      </c>
      <c r="W739" t="inlineStr">
        <is>
          <t>1991-05-31</t>
        </is>
      </c>
      <c r="X739" t="inlineStr">
        <is>
          <t>1991-05-31</t>
        </is>
      </c>
      <c r="Y739" t="n">
        <v>76</v>
      </c>
      <c r="Z739" t="n">
        <v>65</v>
      </c>
      <c r="AA739" t="n">
        <v>66</v>
      </c>
      <c r="AB739" t="n">
        <v>1</v>
      </c>
      <c r="AC739" t="n">
        <v>1</v>
      </c>
      <c r="AD739" t="n">
        <v>17</v>
      </c>
      <c r="AE739" t="n">
        <v>17</v>
      </c>
      <c r="AF739" t="n">
        <v>6</v>
      </c>
      <c r="AG739" t="n">
        <v>6</v>
      </c>
      <c r="AH739" t="n">
        <v>4</v>
      </c>
      <c r="AI739" t="n">
        <v>4</v>
      </c>
      <c r="AJ739" t="n">
        <v>13</v>
      </c>
      <c r="AK739" t="n">
        <v>13</v>
      </c>
      <c r="AL739" t="n">
        <v>0</v>
      </c>
      <c r="AM739" t="n">
        <v>0</v>
      </c>
      <c r="AN739" t="n">
        <v>0</v>
      </c>
      <c r="AO739" t="n">
        <v>0</v>
      </c>
      <c r="AP739" t="inlineStr">
        <is>
          <t>No</t>
        </is>
      </c>
      <c r="AQ739" t="inlineStr">
        <is>
          <t>No</t>
        </is>
      </c>
      <c r="AS739">
        <f>HYPERLINK("https://creighton-primo.hosted.exlibrisgroup.com/primo-explore/search?tab=default_tab&amp;search_scope=EVERYTHING&amp;vid=01CRU&amp;lang=en_US&amp;offset=0&amp;query=any,contains,991004249859702656","Catalog Record")</f>
        <v/>
      </c>
      <c r="AT739">
        <f>HYPERLINK("http://www.worldcat.org/oclc/2807065","WorldCat Record")</f>
        <v/>
      </c>
      <c r="AU739" t="inlineStr">
        <is>
          <t>1097249885:eng</t>
        </is>
      </c>
      <c r="AV739" t="inlineStr">
        <is>
          <t>2807065</t>
        </is>
      </c>
      <c r="AW739" t="inlineStr">
        <is>
          <t>991004249859702656</t>
        </is>
      </c>
      <c r="AX739" t="inlineStr">
        <is>
          <t>991004249859702656</t>
        </is>
      </c>
      <c r="AY739" t="inlineStr">
        <is>
          <t>2267900970002656</t>
        </is>
      </c>
      <c r="AZ739" t="inlineStr">
        <is>
          <t>BOOK</t>
        </is>
      </c>
      <c r="BC739" t="inlineStr">
        <is>
          <t>32285000665041</t>
        </is>
      </c>
      <c r="BD739" t="inlineStr">
        <is>
          <t>893687522</t>
        </is>
      </c>
    </row>
    <row r="740">
      <c r="A740" t="inlineStr">
        <is>
          <t>No</t>
        </is>
      </c>
      <c r="B740" t="inlineStr">
        <is>
          <t>BX1790 .F3 1931</t>
        </is>
      </c>
      <c r="C740" t="inlineStr">
        <is>
          <t>0                      BX 1790000F  3           1931</t>
        </is>
      </c>
      <c r="D740" t="inlineStr">
        <is>
          <t>The kingship of Christ : according to the principles of St. Thomas Aquinas / by Denis Fahey, with a preface by J. A. McQuaid.</t>
        </is>
      </c>
      <c r="F740" t="inlineStr">
        <is>
          <t>No</t>
        </is>
      </c>
      <c r="G740" t="inlineStr">
        <is>
          <t>1</t>
        </is>
      </c>
      <c r="H740" t="inlineStr">
        <is>
          <t>No</t>
        </is>
      </c>
      <c r="I740" t="inlineStr">
        <is>
          <t>No</t>
        </is>
      </c>
      <c r="J740" t="inlineStr">
        <is>
          <t>0</t>
        </is>
      </c>
      <c r="K740" t="inlineStr">
        <is>
          <t>Fahey, Denis, 1883-1954.</t>
        </is>
      </c>
      <c r="L740" t="inlineStr">
        <is>
          <t>Dublin ; London : Browne and Nolan, limited, [1931].</t>
        </is>
      </c>
      <c r="M740" t="inlineStr">
        <is>
          <t>1931</t>
        </is>
      </c>
      <c r="O740" t="inlineStr">
        <is>
          <t>eng</t>
        </is>
      </c>
      <c r="P740" t="inlineStr">
        <is>
          <t>enk</t>
        </is>
      </c>
      <c r="R740" t="inlineStr">
        <is>
          <t xml:space="preserve">BX </t>
        </is>
      </c>
      <c r="S740" t="n">
        <v>2</v>
      </c>
      <c r="T740" t="n">
        <v>2</v>
      </c>
      <c r="U740" t="inlineStr">
        <is>
          <t>2003-11-06</t>
        </is>
      </c>
      <c r="V740" t="inlineStr">
        <is>
          <t>2003-11-06</t>
        </is>
      </c>
      <c r="W740" t="inlineStr">
        <is>
          <t>1991-05-31</t>
        </is>
      </c>
      <c r="X740" t="inlineStr">
        <is>
          <t>1991-05-31</t>
        </is>
      </c>
      <c r="Y740" t="n">
        <v>70</v>
      </c>
      <c r="Z740" t="n">
        <v>56</v>
      </c>
      <c r="AA740" t="n">
        <v>60</v>
      </c>
      <c r="AB740" t="n">
        <v>1</v>
      </c>
      <c r="AC740" t="n">
        <v>2</v>
      </c>
      <c r="AD740" t="n">
        <v>12</v>
      </c>
      <c r="AE740" t="n">
        <v>12</v>
      </c>
      <c r="AF740" t="n">
        <v>1</v>
      </c>
      <c r="AG740" t="n">
        <v>1</v>
      </c>
      <c r="AH740" t="n">
        <v>2</v>
      </c>
      <c r="AI740" t="n">
        <v>2</v>
      </c>
      <c r="AJ740" t="n">
        <v>11</v>
      </c>
      <c r="AK740" t="n">
        <v>11</v>
      </c>
      <c r="AL740" t="n">
        <v>0</v>
      </c>
      <c r="AM740" t="n">
        <v>0</v>
      </c>
      <c r="AN740" t="n">
        <v>0</v>
      </c>
      <c r="AO740" t="n">
        <v>0</v>
      </c>
      <c r="AP740" t="inlineStr">
        <is>
          <t>No</t>
        </is>
      </c>
      <c r="AQ740" t="inlineStr">
        <is>
          <t>No</t>
        </is>
      </c>
      <c r="AS740">
        <f>HYPERLINK("https://creighton-primo.hosted.exlibrisgroup.com/primo-explore/search?tab=default_tab&amp;search_scope=EVERYTHING&amp;vid=01CRU&amp;lang=en_US&amp;offset=0&amp;query=any,contains,991004709729702656","Catalog Record")</f>
        <v/>
      </c>
      <c r="AT740">
        <f>HYPERLINK("http://www.worldcat.org/oclc/4751858","WorldCat Record")</f>
        <v/>
      </c>
      <c r="AU740" t="inlineStr">
        <is>
          <t>14956860:eng</t>
        </is>
      </c>
      <c r="AV740" t="inlineStr">
        <is>
          <t>4751858</t>
        </is>
      </c>
      <c r="AW740" t="inlineStr">
        <is>
          <t>991004709729702656</t>
        </is>
      </c>
      <c r="AX740" t="inlineStr">
        <is>
          <t>991004709729702656</t>
        </is>
      </c>
      <c r="AY740" t="inlineStr">
        <is>
          <t>2261355230002656</t>
        </is>
      </c>
      <c r="AZ740" t="inlineStr">
        <is>
          <t>BOOK</t>
        </is>
      </c>
      <c r="BC740" t="inlineStr">
        <is>
          <t>32285000665066</t>
        </is>
      </c>
      <c r="BD740" t="inlineStr">
        <is>
          <t>893260074</t>
        </is>
      </c>
    </row>
    <row r="741">
      <c r="A741" t="inlineStr">
        <is>
          <t>No</t>
        </is>
      </c>
      <c r="B741" t="inlineStr">
        <is>
          <t>BX1790 .F33</t>
        </is>
      </c>
      <c r="C741" t="inlineStr">
        <is>
          <t>0                      BX 1790000F  33</t>
        </is>
      </c>
      <c r="D741" t="inlineStr">
        <is>
          <t>The mystical body of Christ in the modern world / by Denis Fahey ; with a prefatory letter from the Most Rev. J. Kinane.</t>
        </is>
      </c>
      <c r="F741" t="inlineStr">
        <is>
          <t>No</t>
        </is>
      </c>
      <c r="G741" t="inlineStr">
        <is>
          <t>1</t>
        </is>
      </c>
      <c r="H741" t="inlineStr">
        <is>
          <t>No</t>
        </is>
      </c>
      <c r="I741" t="inlineStr">
        <is>
          <t>No</t>
        </is>
      </c>
      <c r="J741" t="inlineStr">
        <is>
          <t>0</t>
        </is>
      </c>
      <c r="K741" t="inlineStr">
        <is>
          <t>Fahey, Denis, 1883-1954.</t>
        </is>
      </c>
      <c r="L741" t="inlineStr">
        <is>
          <t>Dublin, London [etc.] Browne and Nolan [1935]</t>
        </is>
      </c>
      <c r="M741" t="inlineStr">
        <is>
          <t>1935</t>
        </is>
      </c>
      <c r="O741" t="inlineStr">
        <is>
          <t>eng</t>
        </is>
      </c>
      <c r="P741" t="inlineStr">
        <is>
          <t xml:space="preserve">xx </t>
        </is>
      </c>
      <c r="R741" t="inlineStr">
        <is>
          <t xml:space="preserve">BX </t>
        </is>
      </c>
      <c r="S741" t="n">
        <v>4</v>
      </c>
      <c r="T741" t="n">
        <v>4</v>
      </c>
      <c r="U741" t="inlineStr">
        <is>
          <t>2004-05-13</t>
        </is>
      </c>
      <c r="V741" t="inlineStr">
        <is>
          <t>2004-05-13</t>
        </is>
      </c>
      <c r="W741" t="inlineStr">
        <is>
          <t>1991-05-31</t>
        </is>
      </c>
      <c r="X741" t="inlineStr">
        <is>
          <t>1991-05-31</t>
        </is>
      </c>
      <c r="Y741" t="n">
        <v>48</v>
      </c>
      <c r="Z741" t="n">
        <v>36</v>
      </c>
      <c r="AA741" t="n">
        <v>119</v>
      </c>
      <c r="AB741" t="n">
        <v>1</v>
      </c>
      <c r="AC741" t="n">
        <v>3</v>
      </c>
      <c r="AD741" t="n">
        <v>12</v>
      </c>
      <c r="AE741" t="n">
        <v>19</v>
      </c>
      <c r="AF741" t="n">
        <v>2</v>
      </c>
      <c r="AG741" t="n">
        <v>4</v>
      </c>
      <c r="AH741" t="n">
        <v>4</v>
      </c>
      <c r="AI741" t="n">
        <v>6</v>
      </c>
      <c r="AJ741" t="n">
        <v>8</v>
      </c>
      <c r="AK741" t="n">
        <v>13</v>
      </c>
      <c r="AL741" t="n">
        <v>0</v>
      </c>
      <c r="AM741" t="n">
        <v>0</v>
      </c>
      <c r="AN741" t="n">
        <v>0</v>
      </c>
      <c r="AO741" t="n">
        <v>0</v>
      </c>
      <c r="AP741" t="inlineStr">
        <is>
          <t>No</t>
        </is>
      </c>
      <c r="AQ741" t="inlineStr">
        <is>
          <t>No</t>
        </is>
      </c>
      <c r="AS741">
        <f>HYPERLINK("https://creighton-primo.hosted.exlibrisgroup.com/primo-explore/search?tab=default_tab&amp;search_scope=EVERYTHING&amp;vid=01CRU&amp;lang=en_US&amp;offset=0&amp;query=any,contains,991004491319702656","Catalog Record")</f>
        <v/>
      </c>
      <c r="AT741">
        <f>HYPERLINK("http://www.worldcat.org/oclc/3662810","WorldCat Record")</f>
        <v/>
      </c>
      <c r="AU741" t="inlineStr">
        <is>
          <t>1732014:eng</t>
        </is>
      </c>
      <c r="AV741" t="inlineStr">
        <is>
          <t>3662810</t>
        </is>
      </c>
      <c r="AW741" t="inlineStr">
        <is>
          <t>991004491319702656</t>
        </is>
      </c>
      <c r="AX741" t="inlineStr">
        <is>
          <t>991004491319702656</t>
        </is>
      </c>
      <c r="AY741" t="inlineStr">
        <is>
          <t>2261348570002656</t>
        </is>
      </c>
      <c r="AZ741" t="inlineStr">
        <is>
          <t>BOOK</t>
        </is>
      </c>
      <c r="BC741" t="inlineStr">
        <is>
          <t>32285000665074</t>
        </is>
      </c>
      <c r="BD741" t="inlineStr">
        <is>
          <t>893794907</t>
        </is>
      </c>
    </row>
    <row r="742">
      <c r="A742" t="inlineStr">
        <is>
          <t>No</t>
        </is>
      </c>
      <c r="B742" t="inlineStr">
        <is>
          <t>BX1790 .F331 1945a</t>
        </is>
      </c>
      <c r="C742" t="inlineStr">
        <is>
          <t>0                      BX 1790000F  331         1945a</t>
        </is>
      </c>
      <c r="D742" t="inlineStr">
        <is>
          <t>The mystical body of Christ and the reorganization of society / by Denis Fahey.</t>
        </is>
      </c>
      <c r="F742" t="inlineStr">
        <is>
          <t>No</t>
        </is>
      </c>
      <c r="G742" t="inlineStr">
        <is>
          <t>1</t>
        </is>
      </c>
      <c r="H742" t="inlineStr">
        <is>
          <t>No</t>
        </is>
      </c>
      <c r="I742" t="inlineStr">
        <is>
          <t>No</t>
        </is>
      </c>
      <c r="J742" t="inlineStr">
        <is>
          <t>0</t>
        </is>
      </c>
      <c r="K742" t="inlineStr">
        <is>
          <t>Fahey, Denis, 1883-1954.</t>
        </is>
      </c>
      <c r="L742" t="inlineStr">
        <is>
          <t>Cork [Ire.] : Forum, 1945.</t>
        </is>
      </c>
      <c r="M742" t="inlineStr">
        <is>
          <t>1945</t>
        </is>
      </c>
      <c r="O742" t="inlineStr">
        <is>
          <t>eng</t>
        </is>
      </c>
      <c r="P742" t="inlineStr">
        <is>
          <t xml:space="preserve">ie </t>
        </is>
      </c>
      <c r="Q742" t="inlineStr">
        <is>
          <t>The Maria Regina series ; no. 3</t>
        </is>
      </c>
      <c r="R742" t="inlineStr">
        <is>
          <t xml:space="preserve">BX </t>
        </is>
      </c>
      <c r="S742" t="n">
        <v>3</v>
      </c>
      <c r="T742" t="n">
        <v>3</v>
      </c>
      <c r="U742" t="inlineStr">
        <is>
          <t>2003-06-29</t>
        </is>
      </c>
      <c r="V742" t="inlineStr">
        <is>
          <t>2003-06-29</t>
        </is>
      </c>
      <c r="W742" t="inlineStr">
        <is>
          <t>1991-05-31</t>
        </is>
      </c>
      <c r="X742" t="inlineStr">
        <is>
          <t>1991-05-31</t>
        </is>
      </c>
      <c r="Y742" t="n">
        <v>48</v>
      </c>
      <c r="Z742" t="n">
        <v>34</v>
      </c>
      <c r="AA742" t="n">
        <v>46</v>
      </c>
      <c r="AB742" t="n">
        <v>1</v>
      </c>
      <c r="AC742" t="n">
        <v>2</v>
      </c>
      <c r="AD742" t="n">
        <v>5</v>
      </c>
      <c r="AE742" t="n">
        <v>6</v>
      </c>
      <c r="AF742" t="n">
        <v>1</v>
      </c>
      <c r="AG742" t="n">
        <v>1</v>
      </c>
      <c r="AH742" t="n">
        <v>2</v>
      </c>
      <c r="AI742" t="n">
        <v>3</v>
      </c>
      <c r="AJ742" t="n">
        <v>2</v>
      </c>
      <c r="AK742" t="n">
        <v>3</v>
      </c>
      <c r="AL742" t="n">
        <v>0</v>
      </c>
      <c r="AM742" t="n">
        <v>0</v>
      </c>
      <c r="AN742" t="n">
        <v>0</v>
      </c>
      <c r="AO742" t="n">
        <v>0</v>
      </c>
      <c r="AP742" t="inlineStr">
        <is>
          <t>No</t>
        </is>
      </c>
      <c r="AQ742" t="inlineStr">
        <is>
          <t>No</t>
        </is>
      </c>
      <c r="AS742">
        <f>HYPERLINK("https://creighton-primo.hosted.exlibrisgroup.com/primo-explore/search?tab=default_tab&amp;search_scope=EVERYTHING&amp;vid=01CRU&amp;lang=en_US&amp;offset=0&amp;query=any,contains,991000093609702656","Catalog Record")</f>
        <v/>
      </c>
      <c r="AT742">
        <f>HYPERLINK("http://www.worldcat.org/oclc/8922900","WorldCat Record")</f>
        <v/>
      </c>
      <c r="AU742" t="inlineStr">
        <is>
          <t>21870704:eng</t>
        </is>
      </c>
      <c r="AV742" t="inlineStr">
        <is>
          <t>8922900</t>
        </is>
      </c>
      <c r="AW742" t="inlineStr">
        <is>
          <t>991000093609702656</t>
        </is>
      </c>
      <c r="AX742" t="inlineStr">
        <is>
          <t>991000093609702656</t>
        </is>
      </c>
      <c r="AY742" t="inlineStr">
        <is>
          <t>2261970100002656</t>
        </is>
      </c>
      <c r="AZ742" t="inlineStr">
        <is>
          <t>BOOK</t>
        </is>
      </c>
      <c r="BC742" t="inlineStr">
        <is>
          <t>32285000665082</t>
        </is>
      </c>
      <c r="BD742" t="inlineStr">
        <is>
          <t>893884100</t>
        </is>
      </c>
    </row>
    <row r="743">
      <c r="A743" t="inlineStr">
        <is>
          <t>No</t>
        </is>
      </c>
      <c r="B743" t="inlineStr">
        <is>
          <t>BX1790 .M392 1931</t>
        </is>
      </c>
      <c r="C743" t="inlineStr">
        <is>
          <t>0                      BX 1790000M  392         1931</t>
        </is>
      </c>
      <c r="D743" t="inlineStr">
        <is>
          <t>The things that are not Caesar's / by Jacques Maritain; a translation of 'Primauté du spirituel' made by J.F. Scanlan.</t>
        </is>
      </c>
      <c r="F743" t="inlineStr">
        <is>
          <t>No</t>
        </is>
      </c>
      <c r="G743" t="inlineStr">
        <is>
          <t>1</t>
        </is>
      </c>
      <c r="H743" t="inlineStr">
        <is>
          <t>No</t>
        </is>
      </c>
      <c r="I743" t="inlineStr">
        <is>
          <t>No</t>
        </is>
      </c>
      <c r="J743" t="inlineStr">
        <is>
          <t>0</t>
        </is>
      </c>
      <c r="K743" t="inlineStr">
        <is>
          <t>Maritain, Jacques, 1882-1973.</t>
        </is>
      </c>
      <c r="L743" t="inlineStr">
        <is>
          <t>New York : C. Scribner's sons, 1931.</t>
        </is>
      </c>
      <c r="M743" t="inlineStr">
        <is>
          <t>1931</t>
        </is>
      </c>
      <c r="O743" t="inlineStr">
        <is>
          <t>eng</t>
        </is>
      </c>
      <c r="P743" t="inlineStr">
        <is>
          <t xml:space="preserve">xx </t>
        </is>
      </c>
      <c r="R743" t="inlineStr">
        <is>
          <t xml:space="preserve">BX </t>
        </is>
      </c>
      <c r="S743" t="n">
        <v>2</v>
      </c>
      <c r="T743" t="n">
        <v>2</v>
      </c>
      <c r="U743" t="inlineStr">
        <is>
          <t>2004-05-13</t>
        </is>
      </c>
      <c r="V743" t="inlineStr">
        <is>
          <t>2004-05-13</t>
        </is>
      </c>
      <c r="W743" t="inlineStr">
        <is>
          <t>1991-05-31</t>
        </is>
      </c>
      <c r="X743" t="inlineStr">
        <is>
          <t>1991-05-31</t>
        </is>
      </c>
      <c r="Y743" t="n">
        <v>161</v>
      </c>
      <c r="Z743" t="n">
        <v>155</v>
      </c>
      <c r="AA743" t="n">
        <v>347</v>
      </c>
      <c r="AB743" t="n">
        <v>2</v>
      </c>
      <c r="AC743" t="n">
        <v>5</v>
      </c>
      <c r="AD743" t="n">
        <v>20</v>
      </c>
      <c r="AE743" t="n">
        <v>37</v>
      </c>
      <c r="AF743" t="n">
        <v>3</v>
      </c>
      <c r="AG743" t="n">
        <v>12</v>
      </c>
      <c r="AH743" t="n">
        <v>5</v>
      </c>
      <c r="AI743" t="n">
        <v>10</v>
      </c>
      <c r="AJ743" t="n">
        <v>16</v>
      </c>
      <c r="AK743" t="n">
        <v>26</v>
      </c>
      <c r="AL743" t="n">
        <v>1</v>
      </c>
      <c r="AM743" t="n">
        <v>2</v>
      </c>
      <c r="AN743" t="n">
        <v>0</v>
      </c>
      <c r="AO743" t="n">
        <v>0</v>
      </c>
      <c r="AP743" t="inlineStr">
        <is>
          <t>No</t>
        </is>
      </c>
      <c r="AQ743" t="inlineStr">
        <is>
          <t>No</t>
        </is>
      </c>
      <c r="AS743">
        <f>HYPERLINK("https://creighton-primo.hosted.exlibrisgroup.com/primo-explore/search?tab=default_tab&amp;search_scope=EVERYTHING&amp;vid=01CRU&amp;lang=en_US&amp;offset=0&amp;query=any,contains,991001007859702656","Catalog Record")</f>
        <v/>
      </c>
      <c r="AT743">
        <f>HYPERLINK("http://www.worldcat.org/oclc/173109","WorldCat Record")</f>
        <v/>
      </c>
      <c r="AU743" t="inlineStr">
        <is>
          <t>1569230:eng</t>
        </is>
      </c>
      <c r="AV743" t="inlineStr">
        <is>
          <t>173109</t>
        </is>
      </c>
      <c r="AW743" t="inlineStr">
        <is>
          <t>991001007859702656</t>
        </is>
      </c>
      <c r="AX743" t="inlineStr">
        <is>
          <t>991001007859702656</t>
        </is>
      </c>
      <c r="AY743" t="inlineStr">
        <is>
          <t>2268372190002656</t>
        </is>
      </c>
      <c r="AZ743" t="inlineStr">
        <is>
          <t>BOOK</t>
        </is>
      </c>
      <c r="BC743" t="inlineStr">
        <is>
          <t>32285000665140</t>
        </is>
      </c>
      <c r="BD743" t="inlineStr">
        <is>
          <t>893515820</t>
        </is>
      </c>
    </row>
    <row r="744">
      <c r="A744" t="inlineStr">
        <is>
          <t>No</t>
        </is>
      </c>
      <c r="B744" t="inlineStr">
        <is>
          <t>BX1790 .S78 1939a</t>
        </is>
      </c>
      <c r="C744" t="inlineStr">
        <is>
          <t>0                      BX 1790000S  78          1939a</t>
        </is>
      </c>
      <c r="D744" t="inlineStr">
        <is>
          <t>Church and state / Luigi Sturzo.</t>
        </is>
      </c>
      <c r="F744" t="inlineStr">
        <is>
          <t>No</t>
        </is>
      </c>
      <c r="G744" t="inlineStr">
        <is>
          <t>1</t>
        </is>
      </c>
      <c r="H744" t="inlineStr">
        <is>
          <t>No</t>
        </is>
      </c>
      <c r="I744" t="inlineStr">
        <is>
          <t>No</t>
        </is>
      </c>
      <c r="J744" t="inlineStr">
        <is>
          <t>0</t>
        </is>
      </c>
      <c r="K744" t="inlineStr">
        <is>
          <t>Sturzo, Luigi, 1871-1959.</t>
        </is>
      </c>
      <c r="L744" t="inlineStr">
        <is>
          <t>N. Y., Longmans, Green &amp; co., 1939.</t>
        </is>
      </c>
      <c r="M744" t="inlineStr">
        <is>
          <t>1939</t>
        </is>
      </c>
      <c r="O744" t="inlineStr">
        <is>
          <t>eng</t>
        </is>
      </c>
      <c r="P744" t="inlineStr">
        <is>
          <t>nyu</t>
        </is>
      </c>
      <c r="R744" t="inlineStr">
        <is>
          <t xml:space="preserve">BX </t>
        </is>
      </c>
      <c r="S744" t="n">
        <v>1</v>
      </c>
      <c r="T744" t="n">
        <v>1</v>
      </c>
      <c r="U744" t="inlineStr">
        <is>
          <t>2009-04-19</t>
        </is>
      </c>
      <c r="V744" t="inlineStr">
        <is>
          <t>2009-04-19</t>
        </is>
      </c>
      <c r="W744" t="inlineStr">
        <is>
          <t>1991-05-31</t>
        </is>
      </c>
      <c r="X744" t="inlineStr">
        <is>
          <t>1991-05-31</t>
        </is>
      </c>
      <c r="Y744" t="n">
        <v>156</v>
      </c>
      <c r="Z744" t="n">
        <v>149</v>
      </c>
      <c r="AA744" t="n">
        <v>641</v>
      </c>
      <c r="AB744" t="n">
        <v>3</v>
      </c>
      <c r="AC744" t="n">
        <v>7</v>
      </c>
      <c r="AD744" t="n">
        <v>24</v>
      </c>
      <c r="AE744" t="n">
        <v>46</v>
      </c>
      <c r="AF744" t="n">
        <v>7</v>
      </c>
      <c r="AG744" t="n">
        <v>15</v>
      </c>
      <c r="AH744" t="n">
        <v>8</v>
      </c>
      <c r="AI744" t="n">
        <v>10</v>
      </c>
      <c r="AJ744" t="n">
        <v>18</v>
      </c>
      <c r="AK744" t="n">
        <v>26</v>
      </c>
      <c r="AL744" t="n">
        <v>1</v>
      </c>
      <c r="AM744" t="n">
        <v>4</v>
      </c>
      <c r="AN744" t="n">
        <v>0</v>
      </c>
      <c r="AO744" t="n">
        <v>4</v>
      </c>
      <c r="AP744" t="inlineStr">
        <is>
          <t>No</t>
        </is>
      </c>
      <c r="AQ744" t="inlineStr">
        <is>
          <t>Yes</t>
        </is>
      </c>
      <c r="AR744">
        <f>HYPERLINK("http://catalog.hathitrust.org/Record/001416654","HathiTrust Record")</f>
        <v/>
      </c>
      <c r="AS744">
        <f>HYPERLINK("https://creighton-primo.hosted.exlibrisgroup.com/primo-explore/search?tab=default_tab&amp;search_scope=EVERYTHING&amp;vid=01CRU&amp;lang=en_US&amp;offset=0&amp;query=any,contains,991004257849702656","Catalog Record")</f>
        <v/>
      </c>
      <c r="AT744">
        <f>HYPERLINK("http://www.worldcat.org/oclc/2831688","WorldCat Record")</f>
        <v/>
      </c>
      <c r="AU744" t="inlineStr">
        <is>
          <t>2865840195:eng</t>
        </is>
      </c>
      <c r="AV744" t="inlineStr">
        <is>
          <t>2831688</t>
        </is>
      </c>
      <c r="AW744" t="inlineStr">
        <is>
          <t>991004257849702656</t>
        </is>
      </c>
      <c r="AX744" t="inlineStr">
        <is>
          <t>991004257849702656</t>
        </is>
      </c>
      <c r="AY744" t="inlineStr">
        <is>
          <t>2259903650002656</t>
        </is>
      </c>
      <c r="AZ744" t="inlineStr">
        <is>
          <t>BOOK</t>
        </is>
      </c>
      <c r="BC744" t="inlineStr">
        <is>
          <t>32285000665199</t>
        </is>
      </c>
      <c r="BD744" t="inlineStr">
        <is>
          <t>893411309</t>
        </is>
      </c>
    </row>
    <row r="745">
      <c r="A745" t="inlineStr">
        <is>
          <t>No</t>
        </is>
      </c>
      <c r="B745" t="inlineStr">
        <is>
          <t>BX1790 .W7 1942</t>
        </is>
      </c>
      <c r="C745" t="inlineStr">
        <is>
          <t>0                      BX 1790000W  7           1942</t>
        </is>
      </c>
      <c r="D745" t="inlineStr">
        <is>
          <t>National patriotism in papal teaching / by John J. Wright.</t>
        </is>
      </c>
      <c r="F745" t="inlineStr">
        <is>
          <t>No</t>
        </is>
      </c>
      <c r="G745" t="inlineStr">
        <is>
          <t>1</t>
        </is>
      </c>
      <c r="H745" t="inlineStr">
        <is>
          <t>No</t>
        </is>
      </c>
      <c r="I745" t="inlineStr">
        <is>
          <t>No</t>
        </is>
      </c>
      <c r="J745" t="inlineStr">
        <is>
          <t>0</t>
        </is>
      </c>
      <c r="K745" t="inlineStr">
        <is>
          <t>Wright, John J. (John Joseph), 1909-1979.</t>
        </is>
      </c>
      <c r="L745" t="inlineStr">
        <is>
          <t>Boston, Mass. : The Stratford Company, 1942.</t>
        </is>
      </c>
      <c r="M745" t="inlineStr">
        <is>
          <t>1942</t>
        </is>
      </c>
      <c r="O745" t="inlineStr">
        <is>
          <t>eng</t>
        </is>
      </c>
      <c r="P745" t="inlineStr">
        <is>
          <t xml:space="preserve">xx </t>
        </is>
      </c>
      <c r="R745" t="inlineStr">
        <is>
          <t xml:space="preserve">BX </t>
        </is>
      </c>
      <c r="S745" t="n">
        <v>2</v>
      </c>
      <c r="T745" t="n">
        <v>2</v>
      </c>
      <c r="U745" t="inlineStr">
        <is>
          <t>2004-05-13</t>
        </is>
      </c>
      <c r="V745" t="inlineStr">
        <is>
          <t>2004-05-13</t>
        </is>
      </c>
      <c r="W745" t="inlineStr">
        <is>
          <t>1991-05-31</t>
        </is>
      </c>
      <c r="X745" t="inlineStr">
        <is>
          <t>1991-05-31</t>
        </is>
      </c>
      <c r="Y745" t="n">
        <v>56</v>
      </c>
      <c r="Z745" t="n">
        <v>50</v>
      </c>
      <c r="AA745" t="n">
        <v>175</v>
      </c>
      <c r="AB745" t="n">
        <v>1</v>
      </c>
      <c r="AC745" t="n">
        <v>3</v>
      </c>
      <c r="AD745" t="n">
        <v>13</v>
      </c>
      <c r="AE745" t="n">
        <v>31</v>
      </c>
      <c r="AF745" t="n">
        <v>3</v>
      </c>
      <c r="AG745" t="n">
        <v>10</v>
      </c>
      <c r="AH745" t="n">
        <v>2</v>
      </c>
      <c r="AI745" t="n">
        <v>8</v>
      </c>
      <c r="AJ745" t="n">
        <v>10</v>
      </c>
      <c r="AK745" t="n">
        <v>24</v>
      </c>
      <c r="AL745" t="n">
        <v>0</v>
      </c>
      <c r="AM745" t="n">
        <v>0</v>
      </c>
      <c r="AN745" t="n">
        <v>0</v>
      </c>
      <c r="AO745" t="n">
        <v>0</v>
      </c>
      <c r="AP745" t="inlineStr">
        <is>
          <t>No</t>
        </is>
      </c>
      <c r="AQ745" t="inlineStr">
        <is>
          <t>No</t>
        </is>
      </c>
      <c r="AS745">
        <f>HYPERLINK("https://creighton-primo.hosted.exlibrisgroup.com/primo-explore/search?tab=default_tab&amp;search_scope=EVERYTHING&amp;vid=01CRU&amp;lang=en_US&amp;offset=0&amp;query=any,contains,991004430289702656","Catalog Record")</f>
        <v/>
      </c>
      <c r="AT745">
        <f>HYPERLINK("http://www.worldcat.org/oclc/3416206","WorldCat Record")</f>
        <v/>
      </c>
      <c r="AU745" t="inlineStr">
        <is>
          <t>5932638:eng</t>
        </is>
      </c>
      <c r="AV745" t="inlineStr">
        <is>
          <t>3416206</t>
        </is>
      </c>
      <c r="AW745" t="inlineStr">
        <is>
          <t>991004430289702656</t>
        </is>
      </c>
      <c r="AX745" t="inlineStr">
        <is>
          <t>991004430289702656</t>
        </is>
      </c>
      <c r="AY745" t="inlineStr">
        <is>
          <t>2260891610002656</t>
        </is>
      </c>
      <c r="AZ745" t="inlineStr">
        <is>
          <t>BOOK</t>
        </is>
      </c>
      <c r="BC745" t="inlineStr">
        <is>
          <t>32285000665215</t>
        </is>
      </c>
      <c r="BD745" t="inlineStr">
        <is>
          <t>893712578</t>
        </is>
      </c>
    </row>
    <row r="746">
      <c r="A746" t="inlineStr">
        <is>
          <t>No</t>
        </is>
      </c>
      <c r="B746" t="inlineStr">
        <is>
          <t>BX1791 .C38 1994</t>
        </is>
      </c>
      <c r="C746" t="inlineStr">
        <is>
          <t>0                      BX 1791000C  38          1994</t>
        </is>
      </c>
      <c r="D746" t="inlineStr">
        <is>
          <t>Communities of salt and light : parish resource manual. Communities of salt and light : relections on the social mission of the parish / National Conference of Catholic Bishops.</t>
        </is>
      </c>
      <c r="F746" t="inlineStr">
        <is>
          <t>No</t>
        </is>
      </c>
      <c r="G746" t="inlineStr">
        <is>
          <t>1</t>
        </is>
      </c>
      <c r="H746" t="inlineStr">
        <is>
          <t>No</t>
        </is>
      </c>
      <c r="I746" t="inlineStr">
        <is>
          <t>Yes</t>
        </is>
      </c>
      <c r="J746" t="inlineStr">
        <is>
          <t>0</t>
        </is>
      </c>
      <c r="K746" t="inlineStr">
        <is>
          <t>Catholic Church. National Conference of Catholic Bishops.</t>
        </is>
      </c>
      <c r="L746" t="inlineStr">
        <is>
          <t>Washington, D.C. : United States Catholic Conference, Department of Social Development and World Peace, c1994.</t>
        </is>
      </c>
      <c r="M746" t="inlineStr">
        <is>
          <t>1994</t>
        </is>
      </c>
      <c r="O746" t="inlineStr">
        <is>
          <t>eng</t>
        </is>
      </c>
      <c r="P746" t="inlineStr">
        <is>
          <t>dcu</t>
        </is>
      </c>
      <c r="Q746" t="inlineStr">
        <is>
          <t>Publication / Office for Publishing and Promotion Services, United States Catholic Conference ; no. 702-2</t>
        </is>
      </c>
      <c r="R746" t="inlineStr">
        <is>
          <t xml:space="preserve">BX </t>
        </is>
      </c>
      <c r="S746" t="n">
        <v>3</v>
      </c>
      <c r="T746" t="n">
        <v>3</v>
      </c>
      <c r="U746" t="inlineStr">
        <is>
          <t>1997-07-15</t>
        </is>
      </c>
      <c r="V746" t="inlineStr">
        <is>
          <t>1997-07-15</t>
        </is>
      </c>
      <c r="W746" t="inlineStr">
        <is>
          <t>1994-04-21</t>
        </is>
      </c>
      <c r="X746" t="inlineStr">
        <is>
          <t>1994-04-21</t>
        </is>
      </c>
      <c r="Y746" t="n">
        <v>64</v>
      </c>
      <c r="Z746" t="n">
        <v>61</v>
      </c>
      <c r="AA746" t="n">
        <v>71</v>
      </c>
      <c r="AB746" t="n">
        <v>1</v>
      </c>
      <c r="AC746" t="n">
        <v>1</v>
      </c>
      <c r="AD746" t="n">
        <v>9</v>
      </c>
      <c r="AE746" t="n">
        <v>9</v>
      </c>
      <c r="AF746" t="n">
        <v>1</v>
      </c>
      <c r="AG746" t="n">
        <v>1</v>
      </c>
      <c r="AH746" t="n">
        <v>3</v>
      </c>
      <c r="AI746" t="n">
        <v>3</v>
      </c>
      <c r="AJ746" t="n">
        <v>7</v>
      </c>
      <c r="AK746" t="n">
        <v>7</v>
      </c>
      <c r="AL746" t="n">
        <v>0</v>
      </c>
      <c r="AM746" t="n">
        <v>0</v>
      </c>
      <c r="AN746" t="n">
        <v>0</v>
      </c>
      <c r="AO746" t="n">
        <v>0</v>
      </c>
      <c r="AP746" t="inlineStr">
        <is>
          <t>No</t>
        </is>
      </c>
      <c r="AQ746" t="inlineStr">
        <is>
          <t>No</t>
        </is>
      </c>
      <c r="AS746">
        <f>HYPERLINK("https://creighton-primo.hosted.exlibrisgroup.com/primo-explore/search?tab=default_tab&amp;search_scope=EVERYTHING&amp;vid=01CRU&amp;lang=en_US&amp;offset=0&amp;query=any,contains,991002316239702656","Catalog Record")</f>
        <v/>
      </c>
      <c r="AT746">
        <f>HYPERLINK("http://www.worldcat.org/oclc/30055992","WorldCat Record")</f>
        <v/>
      </c>
      <c r="AU746" t="inlineStr">
        <is>
          <t>31801748:eng</t>
        </is>
      </c>
      <c r="AV746" t="inlineStr">
        <is>
          <t>30055992</t>
        </is>
      </c>
      <c r="AW746" t="inlineStr">
        <is>
          <t>991002316239702656</t>
        </is>
      </c>
      <c r="AX746" t="inlineStr">
        <is>
          <t>991002316239702656</t>
        </is>
      </c>
      <c r="AY746" t="inlineStr">
        <is>
          <t>2259296830002656</t>
        </is>
      </c>
      <c r="AZ746" t="inlineStr">
        <is>
          <t>BOOK</t>
        </is>
      </c>
      <c r="BB746" t="inlineStr">
        <is>
          <t>9781555867010</t>
        </is>
      </c>
      <c r="BC746" t="inlineStr">
        <is>
          <t>32285001864114</t>
        </is>
      </c>
      <c r="BD746" t="inlineStr">
        <is>
          <t>893433742</t>
        </is>
      </c>
    </row>
    <row r="747">
      <c r="A747" t="inlineStr">
        <is>
          <t>No</t>
        </is>
      </c>
      <c r="B747" t="inlineStr">
        <is>
          <t>BX1791 .K45 1960</t>
        </is>
      </c>
      <c r="C747" t="inlineStr">
        <is>
          <t>0                      BX 1791000K  45          1960</t>
        </is>
      </c>
      <c r="D747" t="inlineStr">
        <is>
          <t>Catholic viewpoint on church and state.</t>
        </is>
      </c>
      <c r="F747" t="inlineStr">
        <is>
          <t>No</t>
        </is>
      </c>
      <c r="G747" t="inlineStr">
        <is>
          <t>1</t>
        </is>
      </c>
      <c r="H747" t="inlineStr">
        <is>
          <t>No</t>
        </is>
      </c>
      <c r="I747" t="inlineStr">
        <is>
          <t>No</t>
        </is>
      </c>
      <c r="J747" t="inlineStr">
        <is>
          <t>0</t>
        </is>
      </c>
      <c r="K747" t="inlineStr">
        <is>
          <t>Kerwin, Jerome G. (Jerome Gregory), 1896-1977.</t>
        </is>
      </c>
      <c r="L747" t="inlineStr">
        <is>
          <t>Garden City, N. Y. : Hanover House, 1960.</t>
        </is>
      </c>
      <c r="M747" t="inlineStr">
        <is>
          <t>1960</t>
        </is>
      </c>
      <c r="N747" t="inlineStr">
        <is>
          <t>[1st ed.]</t>
        </is>
      </c>
      <c r="O747" t="inlineStr">
        <is>
          <t>eng</t>
        </is>
      </c>
      <c r="P747" t="inlineStr">
        <is>
          <t>nyu</t>
        </is>
      </c>
      <c r="Q747" t="inlineStr">
        <is>
          <t>The Catholic viewpoint series</t>
        </is>
      </c>
      <c r="R747" t="inlineStr">
        <is>
          <t xml:space="preserve">BX </t>
        </is>
      </c>
      <c r="S747" t="n">
        <v>2</v>
      </c>
      <c r="T747" t="n">
        <v>2</v>
      </c>
      <c r="U747" t="inlineStr">
        <is>
          <t>2009-04-19</t>
        </is>
      </c>
      <c r="V747" t="inlineStr">
        <is>
          <t>2009-04-19</t>
        </is>
      </c>
      <c r="W747" t="inlineStr">
        <is>
          <t>1991-05-31</t>
        </is>
      </c>
      <c r="X747" t="inlineStr">
        <is>
          <t>1991-05-31</t>
        </is>
      </c>
      <c r="Y747" t="n">
        <v>557</v>
      </c>
      <c r="Z747" t="n">
        <v>515</v>
      </c>
      <c r="AA747" t="n">
        <v>604</v>
      </c>
      <c r="AB747" t="n">
        <v>3</v>
      </c>
      <c r="AC747" t="n">
        <v>4</v>
      </c>
      <c r="AD747" t="n">
        <v>39</v>
      </c>
      <c r="AE747" t="n">
        <v>43</v>
      </c>
      <c r="AF747" t="n">
        <v>14</v>
      </c>
      <c r="AG747" t="n">
        <v>15</v>
      </c>
      <c r="AH747" t="n">
        <v>9</v>
      </c>
      <c r="AI747" t="n">
        <v>10</v>
      </c>
      <c r="AJ747" t="n">
        <v>23</v>
      </c>
      <c r="AK747" t="n">
        <v>23</v>
      </c>
      <c r="AL747" t="n">
        <v>0</v>
      </c>
      <c r="AM747" t="n">
        <v>1</v>
      </c>
      <c r="AN747" t="n">
        <v>5</v>
      </c>
      <c r="AO747" t="n">
        <v>7</v>
      </c>
      <c r="AP747" t="inlineStr">
        <is>
          <t>Yes</t>
        </is>
      </c>
      <c r="AQ747" t="inlineStr">
        <is>
          <t>No</t>
        </is>
      </c>
      <c r="AR747">
        <f>HYPERLINK("http://catalog.hathitrust.org/Record/001416662","HathiTrust Record")</f>
        <v/>
      </c>
      <c r="AS747">
        <f>HYPERLINK("https://creighton-primo.hosted.exlibrisgroup.com/primo-explore/search?tab=default_tab&amp;search_scope=EVERYTHING&amp;vid=01CRU&amp;lang=en_US&amp;offset=0&amp;query=any,contains,991002266029702656","Catalog Record")</f>
        <v/>
      </c>
      <c r="AT747">
        <f>HYPERLINK("http://www.worldcat.org/oclc/306993","WorldCat Record")</f>
        <v/>
      </c>
      <c r="AU747" t="inlineStr">
        <is>
          <t>1360006:eng</t>
        </is>
      </c>
      <c r="AV747" t="inlineStr">
        <is>
          <t>306993</t>
        </is>
      </c>
      <c r="AW747" t="inlineStr">
        <is>
          <t>991002266029702656</t>
        </is>
      </c>
      <c r="AX747" t="inlineStr">
        <is>
          <t>991002266029702656</t>
        </is>
      </c>
      <c r="AY747" t="inlineStr">
        <is>
          <t>2265997730002656</t>
        </is>
      </c>
      <c r="AZ747" t="inlineStr">
        <is>
          <t>BOOK</t>
        </is>
      </c>
      <c r="BC747" t="inlineStr">
        <is>
          <t>32285000665249</t>
        </is>
      </c>
      <c r="BD747" t="inlineStr">
        <is>
          <t>893341235</t>
        </is>
      </c>
    </row>
    <row r="748">
      <c r="A748" t="inlineStr">
        <is>
          <t>No</t>
        </is>
      </c>
      <c r="B748" t="inlineStr">
        <is>
          <t>BX1791 .T35</t>
        </is>
      </c>
      <c r="C748" t="inlineStr">
        <is>
          <t>0                      BX 1791000T  35</t>
        </is>
      </c>
      <c r="D748" t="inlineStr">
        <is>
          <t>Church and state in Maritain's thought / by Anicetus Tamosaitis.</t>
        </is>
      </c>
      <c r="F748" t="inlineStr">
        <is>
          <t>No</t>
        </is>
      </c>
      <c r="G748" t="inlineStr">
        <is>
          <t>1</t>
        </is>
      </c>
      <c r="H748" t="inlineStr">
        <is>
          <t>No</t>
        </is>
      </c>
      <c r="I748" t="inlineStr">
        <is>
          <t>No</t>
        </is>
      </c>
      <c r="J748" t="inlineStr">
        <is>
          <t>0</t>
        </is>
      </c>
      <c r="K748" t="inlineStr">
        <is>
          <t>Tamošaitis, Anicetus, 1922-</t>
        </is>
      </c>
      <c r="M748" t="inlineStr">
        <is>
          <t>1959</t>
        </is>
      </c>
      <c r="O748" t="inlineStr">
        <is>
          <t>eng</t>
        </is>
      </c>
      <c r="P748" t="inlineStr">
        <is>
          <t>___</t>
        </is>
      </c>
      <c r="R748" t="inlineStr">
        <is>
          <t xml:space="preserve">BX </t>
        </is>
      </c>
      <c r="S748" t="n">
        <v>2</v>
      </c>
      <c r="T748" t="n">
        <v>2</v>
      </c>
      <c r="U748" t="inlineStr">
        <is>
          <t>2004-05-13</t>
        </is>
      </c>
      <c r="V748" t="inlineStr">
        <is>
          <t>2004-05-13</t>
        </is>
      </c>
      <c r="W748" t="inlineStr">
        <is>
          <t>1991-05-31</t>
        </is>
      </c>
      <c r="X748" t="inlineStr">
        <is>
          <t>1991-05-31</t>
        </is>
      </c>
      <c r="Y748" t="n">
        <v>48</v>
      </c>
      <c r="Z748" t="n">
        <v>36</v>
      </c>
      <c r="AA748" t="n">
        <v>36</v>
      </c>
      <c r="AB748" t="n">
        <v>1</v>
      </c>
      <c r="AC748" t="n">
        <v>1</v>
      </c>
      <c r="AD748" t="n">
        <v>18</v>
      </c>
      <c r="AE748" t="n">
        <v>18</v>
      </c>
      <c r="AF748" t="n">
        <v>8</v>
      </c>
      <c r="AG748" t="n">
        <v>8</v>
      </c>
      <c r="AH748" t="n">
        <v>2</v>
      </c>
      <c r="AI748" t="n">
        <v>2</v>
      </c>
      <c r="AJ748" t="n">
        <v>18</v>
      </c>
      <c r="AK748" t="n">
        <v>18</v>
      </c>
      <c r="AL748" t="n">
        <v>0</v>
      </c>
      <c r="AM748" t="n">
        <v>0</v>
      </c>
      <c r="AN748" t="n">
        <v>0</v>
      </c>
      <c r="AO748" t="n">
        <v>0</v>
      </c>
      <c r="AP748" t="inlineStr">
        <is>
          <t>No</t>
        </is>
      </c>
      <c r="AQ748" t="inlineStr">
        <is>
          <t>No</t>
        </is>
      </c>
      <c r="AS748">
        <f>HYPERLINK("https://creighton-primo.hosted.exlibrisgroup.com/primo-explore/search?tab=default_tab&amp;search_scope=EVERYTHING&amp;vid=01CRU&amp;lang=en_US&amp;offset=0&amp;query=any,contains,991003416619702656","Catalog Record")</f>
        <v/>
      </c>
      <c r="AT748">
        <f>HYPERLINK("http://www.worldcat.org/oclc/958042","WorldCat Record")</f>
        <v/>
      </c>
      <c r="AU748" t="inlineStr">
        <is>
          <t>378227500:eng</t>
        </is>
      </c>
      <c r="AV748" t="inlineStr">
        <is>
          <t>958042</t>
        </is>
      </c>
      <c r="AW748" t="inlineStr">
        <is>
          <t>991003416619702656</t>
        </is>
      </c>
      <c r="AX748" t="inlineStr">
        <is>
          <t>991003416619702656</t>
        </is>
      </c>
      <c r="AY748" t="inlineStr">
        <is>
          <t>2268255330002656</t>
        </is>
      </c>
      <c r="AZ748" t="inlineStr">
        <is>
          <t>BOOK</t>
        </is>
      </c>
      <c r="BC748" t="inlineStr">
        <is>
          <t>32285000665264</t>
        </is>
      </c>
      <c r="BD748" t="inlineStr">
        <is>
          <t>893893705</t>
        </is>
      </c>
    </row>
    <row r="749">
      <c r="A749" t="inlineStr">
        <is>
          <t>No</t>
        </is>
      </c>
      <c r="B749" t="inlineStr">
        <is>
          <t>BX1793 .A253 1964</t>
        </is>
      </c>
      <c r="C749" t="inlineStr">
        <is>
          <t>0                      BX 1793000A  253         1964</t>
        </is>
      </c>
      <c r="D749" t="inlineStr">
        <is>
          <t>Peace on earth : an encyclical letter of His Holiness Pope John XXIII / photographs by Magnum. [Editors: Jerry Mason and Fred R. Sammis]</t>
        </is>
      </c>
      <c r="F749" t="inlineStr">
        <is>
          <t>No</t>
        </is>
      </c>
      <c r="G749" t="inlineStr">
        <is>
          <t>1</t>
        </is>
      </c>
      <c r="H749" t="inlineStr">
        <is>
          <t>No</t>
        </is>
      </c>
      <c r="I749" t="inlineStr">
        <is>
          <t>No</t>
        </is>
      </c>
      <c r="J749" t="inlineStr">
        <is>
          <t>0</t>
        </is>
      </c>
      <c r="K749" t="inlineStr">
        <is>
          <t>Catholic Church. Pope (1958-1963 : John XXIII)</t>
        </is>
      </c>
      <c r="L749" t="inlineStr">
        <is>
          <t>New York : Ridge Press/Odyssey Press, [1964]</t>
        </is>
      </c>
      <c r="M749" t="inlineStr">
        <is>
          <t>1964</t>
        </is>
      </c>
      <c r="O749" t="inlineStr">
        <is>
          <t>eng</t>
        </is>
      </c>
      <c r="P749" t="inlineStr">
        <is>
          <t>nyu</t>
        </is>
      </c>
      <c r="R749" t="inlineStr">
        <is>
          <t xml:space="preserve">BX </t>
        </is>
      </c>
      <c r="S749" t="n">
        <v>2</v>
      </c>
      <c r="T749" t="n">
        <v>2</v>
      </c>
      <c r="U749" t="inlineStr">
        <is>
          <t>2008-09-09</t>
        </is>
      </c>
      <c r="V749" t="inlineStr">
        <is>
          <t>2008-09-09</t>
        </is>
      </c>
      <c r="W749" t="inlineStr">
        <is>
          <t>1991-05-31</t>
        </is>
      </c>
      <c r="X749" t="inlineStr">
        <is>
          <t>1991-05-31</t>
        </is>
      </c>
      <c r="Y749" t="n">
        <v>446</v>
      </c>
      <c r="Z749" t="n">
        <v>415</v>
      </c>
      <c r="AA749" t="n">
        <v>428</v>
      </c>
      <c r="AB749" t="n">
        <v>2</v>
      </c>
      <c r="AC749" t="n">
        <v>3</v>
      </c>
      <c r="AD749" t="n">
        <v>22</v>
      </c>
      <c r="AE749" t="n">
        <v>22</v>
      </c>
      <c r="AF749" t="n">
        <v>7</v>
      </c>
      <c r="AG749" t="n">
        <v>7</v>
      </c>
      <c r="AH749" t="n">
        <v>4</v>
      </c>
      <c r="AI749" t="n">
        <v>4</v>
      </c>
      <c r="AJ749" t="n">
        <v>16</v>
      </c>
      <c r="AK749" t="n">
        <v>16</v>
      </c>
      <c r="AL749" t="n">
        <v>1</v>
      </c>
      <c r="AM749" t="n">
        <v>1</v>
      </c>
      <c r="AN749" t="n">
        <v>0</v>
      </c>
      <c r="AO749" t="n">
        <v>0</v>
      </c>
      <c r="AP749" t="inlineStr">
        <is>
          <t>No</t>
        </is>
      </c>
      <c r="AQ749" t="inlineStr">
        <is>
          <t>Yes</t>
        </is>
      </c>
      <c r="AR749">
        <f>HYPERLINK("http://catalog.hathitrust.org/Record/001933519","HathiTrust Record")</f>
        <v/>
      </c>
      <c r="AS749">
        <f>HYPERLINK("https://creighton-primo.hosted.exlibrisgroup.com/primo-explore/search?tab=default_tab&amp;search_scope=EVERYTHING&amp;vid=01CRU&amp;lang=en_US&amp;offset=0&amp;query=any,contains,991002647859702656","Catalog Record")</f>
        <v/>
      </c>
      <c r="AT749">
        <f>HYPERLINK("http://www.worldcat.org/oclc/386288","WorldCat Record")</f>
        <v/>
      </c>
      <c r="AU749" t="inlineStr">
        <is>
          <t>4535791782:eng</t>
        </is>
      </c>
      <c r="AV749" t="inlineStr">
        <is>
          <t>386288</t>
        </is>
      </c>
      <c r="AW749" t="inlineStr">
        <is>
          <t>991002647859702656</t>
        </is>
      </c>
      <c r="AX749" t="inlineStr">
        <is>
          <t>991002647859702656</t>
        </is>
      </c>
      <c r="AY749" t="inlineStr">
        <is>
          <t>2259471460002656</t>
        </is>
      </c>
      <c r="AZ749" t="inlineStr">
        <is>
          <t>BOOK</t>
        </is>
      </c>
      <c r="BC749" t="inlineStr">
        <is>
          <t>32285000665272</t>
        </is>
      </c>
      <c r="BD749" t="inlineStr">
        <is>
          <t>893517556</t>
        </is>
      </c>
    </row>
    <row r="750">
      <c r="A750" t="inlineStr">
        <is>
          <t>No</t>
        </is>
      </c>
      <c r="B750" t="inlineStr">
        <is>
          <t>BX1793 .C7 1963</t>
        </is>
      </c>
      <c r="C750" t="inlineStr">
        <is>
          <t>0                      BX 1793000C  7           1963</t>
        </is>
      </c>
      <c r="D750" t="inlineStr">
        <is>
          <t>The Catholic as citizen / John F. Cronin.</t>
        </is>
      </c>
      <c r="F750" t="inlineStr">
        <is>
          <t>No</t>
        </is>
      </c>
      <c r="G750" t="inlineStr">
        <is>
          <t>1</t>
        </is>
      </c>
      <c r="H750" t="inlineStr">
        <is>
          <t>No</t>
        </is>
      </c>
      <c r="I750" t="inlineStr">
        <is>
          <t>No</t>
        </is>
      </c>
      <c r="J750" t="inlineStr">
        <is>
          <t>0</t>
        </is>
      </c>
      <c r="K750" t="inlineStr">
        <is>
          <t>Cronin, John F. (John Francis), 1908-1994.</t>
        </is>
      </c>
      <c r="L750" t="inlineStr">
        <is>
          <t>Baltimore : Helicon, [1963]</t>
        </is>
      </c>
      <c r="M750" t="inlineStr">
        <is>
          <t>1963</t>
        </is>
      </c>
      <c r="O750" t="inlineStr">
        <is>
          <t>eng</t>
        </is>
      </c>
      <c r="P750" t="inlineStr">
        <is>
          <t xml:space="preserve">xx </t>
        </is>
      </c>
      <c r="R750" t="inlineStr">
        <is>
          <t xml:space="preserve">BX </t>
        </is>
      </c>
      <c r="S750" t="n">
        <v>3</v>
      </c>
      <c r="T750" t="n">
        <v>3</v>
      </c>
      <c r="U750" t="inlineStr">
        <is>
          <t>2004-07-19</t>
        </is>
      </c>
      <c r="V750" t="inlineStr">
        <is>
          <t>2004-07-19</t>
        </is>
      </c>
      <c r="W750" t="inlineStr">
        <is>
          <t>1990-03-29</t>
        </is>
      </c>
      <c r="X750" t="inlineStr">
        <is>
          <t>1990-03-29</t>
        </is>
      </c>
      <c r="Y750" t="n">
        <v>263</v>
      </c>
      <c r="Z750" t="n">
        <v>234</v>
      </c>
      <c r="AA750" t="n">
        <v>245</v>
      </c>
      <c r="AB750" t="n">
        <v>2</v>
      </c>
      <c r="AC750" t="n">
        <v>2</v>
      </c>
      <c r="AD750" t="n">
        <v>29</v>
      </c>
      <c r="AE750" t="n">
        <v>29</v>
      </c>
      <c r="AF750" t="n">
        <v>11</v>
      </c>
      <c r="AG750" t="n">
        <v>11</v>
      </c>
      <c r="AH750" t="n">
        <v>7</v>
      </c>
      <c r="AI750" t="n">
        <v>7</v>
      </c>
      <c r="AJ750" t="n">
        <v>22</v>
      </c>
      <c r="AK750" t="n">
        <v>22</v>
      </c>
      <c r="AL750" t="n">
        <v>0</v>
      </c>
      <c r="AM750" t="n">
        <v>0</v>
      </c>
      <c r="AN750" t="n">
        <v>0</v>
      </c>
      <c r="AO750" t="n">
        <v>0</v>
      </c>
      <c r="AP750" t="inlineStr">
        <is>
          <t>Yes</t>
        </is>
      </c>
      <c r="AQ750" t="inlineStr">
        <is>
          <t>No</t>
        </is>
      </c>
      <c r="AR750">
        <f>HYPERLINK("http://catalog.hathitrust.org/Record/005921995","HathiTrust Record")</f>
        <v/>
      </c>
      <c r="AS750">
        <f>HYPERLINK("https://creighton-primo.hosted.exlibrisgroup.com/primo-explore/search?tab=default_tab&amp;search_scope=EVERYTHING&amp;vid=01CRU&amp;lang=en_US&amp;offset=0&amp;query=any,contains,991003223139702656","Catalog Record")</f>
        <v/>
      </c>
      <c r="AT750">
        <f>HYPERLINK("http://www.worldcat.org/oclc/748473","WorldCat Record")</f>
        <v/>
      </c>
      <c r="AU750" t="inlineStr">
        <is>
          <t>429126418:eng</t>
        </is>
      </c>
      <c r="AV750" t="inlineStr">
        <is>
          <t>748473</t>
        </is>
      </c>
      <c r="AW750" t="inlineStr">
        <is>
          <t>991003223139702656</t>
        </is>
      </c>
      <c r="AX750" t="inlineStr">
        <is>
          <t>991003223139702656</t>
        </is>
      </c>
      <c r="AY750" t="inlineStr">
        <is>
          <t>2255077600002656</t>
        </is>
      </c>
      <c r="AZ750" t="inlineStr">
        <is>
          <t>BOOK</t>
        </is>
      </c>
      <c r="BC750" t="inlineStr">
        <is>
          <t>32285000106707</t>
        </is>
      </c>
      <c r="BD750" t="inlineStr">
        <is>
          <t>893692505</t>
        </is>
      </c>
    </row>
    <row r="751">
      <c r="A751" t="inlineStr">
        <is>
          <t>No</t>
        </is>
      </c>
      <c r="B751" t="inlineStr">
        <is>
          <t>BX1793 .G73 1997</t>
        </is>
      </c>
      <c r="C751" t="inlineStr">
        <is>
          <t>0                      BX 1793000G  73          1997</t>
        </is>
      </c>
      <c r="D751" t="inlineStr">
        <is>
          <t>The Holy See and the United Nations, 1945-1995/ Edward J. Gratsch.</t>
        </is>
      </c>
      <c r="F751" t="inlineStr">
        <is>
          <t>No</t>
        </is>
      </c>
      <c r="G751" t="inlineStr">
        <is>
          <t>1</t>
        </is>
      </c>
      <c r="H751" t="inlineStr">
        <is>
          <t>No</t>
        </is>
      </c>
      <c r="I751" t="inlineStr">
        <is>
          <t>No</t>
        </is>
      </c>
      <c r="J751" t="inlineStr">
        <is>
          <t>0</t>
        </is>
      </c>
      <c r="K751" t="inlineStr">
        <is>
          <t>Gratsch, Edward J.</t>
        </is>
      </c>
      <c r="L751" t="inlineStr">
        <is>
          <t>New York : Vantage Press, c1997.</t>
        </is>
      </c>
      <c r="M751" t="inlineStr">
        <is>
          <t>1997</t>
        </is>
      </c>
      <c r="N751" t="inlineStr">
        <is>
          <t>1st ed.</t>
        </is>
      </c>
      <c r="O751" t="inlineStr">
        <is>
          <t>eng</t>
        </is>
      </c>
      <c r="P751" t="inlineStr">
        <is>
          <t>nyu</t>
        </is>
      </c>
      <c r="R751" t="inlineStr">
        <is>
          <t xml:space="preserve">BX </t>
        </is>
      </c>
      <c r="S751" t="n">
        <v>4</v>
      </c>
      <c r="T751" t="n">
        <v>4</v>
      </c>
      <c r="U751" t="inlineStr">
        <is>
          <t>2009-12-10</t>
        </is>
      </c>
      <c r="V751" t="inlineStr">
        <is>
          <t>2009-12-10</t>
        </is>
      </c>
      <c r="W751" t="inlineStr">
        <is>
          <t>2000-02-23</t>
        </is>
      </c>
      <c r="X751" t="inlineStr">
        <is>
          <t>2000-02-23</t>
        </is>
      </c>
      <c r="Y751" t="n">
        <v>197</v>
      </c>
      <c r="Z751" t="n">
        <v>189</v>
      </c>
      <c r="AA751" t="n">
        <v>190</v>
      </c>
      <c r="AB751" t="n">
        <v>3</v>
      </c>
      <c r="AC751" t="n">
        <v>3</v>
      </c>
      <c r="AD751" t="n">
        <v>27</v>
      </c>
      <c r="AE751" t="n">
        <v>27</v>
      </c>
      <c r="AF751" t="n">
        <v>5</v>
      </c>
      <c r="AG751" t="n">
        <v>5</v>
      </c>
      <c r="AH751" t="n">
        <v>8</v>
      </c>
      <c r="AI751" t="n">
        <v>8</v>
      </c>
      <c r="AJ751" t="n">
        <v>19</v>
      </c>
      <c r="AK751" t="n">
        <v>19</v>
      </c>
      <c r="AL751" t="n">
        <v>1</v>
      </c>
      <c r="AM751" t="n">
        <v>1</v>
      </c>
      <c r="AN751" t="n">
        <v>1</v>
      </c>
      <c r="AO751" t="n">
        <v>1</v>
      </c>
      <c r="AP751" t="inlineStr">
        <is>
          <t>No</t>
        </is>
      </c>
      <c r="AQ751" t="inlineStr">
        <is>
          <t>No</t>
        </is>
      </c>
      <c r="AS751">
        <f>HYPERLINK("https://creighton-primo.hosted.exlibrisgroup.com/primo-explore/search?tab=default_tab&amp;search_scope=EVERYTHING&amp;vid=01CRU&amp;lang=en_US&amp;offset=0&amp;query=any,contains,991002946809702656","Catalog Record")</f>
        <v/>
      </c>
      <c r="AT751">
        <f>HYPERLINK("http://www.worldcat.org/oclc/39253570","WorldCat Record")</f>
        <v/>
      </c>
      <c r="AU751" t="inlineStr">
        <is>
          <t>560967:eng</t>
        </is>
      </c>
      <c r="AV751" t="inlineStr">
        <is>
          <t>39253570</t>
        </is>
      </c>
      <c r="AW751" t="inlineStr">
        <is>
          <t>991002946809702656</t>
        </is>
      </c>
      <c r="AX751" t="inlineStr">
        <is>
          <t>991002946809702656</t>
        </is>
      </c>
      <c r="AY751" t="inlineStr">
        <is>
          <t>2260259660002656</t>
        </is>
      </c>
      <c r="AZ751" t="inlineStr">
        <is>
          <t>BOOK</t>
        </is>
      </c>
      <c r="BB751" t="inlineStr">
        <is>
          <t>9780533122066</t>
        </is>
      </c>
      <c r="BC751" t="inlineStr">
        <is>
          <t>32285003663761</t>
        </is>
      </c>
      <c r="BD751" t="inlineStr">
        <is>
          <t>893233639</t>
        </is>
      </c>
    </row>
    <row r="752">
      <c r="A752" t="inlineStr">
        <is>
          <t>No</t>
        </is>
      </c>
      <c r="B752" t="inlineStr">
        <is>
          <t>BX1793 .R4 1963</t>
        </is>
      </c>
      <c r="C752" t="inlineStr">
        <is>
          <t>0                      BX 1793000R  4           1963</t>
        </is>
      </c>
      <c r="D752" t="inlineStr">
        <is>
          <t>American pluralism and the Catholic conscience / by Richard J. Regan ; with a foreword by John Courtney Murray.</t>
        </is>
      </c>
      <c r="F752" t="inlineStr">
        <is>
          <t>No</t>
        </is>
      </c>
      <c r="G752" t="inlineStr">
        <is>
          <t>1</t>
        </is>
      </c>
      <c r="H752" t="inlineStr">
        <is>
          <t>No</t>
        </is>
      </c>
      <c r="I752" t="inlineStr">
        <is>
          <t>No</t>
        </is>
      </c>
      <c r="J752" t="inlineStr">
        <is>
          <t>0</t>
        </is>
      </c>
      <c r="K752" t="inlineStr">
        <is>
          <t>Regan, Richard J.</t>
        </is>
      </c>
      <c r="L752" t="inlineStr">
        <is>
          <t>New York : Macmillan, c1963.</t>
        </is>
      </c>
      <c r="M752" t="inlineStr">
        <is>
          <t>1963</t>
        </is>
      </c>
      <c r="O752" t="inlineStr">
        <is>
          <t>eng</t>
        </is>
      </c>
      <c r="P752" t="inlineStr">
        <is>
          <t>nyu</t>
        </is>
      </c>
      <c r="R752" t="inlineStr">
        <is>
          <t xml:space="preserve">BX </t>
        </is>
      </c>
      <c r="S752" t="n">
        <v>6</v>
      </c>
      <c r="T752" t="n">
        <v>6</v>
      </c>
      <c r="U752" t="inlineStr">
        <is>
          <t>1998-11-16</t>
        </is>
      </c>
      <c r="V752" t="inlineStr">
        <is>
          <t>1998-11-16</t>
        </is>
      </c>
      <c r="W752" t="inlineStr">
        <is>
          <t>1991-05-31</t>
        </is>
      </c>
      <c r="X752" t="inlineStr">
        <is>
          <t>1991-05-31</t>
        </is>
      </c>
      <c r="Y752" t="n">
        <v>350</v>
      </c>
      <c r="Z752" t="n">
        <v>335</v>
      </c>
      <c r="AA752" t="n">
        <v>342</v>
      </c>
      <c r="AB752" t="n">
        <v>4</v>
      </c>
      <c r="AC752" t="n">
        <v>4</v>
      </c>
      <c r="AD752" t="n">
        <v>32</v>
      </c>
      <c r="AE752" t="n">
        <v>32</v>
      </c>
      <c r="AF752" t="n">
        <v>11</v>
      </c>
      <c r="AG752" t="n">
        <v>11</v>
      </c>
      <c r="AH752" t="n">
        <v>7</v>
      </c>
      <c r="AI752" t="n">
        <v>7</v>
      </c>
      <c r="AJ752" t="n">
        <v>21</v>
      </c>
      <c r="AK752" t="n">
        <v>21</v>
      </c>
      <c r="AL752" t="n">
        <v>1</v>
      </c>
      <c r="AM752" t="n">
        <v>1</v>
      </c>
      <c r="AN752" t="n">
        <v>1</v>
      </c>
      <c r="AO752" t="n">
        <v>1</v>
      </c>
      <c r="AP752" t="inlineStr">
        <is>
          <t>No</t>
        </is>
      </c>
      <c r="AQ752" t="inlineStr">
        <is>
          <t>Yes</t>
        </is>
      </c>
      <c r="AR752">
        <f>HYPERLINK("http://catalog.hathitrust.org/Record/001416676","HathiTrust Record")</f>
        <v/>
      </c>
      <c r="AS752">
        <f>HYPERLINK("https://creighton-primo.hosted.exlibrisgroup.com/primo-explore/search?tab=default_tab&amp;search_scope=EVERYTHING&amp;vid=01CRU&amp;lang=en_US&amp;offset=0&amp;query=any,contains,991003658539702656","Catalog Record")</f>
        <v/>
      </c>
      <c r="AT752">
        <f>HYPERLINK("http://www.worldcat.org/oclc/1265004","WorldCat Record")</f>
        <v/>
      </c>
      <c r="AU752" t="inlineStr">
        <is>
          <t>2190347:eng</t>
        </is>
      </c>
      <c r="AV752" t="inlineStr">
        <is>
          <t>1265004</t>
        </is>
      </c>
      <c r="AW752" t="inlineStr">
        <is>
          <t>991003658539702656</t>
        </is>
      </c>
      <c r="AX752" t="inlineStr">
        <is>
          <t>991003658539702656</t>
        </is>
      </c>
      <c r="AY752" t="inlineStr">
        <is>
          <t>2264096570002656</t>
        </is>
      </c>
      <c r="AZ752" t="inlineStr">
        <is>
          <t>BOOK</t>
        </is>
      </c>
      <c r="BC752" t="inlineStr">
        <is>
          <t>32285000665306</t>
        </is>
      </c>
      <c r="BD752" t="inlineStr">
        <is>
          <t>893531439</t>
        </is>
      </c>
    </row>
    <row r="753">
      <c r="A753" t="inlineStr">
        <is>
          <t>No</t>
        </is>
      </c>
      <c r="B753" t="inlineStr">
        <is>
          <t>BX1793 .U549 2003</t>
        </is>
      </c>
      <c r="C753" t="inlineStr">
        <is>
          <t>0                      BX 1793000U  549         2003</t>
        </is>
      </c>
      <c r="D753" t="inlineStr">
        <is>
          <t>Faithful citizenship : a Catholic call to political responsibility : a statement by the Administrative Committee of the United States Conference of Catholic Bishops.</t>
        </is>
      </c>
      <c r="F753" t="inlineStr">
        <is>
          <t>No</t>
        </is>
      </c>
      <c r="G753" t="inlineStr">
        <is>
          <t>1</t>
        </is>
      </c>
      <c r="H753" t="inlineStr">
        <is>
          <t>No</t>
        </is>
      </c>
      <c r="I753" t="inlineStr">
        <is>
          <t>No</t>
        </is>
      </c>
      <c r="J753" t="inlineStr">
        <is>
          <t>0</t>
        </is>
      </c>
      <c r="K753" t="inlineStr">
        <is>
          <t>Catholic Church. United States Conference of Catholic Bishops. Administrative Committee.</t>
        </is>
      </c>
      <c r="L753" t="inlineStr">
        <is>
          <t>Washington, D.C. : United States Conference of Catholic Bishops, c2003.</t>
        </is>
      </c>
      <c r="M753" t="inlineStr">
        <is>
          <t>2003</t>
        </is>
      </c>
      <c r="O753" t="inlineStr">
        <is>
          <t>eng</t>
        </is>
      </c>
      <c r="P753" t="inlineStr">
        <is>
          <t>dcu</t>
        </is>
      </c>
      <c r="R753" t="inlineStr">
        <is>
          <t xml:space="preserve">BX </t>
        </is>
      </c>
      <c r="S753" t="n">
        <v>4</v>
      </c>
      <c r="T753" t="n">
        <v>4</v>
      </c>
      <c r="U753" t="inlineStr">
        <is>
          <t>2007-07-25</t>
        </is>
      </c>
      <c r="V753" t="inlineStr">
        <is>
          <t>2007-07-25</t>
        </is>
      </c>
      <c r="W753" t="inlineStr">
        <is>
          <t>2003-12-17</t>
        </is>
      </c>
      <c r="X753" t="inlineStr">
        <is>
          <t>2003-12-17</t>
        </is>
      </c>
      <c r="Y753" t="n">
        <v>86</v>
      </c>
      <c r="Z753" t="n">
        <v>84</v>
      </c>
      <c r="AA753" t="n">
        <v>89</v>
      </c>
      <c r="AB753" t="n">
        <v>2</v>
      </c>
      <c r="AC753" t="n">
        <v>2</v>
      </c>
      <c r="AD753" t="n">
        <v>14</v>
      </c>
      <c r="AE753" t="n">
        <v>14</v>
      </c>
      <c r="AF753" t="n">
        <v>4</v>
      </c>
      <c r="AG753" t="n">
        <v>4</v>
      </c>
      <c r="AH753" t="n">
        <v>3</v>
      </c>
      <c r="AI753" t="n">
        <v>3</v>
      </c>
      <c r="AJ753" t="n">
        <v>11</v>
      </c>
      <c r="AK753" t="n">
        <v>11</v>
      </c>
      <c r="AL753" t="n">
        <v>0</v>
      </c>
      <c r="AM753" t="n">
        <v>0</v>
      </c>
      <c r="AN753" t="n">
        <v>0</v>
      </c>
      <c r="AO753" t="n">
        <v>0</v>
      </c>
      <c r="AP753" t="inlineStr">
        <is>
          <t>No</t>
        </is>
      </c>
      <c r="AQ753" t="inlineStr">
        <is>
          <t>No</t>
        </is>
      </c>
      <c r="AS753">
        <f>HYPERLINK("https://creighton-primo.hosted.exlibrisgroup.com/primo-explore/search?tab=default_tab&amp;search_scope=EVERYTHING&amp;vid=01CRU&amp;lang=en_US&amp;offset=0&amp;query=any,contains,991004207889702656","Catalog Record")</f>
        <v/>
      </c>
      <c r="AT753">
        <f>HYPERLINK("http://www.worldcat.org/oclc/53910891","WorldCat Record")</f>
        <v/>
      </c>
      <c r="AU753" t="inlineStr">
        <is>
          <t>10228358598:eng</t>
        </is>
      </c>
      <c r="AV753" t="inlineStr">
        <is>
          <t>53910891</t>
        </is>
      </c>
      <c r="AW753" t="inlineStr">
        <is>
          <t>991004207889702656</t>
        </is>
      </c>
      <c r="AX753" t="inlineStr">
        <is>
          <t>991004207889702656</t>
        </is>
      </c>
      <c r="AY753" t="inlineStr">
        <is>
          <t>2271124900002656</t>
        </is>
      </c>
      <c r="AZ753" t="inlineStr">
        <is>
          <t>BOOK</t>
        </is>
      </c>
      <c r="BB753" t="inlineStr">
        <is>
          <t>9781574555615</t>
        </is>
      </c>
      <c r="BC753" t="inlineStr">
        <is>
          <t>32285004847355</t>
        </is>
      </c>
      <c r="BD753" t="inlineStr">
        <is>
          <t>893775766</t>
        </is>
      </c>
    </row>
    <row r="754">
      <c r="A754" t="inlineStr">
        <is>
          <t>No</t>
        </is>
      </c>
      <c r="B754" t="inlineStr">
        <is>
          <t>BX1793 .U55 1995</t>
        </is>
      </c>
      <c r="C754" t="inlineStr">
        <is>
          <t>0                      BX 1793000U  55          1995</t>
        </is>
      </c>
      <c r="D754" t="inlineStr">
        <is>
          <t>Political responsibility : proclaiming the gospel of life, protecting the least among us, and pursuing the common good.</t>
        </is>
      </c>
      <c r="F754" t="inlineStr">
        <is>
          <t>No</t>
        </is>
      </c>
      <c r="G754" t="inlineStr">
        <is>
          <t>1</t>
        </is>
      </c>
      <c r="H754" t="inlineStr">
        <is>
          <t>No</t>
        </is>
      </c>
      <c r="I754" t="inlineStr">
        <is>
          <t>No</t>
        </is>
      </c>
      <c r="J754" t="inlineStr">
        <is>
          <t>0</t>
        </is>
      </c>
      <c r="K754" t="inlineStr">
        <is>
          <t>United States Catholic Conference. Administrative Board.</t>
        </is>
      </c>
      <c r="L754" t="inlineStr">
        <is>
          <t>Washington, DC : United States Catholic Conference, c1995.</t>
        </is>
      </c>
      <c r="M754" t="inlineStr">
        <is>
          <t>1995</t>
        </is>
      </c>
      <c r="O754" t="inlineStr">
        <is>
          <t>eng</t>
        </is>
      </c>
      <c r="P754" t="inlineStr">
        <is>
          <t>dcu</t>
        </is>
      </c>
      <c r="Q754" t="inlineStr">
        <is>
          <t>Publication (United States Catholic Conference) ; no. 5-043</t>
        </is>
      </c>
      <c r="R754" t="inlineStr">
        <is>
          <t xml:space="preserve">BX </t>
        </is>
      </c>
      <c r="S754" t="n">
        <v>6</v>
      </c>
      <c r="T754" t="n">
        <v>6</v>
      </c>
      <c r="U754" t="inlineStr">
        <is>
          <t>2003-07-07</t>
        </is>
      </c>
      <c r="V754" t="inlineStr">
        <is>
          <t>2003-07-07</t>
        </is>
      </c>
      <c r="W754" t="inlineStr">
        <is>
          <t>1996-01-22</t>
        </is>
      </c>
      <c r="X754" t="inlineStr">
        <is>
          <t>1996-01-22</t>
        </is>
      </c>
      <c r="Y754" t="n">
        <v>65</v>
      </c>
      <c r="Z754" t="n">
        <v>64</v>
      </c>
      <c r="AA754" t="n">
        <v>64</v>
      </c>
      <c r="AB754" t="n">
        <v>1</v>
      </c>
      <c r="AC754" t="n">
        <v>1</v>
      </c>
      <c r="AD754" t="n">
        <v>12</v>
      </c>
      <c r="AE754" t="n">
        <v>12</v>
      </c>
      <c r="AF754" t="n">
        <v>1</v>
      </c>
      <c r="AG754" t="n">
        <v>1</v>
      </c>
      <c r="AH754" t="n">
        <v>5</v>
      </c>
      <c r="AI754" t="n">
        <v>5</v>
      </c>
      <c r="AJ754" t="n">
        <v>8</v>
      </c>
      <c r="AK754" t="n">
        <v>8</v>
      </c>
      <c r="AL754" t="n">
        <v>0</v>
      </c>
      <c r="AM754" t="n">
        <v>0</v>
      </c>
      <c r="AN754" t="n">
        <v>1</v>
      </c>
      <c r="AO754" t="n">
        <v>1</v>
      </c>
      <c r="AP754" t="inlineStr">
        <is>
          <t>No</t>
        </is>
      </c>
      <c r="AQ754" t="inlineStr">
        <is>
          <t>No</t>
        </is>
      </c>
      <c r="AS754">
        <f>HYPERLINK("https://creighton-primo.hosted.exlibrisgroup.com/primo-explore/search?tab=default_tab&amp;search_scope=EVERYTHING&amp;vid=01CRU&amp;lang=en_US&amp;offset=0&amp;query=any,contains,991002579339702656","Catalog Record")</f>
        <v/>
      </c>
      <c r="AT754">
        <f>HYPERLINK("http://www.worldcat.org/oclc/33806997","WorldCat Record")</f>
        <v/>
      </c>
      <c r="AU754" t="inlineStr">
        <is>
          <t>38631619:eng</t>
        </is>
      </c>
      <c r="AV754" t="inlineStr">
        <is>
          <t>33806997</t>
        </is>
      </c>
      <c r="AW754" t="inlineStr">
        <is>
          <t>991002579339702656</t>
        </is>
      </c>
      <c r="AX754" t="inlineStr">
        <is>
          <t>991002579339702656</t>
        </is>
      </c>
      <c r="AY754" t="inlineStr">
        <is>
          <t>2264912700002656</t>
        </is>
      </c>
      <c r="AZ754" t="inlineStr">
        <is>
          <t>BOOK</t>
        </is>
      </c>
      <c r="BB754" t="inlineStr">
        <is>
          <t>9781574550436</t>
        </is>
      </c>
      <c r="BC754" t="inlineStr">
        <is>
          <t>32285002119195</t>
        </is>
      </c>
      <c r="BD754" t="inlineStr">
        <is>
          <t>893421554</t>
        </is>
      </c>
    </row>
    <row r="755">
      <c r="A755" t="inlineStr">
        <is>
          <t>No</t>
        </is>
      </c>
      <c r="B755" t="inlineStr">
        <is>
          <t>BX1793.A26 C4</t>
        </is>
      </c>
      <c r="C755" t="inlineStr">
        <is>
          <t>0                      BX 1793000A  26                 C  4</t>
        </is>
      </c>
      <c r="D755" t="inlineStr">
        <is>
          <t>"... therefore choose life, that thou mayest live, thou and thy seed." (Deut. 30:19) / [By Norman Cousins and others]</t>
        </is>
      </c>
      <c r="F755" t="inlineStr">
        <is>
          <t>No</t>
        </is>
      </c>
      <c r="G755" t="inlineStr">
        <is>
          <t>1</t>
        </is>
      </c>
      <c r="H755" t="inlineStr">
        <is>
          <t>No</t>
        </is>
      </c>
      <c r="I755" t="inlineStr">
        <is>
          <t>No</t>
        </is>
      </c>
      <c r="J755" t="inlineStr">
        <is>
          <t>0</t>
        </is>
      </c>
      <c r="K755" t="inlineStr">
        <is>
          <t>Center for the Study of Democratic Institutions.</t>
        </is>
      </c>
      <c r="M755" t="inlineStr">
        <is>
          <t>1965</t>
        </is>
      </c>
      <c r="O755" t="inlineStr">
        <is>
          <t>eng</t>
        </is>
      </c>
      <c r="P755" t="inlineStr">
        <is>
          <t>cau</t>
        </is>
      </c>
      <c r="Q755" t="inlineStr">
        <is>
          <t>Its Papers on peace</t>
        </is>
      </c>
      <c r="R755" t="inlineStr">
        <is>
          <t xml:space="preserve">BX </t>
        </is>
      </c>
      <c r="S755" t="n">
        <v>5</v>
      </c>
      <c r="T755" t="n">
        <v>5</v>
      </c>
      <c r="U755" t="inlineStr">
        <is>
          <t>1994-04-17</t>
        </is>
      </c>
      <c r="V755" t="inlineStr">
        <is>
          <t>1994-04-17</t>
        </is>
      </c>
      <c r="W755" t="inlineStr">
        <is>
          <t>1991-05-31</t>
        </is>
      </c>
      <c r="X755" t="inlineStr">
        <is>
          <t>1991-05-31</t>
        </is>
      </c>
      <c r="Y755" t="n">
        <v>386</v>
      </c>
      <c r="Z755" t="n">
        <v>361</v>
      </c>
      <c r="AA755" t="n">
        <v>363</v>
      </c>
      <c r="AB755" t="n">
        <v>2</v>
      </c>
      <c r="AC755" t="n">
        <v>2</v>
      </c>
      <c r="AD755" t="n">
        <v>26</v>
      </c>
      <c r="AE755" t="n">
        <v>26</v>
      </c>
      <c r="AF755" t="n">
        <v>11</v>
      </c>
      <c r="AG755" t="n">
        <v>11</v>
      </c>
      <c r="AH755" t="n">
        <v>5</v>
      </c>
      <c r="AI755" t="n">
        <v>5</v>
      </c>
      <c r="AJ755" t="n">
        <v>15</v>
      </c>
      <c r="AK755" t="n">
        <v>15</v>
      </c>
      <c r="AL755" t="n">
        <v>1</v>
      </c>
      <c r="AM755" t="n">
        <v>1</v>
      </c>
      <c r="AN755" t="n">
        <v>1</v>
      </c>
      <c r="AO755" t="n">
        <v>1</v>
      </c>
      <c r="AP755" t="inlineStr">
        <is>
          <t>No</t>
        </is>
      </c>
      <c r="AQ755" t="inlineStr">
        <is>
          <t>Yes</t>
        </is>
      </c>
      <c r="AR755">
        <f>HYPERLINK("http://catalog.hathitrust.org/Record/001933536","HathiTrust Record")</f>
        <v/>
      </c>
      <c r="AS755">
        <f>HYPERLINK("https://creighton-primo.hosted.exlibrisgroup.com/primo-explore/search?tab=default_tab&amp;search_scope=EVERYTHING&amp;vid=01CRU&amp;lang=en_US&amp;offset=0&amp;query=any,contains,991003522579702656","Catalog Record")</f>
        <v/>
      </c>
      <c r="AT755">
        <f>HYPERLINK("http://www.worldcat.org/oclc/1084715","WorldCat Record")</f>
        <v/>
      </c>
      <c r="AU755" t="inlineStr">
        <is>
          <t>2050033:eng</t>
        </is>
      </c>
      <c r="AV755" t="inlineStr">
        <is>
          <t>1084715</t>
        </is>
      </c>
      <c r="AW755" t="inlineStr">
        <is>
          <t>991003522579702656</t>
        </is>
      </c>
      <c r="AX755" t="inlineStr">
        <is>
          <t>991003522579702656</t>
        </is>
      </c>
      <c r="AY755" t="inlineStr">
        <is>
          <t>2268981640002656</t>
        </is>
      </c>
      <c r="AZ755" t="inlineStr">
        <is>
          <t>BOOK</t>
        </is>
      </c>
      <c r="BC755" t="inlineStr">
        <is>
          <t>32285000665280</t>
        </is>
      </c>
      <c r="BD755" t="inlineStr">
        <is>
          <t>893692798</t>
        </is>
      </c>
    </row>
    <row r="756">
      <c r="A756" t="inlineStr">
        <is>
          <t>No</t>
        </is>
      </c>
      <c r="B756" t="inlineStr">
        <is>
          <t>BX1795.A82 R36 1999</t>
        </is>
      </c>
      <c r="C756" t="inlineStr">
        <is>
          <t>0                      BX 1795000A  82                 R  36          1999</t>
        </is>
      </c>
      <c r="D756" t="inlineStr">
        <is>
          <t>The unmaking of the medieval Christian cosmos, 1500-1760 : from solid heavens to boundless æther / W.G.L. Randles.</t>
        </is>
      </c>
      <c r="F756" t="inlineStr">
        <is>
          <t>No</t>
        </is>
      </c>
      <c r="G756" t="inlineStr">
        <is>
          <t>1</t>
        </is>
      </c>
      <c r="H756" t="inlineStr">
        <is>
          <t>No</t>
        </is>
      </c>
      <c r="I756" t="inlineStr">
        <is>
          <t>No</t>
        </is>
      </c>
      <c r="J756" t="inlineStr">
        <is>
          <t>0</t>
        </is>
      </c>
      <c r="K756" t="inlineStr">
        <is>
          <t>Randles, W. G. L.</t>
        </is>
      </c>
      <c r="L756" t="inlineStr">
        <is>
          <t>Aldershot, Hants, England ; Brookfield, Vt. : Ashgate, c1999.</t>
        </is>
      </c>
      <c r="M756" t="inlineStr">
        <is>
          <t>1999</t>
        </is>
      </c>
      <c r="O756" t="inlineStr">
        <is>
          <t>eng</t>
        </is>
      </c>
      <c r="P756" t="inlineStr">
        <is>
          <t>enk</t>
        </is>
      </c>
      <c r="R756" t="inlineStr">
        <is>
          <t xml:space="preserve">BX </t>
        </is>
      </c>
      <c r="S756" t="n">
        <v>2</v>
      </c>
      <c r="T756" t="n">
        <v>2</v>
      </c>
      <c r="U756" t="inlineStr">
        <is>
          <t>2000-11-06</t>
        </is>
      </c>
      <c r="V756" t="inlineStr">
        <is>
          <t>2000-11-06</t>
        </is>
      </c>
      <c r="W756" t="inlineStr">
        <is>
          <t>1999-12-09</t>
        </is>
      </c>
      <c r="X756" t="inlineStr">
        <is>
          <t>1999-12-09</t>
        </is>
      </c>
      <c r="Y756" t="n">
        <v>286</v>
      </c>
      <c r="Z756" t="n">
        <v>216</v>
      </c>
      <c r="AA756" t="n">
        <v>238</v>
      </c>
      <c r="AB756" t="n">
        <v>3</v>
      </c>
      <c r="AC756" t="n">
        <v>3</v>
      </c>
      <c r="AD756" t="n">
        <v>20</v>
      </c>
      <c r="AE756" t="n">
        <v>20</v>
      </c>
      <c r="AF756" t="n">
        <v>3</v>
      </c>
      <c r="AG756" t="n">
        <v>3</v>
      </c>
      <c r="AH756" t="n">
        <v>7</v>
      </c>
      <c r="AI756" t="n">
        <v>7</v>
      </c>
      <c r="AJ756" t="n">
        <v>14</v>
      </c>
      <c r="AK756" t="n">
        <v>14</v>
      </c>
      <c r="AL756" t="n">
        <v>2</v>
      </c>
      <c r="AM756" t="n">
        <v>2</v>
      </c>
      <c r="AN756" t="n">
        <v>0</v>
      </c>
      <c r="AO756" t="n">
        <v>0</v>
      </c>
      <c r="AP756" t="inlineStr">
        <is>
          <t>No</t>
        </is>
      </c>
      <c r="AQ756" t="inlineStr">
        <is>
          <t>Yes</t>
        </is>
      </c>
      <c r="AR756">
        <f>HYPERLINK("http://catalog.hathitrust.org/Record/004046944","HathiTrust Record")</f>
        <v/>
      </c>
      <c r="AS756">
        <f>HYPERLINK("https://creighton-primo.hosted.exlibrisgroup.com/primo-explore/search?tab=default_tab&amp;search_scope=EVERYTHING&amp;vid=01CRU&amp;lang=en_US&amp;offset=0&amp;query=any,contains,991002968009702656","Catalog Record")</f>
        <v/>
      </c>
      <c r="AT756">
        <f>HYPERLINK("http://www.worldcat.org/oclc/39727626","WorldCat Record")</f>
        <v/>
      </c>
      <c r="AU756" t="inlineStr">
        <is>
          <t>2065977:eng</t>
        </is>
      </c>
      <c r="AV756" t="inlineStr">
        <is>
          <t>39727626</t>
        </is>
      </c>
      <c r="AW756" t="inlineStr">
        <is>
          <t>991002968009702656</t>
        </is>
      </c>
      <c r="AX756" t="inlineStr">
        <is>
          <t>991002968009702656</t>
        </is>
      </c>
      <c r="AY756" t="inlineStr">
        <is>
          <t>2270772730002656</t>
        </is>
      </c>
      <c r="AZ756" t="inlineStr">
        <is>
          <t>BOOK</t>
        </is>
      </c>
      <c r="BB756" t="inlineStr">
        <is>
          <t>9781840146240</t>
        </is>
      </c>
      <c r="BC756" t="inlineStr">
        <is>
          <t>32285003630851</t>
        </is>
      </c>
      <c r="BD756" t="inlineStr">
        <is>
          <t>893428286</t>
        </is>
      </c>
    </row>
    <row r="757">
      <c r="A757" t="inlineStr">
        <is>
          <t>No</t>
        </is>
      </c>
      <c r="B757" t="inlineStr">
        <is>
          <t>BX1795.A85 A9 1985</t>
        </is>
      </c>
      <c r="C757" t="inlineStr">
        <is>
          <t>0                      BX 1795000A  85                 A  9           1985</t>
        </is>
      </c>
      <c r="D757" t="inlineStr">
        <is>
          <t>The cross, the flag, and the bomb : American Catholics debate war and peace, 1960-1983 / William A. Au.</t>
        </is>
      </c>
      <c r="F757" t="inlineStr">
        <is>
          <t>No</t>
        </is>
      </c>
      <c r="G757" t="inlineStr">
        <is>
          <t>1</t>
        </is>
      </c>
      <c r="H757" t="inlineStr">
        <is>
          <t>No</t>
        </is>
      </c>
      <c r="I757" t="inlineStr">
        <is>
          <t>No</t>
        </is>
      </c>
      <c r="J757" t="inlineStr">
        <is>
          <t>0</t>
        </is>
      </c>
      <c r="K757" t="inlineStr">
        <is>
          <t>Au, William A.</t>
        </is>
      </c>
      <c r="L757" t="inlineStr">
        <is>
          <t>Westport, Conn. : Greenwood Press, 1985.</t>
        </is>
      </c>
      <c r="M757" t="inlineStr">
        <is>
          <t>1985</t>
        </is>
      </c>
      <c r="O757" t="inlineStr">
        <is>
          <t>eng</t>
        </is>
      </c>
      <c r="P757" t="inlineStr">
        <is>
          <t>ctu</t>
        </is>
      </c>
      <c r="Q757" t="inlineStr">
        <is>
          <t>Contributions to the study of religion, 0196-7053 ; no. 12</t>
        </is>
      </c>
      <c r="R757" t="inlineStr">
        <is>
          <t xml:space="preserve">BX </t>
        </is>
      </c>
      <c r="S757" t="n">
        <v>4</v>
      </c>
      <c r="T757" t="n">
        <v>4</v>
      </c>
      <c r="U757" t="inlineStr">
        <is>
          <t>2001-11-27</t>
        </is>
      </c>
      <c r="V757" t="inlineStr">
        <is>
          <t>2001-11-27</t>
        </is>
      </c>
      <c r="W757" t="inlineStr">
        <is>
          <t>1991-05-31</t>
        </is>
      </c>
      <c r="X757" t="inlineStr">
        <is>
          <t>1991-05-31</t>
        </is>
      </c>
      <c r="Y757" t="n">
        <v>723</v>
      </c>
      <c r="Z757" t="n">
        <v>658</v>
      </c>
      <c r="AA757" t="n">
        <v>693</v>
      </c>
      <c r="AB757" t="n">
        <v>5</v>
      </c>
      <c r="AC757" t="n">
        <v>5</v>
      </c>
      <c r="AD757" t="n">
        <v>42</v>
      </c>
      <c r="AE757" t="n">
        <v>43</v>
      </c>
      <c r="AF757" t="n">
        <v>17</v>
      </c>
      <c r="AG757" t="n">
        <v>18</v>
      </c>
      <c r="AH757" t="n">
        <v>10</v>
      </c>
      <c r="AI757" t="n">
        <v>10</v>
      </c>
      <c r="AJ757" t="n">
        <v>24</v>
      </c>
      <c r="AK757" t="n">
        <v>24</v>
      </c>
      <c r="AL757" t="n">
        <v>4</v>
      </c>
      <c r="AM757" t="n">
        <v>4</v>
      </c>
      <c r="AN757" t="n">
        <v>0</v>
      </c>
      <c r="AO757" t="n">
        <v>0</v>
      </c>
      <c r="AP757" t="inlineStr">
        <is>
          <t>No</t>
        </is>
      </c>
      <c r="AQ757" t="inlineStr">
        <is>
          <t>Yes</t>
        </is>
      </c>
      <c r="AR757">
        <f>HYPERLINK("http://catalog.hathitrust.org/Record/000352594","HathiTrust Record")</f>
        <v/>
      </c>
      <c r="AS757">
        <f>HYPERLINK("https://creighton-primo.hosted.exlibrisgroup.com/primo-explore/search?tab=default_tab&amp;search_scope=EVERYTHING&amp;vid=01CRU&amp;lang=en_US&amp;offset=0&amp;query=any,contains,991000542519702656","Catalog Record")</f>
        <v/>
      </c>
      <c r="AT757">
        <f>HYPERLINK("http://www.worldcat.org/oclc/11496768","WorldCat Record")</f>
        <v/>
      </c>
      <c r="AU757" t="inlineStr">
        <is>
          <t>2609420:eng</t>
        </is>
      </c>
      <c r="AV757" t="inlineStr">
        <is>
          <t>11496768</t>
        </is>
      </c>
      <c r="AW757" t="inlineStr">
        <is>
          <t>991000542519702656</t>
        </is>
      </c>
      <c r="AX757" t="inlineStr">
        <is>
          <t>991000542519702656</t>
        </is>
      </c>
      <c r="AY757" t="inlineStr">
        <is>
          <t>2260808760002656</t>
        </is>
      </c>
      <c r="AZ757" t="inlineStr">
        <is>
          <t>BOOK</t>
        </is>
      </c>
      <c r="BB757" t="inlineStr">
        <is>
          <t>9780313247545</t>
        </is>
      </c>
      <c r="BC757" t="inlineStr">
        <is>
          <t>32285000665322</t>
        </is>
      </c>
      <c r="BD757" t="inlineStr">
        <is>
          <t>893249447</t>
        </is>
      </c>
    </row>
    <row r="758">
      <c r="A758" t="inlineStr">
        <is>
          <t>No</t>
        </is>
      </c>
      <c r="B758" t="inlineStr">
        <is>
          <t>BX1795.A85 C39 1983, Supp.3</t>
        </is>
      </c>
      <c r="C758" t="inlineStr">
        <is>
          <t>0                      BX 1795000A  85                 C  39          1983                  Supp.3</t>
        </is>
      </c>
      <c r="D758" t="inlineStr">
        <is>
          <t>Evangelicals and the bishops' pastoral letter / edited by Dean C. Curry.</t>
        </is>
      </c>
      <c r="E758" t="inlineStr">
        <is>
          <t>Supp.3*</t>
        </is>
      </c>
      <c r="F758" t="inlineStr">
        <is>
          <t>No</t>
        </is>
      </c>
      <c r="G758" t="inlineStr">
        <is>
          <t>1</t>
        </is>
      </c>
      <c r="H758" t="inlineStr">
        <is>
          <t>No</t>
        </is>
      </c>
      <c r="I758" t="inlineStr">
        <is>
          <t>No</t>
        </is>
      </c>
      <c r="J758" t="inlineStr">
        <is>
          <t>0</t>
        </is>
      </c>
      <c r="L758" t="inlineStr">
        <is>
          <t>Grand Rapids, Mich. : W.B. Eerdmans, 1984.</t>
        </is>
      </c>
      <c r="M758" t="inlineStr">
        <is>
          <t>1984</t>
        </is>
      </c>
      <c r="N758" t="inlineStr">
        <is>
          <t>1st ed.</t>
        </is>
      </c>
      <c r="O758" t="inlineStr">
        <is>
          <t>eng</t>
        </is>
      </c>
      <c r="P758" t="inlineStr">
        <is>
          <t>miu</t>
        </is>
      </c>
      <c r="R758" t="inlineStr">
        <is>
          <t xml:space="preserve">BX </t>
        </is>
      </c>
      <c r="S758" t="n">
        <v>6</v>
      </c>
      <c r="T758" t="n">
        <v>6</v>
      </c>
      <c r="U758" t="inlineStr">
        <is>
          <t>1998-11-30</t>
        </is>
      </c>
      <c r="V758" t="inlineStr">
        <is>
          <t>1998-11-30</t>
        </is>
      </c>
      <c r="W758" t="inlineStr">
        <is>
          <t>1990-03-06</t>
        </is>
      </c>
      <c r="X758" t="inlineStr">
        <is>
          <t>1990-03-06</t>
        </is>
      </c>
      <c r="Y758" t="n">
        <v>549</v>
      </c>
      <c r="Z758" t="n">
        <v>488</v>
      </c>
      <c r="AA758" t="n">
        <v>494</v>
      </c>
      <c r="AB758" t="n">
        <v>3</v>
      </c>
      <c r="AC758" t="n">
        <v>3</v>
      </c>
      <c r="AD758" t="n">
        <v>35</v>
      </c>
      <c r="AE758" t="n">
        <v>35</v>
      </c>
      <c r="AF758" t="n">
        <v>13</v>
      </c>
      <c r="AG758" t="n">
        <v>13</v>
      </c>
      <c r="AH758" t="n">
        <v>9</v>
      </c>
      <c r="AI758" t="n">
        <v>9</v>
      </c>
      <c r="AJ758" t="n">
        <v>21</v>
      </c>
      <c r="AK758" t="n">
        <v>21</v>
      </c>
      <c r="AL758" t="n">
        <v>2</v>
      </c>
      <c r="AM758" t="n">
        <v>2</v>
      </c>
      <c r="AN758" t="n">
        <v>0</v>
      </c>
      <c r="AO758" t="n">
        <v>0</v>
      </c>
      <c r="AP758" t="inlineStr">
        <is>
          <t>No</t>
        </is>
      </c>
      <c r="AQ758" t="inlineStr">
        <is>
          <t>Yes</t>
        </is>
      </c>
      <c r="AR758">
        <f>HYPERLINK("http://catalog.hathitrust.org/Record/000780437","HathiTrust Record")</f>
        <v/>
      </c>
      <c r="AS758">
        <f>HYPERLINK("https://creighton-primo.hosted.exlibrisgroup.com/primo-explore/search?tab=default_tab&amp;search_scope=EVERYTHING&amp;vid=01CRU&amp;lang=en_US&amp;offset=0&amp;query=any,contains,991000375019702656","Catalog Record")</f>
        <v/>
      </c>
      <c r="AT758">
        <f>HYPERLINK("http://www.worldcat.org/oclc/10457970","WorldCat Record")</f>
        <v/>
      </c>
      <c r="AU758" t="inlineStr">
        <is>
          <t>350194024:eng</t>
        </is>
      </c>
      <c r="AV758" t="inlineStr">
        <is>
          <t>10457970</t>
        </is>
      </c>
      <c r="AW758" t="inlineStr">
        <is>
          <t>991000375019702656</t>
        </is>
      </c>
      <c r="AX758" t="inlineStr">
        <is>
          <t>991000375019702656</t>
        </is>
      </c>
      <c r="AY758" t="inlineStr">
        <is>
          <t>2265710740002656</t>
        </is>
      </c>
      <c r="AZ758" t="inlineStr">
        <is>
          <t>BOOK</t>
        </is>
      </c>
      <c r="BB758" t="inlineStr">
        <is>
          <t>9780802819857</t>
        </is>
      </c>
      <c r="BC758" t="inlineStr">
        <is>
          <t>32285000055755</t>
        </is>
      </c>
      <c r="BD758" t="inlineStr">
        <is>
          <t>893224932</t>
        </is>
      </c>
    </row>
    <row r="759">
      <c r="A759" t="inlineStr">
        <is>
          <t>No</t>
        </is>
      </c>
      <c r="B759" t="inlineStr">
        <is>
          <t>BX1795.A85 C39 1983, Supp.4</t>
        </is>
      </c>
      <c r="C759" t="inlineStr">
        <is>
          <t>0                      BX 1795000A  85                 C  39          1983                  Supp.4</t>
        </is>
      </c>
      <c r="D759" t="inlineStr">
        <is>
          <t>The Catholic bishops and nuclear war : a critique and analysis of the pastoral, the Challenge of peace / Judith A. Dwyer, editor.</t>
        </is>
      </c>
      <c r="E759" t="inlineStr">
        <is>
          <t>Supp.4*</t>
        </is>
      </c>
      <c r="F759" t="inlineStr">
        <is>
          <t>No</t>
        </is>
      </c>
      <c r="G759" t="inlineStr">
        <is>
          <t>1</t>
        </is>
      </c>
      <c r="H759" t="inlineStr">
        <is>
          <t>No</t>
        </is>
      </c>
      <c r="I759" t="inlineStr">
        <is>
          <t>No</t>
        </is>
      </c>
      <c r="J759" t="inlineStr">
        <is>
          <t>0</t>
        </is>
      </c>
      <c r="L759" t="inlineStr">
        <is>
          <t>Washington, D.C. : Georgetown University Press, c1984.</t>
        </is>
      </c>
      <c r="M759" t="inlineStr">
        <is>
          <t>1984</t>
        </is>
      </c>
      <c r="O759" t="inlineStr">
        <is>
          <t>eng</t>
        </is>
      </c>
      <c r="P759" t="inlineStr">
        <is>
          <t>dcu</t>
        </is>
      </c>
      <c r="R759" t="inlineStr">
        <is>
          <t xml:space="preserve">BX </t>
        </is>
      </c>
      <c r="S759" t="n">
        <v>7</v>
      </c>
      <c r="T759" t="n">
        <v>7</v>
      </c>
      <c r="U759" t="inlineStr">
        <is>
          <t>1999-09-25</t>
        </is>
      </c>
      <c r="V759" t="inlineStr">
        <is>
          <t>1999-09-25</t>
        </is>
      </c>
      <c r="W759" t="inlineStr">
        <is>
          <t>1990-04-10</t>
        </is>
      </c>
      <c r="X759" t="inlineStr">
        <is>
          <t>1990-04-10</t>
        </is>
      </c>
      <c r="Y759" t="n">
        <v>568</v>
      </c>
      <c r="Z759" t="n">
        <v>505</v>
      </c>
      <c r="AA759" t="n">
        <v>507</v>
      </c>
      <c r="AB759" t="n">
        <v>5</v>
      </c>
      <c r="AC759" t="n">
        <v>5</v>
      </c>
      <c r="AD759" t="n">
        <v>42</v>
      </c>
      <c r="AE759" t="n">
        <v>42</v>
      </c>
      <c r="AF759" t="n">
        <v>17</v>
      </c>
      <c r="AG759" t="n">
        <v>17</v>
      </c>
      <c r="AH759" t="n">
        <v>10</v>
      </c>
      <c r="AI759" t="n">
        <v>10</v>
      </c>
      <c r="AJ759" t="n">
        <v>24</v>
      </c>
      <c r="AK759" t="n">
        <v>24</v>
      </c>
      <c r="AL759" t="n">
        <v>3</v>
      </c>
      <c r="AM759" t="n">
        <v>3</v>
      </c>
      <c r="AN759" t="n">
        <v>1</v>
      </c>
      <c r="AO759" t="n">
        <v>1</v>
      </c>
      <c r="AP759" t="inlineStr">
        <is>
          <t>No</t>
        </is>
      </c>
      <c r="AQ759" t="inlineStr">
        <is>
          <t>Yes</t>
        </is>
      </c>
      <c r="AR759">
        <f>HYPERLINK("http://catalog.hathitrust.org/Record/000333356","HathiTrust Record")</f>
        <v/>
      </c>
      <c r="AS759">
        <f>HYPERLINK("https://creighton-primo.hosted.exlibrisgroup.com/primo-explore/search?tab=default_tab&amp;search_scope=EVERYTHING&amp;vid=01CRU&amp;lang=en_US&amp;offset=0&amp;query=any,contains,991000375059702656","Catalog Record")</f>
        <v/>
      </c>
      <c r="AT759">
        <f>HYPERLINK("http://www.worldcat.org/oclc/10457973","WorldCat Record")</f>
        <v/>
      </c>
      <c r="AU759" t="inlineStr">
        <is>
          <t>429300932:eng</t>
        </is>
      </c>
      <c r="AV759" t="inlineStr">
        <is>
          <t>10457973</t>
        </is>
      </c>
      <c r="AW759" t="inlineStr">
        <is>
          <t>991000375059702656</t>
        </is>
      </c>
      <c r="AX759" t="inlineStr">
        <is>
          <t>991000375059702656</t>
        </is>
      </c>
      <c r="AY759" t="inlineStr">
        <is>
          <t>2265710910002656</t>
        </is>
      </c>
      <c r="AZ759" t="inlineStr">
        <is>
          <t>BOOK</t>
        </is>
      </c>
      <c r="BB759" t="inlineStr">
        <is>
          <t>9780878404094</t>
        </is>
      </c>
      <c r="BC759" t="inlineStr">
        <is>
          <t>32285000113877</t>
        </is>
      </c>
      <c r="BD759" t="inlineStr">
        <is>
          <t>893614123</t>
        </is>
      </c>
    </row>
    <row r="760">
      <c r="A760" t="inlineStr">
        <is>
          <t>No</t>
        </is>
      </c>
      <c r="B760" t="inlineStr">
        <is>
          <t>BX1795.A85 C39 1983, Supp.5</t>
        </is>
      </c>
      <c r="C760" t="inlineStr">
        <is>
          <t>0                      BX 1795000A  85                 C  39          1983                  Supp.5</t>
        </is>
      </c>
      <c r="D760" t="inlineStr">
        <is>
          <t>The ultimate weapon / Philip F. Lawler.</t>
        </is>
      </c>
      <c r="E760" t="inlineStr">
        <is>
          <t>Supp.5*</t>
        </is>
      </c>
      <c r="F760" t="inlineStr">
        <is>
          <t>No</t>
        </is>
      </c>
      <c r="G760" t="inlineStr">
        <is>
          <t>1</t>
        </is>
      </c>
      <c r="H760" t="inlineStr">
        <is>
          <t>No</t>
        </is>
      </c>
      <c r="I760" t="inlineStr">
        <is>
          <t>No</t>
        </is>
      </c>
      <c r="J760" t="inlineStr">
        <is>
          <t>0</t>
        </is>
      </c>
      <c r="K760" t="inlineStr">
        <is>
          <t>Lawler, Philip F.</t>
        </is>
      </c>
      <c r="L760" t="inlineStr">
        <is>
          <t>Chicago : Regnery Gateway, c1984.</t>
        </is>
      </c>
      <c r="M760" t="inlineStr">
        <is>
          <t>1984</t>
        </is>
      </c>
      <c r="O760" t="inlineStr">
        <is>
          <t>eng</t>
        </is>
      </c>
      <c r="P760" t="inlineStr">
        <is>
          <t>ilu</t>
        </is>
      </c>
      <c r="R760" t="inlineStr">
        <is>
          <t xml:space="preserve">BX </t>
        </is>
      </c>
      <c r="S760" t="n">
        <v>4</v>
      </c>
      <c r="T760" t="n">
        <v>4</v>
      </c>
      <c r="U760" t="inlineStr">
        <is>
          <t>1998-11-30</t>
        </is>
      </c>
      <c r="V760" t="inlineStr">
        <is>
          <t>1998-11-30</t>
        </is>
      </c>
      <c r="W760" t="inlineStr">
        <is>
          <t>1991-05-31</t>
        </is>
      </c>
      <c r="X760" t="inlineStr">
        <is>
          <t>1991-05-31</t>
        </is>
      </c>
      <c r="Y760" t="n">
        <v>196</v>
      </c>
      <c r="Z760" t="n">
        <v>172</v>
      </c>
      <c r="AA760" t="n">
        <v>179</v>
      </c>
      <c r="AB760" t="n">
        <v>1</v>
      </c>
      <c r="AC760" t="n">
        <v>1</v>
      </c>
      <c r="AD760" t="n">
        <v>18</v>
      </c>
      <c r="AE760" t="n">
        <v>18</v>
      </c>
      <c r="AF760" t="n">
        <v>5</v>
      </c>
      <c r="AG760" t="n">
        <v>5</v>
      </c>
      <c r="AH760" t="n">
        <v>6</v>
      </c>
      <c r="AI760" t="n">
        <v>6</v>
      </c>
      <c r="AJ760" t="n">
        <v>14</v>
      </c>
      <c r="AK760" t="n">
        <v>14</v>
      </c>
      <c r="AL760" t="n">
        <v>0</v>
      </c>
      <c r="AM760" t="n">
        <v>0</v>
      </c>
      <c r="AN760" t="n">
        <v>0</v>
      </c>
      <c r="AO760" t="n">
        <v>0</v>
      </c>
      <c r="AP760" t="inlineStr">
        <is>
          <t>No</t>
        </is>
      </c>
      <c r="AQ760" t="inlineStr">
        <is>
          <t>Yes</t>
        </is>
      </c>
      <c r="AR760">
        <f>HYPERLINK("http://catalog.hathitrust.org/Record/010678600","HathiTrust Record")</f>
        <v/>
      </c>
      <c r="AS760">
        <f>HYPERLINK("https://creighton-primo.hosted.exlibrisgroup.com/primo-explore/search?tab=default_tab&amp;search_scope=EVERYTHING&amp;vid=01CRU&amp;lang=en_US&amp;offset=0&amp;query=any,contains,991000431559702656","Catalog Record")</f>
        <v/>
      </c>
      <c r="AT760">
        <f>HYPERLINK("http://www.worldcat.org/oclc/10778982","WorldCat Record")</f>
        <v/>
      </c>
      <c r="AU760" t="inlineStr">
        <is>
          <t>3466002:eng</t>
        </is>
      </c>
      <c r="AV760" t="inlineStr">
        <is>
          <t>10778982</t>
        </is>
      </c>
      <c r="AW760" t="inlineStr">
        <is>
          <t>991000431559702656</t>
        </is>
      </c>
      <c r="AX760" t="inlineStr">
        <is>
          <t>991000431559702656</t>
        </is>
      </c>
      <c r="AY760" t="inlineStr">
        <is>
          <t>2267930630002656</t>
        </is>
      </c>
      <c r="AZ760" t="inlineStr">
        <is>
          <t>BOOK</t>
        </is>
      </c>
      <c r="BB760" t="inlineStr">
        <is>
          <t>9780895268266</t>
        </is>
      </c>
      <c r="BC760" t="inlineStr">
        <is>
          <t>32285000665371</t>
        </is>
      </c>
      <c r="BD760" t="inlineStr">
        <is>
          <t>893884376</t>
        </is>
      </c>
    </row>
    <row r="761">
      <c r="A761" t="inlineStr">
        <is>
          <t>No</t>
        </is>
      </c>
      <c r="B761" t="inlineStr">
        <is>
          <t>BX1795.A85 C39 1983, Supp.9</t>
        </is>
      </c>
      <c r="C761" t="inlineStr">
        <is>
          <t>0                      BX 1795000A  85                 C  39          1983                  Supp.9</t>
        </is>
      </c>
      <c r="D761" t="inlineStr">
        <is>
          <t>The challenge of peace through strength : God's plan and our defense of it : the stripping of a bishops' pastoral letter / Gommar A. De Pauw.</t>
        </is>
      </c>
      <c r="E761" t="inlineStr">
        <is>
          <t>Supp.9*</t>
        </is>
      </c>
      <c r="F761" t="inlineStr">
        <is>
          <t>No</t>
        </is>
      </c>
      <c r="G761" t="inlineStr">
        <is>
          <t>1</t>
        </is>
      </c>
      <c r="H761" t="inlineStr">
        <is>
          <t>No</t>
        </is>
      </c>
      <c r="I761" t="inlineStr">
        <is>
          <t>No</t>
        </is>
      </c>
      <c r="J761" t="inlineStr">
        <is>
          <t>0</t>
        </is>
      </c>
      <c r="K761" t="inlineStr">
        <is>
          <t>De Pauw, Gommar A. (Gommar Albert), 1918-</t>
        </is>
      </c>
      <c r="L761" t="inlineStr">
        <is>
          <t>Westbury, N.Y. : C.T.M. Publications, c1989.</t>
        </is>
      </c>
      <c r="M761" t="inlineStr">
        <is>
          <t>1989</t>
        </is>
      </c>
      <c r="O761" t="inlineStr">
        <is>
          <t>eng</t>
        </is>
      </c>
      <c r="P761" t="inlineStr">
        <is>
          <t>nyu</t>
        </is>
      </c>
      <c r="R761" t="inlineStr">
        <is>
          <t xml:space="preserve">BX </t>
        </is>
      </c>
      <c r="S761" t="n">
        <v>6</v>
      </c>
      <c r="T761" t="n">
        <v>6</v>
      </c>
      <c r="U761" t="inlineStr">
        <is>
          <t>2002-04-29</t>
        </is>
      </c>
      <c r="V761" t="inlineStr">
        <is>
          <t>2002-04-29</t>
        </is>
      </c>
      <c r="W761" t="inlineStr">
        <is>
          <t>1990-05-25</t>
        </is>
      </c>
      <c r="X761" t="inlineStr">
        <is>
          <t>1990-05-25</t>
        </is>
      </c>
      <c r="Y761" t="n">
        <v>107</v>
      </c>
      <c r="Z761" t="n">
        <v>106</v>
      </c>
      <c r="AA761" t="n">
        <v>106</v>
      </c>
      <c r="AB761" t="n">
        <v>1</v>
      </c>
      <c r="AC761" t="n">
        <v>1</v>
      </c>
      <c r="AD761" t="n">
        <v>4</v>
      </c>
      <c r="AE761" t="n">
        <v>4</v>
      </c>
      <c r="AF761" t="n">
        <v>2</v>
      </c>
      <c r="AG761" t="n">
        <v>2</v>
      </c>
      <c r="AH761" t="n">
        <v>0</v>
      </c>
      <c r="AI761" t="n">
        <v>0</v>
      </c>
      <c r="AJ761" t="n">
        <v>2</v>
      </c>
      <c r="AK761" t="n">
        <v>2</v>
      </c>
      <c r="AL761" t="n">
        <v>0</v>
      </c>
      <c r="AM761" t="n">
        <v>0</v>
      </c>
      <c r="AN761" t="n">
        <v>0</v>
      </c>
      <c r="AO761" t="n">
        <v>0</v>
      </c>
      <c r="AP761" t="inlineStr">
        <is>
          <t>No</t>
        </is>
      </c>
      <c r="AQ761" t="inlineStr">
        <is>
          <t>No</t>
        </is>
      </c>
      <c r="AS761">
        <f>HYPERLINK("https://creighton-primo.hosted.exlibrisgroup.com/primo-explore/search?tab=default_tab&amp;search_scope=EVERYTHING&amp;vid=01CRU&amp;lang=en_US&amp;offset=0&amp;query=any,contains,991001560949702656","Catalog Record")</f>
        <v/>
      </c>
      <c r="AT761">
        <f>HYPERLINK("http://www.worldcat.org/oclc/20296818","WorldCat Record")</f>
        <v/>
      </c>
      <c r="AU761" t="inlineStr">
        <is>
          <t>22711794:eng</t>
        </is>
      </c>
      <c r="AV761" t="inlineStr">
        <is>
          <t>20296818</t>
        </is>
      </c>
      <c r="AW761" t="inlineStr">
        <is>
          <t>991001560949702656</t>
        </is>
      </c>
      <c r="AX761" t="inlineStr">
        <is>
          <t>991001560949702656</t>
        </is>
      </c>
      <c r="AY761" t="inlineStr">
        <is>
          <t>2260277460002656</t>
        </is>
      </c>
      <c r="AZ761" t="inlineStr">
        <is>
          <t>BOOK</t>
        </is>
      </c>
      <c r="BB761" t="inlineStr">
        <is>
          <t>9781877787027</t>
        </is>
      </c>
      <c r="BC761" t="inlineStr">
        <is>
          <t>32285004468939</t>
        </is>
      </c>
      <c r="BD761" t="inlineStr">
        <is>
          <t>893615208</t>
        </is>
      </c>
    </row>
    <row r="762">
      <c r="A762" t="inlineStr">
        <is>
          <t>No</t>
        </is>
      </c>
      <c r="B762" t="inlineStr">
        <is>
          <t>BX1795.A85 C39 1989</t>
        </is>
      </c>
      <c r="C762" t="inlineStr">
        <is>
          <t>0                      BX 1795000A  85                 C  39          1989</t>
        </is>
      </c>
      <c r="D762" t="inlineStr">
        <is>
          <t>Our unfinished business : the U.S. Catholic Bishops' letters on peace and the economy / Phillip Berryman.</t>
        </is>
      </c>
      <c r="F762" t="inlineStr">
        <is>
          <t>No</t>
        </is>
      </c>
      <c r="G762" t="inlineStr">
        <is>
          <t>1</t>
        </is>
      </c>
      <c r="H762" t="inlineStr">
        <is>
          <t>No</t>
        </is>
      </c>
      <c r="I762" t="inlineStr">
        <is>
          <t>No</t>
        </is>
      </c>
      <c r="J762" t="inlineStr">
        <is>
          <t>0</t>
        </is>
      </c>
      <c r="K762" t="inlineStr">
        <is>
          <t>Berryman, Phillip.</t>
        </is>
      </c>
      <c r="L762" t="inlineStr">
        <is>
          <t>New York : Pantheon Books, c1989.</t>
        </is>
      </c>
      <c r="M762" t="inlineStr">
        <is>
          <t>1989</t>
        </is>
      </c>
      <c r="O762" t="inlineStr">
        <is>
          <t>eng</t>
        </is>
      </c>
      <c r="P762" t="inlineStr">
        <is>
          <t>nyu</t>
        </is>
      </c>
      <c r="R762" t="inlineStr">
        <is>
          <t xml:space="preserve">BX </t>
        </is>
      </c>
      <c r="S762" t="n">
        <v>7</v>
      </c>
      <c r="T762" t="n">
        <v>7</v>
      </c>
      <c r="U762" t="inlineStr">
        <is>
          <t>1996-04-24</t>
        </is>
      </c>
      <c r="V762" t="inlineStr">
        <is>
          <t>1996-04-24</t>
        </is>
      </c>
      <c r="W762" t="inlineStr">
        <is>
          <t>1990-03-13</t>
        </is>
      </c>
      <c r="X762" t="inlineStr">
        <is>
          <t>1990-03-13</t>
        </is>
      </c>
      <c r="Y762" t="n">
        <v>405</v>
      </c>
      <c r="Z762" t="n">
        <v>370</v>
      </c>
      <c r="AA762" t="n">
        <v>419</v>
      </c>
      <c r="AB762" t="n">
        <v>4</v>
      </c>
      <c r="AC762" t="n">
        <v>4</v>
      </c>
      <c r="AD762" t="n">
        <v>25</v>
      </c>
      <c r="AE762" t="n">
        <v>25</v>
      </c>
      <c r="AF762" t="n">
        <v>4</v>
      </c>
      <c r="AG762" t="n">
        <v>4</v>
      </c>
      <c r="AH762" t="n">
        <v>10</v>
      </c>
      <c r="AI762" t="n">
        <v>10</v>
      </c>
      <c r="AJ762" t="n">
        <v>17</v>
      </c>
      <c r="AK762" t="n">
        <v>17</v>
      </c>
      <c r="AL762" t="n">
        <v>2</v>
      </c>
      <c r="AM762" t="n">
        <v>2</v>
      </c>
      <c r="AN762" t="n">
        <v>0</v>
      </c>
      <c r="AO762" t="n">
        <v>0</v>
      </c>
      <c r="AP762" t="inlineStr">
        <is>
          <t>No</t>
        </is>
      </c>
      <c r="AQ762" t="inlineStr">
        <is>
          <t>Yes</t>
        </is>
      </c>
      <c r="AR762">
        <f>HYPERLINK("http://catalog.hathitrust.org/Record/001288238","HathiTrust Record")</f>
        <v/>
      </c>
      <c r="AS762">
        <f>HYPERLINK("https://creighton-primo.hosted.exlibrisgroup.com/primo-explore/search?tab=default_tab&amp;search_scope=EVERYTHING&amp;vid=01CRU&amp;lang=en_US&amp;offset=0&amp;query=any,contains,991001476059702656","Catalog Record")</f>
        <v/>
      </c>
      <c r="AT762">
        <f>HYPERLINK("http://www.worldcat.org/oclc/19565581","WorldCat Record")</f>
        <v/>
      </c>
      <c r="AU762" t="inlineStr">
        <is>
          <t>431861560:eng</t>
        </is>
      </c>
      <c r="AV762" t="inlineStr">
        <is>
          <t>19565581</t>
        </is>
      </c>
      <c r="AW762" t="inlineStr">
        <is>
          <t>991001476059702656</t>
        </is>
      </c>
      <c r="AX762" t="inlineStr">
        <is>
          <t>991001476059702656</t>
        </is>
      </c>
      <c r="AY762" t="inlineStr">
        <is>
          <t>2261867170002656</t>
        </is>
      </c>
      <c r="AZ762" t="inlineStr">
        <is>
          <t>BOOK</t>
        </is>
      </c>
      <c r="BB762" t="inlineStr">
        <is>
          <t>9780679739630</t>
        </is>
      </c>
      <c r="BC762" t="inlineStr">
        <is>
          <t>32285000079649</t>
        </is>
      </c>
      <c r="BD762" t="inlineStr">
        <is>
          <t>893809078</t>
        </is>
      </c>
    </row>
    <row r="763">
      <c r="A763" t="inlineStr">
        <is>
          <t>No</t>
        </is>
      </c>
      <c r="B763" t="inlineStr">
        <is>
          <t>BX1795.A85 D68 1984</t>
        </is>
      </c>
      <c r="C763" t="inlineStr">
        <is>
          <t>0                      BX 1795000A  85                 D  68          1984</t>
        </is>
      </c>
      <c r="D763" t="inlineStr">
        <is>
          <t>The bishops and nuclear weapons : the Catholic pastoral letter on war and peace / James E. Dougherty.</t>
        </is>
      </c>
      <c r="F763" t="inlineStr">
        <is>
          <t>No</t>
        </is>
      </c>
      <c r="G763" t="inlineStr">
        <is>
          <t>1</t>
        </is>
      </c>
      <c r="H763" t="inlineStr">
        <is>
          <t>No</t>
        </is>
      </c>
      <c r="I763" t="inlineStr">
        <is>
          <t>No</t>
        </is>
      </c>
      <c r="J763" t="inlineStr">
        <is>
          <t>0</t>
        </is>
      </c>
      <c r="K763" t="inlineStr">
        <is>
          <t>Dougherty, James E.</t>
        </is>
      </c>
      <c r="L763" t="inlineStr">
        <is>
          <t>Hamden, Conn. : Archon Books, 1984.</t>
        </is>
      </c>
      <c r="M763" t="inlineStr">
        <is>
          <t>1984</t>
        </is>
      </c>
      <c r="O763" t="inlineStr">
        <is>
          <t>eng</t>
        </is>
      </c>
      <c r="P763" t="inlineStr">
        <is>
          <t>ctu</t>
        </is>
      </c>
      <c r="R763" t="inlineStr">
        <is>
          <t xml:space="preserve">BX </t>
        </is>
      </c>
      <c r="S763" t="n">
        <v>6</v>
      </c>
      <c r="T763" t="n">
        <v>6</v>
      </c>
      <c r="U763" t="inlineStr">
        <is>
          <t>2009-03-06</t>
        </is>
      </c>
      <c r="V763" t="inlineStr">
        <is>
          <t>2009-03-06</t>
        </is>
      </c>
      <c r="W763" t="inlineStr">
        <is>
          <t>1991-05-31</t>
        </is>
      </c>
      <c r="X763" t="inlineStr">
        <is>
          <t>1991-05-31</t>
        </is>
      </c>
      <c r="Y763" t="n">
        <v>510</v>
      </c>
      <c r="Z763" t="n">
        <v>432</v>
      </c>
      <c r="AA763" t="n">
        <v>438</v>
      </c>
      <c r="AB763" t="n">
        <v>6</v>
      </c>
      <c r="AC763" t="n">
        <v>6</v>
      </c>
      <c r="AD763" t="n">
        <v>37</v>
      </c>
      <c r="AE763" t="n">
        <v>37</v>
      </c>
      <c r="AF763" t="n">
        <v>14</v>
      </c>
      <c r="AG763" t="n">
        <v>14</v>
      </c>
      <c r="AH763" t="n">
        <v>9</v>
      </c>
      <c r="AI763" t="n">
        <v>9</v>
      </c>
      <c r="AJ763" t="n">
        <v>18</v>
      </c>
      <c r="AK763" t="n">
        <v>18</v>
      </c>
      <c r="AL763" t="n">
        <v>5</v>
      </c>
      <c r="AM763" t="n">
        <v>5</v>
      </c>
      <c r="AN763" t="n">
        <v>1</v>
      </c>
      <c r="AO763" t="n">
        <v>1</v>
      </c>
      <c r="AP763" t="inlineStr">
        <is>
          <t>No</t>
        </is>
      </c>
      <c r="AQ763" t="inlineStr">
        <is>
          <t>No</t>
        </is>
      </c>
      <c r="AS763">
        <f>HYPERLINK("https://creighton-primo.hosted.exlibrisgroup.com/primo-explore/search?tab=default_tab&amp;search_scope=EVERYTHING&amp;vid=01CRU&amp;lang=en_US&amp;offset=0&amp;query=any,contains,991000391409702656","Catalog Record")</f>
        <v/>
      </c>
      <c r="AT763">
        <f>HYPERLINK("http://www.worldcat.org/oclc/10557642","WorldCat Record")</f>
        <v/>
      </c>
      <c r="AU763" t="inlineStr">
        <is>
          <t>2859657:eng</t>
        </is>
      </c>
      <c r="AV763" t="inlineStr">
        <is>
          <t>10557642</t>
        </is>
      </c>
      <c r="AW763" t="inlineStr">
        <is>
          <t>991000391409702656</t>
        </is>
      </c>
      <c r="AX763" t="inlineStr">
        <is>
          <t>991000391409702656</t>
        </is>
      </c>
      <c r="AY763" t="inlineStr">
        <is>
          <t>2271487550002656</t>
        </is>
      </c>
      <c r="AZ763" t="inlineStr">
        <is>
          <t>BOOK</t>
        </is>
      </c>
      <c r="BB763" t="inlineStr">
        <is>
          <t>9780208020512</t>
        </is>
      </c>
      <c r="BC763" t="inlineStr">
        <is>
          <t>32285000665363</t>
        </is>
      </c>
      <c r="BD763" t="inlineStr">
        <is>
          <t>893425652</t>
        </is>
      </c>
    </row>
    <row r="764">
      <c r="A764" t="inlineStr">
        <is>
          <t>No</t>
        </is>
      </c>
      <c r="B764" t="inlineStr">
        <is>
          <t>BX1795.A85 O48 1986</t>
        </is>
      </c>
      <c r="C764" t="inlineStr">
        <is>
          <t>0                      BX 1795000A  85                 O  48          1986</t>
        </is>
      </c>
      <c r="D764" t="inlineStr">
        <is>
          <t>Swords and ploughshares / Patrick J. O'Mahony.</t>
        </is>
      </c>
      <c r="F764" t="inlineStr">
        <is>
          <t>No</t>
        </is>
      </c>
      <c r="G764" t="inlineStr">
        <is>
          <t>1</t>
        </is>
      </c>
      <c r="H764" t="inlineStr">
        <is>
          <t>No</t>
        </is>
      </c>
      <c r="I764" t="inlineStr">
        <is>
          <t>No</t>
        </is>
      </c>
      <c r="J764" t="inlineStr">
        <is>
          <t>0</t>
        </is>
      </c>
      <c r="K764" t="inlineStr">
        <is>
          <t>O'Mahony, Patrick J.</t>
        </is>
      </c>
      <c r="L764" t="inlineStr">
        <is>
          <t>London : Sheed &amp; Ward, 1986.</t>
        </is>
      </c>
      <c r="M764" t="inlineStr">
        <is>
          <t>1986</t>
        </is>
      </c>
      <c r="O764" t="inlineStr">
        <is>
          <t>eng</t>
        </is>
      </c>
      <c r="P764" t="inlineStr">
        <is>
          <t>enk</t>
        </is>
      </c>
      <c r="R764" t="inlineStr">
        <is>
          <t xml:space="preserve">BX </t>
        </is>
      </c>
      <c r="S764" t="n">
        <v>5</v>
      </c>
      <c r="T764" t="n">
        <v>5</v>
      </c>
      <c r="U764" t="inlineStr">
        <is>
          <t>1998-03-19</t>
        </is>
      </c>
      <c r="V764" t="inlineStr">
        <is>
          <t>1998-03-19</t>
        </is>
      </c>
      <c r="W764" t="inlineStr">
        <is>
          <t>1991-01-17</t>
        </is>
      </c>
      <c r="X764" t="inlineStr">
        <is>
          <t>1991-01-17</t>
        </is>
      </c>
      <c r="Y764" t="n">
        <v>84</v>
      </c>
      <c r="Z764" t="n">
        <v>54</v>
      </c>
      <c r="AA764" t="n">
        <v>60</v>
      </c>
      <c r="AB764" t="n">
        <v>1</v>
      </c>
      <c r="AC764" t="n">
        <v>1</v>
      </c>
      <c r="AD764" t="n">
        <v>5</v>
      </c>
      <c r="AE764" t="n">
        <v>5</v>
      </c>
      <c r="AF764" t="n">
        <v>0</v>
      </c>
      <c r="AG764" t="n">
        <v>0</v>
      </c>
      <c r="AH764" t="n">
        <v>2</v>
      </c>
      <c r="AI764" t="n">
        <v>2</v>
      </c>
      <c r="AJ764" t="n">
        <v>4</v>
      </c>
      <c r="AK764" t="n">
        <v>4</v>
      </c>
      <c r="AL764" t="n">
        <v>0</v>
      </c>
      <c r="AM764" t="n">
        <v>0</v>
      </c>
      <c r="AN764" t="n">
        <v>0</v>
      </c>
      <c r="AO764" t="n">
        <v>0</v>
      </c>
      <c r="AP764" t="inlineStr">
        <is>
          <t>No</t>
        </is>
      </c>
      <c r="AQ764" t="inlineStr">
        <is>
          <t>Yes</t>
        </is>
      </c>
      <c r="AR764">
        <f>HYPERLINK("http://catalog.hathitrust.org/Record/007105253","HathiTrust Record")</f>
        <v/>
      </c>
      <c r="AS764">
        <f>HYPERLINK("https://creighton-primo.hosted.exlibrisgroup.com/primo-explore/search?tab=default_tab&amp;search_scope=EVERYTHING&amp;vid=01CRU&amp;lang=en_US&amp;offset=0&amp;query=any,contains,991001072719702656","Catalog Record")</f>
        <v/>
      </c>
      <c r="AT764">
        <f>HYPERLINK("http://www.worldcat.org/oclc/15995746","WorldCat Record")</f>
        <v/>
      </c>
      <c r="AU764" t="inlineStr">
        <is>
          <t>11755844:eng</t>
        </is>
      </c>
      <c r="AV764" t="inlineStr">
        <is>
          <t>15995746</t>
        </is>
      </c>
      <c r="AW764" t="inlineStr">
        <is>
          <t>991001072719702656</t>
        </is>
      </c>
      <c r="AX764" t="inlineStr">
        <is>
          <t>991001072719702656</t>
        </is>
      </c>
      <c r="AY764" t="inlineStr">
        <is>
          <t>2254793210002656</t>
        </is>
      </c>
      <c r="AZ764" t="inlineStr">
        <is>
          <t>BOOK</t>
        </is>
      </c>
      <c r="BB764" t="inlineStr">
        <is>
          <t>9780722087404</t>
        </is>
      </c>
      <c r="BC764" t="inlineStr">
        <is>
          <t>32285000409226</t>
        </is>
      </c>
      <c r="BD764" t="inlineStr">
        <is>
          <t>893596162</t>
        </is>
      </c>
    </row>
    <row r="765">
      <c r="A765" t="inlineStr">
        <is>
          <t>No</t>
        </is>
      </c>
      <c r="B765" t="inlineStr">
        <is>
          <t>BX1795.B63 M2713 2001</t>
        </is>
      </c>
      <c r="C765" t="inlineStr">
        <is>
          <t>0                      BX 1795000B  63                 M  2713        2001</t>
        </is>
      </c>
      <c r="D765" t="inlineStr">
        <is>
          <t>On the body : a contemporary theology of the human body / Carlo Maria Martini ; translated by Rosanna M. Giammanco Frongia.</t>
        </is>
      </c>
      <c r="F765" t="inlineStr">
        <is>
          <t>No</t>
        </is>
      </c>
      <c r="G765" t="inlineStr">
        <is>
          <t>1</t>
        </is>
      </c>
      <c r="H765" t="inlineStr">
        <is>
          <t>No</t>
        </is>
      </c>
      <c r="I765" t="inlineStr">
        <is>
          <t>No</t>
        </is>
      </c>
      <c r="J765" t="inlineStr">
        <is>
          <t>0</t>
        </is>
      </c>
      <c r="K765" t="inlineStr">
        <is>
          <t>Martini, Carlo Maria, 1927-2012.</t>
        </is>
      </c>
      <c r="L765" t="inlineStr">
        <is>
          <t>New York : Crossroad Pub. Co., c2001.</t>
        </is>
      </c>
      <c r="M765" t="inlineStr">
        <is>
          <t>2001</t>
        </is>
      </c>
      <c r="O765" t="inlineStr">
        <is>
          <t>eng</t>
        </is>
      </c>
      <c r="P765" t="inlineStr">
        <is>
          <t>nyu</t>
        </is>
      </c>
      <c r="R765" t="inlineStr">
        <is>
          <t xml:space="preserve">BX </t>
        </is>
      </c>
      <c r="S765" t="n">
        <v>6</v>
      </c>
      <c r="T765" t="n">
        <v>6</v>
      </c>
      <c r="U765" t="inlineStr">
        <is>
          <t>2006-10-05</t>
        </is>
      </c>
      <c r="V765" t="inlineStr">
        <is>
          <t>2006-10-05</t>
        </is>
      </c>
      <c r="W765" t="inlineStr">
        <is>
          <t>2001-08-22</t>
        </is>
      </c>
      <c r="X765" t="inlineStr">
        <is>
          <t>2001-08-22</t>
        </is>
      </c>
      <c r="Y765" t="n">
        <v>160</v>
      </c>
      <c r="Z765" t="n">
        <v>143</v>
      </c>
      <c r="AA765" t="n">
        <v>145</v>
      </c>
      <c r="AB765" t="n">
        <v>1</v>
      </c>
      <c r="AC765" t="n">
        <v>1</v>
      </c>
      <c r="AD765" t="n">
        <v>21</v>
      </c>
      <c r="AE765" t="n">
        <v>21</v>
      </c>
      <c r="AF765" t="n">
        <v>7</v>
      </c>
      <c r="AG765" t="n">
        <v>7</v>
      </c>
      <c r="AH765" t="n">
        <v>6</v>
      </c>
      <c r="AI765" t="n">
        <v>6</v>
      </c>
      <c r="AJ765" t="n">
        <v>16</v>
      </c>
      <c r="AK765" t="n">
        <v>16</v>
      </c>
      <c r="AL765" t="n">
        <v>0</v>
      </c>
      <c r="AM765" t="n">
        <v>0</v>
      </c>
      <c r="AN765" t="n">
        <v>0</v>
      </c>
      <c r="AO765" t="n">
        <v>0</v>
      </c>
      <c r="AP765" t="inlineStr">
        <is>
          <t>No</t>
        </is>
      </c>
      <c r="AQ765" t="inlineStr">
        <is>
          <t>Yes</t>
        </is>
      </c>
      <c r="AR765">
        <f>HYPERLINK("http://catalog.hathitrust.org/Record/004169510","HathiTrust Record")</f>
        <v/>
      </c>
      <c r="AS765">
        <f>HYPERLINK("https://creighton-primo.hosted.exlibrisgroup.com/primo-explore/search?tab=default_tab&amp;search_scope=EVERYTHING&amp;vid=01CRU&amp;lang=en_US&amp;offset=0&amp;query=any,contains,991003577579702656","Catalog Record")</f>
        <v/>
      </c>
      <c r="AT765">
        <f>HYPERLINK("http://www.worldcat.org/oclc/45655047","WorldCat Record")</f>
        <v/>
      </c>
      <c r="AU765" t="inlineStr">
        <is>
          <t>2025508:eng</t>
        </is>
      </c>
      <c r="AV765" t="inlineStr">
        <is>
          <t>45655047</t>
        </is>
      </c>
      <c r="AW765" t="inlineStr">
        <is>
          <t>991003577579702656</t>
        </is>
      </c>
      <c r="AX765" t="inlineStr">
        <is>
          <t>991003577579702656</t>
        </is>
      </c>
      <c r="AY765" t="inlineStr">
        <is>
          <t>2265726920002656</t>
        </is>
      </c>
      <c r="AZ765" t="inlineStr">
        <is>
          <t>BOOK</t>
        </is>
      </c>
      <c r="BB765" t="inlineStr">
        <is>
          <t>9780824518929</t>
        </is>
      </c>
      <c r="BC765" t="inlineStr">
        <is>
          <t>32285004379987</t>
        </is>
      </c>
      <c r="BD765" t="inlineStr">
        <is>
          <t>893592644</t>
        </is>
      </c>
    </row>
    <row r="766">
      <c r="A766" t="inlineStr">
        <is>
          <t>No</t>
        </is>
      </c>
      <c r="B766" t="inlineStr">
        <is>
          <t>BX1795.C58 C37 1986</t>
        </is>
      </c>
      <c r="C766" t="inlineStr">
        <is>
          <t>0                      BX 1795000C  58                 C  37          1986</t>
        </is>
      </c>
      <c r="D766" t="inlineStr">
        <is>
          <t>Propositions on the dignity and rights of the human person / International Theological Commission.</t>
        </is>
      </c>
      <c r="F766" t="inlineStr">
        <is>
          <t>No</t>
        </is>
      </c>
      <c r="G766" t="inlineStr">
        <is>
          <t>1</t>
        </is>
      </c>
      <c r="H766" t="inlineStr">
        <is>
          <t>No</t>
        </is>
      </c>
      <c r="I766" t="inlineStr">
        <is>
          <t>No</t>
        </is>
      </c>
      <c r="J766" t="inlineStr">
        <is>
          <t>0</t>
        </is>
      </c>
      <c r="K766" t="inlineStr">
        <is>
          <t>Catholic Church. Commissio Theologica Internationalis.</t>
        </is>
      </c>
      <c r="L766" t="inlineStr">
        <is>
          <t>Washington, D.C. : Office of Publishing and Promotion Services, United States Catholic Conference, c1986.</t>
        </is>
      </c>
      <c r="M766" t="inlineStr">
        <is>
          <t>1986</t>
        </is>
      </c>
      <c r="O766" t="inlineStr">
        <is>
          <t>eng</t>
        </is>
      </c>
      <c r="P766" t="inlineStr">
        <is>
          <t>dcu</t>
        </is>
      </c>
      <c r="Q766" t="inlineStr">
        <is>
          <t>Publication (United States Catholic Conference) ; no. 997</t>
        </is>
      </c>
      <c r="R766" t="inlineStr">
        <is>
          <t xml:space="preserve">BX </t>
        </is>
      </c>
      <c r="S766" t="n">
        <v>4</v>
      </c>
      <c r="T766" t="n">
        <v>4</v>
      </c>
      <c r="U766" t="inlineStr">
        <is>
          <t>2009-01-20</t>
        </is>
      </c>
      <c r="V766" t="inlineStr">
        <is>
          <t>2009-01-20</t>
        </is>
      </c>
      <c r="W766" t="inlineStr">
        <is>
          <t>1992-05-18</t>
        </is>
      </c>
      <c r="X766" t="inlineStr">
        <is>
          <t>1992-05-18</t>
        </is>
      </c>
      <c r="Y766" t="n">
        <v>98</v>
      </c>
      <c r="Z766" t="n">
        <v>89</v>
      </c>
      <c r="AA766" t="n">
        <v>90</v>
      </c>
      <c r="AB766" t="n">
        <v>1</v>
      </c>
      <c r="AC766" t="n">
        <v>1</v>
      </c>
      <c r="AD766" t="n">
        <v>13</v>
      </c>
      <c r="AE766" t="n">
        <v>13</v>
      </c>
      <c r="AF766" t="n">
        <v>3</v>
      </c>
      <c r="AG766" t="n">
        <v>3</v>
      </c>
      <c r="AH766" t="n">
        <v>4</v>
      </c>
      <c r="AI766" t="n">
        <v>4</v>
      </c>
      <c r="AJ766" t="n">
        <v>10</v>
      </c>
      <c r="AK766" t="n">
        <v>10</v>
      </c>
      <c r="AL766" t="n">
        <v>0</v>
      </c>
      <c r="AM766" t="n">
        <v>0</v>
      </c>
      <c r="AN766" t="n">
        <v>0</v>
      </c>
      <c r="AO766" t="n">
        <v>0</v>
      </c>
      <c r="AP766" t="inlineStr">
        <is>
          <t>No</t>
        </is>
      </c>
      <c r="AQ766" t="inlineStr">
        <is>
          <t>No</t>
        </is>
      </c>
      <c r="AS766">
        <f>HYPERLINK("https://creighton-primo.hosted.exlibrisgroup.com/primo-explore/search?tab=default_tab&amp;search_scope=EVERYTHING&amp;vid=01CRU&amp;lang=en_US&amp;offset=0&amp;query=any,contains,991000904879702656","Catalog Record")</f>
        <v/>
      </c>
      <c r="AT766">
        <f>HYPERLINK("http://www.worldcat.org/oclc/20827646","WorldCat Record")</f>
        <v/>
      </c>
      <c r="AU766" t="inlineStr">
        <is>
          <t>149307368:eng</t>
        </is>
      </c>
      <c r="AV766" t="inlineStr">
        <is>
          <t>20827646</t>
        </is>
      </c>
      <c r="AW766" t="inlineStr">
        <is>
          <t>991000904879702656</t>
        </is>
      </c>
      <c r="AX766" t="inlineStr">
        <is>
          <t>991000904879702656</t>
        </is>
      </c>
      <c r="AY766" t="inlineStr">
        <is>
          <t>2267824320002656</t>
        </is>
      </c>
      <c r="AZ766" t="inlineStr">
        <is>
          <t>BOOK</t>
        </is>
      </c>
      <c r="BB766" t="inlineStr">
        <is>
          <t>9781555869977</t>
        </is>
      </c>
      <c r="BC766" t="inlineStr">
        <is>
          <t>32285001111755</t>
        </is>
      </c>
      <c r="BD766" t="inlineStr">
        <is>
          <t>893608378</t>
        </is>
      </c>
    </row>
    <row r="767">
      <c r="A767" t="inlineStr">
        <is>
          <t>No</t>
        </is>
      </c>
      <c r="B767" t="inlineStr">
        <is>
          <t>BX1795.C67 P37 1997</t>
        </is>
      </c>
      <c r="C767" t="inlineStr">
        <is>
          <t>0                      BX 1795000C  67                 P  37          1997</t>
        </is>
      </c>
      <c r="D767" t="inlineStr">
        <is>
          <t>Pastoral plan for Church communication / United States Catholic Conference.</t>
        </is>
      </c>
      <c r="F767" t="inlineStr">
        <is>
          <t>No</t>
        </is>
      </c>
      <c r="G767" t="inlineStr">
        <is>
          <t>1</t>
        </is>
      </c>
      <c r="H767" t="inlineStr">
        <is>
          <t>No</t>
        </is>
      </c>
      <c r="I767" t="inlineStr">
        <is>
          <t>No</t>
        </is>
      </c>
      <c r="J767" t="inlineStr">
        <is>
          <t>0</t>
        </is>
      </c>
      <c r="L767" t="inlineStr">
        <is>
          <t>Washington, DC : United States Catholic Conference, c1997.</t>
        </is>
      </c>
      <c r="M767" t="inlineStr">
        <is>
          <t>1997</t>
        </is>
      </c>
      <c r="O767" t="inlineStr">
        <is>
          <t>eng</t>
        </is>
      </c>
      <c r="P767" t="inlineStr">
        <is>
          <t>dcu</t>
        </is>
      </c>
      <c r="R767" t="inlineStr">
        <is>
          <t xml:space="preserve">BX </t>
        </is>
      </c>
      <c r="S767" t="n">
        <v>8</v>
      </c>
      <c r="T767" t="n">
        <v>8</v>
      </c>
      <c r="U767" t="inlineStr">
        <is>
          <t>2004-04-07</t>
        </is>
      </c>
      <c r="V767" t="inlineStr">
        <is>
          <t>2004-04-07</t>
        </is>
      </c>
      <c r="W767" t="inlineStr">
        <is>
          <t>1998-03-04</t>
        </is>
      </c>
      <c r="X767" t="inlineStr">
        <is>
          <t>1998-03-04</t>
        </is>
      </c>
      <c r="Y767" t="n">
        <v>59</v>
      </c>
      <c r="Z767" t="n">
        <v>57</v>
      </c>
      <c r="AA767" t="n">
        <v>57</v>
      </c>
      <c r="AB767" t="n">
        <v>1</v>
      </c>
      <c r="AC767" t="n">
        <v>1</v>
      </c>
      <c r="AD767" t="n">
        <v>10</v>
      </c>
      <c r="AE767" t="n">
        <v>10</v>
      </c>
      <c r="AF767" t="n">
        <v>3</v>
      </c>
      <c r="AG767" t="n">
        <v>3</v>
      </c>
      <c r="AH767" t="n">
        <v>3</v>
      </c>
      <c r="AI767" t="n">
        <v>3</v>
      </c>
      <c r="AJ767" t="n">
        <v>7</v>
      </c>
      <c r="AK767" t="n">
        <v>7</v>
      </c>
      <c r="AL767" t="n">
        <v>0</v>
      </c>
      <c r="AM767" t="n">
        <v>0</v>
      </c>
      <c r="AN767" t="n">
        <v>0</v>
      </c>
      <c r="AO767" t="n">
        <v>0</v>
      </c>
      <c r="AP767" t="inlineStr">
        <is>
          <t>No</t>
        </is>
      </c>
      <c r="AQ767" t="inlineStr">
        <is>
          <t>No</t>
        </is>
      </c>
      <c r="AS767">
        <f>HYPERLINK("https://creighton-primo.hosted.exlibrisgroup.com/primo-explore/search?tab=default_tab&amp;search_scope=EVERYTHING&amp;vid=01CRU&amp;lang=en_US&amp;offset=0&amp;query=any,contains,991002906169702656","Catalog Record")</f>
        <v/>
      </c>
      <c r="AT767">
        <f>HYPERLINK("http://www.worldcat.org/oclc/38374347","WorldCat Record")</f>
        <v/>
      </c>
      <c r="AU767" t="inlineStr">
        <is>
          <t>41961222:eng</t>
        </is>
      </c>
      <c r="AV767" t="inlineStr">
        <is>
          <t>38374347</t>
        </is>
      </c>
      <c r="AW767" t="inlineStr">
        <is>
          <t>991002906169702656</t>
        </is>
      </c>
      <c r="AX767" t="inlineStr">
        <is>
          <t>991002906169702656</t>
        </is>
      </c>
      <c r="AY767" t="inlineStr">
        <is>
          <t>2260081400002656</t>
        </is>
      </c>
      <c r="AZ767" t="inlineStr">
        <is>
          <t>BOOK</t>
        </is>
      </c>
      <c r="BC767" t="inlineStr">
        <is>
          <t>32285003356465</t>
        </is>
      </c>
      <c r="BD767" t="inlineStr">
        <is>
          <t>893227422</t>
        </is>
      </c>
    </row>
    <row r="768">
      <c r="A768" t="inlineStr">
        <is>
          <t>No</t>
        </is>
      </c>
      <c r="B768" t="inlineStr">
        <is>
          <t>BX1795.C69 R38 2000</t>
        </is>
      </c>
      <c r="C768" t="inlineStr">
        <is>
          <t>0                      BX 1795000C  69                 R  38          2000</t>
        </is>
      </c>
      <c r="D768" t="inlineStr">
        <is>
          <t>Reconciling faith and reason : apologists, evangelists, and theologians in a divided church / Thomas P. Rausch.</t>
        </is>
      </c>
      <c r="F768" t="inlineStr">
        <is>
          <t>No</t>
        </is>
      </c>
      <c r="G768" t="inlineStr">
        <is>
          <t>1</t>
        </is>
      </c>
      <c r="H768" t="inlineStr">
        <is>
          <t>No</t>
        </is>
      </c>
      <c r="I768" t="inlineStr">
        <is>
          <t>No</t>
        </is>
      </c>
      <c r="J768" t="inlineStr">
        <is>
          <t>0</t>
        </is>
      </c>
      <c r="K768" t="inlineStr">
        <is>
          <t>Rausch, Thomas P.</t>
        </is>
      </c>
      <c r="L768" t="inlineStr">
        <is>
          <t>Collegeville, Minn. : Liturgical Press, c2000.</t>
        </is>
      </c>
      <c r="M768" t="inlineStr">
        <is>
          <t>2000</t>
        </is>
      </c>
      <c r="O768" t="inlineStr">
        <is>
          <t>eng</t>
        </is>
      </c>
      <c r="P768" t="inlineStr">
        <is>
          <t>mnu</t>
        </is>
      </c>
      <c r="R768" t="inlineStr">
        <is>
          <t xml:space="preserve">BX </t>
        </is>
      </c>
      <c r="S768" t="n">
        <v>3</v>
      </c>
      <c r="T768" t="n">
        <v>3</v>
      </c>
      <c r="U768" t="inlineStr">
        <is>
          <t>2008-04-06</t>
        </is>
      </c>
      <c r="V768" t="inlineStr">
        <is>
          <t>2008-04-06</t>
        </is>
      </c>
      <c r="W768" t="inlineStr">
        <is>
          <t>2000-09-25</t>
        </is>
      </c>
      <c r="X768" t="inlineStr">
        <is>
          <t>2000-09-25</t>
        </is>
      </c>
      <c r="Y768" t="n">
        <v>248</v>
      </c>
      <c r="Z768" t="n">
        <v>213</v>
      </c>
      <c r="AA768" t="n">
        <v>215</v>
      </c>
      <c r="AB768" t="n">
        <v>2</v>
      </c>
      <c r="AC768" t="n">
        <v>2</v>
      </c>
      <c r="AD768" t="n">
        <v>31</v>
      </c>
      <c r="AE768" t="n">
        <v>31</v>
      </c>
      <c r="AF768" t="n">
        <v>12</v>
      </c>
      <c r="AG768" t="n">
        <v>12</v>
      </c>
      <c r="AH768" t="n">
        <v>7</v>
      </c>
      <c r="AI768" t="n">
        <v>7</v>
      </c>
      <c r="AJ768" t="n">
        <v>21</v>
      </c>
      <c r="AK768" t="n">
        <v>21</v>
      </c>
      <c r="AL768" t="n">
        <v>1</v>
      </c>
      <c r="AM768" t="n">
        <v>1</v>
      </c>
      <c r="AN768" t="n">
        <v>0</v>
      </c>
      <c r="AO768" t="n">
        <v>0</v>
      </c>
      <c r="AP768" t="inlineStr">
        <is>
          <t>No</t>
        </is>
      </c>
      <c r="AQ768" t="inlineStr">
        <is>
          <t>Yes</t>
        </is>
      </c>
      <c r="AR768">
        <f>HYPERLINK("http://catalog.hathitrust.org/Record/004124880","HathiTrust Record")</f>
        <v/>
      </c>
      <c r="AS768">
        <f>HYPERLINK("https://creighton-primo.hosted.exlibrisgroup.com/primo-explore/search?tab=default_tab&amp;search_scope=EVERYTHING&amp;vid=01CRU&amp;lang=en_US&amp;offset=0&amp;query=any,contains,991003220989702656","Catalog Record")</f>
        <v/>
      </c>
      <c r="AT768">
        <f>HYPERLINK("http://www.worldcat.org/oclc/42849710","WorldCat Record")</f>
        <v/>
      </c>
      <c r="AU768" t="inlineStr">
        <is>
          <t>44730096:eng</t>
        </is>
      </c>
      <c r="AV768" t="inlineStr">
        <is>
          <t>42849710</t>
        </is>
      </c>
      <c r="AW768" t="inlineStr">
        <is>
          <t>991003220989702656</t>
        </is>
      </c>
      <c r="AX768" t="inlineStr">
        <is>
          <t>991003220989702656</t>
        </is>
      </c>
      <c r="AY768" t="inlineStr">
        <is>
          <t>2269320780002656</t>
        </is>
      </c>
      <c r="AZ768" t="inlineStr">
        <is>
          <t>BOOK</t>
        </is>
      </c>
      <c r="BB768" t="inlineStr">
        <is>
          <t>9780814650967</t>
        </is>
      </c>
      <c r="BC768" t="inlineStr">
        <is>
          <t>32285003764502</t>
        </is>
      </c>
      <c r="BD768" t="inlineStr">
        <is>
          <t>893239979</t>
        </is>
      </c>
    </row>
    <row r="769">
      <c r="A769" t="inlineStr">
        <is>
          <t>No</t>
        </is>
      </c>
      <c r="B769" t="inlineStr">
        <is>
          <t>BX1795.E27 D43 1995</t>
        </is>
      </c>
      <c r="C769" t="inlineStr">
        <is>
          <t>0                      BX 1795000E  27                 D  43          1995</t>
        </is>
      </c>
      <c r="D769" t="inlineStr">
        <is>
          <t>A decade after Economic justice for all : continuing principles, changing context, new challenges.</t>
        </is>
      </c>
      <c r="F769" t="inlineStr">
        <is>
          <t>No</t>
        </is>
      </c>
      <c r="G769" t="inlineStr">
        <is>
          <t>1</t>
        </is>
      </c>
      <c r="H769" t="inlineStr">
        <is>
          <t>No</t>
        </is>
      </c>
      <c r="I769" t="inlineStr">
        <is>
          <t>No</t>
        </is>
      </c>
      <c r="J769" t="inlineStr">
        <is>
          <t>0</t>
        </is>
      </c>
      <c r="K769" t="inlineStr">
        <is>
          <t>Catholic Church. National Conference of Catholic Bishops.</t>
        </is>
      </c>
      <c r="L769" t="inlineStr">
        <is>
          <t>Washington, D.C. : U.S. Catholic Conference, 1995.</t>
        </is>
      </c>
      <c r="M769" t="inlineStr">
        <is>
          <t>1995</t>
        </is>
      </c>
      <c r="O769" t="inlineStr">
        <is>
          <t>eng</t>
        </is>
      </c>
      <c r="P769" t="inlineStr">
        <is>
          <t>dcu</t>
        </is>
      </c>
      <c r="Q769" t="inlineStr">
        <is>
          <t>Publication ; no. 5-040</t>
        </is>
      </c>
      <c r="R769" t="inlineStr">
        <is>
          <t xml:space="preserve">BX </t>
        </is>
      </c>
      <c r="S769" t="n">
        <v>7</v>
      </c>
      <c r="T769" t="n">
        <v>7</v>
      </c>
      <c r="U769" t="inlineStr">
        <is>
          <t>1998-10-29</t>
        </is>
      </c>
      <c r="V769" t="inlineStr">
        <is>
          <t>1998-10-29</t>
        </is>
      </c>
      <c r="W769" t="inlineStr">
        <is>
          <t>1996-01-23</t>
        </is>
      </c>
      <c r="X769" t="inlineStr">
        <is>
          <t>1996-01-23</t>
        </is>
      </c>
      <c r="Y769" t="n">
        <v>67</v>
      </c>
      <c r="Z769" t="n">
        <v>66</v>
      </c>
      <c r="AA769" t="n">
        <v>66</v>
      </c>
      <c r="AB769" t="n">
        <v>1</v>
      </c>
      <c r="AC769" t="n">
        <v>1</v>
      </c>
      <c r="AD769" t="n">
        <v>10</v>
      </c>
      <c r="AE769" t="n">
        <v>10</v>
      </c>
      <c r="AF769" t="n">
        <v>1</v>
      </c>
      <c r="AG769" t="n">
        <v>1</v>
      </c>
      <c r="AH769" t="n">
        <v>4</v>
      </c>
      <c r="AI769" t="n">
        <v>4</v>
      </c>
      <c r="AJ769" t="n">
        <v>7</v>
      </c>
      <c r="AK769" t="n">
        <v>7</v>
      </c>
      <c r="AL769" t="n">
        <v>0</v>
      </c>
      <c r="AM769" t="n">
        <v>0</v>
      </c>
      <c r="AN769" t="n">
        <v>0</v>
      </c>
      <c r="AO769" t="n">
        <v>0</v>
      </c>
      <c r="AP769" t="inlineStr">
        <is>
          <t>No</t>
        </is>
      </c>
      <c r="AQ769" t="inlineStr">
        <is>
          <t>No</t>
        </is>
      </c>
      <c r="AS769">
        <f>HYPERLINK("https://creighton-primo.hosted.exlibrisgroup.com/primo-explore/search?tab=default_tab&amp;search_scope=EVERYTHING&amp;vid=01CRU&amp;lang=en_US&amp;offset=0&amp;query=any,contains,991002596369702656","Catalog Record")</f>
        <v/>
      </c>
      <c r="AT769">
        <f>HYPERLINK("http://www.worldcat.org/oclc/34005491","WorldCat Record")</f>
        <v/>
      </c>
      <c r="AU769" t="inlineStr">
        <is>
          <t>38674237:eng</t>
        </is>
      </c>
      <c r="AV769" t="inlineStr">
        <is>
          <t>34005491</t>
        </is>
      </c>
      <c r="AW769" t="inlineStr">
        <is>
          <t>991002596369702656</t>
        </is>
      </c>
      <c r="AX769" t="inlineStr">
        <is>
          <t>991002596369702656</t>
        </is>
      </c>
      <c r="AY769" t="inlineStr">
        <is>
          <t>2255040100002656</t>
        </is>
      </c>
      <c r="AZ769" t="inlineStr">
        <is>
          <t>BOOK</t>
        </is>
      </c>
      <c r="BB769" t="inlineStr">
        <is>
          <t>9781574550405</t>
        </is>
      </c>
      <c r="BC769" t="inlineStr">
        <is>
          <t>32285002125374</t>
        </is>
      </c>
      <c r="BD769" t="inlineStr">
        <is>
          <t>893798768</t>
        </is>
      </c>
    </row>
    <row r="770">
      <c r="A770" t="inlineStr">
        <is>
          <t>No</t>
        </is>
      </c>
      <c r="B770" t="inlineStr">
        <is>
          <t>BX1795.E27 M58 1989</t>
        </is>
      </c>
      <c r="C770" t="inlineStr">
        <is>
          <t>0                      BX 1795000E  27                 M  58          1989</t>
        </is>
      </c>
      <c r="D770" t="inlineStr">
        <is>
          <t>Critical voices in American Catholic economic thought / John J. Mitchell, Jr.</t>
        </is>
      </c>
      <c r="F770" t="inlineStr">
        <is>
          <t>No</t>
        </is>
      </c>
      <c r="G770" t="inlineStr">
        <is>
          <t>1</t>
        </is>
      </c>
      <c r="H770" t="inlineStr">
        <is>
          <t>No</t>
        </is>
      </c>
      <c r="I770" t="inlineStr">
        <is>
          <t>No</t>
        </is>
      </c>
      <c r="J770" t="inlineStr">
        <is>
          <t>0</t>
        </is>
      </c>
      <c r="K770" t="inlineStr">
        <is>
          <t>Mitchell, John J., 1944-</t>
        </is>
      </c>
      <c r="L770" t="inlineStr">
        <is>
          <t>New York : Paulist Press, c1989.</t>
        </is>
      </c>
      <c r="M770" t="inlineStr">
        <is>
          <t>1989</t>
        </is>
      </c>
      <c r="O770" t="inlineStr">
        <is>
          <t>eng</t>
        </is>
      </c>
      <c r="P770" t="inlineStr">
        <is>
          <t>nyu</t>
        </is>
      </c>
      <c r="R770" t="inlineStr">
        <is>
          <t xml:space="preserve">BX </t>
        </is>
      </c>
      <c r="S770" t="n">
        <v>8</v>
      </c>
      <c r="T770" t="n">
        <v>8</v>
      </c>
      <c r="U770" t="inlineStr">
        <is>
          <t>2000-07-12</t>
        </is>
      </c>
      <c r="V770" t="inlineStr">
        <is>
          <t>2000-07-12</t>
        </is>
      </c>
      <c r="W770" t="inlineStr">
        <is>
          <t>1990-03-13</t>
        </is>
      </c>
      <c r="X770" t="inlineStr">
        <is>
          <t>1990-03-13</t>
        </is>
      </c>
      <c r="Y770" t="n">
        <v>195</v>
      </c>
      <c r="Z770" t="n">
        <v>170</v>
      </c>
      <c r="AA770" t="n">
        <v>172</v>
      </c>
      <c r="AB770" t="n">
        <v>3</v>
      </c>
      <c r="AC770" t="n">
        <v>3</v>
      </c>
      <c r="AD770" t="n">
        <v>24</v>
      </c>
      <c r="AE770" t="n">
        <v>24</v>
      </c>
      <c r="AF770" t="n">
        <v>6</v>
      </c>
      <c r="AG770" t="n">
        <v>6</v>
      </c>
      <c r="AH770" t="n">
        <v>7</v>
      </c>
      <c r="AI770" t="n">
        <v>7</v>
      </c>
      <c r="AJ770" t="n">
        <v>16</v>
      </c>
      <c r="AK770" t="n">
        <v>16</v>
      </c>
      <c r="AL770" t="n">
        <v>1</v>
      </c>
      <c r="AM770" t="n">
        <v>1</v>
      </c>
      <c r="AN770" t="n">
        <v>0</v>
      </c>
      <c r="AO770" t="n">
        <v>0</v>
      </c>
      <c r="AP770" t="inlineStr">
        <is>
          <t>No</t>
        </is>
      </c>
      <c r="AQ770" t="inlineStr">
        <is>
          <t>Yes</t>
        </is>
      </c>
      <c r="AR770">
        <f>HYPERLINK("http://catalog.hathitrust.org/Record/002893113","HathiTrust Record")</f>
        <v/>
      </c>
      <c r="AS770">
        <f>HYPERLINK("https://creighton-primo.hosted.exlibrisgroup.com/primo-explore/search?tab=default_tab&amp;search_scope=EVERYTHING&amp;vid=01CRU&amp;lang=en_US&amp;offset=0&amp;query=any,contains,991001360289702656","Catalog Record")</f>
        <v/>
      </c>
      <c r="AT770">
        <f>HYPERLINK("http://www.worldcat.org/oclc/18520650","WorldCat Record")</f>
        <v/>
      </c>
      <c r="AU770" t="inlineStr">
        <is>
          <t>17605379:eng</t>
        </is>
      </c>
      <c r="AV770" t="inlineStr">
        <is>
          <t>18520650</t>
        </is>
      </c>
      <c r="AW770" t="inlineStr">
        <is>
          <t>991001360289702656</t>
        </is>
      </c>
      <c r="AX770" t="inlineStr">
        <is>
          <t>991001360289702656</t>
        </is>
      </c>
      <c r="AY770" t="inlineStr">
        <is>
          <t>2268378820002656</t>
        </is>
      </c>
      <c r="AZ770" t="inlineStr">
        <is>
          <t>BOOK</t>
        </is>
      </c>
      <c r="BB770" t="inlineStr">
        <is>
          <t>9780809130290</t>
        </is>
      </c>
      <c r="BC770" t="inlineStr">
        <is>
          <t>32285000079656</t>
        </is>
      </c>
      <c r="BD770" t="inlineStr">
        <is>
          <t>893426541</t>
        </is>
      </c>
    </row>
    <row r="771">
      <c r="A771" t="inlineStr">
        <is>
          <t>No</t>
        </is>
      </c>
      <c r="B771" t="inlineStr">
        <is>
          <t>BX1795.E27 P76 1989</t>
        </is>
      </c>
      <c r="C771" t="inlineStr">
        <is>
          <t>0                      BX 1795000E  27                 P  76          1989</t>
        </is>
      </c>
      <c r="D771" t="inlineStr">
        <is>
          <t>Prophetic visions and economic realities : Protestants, Jews, and Catholics confront the bishops' letter on the economy / edited by Charles R. Strain.</t>
        </is>
      </c>
      <c r="F771" t="inlineStr">
        <is>
          <t>No</t>
        </is>
      </c>
      <c r="G771" t="inlineStr">
        <is>
          <t>1</t>
        </is>
      </c>
      <c r="H771" t="inlineStr">
        <is>
          <t>No</t>
        </is>
      </c>
      <c r="I771" t="inlineStr">
        <is>
          <t>No</t>
        </is>
      </c>
      <c r="J771" t="inlineStr">
        <is>
          <t>0</t>
        </is>
      </c>
      <c r="L771" t="inlineStr">
        <is>
          <t>Grand Rapids, Mich. : W.B. Eerdmans, c1989.</t>
        </is>
      </c>
      <c r="M771" t="inlineStr">
        <is>
          <t>1989</t>
        </is>
      </c>
      <c r="O771" t="inlineStr">
        <is>
          <t>eng</t>
        </is>
      </c>
      <c r="P771" t="inlineStr">
        <is>
          <t>miu</t>
        </is>
      </c>
      <c r="R771" t="inlineStr">
        <is>
          <t xml:space="preserve">BX </t>
        </is>
      </c>
      <c r="S771" t="n">
        <v>8</v>
      </c>
      <c r="T771" t="n">
        <v>8</v>
      </c>
      <c r="U771" t="inlineStr">
        <is>
          <t>2008-03-12</t>
        </is>
      </c>
      <c r="V771" t="inlineStr">
        <is>
          <t>2008-03-12</t>
        </is>
      </c>
      <c r="W771" t="inlineStr">
        <is>
          <t>1990-03-12</t>
        </is>
      </c>
      <c r="X771" t="inlineStr">
        <is>
          <t>1990-03-12</t>
        </is>
      </c>
      <c r="Y771" t="n">
        <v>412</v>
      </c>
      <c r="Z771" t="n">
        <v>362</v>
      </c>
      <c r="AA771" t="n">
        <v>372</v>
      </c>
      <c r="AB771" t="n">
        <v>3</v>
      </c>
      <c r="AC771" t="n">
        <v>3</v>
      </c>
      <c r="AD771" t="n">
        <v>32</v>
      </c>
      <c r="AE771" t="n">
        <v>32</v>
      </c>
      <c r="AF771" t="n">
        <v>10</v>
      </c>
      <c r="AG771" t="n">
        <v>10</v>
      </c>
      <c r="AH771" t="n">
        <v>9</v>
      </c>
      <c r="AI771" t="n">
        <v>9</v>
      </c>
      <c r="AJ771" t="n">
        <v>23</v>
      </c>
      <c r="AK771" t="n">
        <v>23</v>
      </c>
      <c r="AL771" t="n">
        <v>2</v>
      </c>
      <c r="AM771" t="n">
        <v>2</v>
      </c>
      <c r="AN771" t="n">
        <v>0</v>
      </c>
      <c r="AO771" t="n">
        <v>0</v>
      </c>
      <c r="AP771" t="inlineStr">
        <is>
          <t>No</t>
        </is>
      </c>
      <c r="AQ771" t="inlineStr">
        <is>
          <t>Yes</t>
        </is>
      </c>
      <c r="AR771">
        <f>HYPERLINK("http://catalog.hathitrust.org/Record/001104947","HathiTrust Record")</f>
        <v/>
      </c>
      <c r="AS771">
        <f>HYPERLINK("https://creighton-primo.hosted.exlibrisgroup.com/primo-explore/search?tab=default_tab&amp;search_scope=EVERYTHING&amp;vid=01CRU&amp;lang=en_US&amp;offset=0&amp;query=any,contains,991001346149702656","Catalog Record")</f>
        <v/>
      </c>
      <c r="AT771">
        <f>HYPERLINK("http://www.worldcat.org/oclc/18414413","WorldCat Record")</f>
        <v/>
      </c>
      <c r="AU771" t="inlineStr">
        <is>
          <t>17457260:eng</t>
        </is>
      </c>
      <c r="AV771" t="inlineStr">
        <is>
          <t>18414413</t>
        </is>
      </c>
      <c r="AW771" t="inlineStr">
        <is>
          <t>991001346149702656</t>
        </is>
      </c>
      <c r="AX771" t="inlineStr">
        <is>
          <t>991001346149702656</t>
        </is>
      </c>
      <c r="AY771" t="inlineStr">
        <is>
          <t>2256047310002656</t>
        </is>
      </c>
      <c r="AZ771" t="inlineStr">
        <is>
          <t>BOOK</t>
        </is>
      </c>
      <c r="BB771" t="inlineStr">
        <is>
          <t>9780802800657</t>
        </is>
      </c>
      <c r="BC771" t="inlineStr">
        <is>
          <t>32285000079003</t>
        </is>
      </c>
      <c r="BD771" t="inlineStr">
        <is>
          <t>893715379</t>
        </is>
      </c>
    </row>
    <row r="772">
      <c r="A772" t="inlineStr">
        <is>
          <t>No</t>
        </is>
      </c>
      <c r="B772" t="inlineStr">
        <is>
          <t>BX1795.E85 J64 1998</t>
        </is>
      </c>
      <c r="C772" t="inlineStr">
        <is>
          <t>0                      BX 1795000E  85                 J  64          1998</t>
        </is>
      </c>
      <c r="D772" t="inlineStr">
        <is>
          <t>Did Darwin get it right? : Catholics and the theory of evolution / George Sim Johnston.</t>
        </is>
      </c>
      <c r="F772" t="inlineStr">
        <is>
          <t>No</t>
        </is>
      </c>
      <c r="G772" t="inlineStr">
        <is>
          <t>1</t>
        </is>
      </c>
      <c r="H772" t="inlineStr">
        <is>
          <t>No</t>
        </is>
      </c>
      <c r="I772" t="inlineStr">
        <is>
          <t>No</t>
        </is>
      </c>
      <c r="J772" t="inlineStr">
        <is>
          <t>0</t>
        </is>
      </c>
      <c r="K772" t="inlineStr">
        <is>
          <t>Johnston, George Sim.</t>
        </is>
      </c>
      <c r="L772" t="inlineStr">
        <is>
          <t>Huntington, Ind. : Our Sunday Visitor, c1998.</t>
        </is>
      </c>
      <c r="M772" t="inlineStr">
        <is>
          <t>1998</t>
        </is>
      </c>
      <c r="O772" t="inlineStr">
        <is>
          <t>eng</t>
        </is>
      </c>
      <c r="P772" t="inlineStr">
        <is>
          <t>inu</t>
        </is>
      </c>
      <c r="R772" t="inlineStr">
        <is>
          <t xml:space="preserve">BX </t>
        </is>
      </c>
      <c r="S772" t="n">
        <v>2</v>
      </c>
      <c r="T772" t="n">
        <v>2</v>
      </c>
      <c r="U772" t="inlineStr">
        <is>
          <t>2007-12-02</t>
        </is>
      </c>
      <c r="V772" t="inlineStr">
        <is>
          <t>2007-12-02</t>
        </is>
      </c>
      <c r="W772" t="inlineStr">
        <is>
          <t>1999-01-07</t>
        </is>
      </c>
      <c r="X772" t="inlineStr">
        <is>
          <t>1999-01-07</t>
        </is>
      </c>
      <c r="Y772" t="n">
        <v>119</v>
      </c>
      <c r="Z772" t="n">
        <v>104</v>
      </c>
      <c r="AA772" t="n">
        <v>109</v>
      </c>
      <c r="AB772" t="n">
        <v>2</v>
      </c>
      <c r="AC772" t="n">
        <v>2</v>
      </c>
      <c r="AD772" t="n">
        <v>10</v>
      </c>
      <c r="AE772" t="n">
        <v>10</v>
      </c>
      <c r="AF772" t="n">
        <v>1</v>
      </c>
      <c r="AG772" t="n">
        <v>1</v>
      </c>
      <c r="AH772" t="n">
        <v>4</v>
      </c>
      <c r="AI772" t="n">
        <v>4</v>
      </c>
      <c r="AJ772" t="n">
        <v>7</v>
      </c>
      <c r="AK772" t="n">
        <v>7</v>
      </c>
      <c r="AL772" t="n">
        <v>0</v>
      </c>
      <c r="AM772" t="n">
        <v>0</v>
      </c>
      <c r="AN772" t="n">
        <v>0</v>
      </c>
      <c r="AO772" t="n">
        <v>0</v>
      </c>
      <c r="AP772" t="inlineStr">
        <is>
          <t>No</t>
        </is>
      </c>
      <c r="AQ772" t="inlineStr">
        <is>
          <t>No</t>
        </is>
      </c>
      <c r="AS772">
        <f>HYPERLINK("https://creighton-primo.hosted.exlibrisgroup.com/primo-explore/search?tab=default_tab&amp;search_scope=EVERYTHING&amp;vid=01CRU&amp;lang=en_US&amp;offset=0&amp;query=any,contains,991002984719702656","Catalog Record")</f>
        <v/>
      </c>
      <c r="AT772">
        <f>HYPERLINK("http://www.worldcat.org/oclc/40197747","WorldCat Record")</f>
        <v/>
      </c>
      <c r="AU772" t="inlineStr">
        <is>
          <t>26289830:eng</t>
        </is>
      </c>
      <c r="AV772" t="inlineStr">
        <is>
          <t>40197747</t>
        </is>
      </c>
      <c r="AW772" t="inlineStr">
        <is>
          <t>991002984719702656</t>
        </is>
      </c>
      <c r="AX772" t="inlineStr">
        <is>
          <t>991002984719702656</t>
        </is>
      </c>
      <c r="AY772" t="inlineStr">
        <is>
          <t>2262722280002656</t>
        </is>
      </c>
      <c r="AZ772" t="inlineStr">
        <is>
          <t>BOOK</t>
        </is>
      </c>
      <c r="BB772" t="inlineStr">
        <is>
          <t>9780879739454</t>
        </is>
      </c>
      <c r="BC772" t="inlineStr">
        <is>
          <t>32285003510814</t>
        </is>
      </c>
      <c r="BD772" t="inlineStr">
        <is>
          <t>893627402</t>
        </is>
      </c>
    </row>
    <row r="773">
      <c r="A773" t="inlineStr">
        <is>
          <t>No</t>
        </is>
      </c>
      <c r="B773" t="inlineStr">
        <is>
          <t>BX1795.F44 S74 1991</t>
        </is>
      </c>
      <c r="C773" t="inlineStr">
        <is>
          <t>0                      BX 1795000F  44                 S  74          1991</t>
        </is>
      </c>
      <c r="D773" t="inlineStr">
        <is>
          <t>Ungodly rage : the hidden face of Catholic feminism / Donna Steichen.</t>
        </is>
      </c>
      <c r="F773" t="inlineStr">
        <is>
          <t>No</t>
        </is>
      </c>
      <c r="G773" t="inlineStr">
        <is>
          <t>1</t>
        </is>
      </c>
      <c r="H773" t="inlineStr">
        <is>
          <t>No</t>
        </is>
      </c>
      <c r="I773" t="inlineStr">
        <is>
          <t>No</t>
        </is>
      </c>
      <c r="J773" t="inlineStr">
        <is>
          <t>0</t>
        </is>
      </c>
      <c r="K773" t="inlineStr">
        <is>
          <t>Steichen, Donna.</t>
        </is>
      </c>
      <c r="L773" t="inlineStr">
        <is>
          <t>San Francisco : Ignatius Press, c1991.</t>
        </is>
      </c>
      <c r="M773" t="inlineStr">
        <is>
          <t>1991</t>
        </is>
      </c>
      <c r="O773" t="inlineStr">
        <is>
          <t>eng</t>
        </is>
      </c>
      <c r="P773" t="inlineStr">
        <is>
          <t>cau</t>
        </is>
      </c>
      <c r="R773" t="inlineStr">
        <is>
          <t xml:space="preserve">BX </t>
        </is>
      </c>
      <c r="S773" t="n">
        <v>9</v>
      </c>
      <c r="T773" t="n">
        <v>9</v>
      </c>
      <c r="U773" t="inlineStr">
        <is>
          <t>2008-04-06</t>
        </is>
      </c>
      <c r="V773" t="inlineStr">
        <is>
          <t>2008-04-06</t>
        </is>
      </c>
      <c r="W773" t="inlineStr">
        <is>
          <t>1992-05-28</t>
        </is>
      </c>
      <c r="X773" t="inlineStr">
        <is>
          <t>1992-05-28</t>
        </is>
      </c>
      <c r="Y773" t="n">
        <v>375</v>
      </c>
      <c r="Z773" t="n">
        <v>322</v>
      </c>
      <c r="AA773" t="n">
        <v>327</v>
      </c>
      <c r="AB773" t="n">
        <v>3</v>
      </c>
      <c r="AC773" t="n">
        <v>3</v>
      </c>
      <c r="AD773" t="n">
        <v>31</v>
      </c>
      <c r="AE773" t="n">
        <v>31</v>
      </c>
      <c r="AF773" t="n">
        <v>11</v>
      </c>
      <c r="AG773" t="n">
        <v>11</v>
      </c>
      <c r="AH773" t="n">
        <v>7</v>
      </c>
      <c r="AI773" t="n">
        <v>7</v>
      </c>
      <c r="AJ773" t="n">
        <v>22</v>
      </c>
      <c r="AK773" t="n">
        <v>22</v>
      </c>
      <c r="AL773" t="n">
        <v>1</v>
      </c>
      <c r="AM773" t="n">
        <v>1</v>
      </c>
      <c r="AN773" t="n">
        <v>0</v>
      </c>
      <c r="AO773" t="n">
        <v>0</v>
      </c>
      <c r="AP773" t="inlineStr">
        <is>
          <t>No</t>
        </is>
      </c>
      <c r="AQ773" t="inlineStr">
        <is>
          <t>No</t>
        </is>
      </c>
      <c r="AS773">
        <f>HYPERLINK("https://creighton-primo.hosted.exlibrisgroup.com/primo-explore/search?tab=default_tab&amp;search_scope=EVERYTHING&amp;vid=01CRU&amp;lang=en_US&amp;offset=0&amp;query=any,contains,991001899789702656","Catalog Record")</f>
        <v/>
      </c>
      <c r="AT773">
        <f>HYPERLINK("http://www.worldcat.org/oclc/24007272","WorldCat Record")</f>
        <v/>
      </c>
      <c r="AU773" t="inlineStr">
        <is>
          <t>375259325:eng</t>
        </is>
      </c>
      <c r="AV773" t="inlineStr">
        <is>
          <t>24007272</t>
        </is>
      </c>
      <c r="AW773" t="inlineStr">
        <is>
          <t>991001899789702656</t>
        </is>
      </c>
      <c r="AX773" t="inlineStr">
        <is>
          <t>991001899789702656</t>
        </is>
      </c>
      <c r="AY773" t="inlineStr">
        <is>
          <t>2260942460002656</t>
        </is>
      </c>
      <c r="AZ773" t="inlineStr">
        <is>
          <t>BOOK</t>
        </is>
      </c>
      <c r="BB773" t="inlineStr">
        <is>
          <t>9780898703481</t>
        </is>
      </c>
      <c r="BC773" t="inlineStr">
        <is>
          <t>32285001119493</t>
        </is>
      </c>
      <c r="BD773" t="inlineStr">
        <is>
          <t>893256604</t>
        </is>
      </c>
    </row>
    <row r="774">
      <c r="A774" t="inlineStr">
        <is>
          <t>No</t>
        </is>
      </c>
      <c r="B774" t="inlineStr">
        <is>
          <t>BX1795.J87 B65 1998</t>
        </is>
      </c>
      <c r="C774" t="inlineStr">
        <is>
          <t>0                      BX 1795000J  87                 B  65          1998</t>
        </is>
      </c>
      <c r="D774" t="inlineStr">
        <is>
          <t>Church and revolution : Catholics in the struggle for democracy and social justice / Thomas Bokenkotter.</t>
        </is>
      </c>
      <c r="F774" t="inlineStr">
        <is>
          <t>No</t>
        </is>
      </c>
      <c r="G774" t="inlineStr">
        <is>
          <t>1</t>
        </is>
      </c>
      <c r="H774" t="inlineStr">
        <is>
          <t>No</t>
        </is>
      </c>
      <c r="I774" t="inlineStr">
        <is>
          <t>No</t>
        </is>
      </c>
      <c r="J774" t="inlineStr">
        <is>
          <t>0</t>
        </is>
      </c>
      <c r="K774" t="inlineStr">
        <is>
          <t>Bokenkotter, Thomas S.</t>
        </is>
      </c>
      <c r="L774" t="inlineStr">
        <is>
          <t>New York : Image Books, 1998.</t>
        </is>
      </c>
      <c r="M774" t="inlineStr">
        <is>
          <t>1998</t>
        </is>
      </c>
      <c r="N774" t="inlineStr">
        <is>
          <t>1st ed.</t>
        </is>
      </c>
      <c r="O774" t="inlineStr">
        <is>
          <t>eng</t>
        </is>
      </c>
      <c r="P774" t="inlineStr">
        <is>
          <t>nyu</t>
        </is>
      </c>
      <c r="R774" t="inlineStr">
        <is>
          <t xml:space="preserve">BX </t>
        </is>
      </c>
      <c r="S774" t="n">
        <v>6</v>
      </c>
      <c r="T774" t="n">
        <v>6</v>
      </c>
      <c r="U774" t="inlineStr">
        <is>
          <t>2004-05-13</t>
        </is>
      </c>
      <c r="V774" t="inlineStr">
        <is>
          <t>2004-05-13</t>
        </is>
      </c>
      <c r="W774" t="inlineStr">
        <is>
          <t>1998-10-22</t>
        </is>
      </c>
      <c r="X774" t="inlineStr">
        <is>
          <t>1998-10-22</t>
        </is>
      </c>
      <c r="Y774" t="n">
        <v>524</v>
      </c>
      <c r="Z774" t="n">
        <v>484</v>
      </c>
      <c r="AA774" t="n">
        <v>523</v>
      </c>
      <c r="AB774" t="n">
        <v>5</v>
      </c>
      <c r="AC774" t="n">
        <v>6</v>
      </c>
      <c r="AD774" t="n">
        <v>37</v>
      </c>
      <c r="AE774" t="n">
        <v>38</v>
      </c>
      <c r="AF774" t="n">
        <v>15</v>
      </c>
      <c r="AG774" t="n">
        <v>15</v>
      </c>
      <c r="AH774" t="n">
        <v>9</v>
      </c>
      <c r="AI774" t="n">
        <v>9</v>
      </c>
      <c r="AJ774" t="n">
        <v>22</v>
      </c>
      <c r="AK774" t="n">
        <v>22</v>
      </c>
      <c r="AL774" t="n">
        <v>2</v>
      </c>
      <c r="AM774" t="n">
        <v>3</v>
      </c>
      <c r="AN774" t="n">
        <v>0</v>
      </c>
      <c r="AO774" t="n">
        <v>0</v>
      </c>
      <c r="AP774" t="inlineStr">
        <is>
          <t>No</t>
        </is>
      </c>
      <c r="AQ774" t="inlineStr">
        <is>
          <t>Yes</t>
        </is>
      </c>
      <c r="AR774">
        <f>HYPERLINK("http://catalog.hathitrust.org/Record/003985341","HathiTrust Record")</f>
        <v/>
      </c>
      <c r="AS774">
        <f>HYPERLINK("https://creighton-primo.hosted.exlibrisgroup.com/primo-explore/search?tab=default_tab&amp;search_scope=EVERYTHING&amp;vid=01CRU&amp;lang=en_US&amp;offset=0&amp;query=any,contains,991002888209702656","Catalog Record")</f>
        <v/>
      </c>
      <c r="AT774">
        <f>HYPERLINK("http://www.worldcat.org/oclc/38055945","WorldCat Record")</f>
        <v/>
      </c>
      <c r="AU774" t="inlineStr">
        <is>
          <t>807678072:eng</t>
        </is>
      </c>
      <c r="AV774" t="inlineStr">
        <is>
          <t>38055945</t>
        </is>
      </c>
      <c r="AW774" t="inlineStr">
        <is>
          <t>991002888209702656</t>
        </is>
      </c>
      <c r="AX774" t="inlineStr">
        <is>
          <t>991002888209702656</t>
        </is>
      </c>
      <c r="AY774" t="inlineStr">
        <is>
          <t>2263998870002656</t>
        </is>
      </c>
      <c r="AZ774" t="inlineStr">
        <is>
          <t>BOOK</t>
        </is>
      </c>
      <c r="BB774" t="inlineStr">
        <is>
          <t>9780385487542</t>
        </is>
      </c>
      <c r="BC774" t="inlineStr">
        <is>
          <t>32285003476602</t>
        </is>
      </c>
      <c r="BD774" t="inlineStr">
        <is>
          <t>893227402</t>
        </is>
      </c>
    </row>
    <row r="775">
      <c r="A775" t="inlineStr">
        <is>
          <t>No</t>
        </is>
      </c>
      <c r="B775" t="inlineStr">
        <is>
          <t>BX1795.N36 M47 2003</t>
        </is>
      </c>
      <c r="C775" t="inlineStr">
        <is>
          <t>0                      BX 1795000N  36                 M  47          2003</t>
        </is>
      </c>
      <c r="D775" t="inlineStr">
        <is>
          <t>When the trees say nothing : writings on nature / Thomas Merton ; edited by Kathleen Deignan ; drawings by John Giuliani ; with a foreword by Thomas Berry.</t>
        </is>
      </c>
      <c r="F775" t="inlineStr">
        <is>
          <t>No</t>
        </is>
      </c>
      <c r="G775" t="inlineStr">
        <is>
          <t>1</t>
        </is>
      </c>
      <c r="H775" t="inlineStr">
        <is>
          <t>No</t>
        </is>
      </c>
      <c r="I775" t="inlineStr">
        <is>
          <t>No</t>
        </is>
      </c>
      <c r="J775" t="inlineStr">
        <is>
          <t>0</t>
        </is>
      </c>
      <c r="K775" t="inlineStr">
        <is>
          <t>Merton, Thomas, 1915-1968.</t>
        </is>
      </c>
      <c r="L775" t="inlineStr">
        <is>
          <t>Notre Dame, IN : Sorin Books, c2003.</t>
        </is>
      </c>
      <c r="M775" t="inlineStr">
        <is>
          <t>2003</t>
        </is>
      </c>
      <c r="O775" t="inlineStr">
        <is>
          <t>eng</t>
        </is>
      </c>
      <c r="P775" t="inlineStr">
        <is>
          <t>inu</t>
        </is>
      </c>
      <c r="R775" t="inlineStr">
        <is>
          <t xml:space="preserve">BX </t>
        </is>
      </c>
      <c r="S775" t="n">
        <v>5</v>
      </c>
      <c r="T775" t="n">
        <v>5</v>
      </c>
      <c r="U775" t="inlineStr">
        <is>
          <t>2009-02-12</t>
        </is>
      </c>
      <c r="V775" t="inlineStr">
        <is>
          <t>2009-02-12</t>
        </is>
      </c>
      <c r="W775" t="inlineStr">
        <is>
          <t>2003-02-04</t>
        </is>
      </c>
      <c r="X775" t="inlineStr">
        <is>
          <t>2003-02-04</t>
        </is>
      </c>
      <c r="Y775" t="n">
        <v>283</v>
      </c>
      <c r="Z775" t="n">
        <v>254</v>
      </c>
      <c r="AA775" t="n">
        <v>266</v>
      </c>
      <c r="AB775" t="n">
        <v>2</v>
      </c>
      <c r="AC775" t="n">
        <v>2</v>
      </c>
      <c r="AD775" t="n">
        <v>11</v>
      </c>
      <c r="AE775" t="n">
        <v>11</v>
      </c>
      <c r="AF775" t="n">
        <v>5</v>
      </c>
      <c r="AG775" t="n">
        <v>5</v>
      </c>
      <c r="AH775" t="n">
        <v>2</v>
      </c>
      <c r="AI775" t="n">
        <v>2</v>
      </c>
      <c r="AJ775" t="n">
        <v>8</v>
      </c>
      <c r="AK775" t="n">
        <v>8</v>
      </c>
      <c r="AL775" t="n">
        <v>0</v>
      </c>
      <c r="AM775" t="n">
        <v>0</v>
      </c>
      <c r="AN775" t="n">
        <v>0</v>
      </c>
      <c r="AO775" t="n">
        <v>0</v>
      </c>
      <c r="AP775" t="inlineStr">
        <is>
          <t>No</t>
        </is>
      </c>
      <c r="AQ775" t="inlineStr">
        <is>
          <t>No</t>
        </is>
      </c>
      <c r="AS775">
        <f>HYPERLINK("https://creighton-primo.hosted.exlibrisgroup.com/primo-explore/search?tab=default_tab&amp;search_scope=EVERYTHING&amp;vid=01CRU&amp;lang=en_US&amp;offset=0&amp;query=any,contains,991003986769702656","Catalog Record")</f>
        <v/>
      </c>
      <c r="AT775">
        <f>HYPERLINK("http://www.worldcat.org/oclc/50684614","WorldCat Record")</f>
        <v/>
      </c>
      <c r="AU775" t="inlineStr">
        <is>
          <t>6536111:eng</t>
        </is>
      </c>
      <c r="AV775" t="inlineStr">
        <is>
          <t>50684614</t>
        </is>
      </c>
      <c r="AW775" t="inlineStr">
        <is>
          <t>991003986769702656</t>
        </is>
      </c>
      <c r="AX775" t="inlineStr">
        <is>
          <t>991003986769702656</t>
        </is>
      </c>
      <c r="AY775" t="inlineStr">
        <is>
          <t>2271890300002656</t>
        </is>
      </c>
      <c r="AZ775" t="inlineStr">
        <is>
          <t>BOOK</t>
        </is>
      </c>
      <c r="BB775" t="inlineStr">
        <is>
          <t>9781893732605</t>
        </is>
      </c>
      <c r="BC775" t="inlineStr">
        <is>
          <t>32285004697172</t>
        </is>
      </c>
      <c r="BD775" t="inlineStr">
        <is>
          <t>893410974</t>
        </is>
      </c>
    </row>
    <row r="776">
      <c r="A776" t="inlineStr">
        <is>
          <t>No</t>
        </is>
      </c>
      <c r="B776" t="inlineStr">
        <is>
          <t>BX1795.N66 D43 1994</t>
        </is>
      </c>
      <c r="C776" t="inlineStr">
        <is>
          <t>0                      BX 1795000N  66                 D  43          1994</t>
        </is>
      </c>
      <c r="D776" t="inlineStr">
        <is>
          <t>The God of peace : toward a theology of nonviolence / John Dear ; [foreword by Jim Douglass].</t>
        </is>
      </c>
      <c r="F776" t="inlineStr">
        <is>
          <t>No</t>
        </is>
      </c>
      <c r="G776" t="inlineStr">
        <is>
          <t>1</t>
        </is>
      </c>
      <c r="H776" t="inlineStr">
        <is>
          <t>No</t>
        </is>
      </c>
      <c r="I776" t="inlineStr">
        <is>
          <t>No</t>
        </is>
      </c>
      <c r="J776" t="inlineStr">
        <is>
          <t>0</t>
        </is>
      </c>
      <c r="K776" t="inlineStr">
        <is>
          <t>Dear, John, 1959-</t>
        </is>
      </c>
      <c r="L776" t="inlineStr">
        <is>
          <t>Maryknoll, N.Y. : Orbis Books, c1994.</t>
        </is>
      </c>
      <c r="M776" t="inlineStr">
        <is>
          <t>1994</t>
        </is>
      </c>
      <c r="O776" t="inlineStr">
        <is>
          <t>eng</t>
        </is>
      </c>
      <c r="P776" t="inlineStr">
        <is>
          <t>nyu</t>
        </is>
      </c>
      <c r="R776" t="inlineStr">
        <is>
          <t xml:space="preserve">BX </t>
        </is>
      </c>
      <c r="S776" t="n">
        <v>6</v>
      </c>
      <c r="T776" t="n">
        <v>6</v>
      </c>
      <c r="U776" t="inlineStr">
        <is>
          <t>2008-11-30</t>
        </is>
      </c>
      <c r="V776" t="inlineStr">
        <is>
          <t>2008-11-30</t>
        </is>
      </c>
      <c r="W776" t="inlineStr">
        <is>
          <t>1995-01-23</t>
        </is>
      </c>
      <c r="X776" t="inlineStr">
        <is>
          <t>1995-01-23</t>
        </is>
      </c>
      <c r="Y776" t="n">
        <v>282</v>
      </c>
      <c r="Z776" t="n">
        <v>237</v>
      </c>
      <c r="AA776" t="n">
        <v>253</v>
      </c>
      <c r="AB776" t="n">
        <v>1</v>
      </c>
      <c r="AC776" t="n">
        <v>1</v>
      </c>
      <c r="AD776" t="n">
        <v>25</v>
      </c>
      <c r="AE776" t="n">
        <v>27</v>
      </c>
      <c r="AF776" t="n">
        <v>10</v>
      </c>
      <c r="AG776" t="n">
        <v>11</v>
      </c>
      <c r="AH776" t="n">
        <v>8</v>
      </c>
      <c r="AI776" t="n">
        <v>8</v>
      </c>
      <c r="AJ776" t="n">
        <v>16</v>
      </c>
      <c r="AK776" t="n">
        <v>17</v>
      </c>
      <c r="AL776" t="n">
        <v>0</v>
      </c>
      <c r="AM776" t="n">
        <v>0</v>
      </c>
      <c r="AN776" t="n">
        <v>0</v>
      </c>
      <c r="AO776" t="n">
        <v>0</v>
      </c>
      <c r="AP776" t="inlineStr">
        <is>
          <t>No</t>
        </is>
      </c>
      <c r="AQ776" t="inlineStr">
        <is>
          <t>Yes</t>
        </is>
      </c>
      <c r="AR776">
        <f>HYPERLINK("http://catalog.hathitrust.org/Record/002902308","HathiTrust Record")</f>
        <v/>
      </c>
      <c r="AS776">
        <f>HYPERLINK("https://creighton-primo.hosted.exlibrisgroup.com/primo-explore/search?tab=default_tab&amp;search_scope=EVERYTHING&amp;vid=01CRU&amp;lang=en_US&amp;offset=0&amp;query=any,contains,991002353029702656","Catalog Record")</f>
        <v/>
      </c>
      <c r="AT776">
        <f>HYPERLINK("http://www.worldcat.org/oclc/30624891","WorldCat Record")</f>
        <v/>
      </c>
      <c r="AU776" t="inlineStr">
        <is>
          <t>32690202:eng</t>
        </is>
      </c>
      <c r="AV776" t="inlineStr">
        <is>
          <t>30624891</t>
        </is>
      </c>
      <c r="AW776" t="inlineStr">
        <is>
          <t>991002353029702656</t>
        </is>
      </c>
      <c r="AX776" t="inlineStr">
        <is>
          <t>991002353029702656</t>
        </is>
      </c>
      <c r="AY776" t="inlineStr">
        <is>
          <t>2260337290002656</t>
        </is>
      </c>
      <c r="AZ776" t="inlineStr">
        <is>
          <t>BOOK</t>
        </is>
      </c>
      <c r="BB776" t="inlineStr">
        <is>
          <t>9780883449806</t>
        </is>
      </c>
      <c r="BC776" t="inlineStr">
        <is>
          <t>32285001994986</t>
        </is>
      </c>
      <c r="BD776" t="inlineStr">
        <is>
          <t>893597348</t>
        </is>
      </c>
    </row>
    <row r="777">
      <c r="A777" t="inlineStr">
        <is>
          <t>No</t>
        </is>
      </c>
      <c r="B777" t="inlineStr">
        <is>
          <t>BX1795.P43 C37 1988</t>
        </is>
      </c>
      <c r="C777" t="inlineStr">
        <is>
          <t>0                      BX 1795000P  43                 C  37          1988</t>
        </is>
      </c>
      <c r="D777" t="inlineStr">
        <is>
          <t>Building peace : a pastoral reflection on the response to The Challenge of Peace / National Conference of Catholic Bishops ; [and] A Report on The Challenge of Peace : policy developments 1983-1988 / Ad Hoc Committee on the Moral Evaluation of Deterrence.</t>
        </is>
      </c>
      <c r="F777" t="inlineStr">
        <is>
          <t>No</t>
        </is>
      </c>
      <c r="G777" t="inlineStr">
        <is>
          <t>1</t>
        </is>
      </c>
      <c r="H777" t="inlineStr">
        <is>
          <t>No</t>
        </is>
      </c>
      <c r="I777" t="inlineStr">
        <is>
          <t>No</t>
        </is>
      </c>
      <c r="J777" t="inlineStr">
        <is>
          <t>0</t>
        </is>
      </c>
      <c r="K777" t="inlineStr">
        <is>
          <t>Catholic Church. National Conference of Catholic Bishops.</t>
        </is>
      </c>
      <c r="L777" t="inlineStr">
        <is>
          <t>Washington, DC : United States Catholic Conference, c1988.</t>
        </is>
      </c>
      <c r="M777" t="inlineStr">
        <is>
          <t>1988</t>
        </is>
      </c>
      <c r="O777" t="inlineStr">
        <is>
          <t>eng</t>
        </is>
      </c>
      <c r="P777" t="inlineStr">
        <is>
          <t>dcu</t>
        </is>
      </c>
      <c r="Q777" t="inlineStr">
        <is>
          <t>Publication / Office of Publishing &amp; Promotional Services, United States Catholic Conference ; no. 229-2.</t>
        </is>
      </c>
      <c r="R777" t="inlineStr">
        <is>
          <t xml:space="preserve">BX </t>
        </is>
      </c>
      <c r="S777" t="n">
        <v>7</v>
      </c>
      <c r="T777" t="n">
        <v>7</v>
      </c>
      <c r="U777" t="inlineStr">
        <is>
          <t>2008-09-09</t>
        </is>
      </c>
      <c r="V777" t="inlineStr">
        <is>
          <t>2008-09-09</t>
        </is>
      </c>
      <c r="W777" t="inlineStr">
        <is>
          <t>1991-05-31</t>
        </is>
      </c>
      <c r="X777" t="inlineStr">
        <is>
          <t>1991-05-31</t>
        </is>
      </c>
      <c r="Y777" t="n">
        <v>131</v>
      </c>
      <c r="Z777" t="n">
        <v>120</v>
      </c>
      <c r="AA777" t="n">
        <v>127</v>
      </c>
      <c r="AB777" t="n">
        <v>1</v>
      </c>
      <c r="AC777" t="n">
        <v>1</v>
      </c>
      <c r="AD777" t="n">
        <v>20</v>
      </c>
      <c r="AE777" t="n">
        <v>21</v>
      </c>
      <c r="AF777" t="n">
        <v>5</v>
      </c>
      <c r="AG777" t="n">
        <v>5</v>
      </c>
      <c r="AH777" t="n">
        <v>7</v>
      </c>
      <c r="AI777" t="n">
        <v>8</v>
      </c>
      <c r="AJ777" t="n">
        <v>14</v>
      </c>
      <c r="AK777" t="n">
        <v>15</v>
      </c>
      <c r="AL777" t="n">
        <v>0</v>
      </c>
      <c r="AM777" t="n">
        <v>0</v>
      </c>
      <c r="AN777" t="n">
        <v>0</v>
      </c>
      <c r="AO777" t="n">
        <v>0</v>
      </c>
      <c r="AP777" t="inlineStr">
        <is>
          <t>No</t>
        </is>
      </c>
      <c r="AQ777" t="inlineStr">
        <is>
          <t>No</t>
        </is>
      </c>
      <c r="AS777">
        <f>HYPERLINK("https://creighton-primo.hosted.exlibrisgroup.com/primo-explore/search?tab=default_tab&amp;search_scope=EVERYTHING&amp;vid=01CRU&amp;lang=en_US&amp;offset=0&amp;query=any,contains,991001371639702656","Catalog Record")</f>
        <v/>
      </c>
      <c r="AT777">
        <f>HYPERLINK("http://www.worldcat.org/oclc/20095264","WorldCat Record")</f>
        <v/>
      </c>
      <c r="AU777" t="inlineStr">
        <is>
          <t>1862734988:eng</t>
        </is>
      </c>
      <c r="AV777" t="inlineStr">
        <is>
          <t>20095264</t>
        </is>
      </c>
      <c r="AW777" t="inlineStr">
        <is>
          <t>991001371639702656</t>
        </is>
      </c>
      <c r="AX777" t="inlineStr">
        <is>
          <t>991001371639702656</t>
        </is>
      </c>
      <c r="AY777" t="inlineStr">
        <is>
          <t>2258855970002656</t>
        </is>
      </c>
      <c r="AZ777" t="inlineStr">
        <is>
          <t>BOOK</t>
        </is>
      </c>
      <c r="BB777" t="inlineStr">
        <is>
          <t>9781555862299</t>
        </is>
      </c>
      <c r="BC777" t="inlineStr">
        <is>
          <t>32285000665439</t>
        </is>
      </c>
      <c r="BD777" t="inlineStr">
        <is>
          <t>893872492</t>
        </is>
      </c>
    </row>
    <row r="778">
      <c r="A778" t="inlineStr">
        <is>
          <t>No</t>
        </is>
      </c>
      <c r="B778" t="inlineStr">
        <is>
          <t>BX1795.P43 E57 1989</t>
        </is>
      </c>
      <c r="C778" t="inlineStr">
        <is>
          <t>0                      BX 1795000P  43                 E  57          1989</t>
        </is>
      </c>
      <c r="D778" t="inlineStr">
        <is>
          <t>A theology of peacemaking : a vision, a road, a task / Mary Elsbernd.</t>
        </is>
      </c>
      <c r="F778" t="inlineStr">
        <is>
          <t>No</t>
        </is>
      </c>
      <c r="G778" t="inlineStr">
        <is>
          <t>1</t>
        </is>
      </c>
      <c r="H778" t="inlineStr">
        <is>
          <t>No</t>
        </is>
      </c>
      <c r="I778" t="inlineStr">
        <is>
          <t>No</t>
        </is>
      </c>
      <c r="J778" t="inlineStr">
        <is>
          <t>0</t>
        </is>
      </c>
      <c r="K778" t="inlineStr">
        <is>
          <t>Elsbernd, Mary, 1946-</t>
        </is>
      </c>
      <c r="L778" t="inlineStr">
        <is>
          <t>Lanham, MD : University Press of America, c1989.</t>
        </is>
      </c>
      <c r="M778" t="inlineStr">
        <is>
          <t>1989</t>
        </is>
      </c>
      <c r="O778" t="inlineStr">
        <is>
          <t>eng</t>
        </is>
      </c>
      <c r="P778" t="inlineStr">
        <is>
          <t>mdu</t>
        </is>
      </c>
      <c r="R778" t="inlineStr">
        <is>
          <t xml:space="preserve">BX </t>
        </is>
      </c>
      <c r="S778" t="n">
        <v>3</v>
      </c>
      <c r="T778" t="n">
        <v>3</v>
      </c>
      <c r="U778" t="inlineStr">
        <is>
          <t>1997-07-07</t>
        </is>
      </c>
      <c r="V778" t="inlineStr">
        <is>
          <t>1997-07-07</t>
        </is>
      </c>
      <c r="W778" t="inlineStr">
        <is>
          <t>1990-01-14</t>
        </is>
      </c>
      <c r="X778" t="inlineStr">
        <is>
          <t>1990-01-14</t>
        </is>
      </c>
      <c r="Y778" t="n">
        <v>190</v>
      </c>
      <c r="Z778" t="n">
        <v>169</v>
      </c>
      <c r="AA778" t="n">
        <v>170</v>
      </c>
      <c r="AB778" t="n">
        <v>1</v>
      </c>
      <c r="AC778" t="n">
        <v>1</v>
      </c>
      <c r="AD778" t="n">
        <v>7</v>
      </c>
      <c r="AE778" t="n">
        <v>7</v>
      </c>
      <c r="AF778" t="n">
        <v>1</v>
      </c>
      <c r="AG778" t="n">
        <v>1</v>
      </c>
      <c r="AH778" t="n">
        <v>3</v>
      </c>
      <c r="AI778" t="n">
        <v>3</v>
      </c>
      <c r="AJ778" t="n">
        <v>5</v>
      </c>
      <c r="AK778" t="n">
        <v>5</v>
      </c>
      <c r="AL778" t="n">
        <v>0</v>
      </c>
      <c r="AM778" t="n">
        <v>0</v>
      </c>
      <c r="AN778" t="n">
        <v>0</v>
      </c>
      <c r="AO778" t="n">
        <v>0</v>
      </c>
      <c r="AP778" t="inlineStr">
        <is>
          <t>No</t>
        </is>
      </c>
      <c r="AQ778" t="inlineStr">
        <is>
          <t>Yes</t>
        </is>
      </c>
      <c r="AR778">
        <f>HYPERLINK("http://catalog.hathitrust.org/Record/101904626","HathiTrust Record")</f>
        <v/>
      </c>
      <c r="AS778">
        <f>HYPERLINK("https://creighton-primo.hosted.exlibrisgroup.com/primo-explore/search?tab=default_tab&amp;search_scope=EVERYTHING&amp;vid=01CRU&amp;lang=en_US&amp;offset=0&amp;query=any,contains,991001394129702656","Catalog Record")</f>
        <v/>
      </c>
      <c r="AT778">
        <f>HYPERLINK("http://www.worldcat.org/oclc/18780262","WorldCat Record")</f>
        <v/>
      </c>
      <c r="AU778" t="inlineStr">
        <is>
          <t>18867122:eng</t>
        </is>
      </c>
      <c r="AV778" t="inlineStr">
        <is>
          <t>18780262</t>
        </is>
      </c>
      <c r="AW778" t="inlineStr">
        <is>
          <t>991001394129702656</t>
        </is>
      </c>
      <c r="AX778" t="inlineStr">
        <is>
          <t>991001394129702656</t>
        </is>
      </c>
      <c r="AY778" t="inlineStr">
        <is>
          <t>2260456050002656</t>
        </is>
      </c>
      <c r="AZ778" t="inlineStr">
        <is>
          <t>BOOK</t>
        </is>
      </c>
      <c r="BB778" t="inlineStr">
        <is>
          <t>9780819173027</t>
        </is>
      </c>
      <c r="BC778" t="inlineStr">
        <is>
          <t>32285000027903</t>
        </is>
      </c>
      <c r="BD778" t="inlineStr">
        <is>
          <t>893684290</t>
        </is>
      </c>
    </row>
    <row r="779">
      <c r="A779" t="inlineStr">
        <is>
          <t>No</t>
        </is>
      </c>
      <c r="B779" t="inlineStr">
        <is>
          <t>BX1795.P43 M475 2004</t>
        </is>
      </c>
      <c r="C779" t="inlineStr">
        <is>
          <t>0                      BX 1795000P  43                 M  475         2004</t>
        </is>
      </c>
      <c r="D779" t="inlineStr">
        <is>
          <t>Peace in the post-Christian era / Thomas Merton ; edited with an introduction by Patricia A. Burton ; foreword by Jim Forest.</t>
        </is>
      </c>
      <c r="F779" t="inlineStr">
        <is>
          <t>No</t>
        </is>
      </c>
      <c r="G779" t="inlineStr">
        <is>
          <t>1</t>
        </is>
      </c>
      <c r="H779" t="inlineStr">
        <is>
          <t>No</t>
        </is>
      </c>
      <c r="I779" t="inlineStr">
        <is>
          <t>No</t>
        </is>
      </c>
      <c r="J779" t="inlineStr">
        <is>
          <t>0</t>
        </is>
      </c>
      <c r="K779" t="inlineStr">
        <is>
          <t>Merton, Thomas, 1915-1968.</t>
        </is>
      </c>
      <c r="L779" t="inlineStr">
        <is>
          <t>Maryknoll, N.Y. : Orbis Books, c2004.</t>
        </is>
      </c>
      <c r="M779" t="inlineStr">
        <is>
          <t>2004</t>
        </is>
      </c>
      <c r="O779" t="inlineStr">
        <is>
          <t>eng</t>
        </is>
      </c>
      <c r="P779" t="inlineStr">
        <is>
          <t>nyu</t>
        </is>
      </c>
      <c r="R779" t="inlineStr">
        <is>
          <t xml:space="preserve">BX </t>
        </is>
      </c>
      <c r="S779" t="n">
        <v>6</v>
      </c>
      <c r="T779" t="n">
        <v>6</v>
      </c>
      <c r="U779" t="inlineStr">
        <is>
          <t>2008-09-09</t>
        </is>
      </c>
      <c r="V779" t="inlineStr">
        <is>
          <t>2008-09-09</t>
        </is>
      </c>
      <c r="W779" t="inlineStr">
        <is>
          <t>2004-11-15</t>
        </is>
      </c>
      <c r="X779" t="inlineStr">
        <is>
          <t>2004-11-15</t>
        </is>
      </c>
      <c r="Y779" t="n">
        <v>374</v>
      </c>
      <c r="Z779" t="n">
        <v>326</v>
      </c>
      <c r="AA779" t="n">
        <v>331</v>
      </c>
      <c r="AB779" t="n">
        <v>3</v>
      </c>
      <c r="AC779" t="n">
        <v>3</v>
      </c>
      <c r="AD779" t="n">
        <v>27</v>
      </c>
      <c r="AE779" t="n">
        <v>27</v>
      </c>
      <c r="AF779" t="n">
        <v>9</v>
      </c>
      <c r="AG779" t="n">
        <v>9</v>
      </c>
      <c r="AH779" t="n">
        <v>7</v>
      </c>
      <c r="AI779" t="n">
        <v>7</v>
      </c>
      <c r="AJ779" t="n">
        <v>17</v>
      </c>
      <c r="AK779" t="n">
        <v>17</v>
      </c>
      <c r="AL779" t="n">
        <v>2</v>
      </c>
      <c r="AM779" t="n">
        <v>2</v>
      </c>
      <c r="AN779" t="n">
        <v>0</v>
      </c>
      <c r="AO779" t="n">
        <v>0</v>
      </c>
      <c r="AP779" t="inlineStr">
        <is>
          <t>No</t>
        </is>
      </c>
      <c r="AQ779" t="inlineStr">
        <is>
          <t>Yes</t>
        </is>
      </c>
      <c r="AR779">
        <f>HYPERLINK("http://catalog.hathitrust.org/Record/004768391","HathiTrust Record")</f>
        <v/>
      </c>
      <c r="AS779">
        <f>HYPERLINK("https://creighton-primo.hosted.exlibrisgroup.com/primo-explore/search?tab=default_tab&amp;search_scope=EVERYTHING&amp;vid=01CRU&amp;lang=en_US&amp;offset=0&amp;query=any,contains,991004404549702656","Catalog Record")</f>
        <v/>
      </c>
      <c r="AT779">
        <f>HYPERLINK("http://www.worldcat.org/oclc/54988763","WorldCat Record")</f>
        <v/>
      </c>
      <c r="AU779" t="inlineStr">
        <is>
          <t>1052474:eng</t>
        </is>
      </c>
      <c r="AV779" t="inlineStr">
        <is>
          <t>54988763</t>
        </is>
      </c>
      <c r="AW779" t="inlineStr">
        <is>
          <t>991004404549702656</t>
        </is>
      </c>
      <c r="AX779" t="inlineStr">
        <is>
          <t>991004404549702656</t>
        </is>
      </c>
      <c r="AY779" t="inlineStr">
        <is>
          <t>2266350450002656</t>
        </is>
      </c>
      <c r="AZ779" t="inlineStr">
        <is>
          <t>BOOK</t>
        </is>
      </c>
      <c r="BB779" t="inlineStr">
        <is>
          <t>9781570755590</t>
        </is>
      </c>
      <c r="BC779" t="inlineStr">
        <is>
          <t>32285005010219</t>
        </is>
      </c>
      <c r="BD779" t="inlineStr">
        <is>
          <t>893706369</t>
        </is>
      </c>
    </row>
    <row r="780">
      <c r="A780" t="inlineStr">
        <is>
          <t>No</t>
        </is>
      </c>
      <c r="B780" t="inlineStr">
        <is>
          <t>BX1795.P43 P79 1991</t>
        </is>
      </c>
      <c r="C780" t="inlineStr">
        <is>
          <t>0                      BX 1795000P  43                 P  79          1991</t>
        </is>
      </c>
      <c r="D780" t="inlineStr">
        <is>
          <t>The Catholic concept of genuine and just peace as a basic collective human right / Frank Przetacznik.</t>
        </is>
      </c>
      <c r="F780" t="inlineStr">
        <is>
          <t>No</t>
        </is>
      </c>
      <c r="G780" t="inlineStr">
        <is>
          <t>1</t>
        </is>
      </c>
      <c r="H780" t="inlineStr">
        <is>
          <t>No</t>
        </is>
      </c>
      <c r="I780" t="inlineStr">
        <is>
          <t>No</t>
        </is>
      </c>
      <c r="J780" t="inlineStr">
        <is>
          <t>0</t>
        </is>
      </c>
      <c r="K780" t="inlineStr">
        <is>
          <t>Przetacznik, Franciszek.</t>
        </is>
      </c>
      <c r="L780" t="inlineStr">
        <is>
          <t>Lewiston [NY] : E. Mellen Press, c1991.</t>
        </is>
      </c>
      <c r="M780" t="inlineStr">
        <is>
          <t>1991</t>
        </is>
      </c>
      <c r="O780" t="inlineStr">
        <is>
          <t>eng</t>
        </is>
      </c>
      <c r="P780" t="inlineStr">
        <is>
          <t>nyu</t>
        </is>
      </c>
      <c r="Q780" t="inlineStr">
        <is>
          <t>Roman Catholic studies ; v. 2</t>
        </is>
      </c>
      <c r="R780" t="inlineStr">
        <is>
          <t xml:space="preserve">BX </t>
        </is>
      </c>
      <c r="S780" t="n">
        <v>1</v>
      </c>
      <c r="T780" t="n">
        <v>1</v>
      </c>
      <c r="U780" t="inlineStr">
        <is>
          <t>2005-03-29</t>
        </is>
      </c>
      <c r="V780" t="inlineStr">
        <is>
          <t>2005-03-29</t>
        </is>
      </c>
      <c r="W780" t="inlineStr">
        <is>
          <t>2005-03-29</t>
        </is>
      </c>
      <c r="X780" t="inlineStr">
        <is>
          <t>2005-03-29</t>
        </is>
      </c>
      <c r="Y780" t="n">
        <v>94</v>
      </c>
      <c r="Z780" t="n">
        <v>71</v>
      </c>
      <c r="AA780" t="n">
        <v>71</v>
      </c>
      <c r="AB780" t="n">
        <v>1</v>
      </c>
      <c r="AC780" t="n">
        <v>1</v>
      </c>
      <c r="AD780" t="n">
        <v>13</v>
      </c>
      <c r="AE780" t="n">
        <v>13</v>
      </c>
      <c r="AF780" t="n">
        <v>4</v>
      </c>
      <c r="AG780" t="n">
        <v>4</v>
      </c>
      <c r="AH780" t="n">
        <v>4</v>
      </c>
      <c r="AI780" t="n">
        <v>4</v>
      </c>
      <c r="AJ780" t="n">
        <v>10</v>
      </c>
      <c r="AK780" t="n">
        <v>10</v>
      </c>
      <c r="AL780" t="n">
        <v>0</v>
      </c>
      <c r="AM780" t="n">
        <v>0</v>
      </c>
      <c r="AN780" t="n">
        <v>1</v>
      </c>
      <c r="AO780" t="n">
        <v>1</v>
      </c>
      <c r="AP780" t="inlineStr">
        <is>
          <t>No</t>
        </is>
      </c>
      <c r="AQ780" t="inlineStr">
        <is>
          <t>No</t>
        </is>
      </c>
      <c r="AS780">
        <f>HYPERLINK("https://creighton-primo.hosted.exlibrisgroup.com/primo-explore/search?tab=default_tab&amp;search_scope=EVERYTHING&amp;vid=01CRU&amp;lang=en_US&amp;offset=0&amp;query=any,contains,991004348099702656","Catalog Record")</f>
        <v/>
      </c>
      <c r="AT780">
        <f>HYPERLINK("http://www.worldcat.org/oclc/22178547","WorldCat Record")</f>
        <v/>
      </c>
      <c r="AU780" t="inlineStr">
        <is>
          <t>886485:eng</t>
        </is>
      </c>
      <c r="AV780" t="inlineStr">
        <is>
          <t>22178547</t>
        </is>
      </c>
      <c r="AW780" t="inlineStr">
        <is>
          <t>991004348099702656</t>
        </is>
      </c>
      <c r="AX780" t="inlineStr">
        <is>
          <t>991004348099702656</t>
        </is>
      </c>
      <c r="AY780" t="inlineStr">
        <is>
          <t>2260305500002656</t>
        </is>
      </c>
      <c r="AZ780" t="inlineStr">
        <is>
          <t>BOOK</t>
        </is>
      </c>
      <c r="BB780" t="inlineStr">
        <is>
          <t>9780889462397</t>
        </is>
      </c>
      <c r="BC780" t="inlineStr">
        <is>
          <t>32285005045231</t>
        </is>
      </c>
      <c r="BD780" t="inlineStr">
        <is>
          <t>893436182</t>
        </is>
      </c>
    </row>
    <row r="781">
      <c r="A781" t="inlineStr">
        <is>
          <t>No</t>
        </is>
      </c>
      <c r="B781" t="inlineStr">
        <is>
          <t>BX1795.P43 W45 1987</t>
        </is>
      </c>
      <c r="C781" t="inlineStr">
        <is>
          <t>0                      BX 1795000P  43                 W  45          1987</t>
        </is>
      </c>
      <c r="D781" t="inlineStr">
        <is>
          <t>Tranquillitas ordinis : the present failure and future promise of American Catholic thought on war and peace / George Weigel.</t>
        </is>
      </c>
      <c r="F781" t="inlineStr">
        <is>
          <t>No</t>
        </is>
      </c>
      <c r="G781" t="inlineStr">
        <is>
          <t>1</t>
        </is>
      </c>
      <c r="H781" t="inlineStr">
        <is>
          <t>No</t>
        </is>
      </c>
      <c r="I781" t="inlineStr">
        <is>
          <t>No</t>
        </is>
      </c>
      <c r="J781" t="inlineStr">
        <is>
          <t>0</t>
        </is>
      </c>
      <c r="K781" t="inlineStr">
        <is>
          <t>Weigel, George, 1951-</t>
        </is>
      </c>
      <c r="L781" t="inlineStr">
        <is>
          <t>Oxford ; New York : Oxford University Press, 1987.</t>
        </is>
      </c>
      <c r="M781" t="inlineStr">
        <is>
          <t>1987</t>
        </is>
      </c>
      <c r="O781" t="inlineStr">
        <is>
          <t>eng</t>
        </is>
      </c>
      <c r="P781" t="inlineStr">
        <is>
          <t>enk</t>
        </is>
      </c>
      <c r="R781" t="inlineStr">
        <is>
          <t xml:space="preserve">BX </t>
        </is>
      </c>
      <c r="S781" t="n">
        <v>3</v>
      </c>
      <c r="T781" t="n">
        <v>3</v>
      </c>
      <c r="U781" t="inlineStr">
        <is>
          <t>2008-10-01</t>
        </is>
      </c>
      <c r="V781" t="inlineStr">
        <is>
          <t>2008-10-01</t>
        </is>
      </c>
      <c r="W781" t="inlineStr">
        <is>
          <t>1990-04-25</t>
        </is>
      </c>
      <c r="X781" t="inlineStr">
        <is>
          <t>1990-04-25</t>
        </is>
      </c>
      <c r="Y781" t="n">
        <v>672</v>
      </c>
      <c r="Z781" t="n">
        <v>597</v>
      </c>
      <c r="AA781" t="n">
        <v>605</v>
      </c>
      <c r="AB781" t="n">
        <v>5</v>
      </c>
      <c r="AC781" t="n">
        <v>5</v>
      </c>
      <c r="AD781" t="n">
        <v>45</v>
      </c>
      <c r="AE781" t="n">
        <v>45</v>
      </c>
      <c r="AF781" t="n">
        <v>20</v>
      </c>
      <c r="AG781" t="n">
        <v>20</v>
      </c>
      <c r="AH781" t="n">
        <v>9</v>
      </c>
      <c r="AI781" t="n">
        <v>9</v>
      </c>
      <c r="AJ781" t="n">
        <v>26</v>
      </c>
      <c r="AK781" t="n">
        <v>26</v>
      </c>
      <c r="AL781" t="n">
        <v>3</v>
      </c>
      <c r="AM781" t="n">
        <v>3</v>
      </c>
      <c r="AN781" t="n">
        <v>0</v>
      </c>
      <c r="AO781" t="n">
        <v>0</v>
      </c>
      <c r="AP781" t="inlineStr">
        <is>
          <t>No</t>
        </is>
      </c>
      <c r="AQ781" t="inlineStr">
        <is>
          <t>Yes</t>
        </is>
      </c>
      <c r="AR781">
        <f>HYPERLINK("http://catalog.hathitrust.org/Record/000593978","HathiTrust Record")</f>
        <v/>
      </c>
      <c r="AS781">
        <f>HYPERLINK("https://creighton-primo.hosted.exlibrisgroup.com/primo-explore/search?tab=default_tab&amp;search_scope=EVERYTHING&amp;vid=01CRU&amp;lang=en_US&amp;offset=0&amp;query=any,contains,991000867759702656","Catalog Record")</f>
        <v/>
      </c>
      <c r="AT781">
        <f>HYPERLINK("http://www.worldcat.org/oclc/13760851","WorldCat Record")</f>
        <v/>
      </c>
      <c r="AU781" t="inlineStr">
        <is>
          <t>7032933:eng</t>
        </is>
      </c>
      <c r="AV781" t="inlineStr">
        <is>
          <t>13760851</t>
        </is>
      </c>
      <c r="AW781" t="inlineStr">
        <is>
          <t>991000867759702656</t>
        </is>
      </c>
      <c r="AX781" t="inlineStr">
        <is>
          <t>991000867759702656</t>
        </is>
      </c>
      <c r="AY781" t="inlineStr">
        <is>
          <t>2266160340002656</t>
        </is>
      </c>
      <c r="AZ781" t="inlineStr">
        <is>
          <t>BOOK</t>
        </is>
      </c>
      <c r="BB781" t="inlineStr">
        <is>
          <t>9780195041934</t>
        </is>
      </c>
      <c r="BC781" t="inlineStr">
        <is>
          <t>32285000132752</t>
        </is>
      </c>
      <c r="BD781" t="inlineStr">
        <is>
          <t>893327657</t>
        </is>
      </c>
    </row>
    <row r="782">
      <c r="A782" t="inlineStr">
        <is>
          <t>No</t>
        </is>
      </c>
      <c r="B782" t="inlineStr">
        <is>
          <t>BX1795.P47 B87 1997</t>
        </is>
      </c>
      <c r="C782" t="inlineStr">
        <is>
          <t>0                      BX 1795000P  47                 B  87          1997</t>
        </is>
      </c>
      <c r="D782" t="inlineStr">
        <is>
          <t>Karol Wojtyła : the thought of the man who became Pope John Paul II / Rocco Buttiglione ; translated by Paolo Guietti and Francesca Murphy.</t>
        </is>
      </c>
      <c r="F782" t="inlineStr">
        <is>
          <t>No</t>
        </is>
      </c>
      <c r="G782" t="inlineStr">
        <is>
          <t>1</t>
        </is>
      </c>
      <c r="H782" t="inlineStr">
        <is>
          <t>No</t>
        </is>
      </c>
      <c r="I782" t="inlineStr">
        <is>
          <t>No</t>
        </is>
      </c>
      <c r="J782" t="inlineStr">
        <is>
          <t>0</t>
        </is>
      </c>
      <c r="K782" t="inlineStr">
        <is>
          <t>Buttiglione, Rocco, 1948-</t>
        </is>
      </c>
      <c r="L782" t="inlineStr">
        <is>
          <t>Grand Rapids, Mich. : Eerdmans, c1997.</t>
        </is>
      </c>
      <c r="M782" t="inlineStr">
        <is>
          <t>1997</t>
        </is>
      </c>
      <c r="O782" t="inlineStr">
        <is>
          <t>eng</t>
        </is>
      </c>
      <c r="P782" t="inlineStr">
        <is>
          <t>miu</t>
        </is>
      </c>
      <c r="R782" t="inlineStr">
        <is>
          <t xml:space="preserve">BX </t>
        </is>
      </c>
      <c r="S782" t="n">
        <v>5</v>
      </c>
      <c r="T782" t="n">
        <v>5</v>
      </c>
      <c r="U782" t="inlineStr">
        <is>
          <t>2000-10-24</t>
        </is>
      </c>
      <c r="V782" t="inlineStr">
        <is>
          <t>2000-10-24</t>
        </is>
      </c>
      <c r="W782" t="inlineStr">
        <is>
          <t>1997-11-18</t>
        </is>
      </c>
      <c r="X782" t="inlineStr">
        <is>
          <t>1997-11-18</t>
        </is>
      </c>
      <c r="Y782" t="n">
        <v>467</v>
      </c>
      <c r="Z782" t="n">
        <v>407</v>
      </c>
      <c r="AA782" t="n">
        <v>407</v>
      </c>
      <c r="AB782" t="n">
        <v>3</v>
      </c>
      <c r="AC782" t="n">
        <v>3</v>
      </c>
      <c r="AD782" t="n">
        <v>32</v>
      </c>
      <c r="AE782" t="n">
        <v>32</v>
      </c>
      <c r="AF782" t="n">
        <v>13</v>
      </c>
      <c r="AG782" t="n">
        <v>13</v>
      </c>
      <c r="AH782" t="n">
        <v>7</v>
      </c>
      <c r="AI782" t="n">
        <v>7</v>
      </c>
      <c r="AJ782" t="n">
        <v>19</v>
      </c>
      <c r="AK782" t="n">
        <v>19</v>
      </c>
      <c r="AL782" t="n">
        <v>1</v>
      </c>
      <c r="AM782" t="n">
        <v>1</v>
      </c>
      <c r="AN782" t="n">
        <v>0</v>
      </c>
      <c r="AO782" t="n">
        <v>0</v>
      </c>
      <c r="AP782" t="inlineStr">
        <is>
          <t>No</t>
        </is>
      </c>
      <c r="AQ782" t="inlineStr">
        <is>
          <t>No</t>
        </is>
      </c>
      <c r="AS782">
        <f>HYPERLINK("https://creighton-primo.hosted.exlibrisgroup.com/primo-explore/search?tab=default_tab&amp;search_scope=EVERYTHING&amp;vid=01CRU&amp;lang=en_US&amp;offset=0&amp;query=any,contains,991002819259702656","Catalog Record")</f>
        <v/>
      </c>
      <c r="AT782">
        <f>HYPERLINK("http://www.worldcat.org/oclc/37037383","WorldCat Record")</f>
        <v/>
      </c>
      <c r="AU782" t="inlineStr">
        <is>
          <t>1153002595:eng</t>
        </is>
      </c>
      <c r="AV782" t="inlineStr">
        <is>
          <t>37037383</t>
        </is>
      </c>
      <c r="AW782" t="inlineStr">
        <is>
          <t>991002819259702656</t>
        </is>
      </c>
      <c r="AX782" t="inlineStr">
        <is>
          <t>991002819259702656</t>
        </is>
      </c>
      <c r="AY782" t="inlineStr">
        <is>
          <t>2259349370002656</t>
        </is>
      </c>
      <c r="AZ782" t="inlineStr">
        <is>
          <t>BOOK</t>
        </is>
      </c>
      <c r="BB782" t="inlineStr">
        <is>
          <t>9780802838483</t>
        </is>
      </c>
      <c r="BC782" t="inlineStr">
        <is>
          <t>32285003271037</t>
        </is>
      </c>
      <c r="BD782" t="inlineStr">
        <is>
          <t>893524088</t>
        </is>
      </c>
    </row>
    <row r="783">
      <c r="A783" t="inlineStr">
        <is>
          <t>No</t>
        </is>
      </c>
      <c r="B783" t="inlineStr">
        <is>
          <t>BX1795.P67 C38 1994</t>
        </is>
      </c>
      <c r="C783" t="inlineStr">
        <is>
          <t>0                      BX 1795000P  67                 C  38          1994</t>
        </is>
      </c>
      <c r="D783" t="inlineStr">
        <is>
          <t>Ethical and pastoral dimensions of population trends / Pontifical Council for the Family.</t>
        </is>
      </c>
      <c r="F783" t="inlineStr">
        <is>
          <t>No</t>
        </is>
      </c>
      <c r="G783" t="inlineStr">
        <is>
          <t>1</t>
        </is>
      </c>
      <c r="H783" t="inlineStr">
        <is>
          <t>No</t>
        </is>
      </c>
      <c r="I783" t="inlineStr">
        <is>
          <t>No</t>
        </is>
      </c>
      <c r="J783" t="inlineStr">
        <is>
          <t>0</t>
        </is>
      </c>
      <c r="K783" t="inlineStr">
        <is>
          <t>Catholic Church. Pontificium Consilium pro Familia.</t>
        </is>
      </c>
      <c r="L783" t="inlineStr">
        <is>
          <t>Washington, D.C. : United States Catholic Conference ; Vatican City : The Council, c1994.</t>
        </is>
      </c>
      <c r="M783" t="inlineStr">
        <is>
          <t>1994</t>
        </is>
      </c>
      <c r="O783" t="inlineStr">
        <is>
          <t>eng</t>
        </is>
      </c>
      <c r="P783" t="inlineStr">
        <is>
          <t>dcu</t>
        </is>
      </c>
      <c r="Q783" t="inlineStr">
        <is>
          <t>Publication / Office for Publishing and Promotion Services, United States Catholic Conference ; no. 932-7</t>
        </is>
      </c>
      <c r="R783" t="inlineStr">
        <is>
          <t xml:space="preserve">BX </t>
        </is>
      </c>
      <c r="S783" t="n">
        <v>3</v>
      </c>
      <c r="T783" t="n">
        <v>3</v>
      </c>
      <c r="U783" t="inlineStr">
        <is>
          <t>1997-04-30</t>
        </is>
      </c>
      <c r="V783" t="inlineStr">
        <is>
          <t>1997-04-30</t>
        </is>
      </c>
      <c r="W783" t="inlineStr">
        <is>
          <t>1994-11-10</t>
        </is>
      </c>
      <c r="X783" t="inlineStr">
        <is>
          <t>1994-11-10</t>
        </is>
      </c>
      <c r="Y783" t="n">
        <v>61</v>
      </c>
      <c r="Z783" t="n">
        <v>59</v>
      </c>
      <c r="AA783" t="n">
        <v>74</v>
      </c>
      <c r="AB783" t="n">
        <v>1</v>
      </c>
      <c r="AC783" t="n">
        <v>2</v>
      </c>
      <c r="AD783" t="n">
        <v>11</v>
      </c>
      <c r="AE783" t="n">
        <v>12</v>
      </c>
      <c r="AF783" t="n">
        <v>2</v>
      </c>
      <c r="AG783" t="n">
        <v>2</v>
      </c>
      <c r="AH783" t="n">
        <v>4</v>
      </c>
      <c r="AI783" t="n">
        <v>4</v>
      </c>
      <c r="AJ783" t="n">
        <v>7</v>
      </c>
      <c r="AK783" t="n">
        <v>8</v>
      </c>
      <c r="AL783" t="n">
        <v>0</v>
      </c>
      <c r="AM783" t="n">
        <v>0</v>
      </c>
      <c r="AN783" t="n">
        <v>0</v>
      </c>
      <c r="AO783" t="n">
        <v>0</v>
      </c>
      <c r="AP783" t="inlineStr">
        <is>
          <t>No</t>
        </is>
      </c>
      <c r="AQ783" t="inlineStr">
        <is>
          <t>No</t>
        </is>
      </c>
      <c r="AS783">
        <f>HYPERLINK("https://creighton-primo.hosted.exlibrisgroup.com/primo-explore/search?tab=default_tab&amp;search_scope=EVERYTHING&amp;vid=01CRU&amp;lang=en_US&amp;offset=0&amp;query=any,contains,991002406949702656","Catalog Record")</f>
        <v/>
      </c>
      <c r="AT783">
        <f>HYPERLINK("http://www.worldcat.org/oclc/31306153","WorldCat Record")</f>
        <v/>
      </c>
      <c r="AU783" t="inlineStr">
        <is>
          <t>6542718:eng</t>
        </is>
      </c>
      <c r="AV783" t="inlineStr">
        <is>
          <t>31306153</t>
        </is>
      </c>
      <c r="AW783" t="inlineStr">
        <is>
          <t>991002406949702656</t>
        </is>
      </c>
      <c r="AX783" t="inlineStr">
        <is>
          <t>991002406949702656</t>
        </is>
      </c>
      <c r="AY783" t="inlineStr">
        <is>
          <t>2260891390002656</t>
        </is>
      </c>
      <c r="AZ783" t="inlineStr">
        <is>
          <t>BOOK</t>
        </is>
      </c>
      <c r="BB783" t="inlineStr">
        <is>
          <t>9781555869328</t>
        </is>
      </c>
      <c r="BC783" t="inlineStr">
        <is>
          <t>32285001970366</t>
        </is>
      </c>
      <c r="BD783" t="inlineStr">
        <is>
          <t>893779777</t>
        </is>
      </c>
    </row>
    <row r="784">
      <c r="A784" t="inlineStr">
        <is>
          <t>No</t>
        </is>
      </c>
      <c r="B784" t="inlineStr">
        <is>
          <t>BX1795.P72 J36 2000</t>
        </is>
      </c>
      <c r="C784" t="inlineStr">
        <is>
          <t>0                      BX 1795000P  72                 J  36          2000</t>
        </is>
      </c>
      <c r="D784" t="inlineStr">
        <is>
          <t>The holy preaching : the sacramentality of the Word in the liturgical assembly / Paul Janowiak ; foreword by Edward Foley, Capuchin.</t>
        </is>
      </c>
      <c r="F784" t="inlineStr">
        <is>
          <t>No</t>
        </is>
      </c>
      <c r="G784" t="inlineStr">
        <is>
          <t>1</t>
        </is>
      </c>
      <c r="H784" t="inlineStr">
        <is>
          <t>No</t>
        </is>
      </c>
      <c r="I784" t="inlineStr">
        <is>
          <t>No</t>
        </is>
      </c>
      <c r="J784" t="inlineStr">
        <is>
          <t>0</t>
        </is>
      </c>
      <c r="K784" t="inlineStr">
        <is>
          <t>Janowiak, Paul, 1951-</t>
        </is>
      </c>
      <c r="L784" t="inlineStr">
        <is>
          <t>Collegeville, Minn. : Liturgical Press, c2000.</t>
        </is>
      </c>
      <c r="M784" t="inlineStr">
        <is>
          <t>2000</t>
        </is>
      </c>
      <c r="O784" t="inlineStr">
        <is>
          <t>eng</t>
        </is>
      </c>
      <c r="P784" t="inlineStr">
        <is>
          <t>mnu</t>
        </is>
      </c>
      <c r="R784" t="inlineStr">
        <is>
          <t xml:space="preserve">BX </t>
        </is>
      </c>
      <c r="S784" t="n">
        <v>2</v>
      </c>
      <c r="T784" t="n">
        <v>2</v>
      </c>
      <c r="U784" t="inlineStr">
        <is>
          <t>2010-02-24</t>
        </is>
      </c>
      <c r="V784" t="inlineStr">
        <is>
          <t>2010-02-24</t>
        </is>
      </c>
      <c r="W784" t="inlineStr">
        <is>
          <t>2001-08-22</t>
        </is>
      </c>
      <c r="X784" t="inlineStr">
        <is>
          <t>2001-08-22</t>
        </is>
      </c>
      <c r="Y784" t="n">
        <v>139</v>
      </c>
      <c r="Z784" t="n">
        <v>109</v>
      </c>
      <c r="AA784" t="n">
        <v>129</v>
      </c>
      <c r="AB784" t="n">
        <v>1</v>
      </c>
      <c r="AC784" t="n">
        <v>1</v>
      </c>
      <c r="AD784" t="n">
        <v>16</v>
      </c>
      <c r="AE784" t="n">
        <v>16</v>
      </c>
      <c r="AF784" t="n">
        <v>5</v>
      </c>
      <c r="AG784" t="n">
        <v>5</v>
      </c>
      <c r="AH784" t="n">
        <v>4</v>
      </c>
      <c r="AI784" t="n">
        <v>4</v>
      </c>
      <c r="AJ784" t="n">
        <v>12</v>
      </c>
      <c r="AK784" t="n">
        <v>12</v>
      </c>
      <c r="AL784" t="n">
        <v>0</v>
      </c>
      <c r="AM784" t="n">
        <v>0</v>
      </c>
      <c r="AN784" t="n">
        <v>0</v>
      </c>
      <c r="AO784" t="n">
        <v>0</v>
      </c>
      <c r="AP784" t="inlineStr">
        <is>
          <t>No</t>
        </is>
      </c>
      <c r="AQ784" t="inlineStr">
        <is>
          <t>No</t>
        </is>
      </c>
      <c r="AS784">
        <f>HYPERLINK("https://creighton-primo.hosted.exlibrisgroup.com/primo-explore/search?tab=default_tab&amp;search_scope=EVERYTHING&amp;vid=01CRU&amp;lang=en_US&amp;offset=0&amp;query=any,contains,991003576109702656","Catalog Record")</f>
        <v/>
      </c>
      <c r="AT784">
        <f>HYPERLINK("http://www.worldcat.org/oclc/42290014","WorldCat Record")</f>
        <v/>
      </c>
      <c r="AU784" t="inlineStr">
        <is>
          <t>863799328:eng</t>
        </is>
      </c>
      <c r="AV784" t="inlineStr">
        <is>
          <t>42290014</t>
        </is>
      </c>
      <c r="AW784" t="inlineStr">
        <is>
          <t>991003576109702656</t>
        </is>
      </c>
      <c r="AX784" t="inlineStr">
        <is>
          <t>991003576109702656</t>
        </is>
      </c>
      <c r="AY784" t="inlineStr">
        <is>
          <t>2259264170002656</t>
        </is>
      </c>
      <c r="AZ784" t="inlineStr">
        <is>
          <t>BOOK</t>
        </is>
      </c>
      <c r="BB784" t="inlineStr">
        <is>
          <t>9780814661802</t>
        </is>
      </c>
      <c r="BC784" t="inlineStr">
        <is>
          <t>32285004379896</t>
        </is>
      </c>
      <c r="BD784" t="inlineStr">
        <is>
          <t>893524973</t>
        </is>
      </c>
    </row>
    <row r="785">
      <c r="A785" t="inlineStr">
        <is>
          <t>No</t>
        </is>
      </c>
      <c r="B785" t="inlineStr">
        <is>
          <t>BX1795.S35 C69 2002</t>
        </is>
      </c>
      <c r="C785" t="inlineStr">
        <is>
          <t>0                      BX 1795000S  35                 C  69          2002</t>
        </is>
      </c>
      <c r="D785" t="inlineStr">
        <is>
          <t>Wayfarers in the cosmos : the human quest for meaning / George V. Coyne and Alessandro Omizzolo.</t>
        </is>
      </c>
      <c r="F785" t="inlineStr">
        <is>
          <t>No</t>
        </is>
      </c>
      <c r="G785" t="inlineStr">
        <is>
          <t>1</t>
        </is>
      </c>
      <c r="H785" t="inlineStr">
        <is>
          <t>No</t>
        </is>
      </c>
      <c r="I785" t="inlineStr">
        <is>
          <t>No</t>
        </is>
      </c>
      <c r="J785" t="inlineStr">
        <is>
          <t>0</t>
        </is>
      </c>
      <c r="K785" t="inlineStr">
        <is>
          <t>Coyne, George V., 1933-2020.</t>
        </is>
      </c>
      <c r="L785" t="inlineStr">
        <is>
          <t>New York : Crossroad, c2002.</t>
        </is>
      </c>
      <c r="M785" t="inlineStr">
        <is>
          <t>2002</t>
        </is>
      </c>
      <c r="O785" t="inlineStr">
        <is>
          <t>eng</t>
        </is>
      </c>
      <c r="P785" t="inlineStr">
        <is>
          <t>nyu</t>
        </is>
      </c>
      <c r="R785" t="inlineStr">
        <is>
          <t xml:space="preserve">BX </t>
        </is>
      </c>
      <c r="S785" t="n">
        <v>1</v>
      </c>
      <c r="T785" t="n">
        <v>1</v>
      </c>
      <c r="U785" t="inlineStr">
        <is>
          <t>2007-10-29</t>
        </is>
      </c>
      <c r="V785" t="inlineStr">
        <is>
          <t>2007-10-29</t>
        </is>
      </c>
      <c r="W785" t="inlineStr">
        <is>
          <t>2007-10-29</t>
        </is>
      </c>
      <c r="X785" t="inlineStr">
        <is>
          <t>2007-10-29</t>
        </is>
      </c>
      <c r="Y785" t="n">
        <v>163</v>
      </c>
      <c r="Z785" t="n">
        <v>146</v>
      </c>
      <c r="AA785" t="n">
        <v>150</v>
      </c>
      <c r="AB785" t="n">
        <v>2</v>
      </c>
      <c r="AC785" t="n">
        <v>2</v>
      </c>
      <c r="AD785" t="n">
        <v>16</v>
      </c>
      <c r="AE785" t="n">
        <v>16</v>
      </c>
      <c r="AF785" t="n">
        <v>3</v>
      </c>
      <c r="AG785" t="n">
        <v>3</v>
      </c>
      <c r="AH785" t="n">
        <v>3</v>
      </c>
      <c r="AI785" t="n">
        <v>3</v>
      </c>
      <c r="AJ785" t="n">
        <v>12</v>
      </c>
      <c r="AK785" t="n">
        <v>12</v>
      </c>
      <c r="AL785" t="n">
        <v>1</v>
      </c>
      <c r="AM785" t="n">
        <v>1</v>
      </c>
      <c r="AN785" t="n">
        <v>0</v>
      </c>
      <c r="AO785" t="n">
        <v>0</v>
      </c>
      <c r="AP785" t="inlineStr">
        <is>
          <t>No</t>
        </is>
      </c>
      <c r="AQ785" t="inlineStr">
        <is>
          <t>No</t>
        </is>
      </c>
      <c r="AS785">
        <f>HYPERLINK("https://creighton-primo.hosted.exlibrisgroup.com/primo-explore/search?tab=default_tab&amp;search_scope=EVERYTHING&amp;vid=01CRU&amp;lang=en_US&amp;offset=0&amp;query=any,contains,991005131409702656","Catalog Record")</f>
        <v/>
      </c>
      <c r="AT785">
        <f>HYPERLINK("http://www.worldcat.org/oclc/48144318","WorldCat Record")</f>
        <v/>
      </c>
      <c r="AU785" t="inlineStr">
        <is>
          <t>37953027:eng</t>
        </is>
      </c>
      <c r="AV785" t="inlineStr">
        <is>
          <t>48144318</t>
        </is>
      </c>
      <c r="AW785" t="inlineStr">
        <is>
          <t>991005131409702656</t>
        </is>
      </c>
      <c r="AX785" t="inlineStr">
        <is>
          <t>991005131409702656</t>
        </is>
      </c>
      <c r="AY785" t="inlineStr">
        <is>
          <t>2255524830002656</t>
        </is>
      </c>
      <c r="AZ785" t="inlineStr">
        <is>
          <t>BOOK</t>
        </is>
      </c>
      <c r="BB785" t="inlineStr">
        <is>
          <t>9780824519124</t>
        </is>
      </c>
      <c r="BC785" t="inlineStr">
        <is>
          <t>32285005362560</t>
        </is>
      </c>
      <c r="BD785" t="inlineStr">
        <is>
          <t>893876995</t>
        </is>
      </c>
    </row>
    <row r="786">
      <c r="A786" t="inlineStr">
        <is>
          <t>No</t>
        </is>
      </c>
      <c r="B786" t="inlineStr">
        <is>
          <t>BX1795.S48 L68 1985</t>
        </is>
      </c>
      <c r="C786" t="inlineStr">
        <is>
          <t>0                      BX 1795000S  48                 L  68          1985</t>
        </is>
      </c>
      <c r="D786" t="inlineStr">
        <is>
          <t>Love is for life : a pastoral letter issued on behalf of the Irish hierarchy / Tomás Ó Fiaich ... [et al.].</t>
        </is>
      </c>
      <c r="F786" t="inlineStr">
        <is>
          <t>No</t>
        </is>
      </c>
      <c r="G786" t="inlineStr">
        <is>
          <t>1</t>
        </is>
      </c>
      <c r="H786" t="inlineStr">
        <is>
          <t>No</t>
        </is>
      </c>
      <c r="I786" t="inlineStr">
        <is>
          <t>No</t>
        </is>
      </c>
      <c r="J786" t="inlineStr">
        <is>
          <t>0</t>
        </is>
      </c>
      <c r="L786" t="inlineStr">
        <is>
          <t>Dublin : Veritas, 1985.</t>
        </is>
      </c>
      <c r="M786" t="inlineStr">
        <is>
          <t>1985</t>
        </is>
      </c>
      <c r="O786" t="inlineStr">
        <is>
          <t>eng</t>
        </is>
      </c>
      <c r="P786" t="inlineStr">
        <is>
          <t xml:space="preserve">ie </t>
        </is>
      </c>
      <c r="R786" t="inlineStr">
        <is>
          <t xml:space="preserve">BX </t>
        </is>
      </c>
      <c r="S786" t="n">
        <v>2</v>
      </c>
      <c r="T786" t="n">
        <v>2</v>
      </c>
      <c r="U786" t="inlineStr">
        <is>
          <t>2004-12-02</t>
        </is>
      </c>
      <c r="V786" t="inlineStr">
        <is>
          <t>2004-12-02</t>
        </is>
      </c>
      <c r="W786" t="inlineStr">
        <is>
          <t>2002-08-13</t>
        </is>
      </c>
      <c r="X786" t="inlineStr">
        <is>
          <t>2002-08-13</t>
        </is>
      </c>
      <c r="Y786" t="n">
        <v>81</v>
      </c>
      <c r="Z786" t="n">
        <v>60</v>
      </c>
      <c r="AA786" t="n">
        <v>64</v>
      </c>
      <c r="AB786" t="n">
        <v>1</v>
      </c>
      <c r="AC786" t="n">
        <v>1</v>
      </c>
      <c r="AD786" t="n">
        <v>10</v>
      </c>
      <c r="AE786" t="n">
        <v>10</v>
      </c>
      <c r="AF786" t="n">
        <v>1</v>
      </c>
      <c r="AG786" t="n">
        <v>1</v>
      </c>
      <c r="AH786" t="n">
        <v>3</v>
      </c>
      <c r="AI786" t="n">
        <v>3</v>
      </c>
      <c r="AJ786" t="n">
        <v>9</v>
      </c>
      <c r="AK786" t="n">
        <v>9</v>
      </c>
      <c r="AL786" t="n">
        <v>0</v>
      </c>
      <c r="AM786" t="n">
        <v>0</v>
      </c>
      <c r="AN786" t="n">
        <v>0</v>
      </c>
      <c r="AO786" t="n">
        <v>0</v>
      </c>
      <c r="AP786" t="inlineStr">
        <is>
          <t>No</t>
        </is>
      </c>
      <c r="AQ786" t="inlineStr">
        <is>
          <t>No</t>
        </is>
      </c>
      <c r="AS786">
        <f>HYPERLINK("https://creighton-primo.hosted.exlibrisgroup.com/primo-explore/search?tab=default_tab&amp;search_scope=EVERYTHING&amp;vid=01CRU&amp;lang=en_US&amp;offset=0&amp;query=any,contains,991003858979702656","Catalog Record")</f>
        <v/>
      </c>
      <c r="AT786">
        <f>HYPERLINK("http://www.worldcat.org/oclc/13998015","WorldCat Record")</f>
        <v/>
      </c>
      <c r="AU786" t="inlineStr">
        <is>
          <t>10587845336:eng</t>
        </is>
      </c>
      <c r="AV786" t="inlineStr">
        <is>
          <t>13998015</t>
        </is>
      </c>
      <c r="AW786" t="inlineStr">
        <is>
          <t>991003858979702656</t>
        </is>
      </c>
      <c r="AX786" t="inlineStr">
        <is>
          <t>991003858979702656</t>
        </is>
      </c>
      <c r="AY786" t="inlineStr">
        <is>
          <t>2258819560002656</t>
        </is>
      </c>
      <c r="AZ786" t="inlineStr">
        <is>
          <t>BOOK</t>
        </is>
      </c>
      <c r="BB786" t="inlineStr">
        <is>
          <t>9780862171544</t>
        </is>
      </c>
      <c r="BC786" t="inlineStr">
        <is>
          <t>32285004642467</t>
        </is>
      </c>
      <c r="BD786" t="inlineStr">
        <is>
          <t>893324623</t>
        </is>
      </c>
    </row>
    <row r="787">
      <c r="A787" t="inlineStr">
        <is>
          <t>No</t>
        </is>
      </c>
      <c r="B787" t="inlineStr">
        <is>
          <t>BX1795.W37 E43 1999</t>
        </is>
      </c>
      <c r="C787" t="inlineStr">
        <is>
          <t>0                      BX 1795000W  37                 E  43          1999</t>
        </is>
      </c>
      <c r="D787" t="inlineStr">
        <is>
          <t>Peace be with you : justified warfare or the way of nonviolence / Eileen Egan.</t>
        </is>
      </c>
      <c r="F787" t="inlineStr">
        <is>
          <t>No</t>
        </is>
      </c>
      <c r="G787" t="inlineStr">
        <is>
          <t>1</t>
        </is>
      </c>
      <c r="H787" t="inlineStr">
        <is>
          <t>No</t>
        </is>
      </c>
      <c r="I787" t="inlineStr">
        <is>
          <t>No</t>
        </is>
      </c>
      <c r="J787" t="inlineStr">
        <is>
          <t>0</t>
        </is>
      </c>
      <c r="K787" t="inlineStr">
        <is>
          <t>Egan, Eileen.</t>
        </is>
      </c>
      <c r="L787" t="inlineStr">
        <is>
          <t>Maryknoll, N.Y. : Orbis Books, c1999.</t>
        </is>
      </c>
      <c r="M787" t="inlineStr">
        <is>
          <t>1999</t>
        </is>
      </c>
      <c r="O787" t="inlineStr">
        <is>
          <t>eng</t>
        </is>
      </c>
      <c r="P787" t="inlineStr">
        <is>
          <t>nyu</t>
        </is>
      </c>
      <c r="R787" t="inlineStr">
        <is>
          <t xml:space="preserve">BX </t>
        </is>
      </c>
      <c r="S787" t="n">
        <v>3</v>
      </c>
      <c r="T787" t="n">
        <v>3</v>
      </c>
      <c r="U787" t="inlineStr">
        <is>
          <t>2005-04-13</t>
        </is>
      </c>
      <c r="V787" t="inlineStr">
        <is>
          <t>2005-04-13</t>
        </is>
      </c>
      <c r="W787" t="inlineStr">
        <is>
          <t>1999-11-04</t>
        </is>
      </c>
      <c r="X787" t="inlineStr">
        <is>
          <t>1999-11-04</t>
        </is>
      </c>
      <c r="Y787" t="n">
        <v>448</v>
      </c>
      <c r="Z787" t="n">
        <v>404</v>
      </c>
      <c r="AA787" t="n">
        <v>412</v>
      </c>
      <c r="AB787" t="n">
        <v>2</v>
      </c>
      <c r="AC787" t="n">
        <v>2</v>
      </c>
      <c r="AD787" t="n">
        <v>32</v>
      </c>
      <c r="AE787" t="n">
        <v>32</v>
      </c>
      <c r="AF787" t="n">
        <v>14</v>
      </c>
      <c r="AG787" t="n">
        <v>14</v>
      </c>
      <c r="AH787" t="n">
        <v>8</v>
      </c>
      <c r="AI787" t="n">
        <v>8</v>
      </c>
      <c r="AJ787" t="n">
        <v>18</v>
      </c>
      <c r="AK787" t="n">
        <v>18</v>
      </c>
      <c r="AL787" t="n">
        <v>1</v>
      </c>
      <c r="AM787" t="n">
        <v>1</v>
      </c>
      <c r="AN787" t="n">
        <v>0</v>
      </c>
      <c r="AO787" t="n">
        <v>0</v>
      </c>
      <c r="AP787" t="inlineStr">
        <is>
          <t>No</t>
        </is>
      </c>
      <c r="AQ787" t="inlineStr">
        <is>
          <t>Yes</t>
        </is>
      </c>
      <c r="AR787">
        <f>HYPERLINK("http://catalog.hathitrust.org/Record/003346461","HathiTrust Record")</f>
        <v/>
      </c>
      <c r="AS787">
        <f>HYPERLINK("https://creighton-primo.hosted.exlibrisgroup.com/primo-explore/search?tab=default_tab&amp;search_scope=EVERYTHING&amp;vid=01CRU&amp;lang=en_US&amp;offset=0&amp;query=any,contains,991003003939702656","Catalog Record")</f>
        <v/>
      </c>
      <c r="AT787">
        <f>HYPERLINK("http://www.worldcat.org/oclc/40698609","WorldCat Record")</f>
        <v/>
      </c>
      <c r="AU787" t="inlineStr">
        <is>
          <t>26348352:eng</t>
        </is>
      </c>
      <c r="AV787" t="inlineStr">
        <is>
          <t>40698609</t>
        </is>
      </c>
      <c r="AW787" t="inlineStr">
        <is>
          <t>991003003939702656</t>
        </is>
      </c>
      <c r="AX787" t="inlineStr">
        <is>
          <t>991003003939702656</t>
        </is>
      </c>
      <c r="AY787" t="inlineStr">
        <is>
          <t>2264603550002656</t>
        </is>
      </c>
      <c r="AZ787" t="inlineStr">
        <is>
          <t>BOOK</t>
        </is>
      </c>
      <c r="BB787" t="inlineStr">
        <is>
          <t>9781570752438</t>
        </is>
      </c>
      <c r="BC787" t="inlineStr">
        <is>
          <t>32285003618047</t>
        </is>
      </c>
      <c r="BD787" t="inlineStr">
        <is>
          <t>893239785</t>
        </is>
      </c>
    </row>
    <row r="788">
      <c r="A788" t="inlineStr">
        <is>
          <t>No</t>
        </is>
      </c>
      <c r="B788" t="inlineStr">
        <is>
          <t>BX1795.W37 S78 1994</t>
        </is>
      </c>
      <c r="C788" t="inlineStr">
        <is>
          <t>0                      BX 1795000W  37                 S  78          1994</t>
        </is>
      </c>
      <c r="D788" t="inlineStr">
        <is>
          <t>Studying war--no more? : from just war to just peace / edited by Brian Wicker.</t>
        </is>
      </c>
      <c r="F788" t="inlineStr">
        <is>
          <t>No</t>
        </is>
      </c>
      <c r="G788" t="inlineStr">
        <is>
          <t>1</t>
        </is>
      </c>
      <c r="H788" t="inlineStr">
        <is>
          <t>No</t>
        </is>
      </c>
      <c r="I788" t="inlineStr">
        <is>
          <t>No</t>
        </is>
      </c>
      <c r="J788" t="inlineStr">
        <is>
          <t>0</t>
        </is>
      </c>
      <c r="L788" t="inlineStr">
        <is>
          <t>Grand Rapids, Mich. : Eerdmans, 1994.</t>
        </is>
      </c>
      <c r="M788" t="inlineStr">
        <is>
          <t>1994</t>
        </is>
      </c>
      <c r="O788" t="inlineStr">
        <is>
          <t>eng</t>
        </is>
      </c>
      <c r="P788" t="inlineStr">
        <is>
          <t>miu</t>
        </is>
      </c>
      <c r="R788" t="inlineStr">
        <is>
          <t xml:space="preserve">BX </t>
        </is>
      </c>
      <c r="S788" t="n">
        <v>3</v>
      </c>
      <c r="T788" t="n">
        <v>3</v>
      </c>
      <c r="U788" t="inlineStr">
        <is>
          <t>2008-02-21</t>
        </is>
      </c>
      <c r="V788" t="inlineStr">
        <is>
          <t>2008-02-21</t>
        </is>
      </c>
      <c r="W788" t="inlineStr">
        <is>
          <t>1994-11-28</t>
        </is>
      </c>
      <c r="X788" t="inlineStr">
        <is>
          <t>1994-11-28</t>
        </is>
      </c>
      <c r="Y788" t="n">
        <v>212</v>
      </c>
      <c r="Z788" t="n">
        <v>177</v>
      </c>
      <c r="AA788" t="n">
        <v>208</v>
      </c>
      <c r="AB788" t="n">
        <v>1</v>
      </c>
      <c r="AC788" t="n">
        <v>1</v>
      </c>
      <c r="AD788" t="n">
        <v>19</v>
      </c>
      <c r="AE788" t="n">
        <v>22</v>
      </c>
      <c r="AF788" t="n">
        <v>9</v>
      </c>
      <c r="AG788" t="n">
        <v>10</v>
      </c>
      <c r="AH788" t="n">
        <v>5</v>
      </c>
      <c r="AI788" t="n">
        <v>6</v>
      </c>
      <c r="AJ788" t="n">
        <v>11</v>
      </c>
      <c r="AK788" t="n">
        <v>14</v>
      </c>
      <c r="AL788" t="n">
        <v>0</v>
      </c>
      <c r="AM788" t="n">
        <v>0</v>
      </c>
      <c r="AN788" t="n">
        <v>0</v>
      </c>
      <c r="AO788" t="n">
        <v>0</v>
      </c>
      <c r="AP788" t="inlineStr">
        <is>
          <t>No</t>
        </is>
      </c>
      <c r="AQ788" t="inlineStr">
        <is>
          <t>Yes</t>
        </is>
      </c>
      <c r="AR788">
        <f>HYPERLINK("http://catalog.hathitrust.org/Record/002938600","HathiTrust Record")</f>
        <v/>
      </c>
      <c r="AS788">
        <f>HYPERLINK("https://creighton-primo.hosted.exlibrisgroup.com/primo-explore/search?tab=default_tab&amp;search_scope=EVERYTHING&amp;vid=01CRU&amp;lang=en_US&amp;offset=0&amp;query=any,contains,991002403849702656","Catalog Record")</f>
        <v/>
      </c>
      <c r="AT788">
        <f>HYPERLINK("http://www.worldcat.org/oclc/31243467","WorldCat Record")</f>
        <v/>
      </c>
      <c r="AU788" t="inlineStr">
        <is>
          <t>890399455:eng</t>
        </is>
      </c>
      <c r="AV788" t="inlineStr">
        <is>
          <t>31243467</t>
        </is>
      </c>
      <c r="AW788" t="inlineStr">
        <is>
          <t>991002403849702656</t>
        </is>
      </c>
      <c r="AX788" t="inlineStr">
        <is>
          <t>991002403849702656</t>
        </is>
      </c>
      <c r="AY788" t="inlineStr">
        <is>
          <t>2272256290002656</t>
        </is>
      </c>
      <c r="AZ788" t="inlineStr">
        <is>
          <t>BOOK</t>
        </is>
      </c>
      <c r="BB788" t="inlineStr">
        <is>
          <t>9780802808233</t>
        </is>
      </c>
      <c r="BC788" t="inlineStr">
        <is>
          <t>32285001959872</t>
        </is>
      </c>
      <c r="BD788" t="inlineStr">
        <is>
          <t>893804578</t>
        </is>
      </c>
    </row>
    <row r="789">
      <c r="A789" t="inlineStr">
        <is>
          <t>No</t>
        </is>
      </c>
      <c r="B789" t="inlineStr">
        <is>
          <t>BX1795.W67 A44 2000</t>
        </is>
      </c>
      <c r="C789" t="inlineStr">
        <is>
          <t>0                      BX 1795000W  67                 A  44          2000</t>
        </is>
      </c>
      <c r="D789" t="inlineStr">
        <is>
          <t>Loving your job, finding your passion : work and the spiritual life / Joseph G. Allegretti.</t>
        </is>
      </c>
      <c r="F789" t="inlineStr">
        <is>
          <t>No</t>
        </is>
      </c>
      <c r="G789" t="inlineStr">
        <is>
          <t>1</t>
        </is>
      </c>
      <c r="H789" t="inlineStr">
        <is>
          <t>No</t>
        </is>
      </c>
      <c r="I789" t="inlineStr">
        <is>
          <t>No</t>
        </is>
      </c>
      <c r="J789" t="inlineStr">
        <is>
          <t>0</t>
        </is>
      </c>
      <c r="K789" t="inlineStr">
        <is>
          <t>Allegretti, Joseph G., 1952-</t>
        </is>
      </c>
      <c r="L789" t="inlineStr">
        <is>
          <t>New York : Paulist Press, c2000.</t>
        </is>
      </c>
      <c r="M789" t="inlineStr">
        <is>
          <t>2000</t>
        </is>
      </c>
      <c r="O789" t="inlineStr">
        <is>
          <t>eng</t>
        </is>
      </c>
      <c r="P789" t="inlineStr">
        <is>
          <t>nyu</t>
        </is>
      </c>
      <c r="R789" t="inlineStr">
        <is>
          <t xml:space="preserve">BX </t>
        </is>
      </c>
      <c r="S789" t="n">
        <v>2</v>
      </c>
      <c r="T789" t="n">
        <v>2</v>
      </c>
      <c r="U789" t="inlineStr">
        <is>
          <t>2008-06-26</t>
        </is>
      </c>
      <c r="V789" t="inlineStr">
        <is>
          <t>2008-06-26</t>
        </is>
      </c>
      <c r="W789" t="inlineStr">
        <is>
          <t>2005-01-24</t>
        </is>
      </c>
      <c r="X789" t="inlineStr">
        <is>
          <t>2005-01-24</t>
        </is>
      </c>
      <c r="Y789" t="n">
        <v>103</v>
      </c>
      <c r="Z789" t="n">
        <v>94</v>
      </c>
      <c r="AA789" t="n">
        <v>100</v>
      </c>
      <c r="AB789" t="n">
        <v>2</v>
      </c>
      <c r="AC789" t="n">
        <v>2</v>
      </c>
      <c r="AD789" t="n">
        <v>10</v>
      </c>
      <c r="AE789" t="n">
        <v>10</v>
      </c>
      <c r="AF789" t="n">
        <v>2</v>
      </c>
      <c r="AG789" t="n">
        <v>2</v>
      </c>
      <c r="AH789" t="n">
        <v>4</v>
      </c>
      <c r="AI789" t="n">
        <v>4</v>
      </c>
      <c r="AJ789" t="n">
        <v>6</v>
      </c>
      <c r="AK789" t="n">
        <v>6</v>
      </c>
      <c r="AL789" t="n">
        <v>1</v>
      </c>
      <c r="AM789" t="n">
        <v>1</v>
      </c>
      <c r="AN789" t="n">
        <v>0</v>
      </c>
      <c r="AO789" t="n">
        <v>0</v>
      </c>
      <c r="AP789" t="inlineStr">
        <is>
          <t>No</t>
        </is>
      </c>
      <c r="AQ789" t="inlineStr">
        <is>
          <t>No</t>
        </is>
      </c>
      <c r="AS789">
        <f>HYPERLINK("https://creighton-primo.hosted.exlibrisgroup.com/primo-explore/search?tab=default_tab&amp;search_scope=EVERYTHING&amp;vid=01CRU&amp;lang=en_US&amp;offset=0&amp;query=any,contains,991004453539702656","Catalog Record")</f>
        <v/>
      </c>
      <c r="AT789">
        <f>HYPERLINK("http://www.worldcat.org/oclc/43109896","WorldCat Record")</f>
        <v/>
      </c>
      <c r="AU789" t="inlineStr">
        <is>
          <t>4732340643:eng</t>
        </is>
      </c>
      <c r="AV789" t="inlineStr">
        <is>
          <t>43109896</t>
        </is>
      </c>
      <c r="AW789" t="inlineStr">
        <is>
          <t>991004453539702656</t>
        </is>
      </c>
      <c r="AX789" t="inlineStr">
        <is>
          <t>991004453539702656</t>
        </is>
      </c>
      <c r="AY789" t="inlineStr">
        <is>
          <t>2267977670002656</t>
        </is>
      </c>
      <c r="AZ789" t="inlineStr">
        <is>
          <t>BOOK</t>
        </is>
      </c>
      <c r="BB789" t="inlineStr">
        <is>
          <t>9780809139392</t>
        </is>
      </c>
      <c r="BC789" t="inlineStr">
        <is>
          <t>32285005022263</t>
        </is>
      </c>
      <c r="BD789" t="inlineStr">
        <is>
          <t>893624752</t>
        </is>
      </c>
    </row>
    <row r="790">
      <c r="A790" t="inlineStr">
        <is>
          <t>No</t>
        </is>
      </c>
      <c r="B790" t="inlineStr">
        <is>
          <t>BX1795.W67 V47 1997</t>
        </is>
      </c>
      <c r="C790" t="inlineStr">
        <is>
          <t>0                      BX 1795000W  67                 V  47          1997</t>
        </is>
      </c>
      <c r="D790" t="inlineStr">
        <is>
          <t>Friend of the soul : a Benedictine spirituality of work / Norvene Vest.</t>
        </is>
      </c>
      <c r="F790" t="inlineStr">
        <is>
          <t>No</t>
        </is>
      </c>
      <c r="G790" t="inlineStr">
        <is>
          <t>1</t>
        </is>
      </c>
      <c r="H790" t="inlineStr">
        <is>
          <t>No</t>
        </is>
      </c>
      <c r="I790" t="inlineStr">
        <is>
          <t>No</t>
        </is>
      </c>
      <c r="J790" t="inlineStr">
        <is>
          <t>0</t>
        </is>
      </c>
      <c r="K790" t="inlineStr">
        <is>
          <t>Vest, Norvene.</t>
        </is>
      </c>
      <c r="L790" t="inlineStr">
        <is>
          <t>Cambridge, Mass. : Cowley Publications, c1997.</t>
        </is>
      </c>
      <c r="M790" t="inlineStr">
        <is>
          <t>1997</t>
        </is>
      </c>
      <c r="O790" t="inlineStr">
        <is>
          <t>eng</t>
        </is>
      </c>
      <c r="P790" t="inlineStr">
        <is>
          <t>mau</t>
        </is>
      </c>
      <c r="R790" t="inlineStr">
        <is>
          <t xml:space="preserve">BX </t>
        </is>
      </c>
      <c r="S790" t="n">
        <v>3</v>
      </c>
      <c r="T790" t="n">
        <v>3</v>
      </c>
      <c r="U790" t="inlineStr">
        <is>
          <t>2003-02-18</t>
        </is>
      </c>
      <c r="V790" t="inlineStr">
        <is>
          <t>2003-02-18</t>
        </is>
      </c>
      <c r="W790" t="inlineStr">
        <is>
          <t>1997-06-30</t>
        </is>
      </c>
      <c r="X790" t="inlineStr">
        <is>
          <t>1997-06-30</t>
        </is>
      </c>
      <c r="Y790" t="n">
        <v>93</v>
      </c>
      <c r="Z790" t="n">
        <v>80</v>
      </c>
      <c r="AA790" t="n">
        <v>98</v>
      </c>
      <c r="AB790" t="n">
        <v>1</v>
      </c>
      <c r="AC790" t="n">
        <v>1</v>
      </c>
      <c r="AD790" t="n">
        <v>4</v>
      </c>
      <c r="AE790" t="n">
        <v>5</v>
      </c>
      <c r="AF790" t="n">
        <v>1</v>
      </c>
      <c r="AG790" t="n">
        <v>2</v>
      </c>
      <c r="AH790" t="n">
        <v>2</v>
      </c>
      <c r="AI790" t="n">
        <v>3</v>
      </c>
      <c r="AJ790" t="n">
        <v>1</v>
      </c>
      <c r="AK790" t="n">
        <v>1</v>
      </c>
      <c r="AL790" t="n">
        <v>0</v>
      </c>
      <c r="AM790" t="n">
        <v>0</v>
      </c>
      <c r="AN790" t="n">
        <v>0</v>
      </c>
      <c r="AO790" t="n">
        <v>0</v>
      </c>
      <c r="AP790" t="inlineStr">
        <is>
          <t>No</t>
        </is>
      </c>
      <c r="AQ790" t="inlineStr">
        <is>
          <t>No</t>
        </is>
      </c>
      <c r="AS790">
        <f>HYPERLINK("https://creighton-primo.hosted.exlibrisgroup.com/primo-explore/search?tab=default_tab&amp;search_scope=EVERYTHING&amp;vid=01CRU&amp;lang=en_US&amp;offset=0&amp;query=any,contains,991002710729702656","Catalog Record")</f>
        <v/>
      </c>
      <c r="AT790">
        <f>HYPERLINK("http://www.worldcat.org/oclc/35548824","WorldCat Record")</f>
        <v/>
      </c>
      <c r="AU790" t="inlineStr">
        <is>
          <t>1042368986:eng</t>
        </is>
      </c>
      <c r="AV790" t="inlineStr">
        <is>
          <t>35548824</t>
        </is>
      </c>
      <c r="AW790" t="inlineStr">
        <is>
          <t>991002710729702656</t>
        </is>
      </c>
      <c r="AX790" t="inlineStr">
        <is>
          <t>991002710729702656</t>
        </is>
      </c>
      <c r="AY790" t="inlineStr">
        <is>
          <t>2271712790002656</t>
        </is>
      </c>
      <c r="AZ790" t="inlineStr">
        <is>
          <t>BOOK</t>
        </is>
      </c>
      <c r="BB790" t="inlineStr">
        <is>
          <t>9781561011384</t>
        </is>
      </c>
      <c r="BC790" t="inlineStr">
        <is>
          <t>32285002754082</t>
        </is>
      </c>
      <c r="BD790" t="inlineStr">
        <is>
          <t>893721588</t>
        </is>
      </c>
    </row>
    <row r="791">
      <c r="A791" t="inlineStr">
        <is>
          <t>No</t>
        </is>
      </c>
      <c r="B791" t="inlineStr">
        <is>
          <t>BX1801 .H8</t>
        </is>
      </c>
      <c r="C791" t="inlineStr">
        <is>
          <t>0                      BX 1801000H  8</t>
        </is>
      </c>
      <c r="D791" t="inlineStr">
        <is>
          <t>The Vatican : the center of government of the Catholic world / by Rt. Rev. Edmond Canon Hugues de Ragnau.</t>
        </is>
      </c>
      <c r="F791" t="inlineStr">
        <is>
          <t>No</t>
        </is>
      </c>
      <c r="G791" t="inlineStr">
        <is>
          <t>1</t>
        </is>
      </c>
      <c r="H791" t="inlineStr">
        <is>
          <t>No</t>
        </is>
      </c>
      <c r="I791" t="inlineStr">
        <is>
          <t>No</t>
        </is>
      </c>
      <c r="J791" t="inlineStr">
        <is>
          <t>0</t>
        </is>
      </c>
      <c r="K791" t="inlineStr">
        <is>
          <t>Hugues de Ragnau, Edmond, 1845-1916.</t>
        </is>
      </c>
      <c r="L791" t="inlineStr">
        <is>
          <t>New York and London : D. Appleton and company, 1913.</t>
        </is>
      </c>
      <c r="M791" t="inlineStr">
        <is>
          <t>1913</t>
        </is>
      </c>
      <c r="O791" t="inlineStr">
        <is>
          <t>eng</t>
        </is>
      </c>
      <c r="P791" t="inlineStr">
        <is>
          <t>___</t>
        </is>
      </c>
      <c r="R791" t="inlineStr">
        <is>
          <t xml:space="preserve">BX </t>
        </is>
      </c>
      <c r="S791" t="n">
        <v>2</v>
      </c>
      <c r="T791" t="n">
        <v>2</v>
      </c>
      <c r="U791" t="inlineStr">
        <is>
          <t>1993-09-20</t>
        </is>
      </c>
      <c r="V791" t="inlineStr">
        <is>
          <t>1993-09-20</t>
        </is>
      </c>
      <c r="W791" t="inlineStr">
        <is>
          <t>1991-05-31</t>
        </is>
      </c>
      <c r="X791" t="inlineStr">
        <is>
          <t>1991-05-31</t>
        </is>
      </c>
      <c r="Y791" t="n">
        <v>117</v>
      </c>
      <c r="Z791" t="n">
        <v>101</v>
      </c>
      <c r="AA791" t="n">
        <v>255</v>
      </c>
      <c r="AB791" t="n">
        <v>2</v>
      </c>
      <c r="AC791" t="n">
        <v>4</v>
      </c>
      <c r="AD791" t="n">
        <v>12</v>
      </c>
      <c r="AE791" t="n">
        <v>23</v>
      </c>
      <c r="AF791" t="n">
        <v>2</v>
      </c>
      <c r="AG791" t="n">
        <v>5</v>
      </c>
      <c r="AH791" t="n">
        <v>2</v>
      </c>
      <c r="AI791" t="n">
        <v>4</v>
      </c>
      <c r="AJ791" t="n">
        <v>10</v>
      </c>
      <c r="AK791" t="n">
        <v>10</v>
      </c>
      <c r="AL791" t="n">
        <v>1</v>
      </c>
      <c r="AM791" t="n">
        <v>2</v>
      </c>
      <c r="AN791" t="n">
        <v>0</v>
      </c>
      <c r="AO791" t="n">
        <v>6</v>
      </c>
      <c r="AP791" t="inlineStr">
        <is>
          <t>Yes</t>
        </is>
      </c>
      <c r="AQ791" t="inlineStr">
        <is>
          <t>No</t>
        </is>
      </c>
      <c r="AR791">
        <f>HYPERLINK("http://catalog.hathitrust.org/Record/001416679","HathiTrust Record")</f>
        <v/>
      </c>
      <c r="AS791">
        <f>HYPERLINK("https://creighton-primo.hosted.exlibrisgroup.com/primo-explore/search?tab=default_tab&amp;search_scope=EVERYTHING&amp;vid=01CRU&amp;lang=en_US&amp;offset=0&amp;query=any,contains,991003758099702656","Catalog Record")</f>
        <v/>
      </c>
      <c r="AT791">
        <f>HYPERLINK("http://www.worldcat.org/oclc/1441560","WorldCat Record")</f>
        <v/>
      </c>
      <c r="AU791" t="inlineStr">
        <is>
          <t>431743672:eng</t>
        </is>
      </c>
      <c r="AV791" t="inlineStr">
        <is>
          <t>1441560</t>
        </is>
      </c>
      <c r="AW791" t="inlineStr">
        <is>
          <t>991003758099702656</t>
        </is>
      </c>
      <c r="AX791" t="inlineStr">
        <is>
          <t>991003758099702656</t>
        </is>
      </c>
      <c r="AY791" t="inlineStr">
        <is>
          <t>2257553190002656</t>
        </is>
      </c>
      <c r="AZ791" t="inlineStr">
        <is>
          <t>BOOK</t>
        </is>
      </c>
      <c r="BC791" t="inlineStr">
        <is>
          <t>32285000665488</t>
        </is>
      </c>
      <c r="BD791" t="inlineStr">
        <is>
          <t>893875121</t>
        </is>
      </c>
    </row>
    <row r="792">
      <c r="A792" t="inlineStr">
        <is>
          <t>No</t>
        </is>
      </c>
      <c r="B792" t="inlineStr">
        <is>
          <t>BX1801 .N445 1955</t>
        </is>
      </c>
      <c r="C792" t="inlineStr">
        <is>
          <t>0                      BX 1801000N  445         1955</t>
        </is>
      </c>
      <c r="D792" t="inlineStr">
        <is>
          <t>The Vatican : its organization, customs, and way of life / by Jean Neuvecelle. Translated from the French by George Libaire.</t>
        </is>
      </c>
      <c r="F792" t="inlineStr">
        <is>
          <t>No</t>
        </is>
      </c>
      <c r="G792" t="inlineStr">
        <is>
          <t>1</t>
        </is>
      </c>
      <c r="H792" t="inlineStr">
        <is>
          <t>No</t>
        </is>
      </c>
      <c r="I792" t="inlineStr">
        <is>
          <t>No</t>
        </is>
      </c>
      <c r="J792" t="inlineStr">
        <is>
          <t>0</t>
        </is>
      </c>
      <c r="K792" t="inlineStr">
        <is>
          <t>Neuvecelle, Jean, 1912-</t>
        </is>
      </c>
      <c r="L792" t="inlineStr">
        <is>
          <t>New York : Criterion Books, [1955]</t>
        </is>
      </c>
      <c r="M792" t="inlineStr">
        <is>
          <t>1955</t>
        </is>
      </c>
      <c r="O792" t="inlineStr">
        <is>
          <t>eng</t>
        </is>
      </c>
      <c r="P792" t="inlineStr">
        <is>
          <t>nyu</t>
        </is>
      </c>
      <c r="R792" t="inlineStr">
        <is>
          <t xml:space="preserve">BX </t>
        </is>
      </c>
      <c r="S792" t="n">
        <v>1</v>
      </c>
      <c r="T792" t="n">
        <v>1</v>
      </c>
      <c r="U792" t="inlineStr">
        <is>
          <t>2010-09-23</t>
        </is>
      </c>
      <c r="V792" t="inlineStr">
        <is>
          <t>2010-09-23</t>
        </is>
      </c>
      <c r="W792" t="inlineStr">
        <is>
          <t>1991-06-25</t>
        </is>
      </c>
      <c r="X792" t="inlineStr">
        <is>
          <t>1991-06-25</t>
        </is>
      </c>
      <c r="Y792" t="n">
        <v>469</v>
      </c>
      <c r="Z792" t="n">
        <v>441</v>
      </c>
      <c r="AA792" t="n">
        <v>450</v>
      </c>
      <c r="AB792" t="n">
        <v>3</v>
      </c>
      <c r="AC792" t="n">
        <v>3</v>
      </c>
      <c r="AD792" t="n">
        <v>37</v>
      </c>
      <c r="AE792" t="n">
        <v>37</v>
      </c>
      <c r="AF792" t="n">
        <v>15</v>
      </c>
      <c r="AG792" t="n">
        <v>15</v>
      </c>
      <c r="AH792" t="n">
        <v>9</v>
      </c>
      <c r="AI792" t="n">
        <v>9</v>
      </c>
      <c r="AJ792" t="n">
        <v>25</v>
      </c>
      <c r="AK792" t="n">
        <v>25</v>
      </c>
      <c r="AL792" t="n">
        <v>1</v>
      </c>
      <c r="AM792" t="n">
        <v>1</v>
      </c>
      <c r="AN792" t="n">
        <v>0</v>
      </c>
      <c r="AO792" t="n">
        <v>0</v>
      </c>
      <c r="AP792" t="inlineStr">
        <is>
          <t>No</t>
        </is>
      </c>
      <c r="AQ792" t="inlineStr">
        <is>
          <t>Yes</t>
        </is>
      </c>
      <c r="AR792">
        <f>HYPERLINK("http://catalog.hathitrust.org/Record/000188085","HathiTrust Record")</f>
        <v/>
      </c>
      <c r="AS792">
        <f>HYPERLINK("https://creighton-primo.hosted.exlibrisgroup.com/primo-explore/search?tab=default_tab&amp;search_scope=EVERYTHING&amp;vid=01CRU&amp;lang=en_US&amp;offset=0&amp;query=any,contains,991004888629702656","Catalog Record")</f>
        <v/>
      </c>
      <c r="AT792">
        <f>HYPERLINK("http://www.worldcat.org/oclc/5848098","WorldCat Record")</f>
        <v/>
      </c>
      <c r="AU792" t="inlineStr">
        <is>
          <t>8105025:eng</t>
        </is>
      </c>
      <c r="AV792" t="inlineStr">
        <is>
          <t>5848098</t>
        </is>
      </c>
      <c r="AW792" t="inlineStr">
        <is>
          <t>991004888629702656</t>
        </is>
      </c>
      <c r="AX792" t="inlineStr">
        <is>
          <t>991004888629702656</t>
        </is>
      </c>
      <c r="AY792" t="inlineStr">
        <is>
          <t>2256192920002656</t>
        </is>
      </c>
      <c r="AZ792" t="inlineStr">
        <is>
          <t>BOOK</t>
        </is>
      </c>
      <c r="BC792" t="inlineStr">
        <is>
          <t>32285000665637</t>
        </is>
      </c>
      <c r="BD792" t="inlineStr">
        <is>
          <t>893430584</t>
        </is>
      </c>
    </row>
    <row r="793">
      <c r="A793" t="inlineStr">
        <is>
          <t>No</t>
        </is>
      </c>
      <c r="B793" t="inlineStr">
        <is>
          <t>BX1802 .C613</t>
        </is>
      </c>
      <c r="C793" t="inlineStr">
        <is>
          <t>0                      BX 1802000C  613</t>
        </is>
      </c>
      <c r="D793" t="inlineStr">
        <is>
          <t>Power and poverty in the church / [by] Yves Congar. Translated by Jennifer Nicholson.</t>
        </is>
      </c>
      <c r="F793" t="inlineStr">
        <is>
          <t>No</t>
        </is>
      </c>
      <c r="G793" t="inlineStr">
        <is>
          <t>1</t>
        </is>
      </c>
      <c r="H793" t="inlineStr">
        <is>
          <t>No</t>
        </is>
      </c>
      <c r="I793" t="inlineStr">
        <is>
          <t>No</t>
        </is>
      </c>
      <c r="J793" t="inlineStr">
        <is>
          <t>0</t>
        </is>
      </c>
      <c r="K793" t="inlineStr">
        <is>
          <t>Congar, Yves, 1904-1995.</t>
        </is>
      </c>
      <c r="L793" t="inlineStr">
        <is>
          <t>Baltimore, Helicon, 1964.</t>
        </is>
      </c>
      <c r="M793" t="inlineStr">
        <is>
          <t>1964</t>
        </is>
      </c>
      <c r="O793" t="inlineStr">
        <is>
          <t>eng</t>
        </is>
      </c>
      <c r="P793" t="inlineStr">
        <is>
          <t>mdu</t>
        </is>
      </c>
      <c r="R793" t="inlineStr">
        <is>
          <t xml:space="preserve">BX </t>
        </is>
      </c>
      <c r="S793" t="n">
        <v>2</v>
      </c>
      <c r="T793" t="n">
        <v>2</v>
      </c>
      <c r="U793" t="inlineStr">
        <is>
          <t>2002-10-25</t>
        </is>
      </c>
      <c r="V793" t="inlineStr">
        <is>
          <t>2002-10-25</t>
        </is>
      </c>
      <c r="W793" t="inlineStr">
        <is>
          <t>1991-06-25</t>
        </is>
      </c>
      <c r="X793" t="inlineStr">
        <is>
          <t>1991-06-25</t>
        </is>
      </c>
      <c r="Y793" t="n">
        <v>304</v>
      </c>
      <c r="Z793" t="n">
        <v>280</v>
      </c>
      <c r="AA793" t="n">
        <v>325</v>
      </c>
      <c r="AB793" t="n">
        <v>4</v>
      </c>
      <c r="AC793" t="n">
        <v>4</v>
      </c>
      <c r="AD793" t="n">
        <v>35</v>
      </c>
      <c r="AE793" t="n">
        <v>35</v>
      </c>
      <c r="AF793" t="n">
        <v>13</v>
      </c>
      <c r="AG793" t="n">
        <v>13</v>
      </c>
      <c r="AH793" t="n">
        <v>8</v>
      </c>
      <c r="AI793" t="n">
        <v>8</v>
      </c>
      <c r="AJ793" t="n">
        <v>25</v>
      </c>
      <c r="AK793" t="n">
        <v>25</v>
      </c>
      <c r="AL793" t="n">
        <v>1</v>
      </c>
      <c r="AM793" t="n">
        <v>1</v>
      </c>
      <c r="AN793" t="n">
        <v>0</v>
      </c>
      <c r="AO793" t="n">
        <v>0</v>
      </c>
      <c r="AP793" t="inlineStr">
        <is>
          <t>No</t>
        </is>
      </c>
      <c r="AQ793" t="inlineStr">
        <is>
          <t>No</t>
        </is>
      </c>
      <c r="AS793">
        <f>HYPERLINK("https://creighton-primo.hosted.exlibrisgroup.com/primo-explore/search?tab=default_tab&amp;search_scope=EVERYTHING&amp;vid=01CRU&amp;lang=en_US&amp;offset=0&amp;query=any,contains,991003515739702656","Catalog Record")</f>
        <v/>
      </c>
      <c r="AT793">
        <f>HYPERLINK("http://www.worldcat.org/oclc/1073163","WorldCat Record")</f>
        <v/>
      </c>
      <c r="AU793" t="inlineStr">
        <is>
          <t>149415194:eng</t>
        </is>
      </c>
      <c r="AV793" t="inlineStr">
        <is>
          <t>1073163</t>
        </is>
      </c>
      <c r="AW793" t="inlineStr">
        <is>
          <t>991003515739702656</t>
        </is>
      </c>
      <c r="AX793" t="inlineStr">
        <is>
          <t>991003515739702656</t>
        </is>
      </c>
      <c r="AY793" t="inlineStr">
        <is>
          <t>2256643120002656</t>
        </is>
      </c>
      <c r="AZ793" t="inlineStr">
        <is>
          <t>BOOK</t>
        </is>
      </c>
      <c r="BC793" t="inlineStr">
        <is>
          <t>32285000665652</t>
        </is>
      </c>
      <c r="BD793" t="inlineStr">
        <is>
          <t>893435069</t>
        </is>
      </c>
    </row>
    <row r="794">
      <c r="A794" t="inlineStr">
        <is>
          <t>No</t>
        </is>
      </c>
      <c r="B794" t="inlineStr">
        <is>
          <t>BX1802 .L34413 2000</t>
        </is>
      </c>
      <c r="C794" t="inlineStr">
        <is>
          <t>0                      BX 1802000L  34413       2000</t>
        </is>
      </c>
      <c r="D794" t="inlineStr">
        <is>
          <t>Imagining the Catholic Church : structured communion in the spirit / Ghislain Lafont ; translated by John J. Burkhard ; foreword by Rembert G. Weakland.</t>
        </is>
      </c>
      <c r="F794" t="inlineStr">
        <is>
          <t>No</t>
        </is>
      </c>
      <c r="G794" t="inlineStr">
        <is>
          <t>1</t>
        </is>
      </c>
      <c r="H794" t="inlineStr">
        <is>
          <t>No</t>
        </is>
      </c>
      <c r="I794" t="inlineStr">
        <is>
          <t>No</t>
        </is>
      </c>
      <c r="J794" t="inlineStr">
        <is>
          <t>0</t>
        </is>
      </c>
      <c r="K794" t="inlineStr">
        <is>
          <t>Lafont, Ghislain.</t>
        </is>
      </c>
      <c r="L794" t="inlineStr">
        <is>
          <t>Collegeville, Minn. : Liturgical Press, c2000.</t>
        </is>
      </c>
      <c r="M794" t="inlineStr">
        <is>
          <t>2000</t>
        </is>
      </c>
      <c r="O794" t="inlineStr">
        <is>
          <t>eng</t>
        </is>
      </c>
      <c r="P794" t="inlineStr">
        <is>
          <t>mnu</t>
        </is>
      </c>
      <c r="R794" t="inlineStr">
        <is>
          <t xml:space="preserve">BX </t>
        </is>
      </c>
      <c r="S794" t="n">
        <v>3</v>
      </c>
      <c r="T794" t="n">
        <v>3</v>
      </c>
      <c r="U794" t="inlineStr">
        <is>
          <t>2010-03-13</t>
        </is>
      </c>
      <c r="V794" t="inlineStr">
        <is>
          <t>2010-03-13</t>
        </is>
      </c>
      <c r="W794" t="inlineStr">
        <is>
          <t>2001-08-22</t>
        </is>
      </c>
      <c r="X794" t="inlineStr">
        <is>
          <t>2001-08-22</t>
        </is>
      </c>
      <c r="Y794" t="n">
        <v>164</v>
      </c>
      <c r="Z794" t="n">
        <v>133</v>
      </c>
      <c r="AA794" t="n">
        <v>133</v>
      </c>
      <c r="AB794" t="n">
        <v>1</v>
      </c>
      <c r="AC794" t="n">
        <v>1</v>
      </c>
      <c r="AD794" t="n">
        <v>20</v>
      </c>
      <c r="AE794" t="n">
        <v>20</v>
      </c>
      <c r="AF794" t="n">
        <v>5</v>
      </c>
      <c r="AG794" t="n">
        <v>5</v>
      </c>
      <c r="AH794" t="n">
        <v>6</v>
      </c>
      <c r="AI794" t="n">
        <v>6</v>
      </c>
      <c r="AJ794" t="n">
        <v>14</v>
      </c>
      <c r="AK794" t="n">
        <v>14</v>
      </c>
      <c r="AL794" t="n">
        <v>0</v>
      </c>
      <c r="AM794" t="n">
        <v>0</v>
      </c>
      <c r="AN794" t="n">
        <v>0</v>
      </c>
      <c r="AO794" t="n">
        <v>0</v>
      </c>
      <c r="AP794" t="inlineStr">
        <is>
          <t>No</t>
        </is>
      </c>
      <c r="AQ794" t="inlineStr">
        <is>
          <t>No</t>
        </is>
      </c>
      <c r="AS794">
        <f>HYPERLINK("https://creighton-primo.hosted.exlibrisgroup.com/primo-explore/search?tab=default_tab&amp;search_scope=EVERYTHING&amp;vid=01CRU&amp;lang=en_US&amp;offset=0&amp;query=any,contains,991003576999702656","Catalog Record")</f>
        <v/>
      </c>
      <c r="AT794">
        <f>HYPERLINK("http://www.worldcat.org/oclc/44578965","WorldCat Record")</f>
        <v/>
      </c>
      <c r="AU794" t="inlineStr">
        <is>
          <t>51476:eng</t>
        </is>
      </c>
      <c r="AV794" t="inlineStr">
        <is>
          <t>44578965</t>
        </is>
      </c>
      <c r="AW794" t="inlineStr">
        <is>
          <t>991003576999702656</t>
        </is>
      </c>
      <c r="AX794" t="inlineStr">
        <is>
          <t>991003576999702656</t>
        </is>
      </c>
      <c r="AY794" t="inlineStr">
        <is>
          <t>2267698720002656</t>
        </is>
      </c>
      <c r="AZ794" t="inlineStr">
        <is>
          <t>BOOK</t>
        </is>
      </c>
      <c r="BB794" t="inlineStr">
        <is>
          <t>9780814659465</t>
        </is>
      </c>
      <c r="BC794" t="inlineStr">
        <is>
          <t>32285004379425</t>
        </is>
      </c>
      <c r="BD794" t="inlineStr">
        <is>
          <t>893228180</t>
        </is>
      </c>
    </row>
    <row r="795">
      <c r="A795" t="inlineStr">
        <is>
          <t>No</t>
        </is>
      </c>
      <c r="B795" t="inlineStr">
        <is>
          <t>BX1802 .M12 1987</t>
        </is>
      </c>
      <c r="C795" t="inlineStr">
        <is>
          <t>0                      BX 1802000M  12          1987</t>
        </is>
      </c>
      <c r="D795" t="inlineStr">
        <is>
          <t>New experiment in democracy : the challenge for American Catholicism / Dennis P. McCann.</t>
        </is>
      </c>
      <c r="F795" t="inlineStr">
        <is>
          <t>No</t>
        </is>
      </c>
      <c r="G795" t="inlineStr">
        <is>
          <t>1</t>
        </is>
      </c>
      <c r="H795" t="inlineStr">
        <is>
          <t>No</t>
        </is>
      </c>
      <c r="I795" t="inlineStr">
        <is>
          <t>No</t>
        </is>
      </c>
      <c r="J795" t="inlineStr">
        <is>
          <t>0</t>
        </is>
      </c>
      <c r="K795" t="inlineStr">
        <is>
          <t>McCann, Dennis.</t>
        </is>
      </c>
      <c r="L795" t="inlineStr">
        <is>
          <t>Kansas City, MO : Sheed &amp; Ward, 1987.</t>
        </is>
      </c>
      <c r="M795" t="inlineStr">
        <is>
          <t>1987</t>
        </is>
      </c>
      <c r="O795" t="inlineStr">
        <is>
          <t>eng</t>
        </is>
      </c>
      <c r="P795" t="inlineStr">
        <is>
          <t>mou</t>
        </is>
      </c>
      <c r="R795" t="inlineStr">
        <is>
          <t xml:space="preserve">BX </t>
        </is>
      </c>
      <c r="S795" t="n">
        <v>6</v>
      </c>
      <c r="T795" t="n">
        <v>6</v>
      </c>
      <c r="U795" t="inlineStr">
        <is>
          <t>2000-04-11</t>
        </is>
      </c>
      <c r="V795" t="inlineStr">
        <is>
          <t>2000-04-11</t>
        </is>
      </c>
      <c r="W795" t="inlineStr">
        <is>
          <t>1991-06-25</t>
        </is>
      </c>
      <c r="X795" t="inlineStr">
        <is>
          <t>1991-06-25</t>
        </is>
      </c>
      <c r="Y795" t="n">
        <v>191</v>
      </c>
      <c r="Z795" t="n">
        <v>175</v>
      </c>
      <c r="AA795" t="n">
        <v>182</v>
      </c>
      <c r="AB795" t="n">
        <v>2</v>
      </c>
      <c r="AC795" t="n">
        <v>2</v>
      </c>
      <c r="AD795" t="n">
        <v>25</v>
      </c>
      <c r="AE795" t="n">
        <v>25</v>
      </c>
      <c r="AF795" t="n">
        <v>9</v>
      </c>
      <c r="AG795" t="n">
        <v>9</v>
      </c>
      <c r="AH795" t="n">
        <v>4</v>
      </c>
      <c r="AI795" t="n">
        <v>4</v>
      </c>
      <c r="AJ795" t="n">
        <v>17</v>
      </c>
      <c r="AK795" t="n">
        <v>17</v>
      </c>
      <c r="AL795" t="n">
        <v>1</v>
      </c>
      <c r="AM795" t="n">
        <v>1</v>
      </c>
      <c r="AN795" t="n">
        <v>0</v>
      </c>
      <c r="AO795" t="n">
        <v>0</v>
      </c>
      <c r="AP795" t="inlineStr">
        <is>
          <t>No</t>
        </is>
      </c>
      <c r="AQ795" t="inlineStr">
        <is>
          <t>Yes</t>
        </is>
      </c>
      <c r="AR795">
        <f>HYPERLINK("http://catalog.hathitrust.org/Record/000857931","HathiTrust Record")</f>
        <v/>
      </c>
      <c r="AS795">
        <f>HYPERLINK("https://creighton-primo.hosted.exlibrisgroup.com/primo-explore/search?tab=default_tab&amp;search_scope=EVERYTHING&amp;vid=01CRU&amp;lang=en_US&amp;offset=0&amp;query=any,contains,991001076949702656","Catalog Record")</f>
        <v/>
      </c>
      <c r="AT795">
        <f>HYPERLINK("http://www.worldcat.org/oclc/16068210","WorldCat Record")</f>
        <v/>
      </c>
      <c r="AU795" t="inlineStr">
        <is>
          <t>11229213:eng</t>
        </is>
      </c>
      <c r="AV795" t="inlineStr">
        <is>
          <t>16068210</t>
        </is>
      </c>
      <c r="AW795" t="inlineStr">
        <is>
          <t>991001076949702656</t>
        </is>
      </c>
      <c r="AX795" t="inlineStr">
        <is>
          <t>991001076949702656</t>
        </is>
      </c>
      <c r="AY795" t="inlineStr">
        <is>
          <t>2271272360002656</t>
        </is>
      </c>
      <c r="AZ795" t="inlineStr">
        <is>
          <t>BOOK</t>
        </is>
      </c>
      <c r="BB795" t="inlineStr">
        <is>
          <t>9781556120008</t>
        </is>
      </c>
      <c r="BC795" t="inlineStr">
        <is>
          <t>32285000665686</t>
        </is>
      </c>
      <c r="BD795" t="inlineStr">
        <is>
          <t>893243835</t>
        </is>
      </c>
    </row>
    <row r="796">
      <c r="A796" t="inlineStr">
        <is>
          <t>No</t>
        </is>
      </c>
      <c r="B796" t="inlineStr">
        <is>
          <t>BX1802 .M23</t>
        </is>
      </c>
      <c r="C796" t="inlineStr">
        <is>
          <t>0                      BX 1802000M  23</t>
        </is>
      </c>
      <c r="D796" t="inlineStr">
        <is>
          <t>Authority in the Church [by] John L. McKenzie.</t>
        </is>
      </c>
      <c r="F796" t="inlineStr">
        <is>
          <t>No</t>
        </is>
      </c>
      <c r="G796" t="inlineStr">
        <is>
          <t>1</t>
        </is>
      </c>
      <c r="H796" t="inlineStr">
        <is>
          <t>No</t>
        </is>
      </c>
      <c r="I796" t="inlineStr">
        <is>
          <t>No</t>
        </is>
      </c>
      <c r="J796" t="inlineStr">
        <is>
          <t>0</t>
        </is>
      </c>
      <c r="K796" t="inlineStr">
        <is>
          <t>McKenzie, John L.</t>
        </is>
      </c>
      <c r="L796" t="inlineStr">
        <is>
          <t>New York : Sheed and Ward [1966]</t>
        </is>
      </c>
      <c r="M796" t="inlineStr">
        <is>
          <t>1966</t>
        </is>
      </c>
      <c r="O796" t="inlineStr">
        <is>
          <t>eng</t>
        </is>
      </c>
      <c r="P796" t="inlineStr">
        <is>
          <t>nyu</t>
        </is>
      </c>
      <c r="R796" t="inlineStr">
        <is>
          <t xml:space="preserve">BX </t>
        </is>
      </c>
      <c r="S796" t="n">
        <v>5</v>
      </c>
      <c r="T796" t="n">
        <v>5</v>
      </c>
      <c r="U796" t="inlineStr">
        <is>
          <t>2002-06-05</t>
        </is>
      </c>
      <c r="V796" t="inlineStr">
        <is>
          <t>2002-06-05</t>
        </is>
      </c>
      <c r="W796" t="inlineStr">
        <is>
          <t>1991-06-25</t>
        </is>
      </c>
      <c r="X796" t="inlineStr">
        <is>
          <t>1991-06-25</t>
        </is>
      </c>
      <c r="Y796" t="n">
        <v>534</v>
      </c>
      <c r="Z796" t="n">
        <v>485</v>
      </c>
      <c r="AA796" t="n">
        <v>525</v>
      </c>
      <c r="AB796" t="n">
        <v>6</v>
      </c>
      <c r="AC796" t="n">
        <v>7</v>
      </c>
      <c r="AD796" t="n">
        <v>40</v>
      </c>
      <c r="AE796" t="n">
        <v>42</v>
      </c>
      <c r="AF796" t="n">
        <v>13</v>
      </c>
      <c r="AG796" t="n">
        <v>14</v>
      </c>
      <c r="AH796" t="n">
        <v>9</v>
      </c>
      <c r="AI796" t="n">
        <v>10</v>
      </c>
      <c r="AJ796" t="n">
        <v>27</v>
      </c>
      <c r="AK796" t="n">
        <v>27</v>
      </c>
      <c r="AL796" t="n">
        <v>3</v>
      </c>
      <c r="AM796" t="n">
        <v>4</v>
      </c>
      <c r="AN796" t="n">
        <v>1</v>
      </c>
      <c r="AO796" t="n">
        <v>1</v>
      </c>
      <c r="AP796" t="inlineStr">
        <is>
          <t>No</t>
        </is>
      </c>
      <c r="AQ796" t="inlineStr">
        <is>
          <t>Yes</t>
        </is>
      </c>
      <c r="AR796">
        <f>HYPERLINK("http://catalog.hathitrust.org/Record/001416684","HathiTrust Record")</f>
        <v/>
      </c>
      <c r="AS796">
        <f>HYPERLINK("https://creighton-primo.hosted.exlibrisgroup.com/primo-explore/search?tab=default_tab&amp;search_scope=EVERYTHING&amp;vid=01CRU&amp;lang=en_US&amp;offset=0&amp;query=any,contains,991001379659702656","Catalog Record")</f>
        <v/>
      </c>
      <c r="AT796">
        <f>HYPERLINK("http://www.worldcat.org/oclc/225899","WorldCat Record")</f>
        <v/>
      </c>
      <c r="AU796" t="inlineStr">
        <is>
          <t>1337740:eng</t>
        </is>
      </c>
      <c r="AV796" t="inlineStr">
        <is>
          <t>225899</t>
        </is>
      </c>
      <c r="AW796" t="inlineStr">
        <is>
          <t>991001379659702656</t>
        </is>
      </c>
      <c r="AX796" t="inlineStr">
        <is>
          <t>991001379659702656</t>
        </is>
      </c>
      <c r="AY796" t="inlineStr">
        <is>
          <t>2263754440002656</t>
        </is>
      </c>
      <c r="AZ796" t="inlineStr">
        <is>
          <t>BOOK</t>
        </is>
      </c>
      <c r="BC796" t="inlineStr">
        <is>
          <t>32285000665694</t>
        </is>
      </c>
      <c r="BD796" t="inlineStr">
        <is>
          <t>893238084</t>
        </is>
      </c>
    </row>
    <row r="797">
      <c r="A797" t="inlineStr">
        <is>
          <t>No</t>
        </is>
      </c>
      <c r="B797" t="inlineStr">
        <is>
          <t>BX1802 .M813 1966</t>
        </is>
      </c>
      <c r="C797" t="inlineStr">
        <is>
          <t>0                      BX 1802000M  813         1966</t>
        </is>
      </c>
      <c r="D797" t="inlineStr">
        <is>
          <t>Obedience in the church / by Alois Müller. Edited and translated by Hilda Graef.</t>
        </is>
      </c>
      <c r="F797" t="inlineStr">
        <is>
          <t>No</t>
        </is>
      </c>
      <c r="G797" t="inlineStr">
        <is>
          <t>1</t>
        </is>
      </c>
      <c r="H797" t="inlineStr">
        <is>
          <t>No</t>
        </is>
      </c>
      <c r="I797" t="inlineStr">
        <is>
          <t>No</t>
        </is>
      </c>
      <c r="J797" t="inlineStr">
        <is>
          <t>0</t>
        </is>
      </c>
      <c r="K797" t="inlineStr">
        <is>
          <t>Müller, Alois, 1924-</t>
        </is>
      </c>
      <c r="L797" t="inlineStr">
        <is>
          <t>Westminster, Md., Newman Press [1966, c1964]</t>
        </is>
      </c>
      <c r="M797" t="inlineStr">
        <is>
          <t>1966</t>
        </is>
      </c>
      <c r="O797" t="inlineStr">
        <is>
          <t>eng</t>
        </is>
      </c>
      <c r="P797" t="inlineStr">
        <is>
          <t>mdu</t>
        </is>
      </c>
      <c r="R797" t="inlineStr">
        <is>
          <t xml:space="preserve">BX </t>
        </is>
      </c>
      <c r="S797" t="n">
        <v>3</v>
      </c>
      <c r="T797" t="n">
        <v>3</v>
      </c>
      <c r="U797" t="inlineStr">
        <is>
          <t>2002-03-05</t>
        </is>
      </c>
      <c r="V797" t="inlineStr">
        <is>
          <t>2002-03-05</t>
        </is>
      </c>
      <c r="W797" t="inlineStr">
        <is>
          <t>1991-06-25</t>
        </is>
      </c>
      <c r="X797" t="inlineStr">
        <is>
          <t>1991-06-25</t>
        </is>
      </c>
      <c r="Y797" t="n">
        <v>147</v>
      </c>
      <c r="Z797" t="n">
        <v>134</v>
      </c>
      <c r="AA797" t="n">
        <v>161</v>
      </c>
      <c r="AB797" t="n">
        <v>1</v>
      </c>
      <c r="AC797" t="n">
        <v>1</v>
      </c>
      <c r="AD797" t="n">
        <v>26</v>
      </c>
      <c r="AE797" t="n">
        <v>30</v>
      </c>
      <c r="AF797" t="n">
        <v>6</v>
      </c>
      <c r="AG797" t="n">
        <v>8</v>
      </c>
      <c r="AH797" t="n">
        <v>8</v>
      </c>
      <c r="AI797" t="n">
        <v>9</v>
      </c>
      <c r="AJ797" t="n">
        <v>20</v>
      </c>
      <c r="AK797" t="n">
        <v>23</v>
      </c>
      <c r="AL797" t="n">
        <v>0</v>
      </c>
      <c r="AM797" t="n">
        <v>0</v>
      </c>
      <c r="AN797" t="n">
        <v>0</v>
      </c>
      <c r="AO797" t="n">
        <v>0</v>
      </c>
      <c r="AP797" t="inlineStr">
        <is>
          <t>No</t>
        </is>
      </c>
      <c r="AQ797" t="inlineStr">
        <is>
          <t>No</t>
        </is>
      </c>
      <c r="AS797">
        <f>HYPERLINK("https://creighton-primo.hosted.exlibrisgroup.com/primo-explore/search?tab=default_tab&amp;search_scope=EVERYTHING&amp;vid=01CRU&amp;lang=en_US&amp;offset=0&amp;query=any,contains,991003384969702656","Catalog Record")</f>
        <v/>
      </c>
      <c r="AT797">
        <f>HYPERLINK("http://www.worldcat.org/oclc/922053","WorldCat Record")</f>
        <v/>
      </c>
      <c r="AU797" t="inlineStr">
        <is>
          <t>355949611:eng</t>
        </is>
      </c>
      <c r="AV797" t="inlineStr">
        <is>
          <t>922053</t>
        </is>
      </c>
      <c r="AW797" t="inlineStr">
        <is>
          <t>991003384969702656</t>
        </is>
      </c>
      <c r="AX797" t="inlineStr">
        <is>
          <t>991003384969702656</t>
        </is>
      </c>
      <c r="AY797" t="inlineStr">
        <is>
          <t>2269742860002656</t>
        </is>
      </c>
      <c r="AZ797" t="inlineStr">
        <is>
          <t>BOOK</t>
        </is>
      </c>
      <c r="BC797" t="inlineStr">
        <is>
          <t>32285000665702</t>
        </is>
      </c>
      <c r="BD797" t="inlineStr">
        <is>
          <t>893511903</t>
        </is>
      </c>
    </row>
    <row r="798">
      <c r="A798" t="inlineStr">
        <is>
          <t>No</t>
        </is>
      </c>
      <c r="B798" t="inlineStr">
        <is>
          <t>BX1802 .O5</t>
        </is>
      </c>
      <c r="C798" t="inlineStr">
        <is>
          <t>0                      BX 1802000O  5</t>
        </is>
      </c>
      <c r="D798" t="inlineStr">
        <is>
          <t>The Once &amp; future church, a communion of freedom : studies on unity &amp; collegiality in the church / editor: James A. Coriden. Contributors: William W. Bassett [and others]</t>
        </is>
      </c>
      <c r="F798" t="inlineStr">
        <is>
          <t>No</t>
        </is>
      </c>
      <c r="G798" t="inlineStr">
        <is>
          <t>1</t>
        </is>
      </c>
      <c r="H798" t="inlineStr">
        <is>
          <t>No</t>
        </is>
      </c>
      <c r="I798" t="inlineStr">
        <is>
          <t>No</t>
        </is>
      </c>
      <c r="J798" t="inlineStr">
        <is>
          <t>0</t>
        </is>
      </c>
      <c r="L798" t="inlineStr">
        <is>
          <t>Staten Island, N.Y., Alba House [1971]</t>
        </is>
      </c>
      <c r="M798" t="inlineStr">
        <is>
          <t>1971</t>
        </is>
      </c>
      <c r="O798" t="inlineStr">
        <is>
          <t>eng</t>
        </is>
      </c>
      <c r="P798" t="inlineStr">
        <is>
          <t>nyu</t>
        </is>
      </c>
      <c r="R798" t="inlineStr">
        <is>
          <t xml:space="preserve">BX </t>
        </is>
      </c>
      <c r="S798" t="n">
        <v>2</v>
      </c>
      <c r="T798" t="n">
        <v>2</v>
      </c>
      <c r="U798" t="inlineStr">
        <is>
          <t>1995-01-27</t>
        </is>
      </c>
      <c r="V798" t="inlineStr">
        <is>
          <t>1995-01-27</t>
        </is>
      </c>
      <c r="W798" t="inlineStr">
        <is>
          <t>1991-06-25</t>
        </is>
      </c>
      <c r="X798" t="inlineStr">
        <is>
          <t>1991-06-25</t>
        </is>
      </c>
      <c r="Y798" t="n">
        <v>174</v>
      </c>
      <c r="Z798" t="n">
        <v>147</v>
      </c>
      <c r="AA798" t="n">
        <v>148</v>
      </c>
      <c r="AB798" t="n">
        <v>2</v>
      </c>
      <c r="AC798" t="n">
        <v>2</v>
      </c>
      <c r="AD798" t="n">
        <v>29</v>
      </c>
      <c r="AE798" t="n">
        <v>29</v>
      </c>
      <c r="AF798" t="n">
        <v>8</v>
      </c>
      <c r="AG798" t="n">
        <v>8</v>
      </c>
      <c r="AH798" t="n">
        <v>8</v>
      </c>
      <c r="AI798" t="n">
        <v>8</v>
      </c>
      <c r="AJ798" t="n">
        <v>21</v>
      </c>
      <c r="AK798" t="n">
        <v>21</v>
      </c>
      <c r="AL798" t="n">
        <v>1</v>
      </c>
      <c r="AM798" t="n">
        <v>1</v>
      </c>
      <c r="AN798" t="n">
        <v>1</v>
      </c>
      <c r="AO798" t="n">
        <v>1</v>
      </c>
      <c r="AP798" t="inlineStr">
        <is>
          <t>No</t>
        </is>
      </c>
      <c r="AQ798" t="inlineStr">
        <is>
          <t>No</t>
        </is>
      </c>
      <c r="AS798">
        <f>HYPERLINK("https://creighton-primo.hosted.exlibrisgroup.com/primo-explore/search?tab=default_tab&amp;search_scope=EVERYTHING&amp;vid=01CRU&amp;lang=en_US&amp;offset=0&amp;query=any,contains,991001238539702656","Catalog Record")</f>
        <v/>
      </c>
      <c r="AT798">
        <f>HYPERLINK("http://www.worldcat.org/oclc/207469","WorldCat Record")</f>
        <v/>
      </c>
      <c r="AU798" t="inlineStr">
        <is>
          <t>2610989303:eng</t>
        </is>
      </c>
      <c r="AV798" t="inlineStr">
        <is>
          <t>207469</t>
        </is>
      </c>
      <c r="AW798" t="inlineStr">
        <is>
          <t>991001238539702656</t>
        </is>
      </c>
      <c r="AX798" t="inlineStr">
        <is>
          <t>991001238539702656</t>
        </is>
      </c>
      <c r="AY798" t="inlineStr">
        <is>
          <t>2267227130002656</t>
        </is>
      </c>
      <c r="AZ798" t="inlineStr">
        <is>
          <t>BOOK</t>
        </is>
      </c>
      <c r="BB798" t="inlineStr">
        <is>
          <t>9780818902031</t>
        </is>
      </c>
      <c r="BC798" t="inlineStr">
        <is>
          <t>32285000665710</t>
        </is>
      </c>
      <c r="BD798" t="inlineStr">
        <is>
          <t>893709117</t>
        </is>
      </c>
    </row>
    <row r="799">
      <c r="A799" t="inlineStr">
        <is>
          <t>No</t>
        </is>
      </c>
      <c r="B799" t="inlineStr">
        <is>
          <t>BX1805 .B513 1968</t>
        </is>
      </c>
      <c r="C799" t="inlineStr">
        <is>
          <t>0                      BX 1805000B  513         1968</t>
        </is>
      </c>
      <c r="D799" t="inlineStr">
        <is>
          <t>Defensorium obedientiae apostolicae et alia documenta / edited and translated by Heiko A. Oberman, Daniel E. Zerfoss, and William J. Courtenay.</t>
        </is>
      </c>
      <c r="F799" t="inlineStr">
        <is>
          <t>No</t>
        </is>
      </c>
      <c r="G799" t="inlineStr">
        <is>
          <t>1</t>
        </is>
      </c>
      <c r="H799" t="inlineStr">
        <is>
          <t>No</t>
        </is>
      </c>
      <c r="I799" t="inlineStr">
        <is>
          <t>No</t>
        </is>
      </c>
      <c r="J799" t="inlineStr">
        <is>
          <t>0</t>
        </is>
      </c>
      <c r="K799" t="inlineStr">
        <is>
          <t>Biel, Gabriel, -1495.</t>
        </is>
      </c>
      <c r="L799" t="inlineStr">
        <is>
          <t>Cambridge, Belknap Press of Harvard University Press, 1968.</t>
        </is>
      </c>
      <c r="M799" t="inlineStr">
        <is>
          <t>1968</t>
        </is>
      </c>
      <c r="O799" t="inlineStr">
        <is>
          <t>eng</t>
        </is>
      </c>
      <c r="P799" t="inlineStr">
        <is>
          <t>mau</t>
        </is>
      </c>
      <c r="R799" t="inlineStr">
        <is>
          <t xml:space="preserve">BX </t>
        </is>
      </c>
      <c r="S799" t="n">
        <v>4</v>
      </c>
      <c r="T799" t="n">
        <v>4</v>
      </c>
      <c r="U799" t="inlineStr">
        <is>
          <t>1993-10-14</t>
        </is>
      </c>
      <c r="V799" t="inlineStr">
        <is>
          <t>1993-10-14</t>
        </is>
      </c>
      <c r="W799" t="inlineStr">
        <is>
          <t>1991-06-25</t>
        </is>
      </c>
      <c r="X799" t="inlineStr">
        <is>
          <t>1991-06-25</t>
        </is>
      </c>
      <c r="Y799" t="n">
        <v>477</v>
      </c>
      <c r="Z799" t="n">
        <v>410</v>
      </c>
      <c r="AA799" t="n">
        <v>420</v>
      </c>
      <c r="AB799" t="n">
        <v>4</v>
      </c>
      <c r="AC799" t="n">
        <v>4</v>
      </c>
      <c r="AD799" t="n">
        <v>28</v>
      </c>
      <c r="AE799" t="n">
        <v>28</v>
      </c>
      <c r="AF799" t="n">
        <v>8</v>
      </c>
      <c r="AG799" t="n">
        <v>8</v>
      </c>
      <c r="AH799" t="n">
        <v>8</v>
      </c>
      <c r="AI799" t="n">
        <v>8</v>
      </c>
      <c r="AJ799" t="n">
        <v>20</v>
      </c>
      <c r="AK799" t="n">
        <v>20</v>
      </c>
      <c r="AL799" t="n">
        <v>1</v>
      </c>
      <c r="AM799" t="n">
        <v>1</v>
      </c>
      <c r="AN799" t="n">
        <v>0</v>
      </c>
      <c r="AO799" t="n">
        <v>0</v>
      </c>
      <c r="AP799" t="inlineStr">
        <is>
          <t>No</t>
        </is>
      </c>
      <c r="AQ799" t="inlineStr">
        <is>
          <t>Yes</t>
        </is>
      </c>
      <c r="AR799">
        <f>HYPERLINK("http://catalog.hathitrust.org/Record/001416689","HathiTrust Record")</f>
        <v/>
      </c>
      <c r="AS799">
        <f>HYPERLINK("https://creighton-primo.hosted.exlibrisgroup.com/primo-explore/search?tab=default_tab&amp;search_scope=EVERYTHING&amp;vid=01CRU&amp;lang=en_US&amp;offset=0&amp;query=any,contains,991001684739702656","Catalog Record")</f>
        <v/>
      </c>
      <c r="AT799">
        <f>HYPERLINK("http://www.worldcat.org/oclc/234288","WorldCat Record")</f>
        <v/>
      </c>
      <c r="AU799" t="inlineStr">
        <is>
          <t>1363447:eng</t>
        </is>
      </c>
      <c r="AV799" t="inlineStr">
        <is>
          <t>234288</t>
        </is>
      </c>
      <c r="AW799" t="inlineStr">
        <is>
          <t>991001684739702656</t>
        </is>
      </c>
      <c r="AX799" t="inlineStr">
        <is>
          <t>991001684739702656</t>
        </is>
      </c>
      <c r="AY799" t="inlineStr">
        <is>
          <t>2257594040002656</t>
        </is>
      </c>
      <c r="AZ799" t="inlineStr">
        <is>
          <t>BOOK</t>
        </is>
      </c>
      <c r="BC799" t="inlineStr">
        <is>
          <t>32285000665728</t>
        </is>
      </c>
      <c r="BD799" t="inlineStr">
        <is>
          <t>893626781</t>
        </is>
      </c>
    </row>
    <row r="800">
      <c r="A800" t="inlineStr">
        <is>
          <t>No</t>
        </is>
      </c>
      <c r="B800" t="inlineStr">
        <is>
          <t>BX1805 .B87 1999</t>
        </is>
      </c>
      <c r="C800" t="inlineStr">
        <is>
          <t>0                      BX 1805000B  87          1999</t>
        </is>
      </c>
      <c r="D800" t="inlineStr">
        <is>
          <t>Passing the keys : modern cardinals, conclaves, and the election of the next pope / Francis A. Burkle-Young.</t>
        </is>
      </c>
      <c r="F800" t="inlineStr">
        <is>
          <t>No</t>
        </is>
      </c>
      <c r="G800" t="inlineStr">
        <is>
          <t>1</t>
        </is>
      </c>
      <c r="H800" t="inlineStr">
        <is>
          <t>No</t>
        </is>
      </c>
      <c r="I800" t="inlineStr">
        <is>
          <t>No</t>
        </is>
      </c>
      <c r="J800" t="inlineStr">
        <is>
          <t>0</t>
        </is>
      </c>
      <c r="K800" t="inlineStr">
        <is>
          <t>Burkle-Young, Francis A.</t>
        </is>
      </c>
      <c r="L800" t="inlineStr">
        <is>
          <t>Lanham, Md. : Madison Books, c1999.</t>
        </is>
      </c>
      <c r="M800" t="inlineStr">
        <is>
          <t>1999</t>
        </is>
      </c>
      <c r="O800" t="inlineStr">
        <is>
          <t>eng</t>
        </is>
      </c>
      <c r="P800" t="inlineStr">
        <is>
          <t>mdu</t>
        </is>
      </c>
      <c r="R800" t="inlineStr">
        <is>
          <t xml:space="preserve">BX </t>
        </is>
      </c>
      <c r="S800" t="n">
        <v>1</v>
      </c>
      <c r="T800" t="n">
        <v>1</v>
      </c>
      <c r="U800" t="inlineStr">
        <is>
          <t>2008-06-10</t>
        </is>
      </c>
      <c r="V800" t="inlineStr">
        <is>
          <t>2008-06-10</t>
        </is>
      </c>
      <c r="W800" t="inlineStr">
        <is>
          <t>2008-06-10</t>
        </is>
      </c>
      <c r="X800" t="inlineStr">
        <is>
          <t>2008-06-10</t>
        </is>
      </c>
      <c r="Y800" t="n">
        <v>164</v>
      </c>
      <c r="Z800" t="n">
        <v>151</v>
      </c>
      <c r="AA800" t="n">
        <v>173</v>
      </c>
      <c r="AB800" t="n">
        <v>3</v>
      </c>
      <c r="AC800" t="n">
        <v>3</v>
      </c>
      <c r="AD800" t="n">
        <v>17</v>
      </c>
      <c r="AE800" t="n">
        <v>18</v>
      </c>
      <c r="AF800" t="n">
        <v>2</v>
      </c>
      <c r="AG800" t="n">
        <v>2</v>
      </c>
      <c r="AH800" t="n">
        <v>7</v>
      </c>
      <c r="AI800" t="n">
        <v>8</v>
      </c>
      <c r="AJ800" t="n">
        <v>12</v>
      </c>
      <c r="AK800" t="n">
        <v>13</v>
      </c>
      <c r="AL800" t="n">
        <v>1</v>
      </c>
      <c r="AM800" t="n">
        <v>1</v>
      </c>
      <c r="AN800" t="n">
        <v>0</v>
      </c>
      <c r="AO800" t="n">
        <v>0</v>
      </c>
      <c r="AP800" t="inlineStr">
        <is>
          <t>No</t>
        </is>
      </c>
      <c r="AQ800" t="inlineStr">
        <is>
          <t>Yes</t>
        </is>
      </c>
      <c r="AR800">
        <f>HYPERLINK("http://catalog.hathitrust.org/Record/004067964","HathiTrust Record")</f>
        <v/>
      </c>
      <c r="AS800">
        <f>HYPERLINK("https://creighton-primo.hosted.exlibrisgroup.com/primo-explore/search?tab=default_tab&amp;search_scope=EVERYTHING&amp;vid=01CRU&amp;lang=en_US&amp;offset=0&amp;query=any,contains,991005233339702656","Catalog Record")</f>
        <v/>
      </c>
      <c r="AT800">
        <f>HYPERLINK("http://www.worldcat.org/oclc/41173847","WorldCat Record")</f>
        <v/>
      </c>
      <c r="AU800" t="inlineStr">
        <is>
          <t>26905508:eng</t>
        </is>
      </c>
      <c r="AV800" t="inlineStr">
        <is>
          <t>41173847</t>
        </is>
      </c>
      <c r="AW800" t="inlineStr">
        <is>
          <t>991005233339702656</t>
        </is>
      </c>
      <c r="AX800" t="inlineStr">
        <is>
          <t>991005233339702656</t>
        </is>
      </c>
      <c r="AY800" t="inlineStr">
        <is>
          <t>2268818200002656</t>
        </is>
      </c>
      <c r="AZ800" t="inlineStr">
        <is>
          <t>BOOK</t>
        </is>
      </c>
      <c r="BB800" t="inlineStr">
        <is>
          <t>9781568331300</t>
        </is>
      </c>
      <c r="BC800" t="inlineStr">
        <is>
          <t>32285005444376</t>
        </is>
      </c>
      <c r="BD800" t="inlineStr">
        <is>
          <t>893600864</t>
        </is>
      </c>
    </row>
    <row r="801">
      <c r="A801" t="inlineStr">
        <is>
          <t>No</t>
        </is>
      </c>
      <c r="B801" t="inlineStr">
        <is>
          <t>BX1805 .C5813 2003</t>
        </is>
      </c>
      <c r="C801" t="inlineStr">
        <is>
          <t>0                      BX 1805000C  5813        2003</t>
        </is>
      </c>
      <c r="D801" t="inlineStr">
        <is>
          <t>You are Peter : an Orthodox theologian's reflection on the exercise of papal primacy / Olivier Clément ; [foreword by Avery Cardinal Dulles].</t>
        </is>
      </c>
      <c r="F801" t="inlineStr">
        <is>
          <t>No</t>
        </is>
      </c>
      <c r="G801" t="inlineStr">
        <is>
          <t>1</t>
        </is>
      </c>
      <c r="H801" t="inlineStr">
        <is>
          <t>No</t>
        </is>
      </c>
      <c r="I801" t="inlineStr">
        <is>
          <t>No</t>
        </is>
      </c>
      <c r="J801" t="inlineStr">
        <is>
          <t>0</t>
        </is>
      </c>
      <c r="K801" t="inlineStr">
        <is>
          <t>Clément, Olivier.</t>
        </is>
      </c>
      <c r="L801" t="inlineStr">
        <is>
          <t>New York : New City Press, c2003.</t>
        </is>
      </c>
      <c r="M801" t="inlineStr">
        <is>
          <t>2003</t>
        </is>
      </c>
      <c r="O801" t="inlineStr">
        <is>
          <t>eng</t>
        </is>
      </c>
      <c r="P801" t="inlineStr">
        <is>
          <t>nyu</t>
        </is>
      </c>
      <c r="R801" t="inlineStr">
        <is>
          <t xml:space="preserve">BX </t>
        </is>
      </c>
      <c r="S801" t="n">
        <v>3</v>
      </c>
      <c r="T801" t="n">
        <v>3</v>
      </c>
      <c r="U801" t="inlineStr">
        <is>
          <t>2005-04-17</t>
        </is>
      </c>
      <c r="V801" t="inlineStr">
        <is>
          <t>2005-04-17</t>
        </is>
      </c>
      <c r="W801" t="inlineStr">
        <is>
          <t>2004-02-03</t>
        </is>
      </c>
      <c r="X801" t="inlineStr">
        <is>
          <t>2004-02-03</t>
        </is>
      </c>
      <c r="Y801" t="n">
        <v>144</v>
      </c>
      <c r="Z801" t="n">
        <v>107</v>
      </c>
      <c r="AA801" t="n">
        <v>107</v>
      </c>
      <c r="AB801" t="n">
        <v>1</v>
      </c>
      <c r="AC801" t="n">
        <v>1</v>
      </c>
      <c r="AD801" t="n">
        <v>16</v>
      </c>
      <c r="AE801" t="n">
        <v>16</v>
      </c>
      <c r="AF801" t="n">
        <v>5</v>
      </c>
      <c r="AG801" t="n">
        <v>5</v>
      </c>
      <c r="AH801" t="n">
        <v>4</v>
      </c>
      <c r="AI801" t="n">
        <v>4</v>
      </c>
      <c r="AJ801" t="n">
        <v>11</v>
      </c>
      <c r="AK801" t="n">
        <v>11</v>
      </c>
      <c r="AL801" t="n">
        <v>0</v>
      </c>
      <c r="AM801" t="n">
        <v>0</v>
      </c>
      <c r="AN801" t="n">
        <v>0</v>
      </c>
      <c r="AO801" t="n">
        <v>0</v>
      </c>
      <c r="AP801" t="inlineStr">
        <is>
          <t>No</t>
        </is>
      </c>
      <c r="AQ801" t="inlineStr">
        <is>
          <t>No</t>
        </is>
      </c>
      <c r="AS801">
        <f>HYPERLINK("https://creighton-primo.hosted.exlibrisgroup.com/primo-explore/search?tab=default_tab&amp;search_scope=EVERYTHING&amp;vid=01CRU&amp;lang=en_US&amp;offset=0&amp;query=any,contains,991004216529702656","Catalog Record")</f>
        <v/>
      </c>
      <c r="AT801">
        <f>HYPERLINK("http://www.worldcat.org/oclc/51855266","WorldCat Record")</f>
        <v/>
      </c>
      <c r="AU801" t="inlineStr">
        <is>
          <t>354228601:eng</t>
        </is>
      </c>
      <c r="AV801" t="inlineStr">
        <is>
          <t>51855266</t>
        </is>
      </c>
      <c r="AW801" t="inlineStr">
        <is>
          <t>991004216529702656</t>
        </is>
      </c>
      <c r="AX801" t="inlineStr">
        <is>
          <t>991004216529702656</t>
        </is>
      </c>
      <c r="AY801" t="inlineStr">
        <is>
          <t>2270925550002656</t>
        </is>
      </c>
      <c r="AZ801" t="inlineStr">
        <is>
          <t>BOOK</t>
        </is>
      </c>
      <c r="BB801" t="inlineStr">
        <is>
          <t>9781565481893</t>
        </is>
      </c>
      <c r="BC801" t="inlineStr">
        <is>
          <t>32285004637244</t>
        </is>
      </c>
      <c r="BD801" t="inlineStr">
        <is>
          <t>893800736</t>
        </is>
      </c>
    </row>
    <row r="802">
      <c r="A802" t="inlineStr">
        <is>
          <t>No</t>
        </is>
      </c>
      <c r="B802" t="inlineStr">
        <is>
          <t>BX1805 .G65 1987</t>
        </is>
      </c>
      <c r="C802" t="inlineStr">
        <is>
          <t>0                      BX 1805000G  65          1987</t>
        </is>
      </c>
      <c r="D802" t="inlineStr">
        <is>
          <t>The limits of the papacy : authority and autonomy in the church / Patrick Granfield.</t>
        </is>
      </c>
      <c r="F802" t="inlineStr">
        <is>
          <t>No</t>
        </is>
      </c>
      <c r="G802" t="inlineStr">
        <is>
          <t>1</t>
        </is>
      </c>
      <c r="H802" t="inlineStr">
        <is>
          <t>No</t>
        </is>
      </c>
      <c r="I802" t="inlineStr">
        <is>
          <t>No</t>
        </is>
      </c>
      <c r="J802" t="inlineStr">
        <is>
          <t>0</t>
        </is>
      </c>
      <c r="K802" t="inlineStr">
        <is>
          <t>Granfield, Patrick.</t>
        </is>
      </c>
      <c r="L802" t="inlineStr">
        <is>
          <t>New York : Crossroad, c1987.</t>
        </is>
      </c>
      <c r="M802" t="inlineStr">
        <is>
          <t>1987</t>
        </is>
      </c>
      <c r="O802" t="inlineStr">
        <is>
          <t>eng</t>
        </is>
      </c>
      <c r="P802" t="inlineStr">
        <is>
          <t>nyu</t>
        </is>
      </c>
      <c r="R802" t="inlineStr">
        <is>
          <t xml:space="preserve">BX </t>
        </is>
      </c>
      <c r="S802" t="n">
        <v>3</v>
      </c>
      <c r="T802" t="n">
        <v>3</v>
      </c>
      <c r="U802" t="inlineStr">
        <is>
          <t>1999-11-26</t>
        </is>
      </c>
      <c r="V802" t="inlineStr">
        <is>
          <t>1999-11-26</t>
        </is>
      </c>
      <c r="W802" t="inlineStr">
        <is>
          <t>1990-05-21</t>
        </is>
      </c>
      <c r="X802" t="inlineStr">
        <is>
          <t>1990-05-21</t>
        </is>
      </c>
      <c r="Y802" t="n">
        <v>484</v>
      </c>
      <c r="Z802" t="n">
        <v>434</v>
      </c>
      <c r="AA802" t="n">
        <v>449</v>
      </c>
      <c r="AB802" t="n">
        <v>3</v>
      </c>
      <c r="AC802" t="n">
        <v>4</v>
      </c>
      <c r="AD802" t="n">
        <v>39</v>
      </c>
      <c r="AE802" t="n">
        <v>39</v>
      </c>
      <c r="AF802" t="n">
        <v>13</v>
      </c>
      <c r="AG802" t="n">
        <v>13</v>
      </c>
      <c r="AH802" t="n">
        <v>10</v>
      </c>
      <c r="AI802" t="n">
        <v>10</v>
      </c>
      <c r="AJ802" t="n">
        <v>27</v>
      </c>
      <c r="AK802" t="n">
        <v>27</v>
      </c>
      <c r="AL802" t="n">
        <v>2</v>
      </c>
      <c r="AM802" t="n">
        <v>2</v>
      </c>
      <c r="AN802" t="n">
        <v>0</v>
      </c>
      <c r="AO802" t="n">
        <v>0</v>
      </c>
      <c r="AP802" t="inlineStr">
        <is>
          <t>No</t>
        </is>
      </c>
      <c r="AQ802" t="inlineStr">
        <is>
          <t>Yes</t>
        </is>
      </c>
      <c r="AR802">
        <f>HYPERLINK("http://catalog.hathitrust.org/Record/000853425","HathiTrust Record")</f>
        <v/>
      </c>
      <c r="AS802">
        <f>HYPERLINK("https://creighton-primo.hosted.exlibrisgroup.com/primo-explore/search?tab=default_tab&amp;search_scope=EVERYTHING&amp;vid=01CRU&amp;lang=en_US&amp;offset=0&amp;query=any,contains,991001052309702656","Catalog Record")</f>
        <v/>
      </c>
      <c r="AT802">
        <f>HYPERLINK("http://www.worldcat.org/oclc/15658098","WorldCat Record")</f>
        <v/>
      </c>
      <c r="AU802" t="inlineStr">
        <is>
          <t>9939125:eng</t>
        </is>
      </c>
      <c r="AV802" t="inlineStr">
        <is>
          <t>15658098</t>
        </is>
      </c>
      <c r="AW802" t="inlineStr">
        <is>
          <t>991001052309702656</t>
        </is>
      </c>
      <c r="AX802" t="inlineStr">
        <is>
          <t>991001052309702656</t>
        </is>
      </c>
      <c r="AY802" t="inlineStr">
        <is>
          <t>2264810470002656</t>
        </is>
      </c>
      <c r="AZ802" t="inlineStr">
        <is>
          <t>BOOK</t>
        </is>
      </c>
      <c r="BB802" t="inlineStr">
        <is>
          <t>9780824508395</t>
        </is>
      </c>
      <c r="BC802" t="inlineStr">
        <is>
          <t>32285000153899</t>
        </is>
      </c>
      <c r="BD802" t="inlineStr">
        <is>
          <t>893614724</t>
        </is>
      </c>
    </row>
    <row r="803">
      <c r="A803" t="inlineStr">
        <is>
          <t>No</t>
        </is>
      </c>
      <c r="B803" t="inlineStr">
        <is>
          <t>BX1805 .J68 1954</t>
        </is>
      </c>
      <c r="C803" t="inlineStr">
        <is>
          <t>0                      BX 1805000J  68          1954</t>
        </is>
      </c>
      <c r="D803" t="inlineStr">
        <is>
          <t>The primacy of Peter : from the Protestant and from the Catholic point of view / Charles Journet ; translated from the French by John Chapin.</t>
        </is>
      </c>
      <c r="F803" t="inlineStr">
        <is>
          <t>No</t>
        </is>
      </c>
      <c r="G803" t="inlineStr">
        <is>
          <t>1</t>
        </is>
      </c>
      <c r="H803" t="inlineStr">
        <is>
          <t>No</t>
        </is>
      </c>
      <c r="I803" t="inlineStr">
        <is>
          <t>No</t>
        </is>
      </c>
      <c r="J803" t="inlineStr">
        <is>
          <t>0</t>
        </is>
      </c>
      <c r="K803" t="inlineStr">
        <is>
          <t>Journet, Charles.</t>
        </is>
      </c>
      <c r="L803" t="inlineStr">
        <is>
          <t>Westminster, Md. : Newman Press, 1954.</t>
        </is>
      </c>
      <c r="M803" t="inlineStr">
        <is>
          <t>1954</t>
        </is>
      </c>
      <c r="O803" t="inlineStr">
        <is>
          <t>eng</t>
        </is>
      </c>
      <c r="P803" t="inlineStr">
        <is>
          <t>mdu</t>
        </is>
      </c>
      <c r="R803" t="inlineStr">
        <is>
          <t xml:space="preserve">BX </t>
        </is>
      </c>
      <c r="S803" t="n">
        <v>3</v>
      </c>
      <c r="T803" t="n">
        <v>3</v>
      </c>
      <c r="U803" t="inlineStr">
        <is>
          <t>1997-12-11</t>
        </is>
      </c>
      <c r="V803" t="inlineStr">
        <is>
          <t>1997-12-11</t>
        </is>
      </c>
      <c r="W803" t="inlineStr">
        <is>
          <t>1991-06-25</t>
        </is>
      </c>
      <c r="X803" t="inlineStr">
        <is>
          <t>1991-06-25</t>
        </is>
      </c>
      <c r="Y803" t="n">
        <v>249</v>
      </c>
      <c r="Z803" t="n">
        <v>219</v>
      </c>
      <c r="AA803" t="n">
        <v>221</v>
      </c>
      <c r="AB803" t="n">
        <v>3</v>
      </c>
      <c r="AC803" t="n">
        <v>3</v>
      </c>
      <c r="AD803" t="n">
        <v>31</v>
      </c>
      <c r="AE803" t="n">
        <v>31</v>
      </c>
      <c r="AF803" t="n">
        <v>11</v>
      </c>
      <c r="AG803" t="n">
        <v>11</v>
      </c>
      <c r="AH803" t="n">
        <v>8</v>
      </c>
      <c r="AI803" t="n">
        <v>8</v>
      </c>
      <c r="AJ803" t="n">
        <v>23</v>
      </c>
      <c r="AK803" t="n">
        <v>23</v>
      </c>
      <c r="AL803" t="n">
        <v>1</v>
      </c>
      <c r="AM803" t="n">
        <v>1</v>
      </c>
      <c r="AN803" t="n">
        <v>0</v>
      </c>
      <c r="AO803" t="n">
        <v>0</v>
      </c>
      <c r="AP803" t="inlineStr">
        <is>
          <t>No</t>
        </is>
      </c>
      <c r="AQ803" t="inlineStr">
        <is>
          <t>No</t>
        </is>
      </c>
      <c r="AR803">
        <f>HYPERLINK("http://catalog.hathitrust.org/Record/102580641","HathiTrust Record")</f>
        <v/>
      </c>
      <c r="AS803">
        <f>HYPERLINK("https://creighton-primo.hosted.exlibrisgroup.com/primo-explore/search?tab=default_tab&amp;search_scope=EVERYTHING&amp;vid=01CRU&amp;lang=en_US&amp;offset=0&amp;query=any,contains,991003110789702656","Catalog Record")</f>
        <v/>
      </c>
      <c r="AT803">
        <f>HYPERLINK("http://www.worldcat.org/oclc/656638","WorldCat Record")</f>
        <v/>
      </c>
      <c r="AU803" t="inlineStr">
        <is>
          <t>1621564:eng</t>
        </is>
      </c>
      <c r="AV803" t="inlineStr">
        <is>
          <t>656638</t>
        </is>
      </c>
      <c r="AW803" t="inlineStr">
        <is>
          <t>991003110789702656</t>
        </is>
      </c>
      <c r="AX803" t="inlineStr">
        <is>
          <t>991003110789702656</t>
        </is>
      </c>
      <c r="AY803" t="inlineStr">
        <is>
          <t>2263429980002656</t>
        </is>
      </c>
      <c r="AZ803" t="inlineStr">
        <is>
          <t>BOOK</t>
        </is>
      </c>
      <c r="BC803" t="inlineStr">
        <is>
          <t>32285000665769</t>
        </is>
      </c>
      <c r="BD803" t="inlineStr">
        <is>
          <t>893887140</t>
        </is>
      </c>
    </row>
    <row r="804">
      <c r="A804" t="inlineStr">
        <is>
          <t>No</t>
        </is>
      </c>
      <c r="B804" t="inlineStr">
        <is>
          <t>BX1805 .M555 1983</t>
        </is>
      </c>
      <c r="C804" t="inlineStr">
        <is>
          <t>0                      BX 1805000M  555         1983</t>
        </is>
      </c>
      <c r="D804" t="inlineStr">
        <is>
          <t>What are they saying about papal primacy? / J. Michael Miller.</t>
        </is>
      </c>
      <c r="F804" t="inlineStr">
        <is>
          <t>No</t>
        </is>
      </c>
      <c r="G804" t="inlineStr">
        <is>
          <t>1</t>
        </is>
      </c>
      <c r="H804" t="inlineStr">
        <is>
          <t>No</t>
        </is>
      </c>
      <c r="I804" t="inlineStr">
        <is>
          <t>No</t>
        </is>
      </c>
      <c r="J804" t="inlineStr">
        <is>
          <t>0</t>
        </is>
      </c>
      <c r="K804" t="inlineStr">
        <is>
          <t>Miller, J. Michael.</t>
        </is>
      </c>
      <c r="L804" t="inlineStr">
        <is>
          <t>New York : Paulist Press, c1983.</t>
        </is>
      </c>
      <c r="M804" t="inlineStr">
        <is>
          <t>1983</t>
        </is>
      </c>
      <c r="O804" t="inlineStr">
        <is>
          <t>eng</t>
        </is>
      </c>
      <c r="P804" t="inlineStr">
        <is>
          <t>nyu</t>
        </is>
      </c>
      <c r="R804" t="inlineStr">
        <is>
          <t xml:space="preserve">BX </t>
        </is>
      </c>
      <c r="S804" t="n">
        <v>1</v>
      </c>
      <c r="T804" t="n">
        <v>1</v>
      </c>
      <c r="U804" t="inlineStr">
        <is>
          <t>2007-04-12</t>
        </is>
      </c>
      <c r="V804" t="inlineStr">
        <is>
          <t>2007-04-12</t>
        </is>
      </c>
      <c r="W804" t="inlineStr">
        <is>
          <t>1991-06-25</t>
        </is>
      </c>
      <c r="X804" t="inlineStr">
        <is>
          <t>1991-06-25</t>
        </is>
      </c>
      <c r="Y804" t="n">
        <v>332</v>
      </c>
      <c r="Z804" t="n">
        <v>280</v>
      </c>
      <c r="AA804" t="n">
        <v>285</v>
      </c>
      <c r="AB804" t="n">
        <v>2</v>
      </c>
      <c r="AC804" t="n">
        <v>2</v>
      </c>
      <c r="AD804" t="n">
        <v>34</v>
      </c>
      <c r="AE804" t="n">
        <v>34</v>
      </c>
      <c r="AF804" t="n">
        <v>13</v>
      </c>
      <c r="AG804" t="n">
        <v>13</v>
      </c>
      <c r="AH804" t="n">
        <v>7</v>
      </c>
      <c r="AI804" t="n">
        <v>7</v>
      </c>
      <c r="AJ804" t="n">
        <v>23</v>
      </c>
      <c r="AK804" t="n">
        <v>23</v>
      </c>
      <c r="AL804" t="n">
        <v>0</v>
      </c>
      <c r="AM804" t="n">
        <v>0</v>
      </c>
      <c r="AN804" t="n">
        <v>0</v>
      </c>
      <c r="AO804" t="n">
        <v>0</v>
      </c>
      <c r="AP804" t="inlineStr">
        <is>
          <t>No</t>
        </is>
      </c>
      <c r="AQ804" t="inlineStr">
        <is>
          <t>No</t>
        </is>
      </c>
      <c r="AS804">
        <f>HYPERLINK("https://creighton-primo.hosted.exlibrisgroup.com/primo-explore/search?tab=default_tab&amp;search_scope=EVERYTHING&amp;vid=01CRU&amp;lang=en_US&amp;offset=0&amp;query=any,contains,991000198989702656","Catalog Record")</f>
        <v/>
      </c>
      <c r="AT804">
        <f>HYPERLINK("http://www.worldcat.org/oclc/9451323","WorldCat Record")</f>
        <v/>
      </c>
      <c r="AU804" t="inlineStr">
        <is>
          <t>43124185:eng</t>
        </is>
      </c>
      <c r="AV804" t="inlineStr">
        <is>
          <t>9451323</t>
        </is>
      </c>
      <c r="AW804" t="inlineStr">
        <is>
          <t>991000198989702656</t>
        </is>
      </c>
      <c r="AX804" t="inlineStr">
        <is>
          <t>991000198989702656</t>
        </is>
      </c>
      <c r="AY804" t="inlineStr">
        <is>
          <t>2265816970002656</t>
        </is>
      </c>
      <c r="AZ804" t="inlineStr">
        <is>
          <t>BOOK</t>
        </is>
      </c>
      <c r="BB804" t="inlineStr">
        <is>
          <t>9780809125012</t>
        </is>
      </c>
      <c r="BC804" t="inlineStr">
        <is>
          <t>32285000665793</t>
        </is>
      </c>
      <c r="BD804" t="inlineStr">
        <is>
          <t>893502335</t>
        </is>
      </c>
    </row>
    <row r="805">
      <c r="A805" t="inlineStr">
        <is>
          <t>No</t>
        </is>
      </c>
      <c r="B805" t="inlineStr">
        <is>
          <t>BX1805 .P24 1974</t>
        </is>
      </c>
      <c r="C805" t="inlineStr">
        <is>
          <t>0                      BX 1805000P  24          1974</t>
        </is>
      </c>
      <c r="D805" t="inlineStr">
        <is>
          <t>Papal primacy and the universal church / edited by Paul C. Empie and T. Austin Murphy.</t>
        </is>
      </c>
      <c r="F805" t="inlineStr">
        <is>
          <t>No</t>
        </is>
      </c>
      <c r="G805" t="inlineStr">
        <is>
          <t>1</t>
        </is>
      </c>
      <c r="H805" t="inlineStr">
        <is>
          <t>No</t>
        </is>
      </c>
      <c r="I805" t="inlineStr">
        <is>
          <t>No</t>
        </is>
      </c>
      <c r="J805" t="inlineStr">
        <is>
          <t>0</t>
        </is>
      </c>
      <c r="L805" t="inlineStr">
        <is>
          <t>Minneapolis : Augsburg Pub. House, [1974]</t>
        </is>
      </c>
      <c r="M805" t="inlineStr">
        <is>
          <t>1974</t>
        </is>
      </c>
      <c r="O805" t="inlineStr">
        <is>
          <t>eng</t>
        </is>
      </c>
      <c r="P805" t="inlineStr">
        <is>
          <t>mnu</t>
        </is>
      </c>
      <c r="Q805" t="inlineStr">
        <is>
          <t>Lutherans and Catholics in dialogue ; 5</t>
        </is>
      </c>
      <c r="R805" t="inlineStr">
        <is>
          <t xml:space="preserve">BX </t>
        </is>
      </c>
      <c r="S805" t="n">
        <v>5</v>
      </c>
      <c r="T805" t="n">
        <v>5</v>
      </c>
      <c r="U805" t="inlineStr">
        <is>
          <t>2007-04-12</t>
        </is>
      </c>
      <c r="V805" t="inlineStr">
        <is>
          <t>2007-04-12</t>
        </is>
      </c>
      <c r="W805" t="inlineStr">
        <is>
          <t>1991-06-25</t>
        </is>
      </c>
      <c r="X805" t="inlineStr">
        <is>
          <t>1991-06-25</t>
        </is>
      </c>
      <c r="Y805" t="n">
        <v>400</v>
      </c>
      <c r="Z805" t="n">
        <v>325</v>
      </c>
      <c r="AA805" t="n">
        <v>331</v>
      </c>
      <c r="AB805" t="n">
        <v>3</v>
      </c>
      <c r="AC805" t="n">
        <v>3</v>
      </c>
      <c r="AD805" t="n">
        <v>31</v>
      </c>
      <c r="AE805" t="n">
        <v>31</v>
      </c>
      <c r="AF805" t="n">
        <v>11</v>
      </c>
      <c r="AG805" t="n">
        <v>11</v>
      </c>
      <c r="AH805" t="n">
        <v>7</v>
      </c>
      <c r="AI805" t="n">
        <v>7</v>
      </c>
      <c r="AJ805" t="n">
        <v>22</v>
      </c>
      <c r="AK805" t="n">
        <v>22</v>
      </c>
      <c r="AL805" t="n">
        <v>1</v>
      </c>
      <c r="AM805" t="n">
        <v>1</v>
      </c>
      <c r="AN805" t="n">
        <v>0</v>
      </c>
      <c r="AO805" t="n">
        <v>0</v>
      </c>
      <c r="AP805" t="inlineStr">
        <is>
          <t>No</t>
        </is>
      </c>
      <c r="AQ805" t="inlineStr">
        <is>
          <t>No</t>
        </is>
      </c>
      <c r="AS805">
        <f>HYPERLINK("https://creighton-primo.hosted.exlibrisgroup.com/primo-explore/search?tab=default_tab&amp;search_scope=EVERYTHING&amp;vid=01CRU&amp;lang=en_US&amp;offset=0&amp;query=any,contains,991003491909702656","Catalog Record")</f>
        <v/>
      </c>
      <c r="AT805">
        <f>HYPERLINK("http://www.worldcat.org/oclc/1041424","WorldCat Record")</f>
        <v/>
      </c>
      <c r="AU805" t="inlineStr">
        <is>
          <t>346717131:eng</t>
        </is>
      </c>
      <c r="AV805" t="inlineStr">
        <is>
          <t>1041424</t>
        </is>
      </c>
      <c r="AW805" t="inlineStr">
        <is>
          <t>991003491909702656</t>
        </is>
      </c>
      <c r="AX805" t="inlineStr">
        <is>
          <t>991003491909702656</t>
        </is>
      </c>
      <c r="AY805" t="inlineStr">
        <is>
          <t>2268953770002656</t>
        </is>
      </c>
      <c r="AZ805" t="inlineStr">
        <is>
          <t>BOOK</t>
        </is>
      </c>
      <c r="BB805" t="inlineStr">
        <is>
          <t>9780806614502</t>
        </is>
      </c>
      <c r="BC805" t="inlineStr">
        <is>
          <t>32285000665819</t>
        </is>
      </c>
      <c r="BD805" t="inlineStr">
        <is>
          <t>893422619</t>
        </is>
      </c>
    </row>
    <row r="806">
      <c r="A806" t="inlineStr">
        <is>
          <t>No</t>
        </is>
      </c>
      <c r="B806" t="inlineStr">
        <is>
          <t>BX1805 .P45 2004</t>
        </is>
      </c>
      <c r="C806" t="inlineStr">
        <is>
          <t>0                      BX 1805000P  45          2004</t>
        </is>
      </c>
      <c r="D806" t="inlineStr">
        <is>
          <t>Heirs of the Fisherman : behind the scenes of papal death and succession / John-Peter Pham.</t>
        </is>
      </c>
      <c r="F806" t="inlineStr">
        <is>
          <t>No</t>
        </is>
      </c>
      <c r="G806" t="inlineStr">
        <is>
          <t>1</t>
        </is>
      </c>
      <c r="H806" t="inlineStr">
        <is>
          <t>No</t>
        </is>
      </c>
      <c r="I806" t="inlineStr">
        <is>
          <t>No</t>
        </is>
      </c>
      <c r="J806" t="inlineStr">
        <is>
          <t>0</t>
        </is>
      </c>
      <c r="K806" t="inlineStr">
        <is>
          <t>Pham, John-Peter.</t>
        </is>
      </c>
      <c r="L806" t="inlineStr">
        <is>
          <t>Oxford ; New York : Oxford University Press, 2004.</t>
        </is>
      </c>
      <c r="M806" t="inlineStr">
        <is>
          <t>2004</t>
        </is>
      </c>
      <c r="O806" t="inlineStr">
        <is>
          <t>eng</t>
        </is>
      </c>
      <c r="P806" t="inlineStr">
        <is>
          <t>enk</t>
        </is>
      </c>
      <c r="R806" t="inlineStr">
        <is>
          <t xml:space="preserve">BX </t>
        </is>
      </c>
      <c r="S806" t="n">
        <v>2</v>
      </c>
      <c r="T806" t="n">
        <v>2</v>
      </c>
      <c r="U806" t="inlineStr">
        <is>
          <t>2008-02-04</t>
        </is>
      </c>
      <c r="V806" t="inlineStr">
        <is>
          <t>2008-02-04</t>
        </is>
      </c>
      <c r="W806" t="inlineStr">
        <is>
          <t>2004-12-06</t>
        </is>
      </c>
      <c r="X806" t="inlineStr">
        <is>
          <t>2004-12-06</t>
        </is>
      </c>
      <c r="Y806" t="n">
        <v>742</v>
      </c>
      <c r="Z806" t="n">
        <v>680</v>
      </c>
      <c r="AA806" t="n">
        <v>1373</v>
      </c>
      <c r="AB806" t="n">
        <v>6</v>
      </c>
      <c r="AC806" t="n">
        <v>23</v>
      </c>
      <c r="AD806" t="n">
        <v>30</v>
      </c>
      <c r="AE806" t="n">
        <v>52</v>
      </c>
      <c r="AF806" t="n">
        <v>14</v>
      </c>
      <c r="AG806" t="n">
        <v>20</v>
      </c>
      <c r="AH806" t="n">
        <v>8</v>
      </c>
      <c r="AI806" t="n">
        <v>10</v>
      </c>
      <c r="AJ806" t="n">
        <v>16</v>
      </c>
      <c r="AK806" t="n">
        <v>21</v>
      </c>
      <c r="AL806" t="n">
        <v>2</v>
      </c>
      <c r="AM806" t="n">
        <v>12</v>
      </c>
      <c r="AN806" t="n">
        <v>0</v>
      </c>
      <c r="AO806" t="n">
        <v>1</v>
      </c>
      <c r="AP806" t="inlineStr">
        <is>
          <t>No</t>
        </is>
      </c>
      <c r="AQ806" t="inlineStr">
        <is>
          <t>No</t>
        </is>
      </c>
      <c r="AS806">
        <f>HYPERLINK("https://creighton-primo.hosted.exlibrisgroup.com/primo-explore/search?tab=default_tab&amp;search_scope=EVERYTHING&amp;vid=01CRU&amp;lang=en_US&amp;offset=0&amp;query=any,contains,991004422149702656","Catalog Record")</f>
        <v/>
      </c>
      <c r="AT806">
        <f>HYPERLINK("http://www.worldcat.org/oclc/55067243","WorldCat Record")</f>
        <v/>
      </c>
      <c r="AU806" t="inlineStr">
        <is>
          <t>794164792:eng</t>
        </is>
      </c>
      <c r="AV806" t="inlineStr">
        <is>
          <t>55067243</t>
        </is>
      </c>
      <c r="AW806" t="inlineStr">
        <is>
          <t>991004422149702656</t>
        </is>
      </c>
      <c r="AX806" t="inlineStr">
        <is>
          <t>991004422149702656</t>
        </is>
      </c>
      <c r="AY806" t="inlineStr">
        <is>
          <t>2264910060002656</t>
        </is>
      </c>
      <c r="AZ806" t="inlineStr">
        <is>
          <t>BOOK</t>
        </is>
      </c>
      <c r="BB806" t="inlineStr">
        <is>
          <t>9780195178340</t>
        </is>
      </c>
      <c r="BC806" t="inlineStr">
        <is>
          <t>32285005015572</t>
        </is>
      </c>
      <c r="BD806" t="inlineStr">
        <is>
          <t>893500537</t>
        </is>
      </c>
    </row>
    <row r="807">
      <c r="A807" t="inlineStr">
        <is>
          <t>No</t>
        </is>
      </c>
      <c r="B807" t="inlineStr">
        <is>
          <t>BX1805 .P66</t>
        </is>
      </c>
      <c r="C807" t="inlineStr">
        <is>
          <t>0                      BX 1805000P  66</t>
        </is>
      </c>
      <c r="D807" t="inlineStr">
        <is>
          <t>A Pope for all Christians? : An inquiry into the role of Peter in the modern church / edited by Peter J. McCord.</t>
        </is>
      </c>
      <c r="F807" t="inlineStr">
        <is>
          <t>No</t>
        </is>
      </c>
      <c r="G807" t="inlineStr">
        <is>
          <t>1</t>
        </is>
      </c>
      <c r="H807" t="inlineStr">
        <is>
          <t>No</t>
        </is>
      </c>
      <c r="I807" t="inlineStr">
        <is>
          <t>No</t>
        </is>
      </c>
      <c r="J807" t="inlineStr">
        <is>
          <t>0</t>
        </is>
      </c>
      <c r="L807" t="inlineStr">
        <is>
          <t>New York : Paulist Press, c1976.</t>
        </is>
      </c>
      <c r="M807" t="inlineStr">
        <is>
          <t>1976</t>
        </is>
      </c>
      <c r="O807" t="inlineStr">
        <is>
          <t>eng</t>
        </is>
      </c>
      <c r="P807" t="inlineStr">
        <is>
          <t>nyu</t>
        </is>
      </c>
      <c r="R807" t="inlineStr">
        <is>
          <t xml:space="preserve">BX </t>
        </is>
      </c>
      <c r="S807" t="n">
        <v>6</v>
      </c>
      <c r="T807" t="n">
        <v>6</v>
      </c>
      <c r="U807" t="inlineStr">
        <is>
          <t>2007-04-12</t>
        </is>
      </c>
      <c r="V807" t="inlineStr">
        <is>
          <t>2007-04-12</t>
        </is>
      </c>
      <c r="W807" t="inlineStr">
        <is>
          <t>1991-06-25</t>
        </is>
      </c>
      <c r="X807" t="inlineStr">
        <is>
          <t>1991-06-25</t>
        </is>
      </c>
      <c r="Y807" t="n">
        <v>391</v>
      </c>
      <c r="Z807" t="n">
        <v>348</v>
      </c>
      <c r="AA807" t="n">
        <v>356</v>
      </c>
      <c r="AB807" t="n">
        <v>3</v>
      </c>
      <c r="AC807" t="n">
        <v>3</v>
      </c>
      <c r="AD807" t="n">
        <v>34</v>
      </c>
      <c r="AE807" t="n">
        <v>35</v>
      </c>
      <c r="AF807" t="n">
        <v>11</v>
      </c>
      <c r="AG807" t="n">
        <v>11</v>
      </c>
      <c r="AH807" t="n">
        <v>8</v>
      </c>
      <c r="AI807" t="n">
        <v>9</v>
      </c>
      <c r="AJ807" t="n">
        <v>25</v>
      </c>
      <c r="AK807" t="n">
        <v>25</v>
      </c>
      <c r="AL807" t="n">
        <v>2</v>
      </c>
      <c r="AM807" t="n">
        <v>2</v>
      </c>
      <c r="AN807" t="n">
        <v>0</v>
      </c>
      <c r="AO807" t="n">
        <v>0</v>
      </c>
      <c r="AP807" t="inlineStr">
        <is>
          <t>No</t>
        </is>
      </c>
      <c r="AQ807" t="inlineStr">
        <is>
          <t>No</t>
        </is>
      </c>
      <c r="AS807">
        <f>HYPERLINK("https://creighton-primo.hosted.exlibrisgroup.com/primo-explore/search?tab=default_tab&amp;search_scope=EVERYTHING&amp;vid=01CRU&amp;lang=en_US&amp;offset=0&amp;query=any,contains,991003999839702656","Catalog Record")</f>
        <v/>
      </c>
      <c r="AT807">
        <f>HYPERLINK("http://www.worldcat.org/oclc/2072436","WorldCat Record")</f>
        <v/>
      </c>
      <c r="AU807" t="inlineStr">
        <is>
          <t>836642320:eng</t>
        </is>
      </c>
      <c r="AV807" t="inlineStr">
        <is>
          <t>2072436</t>
        </is>
      </c>
      <c r="AW807" t="inlineStr">
        <is>
          <t>991003999839702656</t>
        </is>
      </c>
      <c r="AX807" t="inlineStr">
        <is>
          <t>991003999839702656</t>
        </is>
      </c>
      <c r="AY807" t="inlineStr">
        <is>
          <t>2255025430002656</t>
        </is>
      </c>
      <c r="AZ807" t="inlineStr">
        <is>
          <t>BOOK</t>
        </is>
      </c>
      <c r="BB807" t="inlineStr">
        <is>
          <t>9780809119189</t>
        </is>
      </c>
      <c r="BC807" t="inlineStr">
        <is>
          <t>32285000665827</t>
        </is>
      </c>
      <c r="BD807" t="inlineStr">
        <is>
          <t>893429522</t>
        </is>
      </c>
    </row>
    <row r="808">
      <c r="A808" t="inlineStr">
        <is>
          <t>No</t>
        </is>
      </c>
      <c r="B808" t="inlineStr">
        <is>
          <t>BX1805 .S53 2000</t>
        </is>
      </c>
      <c r="C808" t="inlineStr">
        <is>
          <t>0                      BX 1805000S  53          2000</t>
        </is>
      </c>
      <c r="D808" t="inlineStr">
        <is>
          <t>Papal primacy in the third millennium / Russell Shaw.</t>
        </is>
      </c>
      <c r="F808" t="inlineStr">
        <is>
          <t>No</t>
        </is>
      </c>
      <c r="G808" t="inlineStr">
        <is>
          <t>1</t>
        </is>
      </c>
      <c r="H808" t="inlineStr">
        <is>
          <t>No</t>
        </is>
      </c>
      <c r="I808" t="inlineStr">
        <is>
          <t>No</t>
        </is>
      </c>
      <c r="J808" t="inlineStr">
        <is>
          <t>0</t>
        </is>
      </c>
      <c r="K808" t="inlineStr">
        <is>
          <t>Shaw, Russell B.</t>
        </is>
      </c>
      <c r="L808" t="inlineStr">
        <is>
          <t>Huntington, Ind. : Our Sunday Visitor Pub. Div., c2000.</t>
        </is>
      </c>
      <c r="M808" t="inlineStr">
        <is>
          <t>2000</t>
        </is>
      </c>
      <c r="O808" t="inlineStr">
        <is>
          <t>eng</t>
        </is>
      </c>
      <c r="P808" t="inlineStr">
        <is>
          <t>inu</t>
        </is>
      </c>
      <c r="R808" t="inlineStr">
        <is>
          <t xml:space="preserve">BX </t>
        </is>
      </c>
      <c r="S808" t="n">
        <v>5</v>
      </c>
      <c r="T808" t="n">
        <v>5</v>
      </c>
      <c r="U808" t="inlineStr">
        <is>
          <t>2005-04-10</t>
        </is>
      </c>
      <c r="V808" t="inlineStr">
        <is>
          <t>2005-04-10</t>
        </is>
      </c>
      <c r="W808" t="inlineStr">
        <is>
          <t>2001-02-26</t>
        </is>
      </c>
      <c r="X808" t="inlineStr">
        <is>
          <t>2001-02-26</t>
        </is>
      </c>
      <c r="Y808" t="n">
        <v>78</v>
      </c>
      <c r="Z808" t="n">
        <v>65</v>
      </c>
      <c r="AA808" t="n">
        <v>70</v>
      </c>
      <c r="AB808" t="n">
        <v>1</v>
      </c>
      <c r="AC808" t="n">
        <v>1</v>
      </c>
      <c r="AD808" t="n">
        <v>6</v>
      </c>
      <c r="AE808" t="n">
        <v>6</v>
      </c>
      <c r="AF808" t="n">
        <v>0</v>
      </c>
      <c r="AG808" t="n">
        <v>0</v>
      </c>
      <c r="AH808" t="n">
        <v>2</v>
      </c>
      <c r="AI808" t="n">
        <v>2</v>
      </c>
      <c r="AJ808" t="n">
        <v>6</v>
      </c>
      <c r="AK808" t="n">
        <v>6</v>
      </c>
      <c r="AL808" t="n">
        <v>0</v>
      </c>
      <c r="AM808" t="n">
        <v>0</v>
      </c>
      <c r="AN808" t="n">
        <v>0</v>
      </c>
      <c r="AO808" t="n">
        <v>0</v>
      </c>
      <c r="AP808" t="inlineStr">
        <is>
          <t>No</t>
        </is>
      </c>
      <c r="AQ808" t="inlineStr">
        <is>
          <t>No</t>
        </is>
      </c>
      <c r="AS808">
        <f>HYPERLINK("https://creighton-primo.hosted.exlibrisgroup.com/primo-explore/search?tab=default_tab&amp;search_scope=EVERYTHING&amp;vid=01CRU&amp;lang=en_US&amp;offset=0&amp;query=any,contains,991003495359702656","Catalog Record")</f>
        <v/>
      </c>
      <c r="AT808">
        <f>HYPERLINK("http://www.worldcat.org/oclc/45242809","WorldCat Record")</f>
        <v/>
      </c>
      <c r="AU808" t="inlineStr">
        <is>
          <t>34848592:eng</t>
        </is>
      </c>
      <c r="AV808" t="inlineStr">
        <is>
          <t>45242809</t>
        </is>
      </c>
      <c r="AW808" t="inlineStr">
        <is>
          <t>991003495359702656</t>
        </is>
      </c>
      <c r="AX808" t="inlineStr">
        <is>
          <t>991003495359702656</t>
        </is>
      </c>
      <c r="AY808" t="inlineStr">
        <is>
          <t>2266542760002656</t>
        </is>
      </c>
      <c r="AZ808" t="inlineStr">
        <is>
          <t>BOOK</t>
        </is>
      </c>
      <c r="BB808" t="inlineStr">
        <is>
          <t>9780879735555</t>
        </is>
      </c>
      <c r="BC808" t="inlineStr">
        <is>
          <t>32285004297577</t>
        </is>
      </c>
      <c r="BD808" t="inlineStr">
        <is>
          <t>893531236</t>
        </is>
      </c>
    </row>
    <row r="809">
      <c r="A809" t="inlineStr">
        <is>
          <t>No</t>
        </is>
      </c>
      <c r="B809" t="inlineStr">
        <is>
          <t>BX1805 .T5513 1983</t>
        </is>
      </c>
      <c r="C809" t="inlineStr">
        <is>
          <t>0                      BX 1805000T  5513        1983</t>
        </is>
      </c>
      <c r="D809" t="inlineStr">
        <is>
          <t>The bishop of Rome / J.M.R. Tillard ; translated by John de Satgé.</t>
        </is>
      </c>
      <c r="F809" t="inlineStr">
        <is>
          <t>No</t>
        </is>
      </c>
      <c r="G809" t="inlineStr">
        <is>
          <t>1</t>
        </is>
      </c>
      <c r="H809" t="inlineStr">
        <is>
          <t>No</t>
        </is>
      </c>
      <c r="I809" t="inlineStr">
        <is>
          <t>No</t>
        </is>
      </c>
      <c r="J809" t="inlineStr">
        <is>
          <t>0</t>
        </is>
      </c>
      <c r="K809" t="inlineStr">
        <is>
          <t>Tillard, J.-M.-R. (Jean-Marie-Roger), 1927-2000.</t>
        </is>
      </c>
      <c r="L809" t="inlineStr">
        <is>
          <t>Wilmington, Del. : M. Glazier, c1983.</t>
        </is>
      </c>
      <c r="M809" t="inlineStr">
        <is>
          <t>1983</t>
        </is>
      </c>
      <c r="O809" t="inlineStr">
        <is>
          <t>eng</t>
        </is>
      </c>
      <c r="P809" t="inlineStr">
        <is>
          <t>deu</t>
        </is>
      </c>
      <c r="Q809" t="inlineStr">
        <is>
          <t>Theology and life series ; 5</t>
        </is>
      </c>
      <c r="R809" t="inlineStr">
        <is>
          <t xml:space="preserve">BX </t>
        </is>
      </c>
      <c r="S809" t="n">
        <v>6</v>
      </c>
      <c r="T809" t="n">
        <v>6</v>
      </c>
      <c r="U809" t="inlineStr">
        <is>
          <t>2005-04-10</t>
        </is>
      </c>
      <c r="V809" t="inlineStr">
        <is>
          <t>2005-04-10</t>
        </is>
      </c>
      <c r="W809" t="inlineStr">
        <is>
          <t>1991-06-25</t>
        </is>
      </c>
      <c r="X809" t="inlineStr">
        <is>
          <t>1991-06-25</t>
        </is>
      </c>
      <c r="Y809" t="n">
        <v>256</v>
      </c>
      <c r="Z809" t="n">
        <v>214</v>
      </c>
      <c r="AA809" t="n">
        <v>270</v>
      </c>
      <c r="AB809" t="n">
        <v>2</v>
      </c>
      <c r="AC809" t="n">
        <v>3</v>
      </c>
      <c r="AD809" t="n">
        <v>24</v>
      </c>
      <c r="AE809" t="n">
        <v>30</v>
      </c>
      <c r="AF809" t="n">
        <v>9</v>
      </c>
      <c r="AG809" t="n">
        <v>11</v>
      </c>
      <c r="AH809" t="n">
        <v>6</v>
      </c>
      <c r="AI809" t="n">
        <v>7</v>
      </c>
      <c r="AJ809" t="n">
        <v>18</v>
      </c>
      <c r="AK809" t="n">
        <v>23</v>
      </c>
      <c r="AL809" t="n">
        <v>0</v>
      </c>
      <c r="AM809" t="n">
        <v>1</v>
      </c>
      <c r="AN809" t="n">
        <v>0</v>
      </c>
      <c r="AO809" t="n">
        <v>0</v>
      </c>
      <c r="AP809" t="inlineStr">
        <is>
          <t>No</t>
        </is>
      </c>
      <c r="AQ809" t="inlineStr">
        <is>
          <t>No</t>
        </is>
      </c>
      <c r="AS809">
        <f>HYPERLINK("https://creighton-primo.hosted.exlibrisgroup.com/primo-explore/search?tab=default_tab&amp;search_scope=EVERYTHING&amp;vid=01CRU&amp;lang=en_US&amp;offset=0&amp;query=any,contains,991000261529702656","Catalog Record")</f>
        <v/>
      </c>
      <c r="AT809">
        <f>HYPERLINK("http://www.worldcat.org/oclc/9821875","WorldCat Record")</f>
        <v/>
      </c>
      <c r="AU809" t="inlineStr">
        <is>
          <t>69706350:eng</t>
        </is>
      </c>
      <c r="AV809" t="inlineStr">
        <is>
          <t>9821875</t>
        </is>
      </c>
      <c r="AW809" t="inlineStr">
        <is>
          <t>991000261529702656</t>
        </is>
      </c>
      <c r="AX809" t="inlineStr">
        <is>
          <t>991000261529702656</t>
        </is>
      </c>
      <c r="AY809" t="inlineStr">
        <is>
          <t>2259397550002656</t>
        </is>
      </c>
      <c r="AZ809" t="inlineStr">
        <is>
          <t>BOOK</t>
        </is>
      </c>
      <c r="BB809" t="inlineStr">
        <is>
          <t>9780894532986</t>
        </is>
      </c>
      <c r="BC809" t="inlineStr">
        <is>
          <t>32285000665835</t>
        </is>
      </c>
      <c r="BD809" t="inlineStr">
        <is>
          <t>893595435</t>
        </is>
      </c>
    </row>
    <row r="810">
      <c r="A810" t="inlineStr">
        <is>
          <t>No</t>
        </is>
      </c>
      <c r="B810" t="inlineStr">
        <is>
          <t>BX1805.V363 L35 1976</t>
        </is>
      </c>
      <c r="C810" t="inlineStr">
        <is>
          <t>0                      BX 1805000V  363                L  35          1976</t>
        </is>
      </c>
      <c r="D810" t="inlineStr">
        <is>
          <t>Ulrichus Velenus (Oldřich Velenský) and his treatise against the papacy / by A. J. Lamping.</t>
        </is>
      </c>
      <c r="F810" t="inlineStr">
        <is>
          <t>No</t>
        </is>
      </c>
      <c r="G810" t="inlineStr">
        <is>
          <t>1</t>
        </is>
      </c>
      <c r="H810" t="inlineStr">
        <is>
          <t>No</t>
        </is>
      </c>
      <c r="I810" t="inlineStr">
        <is>
          <t>No</t>
        </is>
      </c>
      <c r="J810" t="inlineStr">
        <is>
          <t>0</t>
        </is>
      </c>
      <c r="K810" t="inlineStr">
        <is>
          <t>Lamping, A. J. (Antonie Jan), 1930-</t>
        </is>
      </c>
      <c r="L810" t="inlineStr">
        <is>
          <t>Leiden : Brill, 1976.</t>
        </is>
      </c>
      <c r="M810" t="inlineStr">
        <is>
          <t>1976</t>
        </is>
      </c>
      <c r="O810" t="inlineStr">
        <is>
          <t>eng</t>
        </is>
      </c>
      <c r="P810" t="inlineStr">
        <is>
          <t xml:space="preserve">ne </t>
        </is>
      </c>
      <c r="Q810" t="inlineStr">
        <is>
          <t>Studies in medieval and Reformation thought ; v. 19</t>
        </is>
      </c>
      <c r="R810" t="inlineStr">
        <is>
          <t xml:space="preserve">BX </t>
        </is>
      </c>
      <c r="S810" t="n">
        <v>2</v>
      </c>
      <c r="T810" t="n">
        <v>2</v>
      </c>
      <c r="U810" t="inlineStr">
        <is>
          <t>2007-04-12</t>
        </is>
      </c>
      <c r="V810" t="inlineStr">
        <is>
          <t>2007-04-12</t>
        </is>
      </c>
      <c r="W810" t="inlineStr">
        <is>
          <t>1991-06-25</t>
        </is>
      </c>
      <c r="X810" t="inlineStr">
        <is>
          <t>1991-06-25</t>
        </is>
      </c>
      <c r="Y810" t="n">
        <v>284</v>
      </c>
      <c r="Z810" t="n">
        <v>204</v>
      </c>
      <c r="AA810" t="n">
        <v>207</v>
      </c>
      <c r="AB810" t="n">
        <v>2</v>
      </c>
      <c r="AC810" t="n">
        <v>2</v>
      </c>
      <c r="AD810" t="n">
        <v>14</v>
      </c>
      <c r="AE810" t="n">
        <v>14</v>
      </c>
      <c r="AF810" t="n">
        <v>1</v>
      </c>
      <c r="AG810" t="n">
        <v>1</v>
      </c>
      <c r="AH810" t="n">
        <v>3</v>
      </c>
      <c r="AI810" t="n">
        <v>3</v>
      </c>
      <c r="AJ810" t="n">
        <v>10</v>
      </c>
      <c r="AK810" t="n">
        <v>10</v>
      </c>
      <c r="AL810" t="n">
        <v>1</v>
      </c>
      <c r="AM810" t="n">
        <v>1</v>
      </c>
      <c r="AN810" t="n">
        <v>0</v>
      </c>
      <c r="AO810" t="n">
        <v>0</v>
      </c>
      <c r="AP810" t="inlineStr">
        <is>
          <t>No</t>
        </is>
      </c>
      <c r="AQ810" t="inlineStr">
        <is>
          <t>Yes</t>
        </is>
      </c>
      <c r="AR810">
        <f>HYPERLINK("http://catalog.hathitrust.org/Record/000706567","HathiTrust Record")</f>
        <v/>
      </c>
      <c r="AS810">
        <f>HYPERLINK("https://creighton-primo.hosted.exlibrisgroup.com/primo-explore/search?tab=default_tab&amp;search_scope=EVERYTHING&amp;vid=01CRU&amp;lang=en_US&amp;offset=0&amp;query=any,contains,991004014119702656","Catalog Record")</f>
        <v/>
      </c>
      <c r="AT810">
        <f>HYPERLINK("http://www.worldcat.org/oclc/2101153","WorldCat Record")</f>
        <v/>
      </c>
      <c r="AU810" t="inlineStr">
        <is>
          <t>308667726:eng</t>
        </is>
      </c>
      <c r="AV810" t="inlineStr">
        <is>
          <t>2101153</t>
        </is>
      </c>
      <c r="AW810" t="inlineStr">
        <is>
          <t>991004014119702656</t>
        </is>
      </c>
      <c r="AX810" t="inlineStr">
        <is>
          <t>991004014119702656</t>
        </is>
      </c>
      <c r="AY810" t="inlineStr">
        <is>
          <t>2272040740002656</t>
        </is>
      </c>
      <c r="AZ810" t="inlineStr">
        <is>
          <t>BOOK</t>
        </is>
      </c>
      <c r="BB810" t="inlineStr">
        <is>
          <t>9789004043978</t>
        </is>
      </c>
      <c r="BC810" t="inlineStr">
        <is>
          <t>32285000665843</t>
        </is>
      </c>
      <c r="BD810" t="inlineStr">
        <is>
          <t>893618120</t>
        </is>
      </c>
    </row>
    <row r="811">
      <c r="A811" t="inlineStr">
        <is>
          <t>No</t>
        </is>
      </c>
      <c r="B811" t="inlineStr">
        <is>
          <t>BX1806 .C45</t>
        </is>
      </c>
      <c r="C811" t="inlineStr">
        <is>
          <t>0                      BX 1806000C  45</t>
        </is>
      </c>
      <c r="D811" t="inlineStr">
        <is>
          <t>Infallibility : the crossroads of doctrine / by Peter Chirico.</t>
        </is>
      </c>
      <c r="F811" t="inlineStr">
        <is>
          <t>No</t>
        </is>
      </c>
      <c r="G811" t="inlineStr">
        <is>
          <t>1</t>
        </is>
      </c>
      <c r="H811" t="inlineStr">
        <is>
          <t>No</t>
        </is>
      </c>
      <c r="I811" t="inlineStr">
        <is>
          <t>No</t>
        </is>
      </c>
      <c r="J811" t="inlineStr">
        <is>
          <t>0</t>
        </is>
      </c>
      <c r="K811" t="inlineStr">
        <is>
          <t>Chirico, Peter.</t>
        </is>
      </c>
      <c r="L811" t="inlineStr">
        <is>
          <t>Kansas City, [Kan.] : Sheed Andrews and McMeel, c1977.</t>
        </is>
      </c>
      <c r="M811" t="inlineStr">
        <is>
          <t>1977</t>
        </is>
      </c>
      <c r="O811" t="inlineStr">
        <is>
          <t>eng</t>
        </is>
      </c>
      <c r="P811" t="inlineStr">
        <is>
          <t>ksu</t>
        </is>
      </c>
      <c r="R811" t="inlineStr">
        <is>
          <t xml:space="preserve">BX </t>
        </is>
      </c>
      <c r="S811" t="n">
        <v>3</v>
      </c>
      <c r="T811" t="n">
        <v>3</v>
      </c>
      <c r="U811" t="inlineStr">
        <is>
          <t>2010-09-22</t>
        </is>
      </c>
      <c r="V811" t="inlineStr">
        <is>
          <t>2010-09-22</t>
        </is>
      </c>
      <c r="W811" t="inlineStr">
        <is>
          <t>1990-03-12</t>
        </is>
      </c>
      <c r="X811" t="inlineStr">
        <is>
          <t>1990-03-12</t>
        </is>
      </c>
      <c r="Y811" t="n">
        <v>339</v>
      </c>
      <c r="Z811" t="n">
        <v>310</v>
      </c>
      <c r="AA811" t="n">
        <v>406</v>
      </c>
      <c r="AB811" t="n">
        <v>5</v>
      </c>
      <c r="AC811" t="n">
        <v>5</v>
      </c>
      <c r="AD811" t="n">
        <v>25</v>
      </c>
      <c r="AE811" t="n">
        <v>34</v>
      </c>
      <c r="AF811" t="n">
        <v>5</v>
      </c>
      <c r="AG811" t="n">
        <v>11</v>
      </c>
      <c r="AH811" t="n">
        <v>6</v>
      </c>
      <c r="AI811" t="n">
        <v>8</v>
      </c>
      <c r="AJ811" t="n">
        <v>18</v>
      </c>
      <c r="AK811" t="n">
        <v>24</v>
      </c>
      <c r="AL811" t="n">
        <v>2</v>
      </c>
      <c r="AM811" t="n">
        <v>2</v>
      </c>
      <c r="AN811" t="n">
        <v>0</v>
      </c>
      <c r="AO811" t="n">
        <v>0</v>
      </c>
      <c r="AP811" t="inlineStr">
        <is>
          <t>No</t>
        </is>
      </c>
      <c r="AQ811" t="inlineStr">
        <is>
          <t>Yes</t>
        </is>
      </c>
      <c r="AR811">
        <f>HYPERLINK("http://catalog.hathitrust.org/Record/007951171","HathiTrust Record")</f>
        <v/>
      </c>
      <c r="AS811">
        <f>HYPERLINK("https://creighton-primo.hosted.exlibrisgroup.com/primo-explore/search?tab=default_tab&amp;search_scope=EVERYTHING&amp;vid=01CRU&amp;lang=en_US&amp;offset=0&amp;query=any,contains,991004259019702656","Catalog Record")</f>
        <v/>
      </c>
      <c r="AT811">
        <f>HYPERLINK("http://www.worldcat.org/oclc/2836974","WorldCat Record")</f>
        <v/>
      </c>
      <c r="AU811" t="inlineStr">
        <is>
          <t>819789633:eng</t>
        </is>
      </c>
      <c r="AV811" t="inlineStr">
        <is>
          <t>2836974</t>
        </is>
      </c>
      <c r="AW811" t="inlineStr">
        <is>
          <t>991004259019702656</t>
        </is>
      </c>
      <c r="AX811" t="inlineStr">
        <is>
          <t>991004259019702656</t>
        </is>
      </c>
      <c r="AY811" t="inlineStr">
        <is>
          <t>2262232610002656</t>
        </is>
      </c>
      <c r="AZ811" t="inlineStr">
        <is>
          <t>BOOK</t>
        </is>
      </c>
      <c r="BB811" t="inlineStr">
        <is>
          <t>9780836207040</t>
        </is>
      </c>
      <c r="BC811" t="inlineStr">
        <is>
          <t>32285000079011</t>
        </is>
      </c>
      <c r="BD811" t="inlineStr">
        <is>
          <t>893706164</t>
        </is>
      </c>
    </row>
    <row r="812">
      <c r="A812" t="inlineStr">
        <is>
          <t>No</t>
        </is>
      </c>
      <c r="B812" t="inlineStr">
        <is>
          <t>BX1806 .D49 1987</t>
        </is>
      </c>
      <c r="C812" t="inlineStr">
        <is>
          <t>0                      BX 1806000D  49          1987</t>
        </is>
      </c>
      <c r="D812" t="inlineStr">
        <is>
          <t>The papacy and the church : a study of praxis and reception in ecumenical perspective / J. Robert Dionne.</t>
        </is>
      </c>
      <c r="F812" t="inlineStr">
        <is>
          <t>No</t>
        </is>
      </c>
      <c r="G812" t="inlineStr">
        <is>
          <t>1</t>
        </is>
      </c>
      <c r="H812" t="inlineStr">
        <is>
          <t>No</t>
        </is>
      </c>
      <c r="I812" t="inlineStr">
        <is>
          <t>No</t>
        </is>
      </c>
      <c r="J812" t="inlineStr">
        <is>
          <t>0</t>
        </is>
      </c>
      <c r="K812" t="inlineStr">
        <is>
          <t>Dionne, J. Robert (James Robert), 1929-</t>
        </is>
      </c>
      <c r="L812" t="inlineStr">
        <is>
          <t>New York : Philosophical Library, c1987.</t>
        </is>
      </c>
      <c r="M812" t="inlineStr">
        <is>
          <t>1987</t>
        </is>
      </c>
      <c r="O812" t="inlineStr">
        <is>
          <t>eng</t>
        </is>
      </c>
      <c r="P812" t="inlineStr">
        <is>
          <t>nyu</t>
        </is>
      </c>
      <c r="R812" t="inlineStr">
        <is>
          <t xml:space="preserve">BX </t>
        </is>
      </c>
      <c r="S812" t="n">
        <v>3</v>
      </c>
      <c r="T812" t="n">
        <v>3</v>
      </c>
      <c r="U812" t="inlineStr">
        <is>
          <t>2002-02-23</t>
        </is>
      </c>
      <c r="V812" t="inlineStr">
        <is>
          <t>2002-02-23</t>
        </is>
      </c>
      <c r="W812" t="inlineStr">
        <is>
          <t>1991-01-17</t>
        </is>
      </c>
      <c r="X812" t="inlineStr">
        <is>
          <t>1991-01-17</t>
        </is>
      </c>
      <c r="Y812" t="n">
        <v>224</v>
      </c>
      <c r="Z812" t="n">
        <v>168</v>
      </c>
      <c r="AA812" t="n">
        <v>174</v>
      </c>
      <c r="AB812" t="n">
        <v>2</v>
      </c>
      <c r="AC812" t="n">
        <v>2</v>
      </c>
      <c r="AD812" t="n">
        <v>20</v>
      </c>
      <c r="AE812" t="n">
        <v>20</v>
      </c>
      <c r="AF812" t="n">
        <v>6</v>
      </c>
      <c r="AG812" t="n">
        <v>6</v>
      </c>
      <c r="AH812" t="n">
        <v>5</v>
      </c>
      <c r="AI812" t="n">
        <v>5</v>
      </c>
      <c r="AJ812" t="n">
        <v>16</v>
      </c>
      <c r="AK812" t="n">
        <v>16</v>
      </c>
      <c r="AL812" t="n">
        <v>0</v>
      </c>
      <c r="AM812" t="n">
        <v>0</v>
      </c>
      <c r="AN812" t="n">
        <v>0</v>
      </c>
      <c r="AO812" t="n">
        <v>0</v>
      </c>
      <c r="AP812" t="inlineStr">
        <is>
          <t>No</t>
        </is>
      </c>
      <c r="AQ812" t="inlineStr">
        <is>
          <t>Yes</t>
        </is>
      </c>
      <c r="AR812">
        <f>HYPERLINK("http://catalog.hathitrust.org/Record/000852059","HathiTrust Record")</f>
        <v/>
      </c>
      <c r="AS812">
        <f>HYPERLINK("https://creighton-primo.hosted.exlibrisgroup.com/primo-explore/search?tab=default_tab&amp;search_scope=EVERYTHING&amp;vid=01CRU&amp;lang=en_US&amp;offset=0&amp;query=any,contains,991000635139702656","Catalog Record")</f>
        <v/>
      </c>
      <c r="AT812">
        <f>HYPERLINK("http://www.worldcat.org/oclc/12080281","WorldCat Record")</f>
        <v/>
      </c>
      <c r="AU812" t="inlineStr">
        <is>
          <t>4694152:eng</t>
        </is>
      </c>
      <c r="AV812" t="inlineStr">
        <is>
          <t>12080281</t>
        </is>
      </c>
      <c r="AW812" t="inlineStr">
        <is>
          <t>991000635139702656</t>
        </is>
      </c>
      <c r="AX812" t="inlineStr">
        <is>
          <t>991000635139702656</t>
        </is>
      </c>
      <c r="AY812" t="inlineStr">
        <is>
          <t>2267804490002656</t>
        </is>
      </c>
      <c r="AZ812" t="inlineStr">
        <is>
          <t>BOOK</t>
        </is>
      </c>
      <c r="BB812" t="inlineStr">
        <is>
          <t>9780802224941</t>
        </is>
      </c>
      <c r="BC812" t="inlineStr">
        <is>
          <t>32285000408848</t>
        </is>
      </c>
      <c r="BD812" t="inlineStr">
        <is>
          <t>893608126</t>
        </is>
      </c>
    </row>
    <row r="813">
      <c r="A813" t="inlineStr">
        <is>
          <t>No</t>
        </is>
      </c>
      <c r="B813" t="inlineStr">
        <is>
          <t>BX1806 .M25</t>
        </is>
      </c>
      <c r="C813" t="inlineStr">
        <is>
          <t>0                      BX 1806000M  25</t>
        </is>
      </c>
      <c r="D813" t="inlineStr">
        <is>
          <t>The Vatican revolution / by Geddes MacGregor.</t>
        </is>
      </c>
      <c r="F813" t="inlineStr">
        <is>
          <t>No</t>
        </is>
      </c>
      <c r="G813" t="inlineStr">
        <is>
          <t>1</t>
        </is>
      </c>
      <c r="H813" t="inlineStr">
        <is>
          <t>No</t>
        </is>
      </c>
      <c r="I813" t="inlineStr">
        <is>
          <t>No</t>
        </is>
      </c>
      <c r="J813" t="inlineStr">
        <is>
          <t>0</t>
        </is>
      </c>
      <c r="K813" t="inlineStr">
        <is>
          <t>MacGregor, Geddes.</t>
        </is>
      </c>
      <c r="L813" t="inlineStr">
        <is>
          <t>Boston : Beacon Press, [1957]</t>
        </is>
      </c>
      <c r="M813" t="inlineStr">
        <is>
          <t>1957</t>
        </is>
      </c>
      <c r="O813" t="inlineStr">
        <is>
          <t>eng</t>
        </is>
      </c>
      <c r="P813" t="inlineStr">
        <is>
          <t>___</t>
        </is>
      </c>
      <c r="R813" t="inlineStr">
        <is>
          <t xml:space="preserve">BX </t>
        </is>
      </c>
      <c r="S813" t="n">
        <v>1</v>
      </c>
      <c r="T813" t="n">
        <v>1</v>
      </c>
      <c r="U813" t="inlineStr">
        <is>
          <t>2002-04-06</t>
        </is>
      </c>
      <c r="V813" t="inlineStr">
        <is>
          <t>2002-04-06</t>
        </is>
      </c>
      <c r="W813" t="inlineStr">
        <is>
          <t>1990-04-20</t>
        </is>
      </c>
      <c r="X813" t="inlineStr">
        <is>
          <t>1990-04-20</t>
        </is>
      </c>
      <c r="Y813" t="n">
        <v>312</v>
      </c>
      <c r="Z813" t="n">
        <v>282</v>
      </c>
      <c r="AA813" t="n">
        <v>382</v>
      </c>
      <c r="AB813" t="n">
        <v>6</v>
      </c>
      <c r="AC813" t="n">
        <v>7</v>
      </c>
      <c r="AD813" t="n">
        <v>13</v>
      </c>
      <c r="AE813" t="n">
        <v>20</v>
      </c>
      <c r="AF813" t="n">
        <v>4</v>
      </c>
      <c r="AG813" t="n">
        <v>7</v>
      </c>
      <c r="AH813" t="n">
        <v>2</v>
      </c>
      <c r="AI813" t="n">
        <v>4</v>
      </c>
      <c r="AJ813" t="n">
        <v>5</v>
      </c>
      <c r="AK813" t="n">
        <v>10</v>
      </c>
      <c r="AL813" t="n">
        <v>3</v>
      </c>
      <c r="AM813" t="n">
        <v>4</v>
      </c>
      <c r="AN813" t="n">
        <v>0</v>
      </c>
      <c r="AO813" t="n">
        <v>0</v>
      </c>
      <c r="AP813" t="inlineStr">
        <is>
          <t>No</t>
        </is>
      </c>
      <c r="AQ813" t="inlineStr">
        <is>
          <t>Yes</t>
        </is>
      </c>
      <c r="AR813">
        <f>HYPERLINK("http://catalog.hathitrust.org/Record/001416702","HathiTrust Record")</f>
        <v/>
      </c>
      <c r="AS813">
        <f>HYPERLINK("https://creighton-primo.hosted.exlibrisgroup.com/primo-explore/search?tab=default_tab&amp;search_scope=EVERYTHING&amp;vid=01CRU&amp;lang=en_US&amp;offset=0&amp;query=any,contains,991002957389702656","Catalog Record")</f>
        <v/>
      </c>
      <c r="AT813">
        <f>HYPERLINK("http://www.worldcat.org/oclc/542684","WorldCat Record")</f>
        <v/>
      </c>
      <c r="AU813" t="inlineStr">
        <is>
          <t>1558585:eng</t>
        </is>
      </c>
      <c r="AV813" t="inlineStr">
        <is>
          <t>542684</t>
        </is>
      </c>
      <c r="AW813" t="inlineStr">
        <is>
          <t>991002957389702656</t>
        </is>
      </c>
      <c r="AX813" t="inlineStr">
        <is>
          <t>991002957389702656</t>
        </is>
      </c>
      <c r="AY813" t="inlineStr">
        <is>
          <t>2266665070002656</t>
        </is>
      </c>
      <c r="AZ813" t="inlineStr">
        <is>
          <t>BOOK</t>
        </is>
      </c>
      <c r="BC813" t="inlineStr">
        <is>
          <t>32285000130228</t>
        </is>
      </c>
      <c r="BD813" t="inlineStr">
        <is>
          <t>893893207</t>
        </is>
      </c>
    </row>
    <row r="814">
      <c r="A814" t="inlineStr">
        <is>
          <t>No</t>
        </is>
      </c>
      <c r="B814" t="inlineStr">
        <is>
          <t>BX1806 .T54</t>
        </is>
      </c>
      <c r="C814" t="inlineStr">
        <is>
          <t>0                      BX 1806000T  54</t>
        </is>
      </c>
      <c r="D814" t="inlineStr">
        <is>
          <t>Origins of papal infallibility, 1150-1350 : a study on the concepts of infallibility, sovereignty and tradition in the Middle Ages / by Brian Tierney.</t>
        </is>
      </c>
      <c r="F814" t="inlineStr">
        <is>
          <t>No</t>
        </is>
      </c>
      <c r="G814" t="inlineStr">
        <is>
          <t>1</t>
        </is>
      </c>
      <c r="H814" t="inlineStr">
        <is>
          <t>No</t>
        </is>
      </c>
      <c r="I814" t="inlineStr">
        <is>
          <t>No</t>
        </is>
      </c>
      <c r="J814" t="inlineStr">
        <is>
          <t>0</t>
        </is>
      </c>
      <c r="K814" t="inlineStr">
        <is>
          <t>Tierney, Brian.</t>
        </is>
      </c>
      <c r="L814" t="inlineStr">
        <is>
          <t>Leiden : E. J. Brill, 1972.</t>
        </is>
      </c>
      <c r="M814" t="inlineStr">
        <is>
          <t>1972</t>
        </is>
      </c>
      <c r="O814" t="inlineStr">
        <is>
          <t>eng</t>
        </is>
      </c>
      <c r="P814" t="inlineStr">
        <is>
          <t xml:space="preserve">ne </t>
        </is>
      </c>
      <c r="Q814" t="inlineStr">
        <is>
          <t>Studies in the history of Christian thought ; v. 6</t>
        </is>
      </c>
      <c r="R814" t="inlineStr">
        <is>
          <t xml:space="preserve">BX </t>
        </is>
      </c>
      <c r="S814" t="n">
        <v>2</v>
      </c>
      <c r="T814" t="n">
        <v>2</v>
      </c>
      <c r="U814" t="inlineStr">
        <is>
          <t>2010-03-31</t>
        </is>
      </c>
      <c r="V814" t="inlineStr">
        <is>
          <t>2010-03-31</t>
        </is>
      </c>
      <c r="W814" t="inlineStr">
        <is>
          <t>1990-03-23</t>
        </is>
      </c>
      <c r="X814" t="inlineStr">
        <is>
          <t>1990-03-23</t>
        </is>
      </c>
      <c r="Y814" t="n">
        <v>686</v>
      </c>
      <c r="Z814" t="n">
        <v>517</v>
      </c>
      <c r="AA814" t="n">
        <v>571</v>
      </c>
      <c r="AB814" t="n">
        <v>5</v>
      </c>
      <c r="AC814" t="n">
        <v>6</v>
      </c>
      <c r="AD814" t="n">
        <v>38</v>
      </c>
      <c r="AE814" t="n">
        <v>43</v>
      </c>
      <c r="AF814" t="n">
        <v>12</v>
      </c>
      <c r="AG814" t="n">
        <v>15</v>
      </c>
      <c r="AH814" t="n">
        <v>9</v>
      </c>
      <c r="AI814" t="n">
        <v>10</v>
      </c>
      <c r="AJ814" t="n">
        <v>24</v>
      </c>
      <c r="AK814" t="n">
        <v>25</v>
      </c>
      <c r="AL814" t="n">
        <v>4</v>
      </c>
      <c r="AM814" t="n">
        <v>4</v>
      </c>
      <c r="AN814" t="n">
        <v>0</v>
      </c>
      <c r="AO814" t="n">
        <v>0</v>
      </c>
      <c r="AP814" t="inlineStr">
        <is>
          <t>No</t>
        </is>
      </c>
      <c r="AQ814" t="inlineStr">
        <is>
          <t>No</t>
        </is>
      </c>
      <c r="AS814">
        <f>HYPERLINK("https://creighton-primo.hosted.exlibrisgroup.com/primo-explore/search?tab=default_tab&amp;search_scope=EVERYTHING&amp;vid=01CRU&amp;lang=en_US&amp;offset=0&amp;query=any,contains,991002725099702656","Catalog Record")</f>
        <v/>
      </c>
      <c r="AT814">
        <f>HYPERLINK("http://www.worldcat.org/oclc/414168","WorldCat Record")</f>
        <v/>
      </c>
      <c r="AU814" t="inlineStr">
        <is>
          <t>795489646:eng</t>
        </is>
      </c>
      <c r="AV814" t="inlineStr">
        <is>
          <t>414168</t>
        </is>
      </c>
      <c r="AW814" t="inlineStr">
        <is>
          <t>991002725099702656</t>
        </is>
      </c>
      <c r="AX814" t="inlineStr">
        <is>
          <t>991002725099702656</t>
        </is>
      </c>
      <c r="AY814" t="inlineStr">
        <is>
          <t>2267743020002656</t>
        </is>
      </c>
      <c r="AZ814" t="inlineStr">
        <is>
          <t>BOOK</t>
        </is>
      </c>
      <c r="BC814" t="inlineStr">
        <is>
          <t>32285000096379</t>
        </is>
      </c>
      <c r="BD814" t="inlineStr">
        <is>
          <t>893511106</t>
        </is>
      </c>
    </row>
    <row r="815">
      <c r="A815" t="inlineStr">
        <is>
          <t>No</t>
        </is>
      </c>
      <c r="B815" t="inlineStr">
        <is>
          <t>BX1806.D65 H4 1870a</t>
        </is>
      </c>
      <c r="C815" t="inlineStr">
        <is>
          <t>0                      BX 1806000D  65                 H  4           1870a</t>
        </is>
      </c>
      <c r="D815" t="inlineStr">
        <is>
          <t>Anti-Janus : an historico-theological criticism of the work entitled "The pope and the Council," by Janus / by Dr. Hergenröther...Tr. from the German by J.B. Robertson...With an introduction by him giving a history of Gallicanism from the reign of Louis XIV down to the present time.</t>
        </is>
      </c>
      <c r="F815" t="inlineStr">
        <is>
          <t>No</t>
        </is>
      </c>
      <c r="G815" t="inlineStr">
        <is>
          <t>1</t>
        </is>
      </c>
      <c r="H815" t="inlineStr">
        <is>
          <t>No</t>
        </is>
      </c>
      <c r="I815" t="inlineStr">
        <is>
          <t>No</t>
        </is>
      </c>
      <c r="J815" t="inlineStr">
        <is>
          <t>0</t>
        </is>
      </c>
      <c r="K815" t="inlineStr">
        <is>
          <t>Hergenröther, Joseph, 1824-1890.</t>
        </is>
      </c>
      <c r="L815" t="inlineStr">
        <is>
          <t>Dublin : W.B. Kelly ; New York : Catholic Publishing Society, 1870.</t>
        </is>
      </c>
      <c r="M815" t="inlineStr">
        <is>
          <t>1870</t>
        </is>
      </c>
      <c r="O815" t="inlineStr">
        <is>
          <t>eng</t>
        </is>
      </c>
      <c r="P815" t="inlineStr">
        <is>
          <t xml:space="preserve">xx </t>
        </is>
      </c>
      <c r="R815" t="inlineStr">
        <is>
          <t xml:space="preserve">BX </t>
        </is>
      </c>
      <c r="S815" t="n">
        <v>5</v>
      </c>
      <c r="T815" t="n">
        <v>5</v>
      </c>
      <c r="U815" t="inlineStr">
        <is>
          <t>1997-01-30</t>
        </is>
      </c>
      <c r="V815" t="inlineStr">
        <is>
          <t>1997-01-30</t>
        </is>
      </c>
      <c r="W815" t="inlineStr">
        <is>
          <t>1991-06-25</t>
        </is>
      </c>
      <c r="X815" t="inlineStr">
        <is>
          <t>1991-06-25</t>
        </is>
      </c>
      <c r="Y815" t="n">
        <v>111</v>
      </c>
      <c r="Z815" t="n">
        <v>88</v>
      </c>
      <c r="AA815" t="n">
        <v>130</v>
      </c>
      <c r="AB815" t="n">
        <v>1</v>
      </c>
      <c r="AC815" t="n">
        <v>2</v>
      </c>
      <c r="AD815" t="n">
        <v>20</v>
      </c>
      <c r="AE815" t="n">
        <v>21</v>
      </c>
      <c r="AF815" t="n">
        <v>4</v>
      </c>
      <c r="AG815" t="n">
        <v>4</v>
      </c>
      <c r="AH815" t="n">
        <v>6</v>
      </c>
      <c r="AI815" t="n">
        <v>6</v>
      </c>
      <c r="AJ815" t="n">
        <v>15</v>
      </c>
      <c r="AK815" t="n">
        <v>15</v>
      </c>
      <c r="AL815" t="n">
        <v>0</v>
      </c>
      <c r="AM815" t="n">
        <v>1</v>
      </c>
      <c r="AN815" t="n">
        <v>0</v>
      </c>
      <c r="AO815" t="n">
        <v>0</v>
      </c>
      <c r="AP815" t="inlineStr">
        <is>
          <t>Yes</t>
        </is>
      </c>
      <c r="AQ815" t="inlineStr">
        <is>
          <t>No</t>
        </is>
      </c>
      <c r="AR815">
        <f>HYPERLINK("http://catalog.hathitrust.org/Record/008437754","HathiTrust Record")</f>
        <v/>
      </c>
      <c r="AS815">
        <f>HYPERLINK("https://creighton-primo.hosted.exlibrisgroup.com/primo-explore/search?tab=default_tab&amp;search_scope=EVERYTHING&amp;vid=01CRU&amp;lang=en_US&amp;offset=0&amp;query=any,contains,991003700079702656","Catalog Record")</f>
        <v/>
      </c>
      <c r="AT815">
        <f>HYPERLINK("http://www.worldcat.org/oclc/1335708","WorldCat Record")</f>
        <v/>
      </c>
      <c r="AU815" t="inlineStr">
        <is>
          <t>3901037839:eng</t>
        </is>
      </c>
      <c r="AV815" t="inlineStr">
        <is>
          <t>1335708</t>
        </is>
      </c>
      <c r="AW815" t="inlineStr">
        <is>
          <t>991003700079702656</t>
        </is>
      </c>
      <c r="AX815" t="inlineStr">
        <is>
          <t>991003700079702656</t>
        </is>
      </c>
      <c r="AY815" t="inlineStr">
        <is>
          <t>2259121530002656</t>
        </is>
      </c>
      <c r="AZ815" t="inlineStr">
        <is>
          <t>BOOK</t>
        </is>
      </c>
      <c r="BC815" t="inlineStr">
        <is>
          <t>32285000665850</t>
        </is>
      </c>
      <c r="BD815" t="inlineStr">
        <is>
          <t>893787642</t>
        </is>
      </c>
    </row>
    <row r="816">
      <c r="A816" t="inlineStr">
        <is>
          <t>No</t>
        </is>
      </c>
      <c r="B816" t="inlineStr">
        <is>
          <t>BX1810 .C33 1926</t>
        </is>
      </c>
      <c r="C816" t="inlineStr">
        <is>
          <t>0                      BX 1810000C  33          1926</t>
        </is>
      </c>
      <c r="D816" t="inlineStr">
        <is>
          <t>The pope / by Jean Carrère ; translated by Arthur Chambers.</t>
        </is>
      </c>
      <c r="F816" t="inlineStr">
        <is>
          <t>No</t>
        </is>
      </c>
      <c r="G816" t="inlineStr">
        <is>
          <t>1</t>
        </is>
      </c>
      <c r="H816" t="inlineStr">
        <is>
          <t>No</t>
        </is>
      </c>
      <c r="I816" t="inlineStr">
        <is>
          <t>No</t>
        </is>
      </c>
      <c r="J816" t="inlineStr">
        <is>
          <t>0</t>
        </is>
      </c>
      <c r="K816" t="inlineStr">
        <is>
          <t>Carrère, Jean, 1865-1932.</t>
        </is>
      </c>
      <c r="L816" t="inlineStr">
        <is>
          <t>New York : H. Holt and Company, [1926]</t>
        </is>
      </c>
      <c r="M816" t="inlineStr">
        <is>
          <t>1926</t>
        </is>
      </c>
      <c r="O816" t="inlineStr">
        <is>
          <t>eng</t>
        </is>
      </c>
      <c r="P816" t="inlineStr">
        <is>
          <t>nyu</t>
        </is>
      </c>
      <c r="R816" t="inlineStr">
        <is>
          <t xml:space="preserve">BX </t>
        </is>
      </c>
      <c r="S816" t="n">
        <v>1</v>
      </c>
      <c r="T816" t="n">
        <v>1</v>
      </c>
      <c r="U816" t="inlineStr">
        <is>
          <t>2000-10-24</t>
        </is>
      </c>
      <c r="V816" t="inlineStr">
        <is>
          <t>2000-10-24</t>
        </is>
      </c>
      <c r="W816" t="inlineStr">
        <is>
          <t>1991-06-25</t>
        </is>
      </c>
      <c r="X816" t="inlineStr">
        <is>
          <t>1991-06-25</t>
        </is>
      </c>
      <c r="Y816" t="n">
        <v>153</v>
      </c>
      <c r="Z816" t="n">
        <v>146</v>
      </c>
      <c r="AA816" t="n">
        <v>181</v>
      </c>
      <c r="AB816" t="n">
        <v>1</v>
      </c>
      <c r="AC816" t="n">
        <v>1</v>
      </c>
      <c r="AD816" t="n">
        <v>22</v>
      </c>
      <c r="AE816" t="n">
        <v>25</v>
      </c>
      <c r="AF816" t="n">
        <v>8</v>
      </c>
      <c r="AG816" t="n">
        <v>8</v>
      </c>
      <c r="AH816" t="n">
        <v>6</v>
      </c>
      <c r="AI816" t="n">
        <v>7</v>
      </c>
      <c r="AJ816" t="n">
        <v>17</v>
      </c>
      <c r="AK816" t="n">
        <v>19</v>
      </c>
      <c r="AL816" t="n">
        <v>0</v>
      </c>
      <c r="AM816" t="n">
        <v>0</v>
      </c>
      <c r="AN816" t="n">
        <v>0</v>
      </c>
      <c r="AO816" t="n">
        <v>0</v>
      </c>
      <c r="AP816" t="inlineStr">
        <is>
          <t>No</t>
        </is>
      </c>
      <c r="AQ816" t="inlineStr">
        <is>
          <t>No</t>
        </is>
      </c>
      <c r="AS816">
        <f>HYPERLINK("https://creighton-primo.hosted.exlibrisgroup.com/primo-explore/search?tab=default_tab&amp;search_scope=EVERYTHING&amp;vid=01CRU&amp;lang=en_US&amp;offset=0&amp;query=any,contains,991003256269702656","Catalog Record")</f>
        <v/>
      </c>
      <c r="AT816">
        <f>HYPERLINK("http://www.worldcat.org/oclc/781533","WorldCat Record")</f>
        <v/>
      </c>
      <c r="AU816" t="inlineStr">
        <is>
          <t>3901885559:eng</t>
        </is>
      </c>
      <c r="AV816" t="inlineStr">
        <is>
          <t>781533</t>
        </is>
      </c>
      <c r="AW816" t="inlineStr">
        <is>
          <t>991003256269702656</t>
        </is>
      </c>
      <c r="AX816" t="inlineStr">
        <is>
          <t>991003256269702656</t>
        </is>
      </c>
      <c r="AY816" t="inlineStr">
        <is>
          <t>2260898650002656</t>
        </is>
      </c>
      <c r="AZ816" t="inlineStr">
        <is>
          <t>BOOK</t>
        </is>
      </c>
      <c r="BC816" t="inlineStr">
        <is>
          <t>32285000665892</t>
        </is>
      </c>
      <c r="BD816" t="inlineStr">
        <is>
          <t>893441085</t>
        </is>
      </c>
    </row>
    <row r="817">
      <c r="A817" t="inlineStr">
        <is>
          <t>No</t>
        </is>
      </c>
      <c r="B817" t="inlineStr">
        <is>
          <t>BX1815 .K38 1960</t>
        </is>
      </c>
      <c r="C817" t="inlineStr">
        <is>
          <t>0                      BX 1815000K  38          1960</t>
        </is>
      </c>
      <c r="D817" t="inlineStr">
        <is>
          <t>The papal princes : a history of the Sacred College of Cardinals / by Glenn D. Kittler.</t>
        </is>
      </c>
      <c r="F817" t="inlineStr">
        <is>
          <t>No</t>
        </is>
      </c>
      <c r="G817" t="inlineStr">
        <is>
          <t>1</t>
        </is>
      </c>
      <c r="H817" t="inlineStr">
        <is>
          <t>No</t>
        </is>
      </c>
      <c r="I817" t="inlineStr">
        <is>
          <t>No</t>
        </is>
      </c>
      <c r="J817" t="inlineStr">
        <is>
          <t>0</t>
        </is>
      </c>
      <c r="K817" t="inlineStr">
        <is>
          <t>Kittler, Glenn D.</t>
        </is>
      </c>
      <c r="L817" t="inlineStr">
        <is>
          <t>New York : Funk &amp; Wagnalls, [1960]</t>
        </is>
      </c>
      <c r="M817" t="inlineStr">
        <is>
          <t>1960</t>
        </is>
      </c>
      <c r="O817" t="inlineStr">
        <is>
          <t>eng</t>
        </is>
      </c>
      <c r="P817" t="inlineStr">
        <is>
          <t>nyu</t>
        </is>
      </c>
      <c r="R817" t="inlineStr">
        <is>
          <t xml:space="preserve">BX </t>
        </is>
      </c>
      <c r="S817" t="n">
        <v>4</v>
      </c>
      <c r="T817" t="n">
        <v>4</v>
      </c>
      <c r="U817" t="inlineStr">
        <is>
          <t>2002-02-24</t>
        </is>
      </c>
      <c r="V817" t="inlineStr">
        <is>
          <t>2002-02-24</t>
        </is>
      </c>
      <c r="W817" t="inlineStr">
        <is>
          <t>1991-06-25</t>
        </is>
      </c>
      <c r="X817" t="inlineStr">
        <is>
          <t>1991-06-25</t>
        </is>
      </c>
      <c r="Y817" t="n">
        <v>523</v>
      </c>
      <c r="Z817" t="n">
        <v>482</v>
      </c>
      <c r="AA817" t="n">
        <v>501</v>
      </c>
      <c r="AB817" t="n">
        <v>5</v>
      </c>
      <c r="AC817" t="n">
        <v>5</v>
      </c>
      <c r="AD817" t="n">
        <v>35</v>
      </c>
      <c r="AE817" t="n">
        <v>35</v>
      </c>
      <c r="AF817" t="n">
        <v>10</v>
      </c>
      <c r="AG817" t="n">
        <v>10</v>
      </c>
      <c r="AH817" t="n">
        <v>9</v>
      </c>
      <c r="AI817" t="n">
        <v>9</v>
      </c>
      <c r="AJ817" t="n">
        <v>26</v>
      </c>
      <c r="AK817" t="n">
        <v>26</v>
      </c>
      <c r="AL817" t="n">
        <v>2</v>
      </c>
      <c r="AM817" t="n">
        <v>2</v>
      </c>
      <c r="AN817" t="n">
        <v>0</v>
      </c>
      <c r="AO817" t="n">
        <v>0</v>
      </c>
      <c r="AP817" t="inlineStr">
        <is>
          <t>No</t>
        </is>
      </c>
      <c r="AQ817" t="inlineStr">
        <is>
          <t>Yes</t>
        </is>
      </c>
      <c r="AR817">
        <f>HYPERLINK("http://catalog.hathitrust.org/Record/000467952","HathiTrust Record")</f>
        <v/>
      </c>
      <c r="AS817">
        <f>HYPERLINK("https://creighton-primo.hosted.exlibrisgroup.com/primo-explore/search?tab=default_tab&amp;search_scope=EVERYTHING&amp;vid=01CRU&amp;lang=en_US&amp;offset=0&amp;query=any,contains,991003186899702656","Catalog Record")</f>
        <v/>
      </c>
      <c r="AT817">
        <f>HYPERLINK("http://www.worldcat.org/oclc/713226","WorldCat Record")</f>
        <v/>
      </c>
      <c r="AU817" t="inlineStr">
        <is>
          <t>1669381:eng</t>
        </is>
      </c>
      <c r="AV817" t="inlineStr">
        <is>
          <t>713226</t>
        </is>
      </c>
      <c r="AW817" t="inlineStr">
        <is>
          <t>991003186899702656</t>
        </is>
      </c>
      <c r="AX817" t="inlineStr">
        <is>
          <t>991003186899702656</t>
        </is>
      </c>
      <c r="AY817" t="inlineStr">
        <is>
          <t>2254999180002656</t>
        </is>
      </c>
      <c r="AZ817" t="inlineStr">
        <is>
          <t>BOOK</t>
        </is>
      </c>
      <c r="BC817" t="inlineStr">
        <is>
          <t>32285000665983</t>
        </is>
      </c>
      <c r="BD817" t="inlineStr">
        <is>
          <t>893604521</t>
        </is>
      </c>
    </row>
    <row r="818">
      <c r="A818" t="inlineStr">
        <is>
          <t>No</t>
        </is>
      </c>
      <c r="B818" t="inlineStr">
        <is>
          <t>BX1818 .A46 2004</t>
        </is>
      </c>
      <c r="C818" t="inlineStr">
        <is>
          <t>0                      BX 1818000A  46          2004</t>
        </is>
      </c>
      <c r="D818" t="inlineStr">
        <is>
          <t>All the Pope's men : the inside story of how the Vatican really thinks / John L. Allen, Jr.</t>
        </is>
      </c>
      <c r="F818" t="inlineStr">
        <is>
          <t>No</t>
        </is>
      </c>
      <c r="G818" t="inlineStr">
        <is>
          <t>1</t>
        </is>
      </c>
      <c r="H818" t="inlineStr">
        <is>
          <t>No</t>
        </is>
      </c>
      <c r="I818" t="inlineStr">
        <is>
          <t>No</t>
        </is>
      </c>
      <c r="J818" t="inlineStr">
        <is>
          <t>0</t>
        </is>
      </c>
      <c r="K818" t="inlineStr">
        <is>
          <t>Allen, John L., Jr., 1965-</t>
        </is>
      </c>
      <c r="L818" t="inlineStr">
        <is>
          <t>New York : Doubleday, 2004.</t>
        </is>
      </c>
      <c r="M818" t="inlineStr">
        <is>
          <t>2004</t>
        </is>
      </c>
      <c r="O818" t="inlineStr">
        <is>
          <t>eng</t>
        </is>
      </c>
      <c r="P818" t="inlineStr">
        <is>
          <t>nyu</t>
        </is>
      </c>
      <c r="R818" t="inlineStr">
        <is>
          <t xml:space="preserve">BX </t>
        </is>
      </c>
      <c r="S818" t="n">
        <v>2</v>
      </c>
      <c r="T818" t="n">
        <v>2</v>
      </c>
      <c r="U818" t="inlineStr">
        <is>
          <t>2006-07-14</t>
        </is>
      </c>
      <c r="V818" t="inlineStr">
        <is>
          <t>2006-07-14</t>
        </is>
      </c>
      <c r="W818" t="inlineStr">
        <is>
          <t>2005-07-05</t>
        </is>
      </c>
      <c r="X818" t="inlineStr">
        <is>
          <t>2005-07-05</t>
        </is>
      </c>
      <c r="Y818" t="n">
        <v>609</v>
      </c>
      <c r="Z818" t="n">
        <v>535</v>
      </c>
      <c r="AA818" t="n">
        <v>606</v>
      </c>
      <c r="AB818" t="n">
        <v>6</v>
      </c>
      <c r="AC818" t="n">
        <v>6</v>
      </c>
      <c r="AD818" t="n">
        <v>32</v>
      </c>
      <c r="AE818" t="n">
        <v>32</v>
      </c>
      <c r="AF818" t="n">
        <v>11</v>
      </c>
      <c r="AG818" t="n">
        <v>11</v>
      </c>
      <c r="AH818" t="n">
        <v>8</v>
      </c>
      <c r="AI818" t="n">
        <v>8</v>
      </c>
      <c r="AJ818" t="n">
        <v>19</v>
      </c>
      <c r="AK818" t="n">
        <v>19</v>
      </c>
      <c r="AL818" t="n">
        <v>3</v>
      </c>
      <c r="AM818" t="n">
        <v>3</v>
      </c>
      <c r="AN818" t="n">
        <v>0</v>
      </c>
      <c r="AO818" t="n">
        <v>0</v>
      </c>
      <c r="AP818" t="inlineStr">
        <is>
          <t>No</t>
        </is>
      </c>
      <c r="AQ818" t="inlineStr">
        <is>
          <t>No</t>
        </is>
      </c>
      <c r="AS818">
        <f>HYPERLINK("https://creighton-primo.hosted.exlibrisgroup.com/primo-explore/search?tab=default_tab&amp;search_scope=EVERYTHING&amp;vid=01CRU&amp;lang=en_US&amp;offset=0&amp;query=any,contains,991004581729702656","Catalog Record")</f>
        <v/>
      </c>
      <c r="AT818">
        <f>HYPERLINK("http://www.worldcat.org/oclc/53476590","WorldCat Record")</f>
        <v/>
      </c>
      <c r="AU818" t="inlineStr">
        <is>
          <t>196645456:eng</t>
        </is>
      </c>
      <c r="AV818" t="inlineStr">
        <is>
          <t>53476590</t>
        </is>
      </c>
      <c r="AW818" t="inlineStr">
        <is>
          <t>991004581729702656</t>
        </is>
      </c>
      <c r="AX818" t="inlineStr">
        <is>
          <t>991004581729702656</t>
        </is>
      </c>
      <c r="AY818" t="inlineStr">
        <is>
          <t>2268988600002656</t>
        </is>
      </c>
      <c r="AZ818" t="inlineStr">
        <is>
          <t>BOOK</t>
        </is>
      </c>
      <c r="BB818" t="inlineStr">
        <is>
          <t>9780385509664</t>
        </is>
      </c>
      <c r="BC818" t="inlineStr">
        <is>
          <t>32285005094601</t>
        </is>
      </c>
      <c r="BD818" t="inlineStr">
        <is>
          <t>893259894</t>
        </is>
      </c>
    </row>
    <row r="819">
      <c r="A819" t="inlineStr">
        <is>
          <t>No</t>
        </is>
      </c>
      <c r="B819" t="inlineStr">
        <is>
          <t>BX183.2 .M66 1986</t>
        </is>
      </c>
      <c r="C819" t="inlineStr">
        <is>
          <t>0                      BX 0183200M  66          1986</t>
        </is>
      </c>
      <c r="D819" t="inlineStr">
        <is>
          <t>The Maronites in history / Matti Moosa.</t>
        </is>
      </c>
      <c r="F819" t="inlineStr">
        <is>
          <t>No</t>
        </is>
      </c>
      <c r="G819" t="inlineStr">
        <is>
          <t>1</t>
        </is>
      </c>
      <c r="H819" t="inlineStr">
        <is>
          <t>No</t>
        </is>
      </c>
      <c r="I819" t="inlineStr">
        <is>
          <t>No</t>
        </is>
      </c>
      <c r="J819" t="inlineStr">
        <is>
          <t>0</t>
        </is>
      </c>
      <c r="K819" t="inlineStr">
        <is>
          <t>Moosa, Matti.</t>
        </is>
      </c>
      <c r="L819" t="inlineStr">
        <is>
          <t>Syracuse, N.Y. : Syracuse University Press, 1986.</t>
        </is>
      </c>
      <c r="M819" t="inlineStr">
        <is>
          <t>1986</t>
        </is>
      </c>
      <c r="N819" t="inlineStr">
        <is>
          <t>1st ed.</t>
        </is>
      </c>
      <c r="O819" t="inlineStr">
        <is>
          <t>eng</t>
        </is>
      </c>
      <c r="P819" t="inlineStr">
        <is>
          <t>nyu</t>
        </is>
      </c>
      <c r="R819" t="inlineStr">
        <is>
          <t xml:space="preserve">BX </t>
        </is>
      </c>
      <c r="S819" t="n">
        <v>3</v>
      </c>
      <c r="T819" t="n">
        <v>3</v>
      </c>
      <c r="U819" t="inlineStr">
        <is>
          <t>2007-04-17</t>
        </is>
      </c>
      <c r="V819" t="inlineStr">
        <is>
          <t>2007-04-17</t>
        </is>
      </c>
      <c r="W819" t="inlineStr">
        <is>
          <t>1992-03-26</t>
        </is>
      </c>
      <c r="X819" t="inlineStr">
        <is>
          <t>1992-03-26</t>
        </is>
      </c>
      <c r="Y819" t="n">
        <v>413</v>
      </c>
      <c r="Z819" t="n">
        <v>346</v>
      </c>
      <c r="AA819" t="n">
        <v>355</v>
      </c>
      <c r="AB819" t="n">
        <v>3</v>
      </c>
      <c r="AC819" t="n">
        <v>3</v>
      </c>
      <c r="AD819" t="n">
        <v>19</v>
      </c>
      <c r="AE819" t="n">
        <v>19</v>
      </c>
      <c r="AF819" t="n">
        <v>6</v>
      </c>
      <c r="AG819" t="n">
        <v>6</v>
      </c>
      <c r="AH819" t="n">
        <v>5</v>
      </c>
      <c r="AI819" t="n">
        <v>5</v>
      </c>
      <c r="AJ819" t="n">
        <v>12</v>
      </c>
      <c r="AK819" t="n">
        <v>12</v>
      </c>
      <c r="AL819" t="n">
        <v>2</v>
      </c>
      <c r="AM819" t="n">
        <v>2</v>
      </c>
      <c r="AN819" t="n">
        <v>0</v>
      </c>
      <c r="AO819" t="n">
        <v>0</v>
      </c>
      <c r="AP819" t="inlineStr">
        <is>
          <t>No</t>
        </is>
      </c>
      <c r="AQ819" t="inlineStr">
        <is>
          <t>No</t>
        </is>
      </c>
      <c r="AS819">
        <f>HYPERLINK("https://creighton-primo.hosted.exlibrisgroup.com/primo-explore/search?tab=default_tab&amp;search_scope=EVERYTHING&amp;vid=01CRU&amp;lang=en_US&amp;offset=0&amp;query=any,contains,991000791219702656","Catalog Record")</f>
        <v/>
      </c>
      <c r="AT819">
        <f>HYPERLINK("http://www.worldcat.org/oclc/13157990","WorldCat Record")</f>
        <v/>
      </c>
      <c r="AU819" t="inlineStr">
        <is>
          <t>5560258:eng</t>
        </is>
      </c>
      <c r="AV819" t="inlineStr">
        <is>
          <t>13157990</t>
        </is>
      </c>
      <c r="AW819" t="inlineStr">
        <is>
          <t>991000791219702656</t>
        </is>
      </c>
      <c r="AX819" t="inlineStr">
        <is>
          <t>991000791219702656</t>
        </is>
      </c>
      <c r="AY819" t="inlineStr">
        <is>
          <t>2264791360002656</t>
        </is>
      </c>
      <c r="AZ819" t="inlineStr">
        <is>
          <t>BOOK</t>
        </is>
      </c>
      <c r="BB819" t="inlineStr">
        <is>
          <t>9780815623656</t>
        </is>
      </c>
      <c r="BC819" t="inlineStr">
        <is>
          <t>32285001017432</t>
        </is>
      </c>
      <c r="BD819" t="inlineStr">
        <is>
          <t>893426041</t>
        </is>
      </c>
    </row>
    <row r="820">
      <c r="A820" t="inlineStr">
        <is>
          <t>No</t>
        </is>
      </c>
      <c r="B820" t="inlineStr">
        <is>
          <t>BX1905 .B57</t>
        </is>
      </c>
      <c r="C820" t="inlineStr">
        <is>
          <t>0                      BX 1905000B  57</t>
        </is>
      </c>
      <c r="D820" t="inlineStr">
        <is>
          <t>The ministry of bishops : papers from the Collegeville assembly : the Bishops' Assembly for Prayer and Reflection on Episcopal Ministry, June 13-23, 1982, St. John's University, Collegeville, Minnesota.</t>
        </is>
      </c>
      <c r="F820" t="inlineStr">
        <is>
          <t>No</t>
        </is>
      </c>
      <c r="G820" t="inlineStr">
        <is>
          <t>1</t>
        </is>
      </c>
      <c r="H820" t="inlineStr">
        <is>
          <t>No</t>
        </is>
      </c>
      <c r="I820" t="inlineStr">
        <is>
          <t>No</t>
        </is>
      </c>
      <c r="J820" t="inlineStr">
        <is>
          <t>0</t>
        </is>
      </c>
      <c r="K820" t="inlineStr">
        <is>
          <t>Bishops' Assembly for Prayer and Reflection on Episcopal Ministry (1982 : St. John's University)</t>
        </is>
      </c>
      <c r="L820" t="inlineStr">
        <is>
          <t>[Washington, D.C.] : National Conference of Catholic Bishops, c1982.</t>
        </is>
      </c>
      <c r="M820" t="inlineStr">
        <is>
          <t>1982</t>
        </is>
      </c>
      <c r="O820" t="inlineStr">
        <is>
          <t>eng</t>
        </is>
      </c>
      <c r="P820" t="inlineStr">
        <is>
          <t>dcu</t>
        </is>
      </c>
      <c r="R820" t="inlineStr">
        <is>
          <t xml:space="preserve">BX </t>
        </is>
      </c>
      <c r="S820" t="n">
        <v>1</v>
      </c>
      <c r="T820" t="n">
        <v>1</v>
      </c>
      <c r="U820" t="inlineStr">
        <is>
          <t>2005-10-07</t>
        </is>
      </c>
      <c r="V820" t="inlineStr">
        <is>
          <t>2005-10-07</t>
        </is>
      </c>
      <c r="W820" t="inlineStr">
        <is>
          <t>1991-06-25</t>
        </is>
      </c>
      <c r="X820" t="inlineStr">
        <is>
          <t>1991-06-25</t>
        </is>
      </c>
      <c r="Y820" t="n">
        <v>56</v>
      </c>
      <c r="Z820" t="n">
        <v>55</v>
      </c>
      <c r="AA820" t="n">
        <v>111</v>
      </c>
      <c r="AB820" t="n">
        <v>1</v>
      </c>
      <c r="AC820" t="n">
        <v>1</v>
      </c>
      <c r="AD820" t="n">
        <v>12</v>
      </c>
      <c r="AE820" t="n">
        <v>21</v>
      </c>
      <c r="AF820" t="n">
        <v>3</v>
      </c>
      <c r="AG820" t="n">
        <v>7</v>
      </c>
      <c r="AH820" t="n">
        <v>3</v>
      </c>
      <c r="AI820" t="n">
        <v>5</v>
      </c>
      <c r="AJ820" t="n">
        <v>9</v>
      </c>
      <c r="AK820" t="n">
        <v>16</v>
      </c>
      <c r="AL820" t="n">
        <v>0</v>
      </c>
      <c r="AM820" t="n">
        <v>0</v>
      </c>
      <c r="AN820" t="n">
        <v>0</v>
      </c>
      <c r="AO820" t="n">
        <v>0</v>
      </c>
      <c r="AP820" t="inlineStr">
        <is>
          <t>No</t>
        </is>
      </c>
      <c r="AQ820" t="inlineStr">
        <is>
          <t>No</t>
        </is>
      </c>
      <c r="AS820">
        <f>HYPERLINK("https://creighton-primo.hosted.exlibrisgroup.com/primo-explore/search?tab=default_tab&amp;search_scope=EVERYTHING&amp;vid=01CRU&amp;lang=en_US&amp;offset=0&amp;query=any,contains,991000114179702656","Catalog Record")</f>
        <v/>
      </c>
      <c r="AT820">
        <f>HYPERLINK("http://www.worldcat.org/oclc/9022836","WorldCat Record")</f>
        <v/>
      </c>
      <c r="AU820" t="inlineStr">
        <is>
          <t>8906988841:eng</t>
        </is>
      </c>
      <c r="AV820" t="inlineStr">
        <is>
          <t>9022836</t>
        </is>
      </c>
      <c r="AW820" t="inlineStr">
        <is>
          <t>991000114179702656</t>
        </is>
      </c>
      <c r="AX820" t="inlineStr">
        <is>
          <t>991000114179702656</t>
        </is>
      </c>
      <c r="AY820" t="inlineStr">
        <is>
          <t>2261685400002656</t>
        </is>
      </c>
      <c r="AZ820" t="inlineStr">
        <is>
          <t>BOOK</t>
        </is>
      </c>
      <c r="BC820" t="inlineStr">
        <is>
          <t>32285000666056</t>
        </is>
      </c>
      <c r="BD820" t="inlineStr">
        <is>
          <t>893431703</t>
        </is>
      </c>
    </row>
    <row r="821">
      <c r="A821" t="inlineStr">
        <is>
          <t>No</t>
        </is>
      </c>
      <c r="B821" t="inlineStr">
        <is>
          <t>BX1905 .R313</t>
        </is>
      </c>
      <c r="C821" t="inlineStr">
        <is>
          <t>0                      BX 1905000R  313</t>
        </is>
      </c>
      <c r="D821" t="inlineStr">
        <is>
          <t>Bishops, their status and function / by Karl Rahner. Translated by Edward Quinn.</t>
        </is>
      </c>
      <c r="F821" t="inlineStr">
        <is>
          <t>No</t>
        </is>
      </c>
      <c r="G821" t="inlineStr">
        <is>
          <t>1</t>
        </is>
      </c>
      <c r="H821" t="inlineStr">
        <is>
          <t>No</t>
        </is>
      </c>
      <c r="I821" t="inlineStr">
        <is>
          <t>No</t>
        </is>
      </c>
      <c r="J821" t="inlineStr">
        <is>
          <t>0</t>
        </is>
      </c>
      <c r="K821" t="inlineStr">
        <is>
          <t>Rahner, Karl, 1904-1984.</t>
        </is>
      </c>
      <c r="L821" t="inlineStr">
        <is>
          <t>Baltimore : Helicon, [1965]</t>
        </is>
      </c>
      <c r="M821" t="inlineStr">
        <is>
          <t>1965</t>
        </is>
      </c>
      <c r="O821" t="inlineStr">
        <is>
          <t>eng</t>
        </is>
      </c>
      <c r="P821" t="inlineStr">
        <is>
          <t>___</t>
        </is>
      </c>
      <c r="Q821" t="inlineStr">
        <is>
          <t>Challenge books</t>
        </is>
      </c>
      <c r="R821" t="inlineStr">
        <is>
          <t xml:space="preserve">BX </t>
        </is>
      </c>
      <c r="S821" t="n">
        <v>3</v>
      </c>
      <c r="T821" t="n">
        <v>3</v>
      </c>
      <c r="U821" t="inlineStr">
        <is>
          <t>2002-04-03</t>
        </is>
      </c>
      <c r="V821" t="inlineStr">
        <is>
          <t>2002-04-03</t>
        </is>
      </c>
      <c r="W821" t="inlineStr">
        <is>
          <t>1991-06-27</t>
        </is>
      </c>
      <c r="X821" t="inlineStr">
        <is>
          <t>1991-06-27</t>
        </is>
      </c>
      <c r="Y821" t="n">
        <v>165</v>
      </c>
      <c r="Z821" t="n">
        <v>159</v>
      </c>
      <c r="AA821" t="n">
        <v>240</v>
      </c>
      <c r="AB821" t="n">
        <v>2</v>
      </c>
      <c r="AC821" t="n">
        <v>2</v>
      </c>
      <c r="AD821" t="n">
        <v>25</v>
      </c>
      <c r="AE821" t="n">
        <v>33</v>
      </c>
      <c r="AF821" t="n">
        <v>7</v>
      </c>
      <c r="AG821" t="n">
        <v>10</v>
      </c>
      <c r="AH821" t="n">
        <v>8</v>
      </c>
      <c r="AI821" t="n">
        <v>9</v>
      </c>
      <c r="AJ821" t="n">
        <v>19</v>
      </c>
      <c r="AK821" t="n">
        <v>25</v>
      </c>
      <c r="AL821" t="n">
        <v>1</v>
      </c>
      <c r="AM821" t="n">
        <v>1</v>
      </c>
      <c r="AN821" t="n">
        <v>0</v>
      </c>
      <c r="AO821" t="n">
        <v>0</v>
      </c>
      <c r="AP821" t="inlineStr">
        <is>
          <t>No</t>
        </is>
      </c>
      <c r="AQ821" t="inlineStr">
        <is>
          <t>Yes</t>
        </is>
      </c>
      <c r="AR821">
        <f>HYPERLINK("http://catalog.hathitrust.org/Record/007951162","HathiTrust Record")</f>
        <v/>
      </c>
      <c r="AS821">
        <f>HYPERLINK("https://creighton-primo.hosted.exlibrisgroup.com/primo-explore/search?tab=default_tab&amp;search_scope=EVERYTHING&amp;vid=01CRU&amp;lang=en_US&amp;offset=0&amp;query=any,contains,991003108729702656","Catalog Record")</f>
        <v/>
      </c>
      <c r="AT821">
        <f>HYPERLINK("http://www.worldcat.org/oclc/655679","WorldCat Record")</f>
        <v/>
      </c>
      <c r="AU821" t="inlineStr">
        <is>
          <t>148412194:eng</t>
        </is>
      </c>
      <c r="AV821" t="inlineStr">
        <is>
          <t>655679</t>
        </is>
      </c>
      <c r="AW821" t="inlineStr">
        <is>
          <t>991003108729702656</t>
        </is>
      </c>
      <c r="AX821" t="inlineStr">
        <is>
          <t>991003108729702656</t>
        </is>
      </c>
      <c r="AY821" t="inlineStr">
        <is>
          <t>2260751740002656</t>
        </is>
      </c>
      <c r="AZ821" t="inlineStr">
        <is>
          <t>BOOK</t>
        </is>
      </c>
      <c r="BC821" t="inlineStr">
        <is>
          <t>32285000666098</t>
        </is>
      </c>
      <c r="BD821" t="inlineStr">
        <is>
          <t>893239892</t>
        </is>
      </c>
    </row>
    <row r="822">
      <c r="A822" t="inlineStr">
        <is>
          <t>No</t>
        </is>
      </c>
      <c r="B822" t="inlineStr">
        <is>
          <t>BX1905 .S85 2001</t>
        </is>
      </c>
      <c r="C822" t="inlineStr">
        <is>
          <t>0                      BX 1905000S  85          2001</t>
        </is>
      </c>
      <c r="D822" t="inlineStr">
        <is>
          <t>From apostles to bishops : the development of the episcopacy in the early church / by Francis A. Sullivan.</t>
        </is>
      </c>
      <c r="F822" t="inlineStr">
        <is>
          <t>No</t>
        </is>
      </c>
      <c r="G822" t="inlineStr">
        <is>
          <t>1</t>
        </is>
      </c>
      <c r="H822" t="inlineStr">
        <is>
          <t>No</t>
        </is>
      </c>
      <c r="I822" t="inlineStr">
        <is>
          <t>No</t>
        </is>
      </c>
      <c r="J822" t="inlineStr">
        <is>
          <t>0</t>
        </is>
      </c>
      <c r="K822" t="inlineStr">
        <is>
          <t>Sullivan, Francis Aloysius.</t>
        </is>
      </c>
      <c r="L822" t="inlineStr">
        <is>
          <t>New York : Newman Press, c2001.</t>
        </is>
      </c>
      <c r="M822" t="inlineStr">
        <is>
          <t>2001</t>
        </is>
      </c>
      <c r="O822" t="inlineStr">
        <is>
          <t>eng</t>
        </is>
      </c>
      <c r="P822" t="inlineStr">
        <is>
          <t>nyu</t>
        </is>
      </c>
      <c r="R822" t="inlineStr">
        <is>
          <t xml:space="preserve">BX </t>
        </is>
      </c>
      <c r="S822" t="n">
        <v>4</v>
      </c>
      <c r="T822" t="n">
        <v>4</v>
      </c>
      <c r="U822" t="inlineStr">
        <is>
          <t>2005-04-10</t>
        </is>
      </c>
      <c r="V822" t="inlineStr">
        <is>
          <t>2005-04-10</t>
        </is>
      </c>
      <c r="W822" t="inlineStr">
        <is>
          <t>2001-12-03</t>
        </is>
      </c>
      <c r="X822" t="inlineStr">
        <is>
          <t>2001-12-03</t>
        </is>
      </c>
      <c r="Y822" t="n">
        <v>265</v>
      </c>
      <c r="Z822" t="n">
        <v>220</v>
      </c>
      <c r="AA822" t="n">
        <v>220</v>
      </c>
      <c r="AB822" t="n">
        <v>1</v>
      </c>
      <c r="AC822" t="n">
        <v>1</v>
      </c>
      <c r="AD822" t="n">
        <v>26</v>
      </c>
      <c r="AE822" t="n">
        <v>26</v>
      </c>
      <c r="AF822" t="n">
        <v>7</v>
      </c>
      <c r="AG822" t="n">
        <v>7</v>
      </c>
      <c r="AH822" t="n">
        <v>8</v>
      </c>
      <c r="AI822" t="n">
        <v>8</v>
      </c>
      <c r="AJ822" t="n">
        <v>21</v>
      </c>
      <c r="AK822" t="n">
        <v>21</v>
      </c>
      <c r="AL822" t="n">
        <v>0</v>
      </c>
      <c r="AM822" t="n">
        <v>0</v>
      </c>
      <c r="AN822" t="n">
        <v>0</v>
      </c>
      <c r="AO822" t="n">
        <v>0</v>
      </c>
      <c r="AP822" t="inlineStr">
        <is>
          <t>No</t>
        </is>
      </c>
      <c r="AQ822" t="inlineStr">
        <is>
          <t>No</t>
        </is>
      </c>
      <c r="AS822">
        <f>HYPERLINK("https://creighton-primo.hosted.exlibrisgroup.com/primo-explore/search?tab=default_tab&amp;search_scope=EVERYTHING&amp;vid=01CRU&amp;lang=en_US&amp;offset=0&amp;query=any,contains,991003650399702656","Catalog Record")</f>
        <v/>
      </c>
      <c r="AT822">
        <f>HYPERLINK("http://www.worldcat.org/oclc/46917962","WorldCat Record")</f>
        <v/>
      </c>
      <c r="AU822" t="inlineStr">
        <is>
          <t>890747591:eng</t>
        </is>
      </c>
      <c r="AV822" t="inlineStr">
        <is>
          <t>46917962</t>
        </is>
      </c>
      <c r="AW822" t="inlineStr">
        <is>
          <t>991003650399702656</t>
        </is>
      </c>
      <c r="AX822" t="inlineStr">
        <is>
          <t>991003650399702656</t>
        </is>
      </c>
      <c r="AY822" t="inlineStr">
        <is>
          <t>2259621700002656</t>
        </is>
      </c>
      <c r="AZ822" t="inlineStr">
        <is>
          <t>BOOK</t>
        </is>
      </c>
      <c r="BB822" t="inlineStr">
        <is>
          <t>9780809105342</t>
        </is>
      </c>
      <c r="BC822" t="inlineStr">
        <is>
          <t>32285004414966</t>
        </is>
      </c>
      <c r="BD822" t="inlineStr">
        <is>
          <t>893240444</t>
        </is>
      </c>
    </row>
    <row r="823">
      <c r="A823" t="inlineStr">
        <is>
          <t>No</t>
        </is>
      </c>
      <c r="B823" t="inlineStr">
        <is>
          <t>BX1905 .T52 1992</t>
        </is>
      </c>
      <c r="C823" t="inlineStr">
        <is>
          <t>0                      BX 1905000T  52          1992</t>
        </is>
      </c>
      <c r="D823" t="inlineStr">
        <is>
          <t>The Teaching ministry of the diocesan bishop : a pastoral reflection / [Subcommittee of the Committee on Doctrine of the N.C.C.B.]</t>
        </is>
      </c>
      <c r="F823" t="inlineStr">
        <is>
          <t>No</t>
        </is>
      </c>
      <c r="G823" t="inlineStr">
        <is>
          <t>1</t>
        </is>
      </c>
      <c r="H823" t="inlineStr">
        <is>
          <t>No</t>
        </is>
      </c>
      <c r="I823" t="inlineStr">
        <is>
          <t>No</t>
        </is>
      </c>
      <c r="J823" t="inlineStr">
        <is>
          <t>0</t>
        </is>
      </c>
      <c r="L823" t="inlineStr">
        <is>
          <t>Washington, D.C. : National Conference of Catholic Bishops, 1992.</t>
        </is>
      </c>
      <c r="M823" t="inlineStr">
        <is>
          <t>1992</t>
        </is>
      </c>
      <c r="O823" t="inlineStr">
        <is>
          <t>eng</t>
        </is>
      </c>
      <c r="P823" t="inlineStr">
        <is>
          <t>dcu</t>
        </is>
      </c>
      <c r="Q823" t="inlineStr">
        <is>
          <t>Publication / Office for Publishing and Promotion Services, United States Catholic Conference ; no. 484-8</t>
        </is>
      </c>
      <c r="R823" t="inlineStr">
        <is>
          <t xml:space="preserve">BX </t>
        </is>
      </c>
      <c r="S823" t="n">
        <v>1</v>
      </c>
      <c r="T823" t="n">
        <v>1</v>
      </c>
      <c r="U823" t="inlineStr">
        <is>
          <t>1992-09-10</t>
        </is>
      </c>
      <c r="V823" t="inlineStr">
        <is>
          <t>1992-09-10</t>
        </is>
      </c>
      <c r="W823" t="inlineStr">
        <is>
          <t>1992-07-08</t>
        </is>
      </c>
      <c r="X823" t="inlineStr">
        <is>
          <t>1992-07-08</t>
        </is>
      </c>
      <c r="Y823" t="n">
        <v>70</v>
      </c>
      <c r="Z823" t="n">
        <v>66</v>
      </c>
      <c r="AA823" t="n">
        <v>66</v>
      </c>
      <c r="AB823" t="n">
        <v>1</v>
      </c>
      <c r="AC823" t="n">
        <v>1</v>
      </c>
      <c r="AD823" t="n">
        <v>12</v>
      </c>
      <c r="AE823" t="n">
        <v>12</v>
      </c>
      <c r="AF823" t="n">
        <v>3</v>
      </c>
      <c r="AG823" t="n">
        <v>3</v>
      </c>
      <c r="AH823" t="n">
        <v>4</v>
      </c>
      <c r="AI823" t="n">
        <v>4</v>
      </c>
      <c r="AJ823" t="n">
        <v>8</v>
      </c>
      <c r="AK823" t="n">
        <v>8</v>
      </c>
      <c r="AL823" t="n">
        <v>0</v>
      </c>
      <c r="AM823" t="n">
        <v>0</v>
      </c>
      <c r="AN823" t="n">
        <v>0</v>
      </c>
      <c r="AO823" t="n">
        <v>0</v>
      </c>
      <c r="AP823" t="inlineStr">
        <is>
          <t>No</t>
        </is>
      </c>
      <c r="AQ823" t="inlineStr">
        <is>
          <t>No</t>
        </is>
      </c>
      <c r="AS823">
        <f>HYPERLINK("https://creighton-primo.hosted.exlibrisgroup.com/primo-explore/search?tab=default_tab&amp;search_scope=EVERYTHING&amp;vid=01CRU&amp;lang=en_US&amp;offset=0&amp;query=any,contains,991002037559702656","Catalog Record")</f>
        <v/>
      </c>
      <c r="AT823">
        <f>HYPERLINK("http://www.worldcat.org/oclc/25978411","WorldCat Record")</f>
        <v/>
      </c>
      <c r="AU823" t="inlineStr">
        <is>
          <t>4673170295:eng</t>
        </is>
      </c>
      <c r="AV823" t="inlineStr">
        <is>
          <t>25978411</t>
        </is>
      </c>
      <c r="AW823" t="inlineStr">
        <is>
          <t>991002037559702656</t>
        </is>
      </c>
      <c r="AX823" t="inlineStr">
        <is>
          <t>991002037559702656</t>
        </is>
      </c>
      <c r="AY823" t="inlineStr">
        <is>
          <t>2261713020002656</t>
        </is>
      </c>
      <c r="AZ823" t="inlineStr">
        <is>
          <t>BOOK</t>
        </is>
      </c>
      <c r="BB823" t="inlineStr">
        <is>
          <t>9781555864842</t>
        </is>
      </c>
      <c r="BC823" t="inlineStr">
        <is>
          <t>32285001168912</t>
        </is>
      </c>
      <c r="BD823" t="inlineStr">
        <is>
          <t>893427136</t>
        </is>
      </c>
    </row>
    <row r="824">
      <c r="A824" t="inlineStr">
        <is>
          <t>No</t>
        </is>
      </c>
      <c r="B824" t="inlineStr">
        <is>
          <t>BX1912 .A323 1958</t>
        </is>
      </c>
      <c r="C824" t="inlineStr">
        <is>
          <t>0                      BX 1912000A  323         1958</t>
        </is>
      </c>
      <c r="D824" t="inlineStr">
        <is>
          <t>The Catholic priesthood, according to the teaching of the Church / [edited by] Pierre Veuillot. Pref. by His Excellency Monsignor Montini.</t>
        </is>
      </c>
      <c r="F824" t="inlineStr">
        <is>
          <t>No</t>
        </is>
      </c>
      <c r="G824" t="inlineStr">
        <is>
          <t>1</t>
        </is>
      </c>
      <c r="H824" t="inlineStr">
        <is>
          <t>No</t>
        </is>
      </c>
      <c r="I824" t="inlineStr">
        <is>
          <t>No</t>
        </is>
      </c>
      <c r="J824" t="inlineStr">
        <is>
          <t>0</t>
        </is>
      </c>
      <c r="K824" t="inlineStr">
        <is>
          <t>Catholic Church. Pope.</t>
        </is>
      </c>
      <c r="L824" t="inlineStr">
        <is>
          <t>Westminster, Md. : Newman Press, 1958-[64]</t>
        </is>
      </c>
      <c r="M824" t="inlineStr">
        <is>
          <t>1958</t>
        </is>
      </c>
      <c r="O824" t="inlineStr">
        <is>
          <t>eng</t>
        </is>
      </c>
      <c r="P824" t="inlineStr">
        <is>
          <t>mdu</t>
        </is>
      </c>
      <c r="R824" t="inlineStr">
        <is>
          <t xml:space="preserve">BX </t>
        </is>
      </c>
      <c r="S824" t="n">
        <v>3</v>
      </c>
      <c r="T824" t="n">
        <v>3</v>
      </c>
      <c r="U824" t="inlineStr">
        <is>
          <t>2002-10-04</t>
        </is>
      </c>
      <c r="V824" t="inlineStr">
        <is>
          <t>2002-10-04</t>
        </is>
      </c>
      <c r="W824" t="inlineStr">
        <is>
          <t>1991-06-27</t>
        </is>
      </c>
      <c r="X824" t="inlineStr">
        <is>
          <t>1991-06-27</t>
        </is>
      </c>
      <c r="Y824" t="n">
        <v>106</v>
      </c>
      <c r="Z824" t="n">
        <v>106</v>
      </c>
      <c r="AA824" t="n">
        <v>174</v>
      </c>
      <c r="AB824" t="n">
        <v>2</v>
      </c>
      <c r="AC824" t="n">
        <v>4</v>
      </c>
      <c r="AD824" t="n">
        <v>22</v>
      </c>
      <c r="AE824" t="n">
        <v>26</v>
      </c>
      <c r="AF824" t="n">
        <v>6</v>
      </c>
      <c r="AG824" t="n">
        <v>9</v>
      </c>
      <c r="AH824" t="n">
        <v>5</v>
      </c>
      <c r="AI824" t="n">
        <v>6</v>
      </c>
      <c r="AJ824" t="n">
        <v>16</v>
      </c>
      <c r="AK824" t="n">
        <v>18</v>
      </c>
      <c r="AL824" t="n">
        <v>1</v>
      </c>
      <c r="AM824" t="n">
        <v>1</v>
      </c>
      <c r="AN824" t="n">
        <v>0</v>
      </c>
      <c r="AO824" t="n">
        <v>0</v>
      </c>
      <c r="AP824" t="inlineStr">
        <is>
          <t>No</t>
        </is>
      </c>
      <c r="AQ824" t="inlineStr">
        <is>
          <t>No</t>
        </is>
      </c>
      <c r="AS824">
        <f>HYPERLINK("https://creighton-primo.hosted.exlibrisgroup.com/primo-explore/search?tab=default_tab&amp;search_scope=EVERYTHING&amp;vid=01CRU&amp;lang=en_US&amp;offset=0&amp;query=any,contains,991004136239702656","Catalog Record")</f>
        <v/>
      </c>
      <c r="AT824">
        <f>HYPERLINK("http://www.worldcat.org/oclc/2486695","WorldCat Record")</f>
        <v/>
      </c>
      <c r="AU824" t="inlineStr">
        <is>
          <t>934486418:eng</t>
        </is>
      </c>
      <c r="AV824" t="inlineStr">
        <is>
          <t>2486695</t>
        </is>
      </c>
      <c r="AW824" t="inlineStr">
        <is>
          <t>991004136239702656</t>
        </is>
      </c>
      <c r="AX824" t="inlineStr">
        <is>
          <t>991004136239702656</t>
        </is>
      </c>
      <c r="AY824" t="inlineStr">
        <is>
          <t>2261124560002656</t>
        </is>
      </c>
      <c r="AZ824" t="inlineStr">
        <is>
          <t>BOOK</t>
        </is>
      </c>
      <c r="BC824" t="inlineStr">
        <is>
          <t>32285000666122</t>
        </is>
      </c>
      <c r="BD824" t="inlineStr">
        <is>
          <t>893512857</t>
        </is>
      </c>
    </row>
    <row r="825">
      <c r="A825" t="inlineStr">
        <is>
          <t>No</t>
        </is>
      </c>
      <c r="B825" t="inlineStr">
        <is>
          <t>BX1912 .A62213 1981</t>
        </is>
      </c>
      <c r="C825" t="inlineStr">
        <is>
          <t>0                      BX 1912000A  62213       1981</t>
        </is>
      </c>
      <c r="D825" t="inlineStr">
        <is>
          <t>Minister? Pastor? Prophet? : Grass-roots leadership in the churches / Lucas Grollenberg ... [et al.] ; [translated by John Bowden]</t>
        </is>
      </c>
      <c r="F825" t="inlineStr">
        <is>
          <t>No</t>
        </is>
      </c>
      <c r="G825" t="inlineStr">
        <is>
          <t>1</t>
        </is>
      </c>
      <c r="H825" t="inlineStr">
        <is>
          <t>No</t>
        </is>
      </c>
      <c r="I825" t="inlineStr">
        <is>
          <t>No</t>
        </is>
      </c>
      <c r="J825" t="inlineStr">
        <is>
          <t>0</t>
        </is>
      </c>
      <c r="L825" t="inlineStr">
        <is>
          <t>New York : Crossroad Pub. Co., 1981, c1980.</t>
        </is>
      </c>
      <c r="M825" t="inlineStr">
        <is>
          <t>1981</t>
        </is>
      </c>
      <c r="O825" t="inlineStr">
        <is>
          <t>eng</t>
        </is>
      </c>
      <c r="P825" t="inlineStr">
        <is>
          <t>nyu</t>
        </is>
      </c>
      <c r="R825" t="inlineStr">
        <is>
          <t xml:space="preserve">BX </t>
        </is>
      </c>
      <c r="S825" t="n">
        <v>7</v>
      </c>
      <c r="T825" t="n">
        <v>7</v>
      </c>
      <c r="U825" t="inlineStr">
        <is>
          <t>1997-06-19</t>
        </is>
      </c>
      <c r="V825" t="inlineStr">
        <is>
          <t>1997-06-19</t>
        </is>
      </c>
      <c r="W825" t="inlineStr">
        <is>
          <t>1990-02-26</t>
        </is>
      </c>
      <c r="X825" t="inlineStr">
        <is>
          <t>1990-02-26</t>
        </is>
      </c>
      <c r="Y825" t="n">
        <v>219</v>
      </c>
      <c r="Z825" t="n">
        <v>203</v>
      </c>
      <c r="AA825" t="n">
        <v>216</v>
      </c>
      <c r="AB825" t="n">
        <v>3</v>
      </c>
      <c r="AC825" t="n">
        <v>3</v>
      </c>
      <c r="AD825" t="n">
        <v>23</v>
      </c>
      <c r="AE825" t="n">
        <v>24</v>
      </c>
      <c r="AF825" t="n">
        <v>6</v>
      </c>
      <c r="AG825" t="n">
        <v>6</v>
      </c>
      <c r="AH825" t="n">
        <v>6</v>
      </c>
      <c r="AI825" t="n">
        <v>6</v>
      </c>
      <c r="AJ825" t="n">
        <v>16</v>
      </c>
      <c r="AK825" t="n">
        <v>17</v>
      </c>
      <c r="AL825" t="n">
        <v>2</v>
      </c>
      <c r="AM825" t="n">
        <v>2</v>
      </c>
      <c r="AN825" t="n">
        <v>0</v>
      </c>
      <c r="AO825" t="n">
        <v>0</v>
      </c>
      <c r="AP825" t="inlineStr">
        <is>
          <t>No</t>
        </is>
      </c>
      <c r="AQ825" t="inlineStr">
        <is>
          <t>Yes</t>
        </is>
      </c>
      <c r="AR825">
        <f>HYPERLINK("http://catalog.hathitrust.org/Record/000185601","HathiTrust Record")</f>
        <v/>
      </c>
      <c r="AS825">
        <f>HYPERLINK("https://creighton-primo.hosted.exlibrisgroup.com/primo-explore/search?tab=default_tab&amp;search_scope=EVERYTHING&amp;vid=01CRU&amp;lang=en_US&amp;offset=0&amp;query=any,contains,991005060109702656","Catalog Record")</f>
        <v/>
      </c>
      <c r="AT825">
        <f>HYPERLINK("http://www.worldcat.org/oclc/6916576","WorldCat Record")</f>
        <v/>
      </c>
      <c r="AU825" t="inlineStr">
        <is>
          <t>490906:eng</t>
        </is>
      </c>
      <c r="AV825" t="inlineStr">
        <is>
          <t>6916576</t>
        </is>
      </c>
      <c r="AW825" t="inlineStr">
        <is>
          <t>991005060109702656</t>
        </is>
      </c>
      <c r="AX825" t="inlineStr">
        <is>
          <t>991005060109702656</t>
        </is>
      </c>
      <c r="AY825" t="inlineStr">
        <is>
          <t>2266232580002656</t>
        </is>
      </c>
      <c r="AZ825" t="inlineStr">
        <is>
          <t>BOOK</t>
        </is>
      </c>
      <c r="BB825" t="inlineStr">
        <is>
          <t>9780824500177</t>
        </is>
      </c>
      <c r="BC825" t="inlineStr">
        <is>
          <t>32285000070507</t>
        </is>
      </c>
      <c r="BD825" t="inlineStr">
        <is>
          <t>893688528</t>
        </is>
      </c>
    </row>
    <row r="826">
      <c r="A826" t="inlineStr">
        <is>
          <t>No</t>
        </is>
      </c>
      <c r="B826" t="inlineStr">
        <is>
          <t>BX1912 .B36 1986</t>
        </is>
      </c>
      <c r="C826" t="inlineStr">
        <is>
          <t>0                      BX 1912000B  36          1986</t>
        </is>
      </c>
      <c r="D826" t="inlineStr">
        <is>
          <t>Take heart, father : a hope-filled vision for today's priest / William J. Bausch ; foreword by Joseph M. Champlin.</t>
        </is>
      </c>
      <c r="F826" t="inlineStr">
        <is>
          <t>No</t>
        </is>
      </c>
      <c r="G826" t="inlineStr">
        <is>
          <t>1</t>
        </is>
      </c>
      <c r="H826" t="inlineStr">
        <is>
          <t>No</t>
        </is>
      </c>
      <c r="I826" t="inlineStr">
        <is>
          <t>No</t>
        </is>
      </c>
      <c r="J826" t="inlineStr">
        <is>
          <t>0</t>
        </is>
      </c>
      <c r="K826" t="inlineStr">
        <is>
          <t>Bausch, William J.</t>
        </is>
      </c>
      <c r="L826" t="inlineStr">
        <is>
          <t>Mystic, Conn. : Twenty-Third Publications, c1986.</t>
        </is>
      </c>
      <c r="M826" t="inlineStr">
        <is>
          <t>1986</t>
        </is>
      </c>
      <c r="O826" t="inlineStr">
        <is>
          <t>eng</t>
        </is>
      </c>
      <c r="P826" t="inlineStr">
        <is>
          <t>ctu</t>
        </is>
      </c>
      <c r="R826" t="inlineStr">
        <is>
          <t xml:space="preserve">BX </t>
        </is>
      </c>
      <c r="S826" t="n">
        <v>1</v>
      </c>
      <c r="T826" t="n">
        <v>1</v>
      </c>
      <c r="U826" t="inlineStr">
        <is>
          <t>2002-08-12</t>
        </is>
      </c>
      <c r="V826" t="inlineStr">
        <is>
          <t>2002-08-12</t>
        </is>
      </c>
      <c r="W826" t="inlineStr">
        <is>
          <t>2002-08-12</t>
        </is>
      </c>
      <c r="X826" t="inlineStr">
        <is>
          <t>2002-08-12</t>
        </is>
      </c>
      <c r="Y826" t="n">
        <v>107</v>
      </c>
      <c r="Z826" t="n">
        <v>90</v>
      </c>
      <c r="AA826" t="n">
        <v>95</v>
      </c>
      <c r="AB826" t="n">
        <v>2</v>
      </c>
      <c r="AC826" t="n">
        <v>2</v>
      </c>
      <c r="AD826" t="n">
        <v>12</v>
      </c>
      <c r="AE826" t="n">
        <v>12</v>
      </c>
      <c r="AF826" t="n">
        <v>2</v>
      </c>
      <c r="AG826" t="n">
        <v>2</v>
      </c>
      <c r="AH826" t="n">
        <v>3</v>
      </c>
      <c r="AI826" t="n">
        <v>3</v>
      </c>
      <c r="AJ826" t="n">
        <v>9</v>
      </c>
      <c r="AK826" t="n">
        <v>9</v>
      </c>
      <c r="AL826" t="n">
        <v>0</v>
      </c>
      <c r="AM826" t="n">
        <v>0</v>
      </c>
      <c r="AN826" t="n">
        <v>0</v>
      </c>
      <c r="AO826" t="n">
        <v>0</v>
      </c>
      <c r="AP826" t="inlineStr">
        <is>
          <t>No</t>
        </is>
      </c>
      <c r="AQ826" t="inlineStr">
        <is>
          <t>No</t>
        </is>
      </c>
      <c r="AS826">
        <f>HYPERLINK("https://creighton-primo.hosted.exlibrisgroup.com/primo-explore/search?tab=default_tab&amp;search_scope=EVERYTHING&amp;vid=01CRU&amp;lang=en_US&amp;offset=0&amp;query=any,contains,991003855139702656","Catalog Record")</f>
        <v/>
      </c>
      <c r="AT826">
        <f>HYPERLINK("http://www.worldcat.org/oclc/15202837","WorldCat Record")</f>
        <v/>
      </c>
      <c r="AU826" t="inlineStr">
        <is>
          <t>9804758:eng</t>
        </is>
      </c>
      <c r="AV826" t="inlineStr">
        <is>
          <t>15202837</t>
        </is>
      </c>
      <c r="AW826" t="inlineStr">
        <is>
          <t>991003855139702656</t>
        </is>
      </c>
      <c r="AX826" t="inlineStr">
        <is>
          <t>991003855139702656</t>
        </is>
      </c>
      <c r="AY826" t="inlineStr">
        <is>
          <t>2255255050002656</t>
        </is>
      </c>
      <c r="AZ826" t="inlineStr">
        <is>
          <t>BOOK</t>
        </is>
      </c>
      <c r="BB826" t="inlineStr">
        <is>
          <t>9780896223097</t>
        </is>
      </c>
      <c r="BC826" t="inlineStr">
        <is>
          <t>32285004642731</t>
        </is>
      </c>
      <c r="BD826" t="inlineStr">
        <is>
          <t>893429301</t>
        </is>
      </c>
    </row>
    <row r="827">
      <c r="A827" t="inlineStr">
        <is>
          <t>No</t>
        </is>
      </c>
      <c r="B827" t="inlineStr">
        <is>
          <t>BX1912 .B595 2004</t>
        </is>
      </c>
      <c r="C827" t="inlineStr">
        <is>
          <t>0                      BX 1912000B  595         2004</t>
        </is>
      </c>
      <c r="D827" t="inlineStr">
        <is>
          <t>View from the altar : reflections on the rapidly changing Catholic priesthood / Howard P. Bleichner.</t>
        </is>
      </c>
      <c r="F827" t="inlineStr">
        <is>
          <t>No</t>
        </is>
      </c>
      <c r="G827" t="inlineStr">
        <is>
          <t>1</t>
        </is>
      </c>
      <c r="H827" t="inlineStr">
        <is>
          <t>No</t>
        </is>
      </c>
      <c r="I827" t="inlineStr">
        <is>
          <t>No</t>
        </is>
      </c>
      <c r="J827" t="inlineStr">
        <is>
          <t>0</t>
        </is>
      </c>
      <c r="K827" t="inlineStr">
        <is>
          <t>Bleichner, Howard P.</t>
        </is>
      </c>
      <c r="L827" t="inlineStr">
        <is>
          <t>New York : Crossroad Pub. Co., c2004.</t>
        </is>
      </c>
      <c r="M827" t="inlineStr">
        <is>
          <t>2004</t>
        </is>
      </c>
      <c r="O827" t="inlineStr">
        <is>
          <t>eng</t>
        </is>
      </c>
      <c r="P827" t="inlineStr">
        <is>
          <t>nyu</t>
        </is>
      </c>
      <c r="R827" t="inlineStr">
        <is>
          <t xml:space="preserve">BX </t>
        </is>
      </c>
      <c r="S827" t="n">
        <v>7</v>
      </c>
      <c r="T827" t="n">
        <v>7</v>
      </c>
      <c r="U827" t="inlineStr">
        <is>
          <t>2010-07-31</t>
        </is>
      </c>
      <c r="V827" t="inlineStr">
        <is>
          <t>2010-07-31</t>
        </is>
      </c>
      <c r="W827" t="inlineStr">
        <is>
          <t>2005-04-18</t>
        </is>
      </c>
      <c r="X827" t="inlineStr">
        <is>
          <t>2005-04-18</t>
        </is>
      </c>
      <c r="Y827" t="n">
        <v>151</v>
      </c>
      <c r="Z827" t="n">
        <v>138</v>
      </c>
      <c r="AA827" t="n">
        <v>141</v>
      </c>
      <c r="AB827" t="n">
        <v>3</v>
      </c>
      <c r="AC827" t="n">
        <v>3</v>
      </c>
      <c r="AD827" t="n">
        <v>20</v>
      </c>
      <c r="AE827" t="n">
        <v>20</v>
      </c>
      <c r="AF827" t="n">
        <v>6</v>
      </c>
      <c r="AG827" t="n">
        <v>6</v>
      </c>
      <c r="AH827" t="n">
        <v>6</v>
      </c>
      <c r="AI827" t="n">
        <v>6</v>
      </c>
      <c r="AJ827" t="n">
        <v>15</v>
      </c>
      <c r="AK827" t="n">
        <v>15</v>
      </c>
      <c r="AL827" t="n">
        <v>1</v>
      </c>
      <c r="AM827" t="n">
        <v>1</v>
      </c>
      <c r="AN827" t="n">
        <v>0</v>
      </c>
      <c r="AO827" t="n">
        <v>0</v>
      </c>
      <c r="AP827" t="inlineStr">
        <is>
          <t>No</t>
        </is>
      </c>
      <c r="AQ827" t="inlineStr">
        <is>
          <t>No</t>
        </is>
      </c>
      <c r="AS827">
        <f>HYPERLINK("https://creighton-primo.hosted.exlibrisgroup.com/primo-explore/search?tab=default_tab&amp;search_scope=EVERYTHING&amp;vid=01CRU&amp;lang=en_US&amp;offset=0&amp;query=any,contains,991004516029702656","Catalog Record")</f>
        <v/>
      </c>
      <c r="AT827">
        <f>HYPERLINK("http://www.worldcat.org/oclc/54989961","WorldCat Record")</f>
        <v/>
      </c>
      <c r="AU827" t="inlineStr">
        <is>
          <t>1098369225:eng</t>
        </is>
      </c>
      <c r="AV827" t="inlineStr">
        <is>
          <t>54989961</t>
        </is>
      </c>
      <c r="AW827" t="inlineStr">
        <is>
          <t>991004516029702656</t>
        </is>
      </c>
      <c r="AX827" t="inlineStr">
        <is>
          <t>991004516029702656</t>
        </is>
      </c>
      <c r="AY827" t="inlineStr">
        <is>
          <t>2264738660002656</t>
        </is>
      </c>
      <c r="AZ827" t="inlineStr">
        <is>
          <t>BOOK</t>
        </is>
      </c>
      <c r="BB827" t="inlineStr">
        <is>
          <t>9780824521417</t>
        </is>
      </c>
      <c r="BC827" t="inlineStr">
        <is>
          <t>32285005031264</t>
        </is>
      </c>
      <c r="BD827" t="inlineStr">
        <is>
          <t>893241525</t>
        </is>
      </c>
    </row>
    <row r="828">
      <c r="A828" t="inlineStr">
        <is>
          <t>No</t>
        </is>
      </c>
      <c r="B828" t="inlineStr">
        <is>
          <t>BX1912 .B7 1949</t>
        </is>
      </c>
      <c r="C828" t="inlineStr">
        <is>
          <t>0                      BX 1912000B  7           1949</t>
        </is>
      </c>
      <c r="D828" t="inlineStr">
        <is>
          <t>The spiritual life of the priest / M. Eugene Boylan.</t>
        </is>
      </c>
      <c r="F828" t="inlineStr">
        <is>
          <t>No</t>
        </is>
      </c>
      <c r="G828" t="inlineStr">
        <is>
          <t>1</t>
        </is>
      </c>
      <c r="H828" t="inlineStr">
        <is>
          <t>No</t>
        </is>
      </c>
      <c r="I828" t="inlineStr">
        <is>
          <t>No</t>
        </is>
      </c>
      <c r="J828" t="inlineStr">
        <is>
          <t>0</t>
        </is>
      </c>
      <c r="K828" t="inlineStr">
        <is>
          <t>Boylan, Eugene, 1904-1964.</t>
        </is>
      </c>
      <c r="L828" t="inlineStr">
        <is>
          <t>Westminster, Md. : Newman Press, 1949.</t>
        </is>
      </c>
      <c r="M828" t="inlineStr">
        <is>
          <t>1949</t>
        </is>
      </c>
      <c r="O828" t="inlineStr">
        <is>
          <t>eng</t>
        </is>
      </c>
      <c r="P828" t="inlineStr">
        <is>
          <t>mdu</t>
        </is>
      </c>
      <c r="R828" t="inlineStr">
        <is>
          <t xml:space="preserve">BX </t>
        </is>
      </c>
      <c r="S828" t="n">
        <v>4</v>
      </c>
      <c r="T828" t="n">
        <v>4</v>
      </c>
      <c r="U828" t="inlineStr">
        <is>
          <t>2002-10-04</t>
        </is>
      </c>
      <c r="V828" t="inlineStr">
        <is>
          <t>2002-10-04</t>
        </is>
      </c>
      <c r="W828" t="inlineStr">
        <is>
          <t>1990-07-31</t>
        </is>
      </c>
      <c r="X828" t="inlineStr">
        <is>
          <t>1990-07-31</t>
        </is>
      </c>
      <c r="Y828" t="n">
        <v>136</v>
      </c>
      <c r="Z828" t="n">
        <v>120</v>
      </c>
      <c r="AA828" t="n">
        <v>145</v>
      </c>
      <c r="AB828" t="n">
        <v>3</v>
      </c>
      <c r="AC828" t="n">
        <v>3</v>
      </c>
      <c r="AD828" t="n">
        <v>25</v>
      </c>
      <c r="AE828" t="n">
        <v>28</v>
      </c>
      <c r="AF828" t="n">
        <v>7</v>
      </c>
      <c r="AG828" t="n">
        <v>8</v>
      </c>
      <c r="AH828" t="n">
        <v>7</v>
      </c>
      <c r="AI828" t="n">
        <v>8</v>
      </c>
      <c r="AJ828" t="n">
        <v>20</v>
      </c>
      <c r="AK828" t="n">
        <v>23</v>
      </c>
      <c r="AL828" t="n">
        <v>0</v>
      </c>
      <c r="AM828" t="n">
        <v>0</v>
      </c>
      <c r="AN828" t="n">
        <v>0</v>
      </c>
      <c r="AO828" t="n">
        <v>0</v>
      </c>
      <c r="AP828" t="inlineStr">
        <is>
          <t>Yes</t>
        </is>
      </c>
      <c r="AQ828" t="inlineStr">
        <is>
          <t>No</t>
        </is>
      </c>
      <c r="AR828">
        <f>HYPERLINK("http://catalog.hathitrust.org/Record/005779362","HathiTrust Record")</f>
        <v/>
      </c>
      <c r="AS828">
        <f>HYPERLINK("https://creighton-primo.hosted.exlibrisgroup.com/primo-explore/search?tab=default_tab&amp;search_scope=EVERYTHING&amp;vid=01CRU&amp;lang=en_US&amp;offset=0&amp;query=any,contains,991004141289702656","Catalog Record")</f>
        <v/>
      </c>
      <c r="AT828">
        <f>HYPERLINK("http://www.worldcat.org/oclc/2499408","WorldCat Record")</f>
        <v/>
      </c>
      <c r="AU828" t="inlineStr">
        <is>
          <t>198345020:eng</t>
        </is>
      </c>
      <c r="AV828" t="inlineStr">
        <is>
          <t>2499408</t>
        </is>
      </c>
      <c r="AW828" t="inlineStr">
        <is>
          <t>991004141289702656</t>
        </is>
      </c>
      <c r="AX828" t="inlineStr">
        <is>
          <t>991004141289702656</t>
        </is>
      </c>
      <c r="AY828" t="inlineStr">
        <is>
          <t>2260743710002656</t>
        </is>
      </c>
      <c r="AZ828" t="inlineStr">
        <is>
          <t>BOOK</t>
        </is>
      </c>
      <c r="BC828" t="inlineStr">
        <is>
          <t>32285000260181</t>
        </is>
      </c>
      <c r="BD828" t="inlineStr">
        <is>
          <t>893699893</t>
        </is>
      </c>
    </row>
    <row r="829">
      <c r="A829" t="inlineStr">
        <is>
          <t>No</t>
        </is>
      </c>
      <c r="B829" t="inlineStr">
        <is>
          <t>BX1912 .C253 1996</t>
        </is>
      </c>
      <c r="C829" t="inlineStr">
        <is>
          <t>0                      BX 1912000C  253         1996</t>
        </is>
      </c>
      <c r="D829" t="inlineStr">
        <is>
          <t>A national study on the permanent diaconate of the Catholic Church in the United States, 1994-1995 / [National Conference of Catholic Bishops ; Committee on the Permanent Diaconate.]</t>
        </is>
      </c>
      <c r="F829" t="inlineStr">
        <is>
          <t>No</t>
        </is>
      </c>
      <c r="G829" t="inlineStr">
        <is>
          <t>1</t>
        </is>
      </c>
      <c r="H829" t="inlineStr">
        <is>
          <t>No</t>
        </is>
      </c>
      <c r="I829" t="inlineStr">
        <is>
          <t>No</t>
        </is>
      </c>
      <c r="J829" t="inlineStr">
        <is>
          <t>0</t>
        </is>
      </c>
      <c r="K829" t="inlineStr">
        <is>
          <t>Catholic Church. National Conference of Catholic Bishops. Bishops' Committee on the Permanent Diaconate.</t>
        </is>
      </c>
      <c r="L829" t="inlineStr">
        <is>
          <t>Washington, D.C. : United States Catholic Conference, c1996.</t>
        </is>
      </c>
      <c r="M829" t="inlineStr">
        <is>
          <t>1996</t>
        </is>
      </c>
      <c r="O829" t="inlineStr">
        <is>
          <t>eng</t>
        </is>
      </c>
      <c r="P829" t="inlineStr">
        <is>
          <t>dcu</t>
        </is>
      </c>
      <c r="Q829" t="inlineStr">
        <is>
          <t>Publication (United States Catholic Conference) ; no. 087-7</t>
        </is>
      </c>
      <c r="R829" t="inlineStr">
        <is>
          <t xml:space="preserve">BX </t>
        </is>
      </c>
      <c r="S829" t="n">
        <v>2</v>
      </c>
      <c r="T829" t="n">
        <v>2</v>
      </c>
      <c r="U829" t="inlineStr">
        <is>
          <t>1999-11-23</t>
        </is>
      </c>
      <c r="V829" t="inlineStr">
        <is>
          <t>1999-11-23</t>
        </is>
      </c>
      <c r="W829" t="inlineStr">
        <is>
          <t>1996-09-30</t>
        </is>
      </c>
      <c r="X829" t="inlineStr">
        <is>
          <t>1996-09-30</t>
        </is>
      </c>
      <c r="Y829" t="n">
        <v>101</v>
      </c>
      <c r="Z829" t="n">
        <v>98</v>
      </c>
      <c r="AA829" t="n">
        <v>98</v>
      </c>
      <c r="AB829" t="n">
        <v>2</v>
      </c>
      <c r="AC829" t="n">
        <v>2</v>
      </c>
      <c r="AD829" t="n">
        <v>12</v>
      </c>
      <c r="AE829" t="n">
        <v>12</v>
      </c>
      <c r="AF829" t="n">
        <v>3</v>
      </c>
      <c r="AG829" t="n">
        <v>3</v>
      </c>
      <c r="AH829" t="n">
        <v>4</v>
      </c>
      <c r="AI829" t="n">
        <v>4</v>
      </c>
      <c r="AJ829" t="n">
        <v>10</v>
      </c>
      <c r="AK829" t="n">
        <v>10</v>
      </c>
      <c r="AL829" t="n">
        <v>0</v>
      </c>
      <c r="AM829" t="n">
        <v>0</v>
      </c>
      <c r="AN829" t="n">
        <v>0</v>
      </c>
      <c r="AO829" t="n">
        <v>0</v>
      </c>
      <c r="AP829" t="inlineStr">
        <is>
          <t>No</t>
        </is>
      </c>
      <c r="AQ829" t="inlineStr">
        <is>
          <t>No</t>
        </is>
      </c>
      <c r="AS829">
        <f>HYPERLINK("https://creighton-primo.hosted.exlibrisgroup.com/primo-explore/search?tab=default_tab&amp;search_scope=EVERYTHING&amp;vid=01CRU&amp;lang=en_US&amp;offset=0&amp;query=any,contains,991002708309702656","Catalog Record")</f>
        <v/>
      </c>
      <c r="AT829">
        <f>HYPERLINK("http://www.worldcat.org/oclc/35394516","WorldCat Record")</f>
        <v/>
      </c>
      <c r="AU829" t="inlineStr">
        <is>
          <t>309198924:eng</t>
        </is>
      </c>
      <c r="AV829" t="inlineStr">
        <is>
          <t>35394516</t>
        </is>
      </c>
      <c r="AW829" t="inlineStr">
        <is>
          <t>991002708309702656</t>
        </is>
      </c>
      <c r="AX829" t="inlineStr">
        <is>
          <t>991002708309702656</t>
        </is>
      </c>
      <c r="AY829" t="inlineStr">
        <is>
          <t>2260947980002656</t>
        </is>
      </c>
      <c r="AZ829" t="inlineStr">
        <is>
          <t>BOOK</t>
        </is>
      </c>
      <c r="BB829" t="inlineStr">
        <is>
          <t>9781555860875</t>
        </is>
      </c>
      <c r="BC829" t="inlineStr">
        <is>
          <t>32285002321197</t>
        </is>
      </c>
      <c r="BD829" t="inlineStr">
        <is>
          <t>893773943</t>
        </is>
      </c>
    </row>
    <row r="830">
      <c r="A830" t="inlineStr">
        <is>
          <t>No</t>
        </is>
      </c>
      <c r="B830" t="inlineStr">
        <is>
          <t>BX1912 .C26 1989</t>
        </is>
      </c>
      <c r="C830" t="inlineStr">
        <is>
          <t>0                      BX 1912000C  26          1989</t>
        </is>
      </c>
      <c r="D830" t="inlineStr">
        <is>
          <t>Lineamenta : the formation of priests in circumstances of the present day.</t>
        </is>
      </c>
      <c r="F830" t="inlineStr">
        <is>
          <t>No</t>
        </is>
      </c>
      <c r="G830" t="inlineStr">
        <is>
          <t>1</t>
        </is>
      </c>
      <c r="H830" t="inlineStr">
        <is>
          <t>No</t>
        </is>
      </c>
      <c r="I830" t="inlineStr">
        <is>
          <t>No</t>
        </is>
      </c>
      <c r="J830" t="inlineStr">
        <is>
          <t>0</t>
        </is>
      </c>
      <c r="K830" t="inlineStr">
        <is>
          <t>Catholic Church.</t>
        </is>
      </c>
      <c r="L830" t="inlineStr">
        <is>
          <t>Washington, D.C. : United States Catholic Conference, Office for Publishing and Promotion Services, [1989]</t>
        </is>
      </c>
      <c r="M830" t="inlineStr">
        <is>
          <t>1989</t>
        </is>
      </c>
      <c r="O830" t="inlineStr">
        <is>
          <t>eng</t>
        </is>
      </c>
      <c r="P830" t="inlineStr">
        <is>
          <t>dcu</t>
        </is>
      </c>
      <c r="Q830" t="inlineStr">
        <is>
          <t>Publication / Office of Publishing and Promotion Services, United States Catholic Conference ; no. 285-3</t>
        </is>
      </c>
      <c r="R830" t="inlineStr">
        <is>
          <t xml:space="preserve">BX </t>
        </is>
      </c>
      <c r="S830" t="n">
        <v>4</v>
      </c>
      <c r="T830" t="n">
        <v>4</v>
      </c>
      <c r="U830" t="inlineStr">
        <is>
          <t>1998-07-07</t>
        </is>
      </c>
      <c r="V830" t="inlineStr">
        <is>
          <t>1998-07-07</t>
        </is>
      </c>
      <c r="W830" t="inlineStr">
        <is>
          <t>1991-06-27</t>
        </is>
      </c>
      <c r="X830" t="inlineStr">
        <is>
          <t>1991-06-27</t>
        </is>
      </c>
      <c r="Y830" t="n">
        <v>89</v>
      </c>
      <c r="Z830" t="n">
        <v>89</v>
      </c>
      <c r="AA830" t="n">
        <v>89</v>
      </c>
      <c r="AB830" t="n">
        <v>1</v>
      </c>
      <c r="AC830" t="n">
        <v>1</v>
      </c>
      <c r="AD830" t="n">
        <v>14</v>
      </c>
      <c r="AE830" t="n">
        <v>14</v>
      </c>
      <c r="AF830" t="n">
        <v>4</v>
      </c>
      <c r="AG830" t="n">
        <v>4</v>
      </c>
      <c r="AH830" t="n">
        <v>5</v>
      </c>
      <c r="AI830" t="n">
        <v>5</v>
      </c>
      <c r="AJ830" t="n">
        <v>10</v>
      </c>
      <c r="AK830" t="n">
        <v>10</v>
      </c>
      <c r="AL830" t="n">
        <v>0</v>
      </c>
      <c r="AM830" t="n">
        <v>0</v>
      </c>
      <c r="AN830" t="n">
        <v>0</v>
      </c>
      <c r="AO830" t="n">
        <v>0</v>
      </c>
      <c r="AP830" t="inlineStr">
        <is>
          <t>No</t>
        </is>
      </c>
      <c r="AQ830" t="inlineStr">
        <is>
          <t>No</t>
        </is>
      </c>
      <c r="AS830">
        <f>HYPERLINK("https://creighton-primo.hosted.exlibrisgroup.com/primo-explore/search?tab=default_tab&amp;search_scope=EVERYTHING&amp;vid=01CRU&amp;lang=en_US&amp;offset=0&amp;query=any,contains,991001535519702656","Catalog Record")</f>
        <v/>
      </c>
      <c r="AT830">
        <f>HYPERLINK("http://www.worldcat.org/oclc/20063781","WorldCat Record")</f>
        <v/>
      </c>
      <c r="AU830" t="inlineStr">
        <is>
          <t>3856316579:eng</t>
        </is>
      </c>
      <c r="AV830" t="inlineStr">
        <is>
          <t>20063781</t>
        </is>
      </c>
      <c r="AW830" t="inlineStr">
        <is>
          <t>991001535519702656</t>
        </is>
      </c>
      <c r="AX830" t="inlineStr">
        <is>
          <t>991001535519702656</t>
        </is>
      </c>
      <c r="AY830" t="inlineStr">
        <is>
          <t>2268864080002656</t>
        </is>
      </c>
      <c r="AZ830" t="inlineStr">
        <is>
          <t>BOOK</t>
        </is>
      </c>
      <c r="BB830" t="inlineStr">
        <is>
          <t>9781555862855</t>
        </is>
      </c>
      <c r="BC830" t="inlineStr">
        <is>
          <t>32285000666189</t>
        </is>
      </c>
      <c r="BD830" t="inlineStr">
        <is>
          <t>893791500</t>
        </is>
      </c>
    </row>
    <row r="831">
      <c r="A831" t="inlineStr">
        <is>
          <t>No</t>
        </is>
      </c>
      <c r="B831" t="inlineStr">
        <is>
          <t>BX1912 .C285 1996</t>
        </is>
      </c>
      <c r="C831" t="inlineStr">
        <is>
          <t>0                      BX 1912000C  285         1996</t>
        </is>
      </c>
      <c r="D831" t="inlineStr">
        <is>
          <t>Equipped for the work of the ministry : a reflection and planning guide for the continuing formation of priests / Committee on Priestly Life and Ministry, National Conference of Catholic Bishops.</t>
        </is>
      </c>
      <c r="F831" t="inlineStr">
        <is>
          <t>No</t>
        </is>
      </c>
      <c r="G831" t="inlineStr">
        <is>
          <t>1</t>
        </is>
      </c>
      <c r="H831" t="inlineStr">
        <is>
          <t>No</t>
        </is>
      </c>
      <c r="I831" t="inlineStr">
        <is>
          <t>No</t>
        </is>
      </c>
      <c r="J831" t="inlineStr">
        <is>
          <t>0</t>
        </is>
      </c>
      <c r="K831" t="inlineStr">
        <is>
          <t>Catholic Church. National Conference of Catholic Bishops. Bishops' Committee on Priestly Life and Ministry.</t>
        </is>
      </c>
      <c r="M831" t="inlineStr">
        <is>
          <t>1996</t>
        </is>
      </c>
      <c r="O831" t="inlineStr">
        <is>
          <t>eng</t>
        </is>
      </c>
      <c r="P831" t="inlineStr">
        <is>
          <t>dcu</t>
        </is>
      </c>
      <c r="Q831" t="inlineStr">
        <is>
          <t>Publication (United States Catholic Conference) ; no. 5-029</t>
        </is>
      </c>
      <c r="R831" t="inlineStr">
        <is>
          <t xml:space="preserve">BX </t>
        </is>
      </c>
      <c r="S831" t="n">
        <v>5</v>
      </c>
      <c r="T831" t="n">
        <v>5</v>
      </c>
      <c r="U831" t="inlineStr">
        <is>
          <t>1998-07-07</t>
        </is>
      </c>
      <c r="V831" t="inlineStr">
        <is>
          <t>1998-07-07</t>
        </is>
      </c>
      <c r="W831" t="inlineStr">
        <is>
          <t>1996-06-11</t>
        </is>
      </c>
      <c r="X831" t="inlineStr">
        <is>
          <t>1996-06-11</t>
        </is>
      </c>
      <c r="Y831" t="n">
        <v>78</v>
      </c>
      <c r="Z831" t="n">
        <v>74</v>
      </c>
      <c r="AA831" t="n">
        <v>74</v>
      </c>
      <c r="AB831" t="n">
        <v>1</v>
      </c>
      <c r="AC831" t="n">
        <v>1</v>
      </c>
      <c r="AD831" t="n">
        <v>9</v>
      </c>
      <c r="AE831" t="n">
        <v>9</v>
      </c>
      <c r="AF831" t="n">
        <v>2</v>
      </c>
      <c r="AG831" t="n">
        <v>2</v>
      </c>
      <c r="AH831" t="n">
        <v>3</v>
      </c>
      <c r="AI831" t="n">
        <v>3</v>
      </c>
      <c r="AJ831" t="n">
        <v>7</v>
      </c>
      <c r="AK831" t="n">
        <v>7</v>
      </c>
      <c r="AL831" t="n">
        <v>0</v>
      </c>
      <c r="AM831" t="n">
        <v>0</v>
      </c>
      <c r="AN831" t="n">
        <v>0</v>
      </c>
      <c r="AO831" t="n">
        <v>0</v>
      </c>
      <c r="AP831" t="inlineStr">
        <is>
          <t>No</t>
        </is>
      </c>
      <c r="AQ831" t="inlineStr">
        <is>
          <t>No</t>
        </is>
      </c>
      <c r="AS831">
        <f>HYPERLINK("https://creighton-primo.hosted.exlibrisgroup.com/primo-explore/search?tab=default_tab&amp;search_scope=EVERYTHING&amp;vid=01CRU&amp;lang=en_US&amp;offset=0&amp;query=any,contains,991002663279702656","Catalog Record")</f>
        <v/>
      </c>
      <c r="AT831">
        <f>HYPERLINK("http://www.worldcat.org/oclc/36640059","WorldCat Record")</f>
        <v/>
      </c>
      <c r="AU831" t="inlineStr">
        <is>
          <t>45726027:eng</t>
        </is>
      </c>
      <c r="AV831" t="inlineStr">
        <is>
          <t>36640059</t>
        </is>
      </c>
      <c r="AW831" t="inlineStr">
        <is>
          <t>991002663279702656</t>
        </is>
      </c>
      <c r="AX831" t="inlineStr">
        <is>
          <t>991002663279702656</t>
        </is>
      </c>
      <c r="AY831" t="inlineStr">
        <is>
          <t>2257035760002656</t>
        </is>
      </c>
      <c r="AZ831" t="inlineStr">
        <is>
          <t>BOOK</t>
        </is>
      </c>
      <c r="BB831" t="inlineStr">
        <is>
          <t>9781574550290</t>
        </is>
      </c>
      <c r="BC831" t="inlineStr">
        <is>
          <t>32285002191400</t>
        </is>
      </c>
      <c r="BD831" t="inlineStr">
        <is>
          <t>893523893</t>
        </is>
      </c>
    </row>
    <row r="832">
      <c r="A832" t="inlineStr">
        <is>
          <t>No</t>
        </is>
      </c>
      <c r="B832" t="inlineStr">
        <is>
          <t>BX1912 .C3 1982</t>
        </is>
      </c>
      <c r="C832" t="inlineStr">
        <is>
          <t>0                      BX 1912000C  3           1982</t>
        </is>
      </c>
      <c r="D832" t="inlineStr">
        <is>
          <t>Set apart for service / by Pope Paul VI and Pope John Paul II ; foreword by William Cardinal Baum.</t>
        </is>
      </c>
      <c r="F832" t="inlineStr">
        <is>
          <t>No</t>
        </is>
      </c>
      <c r="G832" t="inlineStr">
        <is>
          <t>1</t>
        </is>
      </c>
      <c r="H832" t="inlineStr">
        <is>
          <t>No</t>
        </is>
      </c>
      <c r="I832" t="inlineStr">
        <is>
          <t>No</t>
        </is>
      </c>
      <c r="J832" t="inlineStr">
        <is>
          <t>0</t>
        </is>
      </c>
      <c r="K832" t="inlineStr">
        <is>
          <t>Catholic Church. Pope.</t>
        </is>
      </c>
      <c r="L832" t="inlineStr">
        <is>
          <t>Boston : Daughters of St. Paul, c1982.</t>
        </is>
      </c>
      <c r="M832" t="inlineStr">
        <is>
          <t>1982</t>
        </is>
      </c>
      <c r="O832" t="inlineStr">
        <is>
          <t>eng</t>
        </is>
      </c>
      <c r="P832" t="inlineStr">
        <is>
          <t>mau</t>
        </is>
      </c>
      <c r="R832" t="inlineStr">
        <is>
          <t xml:space="preserve">BX </t>
        </is>
      </c>
      <c r="S832" t="n">
        <v>3</v>
      </c>
      <c r="T832" t="n">
        <v>3</v>
      </c>
      <c r="U832" t="inlineStr">
        <is>
          <t>1994-04-05</t>
        </is>
      </c>
      <c r="V832" t="inlineStr">
        <is>
          <t>1994-04-05</t>
        </is>
      </c>
      <c r="W832" t="inlineStr">
        <is>
          <t>1991-06-27</t>
        </is>
      </c>
      <c r="X832" t="inlineStr">
        <is>
          <t>1991-06-27</t>
        </is>
      </c>
      <c r="Y832" t="n">
        <v>67</v>
      </c>
      <c r="Z832" t="n">
        <v>65</v>
      </c>
      <c r="AA832" t="n">
        <v>65</v>
      </c>
      <c r="AB832" t="n">
        <v>3</v>
      </c>
      <c r="AC832" t="n">
        <v>3</v>
      </c>
      <c r="AD832" t="n">
        <v>5</v>
      </c>
      <c r="AE832" t="n">
        <v>5</v>
      </c>
      <c r="AF832" t="n">
        <v>1</v>
      </c>
      <c r="AG832" t="n">
        <v>1</v>
      </c>
      <c r="AH832" t="n">
        <v>1</v>
      </c>
      <c r="AI832" t="n">
        <v>1</v>
      </c>
      <c r="AJ832" t="n">
        <v>4</v>
      </c>
      <c r="AK832" t="n">
        <v>4</v>
      </c>
      <c r="AL832" t="n">
        <v>0</v>
      </c>
      <c r="AM832" t="n">
        <v>0</v>
      </c>
      <c r="AN832" t="n">
        <v>0</v>
      </c>
      <c r="AO832" t="n">
        <v>0</v>
      </c>
      <c r="AP832" t="inlineStr">
        <is>
          <t>No</t>
        </is>
      </c>
      <c r="AQ832" t="inlineStr">
        <is>
          <t>No</t>
        </is>
      </c>
      <c r="AS832">
        <f>HYPERLINK("https://creighton-primo.hosted.exlibrisgroup.com/primo-explore/search?tab=default_tab&amp;search_scope=EVERYTHING&amp;vid=01CRU&amp;lang=en_US&amp;offset=0&amp;query=any,contains,991000194529702656","Catalog Record")</f>
        <v/>
      </c>
      <c r="AT832">
        <f>HYPERLINK("http://www.worldcat.org/oclc/9435568","WorldCat Record")</f>
        <v/>
      </c>
      <c r="AU832" t="inlineStr">
        <is>
          <t>10567736430:eng</t>
        </is>
      </c>
      <c r="AV832" t="inlineStr">
        <is>
          <t>9435568</t>
        </is>
      </c>
      <c r="AW832" t="inlineStr">
        <is>
          <t>991000194529702656</t>
        </is>
      </c>
      <c r="AX832" t="inlineStr">
        <is>
          <t>991000194529702656</t>
        </is>
      </c>
      <c r="AY832" t="inlineStr">
        <is>
          <t>2261694540002656</t>
        </is>
      </c>
      <c r="AZ832" t="inlineStr">
        <is>
          <t>BOOK</t>
        </is>
      </c>
      <c r="BB832" t="inlineStr">
        <is>
          <t>9780819868336</t>
        </is>
      </c>
      <c r="BC832" t="inlineStr">
        <is>
          <t>32285000666197</t>
        </is>
      </c>
      <c r="BD832" t="inlineStr">
        <is>
          <t>893877878</t>
        </is>
      </c>
    </row>
    <row r="833">
      <c r="A833" t="inlineStr">
        <is>
          <t>No</t>
        </is>
      </c>
      <c r="B833" t="inlineStr">
        <is>
          <t>BX1912 .C453 1963</t>
        </is>
      </c>
      <c r="C833" t="inlineStr">
        <is>
          <t>0                      BX 1912000C  453         1963</t>
        </is>
      </c>
      <c r="D833" t="inlineStr">
        <is>
          <t>The diocesan clergy : history and spirituality / A.M. Charue. Translated by Michael J. Wrenn.</t>
        </is>
      </c>
      <c r="F833" t="inlineStr">
        <is>
          <t>No</t>
        </is>
      </c>
      <c r="G833" t="inlineStr">
        <is>
          <t>1</t>
        </is>
      </c>
      <c r="H833" t="inlineStr">
        <is>
          <t>No</t>
        </is>
      </c>
      <c r="I833" t="inlineStr">
        <is>
          <t>No</t>
        </is>
      </c>
      <c r="J833" t="inlineStr">
        <is>
          <t>0</t>
        </is>
      </c>
      <c r="K833" t="inlineStr">
        <is>
          <t>Charue, André-Marie, 1898-1977.</t>
        </is>
      </c>
      <c r="L833" t="inlineStr">
        <is>
          <t>New York : Desclee Co., 1963.</t>
        </is>
      </c>
      <c r="M833" t="inlineStr">
        <is>
          <t>1963</t>
        </is>
      </c>
      <c r="O833" t="inlineStr">
        <is>
          <t>eng</t>
        </is>
      </c>
      <c r="P833" t="inlineStr">
        <is>
          <t>nyu</t>
        </is>
      </c>
      <c r="R833" t="inlineStr">
        <is>
          <t xml:space="preserve">BX </t>
        </is>
      </c>
      <c r="S833" t="n">
        <v>6</v>
      </c>
      <c r="T833" t="n">
        <v>6</v>
      </c>
      <c r="U833" t="inlineStr">
        <is>
          <t>2007-12-17</t>
        </is>
      </c>
      <c r="V833" t="inlineStr">
        <is>
          <t>2007-12-17</t>
        </is>
      </c>
      <c r="W833" t="inlineStr">
        <is>
          <t>1990-08-14</t>
        </is>
      </c>
      <c r="X833" t="inlineStr">
        <is>
          <t>1990-08-14</t>
        </is>
      </c>
      <c r="Y833" t="n">
        <v>164</v>
      </c>
      <c r="Z833" t="n">
        <v>142</v>
      </c>
      <c r="AA833" t="n">
        <v>142</v>
      </c>
      <c r="AB833" t="n">
        <v>3</v>
      </c>
      <c r="AC833" t="n">
        <v>3</v>
      </c>
      <c r="AD833" t="n">
        <v>21</v>
      </c>
      <c r="AE833" t="n">
        <v>21</v>
      </c>
      <c r="AF833" t="n">
        <v>8</v>
      </c>
      <c r="AG833" t="n">
        <v>8</v>
      </c>
      <c r="AH833" t="n">
        <v>4</v>
      </c>
      <c r="AI833" t="n">
        <v>4</v>
      </c>
      <c r="AJ833" t="n">
        <v>17</v>
      </c>
      <c r="AK833" t="n">
        <v>17</v>
      </c>
      <c r="AL833" t="n">
        <v>0</v>
      </c>
      <c r="AM833" t="n">
        <v>0</v>
      </c>
      <c r="AN833" t="n">
        <v>0</v>
      </c>
      <c r="AO833" t="n">
        <v>0</v>
      </c>
      <c r="AP833" t="inlineStr">
        <is>
          <t>No</t>
        </is>
      </c>
      <c r="AQ833" t="inlineStr">
        <is>
          <t>No</t>
        </is>
      </c>
      <c r="AS833">
        <f>HYPERLINK("https://creighton-primo.hosted.exlibrisgroup.com/primo-explore/search?tab=default_tab&amp;search_scope=EVERYTHING&amp;vid=01CRU&amp;lang=en_US&amp;offset=0&amp;query=any,contains,991002892959702656","Catalog Record")</f>
        <v/>
      </c>
      <c r="AT833">
        <f>HYPERLINK("http://www.worldcat.org/oclc/512533","WorldCat Record")</f>
        <v/>
      </c>
      <c r="AU833" t="inlineStr">
        <is>
          <t>10624629302:eng</t>
        </is>
      </c>
      <c r="AV833" t="inlineStr">
        <is>
          <t>512533</t>
        </is>
      </c>
      <c r="AW833" t="inlineStr">
        <is>
          <t>991002892959702656</t>
        </is>
      </c>
      <c r="AX833" t="inlineStr">
        <is>
          <t>991002892959702656</t>
        </is>
      </c>
      <c r="AY833" t="inlineStr">
        <is>
          <t>2263276280002656</t>
        </is>
      </c>
      <c r="AZ833" t="inlineStr">
        <is>
          <t>BOOK</t>
        </is>
      </c>
      <c r="BC833" t="inlineStr">
        <is>
          <t>32285000268424</t>
        </is>
      </c>
      <c r="BD833" t="inlineStr">
        <is>
          <t>893899379</t>
        </is>
      </c>
    </row>
    <row r="834">
      <c r="A834" t="inlineStr">
        <is>
          <t>No</t>
        </is>
      </c>
      <c r="B834" t="inlineStr">
        <is>
          <t>BX1912 .C66 2001</t>
        </is>
      </c>
      <c r="C834" t="inlineStr">
        <is>
          <t>0                      BX 1912000C  66          2001</t>
        </is>
      </c>
      <c r="D834" t="inlineStr">
        <is>
          <t>Simple priesthood / Sean Connolly.</t>
        </is>
      </c>
      <c r="F834" t="inlineStr">
        <is>
          <t>No</t>
        </is>
      </c>
      <c r="G834" t="inlineStr">
        <is>
          <t>1</t>
        </is>
      </c>
      <c r="H834" t="inlineStr">
        <is>
          <t>No</t>
        </is>
      </c>
      <c r="I834" t="inlineStr">
        <is>
          <t>No</t>
        </is>
      </c>
      <c r="J834" t="inlineStr">
        <is>
          <t>0</t>
        </is>
      </c>
      <c r="K834" t="inlineStr">
        <is>
          <t>Connolly, Sean, 1968-</t>
        </is>
      </c>
      <c r="L834" t="inlineStr">
        <is>
          <t>London : St Pauls, c2001.</t>
        </is>
      </c>
      <c r="M834" t="inlineStr">
        <is>
          <t>2001</t>
        </is>
      </c>
      <c r="O834" t="inlineStr">
        <is>
          <t>eng</t>
        </is>
      </c>
      <c r="P834" t="inlineStr">
        <is>
          <t>enk</t>
        </is>
      </c>
      <c r="R834" t="inlineStr">
        <is>
          <t xml:space="preserve">BX </t>
        </is>
      </c>
      <c r="S834" t="n">
        <v>2</v>
      </c>
      <c r="T834" t="n">
        <v>2</v>
      </c>
      <c r="U834" t="inlineStr">
        <is>
          <t>2005-06-02</t>
        </is>
      </c>
      <c r="V834" t="inlineStr">
        <is>
          <t>2005-06-02</t>
        </is>
      </c>
      <c r="W834" t="inlineStr">
        <is>
          <t>2003-05-21</t>
        </is>
      </c>
      <c r="X834" t="inlineStr">
        <is>
          <t>2003-05-21</t>
        </is>
      </c>
      <c r="Y834" t="n">
        <v>60</v>
      </c>
      <c r="Z834" t="n">
        <v>43</v>
      </c>
      <c r="AA834" t="n">
        <v>44</v>
      </c>
      <c r="AB834" t="n">
        <v>1</v>
      </c>
      <c r="AC834" t="n">
        <v>1</v>
      </c>
      <c r="AD834" t="n">
        <v>4</v>
      </c>
      <c r="AE834" t="n">
        <v>4</v>
      </c>
      <c r="AF834" t="n">
        <v>1</v>
      </c>
      <c r="AG834" t="n">
        <v>1</v>
      </c>
      <c r="AH834" t="n">
        <v>1</v>
      </c>
      <c r="AI834" t="n">
        <v>1</v>
      </c>
      <c r="AJ834" t="n">
        <v>3</v>
      </c>
      <c r="AK834" t="n">
        <v>3</v>
      </c>
      <c r="AL834" t="n">
        <v>0</v>
      </c>
      <c r="AM834" t="n">
        <v>0</v>
      </c>
      <c r="AN834" t="n">
        <v>0</v>
      </c>
      <c r="AO834" t="n">
        <v>0</v>
      </c>
      <c r="AP834" t="inlineStr">
        <is>
          <t>No</t>
        </is>
      </c>
      <c r="AQ834" t="inlineStr">
        <is>
          <t>No</t>
        </is>
      </c>
      <c r="AS834">
        <f>HYPERLINK("https://creighton-primo.hosted.exlibrisgroup.com/primo-explore/search?tab=default_tab&amp;search_scope=EVERYTHING&amp;vid=01CRU&amp;lang=en_US&amp;offset=0&amp;query=any,contains,991004061609702656","Catalog Record")</f>
        <v/>
      </c>
      <c r="AT834">
        <f>HYPERLINK("http://www.worldcat.org/oclc/45991075","WorldCat Record")</f>
        <v/>
      </c>
      <c r="AU834" t="inlineStr">
        <is>
          <t>2523404761:eng</t>
        </is>
      </c>
      <c r="AV834" t="inlineStr">
        <is>
          <t>45991075</t>
        </is>
      </c>
      <c r="AW834" t="inlineStr">
        <is>
          <t>991004061609702656</t>
        </is>
      </c>
      <c r="AX834" t="inlineStr">
        <is>
          <t>991004061609702656</t>
        </is>
      </c>
      <c r="AY834" t="inlineStr">
        <is>
          <t>2261628860002656</t>
        </is>
      </c>
      <c r="AZ834" t="inlineStr">
        <is>
          <t>BOOK</t>
        </is>
      </c>
      <c r="BB834" t="inlineStr">
        <is>
          <t>9780818908842</t>
        </is>
      </c>
      <c r="BC834" t="inlineStr">
        <is>
          <t>32285004748041</t>
        </is>
      </c>
      <c r="BD834" t="inlineStr">
        <is>
          <t>893806593</t>
        </is>
      </c>
    </row>
    <row r="835">
      <c r="A835" t="inlineStr">
        <is>
          <t>No</t>
        </is>
      </c>
      <c r="B835" t="inlineStr">
        <is>
          <t>BX1912 .C74 1996</t>
        </is>
      </c>
      <c r="C835" t="inlineStr">
        <is>
          <t>0                      BX 1912000C  74          1996</t>
        </is>
      </c>
      <c r="D835" t="inlineStr">
        <is>
          <t>Concluding message to all the priests in the world: International Symposium celebrating the 30th anniversary of the promulgation of the Conciliar Decree P̀resbyterorum Ordinis'</t>
        </is>
      </c>
      <c r="F835" t="inlineStr">
        <is>
          <t>No</t>
        </is>
      </c>
      <c r="G835" t="inlineStr">
        <is>
          <t>1</t>
        </is>
      </c>
      <c r="H835" t="inlineStr">
        <is>
          <t>No</t>
        </is>
      </c>
      <c r="I835" t="inlineStr">
        <is>
          <t>No</t>
        </is>
      </c>
      <c r="J835" t="inlineStr">
        <is>
          <t>0</t>
        </is>
      </c>
      <c r="K835" t="inlineStr">
        <is>
          <t>United States Catholic Conference. Congregation for the Clergy.</t>
        </is>
      </c>
      <c r="L835" t="inlineStr">
        <is>
          <t>Washington, D.C.: United States Catholic Conference, 1996</t>
        </is>
      </c>
      <c r="M835" t="inlineStr">
        <is>
          <t>1996</t>
        </is>
      </c>
      <c r="O835" t="inlineStr">
        <is>
          <t>eng</t>
        </is>
      </c>
      <c r="P835" t="inlineStr">
        <is>
          <t>dcu</t>
        </is>
      </c>
      <c r="Q835" t="inlineStr">
        <is>
          <t>Publication / United States Catholic Conference; no. 5-088</t>
        </is>
      </c>
      <c r="R835" t="inlineStr">
        <is>
          <t xml:space="preserve">BX </t>
        </is>
      </c>
      <c r="S835" t="n">
        <v>6</v>
      </c>
      <c r="T835" t="n">
        <v>6</v>
      </c>
      <c r="U835" t="inlineStr">
        <is>
          <t>2001-06-20</t>
        </is>
      </c>
      <c r="V835" t="inlineStr">
        <is>
          <t>2001-06-20</t>
        </is>
      </c>
      <c r="W835" t="inlineStr">
        <is>
          <t>1996-03-07</t>
        </is>
      </c>
      <c r="X835" t="inlineStr">
        <is>
          <t>1996-03-07</t>
        </is>
      </c>
      <c r="Y835" t="n">
        <v>78</v>
      </c>
      <c r="Z835" t="n">
        <v>75</v>
      </c>
      <c r="AA835" t="n">
        <v>75</v>
      </c>
      <c r="AB835" t="n">
        <v>2</v>
      </c>
      <c r="AC835" t="n">
        <v>2</v>
      </c>
      <c r="AD835" t="n">
        <v>14</v>
      </c>
      <c r="AE835" t="n">
        <v>14</v>
      </c>
      <c r="AF835" t="n">
        <v>4</v>
      </c>
      <c r="AG835" t="n">
        <v>4</v>
      </c>
      <c r="AH835" t="n">
        <v>5</v>
      </c>
      <c r="AI835" t="n">
        <v>5</v>
      </c>
      <c r="AJ835" t="n">
        <v>11</v>
      </c>
      <c r="AK835" t="n">
        <v>11</v>
      </c>
      <c r="AL835" t="n">
        <v>0</v>
      </c>
      <c r="AM835" t="n">
        <v>0</v>
      </c>
      <c r="AN835" t="n">
        <v>0</v>
      </c>
      <c r="AO835" t="n">
        <v>0</v>
      </c>
      <c r="AP835" t="inlineStr">
        <is>
          <t>No</t>
        </is>
      </c>
      <c r="AQ835" t="inlineStr">
        <is>
          <t>No</t>
        </is>
      </c>
      <c r="AS835">
        <f>HYPERLINK("https://creighton-primo.hosted.exlibrisgroup.com/primo-explore/search?tab=default_tab&amp;search_scope=EVERYTHING&amp;vid=01CRU&amp;lang=en_US&amp;offset=0&amp;query=any,contains,991002616929702656","Catalog Record")</f>
        <v/>
      </c>
      <c r="AT835">
        <f>HYPERLINK("http://www.worldcat.org/oclc/34306830","WorldCat Record")</f>
        <v/>
      </c>
      <c r="AU835" t="inlineStr">
        <is>
          <t>39046318:eng</t>
        </is>
      </c>
      <c r="AV835" t="inlineStr">
        <is>
          <t>34306830</t>
        </is>
      </c>
      <c r="AW835" t="inlineStr">
        <is>
          <t>991002616929702656</t>
        </is>
      </c>
      <c r="AX835" t="inlineStr">
        <is>
          <t>991002616929702656</t>
        </is>
      </c>
      <c r="AY835" t="inlineStr">
        <is>
          <t>2264434490002656</t>
        </is>
      </c>
      <c r="AZ835" t="inlineStr">
        <is>
          <t>BOOK</t>
        </is>
      </c>
      <c r="BB835" t="inlineStr">
        <is>
          <t>9781574550887</t>
        </is>
      </c>
      <c r="BC835" t="inlineStr">
        <is>
          <t>32285002140670</t>
        </is>
      </c>
      <c r="BD835" t="inlineStr">
        <is>
          <t>893335508</t>
        </is>
      </c>
    </row>
    <row r="836">
      <c r="A836" t="inlineStr">
        <is>
          <t>No</t>
        </is>
      </c>
      <c r="B836" t="inlineStr">
        <is>
          <t>BX1912 .D67 1961</t>
        </is>
      </c>
      <c r="C836" t="inlineStr">
        <is>
          <t>0                      BX 1912000D  67          1961</t>
        </is>
      </c>
      <c r="D836" t="inlineStr">
        <is>
          <t>Looking toward the priesthood : the nature, dignity, necessity and signs of a sacerdotal vocation / by Charles Hugo Doyle.</t>
        </is>
      </c>
      <c r="F836" t="inlineStr">
        <is>
          <t>No</t>
        </is>
      </c>
      <c r="G836" t="inlineStr">
        <is>
          <t>1</t>
        </is>
      </c>
      <c r="H836" t="inlineStr">
        <is>
          <t>No</t>
        </is>
      </c>
      <c r="I836" t="inlineStr">
        <is>
          <t>No</t>
        </is>
      </c>
      <c r="J836" t="inlineStr">
        <is>
          <t>0</t>
        </is>
      </c>
      <c r="K836" t="inlineStr">
        <is>
          <t>Doyle, Chas. Hugo (Charles Hugo)</t>
        </is>
      </c>
      <c r="L836" t="inlineStr">
        <is>
          <t>Derby, N.Y. : St. Paul Publications, [1961]</t>
        </is>
      </c>
      <c r="M836" t="inlineStr">
        <is>
          <t>1961</t>
        </is>
      </c>
      <c r="O836" t="inlineStr">
        <is>
          <t>eng</t>
        </is>
      </c>
      <c r="P836" t="inlineStr">
        <is>
          <t>___</t>
        </is>
      </c>
      <c r="R836" t="inlineStr">
        <is>
          <t xml:space="preserve">BX </t>
        </is>
      </c>
      <c r="S836" t="n">
        <v>2</v>
      </c>
      <c r="T836" t="n">
        <v>2</v>
      </c>
      <c r="U836" t="inlineStr">
        <is>
          <t>2008-05-31</t>
        </is>
      </c>
      <c r="V836" t="inlineStr">
        <is>
          <t>2008-05-31</t>
        </is>
      </c>
      <c r="W836" t="inlineStr">
        <is>
          <t>1991-06-27</t>
        </is>
      </c>
      <c r="X836" t="inlineStr">
        <is>
          <t>1991-06-27</t>
        </is>
      </c>
      <c r="Y836" t="n">
        <v>30</v>
      </c>
      <c r="Z836" t="n">
        <v>26</v>
      </c>
      <c r="AA836" t="n">
        <v>28</v>
      </c>
      <c r="AB836" t="n">
        <v>1</v>
      </c>
      <c r="AC836" t="n">
        <v>1</v>
      </c>
      <c r="AD836" t="n">
        <v>4</v>
      </c>
      <c r="AE836" t="n">
        <v>4</v>
      </c>
      <c r="AF836" t="n">
        <v>1</v>
      </c>
      <c r="AG836" t="n">
        <v>1</v>
      </c>
      <c r="AH836" t="n">
        <v>1</v>
      </c>
      <c r="AI836" t="n">
        <v>1</v>
      </c>
      <c r="AJ836" t="n">
        <v>4</v>
      </c>
      <c r="AK836" t="n">
        <v>4</v>
      </c>
      <c r="AL836" t="n">
        <v>0</v>
      </c>
      <c r="AM836" t="n">
        <v>0</v>
      </c>
      <c r="AN836" t="n">
        <v>0</v>
      </c>
      <c r="AO836" t="n">
        <v>0</v>
      </c>
      <c r="AP836" t="inlineStr">
        <is>
          <t>No</t>
        </is>
      </c>
      <c r="AQ836" t="inlineStr">
        <is>
          <t>No</t>
        </is>
      </c>
      <c r="AS836">
        <f>HYPERLINK("https://creighton-primo.hosted.exlibrisgroup.com/primo-explore/search?tab=default_tab&amp;search_scope=EVERYTHING&amp;vid=01CRU&amp;lang=en_US&amp;offset=0&amp;query=any,contains,991003623229702656","Catalog Record")</f>
        <v/>
      </c>
      <c r="AT836">
        <f>HYPERLINK("http://www.worldcat.org/oclc/1212426","WorldCat Record")</f>
        <v/>
      </c>
      <c r="AU836" t="inlineStr">
        <is>
          <t>2101653:eng</t>
        </is>
      </c>
      <c r="AV836" t="inlineStr">
        <is>
          <t>1212426</t>
        </is>
      </c>
      <c r="AW836" t="inlineStr">
        <is>
          <t>991003623229702656</t>
        </is>
      </c>
      <c r="AX836" t="inlineStr">
        <is>
          <t>991003623229702656</t>
        </is>
      </c>
      <c r="AY836" t="inlineStr">
        <is>
          <t>2265946810002656</t>
        </is>
      </c>
      <c r="AZ836" t="inlineStr">
        <is>
          <t>BOOK</t>
        </is>
      </c>
      <c r="BC836" t="inlineStr">
        <is>
          <t>32285000666254</t>
        </is>
      </c>
      <c r="BD836" t="inlineStr">
        <is>
          <t>893330578</t>
        </is>
      </c>
    </row>
    <row r="837">
      <c r="A837" t="inlineStr">
        <is>
          <t>No</t>
        </is>
      </c>
      <c r="B837" t="inlineStr">
        <is>
          <t>BX1912 .E5 1961</t>
        </is>
      </c>
      <c r="C837" t="inlineStr">
        <is>
          <t>0                      BX 1912000E  5           1961</t>
        </is>
      </c>
      <c r="D837" t="inlineStr">
        <is>
          <t>The Catholic priest : his training and ministry, a picture story / by Jack Engeman ; foreword by Richard Cardinal Cushing, Archbishop of Boston.</t>
        </is>
      </c>
      <c r="F837" t="inlineStr">
        <is>
          <t>No</t>
        </is>
      </c>
      <c r="G837" t="inlineStr">
        <is>
          <t>1</t>
        </is>
      </c>
      <c r="H837" t="inlineStr">
        <is>
          <t>No</t>
        </is>
      </c>
      <c r="I837" t="inlineStr">
        <is>
          <t>No</t>
        </is>
      </c>
      <c r="J837" t="inlineStr">
        <is>
          <t>0</t>
        </is>
      </c>
      <c r="K837" t="inlineStr">
        <is>
          <t>Engeman, Jack.</t>
        </is>
      </c>
      <c r="L837" t="inlineStr">
        <is>
          <t>New York : Lothrop, Lee and Shepard, [1961]</t>
        </is>
      </c>
      <c r="M837" t="inlineStr">
        <is>
          <t>1961</t>
        </is>
      </c>
      <c r="O837" t="inlineStr">
        <is>
          <t>eng</t>
        </is>
      </c>
      <c r="P837" t="inlineStr">
        <is>
          <t>nyu</t>
        </is>
      </c>
      <c r="R837" t="inlineStr">
        <is>
          <t xml:space="preserve">BX </t>
        </is>
      </c>
      <c r="S837" t="n">
        <v>2</v>
      </c>
      <c r="T837" t="n">
        <v>2</v>
      </c>
      <c r="U837" t="inlineStr">
        <is>
          <t>2002-11-07</t>
        </is>
      </c>
      <c r="V837" t="inlineStr">
        <is>
          <t>2002-11-07</t>
        </is>
      </c>
      <c r="W837" t="inlineStr">
        <is>
          <t>1991-06-27</t>
        </is>
      </c>
      <c r="X837" t="inlineStr">
        <is>
          <t>1991-06-27</t>
        </is>
      </c>
      <c r="Y837" t="n">
        <v>147</v>
      </c>
      <c r="Z837" t="n">
        <v>147</v>
      </c>
      <c r="AA837" t="n">
        <v>147</v>
      </c>
      <c r="AB837" t="n">
        <v>4</v>
      </c>
      <c r="AC837" t="n">
        <v>4</v>
      </c>
      <c r="AD837" t="n">
        <v>9</v>
      </c>
      <c r="AE837" t="n">
        <v>9</v>
      </c>
      <c r="AF837" t="n">
        <v>3</v>
      </c>
      <c r="AG837" t="n">
        <v>3</v>
      </c>
      <c r="AH837" t="n">
        <v>1</v>
      </c>
      <c r="AI837" t="n">
        <v>1</v>
      </c>
      <c r="AJ837" t="n">
        <v>8</v>
      </c>
      <c r="AK837" t="n">
        <v>8</v>
      </c>
      <c r="AL837" t="n">
        <v>0</v>
      </c>
      <c r="AM837" t="n">
        <v>0</v>
      </c>
      <c r="AN837" t="n">
        <v>0</v>
      </c>
      <c r="AO837" t="n">
        <v>0</v>
      </c>
      <c r="AP837" t="inlineStr">
        <is>
          <t>No</t>
        </is>
      </c>
      <c r="AQ837" t="inlineStr">
        <is>
          <t>No</t>
        </is>
      </c>
      <c r="AS837">
        <f>HYPERLINK("https://creighton-primo.hosted.exlibrisgroup.com/primo-explore/search?tab=default_tab&amp;search_scope=EVERYTHING&amp;vid=01CRU&amp;lang=en_US&amp;offset=0&amp;query=any,contains,991003868879702656","Catalog Record")</f>
        <v/>
      </c>
      <c r="AT837">
        <f>HYPERLINK("http://www.worldcat.org/oclc/1686662","WorldCat Record")</f>
        <v/>
      </c>
      <c r="AU837" t="inlineStr">
        <is>
          <t>2550107:eng</t>
        </is>
      </c>
      <c r="AV837" t="inlineStr">
        <is>
          <t>1686662</t>
        </is>
      </c>
      <c r="AW837" t="inlineStr">
        <is>
          <t>991003868879702656</t>
        </is>
      </c>
      <c r="AX837" t="inlineStr">
        <is>
          <t>991003868879702656</t>
        </is>
      </c>
      <c r="AY837" t="inlineStr">
        <is>
          <t>2267444450002656</t>
        </is>
      </c>
      <c r="AZ837" t="inlineStr">
        <is>
          <t>BOOK</t>
        </is>
      </c>
      <c r="BC837" t="inlineStr">
        <is>
          <t>32285000666288</t>
        </is>
      </c>
      <c r="BD837" t="inlineStr">
        <is>
          <t>893512471</t>
        </is>
      </c>
    </row>
    <row r="838">
      <c r="A838" t="inlineStr">
        <is>
          <t>No</t>
        </is>
      </c>
      <c r="B838" t="inlineStr">
        <is>
          <t>BX1912 .E8 1947</t>
        </is>
      </c>
      <c r="C838" t="inlineStr">
        <is>
          <t>0                      BX 1912000E  8           1947</t>
        </is>
      </c>
      <c r="D838" t="inlineStr">
        <is>
          <t>The priest : his dignity and obligations / by Saint John Eudes ; tr. from the French by W. Leo Murphy, with an introd. by Charles Lebrun; foreword by John T. McNally.</t>
        </is>
      </c>
      <c r="F838" t="inlineStr">
        <is>
          <t>No</t>
        </is>
      </c>
      <c r="G838" t="inlineStr">
        <is>
          <t>1</t>
        </is>
      </c>
      <c r="H838" t="inlineStr">
        <is>
          <t>No</t>
        </is>
      </c>
      <c r="I838" t="inlineStr">
        <is>
          <t>No</t>
        </is>
      </c>
      <c r="J838" t="inlineStr">
        <is>
          <t>0</t>
        </is>
      </c>
      <c r="K838" t="inlineStr">
        <is>
          <t>Eudes, Jean, Saint, 1601-1680.</t>
        </is>
      </c>
      <c r="L838" t="inlineStr">
        <is>
          <t>New York : P. J. Kenedy, 1947.</t>
        </is>
      </c>
      <c r="M838" t="inlineStr">
        <is>
          <t>1947</t>
        </is>
      </c>
      <c r="O838" t="inlineStr">
        <is>
          <t>eng</t>
        </is>
      </c>
      <c r="P838" t="inlineStr">
        <is>
          <t>nyu</t>
        </is>
      </c>
      <c r="Q838" t="inlineStr">
        <is>
          <t>Selected works of Saint John Eudes</t>
        </is>
      </c>
      <c r="R838" t="inlineStr">
        <is>
          <t xml:space="preserve">BX </t>
        </is>
      </c>
      <c r="S838" t="n">
        <v>5</v>
      </c>
      <c r="T838" t="n">
        <v>5</v>
      </c>
      <c r="U838" t="inlineStr">
        <is>
          <t>2007-11-19</t>
        </is>
      </c>
      <c r="V838" t="inlineStr">
        <is>
          <t>2007-11-19</t>
        </is>
      </c>
      <c r="W838" t="inlineStr">
        <is>
          <t>1991-06-27</t>
        </is>
      </c>
      <c r="X838" t="inlineStr">
        <is>
          <t>1991-06-27</t>
        </is>
      </c>
      <c r="Y838" t="n">
        <v>135</v>
      </c>
      <c r="Z838" t="n">
        <v>112</v>
      </c>
      <c r="AA838" t="n">
        <v>116</v>
      </c>
      <c r="AB838" t="n">
        <v>3</v>
      </c>
      <c r="AC838" t="n">
        <v>3</v>
      </c>
      <c r="AD838" t="n">
        <v>23</v>
      </c>
      <c r="AE838" t="n">
        <v>24</v>
      </c>
      <c r="AF838" t="n">
        <v>6</v>
      </c>
      <c r="AG838" t="n">
        <v>7</v>
      </c>
      <c r="AH838" t="n">
        <v>6</v>
      </c>
      <c r="AI838" t="n">
        <v>6</v>
      </c>
      <c r="AJ838" t="n">
        <v>17</v>
      </c>
      <c r="AK838" t="n">
        <v>18</v>
      </c>
      <c r="AL838" t="n">
        <v>0</v>
      </c>
      <c r="AM838" t="n">
        <v>0</v>
      </c>
      <c r="AN838" t="n">
        <v>0</v>
      </c>
      <c r="AO838" t="n">
        <v>0</v>
      </c>
      <c r="AP838" t="inlineStr">
        <is>
          <t>No</t>
        </is>
      </c>
      <c r="AQ838" t="inlineStr">
        <is>
          <t>No</t>
        </is>
      </c>
      <c r="AS838">
        <f>HYPERLINK("https://creighton-primo.hosted.exlibrisgroup.com/primo-explore/search?tab=default_tab&amp;search_scope=EVERYTHING&amp;vid=01CRU&amp;lang=en_US&amp;offset=0&amp;query=any,contains,991004230679702656","Catalog Record")</f>
        <v/>
      </c>
      <c r="AT838">
        <f>HYPERLINK("http://www.worldcat.org/oclc/2745860","WorldCat Record")</f>
        <v/>
      </c>
      <c r="AU838" t="inlineStr">
        <is>
          <t>6287685:eng</t>
        </is>
      </c>
      <c r="AV838" t="inlineStr">
        <is>
          <t>2745860</t>
        </is>
      </c>
      <c r="AW838" t="inlineStr">
        <is>
          <t>991004230679702656</t>
        </is>
      </c>
      <c r="AX838" t="inlineStr">
        <is>
          <t>991004230679702656</t>
        </is>
      </c>
      <c r="AY838" t="inlineStr">
        <is>
          <t>2258491220002656</t>
        </is>
      </c>
      <c r="AZ838" t="inlineStr">
        <is>
          <t>BOOK</t>
        </is>
      </c>
      <c r="BC838" t="inlineStr">
        <is>
          <t>32285000666296</t>
        </is>
      </c>
      <c r="BD838" t="inlineStr">
        <is>
          <t>893525830</t>
        </is>
      </c>
    </row>
    <row r="839">
      <c r="A839" t="inlineStr">
        <is>
          <t>No</t>
        </is>
      </c>
      <c r="B839" t="inlineStr">
        <is>
          <t>BX1912 .F68 1993</t>
        </is>
      </c>
      <c r="C839" t="inlineStr">
        <is>
          <t>0                      BX 1912000F  68          1993</t>
        </is>
      </c>
      <c r="D839" t="inlineStr">
        <is>
          <t>Foundations for the renewal of the diaconate / David Bourke, Karl H. Kruger, William F. Schmitz, translators.</t>
        </is>
      </c>
      <c r="F839" t="inlineStr">
        <is>
          <t>No</t>
        </is>
      </c>
      <c r="G839" t="inlineStr">
        <is>
          <t>1</t>
        </is>
      </c>
      <c r="H839" t="inlineStr">
        <is>
          <t>No</t>
        </is>
      </c>
      <c r="I839" t="inlineStr">
        <is>
          <t>No</t>
        </is>
      </c>
      <c r="J839" t="inlineStr">
        <is>
          <t>0</t>
        </is>
      </c>
      <c r="L839" t="inlineStr">
        <is>
          <t>Washington, D.C. : United States Catholic Conference, c1993.</t>
        </is>
      </c>
      <c r="M839" t="inlineStr">
        <is>
          <t>1993</t>
        </is>
      </c>
      <c r="O839" t="inlineStr">
        <is>
          <t>eng</t>
        </is>
      </c>
      <c r="P839" t="inlineStr">
        <is>
          <t>dcu</t>
        </is>
      </c>
      <c r="Q839" t="inlineStr">
        <is>
          <t>Publication / Office for Publishing and Promotion Services, United States Catholic Conference ; no. 185-7.</t>
        </is>
      </c>
      <c r="R839" t="inlineStr">
        <is>
          <t xml:space="preserve">BX </t>
        </is>
      </c>
      <c r="S839" t="n">
        <v>3</v>
      </c>
      <c r="T839" t="n">
        <v>3</v>
      </c>
      <c r="U839" t="inlineStr">
        <is>
          <t>2005-11-28</t>
        </is>
      </c>
      <c r="V839" t="inlineStr">
        <is>
          <t>2005-11-28</t>
        </is>
      </c>
      <c r="W839" t="inlineStr">
        <is>
          <t>1993-12-06</t>
        </is>
      </c>
      <c r="X839" t="inlineStr">
        <is>
          <t>1993-12-06</t>
        </is>
      </c>
      <c r="Y839" t="n">
        <v>130</v>
      </c>
      <c r="Z839" t="n">
        <v>119</v>
      </c>
      <c r="AA839" t="n">
        <v>121</v>
      </c>
      <c r="AB839" t="n">
        <v>2</v>
      </c>
      <c r="AC839" t="n">
        <v>2</v>
      </c>
      <c r="AD839" t="n">
        <v>17</v>
      </c>
      <c r="AE839" t="n">
        <v>18</v>
      </c>
      <c r="AF839" t="n">
        <v>4</v>
      </c>
      <c r="AG839" t="n">
        <v>4</v>
      </c>
      <c r="AH839" t="n">
        <v>6</v>
      </c>
      <c r="AI839" t="n">
        <v>7</v>
      </c>
      <c r="AJ839" t="n">
        <v>11</v>
      </c>
      <c r="AK839" t="n">
        <v>12</v>
      </c>
      <c r="AL839" t="n">
        <v>0</v>
      </c>
      <c r="AM839" t="n">
        <v>0</v>
      </c>
      <c r="AN839" t="n">
        <v>1</v>
      </c>
      <c r="AO839" t="n">
        <v>1</v>
      </c>
      <c r="AP839" t="inlineStr">
        <is>
          <t>No</t>
        </is>
      </c>
      <c r="AQ839" t="inlineStr">
        <is>
          <t>No</t>
        </is>
      </c>
      <c r="AS839">
        <f>HYPERLINK("https://creighton-primo.hosted.exlibrisgroup.com/primo-explore/search?tab=default_tab&amp;search_scope=EVERYTHING&amp;vid=01CRU&amp;lang=en_US&amp;offset=0&amp;query=any,contains,991002261429702656","Catalog Record")</f>
        <v/>
      </c>
      <c r="AT839">
        <f>HYPERLINK("http://www.worldcat.org/oclc/29323467","WorldCat Record")</f>
        <v/>
      </c>
      <c r="AU839" t="inlineStr">
        <is>
          <t>31500512:eng</t>
        </is>
      </c>
      <c r="AV839" t="inlineStr">
        <is>
          <t>29323467</t>
        </is>
      </c>
      <c r="AW839" t="inlineStr">
        <is>
          <t>991002261429702656</t>
        </is>
      </c>
      <c r="AX839" t="inlineStr">
        <is>
          <t>991002261429702656</t>
        </is>
      </c>
      <c r="AY839" t="inlineStr">
        <is>
          <t>2264025060002656</t>
        </is>
      </c>
      <c r="AZ839" t="inlineStr">
        <is>
          <t>BOOK</t>
        </is>
      </c>
      <c r="BB839" t="inlineStr">
        <is>
          <t>9781555861858</t>
        </is>
      </c>
      <c r="BC839" t="inlineStr">
        <is>
          <t>32285001802973</t>
        </is>
      </c>
      <c r="BD839" t="inlineStr">
        <is>
          <t>893710070</t>
        </is>
      </c>
    </row>
    <row r="840">
      <c r="A840" t="inlineStr">
        <is>
          <t>No</t>
        </is>
      </c>
      <c r="B840" t="inlineStr">
        <is>
          <t>BX1912 .G5 1896</t>
        </is>
      </c>
      <c r="C840" t="inlineStr">
        <is>
          <t>0                      BX 1912000G  5           1896</t>
        </is>
      </c>
      <c r="D840" t="inlineStr">
        <is>
          <t>The ambassador of Christ / by James, cardinal Gibbons.</t>
        </is>
      </c>
      <c r="F840" t="inlineStr">
        <is>
          <t>No</t>
        </is>
      </c>
      <c r="G840" t="inlineStr">
        <is>
          <t>1</t>
        </is>
      </c>
      <c r="H840" t="inlineStr">
        <is>
          <t>No</t>
        </is>
      </c>
      <c r="I840" t="inlineStr">
        <is>
          <t>No</t>
        </is>
      </c>
      <c r="J840" t="inlineStr">
        <is>
          <t>0</t>
        </is>
      </c>
      <c r="K840" t="inlineStr">
        <is>
          <t>Gibbons, James, 1834-1921.</t>
        </is>
      </c>
      <c r="L840" t="inlineStr">
        <is>
          <t>Baltimore ; New York [etc.] : J. Murphy &amp; company, 1896.</t>
        </is>
      </c>
      <c r="M840" t="inlineStr">
        <is>
          <t>1896</t>
        </is>
      </c>
      <c r="O840" t="inlineStr">
        <is>
          <t>eng</t>
        </is>
      </c>
      <c r="P840" t="inlineStr">
        <is>
          <t>___</t>
        </is>
      </c>
      <c r="R840" t="inlineStr">
        <is>
          <t xml:space="preserve">BX </t>
        </is>
      </c>
      <c r="S840" t="n">
        <v>1</v>
      </c>
      <c r="T840" t="n">
        <v>1</v>
      </c>
      <c r="U840" t="inlineStr">
        <is>
          <t>2002-10-27</t>
        </is>
      </c>
      <c r="V840" t="inlineStr">
        <is>
          <t>2002-10-27</t>
        </is>
      </c>
      <c r="W840" t="inlineStr">
        <is>
          <t>1991-06-27</t>
        </is>
      </c>
      <c r="X840" t="inlineStr">
        <is>
          <t>1991-06-27</t>
        </is>
      </c>
      <c r="Y840" t="n">
        <v>263</v>
      </c>
      <c r="Z840" t="n">
        <v>225</v>
      </c>
      <c r="AA840" t="n">
        <v>241</v>
      </c>
      <c r="AB840" t="n">
        <v>3</v>
      </c>
      <c r="AC840" t="n">
        <v>3</v>
      </c>
      <c r="AD840" t="n">
        <v>30</v>
      </c>
      <c r="AE840" t="n">
        <v>30</v>
      </c>
      <c r="AF840" t="n">
        <v>11</v>
      </c>
      <c r="AG840" t="n">
        <v>11</v>
      </c>
      <c r="AH840" t="n">
        <v>6</v>
      </c>
      <c r="AI840" t="n">
        <v>6</v>
      </c>
      <c r="AJ840" t="n">
        <v>23</v>
      </c>
      <c r="AK840" t="n">
        <v>23</v>
      </c>
      <c r="AL840" t="n">
        <v>0</v>
      </c>
      <c r="AM840" t="n">
        <v>0</v>
      </c>
      <c r="AN840" t="n">
        <v>0</v>
      </c>
      <c r="AO840" t="n">
        <v>0</v>
      </c>
      <c r="AP840" t="inlineStr">
        <is>
          <t>Yes</t>
        </is>
      </c>
      <c r="AQ840" t="inlineStr">
        <is>
          <t>No</t>
        </is>
      </c>
      <c r="AR840">
        <f>HYPERLINK("http://catalog.hathitrust.org/Record/007659179","HathiTrust Record")</f>
        <v/>
      </c>
      <c r="AS840">
        <f>HYPERLINK("https://creighton-primo.hosted.exlibrisgroup.com/primo-explore/search?tab=default_tab&amp;search_scope=EVERYTHING&amp;vid=01CRU&amp;lang=en_US&amp;offset=0&amp;query=any,contains,991003589309702656","Catalog Record")</f>
        <v/>
      </c>
      <c r="AT840">
        <f>HYPERLINK("http://www.worldcat.org/oclc/1086510428","WorldCat Record")</f>
        <v/>
      </c>
      <c r="AU840" t="inlineStr">
        <is>
          <t>1862898157:eng</t>
        </is>
      </c>
      <c r="AV840" t="inlineStr">
        <is>
          <t>1086510428</t>
        </is>
      </c>
      <c r="AW840" t="inlineStr">
        <is>
          <t>991003589309702656</t>
        </is>
      </c>
      <c r="AX840" t="inlineStr">
        <is>
          <t>991003589309702656</t>
        </is>
      </c>
      <c r="AY840" t="inlineStr">
        <is>
          <t>2270054770002656</t>
        </is>
      </c>
      <c r="AZ840" t="inlineStr">
        <is>
          <t>BOOK</t>
        </is>
      </c>
      <c r="BC840" t="inlineStr">
        <is>
          <t>32285000666353</t>
        </is>
      </c>
      <c r="BD840" t="inlineStr">
        <is>
          <t>893893887</t>
        </is>
      </c>
    </row>
    <row r="841">
      <c r="A841" t="inlineStr">
        <is>
          <t>No</t>
        </is>
      </c>
      <c r="B841" t="inlineStr">
        <is>
          <t>BX1912 .G686 1995</t>
        </is>
      </c>
      <c r="C841" t="inlineStr">
        <is>
          <t>0                      BX 1912000G  686         1995</t>
        </is>
      </c>
      <c r="D841" t="inlineStr">
        <is>
          <t>Grace under pressure : what gives life to American priests : a study of effective priests ordained ten to thirty years / James Walsh ... [et al.]</t>
        </is>
      </c>
      <c r="F841" t="inlineStr">
        <is>
          <t>No</t>
        </is>
      </c>
      <c r="G841" t="inlineStr">
        <is>
          <t>1</t>
        </is>
      </c>
      <c r="H841" t="inlineStr">
        <is>
          <t>No</t>
        </is>
      </c>
      <c r="I841" t="inlineStr">
        <is>
          <t>No</t>
        </is>
      </c>
      <c r="J841" t="inlineStr">
        <is>
          <t>0</t>
        </is>
      </c>
      <c r="L841" t="inlineStr">
        <is>
          <t>Washington, DC : National Catholic Educational Association, c1995.</t>
        </is>
      </c>
      <c r="M841" t="inlineStr">
        <is>
          <t>1995</t>
        </is>
      </c>
      <c r="O841" t="inlineStr">
        <is>
          <t>eng</t>
        </is>
      </c>
      <c r="P841" t="inlineStr">
        <is>
          <t>dcu</t>
        </is>
      </c>
      <c r="R841" t="inlineStr">
        <is>
          <t xml:space="preserve">BX </t>
        </is>
      </c>
      <c r="S841" t="n">
        <v>1</v>
      </c>
      <c r="T841" t="n">
        <v>1</v>
      </c>
      <c r="U841" t="inlineStr">
        <is>
          <t>2002-08-12</t>
        </is>
      </c>
      <c r="V841" t="inlineStr">
        <is>
          <t>2002-08-12</t>
        </is>
      </c>
      <c r="W841" t="inlineStr">
        <is>
          <t>2002-08-12</t>
        </is>
      </c>
      <c r="X841" t="inlineStr">
        <is>
          <t>2002-08-12</t>
        </is>
      </c>
      <c r="Y841" t="n">
        <v>114</v>
      </c>
      <c r="Z841" t="n">
        <v>104</v>
      </c>
      <c r="AA841" t="n">
        <v>104</v>
      </c>
      <c r="AB841" t="n">
        <v>2</v>
      </c>
      <c r="AC841" t="n">
        <v>2</v>
      </c>
      <c r="AD841" t="n">
        <v>13</v>
      </c>
      <c r="AE841" t="n">
        <v>13</v>
      </c>
      <c r="AF841" t="n">
        <v>4</v>
      </c>
      <c r="AG841" t="n">
        <v>4</v>
      </c>
      <c r="AH841" t="n">
        <v>3</v>
      </c>
      <c r="AI841" t="n">
        <v>3</v>
      </c>
      <c r="AJ841" t="n">
        <v>6</v>
      </c>
      <c r="AK841" t="n">
        <v>6</v>
      </c>
      <c r="AL841" t="n">
        <v>1</v>
      </c>
      <c r="AM841" t="n">
        <v>1</v>
      </c>
      <c r="AN841" t="n">
        <v>0</v>
      </c>
      <c r="AO841" t="n">
        <v>0</v>
      </c>
      <c r="AP841" t="inlineStr">
        <is>
          <t>No</t>
        </is>
      </c>
      <c r="AQ841" t="inlineStr">
        <is>
          <t>No</t>
        </is>
      </c>
      <c r="AS841">
        <f>HYPERLINK("https://creighton-primo.hosted.exlibrisgroup.com/primo-explore/search?tab=default_tab&amp;search_scope=EVERYTHING&amp;vid=01CRU&amp;lang=en_US&amp;offset=0&amp;query=any,contains,991003855169702656","Catalog Record")</f>
        <v/>
      </c>
      <c r="AT841">
        <f>HYPERLINK("http://www.worldcat.org/oclc/32883046","WorldCat Record")</f>
        <v/>
      </c>
      <c r="AU841" t="inlineStr">
        <is>
          <t>10624675579:eng</t>
        </is>
      </c>
      <c r="AV841" t="inlineStr">
        <is>
          <t>32883046</t>
        </is>
      </c>
      <c r="AW841" t="inlineStr">
        <is>
          <t>991003855169702656</t>
        </is>
      </c>
      <c r="AX841" t="inlineStr">
        <is>
          <t>991003855169702656</t>
        </is>
      </c>
      <c r="AY841" t="inlineStr">
        <is>
          <t>2256468120002656</t>
        </is>
      </c>
      <c r="AZ841" t="inlineStr">
        <is>
          <t>BOOK</t>
        </is>
      </c>
      <c r="BB841" t="inlineStr">
        <is>
          <t>9781558331600</t>
        </is>
      </c>
      <c r="BC841" t="inlineStr">
        <is>
          <t>32285004642657</t>
        </is>
      </c>
      <c r="BD841" t="inlineStr">
        <is>
          <t>893775286</t>
        </is>
      </c>
    </row>
    <row r="842">
      <c r="A842" t="inlineStr">
        <is>
          <t>No</t>
        </is>
      </c>
      <c r="B842" t="inlineStr">
        <is>
          <t>BX1912 .G744 1972</t>
        </is>
      </c>
      <c r="C842" t="inlineStr">
        <is>
          <t>0                      BX 1912000G  744         1972</t>
        </is>
      </c>
      <c r="D842" t="inlineStr">
        <is>
          <t>Priests in the United States : reflections on a survey / [by] Andrew M. Greeley.</t>
        </is>
      </c>
      <c r="F842" t="inlineStr">
        <is>
          <t>No</t>
        </is>
      </c>
      <c r="G842" t="inlineStr">
        <is>
          <t>1</t>
        </is>
      </c>
      <c r="H842" t="inlineStr">
        <is>
          <t>No</t>
        </is>
      </c>
      <c r="I842" t="inlineStr">
        <is>
          <t>No</t>
        </is>
      </c>
      <c r="J842" t="inlineStr">
        <is>
          <t>0</t>
        </is>
      </c>
      <c r="K842" t="inlineStr">
        <is>
          <t>Greeley, Andrew M., 1928-2013.</t>
        </is>
      </c>
      <c r="L842" t="inlineStr">
        <is>
          <t>Garden City, N.Y. : Doubleday, 1972.</t>
        </is>
      </c>
      <c r="M842" t="inlineStr">
        <is>
          <t>1972</t>
        </is>
      </c>
      <c r="N842" t="inlineStr">
        <is>
          <t>[1st ed.]</t>
        </is>
      </c>
      <c r="O842" t="inlineStr">
        <is>
          <t>eng</t>
        </is>
      </c>
      <c r="P842" t="inlineStr">
        <is>
          <t>nyu</t>
        </is>
      </c>
      <c r="R842" t="inlineStr">
        <is>
          <t xml:space="preserve">BX </t>
        </is>
      </c>
      <c r="S842" t="n">
        <v>3</v>
      </c>
      <c r="T842" t="n">
        <v>3</v>
      </c>
      <c r="U842" t="inlineStr">
        <is>
          <t>2007-04-16</t>
        </is>
      </c>
      <c r="V842" t="inlineStr">
        <is>
          <t>2007-04-16</t>
        </is>
      </c>
      <c r="W842" t="inlineStr">
        <is>
          <t>1990-04-04</t>
        </is>
      </c>
      <c r="X842" t="inlineStr">
        <is>
          <t>1990-04-04</t>
        </is>
      </c>
      <c r="Y842" t="n">
        <v>448</v>
      </c>
      <c r="Z842" t="n">
        <v>417</v>
      </c>
      <c r="AA842" t="n">
        <v>423</v>
      </c>
      <c r="AB842" t="n">
        <v>5</v>
      </c>
      <c r="AC842" t="n">
        <v>5</v>
      </c>
      <c r="AD842" t="n">
        <v>35</v>
      </c>
      <c r="AE842" t="n">
        <v>35</v>
      </c>
      <c r="AF842" t="n">
        <v>9</v>
      </c>
      <c r="AG842" t="n">
        <v>9</v>
      </c>
      <c r="AH842" t="n">
        <v>9</v>
      </c>
      <c r="AI842" t="n">
        <v>9</v>
      </c>
      <c r="AJ842" t="n">
        <v>25</v>
      </c>
      <c r="AK842" t="n">
        <v>25</v>
      </c>
      <c r="AL842" t="n">
        <v>3</v>
      </c>
      <c r="AM842" t="n">
        <v>3</v>
      </c>
      <c r="AN842" t="n">
        <v>0</v>
      </c>
      <c r="AO842" t="n">
        <v>0</v>
      </c>
      <c r="AP842" t="inlineStr">
        <is>
          <t>No</t>
        </is>
      </c>
      <c r="AQ842" t="inlineStr">
        <is>
          <t>Yes</t>
        </is>
      </c>
      <c r="AR842">
        <f>HYPERLINK("http://catalog.hathitrust.org/Record/001416729","HathiTrust Record")</f>
        <v/>
      </c>
      <c r="AS842">
        <f>HYPERLINK("https://creighton-primo.hosted.exlibrisgroup.com/primo-explore/search?tab=default_tab&amp;search_scope=EVERYTHING&amp;vid=01CRU&amp;lang=en_US&amp;offset=0&amp;query=any,contains,991002180709702656","Catalog Record")</f>
        <v/>
      </c>
      <c r="AT842">
        <f>HYPERLINK("http://www.worldcat.org/oclc/278983","WorldCat Record")</f>
        <v/>
      </c>
      <c r="AU842" t="inlineStr">
        <is>
          <t>422776807:eng</t>
        </is>
      </c>
      <c r="AV842" t="inlineStr">
        <is>
          <t>278983</t>
        </is>
      </c>
      <c r="AW842" t="inlineStr">
        <is>
          <t>991002180709702656</t>
        </is>
      </c>
      <c r="AX842" t="inlineStr">
        <is>
          <t>991002180709702656</t>
        </is>
      </c>
      <c r="AY842" t="inlineStr">
        <is>
          <t>2258259520002656</t>
        </is>
      </c>
      <c r="AZ842" t="inlineStr">
        <is>
          <t>BOOK</t>
        </is>
      </c>
      <c r="BC842" t="inlineStr">
        <is>
          <t>32285000111517</t>
        </is>
      </c>
      <c r="BD842" t="inlineStr">
        <is>
          <t>893615791</t>
        </is>
      </c>
    </row>
    <row r="843">
      <c r="A843" t="inlineStr">
        <is>
          <t>No</t>
        </is>
      </c>
      <c r="B843" t="inlineStr">
        <is>
          <t>BX1912 .G83</t>
        </is>
      </c>
      <c r="C843" t="inlineStr">
        <is>
          <t>0                      BX 1912000G  83</t>
        </is>
      </c>
      <c r="D843" t="inlineStr">
        <is>
          <t>A new identity for the priest : toward an ecumenical ministry / by Richard H. Guerrette.</t>
        </is>
      </c>
      <c r="F843" t="inlineStr">
        <is>
          <t>No</t>
        </is>
      </c>
      <c r="G843" t="inlineStr">
        <is>
          <t>1</t>
        </is>
      </c>
      <c r="H843" t="inlineStr">
        <is>
          <t>No</t>
        </is>
      </c>
      <c r="I843" t="inlineStr">
        <is>
          <t>No</t>
        </is>
      </c>
      <c r="J843" t="inlineStr">
        <is>
          <t>0</t>
        </is>
      </c>
      <c r="K843" t="inlineStr">
        <is>
          <t>Guerrette, Richard H.</t>
        </is>
      </c>
      <c r="L843" t="inlineStr">
        <is>
          <t>Paramus, N.J. : Paulist Press, [1973]</t>
        </is>
      </c>
      <c r="M843" t="inlineStr">
        <is>
          <t>1973</t>
        </is>
      </c>
      <c r="O843" t="inlineStr">
        <is>
          <t>eng</t>
        </is>
      </c>
      <c r="P843" t="inlineStr">
        <is>
          <t>nju</t>
        </is>
      </c>
      <c r="R843" t="inlineStr">
        <is>
          <t xml:space="preserve">BX </t>
        </is>
      </c>
      <c r="S843" t="n">
        <v>2</v>
      </c>
      <c r="T843" t="n">
        <v>2</v>
      </c>
      <c r="U843" t="inlineStr">
        <is>
          <t>1997-04-25</t>
        </is>
      </c>
      <c r="V843" t="inlineStr">
        <is>
          <t>1997-04-25</t>
        </is>
      </c>
      <c r="W843" t="inlineStr">
        <is>
          <t>1991-06-27</t>
        </is>
      </c>
      <c r="X843" t="inlineStr">
        <is>
          <t>1991-06-27</t>
        </is>
      </c>
      <c r="Y843" t="n">
        <v>147</v>
      </c>
      <c r="Z843" t="n">
        <v>120</v>
      </c>
      <c r="AA843" t="n">
        <v>121</v>
      </c>
      <c r="AB843" t="n">
        <v>1</v>
      </c>
      <c r="AC843" t="n">
        <v>1</v>
      </c>
      <c r="AD843" t="n">
        <v>15</v>
      </c>
      <c r="AE843" t="n">
        <v>15</v>
      </c>
      <c r="AF843" t="n">
        <v>4</v>
      </c>
      <c r="AG843" t="n">
        <v>4</v>
      </c>
      <c r="AH843" t="n">
        <v>5</v>
      </c>
      <c r="AI843" t="n">
        <v>5</v>
      </c>
      <c r="AJ843" t="n">
        <v>11</v>
      </c>
      <c r="AK843" t="n">
        <v>11</v>
      </c>
      <c r="AL843" t="n">
        <v>0</v>
      </c>
      <c r="AM843" t="n">
        <v>0</v>
      </c>
      <c r="AN843" t="n">
        <v>0</v>
      </c>
      <c r="AO843" t="n">
        <v>0</v>
      </c>
      <c r="AP843" t="inlineStr">
        <is>
          <t>No</t>
        </is>
      </c>
      <c r="AQ843" t="inlineStr">
        <is>
          <t>Yes</t>
        </is>
      </c>
      <c r="AR843">
        <f>HYPERLINK("http://catalog.hathitrust.org/Record/101872511","HathiTrust Record")</f>
        <v/>
      </c>
      <c r="AS843">
        <f>HYPERLINK("https://creighton-primo.hosted.exlibrisgroup.com/primo-explore/search?tab=default_tab&amp;search_scope=EVERYTHING&amp;vid=01CRU&amp;lang=en_US&amp;offset=0&amp;query=any,contains,991003060909702656","Catalog Record")</f>
        <v/>
      </c>
      <c r="AT843">
        <f>HYPERLINK("http://www.worldcat.org/oclc/618032","WorldCat Record")</f>
        <v/>
      </c>
      <c r="AU843" t="inlineStr">
        <is>
          <t>891568705:eng</t>
        </is>
      </c>
      <c r="AV843" t="inlineStr">
        <is>
          <t>618032</t>
        </is>
      </c>
      <c r="AW843" t="inlineStr">
        <is>
          <t>991003060909702656</t>
        </is>
      </c>
      <c r="AX843" t="inlineStr">
        <is>
          <t>991003060909702656</t>
        </is>
      </c>
      <c r="AY843" t="inlineStr">
        <is>
          <t>2272091820002656</t>
        </is>
      </c>
      <c r="AZ843" t="inlineStr">
        <is>
          <t>BOOK</t>
        </is>
      </c>
      <c r="BB843" t="inlineStr">
        <is>
          <t>9780809117642</t>
        </is>
      </c>
      <c r="BC843" t="inlineStr">
        <is>
          <t>32285000666387</t>
        </is>
      </c>
      <c r="BD843" t="inlineStr">
        <is>
          <t>893329917</t>
        </is>
      </c>
    </row>
    <row r="844">
      <c r="A844" t="inlineStr">
        <is>
          <t>No</t>
        </is>
      </c>
      <c r="B844" t="inlineStr">
        <is>
          <t>BX1912 .H3713 1996</t>
        </is>
      </c>
      <c r="C844" t="inlineStr">
        <is>
          <t>0                      BX 1912000H  3713        1996</t>
        </is>
      </c>
      <c r="D844" t="inlineStr">
        <is>
          <t>Priesthood imperiled : a critical examination of ministry in the Catholic Church / Bernard Häring.</t>
        </is>
      </c>
      <c r="F844" t="inlineStr">
        <is>
          <t>No</t>
        </is>
      </c>
      <c r="G844" t="inlineStr">
        <is>
          <t>1</t>
        </is>
      </c>
      <c r="H844" t="inlineStr">
        <is>
          <t>No</t>
        </is>
      </c>
      <c r="I844" t="inlineStr">
        <is>
          <t>No</t>
        </is>
      </c>
      <c r="J844" t="inlineStr">
        <is>
          <t>0</t>
        </is>
      </c>
      <c r="K844" t="inlineStr">
        <is>
          <t>Häring, Bernhard, 1912-1998.</t>
        </is>
      </c>
      <c r="L844" t="inlineStr">
        <is>
          <t>Liquori, Mo. : Triumph Books, c1996.</t>
        </is>
      </c>
      <c r="M844" t="inlineStr">
        <is>
          <t>1996</t>
        </is>
      </c>
      <c r="N844" t="inlineStr">
        <is>
          <t>1st U.S. ed.</t>
        </is>
      </c>
      <c r="O844" t="inlineStr">
        <is>
          <t>eng</t>
        </is>
      </c>
      <c r="P844" t="inlineStr">
        <is>
          <t>mou</t>
        </is>
      </c>
      <c r="R844" t="inlineStr">
        <is>
          <t xml:space="preserve">BX </t>
        </is>
      </c>
      <c r="S844" t="n">
        <v>6</v>
      </c>
      <c r="T844" t="n">
        <v>6</v>
      </c>
      <c r="U844" t="inlineStr">
        <is>
          <t>2005-07-18</t>
        </is>
      </c>
      <c r="V844" t="inlineStr">
        <is>
          <t>2005-07-18</t>
        </is>
      </c>
      <c r="W844" t="inlineStr">
        <is>
          <t>1997-03-17</t>
        </is>
      </c>
      <c r="X844" t="inlineStr">
        <is>
          <t>1997-03-17</t>
        </is>
      </c>
      <c r="Y844" t="n">
        <v>214</v>
      </c>
      <c r="Z844" t="n">
        <v>184</v>
      </c>
      <c r="AA844" t="n">
        <v>250</v>
      </c>
      <c r="AB844" t="n">
        <v>2</v>
      </c>
      <c r="AC844" t="n">
        <v>2</v>
      </c>
      <c r="AD844" t="n">
        <v>13</v>
      </c>
      <c r="AE844" t="n">
        <v>13</v>
      </c>
      <c r="AF844" t="n">
        <v>2</v>
      </c>
      <c r="AG844" t="n">
        <v>2</v>
      </c>
      <c r="AH844" t="n">
        <v>4</v>
      </c>
      <c r="AI844" t="n">
        <v>4</v>
      </c>
      <c r="AJ844" t="n">
        <v>10</v>
      </c>
      <c r="AK844" t="n">
        <v>10</v>
      </c>
      <c r="AL844" t="n">
        <v>0</v>
      </c>
      <c r="AM844" t="n">
        <v>0</v>
      </c>
      <c r="AN844" t="n">
        <v>0</v>
      </c>
      <c r="AO844" t="n">
        <v>0</v>
      </c>
      <c r="AP844" t="inlineStr">
        <is>
          <t>No</t>
        </is>
      </c>
      <c r="AQ844" t="inlineStr">
        <is>
          <t>Yes</t>
        </is>
      </c>
      <c r="AR844">
        <f>HYPERLINK("http://catalog.hathitrust.org/Record/006019187","HathiTrust Record")</f>
        <v/>
      </c>
      <c r="AS844">
        <f>HYPERLINK("https://creighton-primo.hosted.exlibrisgroup.com/primo-explore/search?tab=default_tab&amp;search_scope=EVERYTHING&amp;vid=01CRU&amp;lang=en_US&amp;offset=0&amp;query=any,contains,991002618119702656","Catalog Record")</f>
        <v/>
      </c>
      <c r="AT844">
        <f>HYPERLINK("http://www.worldcat.org/oclc/34320155","WorldCat Record")</f>
        <v/>
      </c>
      <c r="AU844" t="inlineStr">
        <is>
          <t>1151824259:eng</t>
        </is>
      </c>
      <c r="AV844" t="inlineStr">
        <is>
          <t>34320155</t>
        </is>
      </c>
      <c r="AW844" t="inlineStr">
        <is>
          <t>991002618119702656</t>
        </is>
      </c>
      <c r="AX844" t="inlineStr">
        <is>
          <t>991002618119702656</t>
        </is>
      </c>
      <c r="AY844" t="inlineStr">
        <is>
          <t>2255942700002656</t>
        </is>
      </c>
      <c r="AZ844" t="inlineStr">
        <is>
          <t>BOOK</t>
        </is>
      </c>
      <c r="BB844" t="inlineStr">
        <is>
          <t>9780892439201</t>
        </is>
      </c>
      <c r="BC844" t="inlineStr">
        <is>
          <t>32285002443371</t>
        </is>
      </c>
      <c r="BD844" t="inlineStr">
        <is>
          <t>893251444</t>
        </is>
      </c>
    </row>
    <row r="845">
      <c r="A845" t="inlineStr">
        <is>
          <t>No</t>
        </is>
      </c>
      <c r="B845" t="inlineStr">
        <is>
          <t>BX1912 .J5</t>
        </is>
      </c>
      <c r="C845" t="inlineStr">
        <is>
          <t>0                      BX 1912000J  5</t>
        </is>
      </c>
      <c r="D845" t="inlineStr">
        <is>
          <t>Letter of the Supreme Pontiff John Paul II to all the priests of the Church on the occasion of Holy Thursday 1979. Letter of the Supreme Pontiff John Paul II to all the bishops of the Church on the occasion of Holy Thursday 1979.</t>
        </is>
      </c>
      <c r="F845" t="inlineStr">
        <is>
          <t>No</t>
        </is>
      </c>
      <c r="G845" t="inlineStr">
        <is>
          <t>1</t>
        </is>
      </c>
      <c r="H845" t="inlineStr">
        <is>
          <t>No</t>
        </is>
      </c>
      <c r="I845" t="inlineStr">
        <is>
          <t>No</t>
        </is>
      </c>
      <c r="J845" t="inlineStr">
        <is>
          <t>0</t>
        </is>
      </c>
      <c r="K845" t="inlineStr">
        <is>
          <t>John Paul II, Pope, 1920-2005.</t>
        </is>
      </c>
      <c r="L845" t="inlineStr">
        <is>
          <t>Washington : United States Catholic Conference, 1979.</t>
        </is>
      </c>
      <c r="M845" t="inlineStr">
        <is>
          <t>1979</t>
        </is>
      </c>
      <c r="O845" t="inlineStr">
        <is>
          <t>eng</t>
        </is>
      </c>
      <c r="P845" t="inlineStr">
        <is>
          <t>dcu</t>
        </is>
      </c>
      <c r="R845" t="inlineStr">
        <is>
          <t xml:space="preserve">BX </t>
        </is>
      </c>
      <c r="S845" t="n">
        <v>7</v>
      </c>
      <c r="T845" t="n">
        <v>7</v>
      </c>
      <c r="U845" t="inlineStr">
        <is>
          <t>1997-06-12</t>
        </is>
      </c>
      <c r="V845" t="inlineStr">
        <is>
          <t>1997-06-12</t>
        </is>
      </c>
      <c r="W845" t="inlineStr">
        <is>
          <t>1991-06-28</t>
        </is>
      </c>
      <c r="X845" t="inlineStr">
        <is>
          <t>1991-06-28</t>
        </is>
      </c>
      <c r="Y845" t="n">
        <v>64</v>
      </c>
      <c r="Z845" t="n">
        <v>59</v>
      </c>
      <c r="AA845" t="n">
        <v>61</v>
      </c>
      <c r="AB845" t="n">
        <v>2</v>
      </c>
      <c r="AC845" t="n">
        <v>2</v>
      </c>
      <c r="AD845" t="n">
        <v>7</v>
      </c>
      <c r="AE845" t="n">
        <v>7</v>
      </c>
      <c r="AF845" t="n">
        <v>1</v>
      </c>
      <c r="AG845" t="n">
        <v>1</v>
      </c>
      <c r="AH845" t="n">
        <v>2</v>
      </c>
      <c r="AI845" t="n">
        <v>2</v>
      </c>
      <c r="AJ845" t="n">
        <v>6</v>
      </c>
      <c r="AK845" t="n">
        <v>6</v>
      </c>
      <c r="AL845" t="n">
        <v>0</v>
      </c>
      <c r="AM845" t="n">
        <v>0</v>
      </c>
      <c r="AN845" t="n">
        <v>0</v>
      </c>
      <c r="AO845" t="n">
        <v>0</v>
      </c>
      <c r="AP845" t="inlineStr">
        <is>
          <t>No</t>
        </is>
      </c>
      <c r="AQ845" t="inlineStr">
        <is>
          <t>No</t>
        </is>
      </c>
      <c r="AS845">
        <f>HYPERLINK("https://creighton-primo.hosted.exlibrisgroup.com/primo-explore/search?tab=default_tab&amp;search_scope=EVERYTHING&amp;vid=01CRU&amp;lang=en_US&amp;offset=0&amp;query=any,contains,991004879999702656","Catalog Record")</f>
        <v/>
      </c>
      <c r="AT845">
        <f>HYPERLINK("http://www.worldcat.org/oclc/5813095","WorldCat Record")</f>
        <v/>
      </c>
      <c r="AU845" t="inlineStr">
        <is>
          <t>19730457:eng</t>
        </is>
      </c>
      <c r="AV845" t="inlineStr">
        <is>
          <t>5813095</t>
        </is>
      </c>
      <c r="AW845" t="inlineStr">
        <is>
          <t>991004879999702656</t>
        </is>
      </c>
      <c r="AX845" t="inlineStr">
        <is>
          <t>991004879999702656</t>
        </is>
      </c>
      <c r="AY845" t="inlineStr">
        <is>
          <t>2260945460002656</t>
        </is>
      </c>
      <c r="AZ845" t="inlineStr">
        <is>
          <t>BOOK</t>
        </is>
      </c>
      <c r="BC845" t="inlineStr">
        <is>
          <t>32285000666429</t>
        </is>
      </c>
      <c r="BD845" t="inlineStr">
        <is>
          <t>893241939</t>
        </is>
      </c>
    </row>
    <row r="846">
      <c r="A846" t="inlineStr">
        <is>
          <t>No</t>
        </is>
      </c>
      <c r="B846" t="inlineStr">
        <is>
          <t>BX1912 .L36 1987</t>
        </is>
      </c>
      <c r="C846" t="inlineStr">
        <is>
          <t>0                      BX 1912000L  36          1987</t>
        </is>
      </c>
      <c r="D846" t="inlineStr">
        <is>
          <t>Speak Lord! : Reflections on the ordination rite for deacons / Steve Landregan.</t>
        </is>
      </c>
      <c r="F846" t="inlineStr">
        <is>
          <t>No</t>
        </is>
      </c>
      <c r="G846" t="inlineStr">
        <is>
          <t>1</t>
        </is>
      </c>
      <c r="H846" t="inlineStr">
        <is>
          <t>No</t>
        </is>
      </c>
      <c r="I846" t="inlineStr">
        <is>
          <t>No</t>
        </is>
      </c>
      <c r="J846" t="inlineStr">
        <is>
          <t>0</t>
        </is>
      </c>
      <c r="K846" t="inlineStr">
        <is>
          <t>Landregan, Steve.</t>
        </is>
      </c>
      <c r="L846" t="inlineStr">
        <is>
          <t>Washington, D.C. : United States Catholic Conference, c1987.</t>
        </is>
      </c>
      <c r="M846" t="inlineStr">
        <is>
          <t>1987</t>
        </is>
      </c>
      <c r="O846" t="inlineStr">
        <is>
          <t>eng</t>
        </is>
      </c>
      <c r="P846" t="inlineStr">
        <is>
          <t>dcu</t>
        </is>
      </c>
      <c r="Q846" t="inlineStr">
        <is>
          <t>Publication / Office of Publishing and Promotion Services, United States Catholic Conference ; no. 150-4</t>
        </is>
      </c>
      <c r="R846" t="inlineStr">
        <is>
          <t xml:space="preserve">BX </t>
        </is>
      </c>
      <c r="S846" t="n">
        <v>3</v>
      </c>
      <c r="T846" t="n">
        <v>3</v>
      </c>
      <c r="U846" t="inlineStr">
        <is>
          <t>2004-06-30</t>
        </is>
      </c>
      <c r="V846" t="inlineStr">
        <is>
          <t>2004-06-30</t>
        </is>
      </c>
      <c r="W846" t="inlineStr">
        <is>
          <t>1991-06-28</t>
        </is>
      </c>
      <c r="X846" t="inlineStr">
        <is>
          <t>1991-06-28</t>
        </is>
      </c>
      <c r="Y846" t="n">
        <v>89</v>
      </c>
      <c r="Z846" t="n">
        <v>80</v>
      </c>
      <c r="AA846" t="n">
        <v>82</v>
      </c>
      <c r="AB846" t="n">
        <v>1</v>
      </c>
      <c r="AC846" t="n">
        <v>1</v>
      </c>
      <c r="AD846" t="n">
        <v>16</v>
      </c>
      <c r="AE846" t="n">
        <v>16</v>
      </c>
      <c r="AF846" t="n">
        <v>5</v>
      </c>
      <c r="AG846" t="n">
        <v>5</v>
      </c>
      <c r="AH846" t="n">
        <v>4</v>
      </c>
      <c r="AI846" t="n">
        <v>4</v>
      </c>
      <c r="AJ846" t="n">
        <v>13</v>
      </c>
      <c r="AK846" t="n">
        <v>13</v>
      </c>
      <c r="AL846" t="n">
        <v>0</v>
      </c>
      <c r="AM846" t="n">
        <v>0</v>
      </c>
      <c r="AN846" t="n">
        <v>0</v>
      </c>
      <c r="AO846" t="n">
        <v>0</v>
      </c>
      <c r="AP846" t="inlineStr">
        <is>
          <t>No</t>
        </is>
      </c>
      <c r="AQ846" t="inlineStr">
        <is>
          <t>No</t>
        </is>
      </c>
      <c r="AS846">
        <f>HYPERLINK("https://creighton-primo.hosted.exlibrisgroup.com/primo-explore/search?tab=default_tab&amp;search_scope=EVERYTHING&amp;vid=01CRU&amp;lang=en_US&amp;offset=0&amp;query=any,contains,991001099579702656","Catalog Record")</f>
        <v/>
      </c>
      <c r="AT846">
        <f>HYPERLINK("http://www.worldcat.org/oclc/18291733","WorldCat Record")</f>
        <v/>
      </c>
      <c r="AU846" t="inlineStr">
        <is>
          <t>430613540:eng</t>
        </is>
      </c>
      <c r="AV846" t="inlineStr">
        <is>
          <t>18291733</t>
        </is>
      </c>
      <c r="AW846" t="inlineStr">
        <is>
          <t>991001099579702656</t>
        </is>
      </c>
      <c r="AX846" t="inlineStr">
        <is>
          <t>991001099579702656</t>
        </is>
      </c>
      <c r="AY846" t="inlineStr">
        <is>
          <t>2259689220002656</t>
        </is>
      </c>
      <c r="AZ846" t="inlineStr">
        <is>
          <t>BOOK</t>
        </is>
      </c>
      <c r="BB846" t="inlineStr">
        <is>
          <t>9781555861506</t>
        </is>
      </c>
      <c r="BC846" t="inlineStr">
        <is>
          <t>32285000666486</t>
        </is>
      </c>
      <c r="BD846" t="inlineStr">
        <is>
          <t>893413951</t>
        </is>
      </c>
    </row>
    <row r="847">
      <c r="A847" t="inlineStr">
        <is>
          <t>No</t>
        </is>
      </c>
      <c r="B847" t="inlineStr">
        <is>
          <t>BX1912 .L54</t>
        </is>
      </c>
      <c r="C847" t="inlineStr">
        <is>
          <t>0                      BX 1912000L  54</t>
        </is>
      </c>
      <c r="D847" t="inlineStr">
        <is>
          <t>Clergy &amp; laity / by Odile M. Liebard. --</t>
        </is>
      </c>
      <c r="F847" t="inlineStr">
        <is>
          <t>No</t>
        </is>
      </c>
      <c r="G847" t="inlineStr">
        <is>
          <t>1</t>
        </is>
      </c>
      <c r="H847" t="inlineStr">
        <is>
          <t>No</t>
        </is>
      </c>
      <c r="I847" t="inlineStr">
        <is>
          <t>No</t>
        </is>
      </c>
      <c r="J847" t="inlineStr">
        <is>
          <t>0</t>
        </is>
      </c>
      <c r="K847" t="inlineStr">
        <is>
          <t>Liebard, Odile M.</t>
        </is>
      </c>
      <c r="L847" t="inlineStr">
        <is>
          <t>Wilmington, N.C. : McGrath, 1978.</t>
        </is>
      </c>
      <c r="M847" t="inlineStr">
        <is>
          <t>1978</t>
        </is>
      </c>
      <c r="O847" t="inlineStr">
        <is>
          <t>eng</t>
        </is>
      </c>
      <c r="P847" t="inlineStr">
        <is>
          <t xml:space="preserve">xx </t>
        </is>
      </c>
      <c r="Q847" t="inlineStr">
        <is>
          <t>Official Catholic teachings</t>
        </is>
      </c>
      <c r="R847" t="inlineStr">
        <is>
          <t xml:space="preserve">BX </t>
        </is>
      </c>
      <c r="S847" t="n">
        <v>7</v>
      </c>
      <c r="T847" t="n">
        <v>7</v>
      </c>
      <c r="U847" t="inlineStr">
        <is>
          <t>1998-10-19</t>
        </is>
      </c>
      <c r="V847" t="inlineStr">
        <is>
          <t>1998-10-19</t>
        </is>
      </c>
      <c r="W847" t="inlineStr">
        <is>
          <t>1990-03-23</t>
        </is>
      </c>
      <c r="X847" t="inlineStr">
        <is>
          <t>1990-03-23</t>
        </is>
      </c>
      <c r="Y847" t="n">
        <v>423</v>
      </c>
      <c r="Z847" t="n">
        <v>377</v>
      </c>
      <c r="AA847" t="n">
        <v>384</v>
      </c>
      <c r="AB847" t="n">
        <v>4</v>
      </c>
      <c r="AC847" t="n">
        <v>4</v>
      </c>
      <c r="AD847" t="n">
        <v>32</v>
      </c>
      <c r="AE847" t="n">
        <v>32</v>
      </c>
      <c r="AF847" t="n">
        <v>10</v>
      </c>
      <c r="AG847" t="n">
        <v>10</v>
      </c>
      <c r="AH847" t="n">
        <v>8</v>
      </c>
      <c r="AI847" t="n">
        <v>8</v>
      </c>
      <c r="AJ847" t="n">
        <v>24</v>
      </c>
      <c r="AK847" t="n">
        <v>24</v>
      </c>
      <c r="AL847" t="n">
        <v>2</v>
      </c>
      <c r="AM847" t="n">
        <v>2</v>
      </c>
      <c r="AN847" t="n">
        <v>0</v>
      </c>
      <c r="AO847" t="n">
        <v>0</v>
      </c>
      <c r="AP847" t="inlineStr">
        <is>
          <t>No</t>
        </is>
      </c>
      <c r="AQ847" t="inlineStr">
        <is>
          <t>Yes</t>
        </is>
      </c>
      <c r="AR847">
        <f>HYPERLINK("http://catalog.hathitrust.org/Record/000255516","HathiTrust Record")</f>
        <v/>
      </c>
      <c r="AS847">
        <f>HYPERLINK("https://creighton-primo.hosted.exlibrisgroup.com/primo-explore/search?tab=default_tab&amp;search_scope=EVERYTHING&amp;vid=01CRU&amp;lang=en_US&amp;offset=0&amp;query=any,contains,991004627409702656","Catalog Record")</f>
        <v/>
      </c>
      <c r="AT847">
        <f>HYPERLINK("http://www.worldcat.org/oclc/4348765","WorldCat Record")</f>
        <v/>
      </c>
      <c r="AU847" t="inlineStr">
        <is>
          <t>14772878:eng</t>
        </is>
      </c>
      <c r="AV847" t="inlineStr">
        <is>
          <t>4348765</t>
        </is>
      </c>
      <c r="AW847" t="inlineStr">
        <is>
          <t>991004627409702656</t>
        </is>
      </c>
      <c r="AX847" t="inlineStr">
        <is>
          <t>991004627409702656</t>
        </is>
      </c>
      <c r="AY847" t="inlineStr">
        <is>
          <t>2266124240002656</t>
        </is>
      </c>
      <c r="AZ847" t="inlineStr">
        <is>
          <t>BOOK</t>
        </is>
      </c>
      <c r="BC847" t="inlineStr">
        <is>
          <t>32285000096387</t>
        </is>
      </c>
      <c r="BD847" t="inlineStr">
        <is>
          <t>893500789</t>
        </is>
      </c>
    </row>
    <row r="848">
      <c r="A848" t="inlineStr">
        <is>
          <t>No</t>
        </is>
      </c>
      <c r="B848" t="inlineStr">
        <is>
          <t>BX1912 .M217 1989</t>
        </is>
      </c>
      <c r="C848" t="inlineStr">
        <is>
          <t>0                      BX 1912000M  217         1989</t>
        </is>
      </c>
      <c r="D848" t="inlineStr">
        <is>
          <t>A priest to turn to : biblical and pastoral reflections on the priesthood / William F. Maestri.</t>
        </is>
      </c>
      <c r="F848" t="inlineStr">
        <is>
          <t>No</t>
        </is>
      </c>
      <c r="G848" t="inlineStr">
        <is>
          <t>1</t>
        </is>
      </c>
      <c r="H848" t="inlineStr">
        <is>
          <t>No</t>
        </is>
      </c>
      <c r="I848" t="inlineStr">
        <is>
          <t>No</t>
        </is>
      </c>
      <c r="J848" t="inlineStr">
        <is>
          <t>0</t>
        </is>
      </c>
      <c r="K848" t="inlineStr">
        <is>
          <t>Maestri, William.</t>
        </is>
      </c>
      <c r="L848" t="inlineStr">
        <is>
          <t>New York, N.Y. : Alba House, c1989.</t>
        </is>
      </c>
      <c r="M848" t="inlineStr">
        <is>
          <t>1989</t>
        </is>
      </c>
      <c r="O848" t="inlineStr">
        <is>
          <t>eng</t>
        </is>
      </c>
      <c r="P848" t="inlineStr">
        <is>
          <t>nyu</t>
        </is>
      </c>
      <c r="R848" t="inlineStr">
        <is>
          <t xml:space="preserve">BX </t>
        </is>
      </c>
      <c r="S848" t="n">
        <v>1</v>
      </c>
      <c r="T848" t="n">
        <v>1</v>
      </c>
      <c r="U848" t="inlineStr">
        <is>
          <t>2002-08-13</t>
        </is>
      </c>
      <c r="V848" t="inlineStr">
        <is>
          <t>2002-08-13</t>
        </is>
      </c>
      <c r="W848" t="inlineStr">
        <is>
          <t>2002-08-13</t>
        </is>
      </c>
      <c r="X848" t="inlineStr">
        <is>
          <t>2002-08-13</t>
        </is>
      </c>
      <c r="Y848" t="n">
        <v>80</v>
      </c>
      <c r="Z848" t="n">
        <v>66</v>
      </c>
      <c r="AA848" t="n">
        <v>66</v>
      </c>
      <c r="AB848" t="n">
        <v>3</v>
      </c>
      <c r="AC848" t="n">
        <v>3</v>
      </c>
      <c r="AD848" t="n">
        <v>4</v>
      </c>
      <c r="AE848" t="n">
        <v>4</v>
      </c>
      <c r="AF848" t="n">
        <v>1</v>
      </c>
      <c r="AG848" t="n">
        <v>1</v>
      </c>
      <c r="AH848" t="n">
        <v>1</v>
      </c>
      <c r="AI848" t="n">
        <v>1</v>
      </c>
      <c r="AJ848" t="n">
        <v>3</v>
      </c>
      <c r="AK848" t="n">
        <v>3</v>
      </c>
      <c r="AL848" t="n">
        <v>0</v>
      </c>
      <c r="AM848" t="n">
        <v>0</v>
      </c>
      <c r="AN848" t="n">
        <v>0</v>
      </c>
      <c r="AO848" t="n">
        <v>0</v>
      </c>
      <c r="AP848" t="inlineStr">
        <is>
          <t>No</t>
        </is>
      </c>
      <c r="AQ848" t="inlineStr">
        <is>
          <t>No</t>
        </is>
      </c>
      <c r="AS848">
        <f>HYPERLINK("https://creighton-primo.hosted.exlibrisgroup.com/primo-explore/search?tab=default_tab&amp;search_scope=EVERYTHING&amp;vid=01CRU&amp;lang=en_US&amp;offset=0&amp;query=any,contains,991003855639702656","Catalog Record")</f>
        <v/>
      </c>
      <c r="AT848">
        <f>HYPERLINK("http://www.worldcat.org/oclc/18714887","WorldCat Record")</f>
        <v/>
      </c>
      <c r="AU848" t="inlineStr">
        <is>
          <t>18331553:eng</t>
        </is>
      </c>
      <c r="AV848" t="inlineStr">
        <is>
          <t>18714887</t>
        </is>
      </c>
      <c r="AW848" t="inlineStr">
        <is>
          <t>991003855639702656</t>
        </is>
      </c>
      <c r="AX848" t="inlineStr">
        <is>
          <t>991003855639702656</t>
        </is>
      </c>
      <c r="AY848" t="inlineStr">
        <is>
          <t>2265895850002656</t>
        </is>
      </c>
      <c r="AZ848" t="inlineStr">
        <is>
          <t>BOOK</t>
        </is>
      </c>
      <c r="BB848" t="inlineStr">
        <is>
          <t>9780818905469</t>
        </is>
      </c>
      <c r="BC848" t="inlineStr">
        <is>
          <t>32285004642392</t>
        </is>
      </c>
      <c r="BD848" t="inlineStr">
        <is>
          <t>893234716</t>
        </is>
      </c>
    </row>
    <row r="849">
      <c r="A849" t="inlineStr">
        <is>
          <t>No</t>
        </is>
      </c>
      <c r="B849" t="inlineStr">
        <is>
          <t>BX1912 .M3 1883</t>
        </is>
      </c>
      <c r="C849" t="inlineStr">
        <is>
          <t>0                      BX 1912000M  3           1883</t>
        </is>
      </c>
      <c r="D849" t="inlineStr">
        <is>
          <t>The eternal priesthood / by Henry Edward, cardinal, archbishop of Westminster.</t>
        </is>
      </c>
      <c r="F849" t="inlineStr">
        <is>
          <t>No</t>
        </is>
      </c>
      <c r="G849" t="inlineStr">
        <is>
          <t>1</t>
        </is>
      </c>
      <c r="H849" t="inlineStr">
        <is>
          <t>No</t>
        </is>
      </c>
      <c r="I849" t="inlineStr">
        <is>
          <t>No</t>
        </is>
      </c>
      <c r="J849" t="inlineStr">
        <is>
          <t>0</t>
        </is>
      </c>
      <c r="K849" t="inlineStr">
        <is>
          <t>Manning, Henry Edward, 1808-1892.</t>
        </is>
      </c>
      <c r="L849" t="inlineStr">
        <is>
          <t>Baltimore : J. Murphy &amp; co., 1883.</t>
        </is>
      </c>
      <c r="M849" t="inlineStr">
        <is>
          <t>1883</t>
        </is>
      </c>
      <c r="O849" t="inlineStr">
        <is>
          <t>eng</t>
        </is>
      </c>
      <c r="P849" t="inlineStr">
        <is>
          <t>mdu</t>
        </is>
      </c>
      <c r="R849" t="inlineStr">
        <is>
          <t xml:space="preserve">BX </t>
        </is>
      </c>
      <c r="S849" t="n">
        <v>0</v>
      </c>
      <c r="T849" t="n">
        <v>0</v>
      </c>
      <c r="U849" t="inlineStr">
        <is>
          <t>2002-08-12</t>
        </is>
      </c>
      <c r="V849" t="inlineStr">
        <is>
          <t>2002-08-12</t>
        </is>
      </c>
      <c r="W849" t="inlineStr">
        <is>
          <t>1991-06-28</t>
        </is>
      </c>
      <c r="X849" t="inlineStr">
        <is>
          <t>1991-06-28</t>
        </is>
      </c>
      <c r="Y849" t="n">
        <v>87</v>
      </c>
      <c r="Z849" t="n">
        <v>78</v>
      </c>
      <c r="AA849" t="n">
        <v>244</v>
      </c>
      <c r="AB849" t="n">
        <v>1</v>
      </c>
      <c r="AC849" t="n">
        <v>3</v>
      </c>
      <c r="AD849" t="n">
        <v>12</v>
      </c>
      <c r="AE849" t="n">
        <v>25</v>
      </c>
      <c r="AF849" t="n">
        <v>2</v>
      </c>
      <c r="AG849" t="n">
        <v>8</v>
      </c>
      <c r="AH849" t="n">
        <v>6</v>
      </c>
      <c r="AI849" t="n">
        <v>9</v>
      </c>
      <c r="AJ849" t="n">
        <v>7</v>
      </c>
      <c r="AK849" t="n">
        <v>17</v>
      </c>
      <c r="AL849" t="n">
        <v>0</v>
      </c>
      <c r="AM849" t="n">
        <v>1</v>
      </c>
      <c r="AN849" t="n">
        <v>0</v>
      </c>
      <c r="AO849" t="n">
        <v>0</v>
      </c>
      <c r="AP849" t="inlineStr">
        <is>
          <t>No</t>
        </is>
      </c>
      <c r="AQ849" t="inlineStr">
        <is>
          <t>No</t>
        </is>
      </c>
      <c r="AS849">
        <f>HYPERLINK("https://creighton-primo.hosted.exlibrisgroup.com/primo-explore/search?tab=default_tab&amp;search_scope=EVERYTHING&amp;vid=01CRU&amp;lang=en_US&amp;offset=0&amp;query=any,contains,991004161509702656","Catalog Record")</f>
        <v/>
      </c>
      <c r="AT849">
        <f>HYPERLINK("http://www.worldcat.org/oclc/2552491","WorldCat Record")</f>
        <v/>
      </c>
      <c r="AU849" t="inlineStr">
        <is>
          <t>1586907:eng</t>
        </is>
      </c>
      <c r="AV849" t="inlineStr">
        <is>
          <t>2552491</t>
        </is>
      </c>
      <c r="AW849" t="inlineStr">
        <is>
          <t>991004161509702656</t>
        </is>
      </c>
      <c r="AX849" t="inlineStr">
        <is>
          <t>991004161509702656</t>
        </is>
      </c>
      <c r="AY849" t="inlineStr">
        <is>
          <t>2254701060002656</t>
        </is>
      </c>
      <c r="AZ849" t="inlineStr">
        <is>
          <t>BOOK</t>
        </is>
      </c>
      <c r="BC849" t="inlineStr">
        <is>
          <t>32285000666502</t>
        </is>
      </c>
      <c r="BD849" t="inlineStr">
        <is>
          <t>893442276</t>
        </is>
      </c>
    </row>
    <row r="850">
      <c r="A850" t="inlineStr">
        <is>
          <t>No</t>
        </is>
      </c>
      <c r="B850" t="inlineStr">
        <is>
          <t>BX1912 .M335</t>
        </is>
      </c>
      <c r="C850" t="inlineStr">
        <is>
          <t>0                      BX 1912000M  335</t>
        </is>
      </c>
      <c r="D850" t="inlineStr">
        <is>
          <t>Clés pour une théologie du ministère : in persona Christi, in persona Ecclesiae / par Bernard Dominique Marliangeas ; préf. de Y. M. Congar.</t>
        </is>
      </c>
      <c r="F850" t="inlineStr">
        <is>
          <t>No</t>
        </is>
      </c>
      <c r="G850" t="inlineStr">
        <is>
          <t>1</t>
        </is>
      </c>
      <c r="H850" t="inlineStr">
        <is>
          <t>No</t>
        </is>
      </c>
      <c r="I850" t="inlineStr">
        <is>
          <t>No</t>
        </is>
      </c>
      <c r="J850" t="inlineStr">
        <is>
          <t>0</t>
        </is>
      </c>
      <c r="K850" t="inlineStr">
        <is>
          <t>Marliangeas, Bernard.</t>
        </is>
      </c>
      <c r="L850" t="inlineStr">
        <is>
          <t>Paris : Beauchesne, c1978.</t>
        </is>
      </c>
      <c r="M850" t="inlineStr">
        <is>
          <t>1978</t>
        </is>
      </c>
      <c r="O850" t="inlineStr">
        <is>
          <t>fre</t>
        </is>
      </c>
      <c r="P850" t="inlineStr">
        <is>
          <t xml:space="preserve">fr </t>
        </is>
      </c>
      <c r="Q850" t="inlineStr">
        <is>
          <t>Théologie historique ; 51</t>
        </is>
      </c>
      <c r="R850" t="inlineStr">
        <is>
          <t xml:space="preserve">BX </t>
        </is>
      </c>
      <c r="S850" t="n">
        <v>2</v>
      </c>
      <c r="T850" t="n">
        <v>2</v>
      </c>
      <c r="U850" t="inlineStr">
        <is>
          <t>1998-06-11</t>
        </is>
      </c>
      <c r="V850" t="inlineStr">
        <is>
          <t>1998-06-11</t>
        </is>
      </c>
      <c r="W850" t="inlineStr">
        <is>
          <t>1991-06-28</t>
        </is>
      </c>
      <c r="X850" t="inlineStr">
        <is>
          <t>1991-06-28</t>
        </is>
      </c>
      <c r="Y850" t="n">
        <v>79</v>
      </c>
      <c r="Z850" t="n">
        <v>57</v>
      </c>
      <c r="AA850" t="n">
        <v>58</v>
      </c>
      <c r="AB850" t="n">
        <v>1</v>
      </c>
      <c r="AC850" t="n">
        <v>1</v>
      </c>
      <c r="AD850" t="n">
        <v>10</v>
      </c>
      <c r="AE850" t="n">
        <v>10</v>
      </c>
      <c r="AF850" t="n">
        <v>0</v>
      </c>
      <c r="AG850" t="n">
        <v>0</v>
      </c>
      <c r="AH850" t="n">
        <v>3</v>
      </c>
      <c r="AI850" t="n">
        <v>3</v>
      </c>
      <c r="AJ850" t="n">
        <v>8</v>
      </c>
      <c r="AK850" t="n">
        <v>8</v>
      </c>
      <c r="AL850" t="n">
        <v>0</v>
      </c>
      <c r="AM850" t="n">
        <v>0</v>
      </c>
      <c r="AN850" t="n">
        <v>0</v>
      </c>
      <c r="AO850" t="n">
        <v>0</v>
      </c>
      <c r="AP850" t="inlineStr">
        <is>
          <t>No</t>
        </is>
      </c>
      <c r="AQ850" t="inlineStr">
        <is>
          <t>No</t>
        </is>
      </c>
      <c r="AS850">
        <f>HYPERLINK("https://creighton-primo.hosted.exlibrisgroup.com/primo-explore/search?tab=default_tab&amp;search_scope=EVERYTHING&amp;vid=01CRU&amp;lang=en_US&amp;offset=0&amp;query=any,contains,991004674329702656","Catalog Record")</f>
        <v/>
      </c>
      <c r="AT850">
        <f>HYPERLINK("http://www.worldcat.org/oclc/4527789","WorldCat Record")</f>
        <v/>
      </c>
      <c r="AU850" t="inlineStr">
        <is>
          <t>807761793:fre</t>
        </is>
      </c>
      <c r="AV850" t="inlineStr">
        <is>
          <t>4527789</t>
        </is>
      </c>
      <c r="AW850" t="inlineStr">
        <is>
          <t>991004674329702656</t>
        </is>
      </c>
      <c r="AX850" t="inlineStr">
        <is>
          <t>991004674329702656</t>
        </is>
      </c>
      <c r="AY850" t="inlineStr">
        <is>
          <t>2269736910002656</t>
        </is>
      </c>
      <c r="AZ850" t="inlineStr">
        <is>
          <t>BOOK</t>
        </is>
      </c>
      <c r="BC850" t="inlineStr">
        <is>
          <t>32285000666528</t>
        </is>
      </c>
      <c r="BD850" t="inlineStr">
        <is>
          <t>893882777</t>
        </is>
      </c>
    </row>
    <row r="851">
      <c r="A851" t="inlineStr">
        <is>
          <t>No</t>
        </is>
      </c>
      <c r="B851" t="inlineStr">
        <is>
          <t>BX1912 .M38 1825</t>
        </is>
      </c>
      <c r="C851" t="inlineStr">
        <is>
          <t>0                      BX 1912000M  38          1825</t>
        </is>
      </c>
      <c r="D851" t="inlineStr">
        <is>
          <t>The ecclesiastical conferences, the synodal discourses and episcopal mandates, of Massillon bishop of Clermont, on the principal duties of the clergy in two volumes. Translated by C.H. Boylan.</t>
        </is>
      </c>
      <c r="E851" t="inlineStr">
        <is>
          <t>V.2</t>
        </is>
      </c>
      <c r="F851" t="inlineStr">
        <is>
          <t>Yes</t>
        </is>
      </c>
      <c r="G851" t="inlineStr">
        <is>
          <t>1</t>
        </is>
      </c>
      <c r="H851" t="inlineStr">
        <is>
          <t>No</t>
        </is>
      </c>
      <c r="I851" t="inlineStr">
        <is>
          <t>No</t>
        </is>
      </c>
      <c r="J851" t="inlineStr">
        <is>
          <t>0</t>
        </is>
      </c>
      <c r="K851" t="inlineStr">
        <is>
          <t>Massillon, Jean-Baptiste, 1663-1742.</t>
        </is>
      </c>
      <c r="L851" t="inlineStr">
        <is>
          <t>Dublin : R. Milliken, and R. Coyne, 1825.</t>
        </is>
      </c>
      <c r="M851" t="inlineStr">
        <is>
          <t>1825</t>
        </is>
      </c>
      <c r="O851" t="inlineStr">
        <is>
          <t>eng</t>
        </is>
      </c>
      <c r="P851" t="inlineStr">
        <is>
          <t xml:space="preserve">ie </t>
        </is>
      </c>
      <c r="R851" t="inlineStr">
        <is>
          <t xml:space="preserve">BX </t>
        </is>
      </c>
      <c r="S851" t="n">
        <v>1</v>
      </c>
      <c r="T851" t="n">
        <v>2</v>
      </c>
      <c r="U851" t="inlineStr">
        <is>
          <t>1997-09-20</t>
        </is>
      </c>
      <c r="V851" t="inlineStr">
        <is>
          <t>1997-09-20</t>
        </is>
      </c>
      <c r="W851" t="inlineStr">
        <is>
          <t>1991-06-28</t>
        </is>
      </c>
      <c r="X851" t="inlineStr">
        <is>
          <t>1991-06-28</t>
        </is>
      </c>
      <c r="Y851" t="n">
        <v>14</v>
      </c>
      <c r="Z851" t="n">
        <v>10</v>
      </c>
      <c r="AA851" t="n">
        <v>13</v>
      </c>
      <c r="AB851" t="n">
        <v>1</v>
      </c>
      <c r="AC851" t="n">
        <v>1</v>
      </c>
      <c r="AD851" t="n">
        <v>3</v>
      </c>
      <c r="AE851" t="n">
        <v>3</v>
      </c>
      <c r="AF851" t="n">
        <v>0</v>
      </c>
      <c r="AG851" t="n">
        <v>0</v>
      </c>
      <c r="AH851" t="n">
        <v>1</v>
      </c>
      <c r="AI851" t="n">
        <v>1</v>
      </c>
      <c r="AJ851" t="n">
        <v>2</v>
      </c>
      <c r="AK851" t="n">
        <v>2</v>
      </c>
      <c r="AL851" t="n">
        <v>0</v>
      </c>
      <c r="AM851" t="n">
        <v>0</v>
      </c>
      <c r="AN851" t="n">
        <v>0</v>
      </c>
      <c r="AO851" t="n">
        <v>0</v>
      </c>
      <c r="AP851" t="inlineStr">
        <is>
          <t>No</t>
        </is>
      </c>
      <c r="AQ851" t="inlineStr">
        <is>
          <t>No</t>
        </is>
      </c>
      <c r="AS851">
        <f>HYPERLINK("https://creighton-primo.hosted.exlibrisgroup.com/primo-explore/search?tab=default_tab&amp;search_scope=EVERYTHING&amp;vid=01CRU&amp;lang=en_US&amp;offset=0&amp;query=any,contains,991000322359702656","Catalog Record")</f>
        <v/>
      </c>
      <c r="AT851">
        <f>HYPERLINK("http://www.worldcat.org/oclc/10155688","WorldCat Record")</f>
        <v/>
      </c>
      <c r="AU851" t="inlineStr">
        <is>
          <t>4663824682:eng</t>
        </is>
      </c>
      <c r="AV851" t="inlineStr">
        <is>
          <t>10155688</t>
        </is>
      </c>
      <c r="AW851" t="inlineStr">
        <is>
          <t>991000322359702656</t>
        </is>
      </c>
      <c r="AX851" t="inlineStr">
        <is>
          <t>991000322359702656</t>
        </is>
      </c>
      <c r="AY851" t="inlineStr">
        <is>
          <t>2263629430002656</t>
        </is>
      </c>
      <c r="AZ851" t="inlineStr">
        <is>
          <t>BOOK</t>
        </is>
      </c>
      <c r="BC851" t="inlineStr">
        <is>
          <t>32285000666544</t>
        </is>
      </c>
      <c r="BD851" t="inlineStr">
        <is>
          <t>893333374</t>
        </is>
      </c>
    </row>
    <row r="852">
      <c r="A852" t="inlineStr">
        <is>
          <t>No</t>
        </is>
      </c>
      <c r="B852" t="inlineStr">
        <is>
          <t>BX1912 .M38 1825</t>
        </is>
      </c>
      <c r="C852" t="inlineStr">
        <is>
          <t>0                      BX 1912000M  38          1825</t>
        </is>
      </c>
      <c r="D852" t="inlineStr">
        <is>
          <t>The ecclesiastical conferences, the synodal discourses and episcopal mandates, of Massillon bishop of Clermont, on the principal duties of the clergy in two volumes. Translated by C.H. Boylan.</t>
        </is>
      </c>
      <c r="E852" t="inlineStr">
        <is>
          <t>V.1</t>
        </is>
      </c>
      <c r="F852" t="inlineStr">
        <is>
          <t>Yes</t>
        </is>
      </c>
      <c r="G852" t="inlineStr">
        <is>
          <t>1</t>
        </is>
      </c>
      <c r="H852" t="inlineStr">
        <is>
          <t>No</t>
        </is>
      </c>
      <c r="I852" t="inlineStr">
        <is>
          <t>No</t>
        </is>
      </c>
      <c r="J852" t="inlineStr">
        <is>
          <t>0</t>
        </is>
      </c>
      <c r="K852" t="inlineStr">
        <is>
          <t>Massillon, Jean-Baptiste, 1663-1742.</t>
        </is>
      </c>
      <c r="L852" t="inlineStr">
        <is>
          <t>Dublin : R. Milliken, and R. Coyne, 1825.</t>
        </is>
      </c>
      <c r="M852" t="inlineStr">
        <is>
          <t>1825</t>
        </is>
      </c>
      <c r="O852" t="inlineStr">
        <is>
          <t>eng</t>
        </is>
      </c>
      <c r="P852" t="inlineStr">
        <is>
          <t xml:space="preserve">ie </t>
        </is>
      </c>
      <c r="R852" t="inlineStr">
        <is>
          <t xml:space="preserve">BX </t>
        </is>
      </c>
      <c r="S852" t="n">
        <v>1</v>
      </c>
      <c r="T852" t="n">
        <v>2</v>
      </c>
      <c r="U852" t="inlineStr">
        <is>
          <t>1997-09-20</t>
        </is>
      </c>
      <c r="V852" t="inlineStr">
        <is>
          <t>1997-09-20</t>
        </is>
      </c>
      <c r="W852" t="inlineStr">
        <is>
          <t>1991-06-28</t>
        </is>
      </c>
      <c r="X852" t="inlineStr">
        <is>
          <t>1991-06-28</t>
        </is>
      </c>
      <c r="Y852" t="n">
        <v>14</v>
      </c>
      <c r="Z852" t="n">
        <v>10</v>
      </c>
      <c r="AA852" t="n">
        <v>13</v>
      </c>
      <c r="AB852" t="n">
        <v>1</v>
      </c>
      <c r="AC852" t="n">
        <v>1</v>
      </c>
      <c r="AD852" t="n">
        <v>3</v>
      </c>
      <c r="AE852" t="n">
        <v>3</v>
      </c>
      <c r="AF852" t="n">
        <v>0</v>
      </c>
      <c r="AG852" t="n">
        <v>0</v>
      </c>
      <c r="AH852" t="n">
        <v>1</v>
      </c>
      <c r="AI852" t="n">
        <v>1</v>
      </c>
      <c r="AJ852" t="n">
        <v>2</v>
      </c>
      <c r="AK852" t="n">
        <v>2</v>
      </c>
      <c r="AL852" t="n">
        <v>0</v>
      </c>
      <c r="AM852" t="n">
        <v>0</v>
      </c>
      <c r="AN852" t="n">
        <v>0</v>
      </c>
      <c r="AO852" t="n">
        <v>0</v>
      </c>
      <c r="AP852" t="inlineStr">
        <is>
          <t>No</t>
        </is>
      </c>
      <c r="AQ852" t="inlineStr">
        <is>
          <t>No</t>
        </is>
      </c>
      <c r="AS852">
        <f>HYPERLINK("https://creighton-primo.hosted.exlibrisgroup.com/primo-explore/search?tab=default_tab&amp;search_scope=EVERYTHING&amp;vid=01CRU&amp;lang=en_US&amp;offset=0&amp;query=any,contains,991000322359702656","Catalog Record")</f>
        <v/>
      </c>
      <c r="AT852">
        <f>HYPERLINK("http://www.worldcat.org/oclc/10155688","WorldCat Record")</f>
        <v/>
      </c>
      <c r="AU852" t="inlineStr">
        <is>
          <t>4663824682:eng</t>
        </is>
      </c>
      <c r="AV852" t="inlineStr">
        <is>
          <t>10155688</t>
        </is>
      </c>
      <c r="AW852" t="inlineStr">
        <is>
          <t>991000322359702656</t>
        </is>
      </c>
      <c r="AX852" t="inlineStr">
        <is>
          <t>991000322359702656</t>
        </is>
      </c>
      <c r="AY852" t="inlineStr">
        <is>
          <t>2263629430002656</t>
        </is>
      </c>
      <c r="AZ852" t="inlineStr">
        <is>
          <t>BOOK</t>
        </is>
      </c>
      <c r="BC852" t="inlineStr">
        <is>
          <t>32285000666536</t>
        </is>
      </c>
      <c r="BD852" t="inlineStr">
        <is>
          <t>893351483</t>
        </is>
      </c>
    </row>
    <row r="853">
      <c r="A853" t="inlineStr">
        <is>
          <t>No</t>
        </is>
      </c>
      <c r="B853" t="inlineStr">
        <is>
          <t>BX1912 .M6 1901</t>
        </is>
      </c>
      <c r="C853" t="inlineStr">
        <is>
          <t>0                      BX 1912000M  6           1901</t>
        </is>
      </c>
      <c r="D853" t="inlineStr">
        <is>
          <t>Jesus living in the priest : considerations on the greatness and holiness of the priesthood / by the Rev. P. Millet, S. J. English translation by the Right Rev. Thomas Sebastian Byrne.</t>
        </is>
      </c>
      <c r="F853" t="inlineStr">
        <is>
          <t>No</t>
        </is>
      </c>
      <c r="G853" t="inlineStr">
        <is>
          <t>1</t>
        </is>
      </c>
      <c r="H853" t="inlineStr">
        <is>
          <t>No</t>
        </is>
      </c>
      <c r="I853" t="inlineStr">
        <is>
          <t>No</t>
        </is>
      </c>
      <c r="J853" t="inlineStr">
        <is>
          <t>0</t>
        </is>
      </c>
      <c r="K853" t="inlineStr">
        <is>
          <t>Millet, R.P. (Jacques-Nicolas-Thomas)</t>
        </is>
      </c>
      <c r="L853" t="inlineStr">
        <is>
          <t>New York ; Cincinnati [etc.] : Benziger brothers, 1901.</t>
        </is>
      </c>
      <c r="M853" t="inlineStr">
        <is>
          <t>1901</t>
        </is>
      </c>
      <c r="O853" t="inlineStr">
        <is>
          <t>eng</t>
        </is>
      </c>
      <c r="P853" t="inlineStr">
        <is>
          <t>___</t>
        </is>
      </c>
      <c r="R853" t="inlineStr">
        <is>
          <t xml:space="preserve">BX </t>
        </is>
      </c>
      <c r="S853" t="n">
        <v>1</v>
      </c>
      <c r="T853" t="n">
        <v>1</v>
      </c>
      <c r="U853" t="inlineStr">
        <is>
          <t>2006-08-17</t>
        </is>
      </c>
      <c r="V853" t="inlineStr">
        <is>
          <t>2006-08-17</t>
        </is>
      </c>
      <c r="W853" t="inlineStr">
        <is>
          <t>1991-06-28</t>
        </is>
      </c>
      <c r="X853" t="inlineStr">
        <is>
          <t>1991-06-28</t>
        </is>
      </c>
      <c r="Y853" t="n">
        <v>87</v>
      </c>
      <c r="Z853" t="n">
        <v>76</v>
      </c>
      <c r="AA853" t="n">
        <v>111</v>
      </c>
      <c r="AB853" t="n">
        <v>3</v>
      </c>
      <c r="AC853" t="n">
        <v>3</v>
      </c>
      <c r="AD853" t="n">
        <v>17</v>
      </c>
      <c r="AE853" t="n">
        <v>17</v>
      </c>
      <c r="AF853" t="n">
        <v>3</v>
      </c>
      <c r="AG853" t="n">
        <v>3</v>
      </c>
      <c r="AH853" t="n">
        <v>6</v>
      </c>
      <c r="AI853" t="n">
        <v>6</v>
      </c>
      <c r="AJ853" t="n">
        <v>13</v>
      </c>
      <c r="AK853" t="n">
        <v>13</v>
      </c>
      <c r="AL853" t="n">
        <v>0</v>
      </c>
      <c r="AM853" t="n">
        <v>0</v>
      </c>
      <c r="AN853" t="n">
        <v>0</v>
      </c>
      <c r="AO853" t="n">
        <v>0</v>
      </c>
      <c r="AP853" t="inlineStr">
        <is>
          <t>Yes</t>
        </is>
      </c>
      <c r="AQ853" t="inlineStr">
        <is>
          <t>No</t>
        </is>
      </c>
      <c r="AR853">
        <f>HYPERLINK("http://catalog.hathitrust.org/Record/008413658","HathiTrust Record")</f>
        <v/>
      </c>
      <c r="AS853">
        <f>HYPERLINK("https://creighton-primo.hosted.exlibrisgroup.com/primo-explore/search?tab=default_tab&amp;search_scope=EVERYTHING&amp;vid=01CRU&amp;lang=en_US&amp;offset=0&amp;query=any,contains,991003520359702656","Catalog Record")</f>
        <v/>
      </c>
      <c r="AT853">
        <f>HYPERLINK("http://www.worldcat.org/oclc/1080304","WorldCat Record")</f>
        <v/>
      </c>
      <c r="AU853" t="inlineStr">
        <is>
          <t>10627678422:eng</t>
        </is>
      </c>
      <c r="AV853" t="inlineStr">
        <is>
          <t>1080304</t>
        </is>
      </c>
      <c r="AW853" t="inlineStr">
        <is>
          <t>991003520359702656</t>
        </is>
      </c>
      <c r="AX853" t="inlineStr">
        <is>
          <t>991003520359702656</t>
        </is>
      </c>
      <c r="AY853" t="inlineStr">
        <is>
          <t>2268459980002656</t>
        </is>
      </c>
      <c r="AZ853" t="inlineStr">
        <is>
          <t>BOOK</t>
        </is>
      </c>
      <c r="BC853" t="inlineStr">
        <is>
          <t>32285000666577</t>
        </is>
      </c>
      <c r="BD853" t="inlineStr">
        <is>
          <t>893900071</t>
        </is>
      </c>
    </row>
    <row r="854">
      <c r="A854" t="inlineStr">
        <is>
          <t>No</t>
        </is>
      </c>
      <c r="B854" t="inlineStr">
        <is>
          <t>BX1912 .N77 1951</t>
        </is>
      </c>
      <c r="C854" t="inlineStr">
        <is>
          <t>0                      BX 1912000N  77          1951</t>
        </is>
      </c>
      <c r="D854" t="inlineStr">
        <is>
          <t>The sociology of the parish : an introductory symposium / edited by C. J. Nuesse and Thomas J. Harte.</t>
        </is>
      </c>
      <c r="F854" t="inlineStr">
        <is>
          <t>No</t>
        </is>
      </c>
      <c r="G854" t="inlineStr">
        <is>
          <t>1</t>
        </is>
      </c>
      <c r="H854" t="inlineStr">
        <is>
          <t>No</t>
        </is>
      </c>
      <c r="I854" t="inlineStr">
        <is>
          <t>No</t>
        </is>
      </c>
      <c r="J854" t="inlineStr">
        <is>
          <t>0</t>
        </is>
      </c>
      <c r="K854" t="inlineStr">
        <is>
          <t>Nuesse, C. Joseph, 1913-, editor.</t>
        </is>
      </c>
      <c r="L854" t="inlineStr">
        <is>
          <t>Milwaukee : Bruce Pub. Co., [1951]</t>
        </is>
      </c>
      <c r="M854" t="inlineStr">
        <is>
          <t>1951</t>
        </is>
      </c>
      <c r="O854" t="inlineStr">
        <is>
          <t>eng</t>
        </is>
      </c>
      <c r="P854" t="inlineStr">
        <is>
          <t>wiu</t>
        </is>
      </c>
      <c r="R854" t="inlineStr">
        <is>
          <t xml:space="preserve">BX </t>
        </is>
      </c>
      <c r="S854" t="n">
        <v>3</v>
      </c>
      <c r="T854" t="n">
        <v>3</v>
      </c>
      <c r="U854" t="inlineStr">
        <is>
          <t>1995-10-04</t>
        </is>
      </c>
      <c r="V854" t="inlineStr">
        <is>
          <t>1995-10-04</t>
        </is>
      </c>
      <c r="W854" t="inlineStr">
        <is>
          <t>1991-06-28</t>
        </is>
      </c>
      <c r="X854" t="inlineStr">
        <is>
          <t>1991-06-28</t>
        </is>
      </c>
      <c r="Y854" t="n">
        <v>253</v>
      </c>
      <c r="Z854" t="n">
        <v>213</v>
      </c>
      <c r="AA854" t="n">
        <v>219</v>
      </c>
      <c r="AB854" t="n">
        <v>3</v>
      </c>
      <c r="AC854" t="n">
        <v>3</v>
      </c>
      <c r="AD854" t="n">
        <v>29</v>
      </c>
      <c r="AE854" t="n">
        <v>29</v>
      </c>
      <c r="AF854" t="n">
        <v>10</v>
      </c>
      <c r="AG854" t="n">
        <v>10</v>
      </c>
      <c r="AH854" t="n">
        <v>7</v>
      </c>
      <c r="AI854" t="n">
        <v>7</v>
      </c>
      <c r="AJ854" t="n">
        <v>22</v>
      </c>
      <c r="AK854" t="n">
        <v>22</v>
      </c>
      <c r="AL854" t="n">
        <v>1</v>
      </c>
      <c r="AM854" t="n">
        <v>1</v>
      </c>
      <c r="AN854" t="n">
        <v>0</v>
      </c>
      <c r="AO854" t="n">
        <v>0</v>
      </c>
      <c r="AP854" t="inlineStr">
        <is>
          <t>No</t>
        </is>
      </c>
      <c r="AQ854" t="inlineStr">
        <is>
          <t>No</t>
        </is>
      </c>
      <c r="AR854">
        <f>HYPERLINK("http://catalog.hathitrust.org/Record/001413451","HathiTrust Record")</f>
        <v/>
      </c>
      <c r="AS854">
        <f>HYPERLINK("https://creighton-primo.hosted.exlibrisgroup.com/primo-explore/search?tab=default_tab&amp;search_scope=EVERYTHING&amp;vid=01CRU&amp;lang=en_US&amp;offset=0&amp;query=any,contains,991004221829702656","Catalog Record")</f>
        <v/>
      </c>
      <c r="AT854">
        <f>HYPERLINK("http://www.worldcat.org/oclc/2715075","WorldCat Record")</f>
        <v/>
      </c>
      <c r="AU854" t="inlineStr">
        <is>
          <t>5896616:eng</t>
        </is>
      </c>
      <c r="AV854" t="inlineStr">
        <is>
          <t>2715075</t>
        </is>
      </c>
      <c r="AW854" t="inlineStr">
        <is>
          <t>991004221829702656</t>
        </is>
      </c>
      <c r="AX854" t="inlineStr">
        <is>
          <t>991004221829702656</t>
        </is>
      </c>
      <c r="AY854" t="inlineStr">
        <is>
          <t>2270631630002656</t>
        </is>
      </c>
      <c r="AZ854" t="inlineStr">
        <is>
          <t>BOOK</t>
        </is>
      </c>
      <c r="BC854" t="inlineStr">
        <is>
          <t>32285000666593</t>
        </is>
      </c>
      <c r="BD854" t="inlineStr">
        <is>
          <t>893229076</t>
        </is>
      </c>
    </row>
    <row r="855">
      <c r="A855" t="inlineStr">
        <is>
          <t>No</t>
        </is>
      </c>
      <c r="B855" t="inlineStr">
        <is>
          <t>BX1912 .P46 1987</t>
        </is>
      </c>
      <c r="C855" t="inlineStr">
        <is>
          <t>0                      BX 1912000P  46          1987</t>
        </is>
      </c>
      <c r="D855" t="inlineStr">
        <is>
          <t>Living our priesthood today / M. Basil Pennington and Carl J. Arico.</t>
        </is>
      </c>
      <c r="F855" t="inlineStr">
        <is>
          <t>No</t>
        </is>
      </c>
      <c r="G855" t="inlineStr">
        <is>
          <t>1</t>
        </is>
      </c>
      <c r="H855" t="inlineStr">
        <is>
          <t>No</t>
        </is>
      </c>
      <c r="I855" t="inlineStr">
        <is>
          <t>No</t>
        </is>
      </c>
      <c r="J855" t="inlineStr">
        <is>
          <t>0</t>
        </is>
      </c>
      <c r="K855" t="inlineStr">
        <is>
          <t>Pennington, M. Basil.</t>
        </is>
      </c>
      <c r="L855" t="inlineStr">
        <is>
          <t>Huntington, Ind. : Our Sunday Visitor, 1987.</t>
        </is>
      </c>
      <c r="M855" t="inlineStr">
        <is>
          <t>1987</t>
        </is>
      </c>
      <c r="O855" t="inlineStr">
        <is>
          <t>eng</t>
        </is>
      </c>
      <c r="P855" t="inlineStr">
        <is>
          <t>inu</t>
        </is>
      </c>
      <c r="R855" t="inlineStr">
        <is>
          <t xml:space="preserve">BX </t>
        </is>
      </c>
      <c r="S855" t="n">
        <v>5</v>
      </c>
      <c r="T855" t="n">
        <v>5</v>
      </c>
      <c r="U855" t="inlineStr">
        <is>
          <t>2007-04-16</t>
        </is>
      </c>
      <c r="V855" t="inlineStr">
        <is>
          <t>2007-04-16</t>
        </is>
      </c>
      <c r="W855" t="inlineStr">
        <is>
          <t>1990-08-14</t>
        </is>
      </c>
      <c r="X855" t="inlineStr">
        <is>
          <t>1990-08-14</t>
        </is>
      </c>
      <c r="Y855" t="n">
        <v>92</v>
      </c>
      <c r="Z855" t="n">
        <v>76</v>
      </c>
      <c r="AA855" t="n">
        <v>81</v>
      </c>
      <c r="AB855" t="n">
        <v>2</v>
      </c>
      <c r="AC855" t="n">
        <v>2</v>
      </c>
      <c r="AD855" t="n">
        <v>8</v>
      </c>
      <c r="AE855" t="n">
        <v>8</v>
      </c>
      <c r="AF855" t="n">
        <v>1</v>
      </c>
      <c r="AG855" t="n">
        <v>1</v>
      </c>
      <c r="AH855" t="n">
        <v>2</v>
      </c>
      <c r="AI855" t="n">
        <v>2</v>
      </c>
      <c r="AJ855" t="n">
        <v>6</v>
      </c>
      <c r="AK855" t="n">
        <v>6</v>
      </c>
      <c r="AL855" t="n">
        <v>0</v>
      </c>
      <c r="AM855" t="n">
        <v>0</v>
      </c>
      <c r="AN855" t="n">
        <v>0</v>
      </c>
      <c r="AO855" t="n">
        <v>0</v>
      </c>
      <c r="AP855" t="inlineStr">
        <is>
          <t>No</t>
        </is>
      </c>
      <c r="AQ855" t="inlineStr">
        <is>
          <t>No</t>
        </is>
      </c>
      <c r="AS855">
        <f>HYPERLINK("https://creighton-primo.hosted.exlibrisgroup.com/primo-explore/search?tab=default_tab&amp;search_scope=EVERYTHING&amp;vid=01CRU&amp;lang=en_US&amp;offset=0&amp;query=any,contains,991001216509702656","Catalog Record")</f>
        <v/>
      </c>
      <c r="AT855">
        <f>HYPERLINK("http://www.worldcat.org/oclc/17428692","WorldCat Record")</f>
        <v/>
      </c>
      <c r="AU855" t="inlineStr">
        <is>
          <t>5163642036:eng</t>
        </is>
      </c>
      <c r="AV855" t="inlineStr">
        <is>
          <t>17428692</t>
        </is>
      </c>
      <c r="AW855" t="inlineStr">
        <is>
          <t>991001216509702656</t>
        </is>
      </c>
      <c r="AX855" t="inlineStr">
        <is>
          <t>991001216509702656</t>
        </is>
      </c>
      <c r="AY855" t="inlineStr">
        <is>
          <t>2264470060002656</t>
        </is>
      </c>
      <c r="AZ855" t="inlineStr">
        <is>
          <t>BOOK</t>
        </is>
      </c>
      <c r="BB855" t="inlineStr">
        <is>
          <t>9780879735135</t>
        </is>
      </c>
      <c r="BC855" t="inlineStr">
        <is>
          <t>32285000268432</t>
        </is>
      </c>
      <c r="BD855" t="inlineStr">
        <is>
          <t>893720956</t>
        </is>
      </c>
    </row>
    <row r="856">
      <c r="A856" t="inlineStr">
        <is>
          <t>No</t>
        </is>
      </c>
      <c r="B856" t="inlineStr">
        <is>
          <t>BX1912 .R66 2003</t>
        </is>
      </c>
      <c r="C856" t="inlineStr">
        <is>
          <t>0                      BX 1912000R  66          2003</t>
        </is>
      </c>
      <c r="D856" t="inlineStr">
        <is>
          <t>Priest : portraits of ten good men serving the church today / Michael S. Rose.</t>
        </is>
      </c>
      <c r="F856" t="inlineStr">
        <is>
          <t>No</t>
        </is>
      </c>
      <c r="G856" t="inlineStr">
        <is>
          <t>1</t>
        </is>
      </c>
      <c r="H856" t="inlineStr">
        <is>
          <t>No</t>
        </is>
      </c>
      <c r="I856" t="inlineStr">
        <is>
          <t>No</t>
        </is>
      </c>
      <c r="J856" t="inlineStr">
        <is>
          <t>0</t>
        </is>
      </c>
      <c r="K856" t="inlineStr">
        <is>
          <t>Rose, Michael S., 1969-</t>
        </is>
      </c>
      <c r="L856" t="inlineStr">
        <is>
          <t>Manchester, N.H. : Sophia Institute Press, c2003.</t>
        </is>
      </c>
      <c r="M856" t="inlineStr">
        <is>
          <t>2003</t>
        </is>
      </c>
      <c r="O856" t="inlineStr">
        <is>
          <t>eng</t>
        </is>
      </c>
      <c r="P856" t="inlineStr">
        <is>
          <t>nhu</t>
        </is>
      </c>
      <c r="R856" t="inlineStr">
        <is>
          <t xml:space="preserve">BX </t>
        </is>
      </c>
      <c r="S856" t="n">
        <v>6</v>
      </c>
      <c r="T856" t="n">
        <v>6</v>
      </c>
      <c r="U856" t="inlineStr">
        <is>
          <t>2009-05-03</t>
        </is>
      </c>
      <c r="V856" t="inlineStr">
        <is>
          <t>2009-05-03</t>
        </is>
      </c>
      <c r="W856" t="inlineStr">
        <is>
          <t>2003-12-04</t>
        </is>
      </c>
      <c r="X856" t="inlineStr">
        <is>
          <t>2003-12-04</t>
        </is>
      </c>
      <c r="Y856" t="n">
        <v>89</v>
      </c>
      <c r="Z856" t="n">
        <v>84</v>
      </c>
      <c r="AA856" t="n">
        <v>89</v>
      </c>
      <c r="AB856" t="n">
        <v>3</v>
      </c>
      <c r="AC856" t="n">
        <v>3</v>
      </c>
      <c r="AD856" t="n">
        <v>4</v>
      </c>
      <c r="AE856" t="n">
        <v>4</v>
      </c>
      <c r="AF856" t="n">
        <v>0</v>
      </c>
      <c r="AG856" t="n">
        <v>0</v>
      </c>
      <c r="AH856" t="n">
        <v>2</v>
      </c>
      <c r="AI856" t="n">
        <v>2</v>
      </c>
      <c r="AJ856" t="n">
        <v>4</v>
      </c>
      <c r="AK856" t="n">
        <v>4</v>
      </c>
      <c r="AL856" t="n">
        <v>0</v>
      </c>
      <c r="AM856" t="n">
        <v>0</v>
      </c>
      <c r="AN856" t="n">
        <v>0</v>
      </c>
      <c r="AO856" t="n">
        <v>0</v>
      </c>
      <c r="AP856" t="inlineStr">
        <is>
          <t>No</t>
        </is>
      </c>
      <c r="AQ856" t="inlineStr">
        <is>
          <t>No</t>
        </is>
      </c>
      <c r="AS856">
        <f>HYPERLINK("https://creighton-primo.hosted.exlibrisgroup.com/primo-explore/search?tab=default_tab&amp;search_scope=EVERYTHING&amp;vid=01CRU&amp;lang=en_US&amp;offset=0&amp;query=any,contains,991004197519702656","Catalog Record")</f>
        <v/>
      </c>
      <c r="AT856">
        <f>HYPERLINK("http://www.worldcat.org/oclc/52341625","WorldCat Record")</f>
        <v/>
      </c>
      <c r="AU856" t="inlineStr">
        <is>
          <t>853317254:eng</t>
        </is>
      </c>
      <c r="AV856" t="inlineStr">
        <is>
          <t>52341625</t>
        </is>
      </c>
      <c r="AW856" t="inlineStr">
        <is>
          <t>991004197519702656</t>
        </is>
      </c>
      <c r="AX856" t="inlineStr">
        <is>
          <t>991004197519702656</t>
        </is>
      </c>
      <c r="AY856" t="inlineStr">
        <is>
          <t>2269015070002656</t>
        </is>
      </c>
      <c r="AZ856" t="inlineStr">
        <is>
          <t>BOOK</t>
        </is>
      </c>
      <c r="BB856" t="inlineStr">
        <is>
          <t>9781928832713</t>
        </is>
      </c>
      <c r="BC856" t="inlineStr">
        <is>
          <t>32285004844568</t>
        </is>
      </c>
      <c r="BD856" t="inlineStr">
        <is>
          <t>893888407</t>
        </is>
      </c>
    </row>
    <row r="857">
      <c r="A857" t="inlineStr">
        <is>
          <t>No</t>
        </is>
      </c>
      <c r="B857" t="inlineStr">
        <is>
          <t>BX1912 .S2883 1965</t>
        </is>
      </c>
      <c r="C857" t="inlineStr">
        <is>
          <t>0                      BX 1912000S  2883        1965</t>
        </is>
      </c>
      <c r="D857" t="inlineStr">
        <is>
          <t>Discipleship and priesthood / Karl Hermann Schelkle.</t>
        </is>
      </c>
      <c r="F857" t="inlineStr">
        <is>
          <t>No</t>
        </is>
      </c>
      <c r="G857" t="inlineStr">
        <is>
          <t>1</t>
        </is>
      </c>
      <c r="H857" t="inlineStr">
        <is>
          <t>No</t>
        </is>
      </c>
      <c r="I857" t="inlineStr">
        <is>
          <t>No</t>
        </is>
      </c>
      <c r="J857" t="inlineStr">
        <is>
          <t>0</t>
        </is>
      </c>
      <c r="K857" t="inlineStr">
        <is>
          <t>Schelkle, Karl Hermann.</t>
        </is>
      </c>
      <c r="L857" t="inlineStr">
        <is>
          <t>[New York] : Herder and Herder, [1965]</t>
        </is>
      </c>
      <c r="M857" t="inlineStr">
        <is>
          <t>1965</t>
        </is>
      </c>
      <c r="O857" t="inlineStr">
        <is>
          <t>eng</t>
        </is>
      </c>
      <c r="P857" t="inlineStr">
        <is>
          <t>___</t>
        </is>
      </c>
      <c r="R857" t="inlineStr">
        <is>
          <t xml:space="preserve">BX </t>
        </is>
      </c>
      <c r="S857" t="n">
        <v>2</v>
      </c>
      <c r="T857" t="n">
        <v>2</v>
      </c>
      <c r="U857" t="inlineStr">
        <is>
          <t>2009-05-03</t>
        </is>
      </c>
      <c r="V857" t="inlineStr">
        <is>
          <t>2009-05-03</t>
        </is>
      </c>
      <c r="W857" t="inlineStr">
        <is>
          <t>1991-06-28</t>
        </is>
      </c>
      <c r="X857" t="inlineStr">
        <is>
          <t>1991-06-28</t>
        </is>
      </c>
      <c r="Y857" t="n">
        <v>188</v>
      </c>
      <c r="Z857" t="n">
        <v>162</v>
      </c>
      <c r="AA857" t="n">
        <v>168</v>
      </c>
      <c r="AB857" t="n">
        <v>3</v>
      </c>
      <c r="AC857" t="n">
        <v>3</v>
      </c>
      <c r="AD857" t="n">
        <v>27</v>
      </c>
      <c r="AE857" t="n">
        <v>27</v>
      </c>
      <c r="AF857" t="n">
        <v>9</v>
      </c>
      <c r="AG857" t="n">
        <v>9</v>
      </c>
      <c r="AH857" t="n">
        <v>6</v>
      </c>
      <c r="AI857" t="n">
        <v>6</v>
      </c>
      <c r="AJ857" t="n">
        <v>21</v>
      </c>
      <c r="AK857" t="n">
        <v>21</v>
      </c>
      <c r="AL857" t="n">
        <v>1</v>
      </c>
      <c r="AM857" t="n">
        <v>1</v>
      </c>
      <c r="AN857" t="n">
        <v>0</v>
      </c>
      <c r="AO857" t="n">
        <v>0</v>
      </c>
      <c r="AP857" t="inlineStr">
        <is>
          <t>No</t>
        </is>
      </c>
      <c r="AQ857" t="inlineStr">
        <is>
          <t>No</t>
        </is>
      </c>
      <c r="AS857">
        <f>HYPERLINK("https://creighton-primo.hosted.exlibrisgroup.com/primo-explore/search?tab=default_tab&amp;search_scope=EVERYTHING&amp;vid=01CRU&amp;lang=en_US&amp;offset=0&amp;query=any,contains,991002641479702656","Catalog Record")</f>
        <v/>
      </c>
      <c r="AT857">
        <f>HYPERLINK("http://www.worldcat.org/oclc/384501","WorldCat Record")</f>
        <v/>
      </c>
      <c r="AU857" t="inlineStr">
        <is>
          <t>5377705685:eng</t>
        </is>
      </c>
      <c r="AV857" t="inlineStr">
        <is>
          <t>384501</t>
        </is>
      </c>
      <c r="AW857" t="inlineStr">
        <is>
          <t>991002641479702656</t>
        </is>
      </c>
      <c r="AX857" t="inlineStr">
        <is>
          <t>991002641479702656</t>
        </is>
      </c>
      <c r="AY857" t="inlineStr">
        <is>
          <t>2256460100002656</t>
        </is>
      </c>
      <c r="AZ857" t="inlineStr">
        <is>
          <t>BOOK</t>
        </is>
      </c>
      <c r="BC857" t="inlineStr">
        <is>
          <t>32285000666635</t>
        </is>
      </c>
      <c r="BD857" t="inlineStr">
        <is>
          <t>893323173</t>
        </is>
      </c>
    </row>
    <row r="858">
      <c r="A858" t="inlineStr">
        <is>
          <t>No</t>
        </is>
      </c>
      <c r="B858" t="inlineStr">
        <is>
          <t>BX1912 .S48 1988</t>
        </is>
      </c>
      <c r="C858" t="inlineStr">
        <is>
          <t>0                      BX 1912000S  48          1988</t>
        </is>
      </c>
      <c r="D858" t="inlineStr">
        <is>
          <t>Service ministry of the deacon / Timothy J. Shugrue.</t>
        </is>
      </c>
      <c r="F858" t="inlineStr">
        <is>
          <t>No</t>
        </is>
      </c>
      <c r="G858" t="inlineStr">
        <is>
          <t>1</t>
        </is>
      </c>
      <c r="H858" t="inlineStr">
        <is>
          <t>No</t>
        </is>
      </c>
      <c r="I858" t="inlineStr">
        <is>
          <t>No</t>
        </is>
      </c>
      <c r="J858" t="inlineStr">
        <is>
          <t>0</t>
        </is>
      </c>
      <c r="K858" t="inlineStr">
        <is>
          <t>Shugrue, Timothy J.</t>
        </is>
      </c>
      <c r="L858" t="inlineStr">
        <is>
          <t>Washington, D.C. : United States Catholic Conference, c1988.</t>
        </is>
      </c>
      <c r="M858" t="inlineStr">
        <is>
          <t>1988</t>
        </is>
      </c>
      <c r="O858" t="inlineStr">
        <is>
          <t>eng</t>
        </is>
      </c>
      <c r="P858" t="inlineStr">
        <is>
          <t>dcu</t>
        </is>
      </c>
      <c r="Q858" t="inlineStr">
        <is>
          <t>Publication / Office of Publishing and Promotion Services, United States Catholic Conference ; no. 240-3.</t>
        </is>
      </c>
      <c r="R858" t="inlineStr">
        <is>
          <t xml:space="preserve">BX </t>
        </is>
      </c>
      <c r="S858" t="n">
        <v>6</v>
      </c>
      <c r="T858" t="n">
        <v>6</v>
      </c>
      <c r="U858" t="inlineStr">
        <is>
          <t>2004-06-30</t>
        </is>
      </c>
      <c r="V858" t="inlineStr">
        <is>
          <t>2004-06-30</t>
        </is>
      </c>
      <c r="W858" t="inlineStr">
        <is>
          <t>1991-06-28</t>
        </is>
      </c>
      <c r="X858" t="inlineStr">
        <is>
          <t>1991-06-28</t>
        </is>
      </c>
      <c r="Y858" t="n">
        <v>151</v>
      </c>
      <c r="Z858" t="n">
        <v>133</v>
      </c>
      <c r="AA858" t="n">
        <v>133</v>
      </c>
      <c r="AB858" t="n">
        <v>3</v>
      </c>
      <c r="AC858" t="n">
        <v>3</v>
      </c>
      <c r="AD858" t="n">
        <v>22</v>
      </c>
      <c r="AE858" t="n">
        <v>22</v>
      </c>
      <c r="AF858" t="n">
        <v>6</v>
      </c>
      <c r="AG858" t="n">
        <v>6</v>
      </c>
      <c r="AH858" t="n">
        <v>6</v>
      </c>
      <c r="AI858" t="n">
        <v>6</v>
      </c>
      <c r="AJ858" t="n">
        <v>17</v>
      </c>
      <c r="AK858" t="n">
        <v>17</v>
      </c>
      <c r="AL858" t="n">
        <v>0</v>
      </c>
      <c r="AM858" t="n">
        <v>0</v>
      </c>
      <c r="AN858" t="n">
        <v>0</v>
      </c>
      <c r="AO858" t="n">
        <v>0</v>
      </c>
      <c r="AP858" t="inlineStr">
        <is>
          <t>No</t>
        </is>
      </c>
      <c r="AQ858" t="inlineStr">
        <is>
          <t>No</t>
        </is>
      </c>
      <c r="AS858">
        <f>HYPERLINK("https://creighton-primo.hosted.exlibrisgroup.com/primo-explore/search?tab=default_tab&amp;search_scope=EVERYTHING&amp;vid=01CRU&amp;lang=en_US&amp;offset=0&amp;query=any,contains,991001401479702656","Catalog Record")</f>
        <v/>
      </c>
      <c r="AT858">
        <f>HYPERLINK("http://www.worldcat.org/oclc/19921430","WorldCat Record")</f>
        <v/>
      </c>
      <c r="AU858" t="inlineStr">
        <is>
          <t>386307:eng</t>
        </is>
      </c>
      <c r="AV858" t="inlineStr">
        <is>
          <t>19921430</t>
        </is>
      </c>
      <c r="AW858" t="inlineStr">
        <is>
          <t>991001401479702656</t>
        </is>
      </c>
      <c r="AX858" t="inlineStr">
        <is>
          <t>991001401479702656</t>
        </is>
      </c>
      <c r="AY858" t="inlineStr">
        <is>
          <t>2264003790002656</t>
        </is>
      </c>
      <c r="AZ858" t="inlineStr">
        <is>
          <t>BOOK</t>
        </is>
      </c>
      <c r="BB858" t="inlineStr">
        <is>
          <t>9781555862404</t>
        </is>
      </c>
      <c r="BC858" t="inlineStr">
        <is>
          <t>32285000666643</t>
        </is>
      </c>
      <c r="BD858" t="inlineStr">
        <is>
          <t>893696720</t>
        </is>
      </c>
    </row>
    <row r="859">
      <c r="A859" t="inlineStr">
        <is>
          <t>No</t>
        </is>
      </c>
      <c r="B859" t="inlineStr">
        <is>
          <t>BX1912 .S52 1984</t>
        </is>
      </c>
      <c r="C859" t="inlineStr">
        <is>
          <t>0                      BX 1912000S  52          1984</t>
        </is>
      </c>
      <c r="D859" t="inlineStr">
        <is>
          <t>Permanent deacons / Russell Shaw.</t>
        </is>
      </c>
      <c r="F859" t="inlineStr">
        <is>
          <t>No</t>
        </is>
      </c>
      <c r="G859" t="inlineStr">
        <is>
          <t>1</t>
        </is>
      </c>
      <c r="H859" t="inlineStr">
        <is>
          <t>No</t>
        </is>
      </c>
      <c r="I859" t="inlineStr">
        <is>
          <t>No</t>
        </is>
      </c>
      <c r="J859" t="inlineStr">
        <is>
          <t>0</t>
        </is>
      </c>
      <c r="K859" t="inlineStr">
        <is>
          <t>Shaw, Russell B.</t>
        </is>
      </c>
      <c r="L859" t="inlineStr">
        <is>
          <t>Washington, D.C. : Office of Pub. and Promotion Service, United States Catholic Conference, 1984.</t>
        </is>
      </c>
      <c r="M859" t="inlineStr">
        <is>
          <t>1986</t>
        </is>
      </c>
      <c r="N859" t="inlineStr">
        <is>
          <t>1986 revision.</t>
        </is>
      </c>
      <c r="O859" t="inlineStr">
        <is>
          <t>eng</t>
        </is>
      </c>
      <c r="P859" t="inlineStr">
        <is>
          <t>dcu</t>
        </is>
      </c>
      <c r="Q859" t="inlineStr">
        <is>
          <t>Publication ; no. 989</t>
        </is>
      </c>
      <c r="R859" t="inlineStr">
        <is>
          <t xml:space="preserve">BX </t>
        </is>
      </c>
      <c r="S859" t="n">
        <v>2</v>
      </c>
      <c r="T859" t="n">
        <v>2</v>
      </c>
      <c r="U859" t="inlineStr">
        <is>
          <t>2004-06-30</t>
        </is>
      </c>
      <c r="V859" t="inlineStr">
        <is>
          <t>2004-06-30</t>
        </is>
      </c>
      <c r="W859" t="inlineStr">
        <is>
          <t>1991-06-28</t>
        </is>
      </c>
      <c r="X859" t="inlineStr">
        <is>
          <t>1991-06-28</t>
        </is>
      </c>
      <c r="Y859" t="n">
        <v>78</v>
      </c>
      <c r="Z859" t="n">
        <v>74</v>
      </c>
      <c r="AA859" t="n">
        <v>78</v>
      </c>
      <c r="AB859" t="n">
        <v>1</v>
      </c>
      <c r="AC859" t="n">
        <v>1</v>
      </c>
      <c r="AD859" t="n">
        <v>14</v>
      </c>
      <c r="AE859" t="n">
        <v>17</v>
      </c>
      <c r="AF859" t="n">
        <v>4</v>
      </c>
      <c r="AG859" t="n">
        <v>4</v>
      </c>
      <c r="AH859" t="n">
        <v>5</v>
      </c>
      <c r="AI859" t="n">
        <v>6</v>
      </c>
      <c r="AJ859" t="n">
        <v>10</v>
      </c>
      <c r="AK859" t="n">
        <v>12</v>
      </c>
      <c r="AL859" t="n">
        <v>0</v>
      </c>
      <c r="AM859" t="n">
        <v>0</v>
      </c>
      <c r="AN859" t="n">
        <v>0</v>
      </c>
      <c r="AO859" t="n">
        <v>0</v>
      </c>
      <c r="AP859" t="inlineStr">
        <is>
          <t>No</t>
        </is>
      </c>
      <c r="AQ859" t="inlineStr">
        <is>
          <t>No</t>
        </is>
      </c>
      <c r="AS859">
        <f>HYPERLINK("https://creighton-primo.hosted.exlibrisgroup.com/primo-explore/search?tab=default_tab&amp;search_scope=EVERYTHING&amp;vid=01CRU&amp;lang=en_US&amp;offset=0&amp;query=any,contains,991000933939702656","Catalog Record")</f>
        <v/>
      </c>
      <c r="AT859">
        <f>HYPERLINK("http://www.worldcat.org/oclc/14352798","WorldCat Record")</f>
        <v/>
      </c>
      <c r="AU859" t="inlineStr">
        <is>
          <t>8016132:eng</t>
        </is>
      </c>
      <c r="AV859" t="inlineStr">
        <is>
          <t>14352798</t>
        </is>
      </c>
      <c r="AW859" t="inlineStr">
        <is>
          <t>991000933939702656</t>
        </is>
      </c>
      <c r="AX859" t="inlineStr">
        <is>
          <t>991000933939702656</t>
        </is>
      </c>
      <c r="AY859" t="inlineStr">
        <is>
          <t>2264116330002656</t>
        </is>
      </c>
      <c r="AZ859" t="inlineStr">
        <is>
          <t>BOOK</t>
        </is>
      </c>
      <c r="BB859" t="inlineStr">
        <is>
          <t>9781555869892</t>
        </is>
      </c>
      <c r="BC859" t="inlineStr">
        <is>
          <t>32285000666650</t>
        </is>
      </c>
      <c r="BD859" t="inlineStr">
        <is>
          <t>893772139</t>
        </is>
      </c>
    </row>
    <row r="860">
      <c r="A860" t="inlineStr">
        <is>
          <t>No</t>
        </is>
      </c>
      <c r="B860" t="inlineStr">
        <is>
          <t>BX1912 .S52 1995</t>
        </is>
      </c>
      <c r="C860" t="inlineStr">
        <is>
          <t>0                      BX 1912000S  52          1995</t>
        </is>
      </c>
      <c r="D860" t="inlineStr">
        <is>
          <t>Permanent Deacons</t>
        </is>
      </c>
      <c r="F860" t="inlineStr">
        <is>
          <t>No</t>
        </is>
      </c>
      <c r="G860" t="inlineStr">
        <is>
          <t>1</t>
        </is>
      </c>
      <c r="H860" t="inlineStr">
        <is>
          <t>No</t>
        </is>
      </c>
      <c r="I860" t="inlineStr">
        <is>
          <t>No</t>
        </is>
      </c>
      <c r="J860" t="inlineStr">
        <is>
          <t>0</t>
        </is>
      </c>
      <c r="K860" t="inlineStr">
        <is>
          <t>Catholic Church. National Conference of Catholic Bishops.</t>
        </is>
      </c>
      <c r="L860" t="inlineStr">
        <is>
          <t>Washington, DC : United States Catholic Conference, 1995</t>
        </is>
      </c>
      <c r="M860" t="inlineStr">
        <is>
          <t>1995</t>
        </is>
      </c>
      <c r="O860" t="inlineStr">
        <is>
          <t>eng</t>
        </is>
      </c>
      <c r="P860" t="inlineStr">
        <is>
          <t>dcu</t>
        </is>
      </c>
      <c r="Q860" t="inlineStr">
        <is>
          <t>Publication / United States Catholic Conference, Office of Publishing and Promotion Services ; no. 084-2</t>
        </is>
      </c>
      <c r="R860" t="inlineStr">
        <is>
          <t xml:space="preserve">BX </t>
        </is>
      </c>
      <c r="S860" t="n">
        <v>2</v>
      </c>
      <c r="T860" t="n">
        <v>2</v>
      </c>
      <c r="U860" t="inlineStr">
        <is>
          <t>1997-01-16</t>
        </is>
      </c>
      <c r="V860" t="inlineStr">
        <is>
          <t>1997-01-16</t>
        </is>
      </c>
      <c r="W860" t="inlineStr">
        <is>
          <t>1995-06-29</t>
        </is>
      </c>
      <c r="X860" t="inlineStr">
        <is>
          <t>1995-06-29</t>
        </is>
      </c>
      <c r="Y860" t="n">
        <v>47</v>
      </c>
      <c r="Z860" t="n">
        <v>47</v>
      </c>
      <c r="AA860" t="n">
        <v>48</v>
      </c>
      <c r="AB860" t="n">
        <v>1</v>
      </c>
      <c r="AC860" t="n">
        <v>1</v>
      </c>
      <c r="AD860" t="n">
        <v>7</v>
      </c>
      <c r="AE860" t="n">
        <v>7</v>
      </c>
      <c r="AF860" t="n">
        <v>0</v>
      </c>
      <c r="AG860" t="n">
        <v>0</v>
      </c>
      <c r="AH860" t="n">
        <v>3</v>
      </c>
      <c r="AI860" t="n">
        <v>3</v>
      </c>
      <c r="AJ860" t="n">
        <v>5</v>
      </c>
      <c r="AK860" t="n">
        <v>5</v>
      </c>
      <c r="AL860" t="n">
        <v>0</v>
      </c>
      <c r="AM860" t="n">
        <v>0</v>
      </c>
      <c r="AN860" t="n">
        <v>0</v>
      </c>
      <c r="AO860" t="n">
        <v>0</v>
      </c>
      <c r="AP860" t="inlineStr">
        <is>
          <t>No</t>
        </is>
      </c>
      <c r="AQ860" t="inlineStr">
        <is>
          <t>No</t>
        </is>
      </c>
      <c r="AS860">
        <f>HYPERLINK("https://creighton-primo.hosted.exlibrisgroup.com/primo-explore/search?tab=default_tab&amp;search_scope=EVERYTHING&amp;vid=01CRU&amp;lang=en_US&amp;offset=0&amp;query=any,contains,991002507629702656","Catalog Record")</f>
        <v/>
      </c>
      <c r="AT860">
        <f>HYPERLINK("http://www.worldcat.org/oclc/32596745","WorldCat Record")</f>
        <v/>
      </c>
      <c r="AU860" t="inlineStr">
        <is>
          <t>3373466469:eng</t>
        </is>
      </c>
      <c r="AV860" t="inlineStr">
        <is>
          <t>32596745</t>
        </is>
      </c>
      <c r="AW860" t="inlineStr">
        <is>
          <t>991002507629702656</t>
        </is>
      </c>
      <c r="AX860" t="inlineStr">
        <is>
          <t>991002507629702656</t>
        </is>
      </c>
      <c r="AY860" t="inlineStr">
        <is>
          <t>2264896510002656</t>
        </is>
      </c>
      <c r="AZ860" t="inlineStr">
        <is>
          <t>BOOK</t>
        </is>
      </c>
      <c r="BB860" t="inlineStr">
        <is>
          <t>9781555860844</t>
        </is>
      </c>
      <c r="BC860" t="inlineStr">
        <is>
          <t>32285002057858</t>
        </is>
      </c>
      <c r="BD860" t="inlineStr">
        <is>
          <t>893323021</t>
        </is>
      </c>
    </row>
    <row r="861">
      <c r="A861" t="inlineStr">
        <is>
          <t>No</t>
        </is>
      </c>
      <c r="B861" t="inlineStr">
        <is>
          <t>BX1912 .T3 1983</t>
        </is>
      </c>
      <c r="C861" t="inlineStr">
        <is>
          <t>0                      BX 1912000T  3           1983</t>
        </is>
      </c>
      <c r="D861" t="inlineStr">
        <is>
          <t>A theology for ministry / by George H. Tavard.</t>
        </is>
      </c>
      <c r="F861" t="inlineStr">
        <is>
          <t>No</t>
        </is>
      </c>
      <c r="G861" t="inlineStr">
        <is>
          <t>1</t>
        </is>
      </c>
      <c r="H861" t="inlineStr">
        <is>
          <t>No</t>
        </is>
      </c>
      <c r="I861" t="inlineStr">
        <is>
          <t>No</t>
        </is>
      </c>
      <c r="J861" t="inlineStr">
        <is>
          <t>0</t>
        </is>
      </c>
      <c r="K861" t="inlineStr">
        <is>
          <t>Tavard, George H. (George Henry), 1922-2007.</t>
        </is>
      </c>
      <c r="L861" t="inlineStr">
        <is>
          <t>Wilmington, Del. : Glazier, 1983.</t>
        </is>
      </c>
      <c r="M861" t="inlineStr">
        <is>
          <t>1983</t>
        </is>
      </c>
      <c r="O861" t="inlineStr">
        <is>
          <t>eng</t>
        </is>
      </c>
      <c r="P861" t="inlineStr">
        <is>
          <t>deu</t>
        </is>
      </c>
      <c r="Q861" t="inlineStr">
        <is>
          <t>Theology and life series ; 6</t>
        </is>
      </c>
      <c r="R861" t="inlineStr">
        <is>
          <t xml:space="preserve">BX </t>
        </is>
      </c>
      <c r="S861" t="n">
        <v>3</v>
      </c>
      <c r="T861" t="n">
        <v>3</v>
      </c>
      <c r="U861" t="inlineStr">
        <is>
          <t>2009-05-03</t>
        </is>
      </c>
      <c r="V861" t="inlineStr">
        <is>
          <t>2009-05-03</t>
        </is>
      </c>
      <c r="W861" t="inlineStr">
        <is>
          <t>1990-03-02</t>
        </is>
      </c>
      <c r="X861" t="inlineStr">
        <is>
          <t>1990-03-02</t>
        </is>
      </c>
      <c r="Y861" t="n">
        <v>219</v>
      </c>
      <c r="Z861" t="n">
        <v>176</v>
      </c>
      <c r="AA861" t="n">
        <v>176</v>
      </c>
      <c r="AB861" t="n">
        <v>2</v>
      </c>
      <c r="AC861" t="n">
        <v>2</v>
      </c>
      <c r="AD861" t="n">
        <v>23</v>
      </c>
      <c r="AE861" t="n">
        <v>23</v>
      </c>
      <c r="AF861" t="n">
        <v>8</v>
      </c>
      <c r="AG861" t="n">
        <v>8</v>
      </c>
      <c r="AH861" t="n">
        <v>6</v>
      </c>
      <c r="AI861" t="n">
        <v>6</v>
      </c>
      <c r="AJ861" t="n">
        <v>18</v>
      </c>
      <c r="AK861" t="n">
        <v>18</v>
      </c>
      <c r="AL861" t="n">
        <v>0</v>
      </c>
      <c r="AM861" t="n">
        <v>0</v>
      </c>
      <c r="AN861" t="n">
        <v>0</v>
      </c>
      <c r="AO861" t="n">
        <v>0</v>
      </c>
      <c r="AP861" t="inlineStr">
        <is>
          <t>No</t>
        </is>
      </c>
      <c r="AQ861" t="inlineStr">
        <is>
          <t>No</t>
        </is>
      </c>
      <c r="AS861">
        <f>HYPERLINK("https://creighton-primo.hosted.exlibrisgroup.com/primo-explore/search?tab=default_tab&amp;search_scope=EVERYTHING&amp;vid=01CRU&amp;lang=en_US&amp;offset=0&amp;query=any,contains,991000352769702656","Catalog Record")</f>
        <v/>
      </c>
      <c r="AT861">
        <f>HYPERLINK("http://www.worldcat.org/oclc/10322190","WorldCat Record")</f>
        <v/>
      </c>
      <c r="AU861" t="inlineStr">
        <is>
          <t>3226099:eng</t>
        </is>
      </c>
      <c r="AV861" t="inlineStr">
        <is>
          <t>10322190</t>
        </is>
      </c>
      <c r="AW861" t="inlineStr">
        <is>
          <t>991000352769702656</t>
        </is>
      </c>
      <c r="AX861" t="inlineStr">
        <is>
          <t>991000352769702656</t>
        </is>
      </c>
      <c r="AY861" t="inlineStr">
        <is>
          <t>2266769160002656</t>
        </is>
      </c>
      <c r="AZ861" t="inlineStr">
        <is>
          <t>BOOK</t>
        </is>
      </c>
      <c r="BB861" t="inlineStr">
        <is>
          <t>9780894533372</t>
        </is>
      </c>
      <c r="BC861" t="inlineStr">
        <is>
          <t>32285000074418</t>
        </is>
      </c>
      <c r="BD861" t="inlineStr">
        <is>
          <t>893431879</t>
        </is>
      </c>
    </row>
    <row r="862">
      <c r="A862" t="inlineStr">
        <is>
          <t>No</t>
        </is>
      </c>
      <c r="B862" t="inlineStr">
        <is>
          <t>BX1912 .V25 1956</t>
        </is>
      </c>
      <c r="C862" t="inlineStr">
        <is>
          <t>0                      BX 1912000V  25          1956</t>
        </is>
      </c>
      <c r="D862" t="inlineStr">
        <is>
          <t>The gospel priesthood / by Hubert Van Zeller.</t>
        </is>
      </c>
      <c r="F862" t="inlineStr">
        <is>
          <t>No</t>
        </is>
      </c>
      <c r="G862" t="inlineStr">
        <is>
          <t>1</t>
        </is>
      </c>
      <c r="H862" t="inlineStr">
        <is>
          <t>No</t>
        </is>
      </c>
      <c r="I862" t="inlineStr">
        <is>
          <t>No</t>
        </is>
      </c>
      <c r="J862" t="inlineStr">
        <is>
          <t>0</t>
        </is>
      </c>
      <c r="K862" t="inlineStr">
        <is>
          <t>Van Zeller, Hubert, 1905-1984.</t>
        </is>
      </c>
      <c r="L862" t="inlineStr">
        <is>
          <t>New York : Sheed &amp; Ward, [1956]</t>
        </is>
      </c>
      <c r="M862" t="inlineStr">
        <is>
          <t>1956</t>
        </is>
      </c>
      <c r="O862" t="inlineStr">
        <is>
          <t>eng</t>
        </is>
      </c>
      <c r="P862" t="inlineStr">
        <is>
          <t>___</t>
        </is>
      </c>
      <c r="R862" t="inlineStr">
        <is>
          <t xml:space="preserve">BX </t>
        </is>
      </c>
      <c r="S862" t="n">
        <v>2</v>
      </c>
      <c r="T862" t="n">
        <v>2</v>
      </c>
      <c r="U862" t="inlineStr">
        <is>
          <t>1993-09-21</t>
        </is>
      </c>
      <c r="V862" t="inlineStr">
        <is>
          <t>1993-09-21</t>
        </is>
      </c>
      <c r="W862" t="inlineStr">
        <is>
          <t>1991-06-28</t>
        </is>
      </c>
      <c r="X862" t="inlineStr">
        <is>
          <t>1991-06-28</t>
        </is>
      </c>
      <c r="Y862" t="n">
        <v>122</v>
      </c>
      <c r="Z862" t="n">
        <v>105</v>
      </c>
      <c r="AA862" t="n">
        <v>117</v>
      </c>
      <c r="AB862" t="n">
        <v>3</v>
      </c>
      <c r="AC862" t="n">
        <v>3</v>
      </c>
      <c r="AD862" t="n">
        <v>23</v>
      </c>
      <c r="AE862" t="n">
        <v>24</v>
      </c>
      <c r="AF862" t="n">
        <v>8</v>
      </c>
      <c r="AG862" t="n">
        <v>8</v>
      </c>
      <c r="AH862" t="n">
        <v>6</v>
      </c>
      <c r="AI862" t="n">
        <v>7</v>
      </c>
      <c r="AJ862" t="n">
        <v>18</v>
      </c>
      <c r="AK862" t="n">
        <v>19</v>
      </c>
      <c r="AL862" t="n">
        <v>0</v>
      </c>
      <c r="AM862" t="n">
        <v>0</v>
      </c>
      <c r="AN862" t="n">
        <v>0</v>
      </c>
      <c r="AO862" t="n">
        <v>0</v>
      </c>
      <c r="AP862" t="inlineStr">
        <is>
          <t>No</t>
        </is>
      </c>
      <c r="AQ862" t="inlineStr">
        <is>
          <t>No</t>
        </is>
      </c>
      <c r="AS862">
        <f>HYPERLINK("https://creighton-primo.hosted.exlibrisgroup.com/primo-explore/search?tab=default_tab&amp;search_scope=EVERYTHING&amp;vid=01CRU&amp;lang=en_US&amp;offset=0&amp;query=any,contains,991003842539702656","Catalog Record")</f>
        <v/>
      </c>
      <c r="AT862">
        <f>HYPERLINK("http://www.worldcat.org/oclc/1621657","WorldCat Record")</f>
        <v/>
      </c>
      <c r="AU862" t="inlineStr">
        <is>
          <t>377235115:eng</t>
        </is>
      </c>
      <c r="AV862" t="inlineStr">
        <is>
          <t>1621657</t>
        </is>
      </c>
      <c r="AW862" t="inlineStr">
        <is>
          <t>991003842539702656</t>
        </is>
      </c>
      <c r="AX862" t="inlineStr">
        <is>
          <t>991003842539702656</t>
        </is>
      </c>
      <c r="AY862" t="inlineStr">
        <is>
          <t>2269442400002656</t>
        </is>
      </c>
      <c r="AZ862" t="inlineStr">
        <is>
          <t>BOOK</t>
        </is>
      </c>
      <c r="BC862" t="inlineStr">
        <is>
          <t>32285000666718</t>
        </is>
      </c>
      <c r="BD862" t="inlineStr">
        <is>
          <t>893499776</t>
        </is>
      </c>
    </row>
    <row r="863">
      <c r="A863" t="inlineStr">
        <is>
          <t>No</t>
        </is>
      </c>
      <c r="B863" t="inlineStr">
        <is>
          <t>BX1912 .W83 1976</t>
        </is>
      </c>
      <c r="C863" t="inlineStr">
        <is>
          <t>0                      BX 1912000W  83          1976</t>
        </is>
      </c>
      <c r="D863" t="inlineStr">
        <is>
          <t>The Catholic priesthood today / by Donald W. Wuerl.</t>
        </is>
      </c>
      <c r="F863" t="inlineStr">
        <is>
          <t>No</t>
        </is>
      </c>
      <c r="G863" t="inlineStr">
        <is>
          <t>1</t>
        </is>
      </c>
      <c r="H863" t="inlineStr">
        <is>
          <t>No</t>
        </is>
      </c>
      <c r="I863" t="inlineStr">
        <is>
          <t>No</t>
        </is>
      </c>
      <c r="J863" t="inlineStr">
        <is>
          <t>0</t>
        </is>
      </c>
      <c r="K863" t="inlineStr">
        <is>
          <t>Wuerl, Donald W.</t>
        </is>
      </c>
      <c r="L863" t="inlineStr">
        <is>
          <t>Chicago : Franciscan Herald Press, 1976.</t>
        </is>
      </c>
      <c r="M863" t="inlineStr">
        <is>
          <t>1976</t>
        </is>
      </c>
      <c r="O863" t="inlineStr">
        <is>
          <t>eng</t>
        </is>
      </c>
      <c r="P863" t="inlineStr">
        <is>
          <t>ilu</t>
        </is>
      </c>
      <c r="R863" t="inlineStr">
        <is>
          <t xml:space="preserve">BX </t>
        </is>
      </c>
      <c r="S863" t="n">
        <v>4</v>
      </c>
      <c r="T863" t="n">
        <v>4</v>
      </c>
      <c r="U863" t="inlineStr">
        <is>
          <t>2001-10-24</t>
        </is>
      </c>
      <c r="V863" t="inlineStr">
        <is>
          <t>2001-10-24</t>
        </is>
      </c>
      <c r="W863" t="inlineStr">
        <is>
          <t>1991-06-28</t>
        </is>
      </c>
      <c r="X863" t="inlineStr">
        <is>
          <t>1991-06-28</t>
        </is>
      </c>
      <c r="Y863" t="n">
        <v>128</v>
      </c>
      <c r="Z863" t="n">
        <v>106</v>
      </c>
      <c r="AA863" t="n">
        <v>106</v>
      </c>
      <c r="AB863" t="n">
        <v>2</v>
      </c>
      <c r="AC863" t="n">
        <v>2</v>
      </c>
      <c r="AD863" t="n">
        <v>7</v>
      </c>
      <c r="AE863" t="n">
        <v>7</v>
      </c>
      <c r="AF863" t="n">
        <v>1</v>
      </c>
      <c r="AG863" t="n">
        <v>1</v>
      </c>
      <c r="AH863" t="n">
        <v>1</v>
      </c>
      <c r="AI863" t="n">
        <v>1</v>
      </c>
      <c r="AJ863" t="n">
        <v>6</v>
      </c>
      <c r="AK863" t="n">
        <v>6</v>
      </c>
      <c r="AL863" t="n">
        <v>0</v>
      </c>
      <c r="AM863" t="n">
        <v>0</v>
      </c>
      <c r="AN863" t="n">
        <v>0</v>
      </c>
      <c r="AO863" t="n">
        <v>0</v>
      </c>
      <c r="AP863" t="inlineStr">
        <is>
          <t>No</t>
        </is>
      </c>
      <c r="AQ863" t="inlineStr">
        <is>
          <t>No</t>
        </is>
      </c>
      <c r="AS863">
        <f>HYPERLINK("https://creighton-primo.hosted.exlibrisgroup.com/primo-explore/search?tab=default_tab&amp;search_scope=EVERYTHING&amp;vid=01CRU&amp;lang=en_US&amp;offset=0&amp;query=any,contains,991004141879702656","Catalog Record")</f>
        <v/>
      </c>
      <c r="AT863">
        <f>HYPERLINK("http://www.worldcat.org/oclc/3047625","WorldCat Record")</f>
        <v/>
      </c>
      <c r="AU863" t="inlineStr">
        <is>
          <t>484522:eng</t>
        </is>
      </c>
      <c r="AV863" t="inlineStr">
        <is>
          <t>3047625</t>
        </is>
      </c>
      <c r="AW863" t="inlineStr">
        <is>
          <t>991004141879702656</t>
        </is>
      </c>
      <c r="AX863" t="inlineStr">
        <is>
          <t>991004141879702656</t>
        </is>
      </c>
      <c r="AY863" t="inlineStr">
        <is>
          <t>2257603480002656</t>
        </is>
      </c>
      <c r="AZ863" t="inlineStr">
        <is>
          <t>BOOK</t>
        </is>
      </c>
      <c r="BB863" t="inlineStr">
        <is>
          <t>9780819905918</t>
        </is>
      </c>
      <c r="BC863" t="inlineStr">
        <is>
          <t>32285000666783</t>
        </is>
      </c>
      <c r="BD863" t="inlineStr">
        <is>
          <t>893331242</t>
        </is>
      </c>
    </row>
    <row r="864">
      <c r="A864" t="inlineStr">
        <is>
          <t>No</t>
        </is>
      </c>
      <c r="B864" t="inlineStr">
        <is>
          <t>BX1912.5 .B58 1957</t>
        </is>
      </c>
      <c r="C864" t="inlineStr">
        <is>
          <t>0                      BX 1912500B  58          1957</t>
        </is>
      </c>
      <c r="D864" t="inlineStr">
        <is>
          <t>Conferences on the religious life / by Aloysius Biskupek.</t>
        </is>
      </c>
      <c r="F864" t="inlineStr">
        <is>
          <t>No</t>
        </is>
      </c>
      <c r="G864" t="inlineStr">
        <is>
          <t>1</t>
        </is>
      </c>
      <c r="H864" t="inlineStr">
        <is>
          <t>No</t>
        </is>
      </c>
      <c r="I864" t="inlineStr">
        <is>
          <t>No</t>
        </is>
      </c>
      <c r="J864" t="inlineStr">
        <is>
          <t>0</t>
        </is>
      </c>
      <c r="K864" t="inlineStr">
        <is>
          <t>Biskupek, Aloysius, 1884-1955.</t>
        </is>
      </c>
      <c r="L864" t="inlineStr">
        <is>
          <t>Milwaukee : Bruce, 1957.</t>
        </is>
      </c>
      <c r="M864" t="inlineStr">
        <is>
          <t>1957</t>
        </is>
      </c>
      <c r="O864" t="inlineStr">
        <is>
          <t>eng</t>
        </is>
      </c>
      <c r="P864" t="inlineStr">
        <is>
          <t xml:space="preserve">xx </t>
        </is>
      </c>
      <c r="R864" t="inlineStr">
        <is>
          <t xml:space="preserve">BX </t>
        </is>
      </c>
      <c r="S864" t="n">
        <v>5</v>
      </c>
      <c r="T864" t="n">
        <v>5</v>
      </c>
      <c r="U864" t="inlineStr">
        <is>
          <t>2002-10-04</t>
        </is>
      </c>
      <c r="V864" t="inlineStr">
        <is>
          <t>2002-10-04</t>
        </is>
      </c>
      <c r="W864" t="inlineStr">
        <is>
          <t>1991-06-28</t>
        </is>
      </c>
      <c r="X864" t="inlineStr">
        <is>
          <t>1991-06-28</t>
        </is>
      </c>
      <c r="Y864" t="n">
        <v>51</v>
      </c>
      <c r="Z864" t="n">
        <v>42</v>
      </c>
      <c r="AA864" t="n">
        <v>42</v>
      </c>
      <c r="AB864" t="n">
        <v>3</v>
      </c>
      <c r="AC864" t="n">
        <v>3</v>
      </c>
      <c r="AD864" t="n">
        <v>5</v>
      </c>
      <c r="AE864" t="n">
        <v>5</v>
      </c>
      <c r="AF864" t="n">
        <v>1</v>
      </c>
      <c r="AG864" t="n">
        <v>1</v>
      </c>
      <c r="AH864" t="n">
        <v>2</v>
      </c>
      <c r="AI864" t="n">
        <v>2</v>
      </c>
      <c r="AJ864" t="n">
        <v>3</v>
      </c>
      <c r="AK864" t="n">
        <v>3</v>
      </c>
      <c r="AL864" t="n">
        <v>0</v>
      </c>
      <c r="AM864" t="n">
        <v>0</v>
      </c>
      <c r="AN864" t="n">
        <v>0</v>
      </c>
      <c r="AO864" t="n">
        <v>0</v>
      </c>
      <c r="AP864" t="inlineStr">
        <is>
          <t>No</t>
        </is>
      </c>
      <c r="AQ864" t="inlineStr">
        <is>
          <t>No</t>
        </is>
      </c>
      <c r="AS864">
        <f>HYPERLINK("https://creighton-primo.hosted.exlibrisgroup.com/primo-explore/search?tab=default_tab&amp;search_scope=EVERYTHING&amp;vid=01CRU&amp;lang=en_US&amp;offset=0&amp;query=any,contains,991004619839702656","Catalog Record")</f>
        <v/>
      </c>
      <c r="AT864">
        <f>HYPERLINK("http://www.worldcat.org/oclc/4284718","WorldCat Record")</f>
        <v/>
      </c>
      <c r="AU864" t="inlineStr">
        <is>
          <t>14584618:eng</t>
        </is>
      </c>
      <c r="AV864" t="inlineStr">
        <is>
          <t>4284718</t>
        </is>
      </c>
      <c r="AW864" t="inlineStr">
        <is>
          <t>991004619839702656</t>
        </is>
      </c>
      <c r="AX864" t="inlineStr">
        <is>
          <t>991004619839702656</t>
        </is>
      </c>
      <c r="AY864" t="inlineStr">
        <is>
          <t>2256002420002656</t>
        </is>
      </c>
      <c r="AZ864" t="inlineStr">
        <is>
          <t>BOOK</t>
        </is>
      </c>
      <c r="BC864" t="inlineStr">
        <is>
          <t>32285000666791</t>
        </is>
      </c>
      <c r="BD864" t="inlineStr">
        <is>
          <t>893719138</t>
        </is>
      </c>
    </row>
    <row r="865">
      <c r="A865" t="inlineStr">
        <is>
          <t>No</t>
        </is>
      </c>
      <c r="B865" t="inlineStr">
        <is>
          <t>BX1912.5 .C363</t>
        </is>
      </c>
      <c r="C865" t="inlineStr">
        <is>
          <t>0                      BX 1912500C  363</t>
        </is>
      </c>
      <c r="D865" t="inlineStr">
        <is>
          <t>The priest and stress / by the Bishops' Committee on Priestly Life and Ministry.</t>
        </is>
      </c>
      <c r="F865" t="inlineStr">
        <is>
          <t>No</t>
        </is>
      </c>
      <c r="G865" t="inlineStr">
        <is>
          <t>1</t>
        </is>
      </c>
      <c r="H865" t="inlineStr">
        <is>
          <t>No</t>
        </is>
      </c>
      <c r="I865" t="inlineStr">
        <is>
          <t>No</t>
        </is>
      </c>
      <c r="J865" t="inlineStr">
        <is>
          <t>0</t>
        </is>
      </c>
      <c r="K865" t="inlineStr">
        <is>
          <t>Catholic Church. National Conference of Catholic Bishops. Bishops' Committee on Priestly Life and Ministry.</t>
        </is>
      </c>
      <c r="L865" t="inlineStr">
        <is>
          <t>Washington, D.C. : United States Catholic Conference, 1982.</t>
        </is>
      </c>
      <c r="M865" t="inlineStr">
        <is>
          <t>1982</t>
        </is>
      </c>
      <c r="O865" t="inlineStr">
        <is>
          <t>eng</t>
        </is>
      </c>
      <c r="P865" t="inlineStr">
        <is>
          <t>dcu</t>
        </is>
      </c>
      <c r="R865" t="inlineStr">
        <is>
          <t xml:space="preserve">BX </t>
        </is>
      </c>
      <c r="S865" t="n">
        <v>5</v>
      </c>
      <c r="T865" t="n">
        <v>5</v>
      </c>
      <c r="U865" t="inlineStr">
        <is>
          <t>1995-04-11</t>
        </is>
      </c>
      <c r="V865" t="inlineStr">
        <is>
          <t>1995-04-11</t>
        </is>
      </c>
      <c r="W865" t="inlineStr">
        <is>
          <t>1991-06-28</t>
        </is>
      </c>
      <c r="X865" t="inlineStr">
        <is>
          <t>1991-06-28</t>
        </is>
      </c>
      <c r="Y865" t="n">
        <v>121</v>
      </c>
      <c r="Z865" t="n">
        <v>106</v>
      </c>
      <c r="AA865" t="n">
        <v>107</v>
      </c>
      <c r="AB865" t="n">
        <v>2</v>
      </c>
      <c r="AC865" t="n">
        <v>2</v>
      </c>
      <c r="AD865" t="n">
        <v>15</v>
      </c>
      <c r="AE865" t="n">
        <v>15</v>
      </c>
      <c r="AF865" t="n">
        <v>5</v>
      </c>
      <c r="AG865" t="n">
        <v>5</v>
      </c>
      <c r="AH865" t="n">
        <v>4</v>
      </c>
      <c r="AI865" t="n">
        <v>4</v>
      </c>
      <c r="AJ865" t="n">
        <v>12</v>
      </c>
      <c r="AK865" t="n">
        <v>12</v>
      </c>
      <c r="AL865" t="n">
        <v>0</v>
      </c>
      <c r="AM865" t="n">
        <v>0</v>
      </c>
      <c r="AN865" t="n">
        <v>0</v>
      </c>
      <c r="AO865" t="n">
        <v>0</v>
      </c>
      <c r="AP865" t="inlineStr">
        <is>
          <t>No</t>
        </is>
      </c>
      <c r="AQ865" t="inlineStr">
        <is>
          <t>No</t>
        </is>
      </c>
      <c r="AS865">
        <f>HYPERLINK("https://creighton-primo.hosted.exlibrisgroup.com/primo-explore/search?tab=default_tab&amp;search_scope=EVERYTHING&amp;vid=01CRU&amp;lang=en_US&amp;offset=0&amp;query=any,contains,991000032829702656","Catalog Record")</f>
        <v/>
      </c>
      <c r="AT865">
        <f>HYPERLINK("http://www.worldcat.org/oclc/9441354","WorldCat Record")</f>
        <v/>
      </c>
      <c r="AU865" t="inlineStr">
        <is>
          <t>42970260:eng</t>
        </is>
      </c>
      <c r="AV865" t="inlineStr">
        <is>
          <t>9441354</t>
        </is>
      </c>
      <c r="AW865" t="inlineStr">
        <is>
          <t>991000032829702656</t>
        </is>
      </c>
      <c r="AX865" t="inlineStr">
        <is>
          <t>991000032829702656</t>
        </is>
      </c>
      <c r="AY865" t="inlineStr">
        <is>
          <t>2260556750002656</t>
        </is>
      </c>
      <c r="AZ865" t="inlineStr">
        <is>
          <t>BOOK</t>
        </is>
      </c>
      <c r="BC865" t="inlineStr">
        <is>
          <t>32285000666817</t>
        </is>
      </c>
      <c r="BD865" t="inlineStr">
        <is>
          <t>893695521</t>
        </is>
      </c>
    </row>
    <row r="866">
      <c r="A866" t="inlineStr">
        <is>
          <t>No</t>
        </is>
      </c>
      <c r="B866" t="inlineStr">
        <is>
          <t>BX1912.5 .J6313</t>
        </is>
      </c>
      <c r="C866" t="inlineStr">
        <is>
          <t>0                      BX 1912500J  6313</t>
        </is>
      </c>
      <c r="D866" t="inlineStr">
        <is>
          <t>Sign of contradiction / by Karol Wojtyla (Pope John Paul II).</t>
        </is>
      </c>
      <c r="F866" t="inlineStr">
        <is>
          <t>No</t>
        </is>
      </c>
      <c r="G866" t="inlineStr">
        <is>
          <t>1</t>
        </is>
      </c>
      <c r="H866" t="inlineStr">
        <is>
          <t>No</t>
        </is>
      </c>
      <c r="I866" t="inlineStr">
        <is>
          <t>No</t>
        </is>
      </c>
      <c r="J866" t="inlineStr">
        <is>
          <t>0</t>
        </is>
      </c>
      <c r="K866" t="inlineStr">
        <is>
          <t>John Paul II, Pope, 1920-2005.</t>
        </is>
      </c>
      <c r="L866" t="inlineStr">
        <is>
          <t>New York : Seabury Press, 1979.</t>
        </is>
      </c>
      <c r="M866" t="inlineStr">
        <is>
          <t>1979</t>
        </is>
      </c>
      <c r="O866" t="inlineStr">
        <is>
          <t>eng</t>
        </is>
      </c>
      <c r="P866" t="inlineStr">
        <is>
          <t>nyu</t>
        </is>
      </c>
      <c r="R866" t="inlineStr">
        <is>
          <t xml:space="preserve">BX </t>
        </is>
      </c>
      <c r="S866" t="n">
        <v>6</v>
      </c>
      <c r="T866" t="n">
        <v>6</v>
      </c>
      <c r="U866" t="inlineStr">
        <is>
          <t>2009-04-04</t>
        </is>
      </c>
      <c r="V866" t="inlineStr">
        <is>
          <t>2009-04-04</t>
        </is>
      </c>
      <c r="W866" t="inlineStr">
        <is>
          <t>1991-07-01</t>
        </is>
      </c>
      <c r="X866" t="inlineStr">
        <is>
          <t>1991-07-01</t>
        </is>
      </c>
      <c r="Y866" t="n">
        <v>821</v>
      </c>
      <c r="Z866" t="n">
        <v>761</v>
      </c>
      <c r="AA866" t="n">
        <v>781</v>
      </c>
      <c r="AB866" t="n">
        <v>7</v>
      </c>
      <c r="AC866" t="n">
        <v>7</v>
      </c>
      <c r="AD866" t="n">
        <v>41</v>
      </c>
      <c r="AE866" t="n">
        <v>41</v>
      </c>
      <c r="AF866" t="n">
        <v>16</v>
      </c>
      <c r="AG866" t="n">
        <v>16</v>
      </c>
      <c r="AH866" t="n">
        <v>9</v>
      </c>
      <c r="AI866" t="n">
        <v>9</v>
      </c>
      <c r="AJ866" t="n">
        <v>26</v>
      </c>
      <c r="AK866" t="n">
        <v>26</v>
      </c>
      <c r="AL866" t="n">
        <v>3</v>
      </c>
      <c r="AM866" t="n">
        <v>3</v>
      </c>
      <c r="AN866" t="n">
        <v>0</v>
      </c>
      <c r="AO866" t="n">
        <v>0</v>
      </c>
      <c r="AP866" t="inlineStr">
        <is>
          <t>No</t>
        </is>
      </c>
      <c r="AQ866" t="inlineStr">
        <is>
          <t>Yes</t>
        </is>
      </c>
      <c r="AR866">
        <f>HYPERLINK("http://catalog.hathitrust.org/Record/004488355","HathiTrust Record")</f>
        <v/>
      </c>
      <c r="AS866">
        <f>HYPERLINK("https://creighton-primo.hosted.exlibrisgroup.com/primo-explore/search?tab=default_tab&amp;search_scope=EVERYTHING&amp;vid=01CRU&amp;lang=en_US&amp;offset=0&amp;query=any,contains,991004715899702656","Catalog Record")</f>
        <v/>
      </c>
      <c r="AT866">
        <f>HYPERLINK("http://www.worldcat.org/oclc/4776044","WorldCat Record")</f>
        <v/>
      </c>
      <c r="AU866" t="inlineStr">
        <is>
          <t>46701872:eng</t>
        </is>
      </c>
      <c r="AV866" t="inlineStr">
        <is>
          <t>4776044</t>
        </is>
      </c>
      <c r="AW866" t="inlineStr">
        <is>
          <t>991004715899702656</t>
        </is>
      </c>
      <c r="AX866" t="inlineStr">
        <is>
          <t>991004715899702656</t>
        </is>
      </c>
      <c r="AY866" t="inlineStr">
        <is>
          <t>2256570280002656</t>
        </is>
      </c>
      <c r="AZ866" t="inlineStr">
        <is>
          <t>BOOK</t>
        </is>
      </c>
      <c r="BB866" t="inlineStr">
        <is>
          <t>9780816404339</t>
        </is>
      </c>
      <c r="BC866" t="inlineStr">
        <is>
          <t>32285000666874</t>
        </is>
      </c>
      <c r="BD866" t="inlineStr">
        <is>
          <t>893606374</t>
        </is>
      </c>
    </row>
    <row r="867">
      <c r="A867" t="inlineStr">
        <is>
          <t>No</t>
        </is>
      </c>
      <c r="B867" t="inlineStr">
        <is>
          <t>BX1912.5 .R38213 1989</t>
        </is>
      </c>
      <c r="C867" t="inlineStr">
        <is>
          <t>0                      BX 1912500R  38213       1989</t>
        </is>
      </c>
      <c r="D867" t="inlineStr">
        <is>
          <t>Ministers of your joy : scriptural meditations on priestly spirituality / Joseph Ratzinger ; [translated from the German by Robert Nowell].</t>
        </is>
      </c>
      <c r="F867" t="inlineStr">
        <is>
          <t>No</t>
        </is>
      </c>
      <c r="G867" t="inlineStr">
        <is>
          <t>1</t>
        </is>
      </c>
      <c r="H867" t="inlineStr">
        <is>
          <t>No</t>
        </is>
      </c>
      <c r="I867" t="inlineStr">
        <is>
          <t>No</t>
        </is>
      </c>
      <c r="J867" t="inlineStr">
        <is>
          <t>0</t>
        </is>
      </c>
      <c r="K867" t="inlineStr">
        <is>
          <t>Benedict XVI, Pope, 1927-</t>
        </is>
      </c>
      <c r="L867" t="inlineStr">
        <is>
          <t>Ann Arbor, Mich. : Redeemer Books, c1989.</t>
        </is>
      </c>
      <c r="M867" t="inlineStr">
        <is>
          <t>1989</t>
        </is>
      </c>
      <c r="O867" t="inlineStr">
        <is>
          <t>eng</t>
        </is>
      </c>
      <c r="P867" t="inlineStr">
        <is>
          <t>miu</t>
        </is>
      </c>
      <c r="R867" t="inlineStr">
        <is>
          <t xml:space="preserve">BX </t>
        </is>
      </c>
      <c r="S867" t="n">
        <v>3</v>
      </c>
      <c r="T867" t="n">
        <v>3</v>
      </c>
      <c r="U867" t="inlineStr">
        <is>
          <t>2008-05-30</t>
        </is>
      </c>
      <c r="V867" t="inlineStr">
        <is>
          <t>2008-05-30</t>
        </is>
      </c>
      <c r="W867" t="inlineStr">
        <is>
          <t>2005-08-25</t>
        </is>
      </c>
      <c r="X867" t="inlineStr">
        <is>
          <t>2005-08-25</t>
        </is>
      </c>
      <c r="Y867" t="n">
        <v>59</v>
      </c>
      <c r="Z867" t="n">
        <v>56</v>
      </c>
      <c r="AA867" t="n">
        <v>67</v>
      </c>
      <c r="AB867" t="n">
        <v>2</v>
      </c>
      <c r="AC867" t="n">
        <v>2</v>
      </c>
      <c r="AD867" t="n">
        <v>4</v>
      </c>
      <c r="AE867" t="n">
        <v>4</v>
      </c>
      <c r="AF867" t="n">
        <v>1</v>
      </c>
      <c r="AG867" t="n">
        <v>1</v>
      </c>
      <c r="AH867" t="n">
        <v>1</v>
      </c>
      <c r="AI867" t="n">
        <v>1</v>
      </c>
      <c r="AJ867" t="n">
        <v>2</v>
      </c>
      <c r="AK867" t="n">
        <v>2</v>
      </c>
      <c r="AL867" t="n">
        <v>0</v>
      </c>
      <c r="AM867" t="n">
        <v>0</v>
      </c>
      <c r="AN867" t="n">
        <v>0</v>
      </c>
      <c r="AO867" t="n">
        <v>0</v>
      </c>
      <c r="AP867" t="inlineStr">
        <is>
          <t>No</t>
        </is>
      </c>
      <c r="AQ867" t="inlineStr">
        <is>
          <t>No</t>
        </is>
      </c>
      <c r="AS867">
        <f>HYPERLINK("https://creighton-primo.hosted.exlibrisgroup.com/primo-explore/search?tab=default_tab&amp;search_scope=EVERYTHING&amp;vid=01CRU&amp;lang=en_US&amp;offset=0&amp;query=any,contains,991004538379702656","Catalog Record")</f>
        <v/>
      </c>
      <c r="AT867">
        <f>HYPERLINK("http://www.worldcat.org/oclc/20013250","WorldCat Record")</f>
        <v/>
      </c>
      <c r="AU867" t="inlineStr">
        <is>
          <t>3856291781:eng</t>
        </is>
      </c>
      <c r="AV867" t="inlineStr">
        <is>
          <t>20013250</t>
        </is>
      </c>
      <c r="AW867" t="inlineStr">
        <is>
          <t>991004538379702656</t>
        </is>
      </c>
      <c r="AX867" t="inlineStr">
        <is>
          <t>991004538379702656</t>
        </is>
      </c>
      <c r="AY867" t="inlineStr">
        <is>
          <t>2262139740002656</t>
        </is>
      </c>
      <c r="AZ867" t="inlineStr">
        <is>
          <t>BOOK</t>
        </is>
      </c>
      <c r="BB867" t="inlineStr">
        <is>
          <t>9780892836543</t>
        </is>
      </c>
      <c r="BC867" t="inlineStr">
        <is>
          <t>32285005082234</t>
        </is>
      </c>
      <c r="BD867" t="inlineStr">
        <is>
          <t>893536046</t>
        </is>
      </c>
    </row>
    <row r="868">
      <c r="A868" t="inlineStr">
        <is>
          <t>No</t>
        </is>
      </c>
      <c r="B868" t="inlineStr">
        <is>
          <t>BX1912.5 .R46 1965</t>
        </is>
      </c>
      <c r="C868" t="inlineStr">
        <is>
          <t>0                      BX 1912500R  46          1965</t>
        </is>
      </c>
      <c r="D868" t="inlineStr">
        <is>
          <t>The priestly amen / by Roy Rihn.</t>
        </is>
      </c>
      <c r="F868" t="inlineStr">
        <is>
          <t>No</t>
        </is>
      </c>
      <c r="G868" t="inlineStr">
        <is>
          <t>1</t>
        </is>
      </c>
      <c r="H868" t="inlineStr">
        <is>
          <t>No</t>
        </is>
      </c>
      <c r="I868" t="inlineStr">
        <is>
          <t>No</t>
        </is>
      </c>
      <c r="J868" t="inlineStr">
        <is>
          <t>0</t>
        </is>
      </c>
      <c r="K868" t="inlineStr">
        <is>
          <t>Rihn, Roy J.</t>
        </is>
      </c>
      <c r="L868" t="inlineStr">
        <is>
          <t>New York : Sheed and Ward, [1965]</t>
        </is>
      </c>
      <c r="M868" t="inlineStr">
        <is>
          <t>1965</t>
        </is>
      </c>
      <c r="O868" t="inlineStr">
        <is>
          <t>eng</t>
        </is>
      </c>
      <c r="P868" t="inlineStr">
        <is>
          <t xml:space="preserve">xx </t>
        </is>
      </c>
      <c r="R868" t="inlineStr">
        <is>
          <t xml:space="preserve">BX </t>
        </is>
      </c>
      <c r="S868" t="n">
        <v>1</v>
      </c>
      <c r="T868" t="n">
        <v>1</v>
      </c>
      <c r="U868" t="inlineStr">
        <is>
          <t>2001-06-16</t>
        </is>
      </c>
      <c r="V868" t="inlineStr">
        <is>
          <t>2001-06-16</t>
        </is>
      </c>
      <c r="W868" t="inlineStr">
        <is>
          <t>1991-07-01</t>
        </is>
      </c>
      <c r="X868" t="inlineStr">
        <is>
          <t>1991-07-01</t>
        </is>
      </c>
      <c r="Y868" t="n">
        <v>109</v>
      </c>
      <c r="Z868" t="n">
        <v>94</v>
      </c>
      <c r="AA868" t="n">
        <v>94</v>
      </c>
      <c r="AB868" t="n">
        <v>3</v>
      </c>
      <c r="AC868" t="n">
        <v>3</v>
      </c>
      <c r="AD868" t="n">
        <v>12</v>
      </c>
      <c r="AE868" t="n">
        <v>12</v>
      </c>
      <c r="AF868" t="n">
        <v>1</v>
      </c>
      <c r="AG868" t="n">
        <v>1</v>
      </c>
      <c r="AH868" t="n">
        <v>5</v>
      </c>
      <c r="AI868" t="n">
        <v>5</v>
      </c>
      <c r="AJ868" t="n">
        <v>9</v>
      </c>
      <c r="AK868" t="n">
        <v>9</v>
      </c>
      <c r="AL868" t="n">
        <v>0</v>
      </c>
      <c r="AM868" t="n">
        <v>0</v>
      </c>
      <c r="AN868" t="n">
        <v>0</v>
      </c>
      <c r="AO868" t="n">
        <v>0</v>
      </c>
      <c r="AP868" t="inlineStr">
        <is>
          <t>No</t>
        </is>
      </c>
      <c r="AQ868" t="inlineStr">
        <is>
          <t>No</t>
        </is>
      </c>
      <c r="AS868">
        <f>HYPERLINK("https://creighton-primo.hosted.exlibrisgroup.com/primo-explore/search?tab=default_tab&amp;search_scope=EVERYTHING&amp;vid=01CRU&amp;lang=en_US&amp;offset=0&amp;query=any,contains,991004327149702656","Catalog Record")</f>
        <v/>
      </c>
      <c r="AT868">
        <f>HYPERLINK("http://www.worldcat.org/oclc/3044388","WorldCat Record")</f>
        <v/>
      </c>
      <c r="AU868" t="inlineStr">
        <is>
          <t>8029320:eng</t>
        </is>
      </c>
      <c r="AV868" t="inlineStr">
        <is>
          <t>3044388</t>
        </is>
      </c>
      <c r="AW868" t="inlineStr">
        <is>
          <t>991004327149702656</t>
        </is>
      </c>
      <c r="AX868" t="inlineStr">
        <is>
          <t>991004327149702656</t>
        </is>
      </c>
      <c r="AY868" t="inlineStr">
        <is>
          <t>2260805110002656</t>
        </is>
      </c>
      <c r="AZ868" t="inlineStr">
        <is>
          <t>BOOK</t>
        </is>
      </c>
      <c r="BC868" t="inlineStr">
        <is>
          <t>32285000666932</t>
        </is>
      </c>
      <c r="BD868" t="inlineStr">
        <is>
          <t>893612216</t>
        </is>
      </c>
    </row>
    <row r="869">
      <c r="A869" t="inlineStr">
        <is>
          <t>No</t>
        </is>
      </c>
      <c r="B869" t="inlineStr">
        <is>
          <t>BX1912.5 V38 1904</t>
        </is>
      </c>
      <c r="C869" t="inlineStr">
        <is>
          <t>0                      BX 1912500V  38          1904</t>
        </is>
      </c>
      <c r="D869" t="inlineStr">
        <is>
          <t>The young priest : conferences on the apostolic life / by Herbert, Cardinal Vaughan. Ed. by his brother, Monsignor, Canon John S. Vaughan.</t>
        </is>
      </c>
      <c r="F869" t="inlineStr">
        <is>
          <t>No</t>
        </is>
      </c>
      <c r="G869" t="inlineStr">
        <is>
          <t>1</t>
        </is>
      </c>
      <c r="H869" t="inlineStr">
        <is>
          <t>No</t>
        </is>
      </c>
      <c r="I869" t="inlineStr">
        <is>
          <t>No</t>
        </is>
      </c>
      <c r="J869" t="inlineStr">
        <is>
          <t>0</t>
        </is>
      </c>
      <c r="K869" t="inlineStr">
        <is>
          <t>Vaughan, Herbert, 1832-1903.</t>
        </is>
      </c>
      <c r="L869" t="inlineStr">
        <is>
          <t>London : Burns &amp; Oates, [1904].</t>
        </is>
      </c>
      <c r="M869" t="inlineStr">
        <is>
          <t>1904</t>
        </is>
      </c>
      <c r="O869" t="inlineStr">
        <is>
          <t>eng</t>
        </is>
      </c>
      <c r="P869" t="inlineStr">
        <is>
          <t xml:space="preserve">xx </t>
        </is>
      </c>
      <c r="R869" t="inlineStr">
        <is>
          <t xml:space="preserve">BX </t>
        </is>
      </c>
      <c r="S869" t="n">
        <v>3</v>
      </c>
      <c r="T869" t="n">
        <v>3</v>
      </c>
      <c r="U869" t="inlineStr">
        <is>
          <t>2008-05-31</t>
        </is>
      </c>
      <c r="V869" t="inlineStr">
        <is>
          <t>2008-05-31</t>
        </is>
      </c>
      <c r="W869" t="inlineStr">
        <is>
          <t>1991-07-01</t>
        </is>
      </c>
      <c r="X869" t="inlineStr">
        <is>
          <t>1991-07-01</t>
        </is>
      </c>
      <c r="Y869" t="n">
        <v>44</v>
      </c>
      <c r="Z869" t="n">
        <v>33</v>
      </c>
      <c r="AA869" t="n">
        <v>53</v>
      </c>
      <c r="AB869" t="n">
        <v>2</v>
      </c>
      <c r="AC869" t="n">
        <v>2</v>
      </c>
      <c r="AD869" t="n">
        <v>4</v>
      </c>
      <c r="AE869" t="n">
        <v>9</v>
      </c>
      <c r="AF869" t="n">
        <v>0</v>
      </c>
      <c r="AG869" t="n">
        <v>1</v>
      </c>
      <c r="AH869" t="n">
        <v>0</v>
      </c>
      <c r="AI869" t="n">
        <v>4</v>
      </c>
      <c r="AJ869" t="n">
        <v>4</v>
      </c>
      <c r="AK869" t="n">
        <v>6</v>
      </c>
      <c r="AL869" t="n">
        <v>0</v>
      </c>
      <c r="AM869" t="n">
        <v>0</v>
      </c>
      <c r="AN869" t="n">
        <v>0</v>
      </c>
      <c r="AO869" t="n">
        <v>0</v>
      </c>
      <c r="AP869" t="inlineStr">
        <is>
          <t>No</t>
        </is>
      </c>
      <c r="AQ869" t="inlineStr">
        <is>
          <t>No</t>
        </is>
      </c>
      <c r="AS869">
        <f>HYPERLINK("https://creighton-primo.hosted.exlibrisgroup.com/primo-explore/search?tab=default_tab&amp;search_scope=EVERYTHING&amp;vid=01CRU&amp;lang=en_US&amp;offset=0&amp;query=any,contains,991000869299702656","Catalog Record")</f>
        <v/>
      </c>
      <c r="AT869">
        <f>HYPERLINK("http://www.worldcat.org/oclc/13775987","WorldCat Record")</f>
        <v/>
      </c>
      <c r="AU869" t="inlineStr">
        <is>
          <t>3901013560:eng</t>
        </is>
      </c>
      <c r="AV869" t="inlineStr">
        <is>
          <t>13775987</t>
        </is>
      </c>
      <c r="AW869" t="inlineStr">
        <is>
          <t>991000869299702656</t>
        </is>
      </c>
      <c r="AX869" t="inlineStr">
        <is>
          <t>991000869299702656</t>
        </is>
      </c>
      <c r="AY869" t="inlineStr">
        <is>
          <t>2266657370002656</t>
        </is>
      </c>
      <c r="AZ869" t="inlineStr">
        <is>
          <t>BOOK</t>
        </is>
      </c>
      <c r="BC869" t="inlineStr">
        <is>
          <t>32285000666957</t>
        </is>
      </c>
      <c r="BD869" t="inlineStr">
        <is>
          <t>893528460</t>
        </is>
      </c>
    </row>
    <row r="870">
      <c r="A870" t="inlineStr">
        <is>
          <t>No</t>
        </is>
      </c>
      <c r="B870" t="inlineStr">
        <is>
          <t>BX1912.9 .B48 2002</t>
        </is>
      </c>
      <c r="C870" t="inlineStr">
        <is>
          <t>0                      BX 1912900B  48          2002</t>
        </is>
      </c>
      <c r="D870" t="inlineStr">
        <is>
          <t>Betrayal : the crisis in the Catholic Church / by the Investigative Staff of the Boston globe.</t>
        </is>
      </c>
      <c r="F870" t="inlineStr">
        <is>
          <t>No</t>
        </is>
      </c>
      <c r="G870" t="inlineStr">
        <is>
          <t>1</t>
        </is>
      </c>
      <c r="H870" t="inlineStr">
        <is>
          <t>No</t>
        </is>
      </c>
      <c r="I870" t="inlineStr">
        <is>
          <t>No</t>
        </is>
      </c>
      <c r="J870" t="inlineStr">
        <is>
          <t>0</t>
        </is>
      </c>
      <c r="L870" t="inlineStr">
        <is>
          <t>Boston : Little, Brown, c2002.</t>
        </is>
      </c>
      <c r="M870" t="inlineStr">
        <is>
          <t>2002</t>
        </is>
      </c>
      <c r="N870" t="inlineStr">
        <is>
          <t>1st ed.</t>
        </is>
      </c>
      <c r="O870" t="inlineStr">
        <is>
          <t>eng</t>
        </is>
      </c>
      <c r="P870" t="inlineStr">
        <is>
          <t>mau</t>
        </is>
      </c>
      <c r="R870" t="inlineStr">
        <is>
          <t xml:space="preserve">BX </t>
        </is>
      </c>
      <c r="S870" t="n">
        <v>5</v>
      </c>
      <c r="T870" t="n">
        <v>5</v>
      </c>
      <c r="U870" t="inlineStr">
        <is>
          <t>2004-10-31</t>
        </is>
      </c>
      <c r="V870" t="inlineStr">
        <is>
          <t>2004-10-31</t>
        </is>
      </c>
      <c r="W870" t="inlineStr">
        <is>
          <t>2002-09-25</t>
        </is>
      </c>
      <c r="X870" t="inlineStr">
        <is>
          <t>2002-09-25</t>
        </is>
      </c>
      <c r="Y870" t="n">
        <v>988</v>
      </c>
      <c r="Z870" t="n">
        <v>913</v>
      </c>
      <c r="AA870" t="n">
        <v>935</v>
      </c>
      <c r="AB870" t="n">
        <v>10</v>
      </c>
      <c r="AC870" t="n">
        <v>10</v>
      </c>
      <c r="AD870" t="n">
        <v>37</v>
      </c>
      <c r="AE870" t="n">
        <v>37</v>
      </c>
      <c r="AF870" t="n">
        <v>11</v>
      </c>
      <c r="AG870" t="n">
        <v>11</v>
      </c>
      <c r="AH870" t="n">
        <v>8</v>
      </c>
      <c r="AI870" t="n">
        <v>8</v>
      </c>
      <c r="AJ870" t="n">
        <v>20</v>
      </c>
      <c r="AK870" t="n">
        <v>20</v>
      </c>
      <c r="AL870" t="n">
        <v>5</v>
      </c>
      <c r="AM870" t="n">
        <v>5</v>
      </c>
      <c r="AN870" t="n">
        <v>1</v>
      </c>
      <c r="AO870" t="n">
        <v>1</v>
      </c>
      <c r="AP870" t="inlineStr">
        <is>
          <t>No</t>
        </is>
      </c>
      <c r="AQ870" t="inlineStr">
        <is>
          <t>No</t>
        </is>
      </c>
      <c r="AS870">
        <f>HYPERLINK("https://creighton-primo.hosted.exlibrisgroup.com/primo-explore/search?tab=default_tab&amp;search_scope=EVERYTHING&amp;vid=01CRU&amp;lang=en_US&amp;offset=0&amp;query=any,contains,991003861499702656","Catalog Record")</f>
        <v/>
      </c>
      <c r="AT870">
        <f>HYPERLINK("http://www.worldcat.org/oclc/50029861","WorldCat Record")</f>
        <v/>
      </c>
      <c r="AU870" t="inlineStr">
        <is>
          <t>3798855411:eng</t>
        </is>
      </c>
      <c r="AV870" t="inlineStr">
        <is>
          <t>50029861</t>
        </is>
      </c>
      <c r="AW870" t="inlineStr">
        <is>
          <t>991003861499702656</t>
        </is>
      </c>
      <c r="AX870" t="inlineStr">
        <is>
          <t>991003861499702656</t>
        </is>
      </c>
      <c r="AY870" t="inlineStr">
        <is>
          <t>2267125250002656</t>
        </is>
      </c>
      <c r="AZ870" t="inlineStr">
        <is>
          <t>BOOK</t>
        </is>
      </c>
      <c r="BB870" t="inlineStr">
        <is>
          <t>9780316075589</t>
        </is>
      </c>
      <c r="BC870" t="inlineStr">
        <is>
          <t>32285004649066</t>
        </is>
      </c>
      <c r="BD870" t="inlineStr">
        <is>
          <t>893718155</t>
        </is>
      </c>
    </row>
    <row r="871">
      <c r="A871" t="inlineStr">
        <is>
          <t>No</t>
        </is>
      </c>
      <c r="B871" t="inlineStr">
        <is>
          <t>BX1912.9 .C422 2003</t>
        </is>
      </c>
      <c r="C871" t="inlineStr">
        <is>
          <t>0                      BX 1912900C  422         2003</t>
        </is>
      </c>
      <c r="D871" t="inlineStr">
        <is>
          <t>Promise to protect, pledge to heal : Charter for the protection of children and young people : Essential norms : Statement of episcopal commitment / United States Conference of Catholic Bishops.</t>
        </is>
      </c>
      <c r="F871" t="inlineStr">
        <is>
          <t>No</t>
        </is>
      </c>
      <c r="G871" t="inlineStr">
        <is>
          <t>1</t>
        </is>
      </c>
      <c r="H871" t="inlineStr">
        <is>
          <t>No</t>
        </is>
      </c>
      <c r="I871" t="inlineStr">
        <is>
          <t>No</t>
        </is>
      </c>
      <c r="J871" t="inlineStr">
        <is>
          <t>0</t>
        </is>
      </c>
      <c r="L871" t="inlineStr">
        <is>
          <t>Washington, D.C. : U.S. Conference of Catholic Bishops, 2003.</t>
        </is>
      </c>
      <c r="M871" t="inlineStr">
        <is>
          <t>2003</t>
        </is>
      </c>
      <c r="O871" t="inlineStr">
        <is>
          <t>eng</t>
        </is>
      </c>
      <c r="P871" t="inlineStr">
        <is>
          <t>dcu</t>
        </is>
      </c>
      <c r="R871" t="inlineStr">
        <is>
          <t xml:space="preserve">BX </t>
        </is>
      </c>
      <c r="S871" t="n">
        <v>3</v>
      </c>
      <c r="T871" t="n">
        <v>3</v>
      </c>
      <c r="U871" t="inlineStr">
        <is>
          <t>2003-05-13</t>
        </is>
      </c>
      <c r="V871" t="inlineStr">
        <is>
          <t>2003-05-13</t>
        </is>
      </c>
      <c r="W871" t="inlineStr">
        <is>
          <t>2003-05-13</t>
        </is>
      </c>
      <c r="X871" t="inlineStr">
        <is>
          <t>2003-05-13</t>
        </is>
      </c>
      <c r="Y871" t="n">
        <v>74</v>
      </c>
      <c r="Z871" t="n">
        <v>70</v>
      </c>
      <c r="AA871" t="n">
        <v>87</v>
      </c>
      <c r="AB871" t="n">
        <v>2</v>
      </c>
      <c r="AC871" t="n">
        <v>2</v>
      </c>
      <c r="AD871" t="n">
        <v>12</v>
      </c>
      <c r="AE871" t="n">
        <v>14</v>
      </c>
      <c r="AF871" t="n">
        <v>2</v>
      </c>
      <c r="AG871" t="n">
        <v>3</v>
      </c>
      <c r="AH871" t="n">
        <v>4</v>
      </c>
      <c r="AI871" t="n">
        <v>4</v>
      </c>
      <c r="AJ871" t="n">
        <v>9</v>
      </c>
      <c r="AK871" t="n">
        <v>10</v>
      </c>
      <c r="AL871" t="n">
        <v>0</v>
      </c>
      <c r="AM871" t="n">
        <v>0</v>
      </c>
      <c r="AN871" t="n">
        <v>0</v>
      </c>
      <c r="AO871" t="n">
        <v>0</v>
      </c>
      <c r="AP871" t="inlineStr">
        <is>
          <t>No</t>
        </is>
      </c>
      <c r="AQ871" t="inlineStr">
        <is>
          <t>No</t>
        </is>
      </c>
      <c r="AS871">
        <f>HYPERLINK("https://creighton-primo.hosted.exlibrisgroup.com/primo-explore/search?tab=default_tab&amp;search_scope=EVERYTHING&amp;vid=01CRU&amp;lang=en_US&amp;offset=0&amp;query=any,contains,991004046629702656","Catalog Record")</f>
        <v/>
      </c>
      <c r="AT871">
        <f>HYPERLINK("http://www.worldcat.org/oclc/51864821","WorldCat Record")</f>
        <v/>
      </c>
      <c r="AU871" t="inlineStr">
        <is>
          <t>1081009130:eng</t>
        </is>
      </c>
      <c r="AV871" t="inlineStr">
        <is>
          <t>51864821</t>
        </is>
      </c>
      <c r="AW871" t="inlineStr">
        <is>
          <t>991004046629702656</t>
        </is>
      </c>
      <c r="AX871" t="inlineStr">
        <is>
          <t>991004046629702656</t>
        </is>
      </c>
      <c r="AY871" t="inlineStr">
        <is>
          <t>2267224380002656</t>
        </is>
      </c>
      <c r="AZ871" t="inlineStr">
        <is>
          <t>BOOK</t>
        </is>
      </c>
      <c r="BB871" t="inlineStr">
        <is>
          <t>9781574555400</t>
        </is>
      </c>
      <c r="BC871" t="inlineStr">
        <is>
          <t>32285004746003</t>
        </is>
      </c>
      <c r="BD871" t="inlineStr">
        <is>
          <t>893894506</t>
        </is>
      </c>
    </row>
    <row r="872">
      <c r="A872" t="inlineStr">
        <is>
          <t>No</t>
        </is>
      </c>
      <c r="B872" t="inlineStr">
        <is>
          <t>BX1912.9 .C43 2002</t>
        </is>
      </c>
      <c r="C872" t="inlineStr">
        <is>
          <t>0                      BX 1912900C  43          2002</t>
        </is>
      </c>
      <c r="D872" t="inlineStr">
        <is>
          <t>Charter for the protection of children &amp; young people / United States Conference of Catholic Bishops.</t>
        </is>
      </c>
      <c r="F872" t="inlineStr">
        <is>
          <t>No</t>
        </is>
      </c>
      <c r="G872" t="inlineStr">
        <is>
          <t>1</t>
        </is>
      </c>
      <c r="H872" t="inlineStr">
        <is>
          <t>No</t>
        </is>
      </c>
      <c r="I872" t="inlineStr">
        <is>
          <t>No</t>
        </is>
      </c>
      <c r="J872" t="inlineStr">
        <is>
          <t>0</t>
        </is>
      </c>
      <c r="L872" t="inlineStr">
        <is>
          <t>Washington, D.C. : The Conference, c2002.</t>
        </is>
      </c>
      <c r="M872" t="inlineStr">
        <is>
          <t>2002</t>
        </is>
      </c>
      <c r="O872" t="inlineStr">
        <is>
          <t>eng</t>
        </is>
      </c>
      <c r="P872" t="inlineStr">
        <is>
          <t>dcu</t>
        </is>
      </c>
      <c r="Q872" t="inlineStr">
        <is>
          <t>Publication / USCCB Publishing ; no. 5-518</t>
        </is>
      </c>
      <c r="R872" t="inlineStr">
        <is>
          <t xml:space="preserve">BX </t>
        </is>
      </c>
      <c r="S872" t="n">
        <v>4</v>
      </c>
      <c r="T872" t="n">
        <v>4</v>
      </c>
      <c r="U872" t="inlineStr">
        <is>
          <t>2004-10-31</t>
        </is>
      </c>
      <c r="V872" t="inlineStr">
        <is>
          <t>2004-10-31</t>
        </is>
      </c>
      <c r="W872" t="inlineStr">
        <is>
          <t>2002-08-20</t>
        </is>
      </c>
      <c r="X872" t="inlineStr">
        <is>
          <t>2002-08-20</t>
        </is>
      </c>
      <c r="Y872" t="n">
        <v>72</v>
      </c>
      <c r="Z872" t="n">
        <v>70</v>
      </c>
      <c r="AA872" t="n">
        <v>77</v>
      </c>
      <c r="AB872" t="n">
        <v>1</v>
      </c>
      <c r="AC872" t="n">
        <v>1</v>
      </c>
      <c r="AD872" t="n">
        <v>13</v>
      </c>
      <c r="AE872" t="n">
        <v>13</v>
      </c>
      <c r="AF872" t="n">
        <v>3</v>
      </c>
      <c r="AG872" t="n">
        <v>3</v>
      </c>
      <c r="AH872" t="n">
        <v>5</v>
      </c>
      <c r="AI872" t="n">
        <v>5</v>
      </c>
      <c r="AJ872" t="n">
        <v>8</v>
      </c>
      <c r="AK872" t="n">
        <v>8</v>
      </c>
      <c r="AL872" t="n">
        <v>0</v>
      </c>
      <c r="AM872" t="n">
        <v>0</v>
      </c>
      <c r="AN872" t="n">
        <v>0</v>
      </c>
      <c r="AO872" t="n">
        <v>0</v>
      </c>
      <c r="AP872" t="inlineStr">
        <is>
          <t>No</t>
        </is>
      </c>
      <c r="AQ872" t="inlineStr">
        <is>
          <t>No</t>
        </is>
      </c>
      <c r="AS872">
        <f>HYPERLINK("https://creighton-primo.hosted.exlibrisgroup.com/primo-explore/search?tab=default_tab&amp;search_scope=EVERYTHING&amp;vid=01CRU&amp;lang=en_US&amp;offset=0&amp;query=any,contains,991003863099702656","Catalog Record")</f>
        <v/>
      </c>
      <c r="AT872">
        <f>HYPERLINK("http://www.worldcat.org/oclc/50299598","WorldCat Record")</f>
        <v/>
      </c>
      <c r="AU872" t="inlineStr">
        <is>
          <t>5419678044:eng</t>
        </is>
      </c>
      <c r="AV872" t="inlineStr">
        <is>
          <t>50299598</t>
        </is>
      </c>
      <c r="AW872" t="inlineStr">
        <is>
          <t>991003863099702656</t>
        </is>
      </c>
      <c r="AX872" t="inlineStr">
        <is>
          <t>991003863099702656</t>
        </is>
      </c>
      <c r="AY872" t="inlineStr">
        <is>
          <t>2268765580002656</t>
        </is>
      </c>
      <c r="AZ872" t="inlineStr">
        <is>
          <t>BOOK</t>
        </is>
      </c>
      <c r="BB872" t="inlineStr">
        <is>
          <t>9781574555189</t>
        </is>
      </c>
      <c r="BC872" t="inlineStr">
        <is>
          <t>32285004643994</t>
        </is>
      </c>
      <c r="BD872" t="inlineStr">
        <is>
          <t>893423065</t>
        </is>
      </c>
    </row>
    <row r="873">
      <c r="A873" t="inlineStr">
        <is>
          <t>No</t>
        </is>
      </c>
      <c r="B873" t="inlineStr">
        <is>
          <t>BX1912.9 .C49 2006</t>
        </is>
      </c>
      <c r="C873" t="inlineStr">
        <is>
          <t>0                      BX 1912900C  49          2006</t>
        </is>
      </c>
      <c r="D873" t="inlineStr">
        <is>
          <t>Church ethics and its organizational context : learning from the sex abuse scandal in the Catholic Church / edited by Jean M. Bartunek, Mary Ann Hinsdale, and James F. Keenan.</t>
        </is>
      </c>
      <c r="F873" t="inlineStr">
        <is>
          <t>No</t>
        </is>
      </c>
      <c r="G873" t="inlineStr">
        <is>
          <t>1</t>
        </is>
      </c>
      <c r="H873" t="inlineStr">
        <is>
          <t>No</t>
        </is>
      </c>
      <c r="I873" t="inlineStr">
        <is>
          <t>No</t>
        </is>
      </c>
      <c r="J873" t="inlineStr">
        <is>
          <t>0</t>
        </is>
      </c>
      <c r="L873" t="inlineStr">
        <is>
          <t>Lanham, Md. : Rowman &amp; Littlefield Publishers, c2006.</t>
        </is>
      </c>
      <c r="M873" t="inlineStr">
        <is>
          <t>2006</t>
        </is>
      </c>
      <c r="O873" t="inlineStr">
        <is>
          <t>eng</t>
        </is>
      </c>
      <c r="P873" t="inlineStr">
        <is>
          <t>mdu</t>
        </is>
      </c>
      <c r="Q873" t="inlineStr">
        <is>
          <t>Boston College church in the 21st century series</t>
        </is>
      </c>
      <c r="R873" t="inlineStr">
        <is>
          <t xml:space="preserve">BX </t>
        </is>
      </c>
      <c r="S873" t="n">
        <v>2</v>
      </c>
      <c r="T873" t="n">
        <v>2</v>
      </c>
      <c r="U873" t="inlineStr">
        <is>
          <t>2007-02-25</t>
        </is>
      </c>
      <c r="V873" t="inlineStr">
        <is>
          <t>2007-02-25</t>
        </is>
      </c>
      <c r="W873" t="inlineStr">
        <is>
          <t>2006-04-25</t>
        </is>
      </c>
      <c r="X873" t="inlineStr">
        <is>
          <t>2006-04-25</t>
        </is>
      </c>
      <c r="Y873" t="n">
        <v>286</v>
      </c>
      <c r="Z873" t="n">
        <v>257</v>
      </c>
      <c r="AA873" t="n">
        <v>280</v>
      </c>
      <c r="AB873" t="n">
        <v>3</v>
      </c>
      <c r="AC873" t="n">
        <v>3</v>
      </c>
      <c r="AD873" t="n">
        <v>29</v>
      </c>
      <c r="AE873" t="n">
        <v>30</v>
      </c>
      <c r="AF873" t="n">
        <v>10</v>
      </c>
      <c r="AG873" t="n">
        <v>11</v>
      </c>
      <c r="AH873" t="n">
        <v>7</v>
      </c>
      <c r="AI873" t="n">
        <v>8</v>
      </c>
      <c r="AJ873" t="n">
        <v>19</v>
      </c>
      <c r="AK873" t="n">
        <v>19</v>
      </c>
      <c r="AL873" t="n">
        <v>2</v>
      </c>
      <c r="AM873" t="n">
        <v>2</v>
      </c>
      <c r="AN873" t="n">
        <v>0</v>
      </c>
      <c r="AO873" t="n">
        <v>0</v>
      </c>
      <c r="AP873" t="inlineStr">
        <is>
          <t>No</t>
        </is>
      </c>
      <c r="AQ873" t="inlineStr">
        <is>
          <t>Yes</t>
        </is>
      </c>
      <c r="AR873">
        <f>HYPERLINK("http://catalog.hathitrust.org/Record/005884285","HathiTrust Record")</f>
        <v/>
      </c>
      <c r="AS873">
        <f>HYPERLINK("https://creighton-primo.hosted.exlibrisgroup.com/primo-explore/search?tab=default_tab&amp;search_scope=EVERYTHING&amp;vid=01CRU&amp;lang=en_US&amp;offset=0&amp;query=any,contains,991004806709702656","Catalog Record")</f>
        <v/>
      </c>
      <c r="AT873">
        <f>HYPERLINK("http://www.worldcat.org/oclc/60515258","WorldCat Record")</f>
        <v/>
      </c>
      <c r="AU873" t="inlineStr">
        <is>
          <t>477652797:eng</t>
        </is>
      </c>
      <c r="AV873" t="inlineStr">
        <is>
          <t>60515258</t>
        </is>
      </c>
      <c r="AW873" t="inlineStr">
        <is>
          <t>991004806709702656</t>
        </is>
      </c>
      <c r="AX873" t="inlineStr">
        <is>
          <t>991004806709702656</t>
        </is>
      </c>
      <c r="AY873" t="inlineStr">
        <is>
          <t>2268501740002656</t>
        </is>
      </c>
      <c r="AZ873" t="inlineStr">
        <is>
          <t>BOOK</t>
        </is>
      </c>
      <c r="BB873" t="inlineStr">
        <is>
          <t>9780742532472</t>
        </is>
      </c>
      <c r="BC873" t="inlineStr">
        <is>
          <t>32285005183149</t>
        </is>
      </c>
      <c r="BD873" t="inlineStr">
        <is>
          <t>893600257</t>
        </is>
      </c>
    </row>
    <row r="874">
      <c r="A874" t="inlineStr">
        <is>
          <t>No</t>
        </is>
      </c>
      <c r="B874" t="inlineStr">
        <is>
          <t>BX1912.9 .F73 2004</t>
        </is>
      </c>
      <c r="C874" t="inlineStr">
        <is>
          <t>0                      BX 1912900F  73          2004</t>
        </is>
      </c>
      <c r="D874" t="inlineStr">
        <is>
          <t>Our fathers : the secret life of the Catholic Church in an age of scandal / David France.</t>
        </is>
      </c>
      <c r="F874" t="inlineStr">
        <is>
          <t>No</t>
        </is>
      </c>
      <c r="G874" t="inlineStr">
        <is>
          <t>1</t>
        </is>
      </c>
      <c r="H874" t="inlineStr">
        <is>
          <t>No</t>
        </is>
      </c>
      <c r="I874" t="inlineStr">
        <is>
          <t>No</t>
        </is>
      </c>
      <c r="J874" t="inlineStr">
        <is>
          <t>0</t>
        </is>
      </c>
      <c r="K874" t="inlineStr">
        <is>
          <t>France, David, 1959-</t>
        </is>
      </c>
      <c r="L874" t="inlineStr">
        <is>
          <t>New York : Broadway Books, 2004.</t>
        </is>
      </c>
      <c r="M874" t="inlineStr">
        <is>
          <t>2004</t>
        </is>
      </c>
      <c r="N874" t="inlineStr">
        <is>
          <t>1st ed.</t>
        </is>
      </c>
      <c r="O874" t="inlineStr">
        <is>
          <t>eng</t>
        </is>
      </c>
      <c r="P874" t="inlineStr">
        <is>
          <t>nyu</t>
        </is>
      </c>
      <c r="R874" t="inlineStr">
        <is>
          <t xml:space="preserve">BX </t>
        </is>
      </c>
      <c r="S874" t="n">
        <v>4</v>
      </c>
      <c r="T874" t="n">
        <v>4</v>
      </c>
      <c r="U874" t="inlineStr">
        <is>
          <t>2010-10-01</t>
        </is>
      </c>
      <c r="V874" t="inlineStr">
        <is>
          <t>2010-10-01</t>
        </is>
      </c>
      <c r="W874" t="inlineStr">
        <is>
          <t>2004-03-29</t>
        </is>
      </c>
      <c r="X874" t="inlineStr">
        <is>
          <t>2004-03-29</t>
        </is>
      </c>
      <c r="Y874" t="n">
        <v>856</v>
      </c>
      <c r="Z874" t="n">
        <v>812</v>
      </c>
      <c r="AA874" t="n">
        <v>853</v>
      </c>
      <c r="AB874" t="n">
        <v>6</v>
      </c>
      <c r="AC874" t="n">
        <v>7</v>
      </c>
      <c r="AD874" t="n">
        <v>29</v>
      </c>
      <c r="AE874" t="n">
        <v>30</v>
      </c>
      <c r="AF874" t="n">
        <v>9</v>
      </c>
      <c r="AG874" t="n">
        <v>9</v>
      </c>
      <c r="AH874" t="n">
        <v>6</v>
      </c>
      <c r="AI874" t="n">
        <v>7</v>
      </c>
      <c r="AJ874" t="n">
        <v>18</v>
      </c>
      <c r="AK874" t="n">
        <v>19</v>
      </c>
      <c r="AL874" t="n">
        <v>3</v>
      </c>
      <c r="AM874" t="n">
        <v>3</v>
      </c>
      <c r="AN874" t="n">
        <v>0</v>
      </c>
      <c r="AO874" t="n">
        <v>0</v>
      </c>
      <c r="AP874" t="inlineStr">
        <is>
          <t>No</t>
        </is>
      </c>
      <c r="AQ874" t="inlineStr">
        <is>
          <t>Yes</t>
        </is>
      </c>
      <c r="AR874">
        <f>HYPERLINK("http://catalog.hathitrust.org/Record/004370420","HathiTrust Record")</f>
        <v/>
      </c>
      <c r="AS874">
        <f>HYPERLINK("https://creighton-primo.hosted.exlibrisgroup.com/primo-explore/search?tab=default_tab&amp;search_scope=EVERYTHING&amp;vid=01CRU&amp;lang=en_US&amp;offset=0&amp;query=any,contains,991004248719702656","Catalog Record")</f>
        <v/>
      </c>
      <c r="AT874">
        <f>HYPERLINK("http://www.worldcat.org/oclc/53231283","WorldCat Record")</f>
        <v/>
      </c>
      <c r="AU874" t="inlineStr">
        <is>
          <t>763295:eng</t>
        </is>
      </c>
      <c r="AV874" t="inlineStr">
        <is>
          <t>53231283</t>
        </is>
      </c>
      <c r="AW874" t="inlineStr">
        <is>
          <t>991004248719702656</t>
        </is>
      </c>
      <c r="AX874" t="inlineStr">
        <is>
          <t>991004248719702656</t>
        </is>
      </c>
      <c r="AY874" t="inlineStr">
        <is>
          <t>2263767610002656</t>
        </is>
      </c>
      <c r="AZ874" t="inlineStr">
        <is>
          <t>BOOK</t>
        </is>
      </c>
      <c r="BB874" t="inlineStr">
        <is>
          <t>9780767914307</t>
        </is>
      </c>
      <c r="BC874" t="inlineStr">
        <is>
          <t>32285004897707</t>
        </is>
      </c>
      <c r="BD874" t="inlineStr">
        <is>
          <t>893436062</t>
        </is>
      </c>
    </row>
    <row r="875">
      <c r="A875" t="inlineStr">
        <is>
          <t>No</t>
        </is>
      </c>
      <c r="B875" t="inlineStr">
        <is>
          <t>BX1912.9 .G34 2004</t>
        </is>
      </c>
      <c r="C875" t="inlineStr">
        <is>
          <t>0                      BX 1912900G  34          2004</t>
        </is>
      </c>
      <c r="D875" t="inlineStr">
        <is>
          <t>Priests : a calling in crisis / Andrew M. Greeley.</t>
        </is>
      </c>
      <c r="F875" t="inlineStr">
        <is>
          <t>No</t>
        </is>
      </c>
      <c r="G875" t="inlineStr">
        <is>
          <t>1</t>
        </is>
      </c>
      <c r="H875" t="inlineStr">
        <is>
          <t>No</t>
        </is>
      </c>
      <c r="I875" t="inlineStr">
        <is>
          <t>No</t>
        </is>
      </c>
      <c r="J875" t="inlineStr">
        <is>
          <t>0</t>
        </is>
      </c>
      <c r="K875" t="inlineStr">
        <is>
          <t>Greeley, Andrew M., 1928-2013.</t>
        </is>
      </c>
      <c r="L875" t="inlineStr">
        <is>
          <t>Chicago : University of Chicago Press, c2004.</t>
        </is>
      </c>
      <c r="M875" t="inlineStr">
        <is>
          <t>2004</t>
        </is>
      </c>
      <c r="O875" t="inlineStr">
        <is>
          <t>eng</t>
        </is>
      </c>
      <c r="P875" t="inlineStr">
        <is>
          <t>ilu</t>
        </is>
      </c>
      <c r="R875" t="inlineStr">
        <is>
          <t xml:space="preserve">BX </t>
        </is>
      </c>
      <c r="S875" t="n">
        <v>6</v>
      </c>
      <c r="T875" t="n">
        <v>6</v>
      </c>
      <c r="U875" t="inlineStr">
        <is>
          <t>2010-06-16</t>
        </is>
      </c>
      <c r="V875" t="inlineStr">
        <is>
          <t>2010-06-16</t>
        </is>
      </c>
      <c r="W875" t="inlineStr">
        <is>
          <t>2004-11-01</t>
        </is>
      </c>
      <c r="X875" t="inlineStr">
        <is>
          <t>2004-11-01</t>
        </is>
      </c>
      <c r="Y875" t="n">
        <v>608</v>
      </c>
      <c r="Z875" t="n">
        <v>547</v>
      </c>
      <c r="AA875" t="n">
        <v>567</v>
      </c>
      <c r="AB875" t="n">
        <v>5</v>
      </c>
      <c r="AC875" t="n">
        <v>7</v>
      </c>
      <c r="AD875" t="n">
        <v>33</v>
      </c>
      <c r="AE875" t="n">
        <v>34</v>
      </c>
      <c r="AF875" t="n">
        <v>12</v>
      </c>
      <c r="AG875" t="n">
        <v>12</v>
      </c>
      <c r="AH875" t="n">
        <v>7</v>
      </c>
      <c r="AI875" t="n">
        <v>7</v>
      </c>
      <c r="AJ875" t="n">
        <v>20</v>
      </c>
      <c r="AK875" t="n">
        <v>21</v>
      </c>
      <c r="AL875" t="n">
        <v>3</v>
      </c>
      <c r="AM875" t="n">
        <v>3</v>
      </c>
      <c r="AN875" t="n">
        <v>0</v>
      </c>
      <c r="AO875" t="n">
        <v>0</v>
      </c>
      <c r="AP875" t="inlineStr">
        <is>
          <t>No</t>
        </is>
      </c>
      <c r="AQ875" t="inlineStr">
        <is>
          <t>No</t>
        </is>
      </c>
      <c r="AS875">
        <f>HYPERLINK("https://creighton-primo.hosted.exlibrisgroup.com/primo-explore/search?tab=default_tab&amp;search_scope=EVERYTHING&amp;vid=01CRU&amp;lang=en_US&amp;offset=0&amp;query=any,contains,991004284089702656","Catalog Record")</f>
        <v/>
      </c>
      <c r="AT875">
        <f>HYPERLINK("http://www.worldcat.org/oclc/52594825","WorldCat Record")</f>
        <v/>
      </c>
      <c r="AU875" t="inlineStr">
        <is>
          <t>666612:eng</t>
        </is>
      </c>
      <c r="AV875" t="inlineStr">
        <is>
          <t>52594825</t>
        </is>
      </c>
      <c r="AW875" t="inlineStr">
        <is>
          <t>991004284089702656</t>
        </is>
      </c>
      <c r="AX875" t="inlineStr">
        <is>
          <t>991004284089702656</t>
        </is>
      </c>
      <c r="AY875" t="inlineStr">
        <is>
          <t>2267095600002656</t>
        </is>
      </c>
      <c r="AZ875" t="inlineStr">
        <is>
          <t>BOOK</t>
        </is>
      </c>
      <c r="BB875" t="inlineStr">
        <is>
          <t>9780226306445</t>
        </is>
      </c>
      <c r="BC875" t="inlineStr">
        <is>
          <t>32285005007546</t>
        </is>
      </c>
      <c r="BD875" t="inlineStr">
        <is>
          <t>893788515</t>
        </is>
      </c>
    </row>
    <row r="876">
      <c r="A876" t="inlineStr">
        <is>
          <t>No</t>
        </is>
      </c>
      <c r="B876" t="inlineStr">
        <is>
          <t>BX1912.9 .J46 1996</t>
        </is>
      </c>
      <c r="C876" t="inlineStr">
        <is>
          <t>0                      BX 1912900J  46          1996</t>
        </is>
      </c>
      <c r="D876" t="inlineStr">
        <is>
          <t>Pedophiles and priests : anatomy of a contemporary crisis / Philip Jenkins.</t>
        </is>
      </c>
      <c r="F876" t="inlineStr">
        <is>
          <t>No</t>
        </is>
      </c>
      <c r="G876" t="inlineStr">
        <is>
          <t>1</t>
        </is>
      </c>
      <c r="H876" t="inlineStr">
        <is>
          <t>No</t>
        </is>
      </c>
      <c r="I876" t="inlineStr">
        <is>
          <t>No</t>
        </is>
      </c>
      <c r="J876" t="inlineStr">
        <is>
          <t>0</t>
        </is>
      </c>
      <c r="K876" t="inlineStr">
        <is>
          <t>Jenkins, Philip, 1952-</t>
        </is>
      </c>
      <c r="L876" t="inlineStr">
        <is>
          <t>New York : Oxford University Press, 1996.</t>
        </is>
      </c>
      <c r="M876" t="inlineStr">
        <is>
          <t>1996</t>
        </is>
      </c>
      <c r="O876" t="inlineStr">
        <is>
          <t>eng</t>
        </is>
      </c>
      <c r="P876" t="inlineStr">
        <is>
          <t>nyu</t>
        </is>
      </c>
      <c r="R876" t="inlineStr">
        <is>
          <t xml:space="preserve">BX </t>
        </is>
      </c>
      <c r="S876" t="n">
        <v>6</v>
      </c>
      <c r="T876" t="n">
        <v>6</v>
      </c>
      <c r="U876" t="inlineStr">
        <is>
          <t>2008-04-13</t>
        </is>
      </c>
      <c r="V876" t="inlineStr">
        <is>
          <t>2008-04-13</t>
        </is>
      </c>
      <c r="W876" t="inlineStr">
        <is>
          <t>1996-03-15</t>
        </is>
      </c>
      <c r="X876" t="inlineStr">
        <is>
          <t>1996-03-15</t>
        </is>
      </c>
      <c r="Y876" t="n">
        <v>797</v>
      </c>
      <c r="Z876" t="n">
        <v>671</v>
      </c>
      <c r="AA876" t="n">
        <v>800</v>
      </c>
      <c r="AB876" t="n">
        <v>7</v>
      </c>
      <c r="AC876" t="n">
        <v>7</v>
      </c>
      <c r="AD876" t="n">
        <v>40</v>
      </c>
      <c r="AE876" t="n">
        <v>42</v>
      </c>
      <c r="AF876" t="n">
        <v>15</v>
      </c>
      <c r="AG876" t="n">
        <v>16</v>
      </c>
      <c r="AH876" t="n">
        <v>7</v>
      </c>
      <c r="AI876" t="n">
        <v>7</v>
      </c>
      <c r="AJ876" t="n">
        <v>20</v>
      </c>
      <c r="AK876" t="n">
        <v>22</v>
      </c>
      <c r="AL876" t="n">
        <v>5</v>
      </c>
      <c r="AM876" t="n">
        <v>5</v>
      </c>
      <c r="AN876" t="n">
        <v>1</v>
      </c>
      <c r="AO876" t="n">
        <v>1</v>
      </c>
      <c r="AP876" t="inlineStr">
        <is>
          <t>No</t>
        </is>
      </c>
      <c r="AQ876" t="inlineStr">
        <is>
          <t>Yes</t>
        </is>
      </c>
      <c r="AR876">
        <f>HYPERLINK("http://catalog.hathitrust.org/Record/003028089","HathiTrust Record")</f>
        <v/>
      </c>
      <c r="AS876">
        <f>HYPERLINK("https://creighton-primo.hosted.exlibrisgroup.com/primo-explore/search?tab=default_tab&amp;search_scope=EVERYTHING&amp;vid=01CRU&amp;lang=en_US&amp;offset=0&amp;query=any,contains,991002565979702656","Catalog Record")</f>
        <v/>
      </c>
      <c r="AT876">
        <f>HYPERLINK("http://www.worldcat.org/oclc/33358085","WorldCat Record")</f>
        <v/>
      </c>
      <c r="AU876" t="inlineStr">
        <is>
          <t>837012114:eng</t>
        </is>
      </c>
      <c r="AV876" t="inlineStr">
        <is>
          <t>33358085</t>
        </is>
      </c>
      <c r="AW876" t="inlineStr">
        <is>
          <t>991002565979702656</t>
        </is>
      </c>
      <c r="AX876" t="inlineStr">
        <is>
          <t>991002565979702656</t>
        </is>
      </c>
      <c r="AY876" t="inlineStr">
        <is>
          <t>2263830670002656</t>
        </is>
      </c>
      <c r="AZ876" t="inlineStr">
        <is>
          <t>BOOK</t>
        </is>
      </c>
      <c r="BB876" t="inlineStr">
        <is>
          <t>9780195095654</t>
        </is>
      </c>
      <c r="BC876" t="inlineStr">
        <is>
          <t>32285002143260</t>
        </is>
      </c>
      <c r="BD876" t="inlineStr">
        <is>
          <t>893591504</t>
        </is>
      </c>
    </row>
    <row r="877">
      <c r="A877" t="inlineStr">
        <is>
          <t>No</t>
        </is>
      </c>
      <c r="B877" t="inlineStr">
        <is>
          <t>BX1912.9 .R46 2004</t>
        </is>
      </c>
      <c r="C877" t="inlineStr">
        <is>
          <t>0                      BX 1912900R  46          2004</t>
        </is>
      </c>
      <c r="D877" t="inlineStr">
        <is>
          <t>Report on the implementation of the charter for the protection of children and young people / Office of Child and Youth Protection, National Review Board, United States Conference of Catholic Bishops.</t>
        </is>
      </c>
      <c r="E877" t="inlineStr">
        <is>
          <t>V. 2</t>
        </is>
      </c>
      <c r="F877" t="inlineStr">
        <is>
          <t>Yes</t>
        </is>
      </c>
      <c r="G877" t="inlineStr">
        <is>
          <t>1</t>
        </is>
      </c>
      <c r="H877" t="inlineStr">
        <is>
          <t>No</t>
        </is>
      </c>
      <c r="I877" t="inlineStr">
        <is>
          <t>No</t>
        </is>
      </c>
      <c r="J877" t="inlineStr">
        <is>
          <t>0</t>
        </is>
      </c>
      <c r="L877" t="inlineStr">
        <is>
          <t>Washington, D.C. : United States Conference of Catholic Bishops, 2004.</t>
        </is>
      </c>
      <c r="M877" t="inlineStr">
        <is>
          <t>2004</t>
        </is>
      </c>
      <c r="O877" t="inlineStr">
        <is>
          <t>eng</t>
        </is>
      </c>
      <c r="P877" t="inlineStr">
        <is>
          <t>dcu</t>
        </is>
      </c>
      <c r="Q877" t="inlineStr">
        <is>
          <t>Publication / USCCB Publishing ; no. 5-620, 5-621</t>
        </is>
      </c>
      <c r="R877" t="inlineStr">
        <is>
          <t xml:space="preserve">BX </t>
        </is>
      </c>
      <c r="S877" t="n">
        <v>5</v>
      </c>
      <c r="T877" t="n">
        <v>9</v>
      </c>
      <c r="U877" t="inlineStr">
        <is>
          <t>2009-05-27</t>
        </is>
      </c>
      <c r="V877" t="inlineStr">
        <is>
          <t>2009-05-27</t>
        </is>
      </c>
      <c r="W877" t="inlineStr">
        <is>
          <t>2004-03-24</t>
        </is>
      </c>
      <c r="X877" t="inlineStr">
        <is>
          <t>2004-03-24</t>
        </is>
      </c>
      <c r="Y877" t="n">
        <v>85</v>
      </c>
      <c r="Z877" t="n">
        <v>82</v>
      </c>
      <c r="AA877" t="n">
        <v>83</v>
      </c>
      <c r="AB877" t="n">
        <v>1</v>
      </c>
      <c r="AC877" t="n">
        <v>1</v>
      </c>
      <c r="AD877" t="n">
        <v>11</v>
      </c>
      <c r="AE877" t="n">
        <v>11</v>
      </c>
      <c r="AF877" t="n">
        <v>2</v>
      </c>
      <c r="AG877" t="n">
        <v>2</v>
      </c>
      <c r="AH877" t="n">
        <v>3</v>
      </c>
      <c r="AI877" t="n">
        <v>3</v>
      </c>
      <c r="AJ877" t="n">
        <v>8</v>
      </c>
      <c r="AK877" t="n">
        <v>8</v>
      </c>
      <c r="AL877" t="n">
        <v>0</v>
      </c>
      <c r="AM877" t="n">
        <v>0</v>
      </c>
      <c r="AN877" t="n">
        <v>0</v>
      </c>
      <c r="AO877" t="n">
        <v>0</v>
      </c>
      <c r="AP877" t="inlineStr">
        <is>
          <t>No</t>
        </is>
      </c>
      <c r="AQ877" t="inlineStr">
        <is>
          <t>No</t>
        </is>
      </c>
      <c r="AS877">
        <f>HYPERLINK("https://creighton-primo.hosted.exlibrisgroup.com/primo-explore/search?tab=default_tab&amp;search_scope=EVERYTHING&amp;vid=01CRU&amp;lang=en_US&amp;offset=0&amp;query=any,contains,991004268549702656","Catalog Record")</f>
        <v/>
      </c>
      <c r="AT877">
        <f>HYPERLINK("http://www.worldcat.org/oclc/54538194","WorldCat Record")</f>
        <v/>
      </c>
      <c r="AU877" t="inlineStr">
        <is>
          <t>431438604:eng</t>
        </is>
      </c>
      <c r="AV877" t="inlineStr">
        <is>
          <t>54538194</t>
        </is>
      </c>
      <c r="AW877" t="inlineStr">
        <is>
          <t>991004268549702656</t>
        </is>
      </c>
      <c r="AX877" t="inlineStr">
        <is>
          <t>991004268549702656</t>
        </is>
      </c>
      <c r="AY877" t="inlineStr">
        <is>
          <t>2272211370002656</t>
        </is>
      </c>
      <c r="AZ877" t="inlineStr">
        <is>
          <t>BOOK</t>
        </is>
      </c>
      <c r="BB877" t="inlineStr">
        <is>
          <t>9781574556209</t>
        </is>
      </c>
      <c r="BC877" t="inlineStr">
        <is>
          <t>32285004896444</t>
        </is>
      </c>
      <c r="BD877" t="inlineStr">
        <is>
          <t>893331386</t>
        </is>
      </c>
    </row>
    <row r="878">
      <c r="A878" t="inlineStr">
        <is>
          <t>No</t>
        </is>
      </c>
      <c r="B878" t="inlineStr">
        <is>
          <t>BX1912.9 .R46 2004</t>
        </is>
      </c>
      <c r="C878" t="inlineStr">
        <is>
          <t>0                      BX 1912900R  46          2004</t>
        </is>
      </c>
      <c r="D878" t="inlineStr">
        <is>
          <t>Report on the implementation of the charter for the protection of children and young people / Office of Child and Youth Protection, National Review Board, United States Conference of Catholic Bishops.</t>
        </is>
      </c>
      <c r="E878" t="inlineStr">
        <is>
          <t>V. 1</t>
        </is>
      </c>
      <c r="F878" t="inlineStr">
        <is>
          <t>Yes</t>
        </is>
      </c>
      <c r="G878" t="inlineStr">
        <is>
          <t>1</t>
        </is>
      </c>
      <c r="H878" t="inlineStr">
        <is>
          <t>No</t>
        </is>
      </c>
      <c r="I878" t="inlineStr">
        <is>
          <t>No</t>
        </is>
      </c>
      <c r="J878" t="inlineStr">
        <is>
          <t>0</t>
        </is>
      </c>
      <c r="L878" t="inlineStr">
        <is>
          <t>Washington, D.C. : United States Conference of Catholic Bishops, 2004.</t>
        </is>
      </c>
      <c r="M878" t="inlineStr">
        <is>
          <t>2004</t>
        </is>
      </c>
      <c r="O878" t="inlineStr">
        <is>
          <t>eng</t>
        </is>
      </c>
      <c r="P878" t="inlineStr">
        <is>
          <t>dcu</t>
        </is>
      </c>
      <c r="Q878" t="inlineStr">
        <is>
          <t>Publication / USCCB Publishing ; no. 5-620, 5-621</t>
        </is>
      </c>
      <c r="R878" t="inlineStr">
        <is>
          <t xml:space="preserve">BX </t>
        </is>
      </c>
      <c r="S878" t="n">
        <v>4</v>
      </c>
      <c r="T878" t="n">
        <v>9</v>
      </c>
      <c r="U878" t="inlineStr">
        <is>
          <t>2009-05-27</t>
        </is>
      </c>
      <c r="V878" t="inlineStr">
        <is>
          <t>2009-05-27</t>
        </is>
      </c>
      <c r="W878" t="inlineStr">
        <is>
          <t>2004-03-24</t>
        </is>
      </c>
      <c r="X878" t="inlineStr">
        <is>
          <t>2004-03-24</t>
        </is>
      </c>
      <c r="Y878" t="n">
        <v>85</v>
      </c>
      <c r="Z878" t="n">
        <v>82</v>
      </c>
      <c r="AA878" t="n">
        <v>83</v>
      </c>
      <c r="AB878" t="n">
        <v>1</v>
      </c>
      <c r="AC878" t="n">
        <v>1</v>
      </c>
      <c r="AD878" t="n">
        <v>11</v>
      </c>
      <c r="AE878" t="n">
        <v>11</v>
      </c>
      <c r="AF878" t="n">
        <v>2</v>
      </c>
      <c r="AG878" t="n">
        <v>2</v>
      </c>
      <c r="AH878" t="n">
        <v>3</v>
      </c>
      <c r="AI878" t="n">
        <v>3</v>
      </c>
      <c r="AJ878" t="n">
        <v>8</v>
      </c>
      <c r="AK878" t="n">
        <v>8</v>
      </c>
      <c r="AL878" t="n">
        <v>0</v>
      </c>
      <c r="AM878" t="n">
        <v>0</v>
      </c>
      <c r="AN878" t="n">
        <v>0</v>
      </c>
      <c r="AO878" t="n">
        <v>0</v>
      </c>
      <c r="AP878" t="inlineStr">
        <is>
          <t>No</t>
        </is>
      </c>
      <c r="AQ878" t="inlineStr">
        <is>
          <t>No</t>
        </is>
      </c>
      <c r="AS878">
        <f>HYPERLINK("https://creighton-primo.hosted.exlibrisgroup.com/primo-explore/search?tab=default_tab&amp;search_scope=EVERYTHING&amp;vid=01CRU&amp;lang=en_US&amp;offset=0&amp;query=any,contains,991004268549702656","Catalog Record")</f>
        <v/>
      </c>
      <c r="AT878">
        <f>HYPERLINK("http://www.worldcat.org/oclc/54538194","WorldCat Record")</f>
        <v/>
      </c>
      <c r="AU878" t="inlineStr">
        <is>
          <t>431438604:eng</t>
        </is>
      </c>
      <c r="AV878" t="inlineStr">
        <is>
          <t>54538194</t>
        </is>
      </c>
      <c r="AW878" t="inlineStr">
        <is>
          <t>991004268549702656</t>
        </is>
      </c>
      <c r="AX878" t="inlineStr">
        <is>
          <t>991004268549702656</t>
        </is>
      </c>
      <c r="AY878" t="inlineStr">
        <is>
          <t>2272211370002656</t>
        </is>
      </c>
      <c r="AZ878" t="inlineStr">
        <is>
          <t>BOOK</t>
        </is>
      </c>
      <c r="BB878" t="inlineStr">
        <is>
          <t>9781574556209</t>
        </is>
      </c>
      <c r="BC878" t="inlineStr">
        <is>
          <t>32285004896436</t>
        </is>
      </c>
      <c r="BD878" t="inlineStr">
        <is>
          <t>893343642</t>
        </is>
      </c>
    </row>
    <row r="879">
      <c r="A879" t="inlineStr">
        <is>
          <t>No</t>
        </is>
      </c>
      <c r="B879" t="inlineStr">
        <is>
          <t>BX1912.9 .R67 1996</t>
        </is>
      </c>
      <c r="C879" t="inlineStr">
        <is>
          <t>0                      BX 1912900R  67          1996</t>
        </is>
      </c>
      <c r="D879" t="inlineStr">
        <is>
          <t>A tragic grace : the Catholic Church and child sexual abuse / Stephen J. Rossetti.</t>
        </is>
      </c>
      <c r="F879" t="inlineStr">
        <is>
          <t>No</t>
        </is>
      </c>
      <c r="G879" t="inlineStr">
        <is>
          <t>1</t>
        </is>
      </c>
      <c r="H879" t="inlineStr">
        <is>
          <t>No</t>
        </is>
      </c>
      <c r="I879" t="inlineStr">
        <is>
          <t>No</t>
        </is>
      </c>
      <c r="J879" t="inlineStr">
        <is>
          <t>0</t>
        </is>
      </c>
      <c r="K879" t="inlineStr">
        <is>
          <t>Rossetti, Stephen J., 1951-</t>
        </is>
      </c>
      <c r="L879" t="inlineStr">
        <is>
          <t>Collegeville, Minn. : Liturgical Press, c1996.</t>
        </is>
      </c>
      <c r="M879" t="inlineStr">
        <is>
          <t>1996</t>
        </is>
      </c>
      <c r="O879" t="inlineStr">
        <is>
          <t>eng</t>
        </is>
      </c>
      <c r="P879" t="inlineStr">
        <is>
          <t>mnu</t>
        </is>
      </c>
      <c r="R879" t="inlineStr">
        <is>
          <t xml:space="preserve">BX </t>
        </is>
      </c>
      <c r="S879" t="n">
        <v>6</v>
      </c>
      <c r="T879" t="n">
        <v>6</v>
      </c>
      <c r="U879" t="inlineStr">
        <is>
          <t>2004-10-31</t>
        </is>
      </c>
      <c r="V879" t="inlineStr">
        <is>
          <t>2004-10-31</t>
        </is>
      </c>
      <c r="W879" t="inlineStr">
        <is>
          <t>1997-01-14</t>
        </is>
      </c>
      <c r="X879" t="inlineStr">
        <is>
          <t>1997-01-14</t>
        </is>
      </c>
      <c r="Y879" t="n">
        <v>232</v>
      </c>
      <c r="Z879" t="n">
        <v>194</v>
      </c>
      <c r="AA879" t="n">
        <v>196</v>
      </c>
      <c r="AB879" t="n">
        <v>2</v>
      </c>
      <c r="AC879" t="n">
        <v>2</v>
      </c>
      <c r="AD879" t="n">
        <v>20</v>
      </c>
      <c r="AE879" t="n">
        <v>20</v>
      </c>
      <c r="AF879" t="n">
        <v>4</v>
      </c>
      <c r="AG879" t="n">
        <v>4</v>
      </c>
      <c r="AH879" t="n">
        <v>5</v>
      </c>
      <c r="AI879" t="n">
        <v>5</v>
      </c>
      <c r="AJ879" t="n">
        <v>13</v>
      </c>
      <c r="AK879" t="n">
        <v>13</v>
      </c>
      <c r="AL879" t="n">
        <v>1</v>
      </c>
      <c r="AM879" t="n">
        <v>1</v>
      </c>
      <c r="AN879" t="n">
        <v>1</v>
      </c>
      <c r="AO879" t="n">
        <v>1</v>
      </c>
      <c r="AP879" t="inlineStr">
        <is>
          <t>No</t>
        </is>
      </c>
      <c r="AQ879" t="inlineStr">
        <is>
          <t>Yes</t>
        </is>
      </c>
      <c r="AR879">
        <f>HYPERLINK("http://catalog.hathitrust.org/Record/003139873","HathiTrust Record")</f>
        <v/>
      </c>
      <c r="AS879">
        <f>HYPERLINK("https://creighton-primo.hosted.exlibrisgroup.com/primo-explore/search?tab=default_tab&amp;search_scope=EVERYTHING&amp;vid=01CRU&amp;lang=en_US&amp;offset=0&amp;query=any,contains,991002662809702656","Catalog Record")</f>
        <v/>
      </c>
      <c r="AT879">
        <f>HYPERLINK("http://www.worldcat.org/oclc/34798157","WorldCat Record")</f>
        <v/>
      </c>
      <c r="AU879" t="inlineStr">
        <is>
          <t>41056764:eng</t>
        </is>
      </c>
      <c r="AV879" t="inlineStr">
        <is>
          <t>34798157</t>
        </is>
      </c>
      <c r="AW879" t="inlineStr">
        <is>
          <t>991002662809702656</t>
        </is>
      </c>
      <c r="AX879" t="inlineStr">
        <is>
          <t>991002662809702656</t>
        </is>
      </c>
      <c r="AY879" t="inlineStr">
        <is>
          <t>2259853870002656</t>
        </is>
      </c>
      <c r="AZ879" t="inlineStr">
        <is>
          <t>BOOK</t>
        </is>
      </c>
      <c r="BB879" t="inlineStr">
        <is>
          <t>9780814624340</t>
        </is>
      </c>
      <c r="BC879" t="inlineStr">
        <is>
          <t>32285002407327</t>
        </is>
      </c>
      <c r="BD879" t="inlineStr">
        <is>
          <t>893698072</t>
        </is>
      </c>
    </row>
    <row r="880">
      <c r="A880" t="inlineStr">
        <is>
          <t>No</t>
        </is>
      </c>
      <c r="B880" t="inlineStr">
        <is>
          <t>BX1913 .C3737 1999</t>
        </is>
      </c>
      <c r="C880" t="inlineStr">
        <is>
          <t>0                      BX 1913000C  3737        1999</t>
        </is>
      </c>
      <c r="D880" t="inlineStr">
        <is>
          <t>The priest and the third Christian millennium : teacher of the word, minister of the sacraments, and leader of the community / Congregation for the Clergy.</t>
        </is>
      </c>
      <c r="F880" t="inlineStr">
        <is>
          <t>No</t>
        </is>
      </c>
      <c r="G880" t="inlineStr">
        <is>
          <t>1</t>
        </is>
      </c>
      <c r="H880" t="inlineStr">
        <is>
          <t>No</t>
        </is>
      </c>
      <c r="I880" t="inlineStr">
        <is>
          <t>No</t>
        </is>
      </c>
      <c r="J880" t="inlineStr">
        <is>
          <t>0</t>
        </is>
      </c>
      <c r="K880" t="inlineStr">
        <is>
          <t>Catholic Church. Congregatio pro Clericis.</t>
        </is>
      </c>
      <c r="L880" t="inlineStr">
        <is>
          <t>Washington, D.C. : United States Catholic Conference, 1999.</t>
        </is>
      </c>
      <c r="M880" t="inlineStr">
        <is>
          <t>1999</t>
        </is>
      </c>
      <c r="O880" t="inlineStr">
        <is>
          <t>eng</t>
        </is>
      </c>
      <c r="P880" t="inlineStr">
        <is>
          <t>dcu</t>
        </is>
      </c>
      <c r="Q880" t="inlineStr">
        <is>
          <t>Publication (United States Catholic Conference) ; no. 5-352</t>
        </is>
      </c>
      <c r="R880" t="inlineStr">
        <is>
          <t xml:space="preserve">BX </t>
        </is>
      </c>
      <c r="S880" t="n">
        <v>2</v>
      </c>
      <c r="T880" t="n">
        <v>2</v>
      </c>
      <c r="U880" t="inlineStr">
        <is>
          <t>1999-10-05</t>
        </is>
      </c>
      <c r="V880" t="inlineStr">
        <is>
          <t>1999-10-05</t>
        </is>
      </c>
      <c r="W880" t="inlineStr">
        <is>
          <t>1999-09-22</t>
        </is>
      </c>
      <c r="X880" t="inlineStr">
        <is>
          <t>1999-09-22</t>
        </is>
      </c>
      <c r="Y880" t="n">
        <v>94</v>
      </c>
      <c r="Z880" t="n">
        <v>91</v>
      </c>
      <c r="AA880" t="n">
        <v>106</v>
      </c>
      <c r="AB880" t="n">
        <v>3</v>
      </c>
      <c r="AC880" t="n">
        <v>3</v>
      </c>
      <c r="AD880" t="n">
        <v>12</v>
      </c>
      <c r="AE880" t="n">
        <v>12</v>
      </c>
      <c r="AF880" t="n">
        <v>2</v>
      </c>
      <c r="AG880" t="n">
        <v>2</v>
      </c>
      <c r="AH880" t="n">
        <v>4</v>
      </c>
      <c r="AI880" t="n">
        <v>4</v>
      </c>
      <c r="AJ880" t="n">
        <v>9</v>
      </c>
      <c r="AK880" t="n">
        <v>9</v>
      </c>
      <c r="AL880" t="n">
        <v>0</v>
      </c>
      <c r="AM880" t="n">
        <v>0</v>
      </c>
      <c r="AN880" t="n">
        <v>0</v>
      </c>
      <c r="AO880" t="n">
        <v>0</v>
      </c>
      <c r="AP880" t="inlineStr">
        <is>
          <t>No</t>
        </is>
      </c>
      <c r="AQ880" t="inlineStr">
        <is>
          <t>No</t>
        </is>
      </c>
      <c r="AS880">
        <f>HYPERLINK("https://creighton-primo.hosted.exlibrisgroup.com/primo-explore/search?tab=default_tab&amp;search_scope=EVERYTHING&amp;vid=01CRU&amp;lang=en_US&amp;offset=0&amp;query=any,contains,991003041699702656","Catalog Record")</f>
        <v/>
      </c>
      <c r="AT880">
        <f>HYPERLINK("http://www.worldcat.org/oclc/42239566","WorldCat Record")</f>
        <v/>
      </c>
      <c r="AU880" t="inlineStr">
        <is>
          <t>864077593:eng</t>
        </is>
      </c>
      <c r="AV880" t="inlineStr">
        <is>
          <t>42239566</t>
        </is>
      </c>
      <c r="AW880" t="inlineStr">
        <is>
          <t>991003041699702656</t>
        </is>
      </c>
      <c r="AX880" t="inlineStr">
        <is>
          <t>991003041699702656</t>
        </is>
      </c>
      <c r="AY880" t="inlineStr">
        <is>
          <t>2260080270002656</t>
        </is>
      </c>
      <c r="AZ880" t="inlineStr">
        <is>
          <t>BOOK</t>
        </is>
      </c>
      <c r="BB880" t="inlineStr">
        <is>
          <t>9781574553529</t>
        </is>
      </c>
      <c r="BC880" t="inlineStr">
        <is>
          <t>32285003590402</t>
        </is>
      </c>
      <c r="BD880" t="inlineStr">
        <is>
          <t>893698617</t>
        </is>
      </c>
    </row>
    <row r="881">
      <c r="A881" t="inlineStr">
        <is>
          <t>No</t>
        </is>
      </c>
      <c r="B881" t="inlineStr">
        <is>
          <t>BX1913 .C374 1987</t>
        </is>
      </c>
      <c r="C881" t="inlineStr">
        <is>
          <t>0                      BX 1913000C  374         1987</t>
        </is>
      </c>
      <c r="D881" t="inlineStr">
        <is>
          <t>A Shepherd's care : reflections on the changing role of pastor / Bishops' Committee on Priestly Life and Ministry, National Conference of Catholic Bishops.</t>
        </is>
      </c>
      <c r="F881" t="inlineStr">
        <is>
          <t>No</t>
        </is>
      </c>
      <c r="G881" t="inlineStr">
        <is>
          <t>1</t>
        </is>
      </c>
      <c r="H881" t="inlineStr">
        <is>
          <t>No</t>
        </is>
      </c>
      <c r="I881" t="inlineStr">
        <is>
          <t>No</t>
        </is>
      </c>
      <c r="J881" t="inlineStr">
        <is>
          <t>0</t>
        </is>
      </c>
      <c r="K881" t="inlineStr">
        <is>
          <t>Catholic Church. National Conference of Catholic Bishops. Bishops' Committee on Priestly Life and Ministry.</t>
        </is>
      </c>
      <c r="L881" t="inlineStr">
        <is>
          <t>Washington, D.C. : United States Catholic Conference, c1987.</t>
        </is>
      </c>
      <c r="M881" t="inlineStr">
        <is>
          <t>1987</t>
        </is>
      </c>
      <c r="O881" t="inlineStr">
        <is>
          <t>eng</t>
        </is>
      </c>
      <c r="P881" t="inlineStr">
        <is>
          <t>dcu</t>
        </is>
      </c>
      <c r="Q881" t="inlineStr">
        <is>
          <t>Publication / Office of Publishing and Promotion Services, United States Catholic Conference ; no. 166-0</t>
        </is>
      </c>
      <c r="R881" t="inlineStr">
        <is>
          <t xml:space="preserve">BX </t>
        </is>
      </c>
      <c r="S881" t="n">
        <v>3</v>
      </c>
      <c r="T881" t="n">
        <v>3</v>
      </c>
      <c r="U881" t="inlineStr">
        <is>
          <t>1997-06-16</t>
        </is>
      </c>
      <c r="V881" t="inlineStr">
        <is>
          <t>1997-06-16</t>
        </is>
      </c>
      <c r="W881" t="inlineStr">
        <is>
          <t>1990-08-14</t>
        </is>
      </c>
      <c r="X881" t="inlineStr">
        <is>
          <t>1990-08-14</t>
        </is>
      </c>
      <c r="Y881" t="n">
        <v>159</v>
      </c>
      <c r="Z881" t="n">
        <v>139</v>
      </c>
      <c r="AA881" t="n">
        <v>144</v>
      </c>
      <c r="AB881" t="n">
        <v>3</v>
      </c>
      <c r="AC881" t="n">
        <v>3</v>
      </c>
      <c r="AD881" t="n">
        <v>19</v>
      </c>
      <c r="AE881" t="n">
        <v>19</v>
      </c>
      <c r="AF881" t="n">
        <v>5</v>
      </c>
      <c r="AG881" t="n">
        <v>5</v>
      </c>
      <c r="AH881" t="n">
        <v>6</v>
      </c>
      <c r="AI881" t="n">
        <v>6</v>
      </c>
      <c r="AJ881" t="n">
        <v>14</v>
      </c>
      <c r="AK881" t="n">
        <v>14</v>
      </c>
      <c r="AL881" t="n">
        <v>0</v>
      </c>
      <c r="AM881" t="n">
        <v>0</v>
      </c>
      <c r="AN881" t="n">
        <v>0</v>
      </c>
      <c r="AO881" t="n">
        <v>0</v>
      </c>
      <c r="AP881" t="inlineStr">
        <is>
          <t>No</t>
        </is>
      </c>
      <c r="AQ881" t="inlineStr">
        <is>
          <t>No</t>
        </is>
      </c>
      <c r="AS881">
        <f>HYPERLINK("https://creighton-primo.hosted.exlibrisgroup.com/primo-explore/search?tab=default_tab&amp;search_scope=EVERYTHING&amp;vid=01CRU&amp;lang=en_US&amp;offset=0&amp;query=any,contains,991001156169702656","Catalog Record")</f>
        <v/>
      </c>
      <c r="AT881">
        <f>HYPERLINK("http://www.worldcat.org/oclc/17651947","WorldCat Record")</f>
        <v/>
      </c>
      <c r="AU881" t="inlineStr">
        <is>
          <t>2960535240:eng</t>
        </is>
      </c>
      <c r="AV881" t="inlineStr">
        <is>
          <t>17651947</t>
        </is>
      </c>
      <c r="AW881" t="inlineStr">
        <is>
          <t>991001156169702656</t>
        </is>
      </c>
      <c r="AX881" t="inlineStr">
        <is>
          <t>991001156169702656</t>
        </is>
      </c>
      <c r="AY881" t="inlineStr">
        <is>
          <t>2258812370002656</t>
        </is>
      </c>
      <c r="AZ881" t="inlineStr">
        <is>
          <t>BOOK</t>
        </is>
      </c>
      <c r="BB881" t="inlineStr">
        <is>
          <t>9781555861667</t>
        </is>
      </c>
      <c r="BC881" t="inlineStr">
        <is>
          <t>32285000268440</t>
        </is>
      </c>
      <c r="BD881" t="inlineStr">
        <is>
          <t>893808963</t>
        </is>
      </c>
    </row>
    <row r="882">
      <c r="A882" t="inlineStr">
        <is>
          <t>No</t>
        </is>
      </c>
      <c r="B882" t="inlineStr">
        <is>
          <t>BX1913 .C62 1971</t>
        </is>
      </c>
      <c r="C882" t="inlineStr">
        <is>
          <t>0                      BX 1913000C  62          1971</t>
        </is>
      </c>
      <c r="D882" t="inlineStr">
        <is>
          <t>Ministères et communion ecclésiale / [par] Yves Congar.</t>
        </is>
      </c>
      <c r="F882" t="inlineStr">
        <is>
          <t>No</t>
        </is>
      </c>
      <c r="G882" t="inlineStr">
        <is>
          <t>1</t>
        </is>
      </c>
      <c r="H882" t="inlineStr">
        <is>
          <t>No</t>
        </is>
      </c>
      <c r="I882" t="inlineStr">
        <is>
          <t>No</t>
        </is>
      </c>
      <c r="J882" t="inlineStr">
        <is>
          <t>0</t>
        </is>
      </c>
      <c r="K882" t="inlineStr">
        <is>
          <t>Congar, Yves, 1904-1995.</t>
        </is>
      </c>
      <c r="L882" t="inlineStr">
        <is>
          <t>Paris : Éditions du Cerf, 1971.</t>
        </is>
      </c>
      <c r="M882" t="inlineStr">
        <is>
          <t>1971</t>
        </is>
      </c>
      <c r="O882" t="inlineStr">
        <is>
          <t>fre</t>
        </is>
      </c>
      <c r="P882" t="inlineStr">
        <is>
          <t xml:space="preserve">fr </t>
        </is>
      </c>
      <c r="Q882" t="inlineStr">
        <is>
          <t>Théologie sans frontières ; 23</t>
        </is>
      </c>
      <c r="R882" t="inlineStr">
        <is>
          <t xml:space="preserve">BX </t>
        </is>
      </c>
      <c r="S882" t="n">
        <v>0</v>
      </c>
      <c r="T882" t="n">
        <v>0</v>
      </c>
      <c r="U882" t="inlineStr">
        <is>
          <t>2007-08-23</t>
        </is>
      </c>
      <c r="V882" t="inlineStr">
        <is>
          <t>2007-08-23</t>
        </is>
      </c>
      <c r="W882" t="inlineStr">
        <is>
          <t>1991-07-01</t>
        </is>
      </c>
      <c r="X882" t="inlineStr">
        <is>
          <t>1991-07-01</t>
        </is>
      </c>
      <c r="Y882" t="n">
        <v>92</v>
      </c>
      <c r="Z882" t="n">
        <v>54</v>
      </c>
      <c r="AA882" t="n">
        <v>54</v>
      </c>
      <c r="AB882" t="n">
        <v>1</v>
      </c>
      <c r="AC882" t="n">
        <v>1</v>
      </c>
      <c r="AD882" t="n">
        <v>9</v>
      </c>
      <c r="AE882" t="n">
        <v>9</v>
      </c>
      <c r="AF882" t="n">
        <v>0</v>
      </c>
      <c r="AG882" t="n">
        <v>0</v>
      </c>
      <c r="AH882" t="n">
        <v>2</v>
      </c>
      <c r="AI882" t="n">
        <v>2</v>
      </c>
      <c r="AJ882" t="n">
        <v>8</v>
      </c>
      <c r="AK882" t="n">
        <v>8</v>
      </c>
      <c r="AL882" t="n">
        <v>0</v>
      </c>
      <c r="AM882" t="n">
        <v>0</v>
      </c>
      <c r="AN882" t="n">
        <v>0</v>
      </c>
      <c r="AO882" t="n">
        <v>0</v>
      </c>
      <c r="AP882" t="inlineStr">
        <is>
          <t>No</t>
        </is>
      </c>
      <c r="AQ882" t="inlineStr">
        <is>
          <t>No</t>
        </is>
      </c>
      <c r="AS882">
        <f>HYPERLINK("https://creighton-primo.hosted.exlibrisgroup.com/primo-explore/search?tab=default_tab&amp;search_scope=EVERYTHING&amp;vid=01CRU&amp;lang=en_US&amp;offset=0&amp;query=any,contains,991002883819702656","Catalog Record")</f>
        <v/>
      </c>
      <c r="AT882">
        <f>HYPERLINK("http://www.worldcat.org/oclc/507259","WorldCat Record")</f>
        <v/>
      </c>
      <c r="AU882" t="inlineStr">
        <is>
          <t>1455458:fre</t>
        </is>
      </c>
      <c r="AV882" t="inlineStr">
        <is>
          <t>507259</t>
        </is>
      </c>
      <c r="AW882" t="inlineStr">
        <is>
          <t>991002883819702656</t>
        </is>
      </c>
      <c r="AX882" t="inlineStr">
        <is>
          <t>991002883819702656</t>
        </is>
      </c>
      <c r="AY882" t="inlineStr">
        <is>
          <t>2260799100002656</t>
        </is>
      </c>
      <c r="AZ882" t="inlineStr">
        <is>
          <t>BOOK</t>
        </is>
      </c>
      <c r="BC882" t="inlineStr">
        <is>
          <t>32285000667005</t>
        </is>
      </c>
      <c r="BD882" t="inlineStr">
        <is>
          <t>893591913</t>
        </is>
      </c>
    </row>
    <row r="883">
      <c r="A883" t="inlineStr">
        <is>
          <t>No</t>
        </is>
      </c>
      <c r="B883" t="inlineStr">
        <is>
          <t>BX1913 .D53 1973</t>
        </is>
      </c>
      <c r="C883" t="inlineStr">
        <is>
          <t>0                      BX 1913000D  53          1973</t>
        </is>
      </c>
      <c r="D883" t="inlineStr">
        <is>
          <t>The Dimensions of the priesthood : theological, Christological, liturgical, ecclesial, apostolic, Marian / compiled by the Daughters of St. Paul.</t>
        </is>
      </c>
      <c r="F883" t="inlineStr">
        <is>
          <t>No</t>
        </is>
      </c>
      <c r="G883" t="inlineStr">
        <is>
          <t>1</t>
        </is>
      </c>
      <c r="H883" t="inlineStr">
        <is>
          <t>No</t>
        </is>
      </c>
      <c r="I883" t="inlineStr">
        <is>
          <t>No</t>
        </is>
      </c>
      <c r="J883" t="inlineStr">
        <is>
          <t>0</t>
        </is>
      </c>
      <c r="L883" t="inlineStr">
        <is>
          <t>[Boston] : St. Paul Editions, [1973]</t>
        </is>
      </c>
      <c r="M883" t="inlineStr">
        <is>
          <t>1973</t>
        </is>
      </c>
      <c r="O883" t="inlineStr">
        <is>
          <t>eng</t>
        </is>
      </c>
      <c r="P883" t="inlineStr">
        <is>
          <t>mau</t>
        </is>
      </c>
      <c r="R883" t="inlineStr">
        <is>
          <t xml:space="preserve">BX </t>
        </is>
      </c>
      <c r="S883" t="n">
        <v>5</v>
      </c>
      <c r="T883" t="n">
        <v>5</v>
      </c>
      <c r="U883" t="inlineStr">
        <is>
          <t>2006-06-21</t>
        </is>
      </c>
      <c r="V883" t="inlineStr">
        <is>
          <t>2006-06-21</t>
        </is>
      </c>
      <c r="W883" t="inlineStr">
        <is>
          <t>1991-07-01</t>
        </is>
      </c>
      <c r="X883" t="inlineStr">
        <is>
          <t>1991-07-01</t>
        </is>
      </c>
      <c r="Y883" t="n">
        <v>119</v>
      </c>
      <c r="Z883" t="n">
        <v>96</v>
      </c>
      <c r="AA883" t="n">
        <v>96</v>
      </c>
      <c r="AB883" t="n">
        <v>3</v>
      </c>
      <c r="AC883" t="n">
        <v>3</v>
      </c>
      <c r="AD883" t="n">
        <v>12</v>
      </c>
      <c r="AE883" t="n">
        <v>12</v>
      </c>
      <c r="AF883" t="n">
        <v>2</v>
      </c>
      <c r="AG883" t="n">
        <v>2</v>
      </c>
      <c r="AH883" t="n">
        <v>3</v>
      </c>
      <c r="AI883" t="n">
        <v>3</v>
      </c>
      <c r="AJ883" t="n">
        <v>8</v>
      </c>
      <c r="AK883" t="n">
        <v>8</v>
      </c>
      <c r="AL883" t="n">
        <v>0</v>
      </c>
      <c r="AM883" t="n">
        <v>0</v>
      </c>
      <c r="AN883" t="n">
        <v>0</v>
      </c>
      <c r="AO883" t="n">
        <v>0</v>
      </c>
      <c r="AP883" t="inlineStr">
        <is>
          <t>No</t>
        </is>
      </c>
      <c r="AQ883" t="inlineStr">
        <is>
          <t>No</t>
        </is>
      </c>
      <c r="AS883">
        <f>HYPERLINK("https://creighton-primo.hosted.exlibrisgroup.com/primo-explore/search?tab=default_tab&amp;search_scope=EVERYTHING&amp;vid=01CRU&amp;lang=en_US&amp;offset=0&amp;query=any,contains,991003070019702656","Catalog Record")</f>
        <v/>
      </c>
      <c r="AT883">
        <f>HYPERLINK("http://www.worldcat.org/oclc/624245","WorldCat Record")</f>
        <v/>
      </c>
      <c r="AU883" t="inlineStr">
        <is>
          <t>1711685:eng</t>
        </is>
      </c>
      <c r="AV883" t="inlineStr">
        <is>
          <t>624245</t>
        </is>
      </c>
      <c r="AW883" t="inlineStr">
        <is>
          <t>991003070019702656</t>
        </is>
      </c>
      <c r="AX883" t="inlineStr">
        <is>
          <t>991003070019702656</t>
        </is>
      </c>
      <c r="AY883" t="inlineStr">
        <is>
          <t>2258556120002656</t>
        </is>
      </c>
      <c r="AZ883" t="inlineStr">
        <is>
          <t>BOOK</t>
        </is>
      </c>
      <c r="BC883" t="inlineStr">
        <is>
          <t>32285000667021</t>
        </is>
      </c>
      <c r="BD883" t="inlineStr">
        <is>
          <t>893434619</t>
        </is>
      </c>
    </row>
    <row r="884">
      <c r="A884" t="inlineStr">
        <is>
          <t>No</t>
        </is>
      </c>
      <c r="B884" t="inlineStr">
        <is>
          <t>BX1913 .D65 1986</t>
        </is>
      </c>
      <c r="C884" t="inlineStr">
        <is>
          <t>0                      BX 1913000D  65          1986</t>
        </is>
      </c>
      <c r="D884" t="inlineStr">
        <is>
          <t>The minister of God : effective and fulfilled / Helen Doohan.</t>
        </is>
      </c>
      <c r="F884" t="inlineStr">
        <is>
          <t>No</t>
        </is>
      </c>
      <c r="G884" t="inlineStr">
        <is>
          <t>1</t>
        </is>
      </c>
      <c r="H884" t="inlineStr">
        <is>
          <t>No</t>
        </is>
      </c>
      <c r="I884" t="inlineStr">
        <is>
          <t>No</t>
        </is>
      </c>
      <c r="J884" t="inlineStr">
        <is>
          <t>0</t>
        </is>
      </c>
      <c r="K884" t="inlineStr">
        <is>
          <t>Doohan, Helen.</t>
        </is>
      </c>
      <c r="L884" t="inlineStr">
        <is>
          <t>New York, N.Y. : Alba House, c1986.</t>
        </is>
      </c>
      <c r="M884" t="inlineStr">
        <is>
          <t>1986</t>
        </is>
      </c>
      <c r="O884" t="inlineStr">
        <is>
          <t>eng</t>
        </is>
      </c>
      <c r="P884" t="inlineStr">
        <is>
          <t>nyu</t>
        </is>
      </c>
      <c r="R884" t="inlineStr">
        <is>
          <t xml:space="preserve">BX </t>
        </is>
      </c>
      <c r="S884" t="n">
        <v>4</v>
      </c>
      <c r="T884" t="n">
        <v>4</v>
      </c>
      <c r="U884" t="inlineStr">
        <is>
          <t>1997-06-16</t>
        </is>
      </c>
      <c r="V884" t="inlineStr">
        <is>
          <t>1997-06-16</t>
        </is>
      </c>
      <c r="W884" t="inlineStr">
        <is>
          <t>1995-01-25</t>
        </is>
      </c>
      <c r="X884" t="inlineStr">
        <is>
          <t>1995-01-25</t>
        </is>
      </c>
      <c r="Y884" t="n">
        <v>69</v>
      </c>
      <c r="Z884" t="n">
        <v>51</v>
      </c>
      <c r="AA884" t="n">
        <v>51</v>
      </c>
      <c r="AB884" t="n">
        <v>1</v>
      </c>
      <c r="AC884" t="n">
        <v>1</v>
      </c>
      <c r="AD884" t="n">
        <v>9</v>
      </c>
      <c r="AE884" t="n">
        <v>9</v>
      </c>
      <c r="AF884" t="n">
        <v>2</v>
      </c>
      <c r="AG884" t="n">
        <v>2</v>
      </c>
      <c r="AH884" t="n">
        <v>1</v>
      </c>
      <c r="AI884" t="n">
        <v>1</v>
      </c>
      <c r="AJ884" t="n">
        <v>8</v>
      </c>
      <c r="AK884" t="n">
        <v>8</v>
      </c>
      <c r="AL884" t="n">
        <v>0</v>
      </c>
      <c r="AM884" t="n">
        <v>0</v>
      </c>
      <c r="AN884" t="n">
        <v>0</v>
      </c>
      <c r="AO884" t="n">
        <v>0</v>
      </c>
      <c r="AP884" t="inlineStr">
        <is>
          <t>No</t>
        </is>
      </c>
      <c r="AQ884" t="inlineStr">
        <is>
          <t>No</t>
        </is>
      </c>
      <c r="AS884">
        <f>HYPERLINK("https://creighton-primo.hosted.exlibrisgroup.com/primo-explore/search?tab=default_tab&amp;search_scope=EVERYTHING&amp;vid=01CRU&amp;lang=en_US&amp;offset=0&amp;query=any,contains,991000871859702656","Catalog Record")</f>
        <v/>
      </c>
      <c r="AT884">
        <f>HYPERLINK("http://www.worldcat.org/oclc/13793390","WorldCat Record")</f>
        <v/>
      </c>
      <c r="AU884" t="inlineStr">
        <is>
          <t>7879605:eng</t>
        </is>
      </c>
      <c r="AV884" t="inlineStr">
        <is>
          <t>13793390</t>
        </is>
      </c>
      <c r="AW884" t="inlineStr">
        <is>
          <t>991000871859702656</t>
        </is>
      </c>
      <c r="AX884" t="inlineStr">
        <is>
          <t>991000871859702656</t>
        </is>
      </c>
      <c r="AY884" t="inlineStr">
        <is>
          <t>2272209360002656</t>
        </is>
      </c>
      <c r="AZ884" t="inlineStr">
        <is>
          <t>BOOK</t>
        </is>
      </c>
      <c r="BB884" t="inlineStr">
        <is>
          <t>9780818905070</t>
        </is>
      </c>
      <c r="BC884" t="inlineStr">
        <is>
          <t>32285001779023</t>
        </is>
      </c>
      <c r="BD884" t="inlineStr">
        <is>
          <t>893595971</t>
        </is>
      </c>
    </row>
    <row r="885">
      <c r="A885" t="inlineStr">
        <is>
          <t>No</t>
        </is>
      </c>
      <c r="B885" t="inlineStr">
        <is>
          <t>BX1913 .D66 1992</t>
        </is>
      </c>
      <c r="C885" t="inlineStr">
        <is>
          <t>0                      BX 1913000D  66          1992</t>
        </is>
      </c>
      <c r="D885" t="inlineStr">
        <is>
          <t>What are they saying about the ministerial priesthood? / Daniel Donovan.</t>
        </is>
      </c>
      <c r="F885" t="inlineStr">
        <is>
          <t>No</t>
        </is>
      </c>
      <c r="G885" t="inlineStr">
        <is>
          <t>1</t>
        </is>
      </c>
      <c r="H885" t="inlineStr">
        <is>
          <t>No</t>
        </is>
      </c>
      <c r="I885" t="inlineStr">
        <is>
          <t>No</t>
        </is>
      </c>
      <c r="J885" t="inlineStr">
        <is>
          <t>0</t>
        </is>
      </c>
      <c r="K885" t="inlineStr">
        <is>
          <t>Donovan, Daniel, 1937-</t>
        </is>
      </c>
      <c r="L885" t="inlineStr">
        <is>
          <t>New York : Paulist Press, c1992.</t>
        </is>
      </c>
      <c r="M885" t="inlineStr">
        <is>
          <t>1992</t>
        </is>
      </c>
      <c r="O885" t="inlineStr">
        <is>
          <t>eng</t>
        </is>
      </c>
      <c r="P885" t="inlineStr">
        <is>
          <t>nju</t>
        </is>
      </c>
      <c r="R885" t="inlineStr">
        <is>
          <t xml:space="preserve">BX </t>
        </is>
      </c>
      <c r="S885" t="n">
        <v>5</v>
      </c>
      <c r="T885" t="n">
        <v>5</v>
      </c>
      <c r="U885" t="inlineStr">
        <is>
          <t>2010-03-20</t>
        </is>
      </c>
      <c r="V885" t="inlineStr">
        <is>
          <t>2010-03-20</t>
        </is>
      </c>
      <c r="W885" t="inlineStr">
        <is>
          <t>1992-12-01</t>
        </is>
      </c>
      <c r="X885" t="inlineStr">
        <is>
          <t>1992-12-01</t>
        </is>
      </c>
      <c r="Y885" t="n">
        <v>230</v>
      </c>
      <c r="Z885" t="n">
        <v>179</v>
      </c>
      <c r="AA885" t="n">
        <v>184</v>
      </c>
      <c r="AB885" t="n">
        <v>2</v>
      </c>
      <c r="AC885" t="n">
        <v>2</v>
      </c>
      <c r="AD885" t="n">
        <v>22</v>
      </c>
      <c r="AE885" t="n">
        <v>22</v>
      </c>
      <c r="AF885" t="n">
        <v>8</v>
      </c>
      <c r="AG885" t="n">
        <v>8</v>
      </c>
      <c r="AH885" t="n">
        <v>4</v>
      </c>
      <c r="AI885" t="n">
        <v>4</v>
      </c>
      <c r="AJ885" t="n">
        <v>15</v>
      </c>
      <c r="AK885" t="n">
        <v>15</v>
      </c>
      <c r="AL885" t="n">
        <v>0</v>
      </c>
      <c r="AM885" t="n">
        <v>0</v>
      </c>
      <c r="AN885" t="n">
        <v>0</v>
      </c>
      <c r="AO885" t="n">
        <v>0</v>
      </c>
      <c r="AP885" t="inlineStr">
        <is>
          <t>No</t>
        </is>
      </c>
      <c r="AQ885" t="inlineStr">
        <is>
          <t>No</t>
        </is>
      </c>
      <c r="AS885">
        <f>HYPERLINK("https://creighton-primo.hosted.exlibrisgroup.com/primo-explore/search?tab=default_tab&amp;search_scope=EVERYTHING&amp;vid=01CRU&amp;lang=en_US&amp;offset=0&amp;query=any,contains,991002009059702656","Catalog Record")</f>
        <v/>
      </c>
      <c r="AT885">
        <f>HYPERLINK("http://www.worldcat.org/oclc/25547286","WorldCat Record")</f>
        <v/>
      </c>
      <c r="AU885" t="inlineStr">
        <is>
          <t>28416611:eng</t>
        </is>
      </c>
      <c r="AV885" t="inlineStr">
        <is>
          <t>25547286</t>
        </is>
      </c>
      <c r="AW885" t="inlineStr">
        <is>
          <t>991002009059702656</t>
        </is>
      </c>
      <c r="AX885" t="inlineStr">
        <is>
          <t>991002009059702656</t>
        </is>
      </c>
      <c r="AY885" t="inlineStr">
        <is>
          <t>2261545330002656</t>
        </is>
      </c>
      <c r="AZ885" t="inlineStr">
        <is>
          <t>BOOK</t>
        </is>
      </c>
      <c r="BB885" t="inlineStr">
        <is>
          <t>9780809133185</t>
        </is>
      </c>
      <c r="BC885" t="inlineStr">
        <is>
          <t>32285001400869</t>
        </is>
      </c>
      <c r="BD885" t="inlineStr">
        <is>
          <t>893691121</t>
        </is>
      </c>
    </row>
    <row r="886">
      <c r="A886" t="inlineStr">
        <is>
          <t>No</t>
        </is>
      </c>
      <c r="B886" t="inlineStr">
        <is>
          <t>BX1913 .F475 1987</t>
        </is>
      </c>
      <c r="C886" t="inlineStr">
        <is>
          <t>0                      BX 1913000F  475         1987</t>
        </is>
      </c>
      <c r="D886" t="inlineStr">
        <is>
          <t>Priests : images, ideals, and changing roles / James A. Fischer ; foreword by Andrew M. Greeley.</t>
        </is>
      </c>
      <c r="F886" t="inlineStr">
        <is>
          <t>No</t>
        </is>
      </c>
      <c r="G886" t="inlineStr">
        <is>
          <t>1</t>
        </is>
      </c>
      <c r="H886" t="inlineStr">
        <is>
          <t>No</t>
        </is>
      </c>
      <c r="I886" t="inlineStr">
        <is>
          <t>No</t>
        </is>
      </c>
      <c r="J886" t="inlineStr">
        <is>
          <t>0</t>
        </is>
      </c>
      <c r="K886" t="inlineStr">
        <is>
          <t>Fischer, James A.</t>
        </is>
      </c>
      <c r="L886" t="inlineStr">
        <is>
          <t>New York : Dodd, Mead, c1987.</t>
        </is>
      </c>
      <c r="M886" t="inlineStr">
        <is>
          <t>1987</t>
        </is>
      </c>
      <c r="N886" t="inlineStr">
        <is>
          <t>1st ed.</t>
        </is>
      </c>
      <c r="O886" t="inlineStr">
        <is>
          <t>eng</t>
        </is>
      </c>
      <c r="P886" t="inlineStr">
        <is>
          <t>nyu</t>
        </is>
      </c>
      <c r="R886" t="inlineStr">
        <is>
          <t xml:space="preserve">BX </t>
        </is>
      </c>
      <c r="S886" t="n">
        <v>2</v>
      </c>
      <c r="T886" t="n">
        <v>2</v>
      </c>
      <c r="U886" t="inlineStr">
        <is>
          <t>2006-06-21</t>
        </is>
      </c>
      <c r="V886" t="inlineStr">
        <is>
          <t>2006-06-21</t>
        </is>
      </c>
      <c r="W886" t="inlineStr">
        <is>
          <t>2005-04-13</t>
        </is>
      </c>
      <c r="X886" t="inlineStr">
        <is>
          <t>2005-04-13</t>
        </is>
      </c>
      <c r="Y886" t="n">
        <v>332</v>
      </c>
      <c r="Z886" t="n">
        <v>306</v>
      </c>
      <c r="AA886" t="n">
        <v>307</v>
      </c>
      <c r="AB886" t="n">
        <v>2</v>
      </c>
      <c r="AC886" t="n">
        <v>2</v>
      </c>
      <c r="AD886" t="n">
        <v>18</v>
      </c>
      <c r="AE886" t="n">
        <v>18</v>
      </c>
      <c r="AF886" t="n">
        <v>6</v>
      </c>
      <c r="AG886" t="n">
        <v>6</v>
      </c>
      <c r="AH886" t="n">
        <v>6</v>
      </c>
      <c r="AI886" t="n">
        <v>6</v>
      </c>
      <c r="AJ886" t="n">
        <v>12</v>
      </c>
      <c r="AK886" t="n">
        <v>12</v>
      </c>
      <c r="AL886" t="n">
        <v>0</v>
      </c>
      <c r="AM886" t="n">
        <v>0</v>
      </c>
      <c r="AN886" t="n">
        <v>0</v>
      </c>
      <c r="AO886" t="n">
        <v>0</v>
      </c>
      <c r="AP886" t="inlineStr">
        <is>
          <t>No</t>
        </is>
      </c>
      <c r="AQ886" t="inlineStr">
        <is>
          <t>Yes</t>
        </is>
      </c>
      <c r="AR886">
        <f>HYPERLINK("http://catalog.hathitrust.org/Record/006019173","HathiTrust Record")</f>
        <v/>
      </c>
      <c r="AS886">
        <f>HYPERLINK("https://creighton-primo.hosted.exlibrisgroup.com/primo-explore/search?tab=default_tab&amp;search_scope=EVERYTHING&amp;vid=01CRU&amp;lang=en_US&amp;offset=0&amp;query=any,contains,991004528629702656","Catalog Record")</f>
        <v/>
      </c>
      <c r="AT886">
        <f>HYPERLINK("http://www.worldcat.org/oclc/16132005","WorldCat Record")</f>
        <v/>
      </c>
      <c r="AU886" t="inlineStr">
        <is>
          <t>196648895:eng</t>
        </is>
      </c>
      <c r="AV886" t="inlineStr">
        <is>
          <t>16132005</t>
        </is>
      </c>
      <c r="AW886" t="inlineStr">
        <is>
          <t>991004528629702656</t>
        </is>
      </c>
      <c r="AX886" t="inlineStr">
        <is>
          <t>991004528629702656</t>
        </is>
      </c>
      <c r="AY886" t="inlineStr">
        <is>
          <t>2266888540002656</t>
        </is>
      </c>
      <c r="AZ886" t="inlineStr">
        <is>
          <t>BOOK</t>
        </is>
      </c>
      <c r="BB886" t="inlineStr">
        <is>
          <t>9780396089872</t>
        </is>
      </c>
      <c r="BC886" t="inlineStr">
        <is>
          <t>32285005030548</t>
        </is>
      </c>
      <c r="BD886" t="inlineStr">
        <is>
          <t>893241543</t>
        </is>
      </c>
    </row>
    <row r="887">
      <c r="A887" t="inlineStr">
        <is>
          <t>No</t>
        </is>
      </c>
      <c r="B887" t="inlineStr">
        <is>
          <t>BX1913 .G44 2000</t>
        </is>
      </c>
      <c r="C887" t="inlineStr">
        <is>
          <t>0                      BX 1913000G  44          2000</t>
        </is>
      </c>
      <c r="D887" t="inlineStr">
        <is>
          <t>Pastoring Catholic education boards, commissions, and councils : witness of an experienced pastor / Rev. Thomas E. Geelan.</t>
        </is>
      </c>
      <c r="F887" t="inlineStr">
        <is>
          <t>No</t>
        </is>
      </c>
      <c r="G887" t="inlineStr">
        <is>
          <t>2</t>
        </is>
      </c>
      <c r="H887" t="inlineStr">
        <is>
          <t>No</t>
        </is>
      </c>
      <c r="I887" t="inlineStr">
        <is>
          <t>No</t>
        </is>
      </c>
      <c r="J887" t="inlineStr">
        <is>
          <t>0</t>
        </is>
      </c>
      <c r="K887" t="inlineStr">
        <is>
          <t>Geelan, Thomas E.</t>
        </is>
      </c>
      <c r="L887" t="inlineStr">
        <is>
          <t>Washington, DC : National Catholic Educational Association, c2000.</t>
        </is>
      </c>
      <c r="M887" t="inlineStr">
        <is>
          <t>2000</t>
        </is>
      </c>
      <c r="O887" t="inlineStr">
        <is>
          <t>eng</t>
        </is>
      </c>
      <c r="P887" t="inlineStr">
        <is>
          <t>dcu</t>
        </is>
      </c>
      <c r="R887" t="inlineStr">
        <is>
          <t xml:space="preserve">BX </t>
        </is>
      </c>
      <c r="S887" t="n">
        <v>1</v>
      </c>
      <c r="T887" t="n">
        <v>1</v>
      </c>
      <c r="U887" t="inlineStr">
        <is>
          <t>2001-01-17</t>
        </is>
      </c>
      <c r="V887" t="inlineStr">
        <is>
          <t>2001-01-17</t>
        </is>
      </c>
      <c r="W887" t="inlineStr">
        <is>
          <t>2001-01-17</t>
        </is>
      </c>
      <c r="X887" t="inlineStr">
        <is>
          <t>2001-01-17</t>
        </is>
      </c>
      <c r="Y887" t="n">
        <v>21</v>
      </c>
      <c r="Z887" t="n">
        <v>21</v>
      </c>
      <c r="AA887" t="n">
        <v>21</v>
      </c>
      <c r="AB887" t="n">
        <v>1</v>
      </c>
      <c r="AC887" t="n">
        <v>1</v>
      </c>
      <c r="AD887" t="n">
        <v>6</v>
      </c>
      <c r="AE887" t="n">
        <v>6</v>
      </c>
      <c r="AF887" t="n">
        <v>2</v>
      </c>
      <c r="AG887" t="n">
        <v>2</v>
      </c>
      <c r="AH887" t="n">
        <v>0</v>
      </c>
      <c r="AI887" t="n">
        <v>0</v>
      </c>
      <c r="AJ887" t="n">
        <v>5</v>
      </c>
      <c r="AK887" t="n">
        <v>5</v>
      </c>
      <c r="AL887" t="n">
        <v>0</v>
      </c>
      <c r="AM887" t="n">
        <v>0</v>
      </c>
      <c r="AN887" t="n">
        <v>0</v>
      </c>
      <c r="AO887" t="n">
        <v>0</v>
      </c>
      <c r="AP887" t="inlineStr">
        <is>
          <t>No</t>
        </is>
      </c>
      <c r="AQ887" t="inlineStr">
        <is>
          <t>No</t>
        </is>
      </c>
      <c r="AS887">
        <f>HYPERLINK("https://creighton-primo.hosted.exlibrisgroup.com/primo-explore/search?tab=default_tab&amp;search_scope=EVERYTHING&amp;vid=01CRU&amp;lang=en_US&amp;offset=0&amp;query=any,contains,991003280309702656","Catalog Record")</f>
        <v/>
      </c>
      <c r="AT887">
        <f>HYPERLINK("http://www.worldcat.org/oclc/45360895","WorldCat Record")</f>
        <v/>
      </c>
      <c r="AU887" t="inlineStr">
        <is>
          <t>34597173:eng</t>
        </is>
      </c>
      <c r="AV887" t="inlineStr">
        <is>
          <t>45360895</t>
        </is>
      </c>
      <c r="AW887" t="inlineStr">
        <is>
          <t>991003280309702656</t>
        </is>
      </c>
      <c r="AX887" t="inlineStr">
        <is>
          <t>991003280309702656</t>
        </is>
      </c>
      <c r="AY887" t="inlineStr">
        <is>
          <t>2256760300002656</t>
        </is>
      </c>
      <c r="AZ887" t="inlineStr">
        <is>
          <t>BOOK</t>
        </is>
      </c>
      <c r="BB887" t="inlineStr">
        <is>
          <t>9781558332522</t>
        </is>
      </c>
      <c r="BC887" t="inlineStr">
        <is>
          <t>32285004284815</t>
        </is>
      </c>
      <c r="BD887" t="inlineStr">
        <is>
          <t>893805610</t>
        </is>
      </c>
    </row>
    <row r="888">
      <c r="A888" t="inlineStr">
        <is>
          <t>No</t>
        </is>
      </c>
      <c r="B888" t="inlineStr">
        <is>
          <t>BX1913 .K38 1994</t>
        </is>
      </c>
      <c r="C888" t="inlineStr">
        <is>
          <t>0                      BX 1913000K  38          1994</t>
        </is>
      </c>
      <c r="D888" t="inlineStr">
        <is>
          <t>A pastor's challenge : parish leadership in an age of division, doubt, and spiritual hunger / George A. Kelly.</t>
        </is>
      </c>
      <c r="F888" t="inlineStr">
        <is>
          <t>No</t>
        </is>
      </c>
      <c r="G888" t="inlineStr">
        <is>
          <t>1</t>
        </is>
      </c>
      <c r="H888" t="inlineStr">
        <is>
          <t>No</t>
        </is>
      </c>
      <c r="I888" t="inlineStr">
        <is>
          <t>No</t>
        </is>
      </c>
      <c r="J888" t="inlineStr">
        <is>
          <t>0</t>
        </is>
      </c>
      <c r="K888" t="inlineStr">
        <is>
          <t>Kelly, George Anthony, 1916-2004.</t>
        </is>
      </c>
      <c r="L888" t="inlineStr">
        <is>
          <t>Huntington, Ind. : Our Sunday Visitor Pub. Division, Our Sunday Visitor, c1994.</t>
        </is>
      </c>
      <c r="M888" t="inlineStr">
        <is>
          <t>1994</t>
        </is>
      </c>
      <c r="O888" t="inlineStr">
        <is>
          <t>eng</t>
        </is>
      </c>
      <c r="P888" t="inlineStr">
        <is>
          <t>inu</t>
        </is>
      </c>
      <c r="R888" t="inlineStr">
        <is>
          <t xml:space="preserve">BX </t>
        </is>
      </c>
      <c r="S888" t="n">
        <v>2</v>
      </c>
      <c r="T888" t="n">
        <v>2</v>
      </c>
      <c r="U888" t="inlineStr">
        <is>
          <t>2002-08-12</t>
        </is>
      </c>
      <c r="V888" t="inlineStr">
        <is>
          <t>2002-08-12</t>
        </is>
      </c>
      <c r="W888" t="inlineStr">
        <is>
          <t>2002-08-12</t>
        </is>
      </c>
      <c r="X888" t="inlineStr">
        <is>
          <t>2002-08-12</t>
        </is>
      </c>
      <c r="Y888" t="n">
        <v>51</v>
      </c>
      <c r="Z888" t="n">
        <v>48</v>
      </c>
      <c r="AA888" t="n">
        <v>48</v>
      </c>
      <c r="AB888" t="n">
        <v>2</v>
      </c>
      <c r="AC888" t="n">
        <v>2</v>
      </c>
      <c r="AD888" t="n">
        <v>3</v>
      </c>
      <c r="AE888" t="n">
        <v>3</v>
      </c>
      <c r="AF888" t="n">
        <v>0</v>
      </c>
      <c r="AG888" t="n">
        <v>0</v>
      </c>
      <c r="AH888" t="n">
        <v>1</v>
      </c>
      <c r="AI888" t="n">
        <v>1</v>
      </c>
      <c r="AJ888" t="n">
        <v>2</v>
      </c>
      <c r="AK888" t="n">
        <v>2</v>
      </c>
      <c r="AL888" t="n">
        <v>0</v>
      </c>
      <c r="AM888" t="n">
        <v>0</v>
      </c>
      <c r="AN888" t="n">
        <v>0</v>
      </c>
      <c r="AO888" t="n">
        <v>0</v>
      </c>
      <c r="AP888" t="inlineStr">
        <is>
          <t>No</t>
        </is>
      </c>
      <c r="AQ888" t="inlineStr">
        <is>
          <t>No</t>
        </is>
      </c>
      <c r="AS888">
        <f>HYPERLINK("https://creighton-primo.hosted.exlibrisgroup.com/primo-explore/search?tab=default_tab&amp;search_scope=EVERYTHING&amp;vid=01CRU&amp;lang=en_US&amp;offset=0&amp;query=any,contains,991003854719702656","Catalog Record")</f>
        <v/>
      </c>
      <c r="AT888">
        <f>HYPERLINK("http://www.worldcat.org/oclc/32431190","WorldCat Record")</f>
        <v/>
      </c>
      <c r="AU888" t="inlineStr">
        <is>
          <t>2032518:eng</t>
        </is>
      </c>
      <c r="AV888" t="inlineStr">
        <is>
          <t>32431190</t>
        </is>
      </c>
      <c r="AW888" t="inlineStr">
        <is>
          <t>991003854719702656</t>
        </is>
      </c>
      <c r="AX888" t="inlineStr">
        <is>
          <t>991003854719702656</t>
        </is>
      </c>
      <c r="AY888" t="inlineStr">
        <is>
          <t>2255595640002656</t>
        </is>
      </c>
      <c r="AZ888" t="inlineStr">
        <is>
          <t>BOOK</t>
        </is>
      </c>
      <c r="BB888" t="inlineStr">
        <is>
          <t>9780879737382</t>
        </is>
      </c>
      <c r="BC888" t="inlineStr">
        <is>
          <t>32285004642343</t>
        </is>
      </c>
      <c r="BD888" t="inlineStr">
        <is>
          <t>893349277</t>
        </is>
      </c>
    </row>
    <row r="889">
      <c r="A889" t="inlineStr">
        <is>
          <t>No</t>
        </is>
      </c>
      <c r="B889" t="inlineStr">
        <is>
          <t>BX1913 .K53 1986</t>
        </is>
      </c>
      <c r="C889" t="inlineStr">
        <is>
          <t>0                      BX 1913000K  53          1986</t>
        </is>
      </c>
      <c r="D889" t="inlineStr">
        <is>
          <t>The people parish : a model of church where people flourish / Gerald J. Kleba.</t>
        </is>
      </c>
      <c r="F889" t="inlineStr">
        <is>
          <t>No</t>
        </is>
      </c>
      <c r="G889" t="inlineStr">
        <is>
          <t>1</t>
        </is>
      </c>
      <c r="H889" t="inlineStr">
        <is>
          <t>No</t>
        </is>
      </c>
      <c r="I889" t="inlineStr">
        <is>
          <t>No</t>
        </is>
      </c>
      <c r="J889" t="inlineStr">
        <is>
          <t>0</t>
        </is>
      </c>
      <c r="K889" t="inlineStr">
        <is>
          <t>Kleba, Gerald J.</t>
        </is>
      </c>
      <c r="L889" t="inlineStr">
        <is>
          <t>Notre Dame, Ind. : Ave Maria Press, c1986.</t>
        </is>
      </c>
      <c r="M889" t="inlineStr">
        <is>
          <t>1986</t>
        </is>
      </c>
      <c r="O889" t="inlineStr">
        <is>
          <t>eng</t>
        </is>
      </c>
      <c r="P889" t="inlineStr">
        <is>
          <t>inu</t>
        </is>
      </c>
      <c r="R889" t="inlineStr">
        <is>
          <t xml:space="preserve">BX </t>
        </is>
      </c>
      <c r="S889" t="n">
        <v>2</v>
      </c>
      <c r="T889" t="n">
        <v>2</v>
      </c>
      <c r="U889" t="inlineStr">
        <is>
          <t>1997-08-12</t>
        </is>
      </c>
      <c r="V889" t="inlineStr">
        <is>
          <t>1997-08-12</t>
        </is>
      </c>
      <c r="W889" t="inlineStr">
        <is>
          <t>1991-07-01</t>
        </is>
      </c>
      <c r="X889" t="inlineStr">
        <is>
          <t>1991-07-01</t>
        </is>
      </c>
      <c r="Y889" t="n">
        <v>88</v>
      </c>
      <c r="Z889" t="n">
        <v>72</v>
      </c>
      <c r="AA889" t="n">
        <v>72</v>
      </c>
      <c r="AB889" t="n">
        <v>2</v>
      </c>
      <c r="AC889" t="n">
        <v>2</v>
      </c>
      <c r="AD889" t="n">
        <v>4</v>
      </c>
      <c r="AE889" t="n">
        <v>4</v>
      </c>
      <c r="AF889" t="n">
        <v>1</v>
      </c>
      <c r="AG889" t="n">
        <v>1</v>
      </c>
      <c r="AH889" t="n">
        <v>0</v>
      </c>
      <c r="AI889" t="n">
        <v>0</v>
      </c>
      <c r="AJ889" t="n">
        <v>3</v>
      </c>
      <c r="AK889" t="n">
        <v>3</v>
      </c>
      <c r="AL889" t="n">
        <v>0</v>
      </c>
      <c r="AM889" t="n">
        <v>0</v>
      </c>
      <c r="AN889" t="n">
        <v>0</v>
      </c>
      <c r="AO889" t="n">
        <v>0</v>
      </c>
      <c r="AP889" t="inlineStr">
        <is>
          <t>No</t>
        </is>
      </c>
      <c r="AQ889" t="inlineStr">
        <is>
          <t>No</t>
        </is>
      </c>
      <c r="AS889">
        <f>HYPERLINK("https://creighton-primo.hosted.exlibrisgroup.com/primo-explore/search?tab=default_tab&amp;search_scope=EVERYTHING&amp;vid=01CRU&amp;lang=en_US&amp;offset=0&amp;query=any,contains,991001002059702656","Catalog Record")</f>
        <v/>
      </c>
      <c r="AT889">
        <f>HYPERLINK("http://www.worldcat.org/oclc/15213335","WorldCat Record")</f>
        <v/>
      </c>
      <c r="AU889" t="inlineStr">
        <is>
          <t>2279716729:eng</t>
        </is>
      </c>
      <c r="AV889" t="inlineStr">
        <is>
          <t>15213335</t>
        </is>
      </c>
      <c r="AW889" t="inlineStr">
        <is>
          <t>991001002059702656</t>
        </is>
      </c>
      <c r="AX889" t="inlineStr">
        <is>
          <t>991001002059702656</t>
        </is>
      </c>
      <c r="AY889" t="inlineStr">
        <is>
          <t>2267190970002656</t>
        </is>
      </c>
      <c r="AZ889" t="inlineStr">
        <is>
          <t>BOOK</t>
        </is>
      </c>
      <c r="BB889" t="inlineStr">
        <is>
          <t>9780877933465</t>
        </is>
      </c>
      <c r="BC889" t="inlineStr">
        <is>
          <t>32285000667062</t>
        </is>
      </c>
      <c r="BD889" t="inlineStr">
        <is>
          <t>893772212</t>
        </is>
      </c>
    </row>
    <row r="890">
      <c r="A890" t="inlineStr">
        <is>
          <t>No</t>
        </is>
      </c>
      <c r="B890" t="inlineStr">
        <is>
          <t>BX1913 .N57 1996</t>
        </is>
      </c>
      <c r="C890" t="inlineStr">
        <is>
          <t>0                      BX 1913000N  57          1996</t>
        </is>
      </c>
      <c r="D890" t="inlineStr">
        <is>
          <t>The making of a pastoral person / Gerald R. Niklas.</t>
        </is>
      </c>
      <c r="F890" t="inlineStr">
        <is>
          <t>No</t>
        </is>
      </c>
      <c r="G890" t="inlineStr">
        <is>
          <t>1</t>
        </is>
      </c>
      <c r="H890" t="inlineStr">
        <is>
          <t>No</t>
        </is>
      </c>
      <c r="I890" t="inlineStr">
        <is>
          <t>No</t>
        </is>
      </c>
      <c r="J890" t="inlineStr">
        <is>
          <t>0</t>
        </is>
      </c>
      <c r="K890" t="inlineStr">
        <is>
          <t>Niklas, Gerald R.</t>
        </is>
      </c>
      <c r="L890" t="inlineStr">
        <is>
          <t>New York : Alba House, c1996.</t>
        </is>
      </c>
      <c r="M890" t="inlineStr">
        <is>
          <t>1996</t>
        </is>
      </c>
      <c r="N890" t="inlineStr">
        <is>
          <t>Expanded and rev. ed.</t>
        </is>
      </c>
      <c r="O890" t="inlineStr">
        <is>
          <t>eng</t>
        </is>
      </c>
      <c r="P890" t="inlineStr">
        <is>
          <t>nyu</t>
        </is>
      </c>
      <c r="R890" t="inlineStr">
        <is>
          <t xml:space="preserve">BX </t>
        </is>
      </c>
      <c r="S890" t="n">
        <v>6</v>
      </c>
      <c r="T890" t="n">
        <v>6</v>
      </c>
      <c r="U890" t="inlineStr">
        <is>
          <t>2006-11-13</t>
        </is>
      </c>
      <c r="V890" t="inlineStr">
        <is>
          <t>2006-11-13</t>
        </is>
      </c>
      <c r="W890" t="inlineStr">
        <is>
          <t>1997-08-22</t>
        </is>
      </c>
      <c r="X890" t="inlineStr">
        <is>
          <t>1997-08-22</t>
        </is>
      </c>
      <c r="Y890" t="n">
        <v>88</v>
      </c>
      <c r="Z890" t="n">
        <v>65</v>
      </c>
      <c r="AA890" t="n">
        <v>139</v>
      </c>
      <c r="AB890" t="n">
        <v>1</v>
      </c>
      <c r="AC890" t="n">
        <v>1</v>
      </c>
      <c r="AD890" t="n">
        <v>6</v>
      </c>
      <c r="AE890" t="n">
        <v>16</v>
      </c>
      <c r="AF890" t="n">
        <v>3</v>
      </c>
      <c r="AG890" t="n">
        <v>6</v>
      </c>
      <c r="AH890" t="n">
        <v>1</v>
      </c>
      <c r="AI890" t="n">
        <v>2</v>
      </c>
      <c r="AJ890" t="n">
        <v>4</v>
      </c>
      <c r="AK890" t="n">
        <v>13</v>
      </c>
      <c r="AL890" t="n">
        <v>0</v>
      </c>
      <c r="AM890" t="n">
        <v>0</v>
      </c>
      <c r="AN890" t="n">
        <v>0</v>
      </c>
      <c r="AO890" t="n">
        <v>0</v>
      </c>
      <c r="AP890" t="inlineStr">
        <is>
          <t>No</t>
        </is>
      </c>
      <c r="AQ890" t="inlineStr">
        <is>
          <t>No</t>
        </is>
      </c>
      <c r="AS890">
        <f>HYPERLINK("https://creighton-primo.hosted.exlibrisgroup.com/primo-explore/search?tab=default_tab&amp;search_scope=EVERYTHING&amp;vid=01CRU&amp;lang=en_US&amp;offset=0&amp;query=any,contains,991002630409702656","Catalog Record")</f>
        <v/>
      </c>
      <c r="AT890">
        <f>HYPERLINK("http://www.worldcat.org/oclc/34476462","WorldCat Record")</f>
        <v/>
      </c>
      <c r="AU890" t="inlineStr">
        <is>
          <t>24614565:eng</t>
        </is>
      </c>
      <c r="AV890" t="inlineStr">
        <is>
          <t>34476462</t>
        </is>
      </c>
      <c r="AW890" t="inlineStr">
        <is>
          <t>991002630409702656</t>
        </is>
      </c>
      <c r="AX890" t="inlineStr">
        <is>
          <t>991002630409702656</t>
        </is>
      </c>
      <c r="AY890" t="inlineStr">
        <is>
          <t>2262337230002656</t>
        </is>
      </c>
      <c r="AZ890" t="inlineStr">
        <is>
          <t>BOOK</t>
        </is>
      </c>
      <c r="BB890" t="inlineStr">
        <is>
          <t>9780818907616</t>
        </is>
      </c>
      <c r="BC890" t="inlineStr">
        <is>
          <t>32285003001665</t>
        </is>
      </c>
      <c r="BD890" t="inlineStr">
        <is>
          <t>893233199</t>
        </is>
      </c>
    </row>
    <row r="891">
      <c r="A891" t="inlineStr">
        <is>
          <t>No</t>
        </is>
      </c>
      <c r="B891" t="inlineStr">
        <is>
          <t>BX1913 .N67</t>
        </is>
      </c>
      <c r="C891" t="inlineStr">
        <is>
          <t>0                      BX 1913000N  67</t>
        </is>
      </c>
      <c r="D891" t="inlineStr">
        <is>
          <t>Norms for the cooperation of the local churches among themselves and especially for a better distribution of the clergy in the world = Notae directivae de mutua ecclesiarum particularium cooperatione promovenda ac praesertim de aptiore cleri distributione.</t>
        </is>
      </c>
      <c r="F891" t="inlineStr">
        <is>
          <t>No</t>
        </is>
      </c>
      <c r="G891" t="inlineStr">
        <is>
          <t>1</t>
        </is>
      </c>
      <c r="H891" t="inlineStr">
        <is>
          <t>No</t>
        </is>
      </c>
      <c r="I891" t="inlineStr">
        <is>
          <t>No</t>
        </is>
      </c>
      <c r="J891" t="inlineStr">
        <is>
          <t>0</t>
        </is>
      </c>
      <c r="L891" t="inlineStr">
        <is>
          <t>Roma : Vatican Congregation for the Clergy, 1980.</t>
        </is>
      </c>
      <c r="M891" t="inlineStr">
        <is>
          <t>1980</t>
        </is>
      </c>
      <c r="O891" t="inlineStr">
        <is>
          <t>eng</t>
        </is>
      </c>
      <c r="P891" t="inlineStr">
        <is>
          <t xml:space="preserve">it </t>
        </is>
      </c>
      <c r="R891" t="inlineStr">
        <is>
          <t xml:space="preserve">BX </t>
        </is>
      </c>
      <c r="S891" t="n">
        <v>4</v>
      </c>
      <c r="T891" t="n">
        <v>4</v>
      </c>
      <c r="U891" t="inlineStr">
        <is>
          <t>1997-06-12</t>
        </is>
      </c>
      <c r="V891" t="inlineStr">
        <is>
          <t>1997-06-12</t>
        </is>
      </c>
      <c r="W891" t="inlineStr">
        <is>
          <t>1991-07-01</t>
        </is>
      </c>
      <c r="X891" t="inlineStr">
        <is>
          <t>1991-07-01</t>
        </is>
      </c>
      <c r="Y891" t="n">
        <v>42</v>
      </c>
      <c r="Z891" t="n">
        <v>41</v>
      </c>
      <c r="AA891" t="n">
        <v>60</v>
      </c>
      <c r="AB891" t="n">
        <v>1</v>
      </c>
      <c r="AC891" t="n">
        <v>1</v>
      </c>
      <c r="AD891" t="n">
        <v>9</v>
      </c>
      <c r="AE891" t="n">
        <v>12</v>
      </c>
      <c r="AF891" t="n">
        <v>3</v>
      </c>
      <c r="AG891" t="n">
        <v>3</v>
      </c>
      <c r="AH891" t="n">
        <v>3</v>
      </c>
      <c r="AI891" t="n">
        <v>5</v>
      </c>
      <c r="AJ891" t="n">
        <v>8</v>
      </c>
      <c r="AK891" t="n">
        <v>9</v>
      </c>
      <c r="AL891" t="n">
        <v>0</v>
      </c>
      <c r="AM891" t="n">
        <v>0</v>
      </c>
      <c r="AN891" t="n">
        <v>0</v>
      </c>
      <c r="AO891" t="n">
        <v>0</v>
      </c>
      <c r="AP891" t="inlineStr">
        <is>
          <t>No</t>
        </is>
      </c>
      <c r="AQ891" t="inlineStr">
        <is>
          <t>No</t>
        </is>
      </c>
      <c r="AS891">
        <f>HYPERLINK("https://creighton-primo.hosted.exlibrisgroup.com/primo-explore/search?tab=default_tab&amp;search_scope=EVERYTHING&amp;vid=01CRU&amp;lang=en_US&amp;offset=0&amp;query=any,contains,991005072479702656","Catalog Record")</f>
        <v/>
      </c>
      <c r="AT891">
        <f>HYPERLINK("http://www.worldcat.org/oclc/7054175","WorldCat Record")</f>
        <v/>
      </c>
      <c r="AU891" t="inlineStr">
        <is>
          <t>24593570:eng</t>
        </is>
      </c>
      <c r="AV891" t="inlineStr">
        <is>
          <t>7054175</t>
        </is>
      </c>
      <c r="AW891" t="inlineStr">
        <is>
          <t>991005072479702656</t>
        </is>
      </c>
      <c r="AX891" t="inlineStr">
        <is>
          <t>991005072479702656</t>
        </is>
      </c>
      <c r="AY891" t="inlineStr">
        <is>
          <t>2265938020002656</t>
        </is>
      </c>
      <c r="AZ891" t="inlineStr">
        <is>
          <t>BOOK</t>
        </is>
      </c>
      <c r="BC891" t="inlineStr">
        <is>
          <t>32285000667096</t>
        </is>
      </c>
      <c r="BD891" t="inlineStr">
        <is>
          <t>893260500</t>
        </is>
      </c>
    </row>
    <row r="892">
      <c r="A892" t="inlineStr">
        <is>
          <t>No</t>
        </is>
      </c>
      <c r="B892" t="inlineStr">
        <is>
          <t>BX1913 .O79 2006</t>
        </is>
      </c>
      <c r="C892" t="inlineStr">
        <is>
          <t>0                      BX 1913000O  79          2006</t>
        </is>
      </c>
      <c r="D892" t="inlineStr">
        <is>
          <t>Orders and ministry : leadership in the world church / Kenan B. Osborne.</t>
        </is>
      </c>
      <c r="F892" t="inlineStr">
        <is>
          <t>No</t>
        </is>
      </c>
      <c r="G892" t="inlineStr">
        <is>
          <t>1</t>
        </is>
      </c>
      <c r="H892" t="inlineStr">
        <is>
          <t>No</t>
        </is>
      </c>
      <c r="I892" t="inlineStr">
        <is>
          <t>No</t>
        </is>
      </c>
      <c r="J892" t="inlineStr">
        <is>
          <t>0</t>
        </is>
      </c>
      <c r="K892" t="inlineStr">
        <is>
          <t>Osborne, Kenan B.</t>
        </is>
      </c>
      <c r="L892" t="inlineStr">
        <is>
          <t>Maryknoll, N.Y. : Orbis Books, c2006.</t>
        </is>
      </c>
      <c r="M892" t="inlineStr">
        <is>
          <t>2006</t>
        </is>
      </c>
      <c r="O892" t="inlineStr">
        <is>
          <t>eng</t>
        </is>
      </c>
      <c r="P892" t="inlineStr">
        <is>
          <t>nyu</t>
        </is>
      </c>
      <c r="Q892" t="inlineStr">
        <is>
          <t>Theology in global perspective</t>
        </is>
      </c>
      <c r="R892" t="inlineStr">
        <is>
          <t xml:space="preserve">BX </t>
        </is>
      </c>
      <c r="S892" t="n">
        <v>2</v>
      </c>
      <c r="T892" t="n">
        <v>2</v>
      </c>
      <c r="U892" t="inlineStr">
        <is>
          <t>2009-04-02</t>
        </is>
      </c>
      <c r="V892" t="inlineStr">
        <is>
          <t>2009-04-02</t>
        </is>
      </c>
      <c r="W892" t="inlineStr">
        <is>
          <t>2006-12-12</t>
        </is>
      </c>
      <c r="X892" t="inlineStr">
        <is>
          <t>2006-12-12</t>
        </is>
      </c>
      <c r="Y892" t="n">
        <v>144</v>
      </c>
      <c r="Z892" t="n">
        <v>110</v>
      </c>
      <c r="AA892" t="n">
        <v>111</v>
      </c>
      <c r="AB892" t="n">
        <v>1</v>
      </c>
      <c r="AC892" t="n">
        <v>1</v>
      </c>
      <c r="AD892" t="n">
        <v>18</v>
      </c>
      <c r="AE892" t="n">
        <v>18</v>
      </c>
      <c r="AF892" t="n">
        <v>4</v>
      </c>
      <c r="AG892" t="n">
        <v>4</v>
      </c>
      <c r="AH892" t="n">
        <v>5</v>
      </c>
      <c r="AI892" t="n">
        <v>5</v>
      </c>
      <c r="AJ892" t="n">
        <v>14</v>
      </c>
      <c r="AK892" t="n">
        <v>14</v>
      </c>
      <c r="AL892" t="n">
        <v>0</v>
      </c>
      <c r="AM892" t="n">
        <v>0</v>
      </c>
      <c r="AN892" t="n">
        <v>0</v>
      </c>
      <c r="AO892" t="n">
        <v>0</v>
      </c>
      <c r="AP892" t="inlineStr">
        <is>
          <t>No</t>
        </is>
      </c>
      <c r="AQ892" t="inlineStr">
        <is>
          <t>Yes</t>
        </is>
      </c>
      <c r="AR892">
        <f>HYPERLINK("http://catalog.hathitrust.org/Record/006019172","HathiTrust Record")</f>
        <v/>
      </c>
      <c r="AS892">
        <f>HYPERLINK("https://creighton-primo.hosted.exlibrisgroup.com/primo-explore/search?tab=default_tab&amp;search_scope=EVERYTHING&amp;vid=01CRU&amp;lang=en_US&amp;offset=0&amp;query=any,contains,991004990569702656","Catalog Record")</f>
        <v/>
      </c>
      <c r="AT892">
        <f>HYPERLINK("http://www.worldcat.org/oclc/61179526","WorldCat Record")</f>
        <v/>
      </c>
      <c r="AU892" t="inlineStr">
        <is>
          <t>890626592:eng</t>
        </is>
      </c>
      <c r="AV892" t="inlineStr">
        <is>
          <t>61179526</t>
        </is>
      </c>
      <c r="AW892" t="inlineStr">
        <is>
          <t>991004990569702656</t>
        </is>
      </c>
      <c r="AX892" t="inlineStr">
        <is>
          <t>991004990569702656</t>
        </is>
      </c>
      <c r="AY892" t="inlineStr">
        <is>
          <t>2265412240002656</t>
        </is>
      </c>
      <c r="AZ892" t="inlineStr">
        <is>
          <t>BOOK</t>
        </is>
      </c>
      <c r="BB892" t="inlineStr">
        <is>
          <t>9781570756283</t>
        </is>
      </c>
      <c r="BC892" t="inlineStr">
        <is>
          <t>32285005265383</t>
        </is>
      </c>
      <c r="BD892" t="inlineStr">
        <is>
          <t>893719631</t>
        </is>
      </c>
    </row>
    <row r="893">
      <c r="A893" t="inlineStr">
        <is>
          <t>No</t>
        </is>
      </c>
      <c r="B893" t="inlineStr">
        <is>
          <t>BX1913 .O813 1967</t>
        </is>
      </c>
      <c r="C893" t="inlineStr">
        <is>
          <t>0                      BX 1913000O  813         1967</t>
        </is>
      </c>
      <c r="D893" t="inlineStr">
        <is>
          <t>The paschal mystery in parish life / Henri Oster. Translated by Michael O'Brien.</t>
        </is>
      </c>
      <c r="F893" t="inlineStr">
        <is>
          <t>No</t>
        </is>
      </c>
      <c r="G893" t="inlineStr">
        <is>
          <t>1</t>
        </is>
      </c>
      <c r="H893" t="inlineStr">
        <is>
          <t>No</t>
        </is>
      </c>
      <c r="I893" t="inlineStr">
        <is>
          <t>No</t>
        </is>
      </c>
      <c r="J893" t="inlineStr">
        <is>
          <t>0</t>
        </is>
      </c>
      <c r="K893" t="inlineStr">
        <is>
          <t>Oster, Henri.</t>
        </is>
      </c>
      <c r="L893" t="inlineStr">
        <is>
          <t>[New York] : Herder and Herder, [1967]</t>
        </is>
      </c>
      <c r="M893" t="inlineStr">
        <is>
          <t>1967</t>
        </is>
      </c>
      <c r="O893" t="inlineStr">
        <is>
          <t>eng</t>
        </is>
      </c>
      <c r="P893" t="inlineStr">
        <is>
          <t>nyu</t>
        </is>
      </c>
      <c r="R893" t="inlineStr">
        <is>
          <t xml:space="preserve">BX </t>
        </is>
      </c>
      <c r="S893" t="n">
        <v>4</v>
      </c>
      <c r="T893" t="n">
        <v>4</v>
      </c>
      <c r="U893" t="inlineStr">
        <is>
          <t>1999-08-08</t>
        </is>
      </c>
      <c r="V893" t="inlineStr">
        <is>
          <t>1999-08-08</t>
        </is>
      </c>
      <c r="W893" t="inlineStr">
        <is>
          <t>1991-07-01</t>
        </is>
      </c>
      <c r="X893" t="inlineStr">
        <is>
          <t>1991-07-01</t>
        </is>
      </c>
      <c r="Y893" t="n">
        <v>126</v>
      </c>
      <c r="Z893" t="n">
        <v>111</v>
      </c>
      <c r="AA893" t="n">
        <v>112</v>
      </c>
      <c r="AB893" t="n">
        <v>3</v>
      </c>
      <c r="AC893" t="n">
        <v>3</v>
      </c>
      <c r="AD893" t="n">
        <v>18</v>
      </c>
      <c r="AE893" t="n">
        <v>18</v>
      </c>
      <c r="AF893" t="n">
        <v>4</v>
      </c>
      <c r="AG893" t="n">
        <v>4</v>
      </c>
      <c r="AH893" t="n">
        <v>6</v>
      </c>
      <c r="AI893" t="n">
        <v>6</v>
      </c>
      <c r="AJ893" t="n">
        <v>12</v>
      </c>
      <c r="AK893" t="n">
        <v>12</v>
      </c>
      <c r="AL893" t="n">
        <v>0</v>
      </c>
      <c r="AM893" t="n">
        <v>0</v>
      </c>
      <c r="AN893" t="n">
        <v>0</v>
      </c>
      <c r="AO893" t="n">
        <v>0</v>
      </c>
      <c r="AP893" t="inlineStr">
        <is>
          <t>No</t>
        </is>
      </c>
      <c r="AQ893" t="inlineStr">
        <is>
          <t>No</t>
        </is>
      </c>
      <c r="AS893">
        <f>HYPERLINK("https://creighton-primo.hosted.exlibrisgroup.com/primo-explore/search?tab=default_tab&amp;search_scope=EVERYTHING&amp;vid=01CRU&amp;lang=en_US&amp;offset=0&amp;query=any,contains,991003388229702656","Catalog Record")</f>
        <v/>
      </c>
      <c r="AT893">
        <f>HYPERLINK("http://www.worldcat.org/oclc/924981","WorldCat Record")</f>
        <v/>
      </c>
      <c r="AU893" t="inlineStr">
        <is>
          <t>365940920:eng</t>
        </is>
      </c>
      <c r="AV893" t="inlineStr">
        <is>
          <t>924981</t>
        </is>
      </c>
      <c r="AW893" t="inlineStr">
        <is>
          <t>991003388229702656</t>
        </is>
      </c>
      <c r="AX893" t="inlineStr">
        <is>
          <t>991003388229702656</t>
        </is>
      </c>
      <c r="AY893" t="inlineStr">
        <is>
          <t>2264371160002656</t>
        </is>
      </c>
      <c r="AZ893" t="inlineStr">
        <is>
          <t>BOOK</t>
        </is>
      </c>
      <c r="BC893" t="inlineStr">
        <is>
          <t>32285000667104</t>
        </is>
      </c>
      <c r="BD893" t="inlineStr">
        <is>
          <t>893881117</t>
        </is>
      </c>
    </row>
    <row r="894">
      <c r="A894" t="inlineStr">
        <is>
          <t>No</t>
        </is>
      </c>
      <c r="B894" t="inlineStr">
        <is>
          <t>BX1913 .P287</t>
        </is>
      </c>
      <c r="C894" t="inlineStr">
        <is>
          <t>0                      BX 1913000P  287</t>
        </is>
      </c>
      <c r="D894" t="inlineStr">
        <is>
          <t>Parish, priest &amp; people : new leadership for the local church / by Andrew Greeley ... [et al.].</t>
        </is>
      </c>
      <c r="F894" t="inlineStr">
        <is>
          <t>No</t>
        </is>
      </c>
      <c r="G894" t="inlineStr">
        <is>
          <t>1</t>
        </is>
      </c>
      <c r="H894" t="inlineStr">
        <is>
          <t>No</t>
        </is>
      </c>
      <c r="I894" t="inlineStr">
        <is>
          <t>No</t>
        </is>
      </c>
      <c r="J894" t="inlineStr">
        <is>
          <t>0</t>
        </is>
      </c>
      <c r="L894" t="inlineStr">
        <is>
          <t>Chicago, Ill. : Thomas More Press, c1981.</t>
        </is>
      </c>
      <c r="M894" t="inlineStr">
        <is>
          <t>1981</t>
        </is>
      </c>
      <c r="O894" t="inlineStr">
        <is>
          <t>eng</t>
        </is>
      </c>
      <c r="P894" t="inlineStr">
        <is>
          <t>ilu</t>
        </is>
      </c>
      <c r="R894" t="inlineStr">
        <is>
          <t xml:space="preserve">BX </t>
        </is>
      </c>
      <c r="S894" t="n">
        <v>2</v>
      </c>
      <c r="T894" t="n">
        <v>2</v>
      </c>
      <c r="U894" t="inlineStr">
        <is>
          <t>1994-10-03</t>
        </is>
      </c>
      <c r="V894" t="inlineStr">
        <is>
          <t>1994-10-03</t>
        </is>
      </c>
      <c r="W894" t="inlineStr">
        <is>
          <t>1990-02-28</t>
        </is>
      </c>
      <c r="X894" t="inlineStr">
        <is>
          <t>1990-02-28</t>
        </is>
      </c>
      <c r="Y894" t="n">
        <v>185</v>
      </c>
      <c r="Z894" t="n">
        <v>160</v>
      </c>
      <c r="AA894" t="n">
        <v>165</v>
      </c>
      <c r="AB894" t="n">
        <v>3</v>
      </c>
      <c r="AC894" t="n">
        <v>3</v>
      </c>
      <c r="AD894" t="n">
        <v>21</v>
      </c>
      <c r="AE894" t="n">
        <v>21</v>
      </c>
      <c r="AF894" t="n">
        <v>4</v>
      </c>
      <c r="AG894" t="n">
        <v>4</v>
      </c>
      <c r="AH894" t="n">
        <v>7</v>
      </c>
      <c r="AI894" t="n">
        <v>7</v>
      </c>
      <c r="AJ894" t="n">
        <v>15</v>
      </c>
      <c r="AK894" t="n">
        <v>15</v>
      </c>
      <c r="AL894" t="n">
        <v>1</v>
      </c>
      <c r="AM894" t="n">
        <v>1</v>
      </c>
      <c r="AN894" t="n">
        <v>0</v>
      </c>
      <c r="AO894" t="n">
        <v>0</v>
      </c>
      <c r="AP894" t="inlineStr">
        <is>
          <t>No</t>
        </is>
      </c>
      <c r="AQ894" t="inlineStr">
        <is>
          <t>No</t>
        </is>
      </c>
      <c r="AS894">
        <f>HYPERLINK("https://creighton-primo.hosted.exlibrisgroup.com/primo-explore/search?tab=default_tab&amp;search_scope=EVERYTHING&amp;vid=01CRU&amp;lang=en_US&amp;offset=0&amp;query=any,contains,991005150139702656","Catalog Record")</f>
        <v/>
      </c>
      <c r="AT894">
        <f>HYPERLINK("http://www.worldcat.org/oclc/7726536","WorldCat Record")</f>
        <v/>
      </c>
      <c r="AU894" t="inlineStr">
        <is>
          <t>29570586:eng</t>
        </is>
      </c>
      <c r="AV894" t="inlineStr">
        <is>
          <t>7726536</t>
        </is>
      </c>
      <c r="AW894" t="inlineStr">
        <is>
          <t>991005150139702656</t>
        </is>
      </c>
      <c r="AX894" t="inlineStr">
        <is>
          <t>991005150139702656</t>
        </is>
      </c>
      <c r="AY894" t="inlineStr">
        <is>
          <t>2257765430002656</t>
        </is>
      </c>
      <c r="AZ894" t="inlineStr">
        <is>
          <t>BOOK</t>
        </is>
      </c>
      <c r="BB894" t="inlineStr">
        <is>
          <t>9780883471319</t>
        </is>
      </c>
      <c r="BC894" t="inlineStr">
        <is>
          <t>32285000072842</t>
        </is>
      </c>
      <c r="BD894" t="inlineStr">
        <is>
          <t>893870600</t>
        </is>
      </c>
    </row>
    <row r="895">
      <c r="A895" t="inlineStr">
        <is>
          <t>No</t>
        </is>
      </c>
      <c r="B895" t="inlineStr">
        <is>
          <t>BX1913 .R313 1963</t>
        </is>
      </c>
      <c r="C895" t="inlineStr">
        <is>
          <t>0                      BX 1913000R  313         1963</t>
        </is>
      </c>
      <c r="D895" t="inlineStr">
        <is>
          <t>The Christian commitment : essays in pastoral theology / Karl Rahner. Translated by Cecily Hastings.</t>
        </is>
      </c>
      <c r="F895" t="inlineStr">
        <is>
          <t>No</t>
        </is>
      </c>
      <c r="G895" t="inlineStr">
        <is>
          <t>1</t>
        </is>
      </c>
      <c r="H895" t="inlineStr">
        <is>
          <t>No</t>
        </is>
      </c>
      <c r="I895" t="inlineStr">
        <is>
          <t>No</t>
        </is>
      </c>
      <c r="J895" t="inlineStr">
        <is>
          <t>0</t>
        </is>
      </c>
      <c r="K895" t="inlineStr">
        <is>
          <t>Rahner, Karl, 1904-1984.</t>
        </is>
      </c>
      <c r="L895" t="inlineStr">
        <is>
          <t>New York : Sheed and Ward, [1963]</t>
        </is>
      </c>
      <c r="M895" t="inlineStr">
        <is>
          <t>1963</t>
        </is>
      </c>
      <c r="O895" t="inlineStr">
        <is>
          <t>eng</t>
        </is>
      </c>
      <c r="P895" t="inlineStr">
        <is>
          <t>nyu</t>
        </is>
      </c>
      <c r="R895" t="inlineStr">
        <is>
          <t xml:space="preserve">BX </t>
        </is>
      </c>
      <c r="S895" t="n">
        <v>5</v>
      </c>
      <c r="T895" t="n">
        <v>5</v>
      </c>
      <c r="U895" t="inlineStr">
        <is>
          <t>1995-06-17</t>
        </is>
      </c>
      <c r="V895" t="inlineStr">
        <is>
          <t>1995-06-17</t>
        </is>
      </c>
      <c r="W895" t="inlineStr">
        <is>
          <t>1991-07-01</t>
        </is>
      </c>
      <c r="X895" t="inlineStr">
        <is>
          <t>1991-07-01</t>
        </is>
      </c>
      <c r="Y895" t="n">
        <v>577</v>
      </c>
      <c r="Z895" t="n">
        <v>520</v>
      </c>
      <c r="AA895" t="n">
        <v>530</v>
      </c>
      <c r="AB895" t="n">
        <v>4</v>
      </c>
      <c r="AC895" t="n">
        <v>4</v>
      </c>
      <c r="AD895" t="n">
        <v>41</v>
      </c>
      <c r="AE895" t="n">
        <v>41</v>
      </c>
      <c r="AF895" t="n">
        <v>17</v>
      </c>
      <c r="AG895" t="n">
        <v>17</v>
      </c>
      <c r="AH895" t="n">
        <v>8</v>
      </c>
      <c r="AI895" t="n">
        <v>8</v>
      </c>
      <c r="AJ895" t="n">
        <v>26</v>
      </c>
      <c r="AK895" t="n">
        <v>26</v>
      </c>
      <c r="AL895" t="n">
        <v>2</v>
      </c>
      <c r="AM895" t="n">
        <v>2</v>
      </c>
      <c r="AN895" t="n">
        <v>0</v>
      </c>
      <c r="AO895" t="n">
        <v>0</v>
      </c>
      <c r="AP895" t="inlineStr">
        <is>
          <t>No</t>
        </is>
      </c>
      <c r="AQ895" t="inlineStr">
        <is>
          <t>Yes</t>
        </is>
      </c>
      <c r="AR895">
        <f>HYPERLINK("http://catalog.hathitrust.org/Record/006634112","HathiTrust Record")</f>
        <v/>
      </c>
      <c r="AS895">
        <f>HYPERLINK("https://creighton-primo.hosted.exlibrisgroup.com/primo-explore/search?tab=default_tab&amp;search_scope=EVERYTHING&amp;vid=01CRU&amp;lang=en_US&amp;offset=0&amp;query=any,contains,991003429439702656","Catalog Record")</f>
        <v/>
      </c>
      <c r="AT895">
        <f>HYPERLINK("http://www.worldcat.org/oclc/965240","WorldCat Record")</f>
        <v/>
      </c>
      <c r="AU895" t="inlineStr">
        <is>
          <t>206035384:eng</t>
        </is>
      </c>
      <c r="AV895" t="inlineStr">
        <is>
          <t>965240</t>
        </is>
      </c>
      <c r="AW895" t="inlineStr">
        <is>
          <t>991003429439702656</t>
        </is>
      </c>
      <c r="AX895" t="inlineStr">
        <is>
          <t>991003429439702656</t>
        </is>
      </c>
      <c r="AY895" t="inlineStr">
        <is>
          <t>2258190580002656</t>
        </is>
      </c>
      <c r="AZ895" t="inlineStr">
        <is>
          <t>BOOK</t>
        </is>
      </c>
      <c r="BC895" t="inlineStr">
        <is>
          <t>32285000667146</t>
        </is>
      </c>
      <c r="BD895" t="inlineStr">
        <is>
          <t>893781008</t>
        </is>
      </c>
    </row>
    <row r="896">
      <c r="A896" t="inlineStr">
        <is>
          <t>No</t>
        </is>
      </c>
      <c r="B896" t="inlineStr">
        <is>
          <t>BX1913 .S613</t>
        </is>
      </c>
      <c r="C896" t="inlineStr">
        <is>
          <t>0                      BX 1913000S  613</t>
        </is>
      </c>
      <c r="D896" t="inlineStr">
        <is>
          <t>The priesthood of the faithful / by Emile-Jospeh de Smedt. Translated by Joseph M. F. Marique.</t>
        </is>
      </c>
      <c r="F896" t="inlineStr">
        <is>
          <t>No</t>
        </is>
      </c>
      <c r="G896" t="inlineStr">
        <is>
          <t>1</t>
        </is>
      </c>
      <c r="H896" t="inlineStr">
        <is>
          <t>No</t>
        </is>
      </c>
      <c r="I896" t="inlineStr">
        <is>
          <t>No</t>
        </is>
      </c>
      <c r="J896" t="inlineStr">
        <is>
          <t>0</t>
        </is>
      </c>
      <c r="K896" t="inlineStr">
        <is>
          <t>Smedt, E. J. de (Emile Joseph), 1909-1995.</t>
        </is>
      </c>
      <c r="L896" t="inlineStr">
        <is>
          <t>New York : Paulist Press, [1962]</t>
        </is>
      </c>
      <c r="M896" t="inlineStr">
        <is>
          <t>1962</t>
        </is>
      </c>
      <c r="O896" t="inlineStr">
        <is>
          <t>eng</t>
        </is>
      </c>
      <c r="P896" t="inlineStr">
        <is>
          <t>nyu</t>
        </is>
      </c>
      <c r="Q896" t="inlineStr">
        <is>
          <t>Paulist Press paperbacks. Deus books</t>
        </is>
      </c>
      <c r="R896" t="inlineStr">
        <is>
          <t xml:space="preserve">BX </t>
        </is>
      </c>
      <c r="S896" t="n">
        <v>1</v>
      </c>
      <c r="T896" t="n">
        <v>1</v>
      </c>
      <c r="U896" t="inlineStr">
        <is>
          <t>2002-04-24</t>
        </is>
      </c>
      <c r="V896" t="inlineStr">
        <is>
          <t>2002-04-24</t>
        </is>
      </c>
      <c r="W896" t="inlineStr">
        <is>
          <t>1991-07-01</t>
        </is>
      </c>
      <c r="X896" t="inlineStr">
        <is>
          <t>1991-07-01</t>
        </is>
      </c>
      <c r="Y896" t="n">
        <v>170</v>
      </c>
      <c r="Z896" t="n">
        <v>139</v>
      </c>
      <c r="AA896" t="n">
        <v>140</v>
      </c>
      <c r="AB896" t="n">
        <v>2</v>
      </c>
      <c r="AC896" t="n">
        <v>2</v>
      </c>
      <c r="AD896" t="n">
        <v>17</v>
      </c>
      <c r="AE896" t="n">
        <v>17</v>
      </c>
      <c r="AF896" t="n">
        <v>4</v>
      </c>
      <c r="AG896" t="n">
        <v>4</v>
      </c>
      <c r="AH896" t="n">
        <v>6</v>
      </c>
      <c r="AI896" t="n">
        <v>6</v>
      </c>
      <c r="AJ896" t="n">
        <v>13</v>
      </c>
      <c r="AK896" t="n">
        <v>13</v>
      </c>
      <c r="AL896" t="n">
        <v>0</v>
      </c>
      <c r="AM896" t="n">
        <v>0</v>
      </c>
      <c r="AN896" t="n">
        <v>0</v>
      </c>
      <c r="AO896" t="n">
        <v>0</v>
      </c>
      <c r="AP896" t="inlineStr">
        <is>
          <t>No</t>
        </is>
      </c>
      <c r="AQ896" t="inlineStr">
        <is>
          <t>No</t>
        </is>
      </c>
      <c r="AS896">
        <f>HYPERLINK("https://creighton-primo.hosted.exlibrisgroup.com/primo-explore/search?tab=default_tab&amp;search_scope=EVERYTHING&amp;vid=01CRU&amp;lang=en_US&amp;offset=0&amp;query=any,contains,991003109879702656","Catalog Record")</f>
        <v/>
      </c>
      <c r="AT896">
        <f>HYPERLINK("http://www.worldcat.org/oclc/656192","WorldCat Record")</f>
        <v/>
      </c>
      <c r="AU896" t="inlineStr">
        <is>
          <t>181161512:eng</t>
        </is>
      </c>
      <c r="AV896" t="inlineStr">
        <is>
          <t>656192</t>
        </is>
      </c>
      <c r="AW896" t="inlineStr">
        <is>
          <t>991003109879702656</t>
        </is>
      </c>
      <c r="AX896" t="inlineStr">
        <is>
          <t>991003109879702656</t>
        </is>
      </c>
      <c r="AY896" t="inlineStr">
        <is>
          <t>2263310550002656</t>
        </is>
      </c>
      <c r="AZ896" t="inlineStr">
        <is>
          <t>BOOK</t>
        </is>
      </c>
      <c r="BC896" t="inlineStr">
        <is>
          <t>32285000667187</t>
        </is>
      </c>
      <c r="BD896" t="inlineStr">
        <is>
          <t>893227700</t>
        </is>
      </c>
    </row>
    <row r="897">
      <c r="A897" t="inlineStr">
        <is>
          <t>No</t>
        </is>
      </c>
      <c r="B897" t="inlineStr">
        <is>
          <t>BX1913 .S645 1984</t>
        </is>
      </c>
      <c r="C897" t="inlineStr">
        <is>
          <t>0                      BX 1913000S  645         1984</t>
        </is>
      </c>
      <c r="D897" t="inlineStr">
        <is>
          <t>Developing the parish as a community of service / Loughlan Sofield, Brenda Hermann.</t>
        </is>
      </c>
      <c r="F897" t="inlineStr">
        <is>
          <t>No</t>
        </is>
      </c>
      <c r="G897" t="inlineStr">
        <is>
          <t>1</t>
        </is>
      </c>
      <c r="H897" t="inlineStr">
        <is>
          <t>No</t>
        </is>
      </c>
      <c r="I897" t="inlineStr">
        <is>
          <t>No</t>
        </is>
      </c>
      <c r="J897" t="inlineStr">
        <is>
          <t>0</t>
        </is>
      </c>
      <c r="K897" t="inlineStr">
        <is>
          <t>Sofield, Loughlan.</t>
        </is>
      </c>
      <c r="L897" t="inlineStr">
        <is>
          <t>[New York] : Le Jacq Pub., c1984.</t>
        </is>
      </c>
      <c r="M897" t="inlineStr">
        <is>
          <t>1984</t>
        </is>
      </c>
      <c r="O897" t="inlineStr">
        <is>
          <t>eng</t>
        </is>
      </c>
      <c r="P897" t="inlineStr">
        <is>
          <t>nyu</t>
        </is>
      </c>
      <c r="R897" t="inlineStr">
        <is>
          <t xml:space="preserve">BX </t>
        </is>
      </c>
      <c r="S897" t="n">
        <v>6</v>
      </c>
      <c r="T897" t="n">
        <v>6</v>
      </c>
      <c r="U897" t="inlineStr">
        <is>
          <t>1998-03-06</t>
        </is>
      </c>
      <c r="V897" t="inlineStr">
        <is>
          <t>1998-03-06</t>
        </is>
      </c>
      <c r="W897" t="inlineStr">
        <is>
          <t>1991-07-01</t>
        </is>
      </c>
      <c r="X897" t="inlineStr">
        <is>
          <t>1991-07-01</t>
        </is>
      </c>
      <c r="Y897" t="n">
        <v>70</v>
      </c>
      <c r="Z897" t="n">
        <v>63</v>
      </c>
      <c r="AA897" t="n">
        <v>67</v>
      </c>
      <c r="AB897" t="n">
        <v>3</v>
      </c>
      <c r="AC897" t="n">
        <v>3</v>
      </c>
      <c r="AD897" t="n">
        <v>7</v>
      </c>
      <c r="AE897" t="n">
        <v>8</v>
      </c>
      <c r="AF897" t="n">
        <v>2</v>
      </c>
      <c r="AG897" t="n">
        <v>2</v>
      </c>
      <c r="AH897" t="n">
        <v>0</v>
      </c>
      <c r="AI897" t="n">
        <v>0</v>
      </c>
      <c r="AJ897" t="n">
        <v>6</v>
      </c>
      <c r="AK897" t="n">
        <v>7</v>
      </c>
      <c r="AL897" t="n">
        <v>1</v>
      </c>
      <c r="AM897" t="n">
        <v>1</v>
      </c>
      <c r="AN897" t="n">
        <v>0</v>
      </c>
      <c r="AO897" t="n">
        <v>0</v>
      </c>
      <c r="AP897" t="inlineStr">
        <is>
          <t>No</t>
        </is>
      </c>
      <c r="AQ897" t="inlineStr">
        <is>
          <t>Yes</t>
        </is>
      </c>
      <c r="AR897">
        <f>HYPERLINK("http://catalog.hathitrust.org/Record/102375496","HathiTrust Record")</f>
        <v/>
      </c>
      <c r="AS897">
        <f>HYPERLINK("https://creighton-primo.hosted.exlibrisgroup.com/primo-explore/search?tab=default_tab&amp;search_scope=EVERYTHING&amp;vid=01CRU&amp;lang=en_US&amp;offset=0&amp;query=any,contains,991000428819702656","Catalog Record")</f>
        <v/>
      </c>
      <c r="AT897">
        <f>HYPERLINK("http://www.worldcat.org/oclc/10776563","WorldCat Record")</f>
        <v/>
      </c>
      <c r="AU897" t="inlineStr">
        <is>
          <t>3353246:eng</t>
        </is>
      </c>
      <c r="AV897" t="inlineStr">
        <is>
          <t>10776563</t>
        </is>
      </c>
      <c r="AW897" t="inlineStr">
        <is>
          <t>991000428819702656</t>
        </is>
      </c>
      <c r="AX897" t="inlineStr">
        <is>
          <t>991000428819702656</t>
        </is>
      </c>
      <c r="AY897" t="inlineStr">
        <is>
          <t>2269263140002656</t>
        </is>
      </c>
      <c r="AZ897" t="inlineStr">
        <is>
          <t>BOOK</t>
        </is>
      </c>
      <c r="BB897" t="inlineStr">
        <is>
          <t>9780937716175</t>
        </is>
      </c>
      <c r="BC897" t="inlineStr">
        <is>
          <t>32285000667195</t>
        </is>
      </c>
      <c r="BD897" t="inlineStr">
        <is>
          <t>893419445</t>
        </is>
      </c>
    </row>
    <row r="898">
      <c r="A898" t="inlineStr">
        <is>
          <t>No</t>
        </is>
      </c>
      <c r="B898" t="inlineStr">
        <is>
          <t>BX1913 .S93 1987</t>
        </is>
      </c>
      <c r="C898" t="inlineStr">
        <is>
          <t>0                      BX 1913000S  93          1987</t>
        </is>
      </c>
      <c r="D898" t="inlineStr">
        <is>
          <t>Leadership in a successful parish / Thomas P. Sweetser, Carol Wisniewski Holden.</t>
        </is>
      </c>
      <c r="F898" t="inlineStr">
        <is>
          <t>No</t>
        </is>
      </c>
      <c r="G898" t="inlineStr">
        <is>
          <t>1</t>
        </is>
      </c>
      <c r="H898" t="inlineStr">
        <is>
          <t>No</t>
        </is>
      </c>
      <c r="I898" t="inlineStr">
        <is>
          <t>No</t>
        </is>
      </c>
      <c r="J898" t="inlineStr">
        <is>
          <t>0</t>
        </is>
      </c>
      <c r="K898" t="inlineStr">
        <is>
          <t>Sweetser, Thomas P.</t>
        </is>
      </c>
      <c r="L898" t="inlineStr">
        <is>
          <t>San Francisco : Harper &amp; Row, c1987.</t>
        </is>
      </c>
      <c r="M898" t="inlineStr">
        <is>
          <t>1987</t>
        </is>
      </c>
      <c r="N898" t="inlineStr">
        <is>
          <t>1st ed.</t>
        </is>
      </c>
      <c r="O898" t="inlineStr">
        <is>
          <t>eng</t>
        </is>
      </c>
      <c r="P898" t="inlineStr">
        <is>
          <t>cau</t>
        </is>
      </c>
      <c r="R898" t="inlineStr">
        <is>
          <t xml:space="preserve">BX </t>
        </is>
      </c>
      <c r="S898" t="n">
        <v>5</v>
      </c>
      <c r="T898" t="n">
        <v>5</v>
      </c>
      <c r="U898" t="inlineStr">
        <is>
          <t>2004-05-18</t>
        </is>
      </c>
      <c r="V898" t="inlineStr">
        <is>
          <t>2004-05-18</t>
        </is>
      </c>
      <c r="W898" t="inlineStr">
        <is>
          <t>1991-07-01</t>
        </is>
      </c>
      <c r="X898" t="inlineStr">
        <is>
          <t>1991-07-01</t>
        </is>
      </c>
      <c r="Y898" t="n">
        <v>160</v>
      </c>
      <c r="Z898" t="n">
        <v>142</v>
      </c>
      <c r="AA898" t="n">
        <v>168</v>
      </c>
      <c r="AB898" t="n">
        <v>2</v>
      </c>
      <c r="AC898" t="n">
        <v>2</v>
      </c>
      <c r="AD898" t="n">
        <v>12</v>
      </c>
      <c r="AE898" t="n">
        <v>16</v>
      </c>
      <c r="AF898" t="n">
        <v>2</v>
      </c>
      <c r="AG898" t="n">
        <v>4</v>
      </c>
      <c r="AH898" t="n">
        <v>2</v>
      </c>
      <c r="AI898" t="n">
        <v>3</v>
      </c>
      <c r="AJ898" t="n">
        <v>8</v>
      </c>
      <c r="AK898" t="n">
        <v>10</v>
      </c>
      <c r="AL898" t="n">
        <v>1</v>
      </c>
      <c r="AM898" t="n">
        <v>1</v>
      </c>
      <c r="AN898" t="n">
        <v>0</v>
      </c>
      <c r="AO898" t="n">
        <v>0</v>
      </c>
      <c r="AP898" t="inlineStr">
        <is>
          <t>No</t>
        </is>
      </c>
      <c r="AQ898" t="inlineStr">
        <is>
          <t>No</t>
        </is>
      </c>
      <c r="AS898">
        <f>HYPERLINK("https://creighton-primo.hosted.exlibrisgroup.com/primo-explore/search?tab=default_tab&amp;search_scope=EVERYTHING&amp;vid=01CRU&amp;lang=en_US&amp;offset=0&amp;query=any,contains,991000922789702656","Catalog Record")</f>
        <v/>
      </c>
      <c r="AT898">
        <f>HYPERLINK("http://www.worldcat.org/oclc/14214092","WorldCat Record")</f>
        <v/>
      </c>
      <c r="AU898" t="inlineStr">
        <is>
          <t>8227744:eng</t>
        </is>
      </c>
      <c r="AV898" t="inlineStr">
        <is>
          <t>14214092</t>
        </is>
      </c>
      <c r="AW898" t="inlineStr">
        <is>
          <t>991000922789702656</t>
        </is>
      </c>
      <c r="AX898" t="inlineStr">
        <is>
          <t>991000922789702656</t>
        </is>
      </c>
      <c r="AY898" t="inlineStr">
        <is>
          <t>2269224840002656</t>
        </is>
      </c>
      <c r="AZ898" t="inlineStr">
        <is>
          <t>BOOK</t>
        </is>
      </c>
      <c r="BB898" t="inlineStr">
        <is>
          <t>9780062540652</t>
        </is>
      </c>
      <c r="BC898" t="inlineStr">
        <is>
          <t>32285000667203</t>
        </is>
      </c>
      <c r="BD898" t="inlineStr">
        <is>
          <t>893333898</t>
        </is>
      </c>
    </row>
    <row r="899">
      <c r="A899" t="inlineStr">
        <is>
          <t>No</t>
        </is>
      </c>
      <c r="B899" t="inlineStr">
        <is>
          <t>BX1913 .W28 1982</t>
        </is>
      </c>
      <c r="C899" t="inlineStr">
        <is>
          <t>0                      BX 1913000W  28          1982</t>
        </is>
      </c>
      <c r="D899" t="inlineStr">
        <is>
          <t>Evangelization and justice : new insights for Christian ministry / John Walsh.</t>
        </is>
      </c>
      <c r="F899" t="inlineStr">
        <is>
          <t>No</t>
        </is>
      </c>
      <c r="G899" t="inlineStr">
        <is>
          <t>1</t>
        </is>
      </c>
      <c r="H899" t="inlineStr">
        <is>
          <t>No</t>
        </is>
      </c>
      <c r="I899" t="inlineStr">
        <is>
          <t>No</t>
        </is>
      </c>
      <c r="J899" t="inlineStr">
        <is>
          <t>0</t>
        </is>
      </c>
      <c r="K899" t="inlineStr">
        <is>
          <t>Walsh, John, 1933-</t>
        </is>
      </c>
      <c r="L899" t="inlineStr">
        <is>
          <t>Maryknoll, N.Y. : Orbis, c1982.</t>
        </is>
      </c>
      <c r="M899" t="inlineStr">
        <is>
          <t>1982</t>
        </is>
      </c>
      <c r="O899" t="inlineStr">
        <is>
          <t>eng</t>
        </is>
      </c>
      <c r="P899" t="inlineStr">
        <is>
          <t>nyu</t>
        </is>
      </c>
      <c r="R899" t="inlineStr">
        <is>
          <t xml:space="preserve">BX </t>
        </is>
      </c>
      <c r="S899" t="n">
        <v>1</v>
      </c>
      <c r="T899" t="n">
        <v>1</v>
      </c>
      <c r="U899" t="inlineStr">
        <is>
          <t>2003-07-07</t>
        </is>
      </c>
      <c r="V899" t="inlineStr">
        <is>
          <t>2003-07-07</t>
        </is>
      </c>
      <c r="W899" t="inlineStr">
        <is>
          <t>1997-12-15</t>
        </is>
      </c>
      <c r="X899" t="inlineStr">
        <is>
          <t>1997-12-15</t>
        </is>
      </c>
      <c r="Y899" t="n">
        <v>213</v>
      </c>
      <c r="Z899" t="n">
        <v>163</v>
      </c>
      <c r="AA899" t="n">
        <v>176</v>
      </c>
      <c r="AB899" t="n">
        <v>1</v>
      </c>
      <c r="AC899" t="n">
        <v>1</v>
      </c>
      <c r="AD899" t="n">
        <v>19</v>
      </c>
      <c r="AE899" t="n">
        <v>19</v>
      </c>
      <c r="AF899" t="n">
        <v>5</v>
      </c>
      <c r="AG899" t="n">
        <v>5</v>
      </c>
      <c r="AH899" t="n">
        <v>5</v>
      </c>
      <c r="AI899" t="n">
        <v>5</v>
      </c>
      <c r="AJ899" t="n">
        <v>13</v>
      </c>
      <c r="AK899" t="n">
        <v>13</v>
      </c>
      <c r="AL899" t="n">
        <v>0</v>
      </c>
      <c r="AM899" t="n">
        <v>0</v>
      </c>
      <c r="AN899" t="n">
        <v>0</v>
      </c>
      <c r="AO899" t="n">
        <v>0</v>
      </c>
      <c r="AP899" t="inlineStr">
        <is>
          <t>No</t>
        </is>
      </c>
      <c r="AQ899" t="inlineStr">
        <is>
          <t>No</t>
        </is>
      </c>
      <c r="AS899">
        <f>HYPERLINK("https://creighton-primo.hosted.exlibrisgroup.com/primo-explore/search?tab=default_tab&amp;search_scope=EVERYTHING&amp;vid=01CRU&amp;lang=en_US&amp;offset=0&amp;query=any,contains,991005232499702656","Catalog Record")</f>
        <v/>
      </c>
      <c r="AT899">
        <f>HYPERLINK("http://www.worldcat.org/oclc/8345498","WorldCat Record")</f>
        <v/>
      </c>
      <c r="AU899" t="inlineStr">
        <is>
          <t>367429742:eng</t>
        </is>
      </c>
      <c r="AV899" t="inlineStr">
        <is>
          <t>8345498</t>
        </is>
      </c>
      <c r="AW899" t="inlineStr">
        <is>
          <t>991005232499702656</t>
        </is>
      </c>
      <c r="AX899" t="inlineStr">
        <is>
          <t>991005232499702656</t>
        </is>
      </c>
      <c r="AY899" t="inlineStr">
        <is>
          <t>2263265580002656</t>
        </is>
      </c>
      <c r="AZ899" t="inlineStr">
        <is>
          <t>BOOK</t>
        </is>
      </c>
      <c r="BB899" t="inlineStr">
        <is>
          <t>9780883441091</t>
        </is>
      </c>
      <c r="BC899" t="inlineStr">
        <is>
          <t>32285003283271</t>
        </is>
      </c>
      <c r="BD899" t="inlineStr">
        <is>
          <t>893625667</t>
        </is>
      </c>
    </row>
    <row r="900">
      <c r="A900" t="inlineStr">
        <is>
          <t>No</t>
        </is>
      </c>
      <c r="B900" t="inlineStr">
        <is>
          <t>BX1913 .W49 1991</t>
        </is>
      </c>
      <c r="C900" t="inlineStr">
        <is>
          <t>0                      BX 1913000W  49          1991</t>
        </is>
      </c>
      <c r="D900" t="inlineStr">
        <is>
          <t>The promise of partnership : leadership and ministry in an adult church / James D. Whitehead and Evelyn Eaton Whitehead.</t>
        </is>
      </c>
      <c r="F900" t="inlineStr">
        <is>
          <t>No</t>
        </is>
      </c>
      <c r="G900" t="inlineStr">
        <is>
          <t>1</t>
        </is>
      </c>
      <c r="H900" t="inlineStr">
        <is>
          <t>No</t>
        </is>
      </c>
      <c r="I900" t="inlineStr">
        <is>
          <t>No</t>
        </is>
      </c>
      <c r="J900" t="inlineStr">
        <is>
          <t>0</t>
        </is>
      </c>
      <c r="K900" t="inlineStr">
        <is>
          <t>Whitehead, James D.</t>
        </is>
      </c>
      <c r="L900" t="inlineStr">
        <is>
          <t>San Francisco : HarperSanFrancisco, c1991.</t>
        </is>
      </c>
      <c r="M900" t="inlineStr">
        <is>
          <t>1991</t>
        </is>
      </c>
      <c r="N900" t="inlineStr">
        <is>
          <t>1st ed.</t>
        </is>
      </c>
      <c r="O900" t="inlineStr">
        <is>
          <t>eng</t>
        </is>
      </c>
      <c r="P900" t="inlineStr">
        <is>
          <t>cau</t>
        </is>
      </c>
      <c r="R900" t="inlineStr">
        <is>
          <t xml:space="preserve">BX </t>
        </is>
      </c>
      <c r="S900" t="n">
        <v>4</v>
      </c>
      <c r="T900" t="n">
        <v>4</v>
      </c>
      <c r="U900" t="inlineStr">
        <is>
          <t>1997-08-15</t>
        </is>
      </c>
      <c r="V900" t="inlineStr">
        <is>
          <t>1997-08-15</t>
        </is>
      </c>
      <c r="W900" t="inlineStr">
        <is>
          <t>1992-01-28</t>
        </is>
      </c>
      <c r="X900" t="inlineStr">
        <is>
          <t>1992-01-28</t>
        </is>
      </c>
      <c r="Y900" t="n">
        <v>220</v>
      </c>
      <c r="Z900" t="n">
        <v>194</v>
      </c>
      <c r="AA900" t="n">
        <v>194</v>
      </c>
      <c r="AB900" t="n">
        <v>2</v>
      </c>
      <c r="AC900" t="n">
        <v>2</v>
      </c>
      <c r="AD900" t="n">
        <v>15</v>
      </c>
      <c r="AE900" t="n">
        <v>15</v>
      </c>
      <c r="AF900" t="n">
        <v>5</v>
      </c>
      <c r="AG900" t="n">
        <v>5</v>
      </c>
      <c r="AH900" t="n">
        <v>4</v>
      </c>
      <c r="AI900" t="n">
        <v>4</v>
      </c>
      <c r="AJ900" t="n">
        <v>9</v>
      </c>
      <c r="AK900" t="n">
        <v>9</v>
      </c>
      <c r="AL900" t="n">
        <v>1</v>
      </c>
      <c r="AM900" t="n">
        <v>1</v>
      </c>
      <c r="AN900" t="n">
        <v>0</v>
      </c>
      <c r="AO900" t="n">
        <v>0</v>
      </c>
      <c r="AP900" t="inlineStr">
        <is>
          <t>No</t>
        </is>
      </c>
      <c r="AQ900" t="inlineStr">
        <is>
          <t>No</t>
        </is>
      </c>
      <c r="AS900">
        <f>HYPERLINK("https://creighton-primo.hosted.exlibrisgroup.com/primo-explore/search?tab=default_tab&amp;search_scope=EVERYTHING&amp;vid=01CRU&amp;lang=en_US&amp;offset=0&amp;query=any,contains,991001742559702656","Catalog Record")</f>
        <v/>
      </c>
      <c r="AT900">
        <f>HYPERLINK("http://www.worldcat.org/oclc/22006631","WorldCat Record")</f>
        <v/>
      </c>
      <c r="AU900" t="inlineStr">
        <is>
          <t>4087519843:eng</t>
        </is>
      </c>
      <c r="AV900" t="inlineStr">
        <is>
          <t>22006631</t>
        </is>
      </c>
      <c r="AW900" t="inlineStr">
        <is>
          <t>991001742559702656</t>
        </is>
      </c>
      <c r="AX900" t="inlineStr">
        <is>
          <t>991001742559702656</t>
        </is>
      </c>
      <c r="AY900" t="inlineStr">
        <is>
          <t>2265088070002656</t>
        </is>
      </c>
      <c r="AZ900" t="inlineStr">
        <is>
          <t>BOOK</t>
        </is>
      </c>
      <c r="BB900" t="inlineStr">
        <is>
          <t>9780060693626</t>
        </is>
      </c>
      <c r="BC900" t="inlineStr">
        <is>
          <t>32285000866649</t>
        </is>
      </c>
      <c r="BD900" t="inlineStr">
        <is>
          <t>893621578</t>
        </is>
      </c>
    </row>
    <row r="901">
      <c r="A901" t="inlineStr">
        <is>
          <t>No</t>
        </is>
      </c>
      <c r="B901" t="inlineStr">
        <is>
          <t>BX1913.A1 M5 1962</t>
        </is>
      </c>
      <c r="C901" t="inlineStr">
        <is>
          <t>0                      BX 1913000A  1                  M  5           1962</t>
        </is>
      </c>
      <c r="D901" t="inlineStr">
        <is>
          <t>Pastoral counseling : [Proceedings of the] second annual institute, August 27-30, 1962.</t>
        </is>
      </c>
      <c r="F901" t="inlineStr">
        <is>
          <t>No</t>
        </is>
      </c>
      <c r="G901" t="inlineStr">
        <is>
          <t>1</t>
        </is>
      </c>
      <c r="H901" t="inlineStr">
        <is>
          <t>No</t>
        </is>
      </c>
      <c r="I901" t="inlineStr">
        <is>
          <t>No</t>
        </is>
      </c>
      <c r="J901" t="inlineStr">
        <is>
          <t>0</t>
        </is>
      </c>
      <c r="K901" t="inlineStr">
        <is>
          <t>Midwestern Institute of Pastoral Theology (2nd : 1962 : Sacred Heart Seminary)</t>
        </is>
      </c>
      <c r="L901" t="inlineStr">
        <is>
          <t>Detroit : Midwestern Institute of Pastoral Theology, Sacred Heart Seminary, 1962.</t>
        </is>
      </c>
      <c r="M901" t="inlineStr">
        <is>
          <t>1962</t>
        </is>
      </c>
      <c r="O901" t="inlineStr">
        <is>
          <t>eng</t>
        </is>
      </c>
      <c r="P901" t="inlineStr">
        <is>
          <t>miu</t>
        </is>
      </c>
      <c r="R901" t="inlineStr">
        <is>
          <t xml:space="preserve">BX </t>
        </is>
      </c>
      <c r="S901" t="n">
        <v>1</v>
      </c>
      <c r="T901" t="n">
        <v>1</v>
      </c>
      <c r="U901" t="inlineStr">
        <is>
          <t>2003-03-02</t>
        </is>
      </c>
      <c r="V901" t="inlineStr">
        <is>
          <t>2003-03-02</t>
        </is>
      </c>
      <c r="W901" t="inlineStr">
        <is>
          <t>1991-07-01</t>
        </is>
      </c>
      <c r="X901" t="inlineStr">
        <is>
          <t>1991-07-01</t>
        </is>
      </c>
      <c r="Y901" t="n">
        <v>32</v>
      </c>
      <c r="Z901" t="n">
        <v>32</v>
      </c>
      <c r="AA901" t="n">
        <v>32</v>
      </c>
      <c r="AB901" t="n">
        <v>1</v>
      </c>
      <c r="AC901" t="n">
        <v>1</v>
      </c>
      <c r="AD901" t="n">
        <v>6</v>
      </c>
      <c r="AE901" t="n">
        <v>6</v>
      </c>
      <c r="AF901" t="n">
        <v>2</v>
      </c>
      <c r="AG901" t="n">
        <v>2</v>
      </c>
      <c r="AH901" t="n">
        <v>0</v>
      </c>
      <c r="AI901" t="n">
        <v>0</v>
      </c>
      <c r="AJ901" t="n">
        <v>6</v>
      </c>
      <c r="AK901" t="n">
        <v>6</v>
      </c>
      <c r="AL901" t="n">
        <v>0</v>
      </c>
      <c r="AM901" t="n">
        <v>0</v>
      </c>
      <c r="AN901" t="n">
        <v>0</v>
      </c>
      <c r="AO901" t="n">
        <v>0</v>
      </c>
      <c r="AP901" t="inlineStr">
        <is>
          <t>No</t>
        </is>
      </c>
      <c r="AQ901" t="inlineStr">
        <is>
          <t>No</t>
        </is>
      </c>
      <c r="AS901">
        <f>HYPERLINK("https://creighton-primo.hosted.exlibrisgroup.com/primo-explore/search?tab=default_tab&amp;search_scope=EVERYTHING&amp;vid=01CRU&amp;lang=en_US&amp;offset=0&amp;query=any,contains,991004248739702656","Catalog Record")</f>
        <v/>
      </c>
      <c r="AT901">
        <f>HYPERLINK("http://www.worldcat.org/oclc/2800945","WorldCat Record")</f>
        <v/>
      </c>
      <c r="AU901" t="inlineStr">
        <is>
          <t>5960998:eng</t>
        </is>
      </c>
      <c r="AV901" t="inlineStr">
        <is>
          <t>2800945</t>
        </is>
      </c>
      <c r="AW901" t="inlineStr">
        <is>
          <t>991004248739702656</t>
        </is>
      </c>
      <c r="AX901" t="inlineStr">
        <is>
          <t>991004248739702656</t>
        </is>
      </c>
      <c r="AY901" t="inlineStr">
        <is>
          <t>2260075130002656</t>
        </is>
      </c>
      <c r="AZ901" t="inlineStr">
        <is>
          <t>BOOK</t>
        </is>
      </c>
      <c r="BC901" t="inlineStr">
        <is>
          <t>32285000666973</t>
        </is>
      </c>
      <c r="BD901" t="inlineStr">
        <is>
          <t>893794652</t>
        </is>
      </c>
    </row>
    <row r="902">
      <c r="A902" t="inlineStr">
        <is>
          <t>No</t>
        </is>
      </c>
      <c r="B902" t="inlineStr">
        <is>
          <t>BX1914 .C66 1997</t>
        </is>
      </c>
      <c r="C902" t="inlineStr">
        <is>
          <t>0                      BX 1914000C  66          1997</t>
        </is>
      </c>
      <c r="D902" t="inlineStr">
        <is>
          <t>A concert of charisms : ordained ministry in religious life / Paul K. Hennessy, editor.</t>
        </is>
      </c>
      <c r="F902" t="inlineStr">
        <is>
          <t>No</t>
        </is>
      </c>
      <c r="G902" t="inlineStr">
        <is>
          <t>1</t>
        </is>
      </c>
      <c r="H902" t="inlineStr">
        <is>
          <t>No</t>
        </is>
      </c>
      <c r="I902" t="inlineStr">
        <is>
          <t>No</t>
        </is>
      </c>
      <c r="J902" t="inlineStr">
        <is>
          <t>0</t>
        </is>
      </c>
      <c r="L902" t="inlineStr">
        <is>
          <t>New York : Paulist Press, c1997.</t>
        </is>
      </c>
      <c r="M902" t="inlineStr">
        <is>
          <t>1997</t>
        </is>
      </c>
      <c r="O902" t="inlineStr">
        <is>
          <t>eng</t>
        </is>
      </c>
      <c r="P902" t="inlineStr">
        <is>
          <t>nyu</t>
        </is>
      </c>
      <c r="R902" t="inlineStr">
        <is>
          <t xml:space="preserve">BX </t>
        </is>
      </c>
      <c r="S902" t="n">
        <v>1</v>
      </c>
      <c r="T902" t="n">
        <v>1</v>
      </c>
      <c r="U902" t="inlineStr">
        <is>
          <t>2004-06-15</t>
        </is>
      </c>
      <c r="V902" t="inlineStr">
        <is>
          <t>2004-06-15</t>
        </is>
      </c>
      <c r="W902" t="inlineStr">
        <is>
          <t>1997-11-14</t>
        </is>
      </c>
      <c r="X902" t="inlineStr">
        <is>
          <t>1997-11-14</t>
        </is>
      </c>
      <c r="Y902" t="n">
        <v>147</v>
      </c>
      <c r="Z902" t="n">
        <v>124</v>
      </c>
      <c r="AA902" t="n">
        <v>124</v>
      </c>
      <c r="AB902" t="n">
        <v>3</v>
      </c>
      <c r="AC902" t="n">
        <v>3</v>
      </c>
      <c r="AD902" t="n">
        <v>20</v>
      </c>
      <c r="AE902" t="n">
        <v>20</v>
      </c>
      <c r="AF902" t="n">
        <v>5</v>
      </c>
      <c r="AG902" t="n">
        <v>5</v>
      </c>
      <c r="AH902" t="n">
        <v>5</v>
      </c>
      <c r="AI902" t="n">
        <v>5</v>
      </c>
      <c r="AJ902" t="n">
        <v>13</v>
      </c>
      <c r="AK902" t="n">
        <v>13</v>
      </c>
      <c r="AL902" t="n">
        <v>0</v>
      </c>
      <c r="AM902" t="n">
        <v>0</v>
      </c>
      <c r="AN902" t="n">
        <v>0</v>
      </c>
      <c r="AO902" t="n">
        <v>0</v>
      </c>
      <c r="AP902" t="inlineStr">
        <is>
          <t>No</t>
        </is>
      </c>
      <c r="AQ902" t="inlineStr">
        <is>
          <t>No</t>
        </is>
      </c>
      <c r="AS902">
        <f>HYPERLINK("https://creighton-primo.hosted.exlibrisgroup.com/primo-explore/search?tab=default_tab&amp;search_scope=EVERYTHING&amp;vid=01CRU&amp;lang=en_US&amp;offset=0&amp;query=any,contains,991002789699702656","Catalog Record")</f>
        <v/>
      </c>
      <c r="AT902">
        <f>HYPERLINK("http://www.worldcat.org/oclc/36647779","WorldCat Record")</f>
        <v/>
      </c>
      <c r="AU902" t="inlineStr">
        <is>
          <t>4081694061:eng</t>
        </is>
      </c>
      <c r="AV902" t="inlineStr">
        <is>
          <t>36647779</t>
        </is>
      </c>
      <c r="AW902" t="inlineStr">
        <is>
          <t>991002789699702656</t>
        </is>
      </c>
      <c r="AX902" t="inlineStr">
        <is>
          <t>991002789699702656</t>
        </is>
      </c>
      <c r="AY902" t="inlineStr">
        <is>
          <t>2264454800002656</t>
        </is>
      </c>
      <c r="AZ902" t="inlineStr">
        <is>
          <t>BOOK</t>
        </is>
      </c>
      <c r="BB902" t="inlineStr">
        <is>
          <t>9780809137138</t>
        </is>
      </c>
      <c r="BC902" t="inlineStr">
        <is>
          <t>32285003279972</t>
        </is>
      </c>
      <c r="BD902" t="inlineStr">
        <is>
          <t>893622727</t>
        </is>
      </c>
    </row>
    <row r="903">
      <c r="A903" t="inlineStr">
        <is>
          <t>No</t>
        </is>
      </c>
      <c r="B903" t="inlineStr">
        <is>
          <t>BX1918 .L68 2001</t>
        </is>
      </c>
      <c r="C903" t="inlineStr">
        <is>
          <t>0                      BX 1918000L  68          2001</t>
        </is>
      </c>
      <c r="D903" t="inlineStr">
        <is>
          <t>Love beyond all telling : Catechetical Sunday 2001, September 16 / general editor (English), Kathleen Hendricks ; general editor (Spanish), Marina Herrera ; contributing authors, Michael Amodei ... [et al.]</t>
        </is>
      </c>
      <c r="F903" t="inlineStr">
        <is>
          <t>No</t>
        </is>
      </c>
      <c r="G903" t="inlineStr">
        <is>
          <t>1</t>
        </is>
      </c>
      <c r="H903" t="inlineStr">
        <is>
          <t>No</t>
        </is>
      </c>
      <c r="I903" t="inlineStr">
        <is>
          <t>No</t>
        </is>
      </c>
      <c r="J903" t="inlineStr">
        <is>
          <t>0</t>
        </is>
      </c>
      <c r="L903" t="inlineStr">
        <is>
          <t>Washington, D.C. : United States Catholic Conference, Dept. of Education, 2001.</t>
        </is>
      </c>
      <c r="M903" t="inlineStr">
        <is>
          <t>2001</t>
        </is>
      </c>
      <c r="O903" t="inlineStr">
        <is>
          <t>eng</t>
        </is>
      </c>
      <c r="P903" t="inlineStr">
        <is>
          <t>dcu</t>
        </is>
      </c>
      <c r="R903" t="inlineStr">
        <is>
          <t xml:space="preserve">BX </t>
        </is>
      </c>
      <c r="S903" t="n">
        <v>1</v>
      </c>
      <c r="T903" t="n">
        <v>1</v>
      </c>
      <c r="U903" t="inlineStr">
        <is>
          <t>2001-06-19</t>
        </is>
      </c>
      <c r="V903" t="inlineStr">
        <is>
          <t>2001-06-19</t>
        </is>
      </c>
      <c r="W903" t="inlineStr">
        <is>
          <t>2001-06-19</t>
        </is>
      </c>
      <c r="X903" t="inlineStr">
        <is>
          <t>2001-06-19</t>
        </is>
      </c>
      <c r="Y903" t="n">
        <v>36</v>
      </c>
      <c r="Z903" t="n">
        <v>35</v>
      </c>
      <c r="AA903" t="n">
        <v>35</v>
      </c>
      <c r="AB903" t="n">
        <v>1</v>
      </c>
      <c r="AC903" t="n">
        <v>1</v>
      </c>
      <c r="AD903" t="n">
        <v>6</v>
      </c>
      <c r="AE903" t="n">
        <v>6</v>
      </c>
      <c r="AF903" t="n">
        <v>1</v>
      </c>
      <c r="AG903" t="n">
        <v>1</v>
      </c>
      <c r="AH903" t="n">
        <v>2</v>
      </c>
      <c r="AI903" t="n">
        <v>2</v>
      </c>
      <c r="AJ903" t="n">
        <v>5</v>
      </c>
      <c r="AK903" t="n">
        <v>5</v>
      </c>
      <c r="AL903" t="n">
        <v>0</v>
      </c>
      <c r="AM903" t="n">
        <v>0</v>
      </c>
      <c r="AN903" t="n">
        <v>0</v>
      </c>
      <c r="AO903" t="n">
        <v>0</v>
      </c>
      <c r="AP903" t="inlineStr">
        <is>
          <t>No</t>
        </is>
      </c>
      <c r="AQ903" t="inlineStr">
        <is>
          <t>No</t>
        </is>
      </c>
      <c r="AS903">
        <f>HYPERLINK("https://creighton-primo.hosted.exlibrisgroup.com/primo-explore/search?tab=default_tab&amp;search_scope=EVERYTHING&amp;vid=01CRU&amp;lang=en_US&amp;offset=0&amp;query=any,contains,991003530079702656","Catalog Record")</f>
        <v/>
      </c>
      <c r="AT903">
        <f>HYPERLINK("http://www.worldcat.org/oclc/47102944","WorldCat Record")</f>
        <v/>
      </c>
      <c r="AU903" t="inlineStr">
        <is>
          <t>35947946:eng</t>
        </is>
      </c>
      <c r="AV903" t="inlineStr">
        <is>
          <t>47102944</t>
        </is>
      </c>
      <c r="AW903" t="inlineStr">
        <is>
          <t>991003530079702656</t>
        </is>
      </c>
      <c r="AX903" t="inlineStr">
        <is>
          <t>991003530079702656</t>
        </is>
      </c>
      <c r="AY903" t="inlineStr">
        <is>
          <t>2260665000002656</t>
        </is>
      </c>
      <c r="AZ903" t="inlineStr">
        <is>
          <t>BOOK</t>
        </is>
      </c>
      <c r="BB903" t="inlineStr">
        <is>
          <t>9781574553963</t>
        </is>
      </c>
      <c r="BC903" t="inlineStr">
        <is>
          <t>32285004328786</t>
        </is>
      </c>
      <c r="BD903" t="inlineStr">
        <is>
          <t>893874854</t>
        </is>
      </c>
    </row>
    <row r="904">
      <c r="A904" t="inlineStr">
        <is>
          <t>No</t>
        </is>
      </c>
      <c r="B904" t="inlineStr">
        <is>
          <t>BX1920 .B76</t>
        </is>
      </c>
      <c r="C904" t="inlineStr">
        <is>
          <t>0                      BX 1920000B  76</t>
        </is>
      </c>
      <c r="D904" t="inlineStr">
        <is>
          <t>A priestly people / [by] Robert A. Brungs.</t>
        </is>
      </c>
      <c r="F904" t="inlineStr">
        <is>
          <t>No</t>
        </is>
      </c>
      <c r="G904" t="inlineStr">
        <is>
          <t>1</t>
        </is>
      </c>
      <c r="H904" t="inlineStr">
        <is>
          <t>No</t>
        </is>
      </c>
      <c r="I904" t="inlineStr">
        <is>
          <t>No</t>
        </is>
      </c>
      <c r="J904" t="inlineStr">
        <is>
          <t>0</t>
        </is>
      </c>
      <c r="K904" t="inlineStr">
        <is>
          <t>Brungs, Robert A., 1931-2006.</t>
        </is>
      </c>
      <c r="L904" t="inlineStr">
        <is>
          <t>New York : Sheed and Ward, [1968]</t>
        </is>
      </c>
      <c r="M904" t="inlineStr">
        <is>
          <t>1968</t>
        </is>
      </c>
      <c r="O904" t="inlineStr">
        <is>
          <t>eng</t>
        </is>
      </c>
      <c r="P904" t="inlineStr">
        <is>
          <t>nyu</t>
        </is>
      </c>
      <c r="R904" t="inlineStr">
        <is>
          <t xml:space="preserve">BX </t>
        </is>
      </c>
      <c r="S904" t="n">
        <v>2</v>
      </c>
      <c r="T904" t="n">
        <v>2</v>
      </c>
      <c r="U904" t="inlineStr">
        <is>
          <t>1996-05-01</t>
        </is>
      </c>
      <c r="V904" t="inlineStr">
        <is>
          <t>1996-05-01</t>
        </is>
      </c>
      <c r="W904" t="inlineStr">
        <is>
          <t>1991-07-01</t>
        </is>
      </c>
      <c r="X904" t="inlineStr">
        <is>
          <t>1991-07-01</t>
        </is>
      </c>
      <c r="Y904" t="n">
        <v>208</v>
      </c>
      <c r="Z904" t="n">
        <v>182</v>
      </c>
      <c r="AA904" t="n">
        <v>188</v>
      </c>
      <c r="AB904" t="n">
        <v>3</v>
      </c>
      <c r="AC904" t="n">
        <v>3</v>
      </c>
      <c r="AD904" t="n">
        <v>26</v>
      </c>
      <c r="AE904" t="n">
        <v>26</v>
      </c>
      <c r="AF904" t="n">
        <v>7</v>
      </c>
      <c r="AG904" t="n">
        <v>7</v>
      </c>
      <c r="AH904" t="n">
        <v>6</v>
      </c>
      <c r="AI904" t="n">
        <v>6</v>
      </c>
      <c r="AJ904" t="n">
        <v>22</v>
      </c>
      <c r="AK904" t="n">
        <v>22</v>
      </c>
      <c r="AL904" t="n">
        <v>1</v>
      </c>
      <c r="AM904" t="n">
        <v>1</v>
      </c>
      <c r="AN904" t="n">
        <v>0</v>
      </c>
      <c r="AO904" t="n">
        <v>0</v>
      </c>
      <c r="AP904" t="inlineStr">
        <is>
          <t>No</t>
        </is>
      </c>
      <c r="AQ904" t="inlineStr">
        <is>
          <t>Yes</t>
        </is>
      </c>
      <c r="AR904">
        <f>HYPERLINK("http://catalog.hathitrust.org/Record/102375219","HathiTrust Record")</f>
        <v/>
      </c>
      <c r="AS904">
        <f>HYPERLINK("https://creighton-primo.hosted.exlibrisgroup.com/primo-explore/search?tab=default_tab&amp;search_scope=EVERYTHING&amp;vid=01CRU&amp;lang=en_US&amp;offset=0&amp;query=any,contains,991002774039702656","Catalog Record")</f>
        <v/>
      </c>
      <c r="AT904">
        <f>HYPERLINK("http://www.worldcat.org/oclc/438057","WorldCat Record")</f>
        <v/>
      </c>
      <c r="AU904" t="inlineStr">
        <is>
          <t>1560131:eng</t>
        </is>
      </c>
      <c r="AV904" t="inlineStr">
        <is>
          <t>438057</t>
        </is>
      </c>
      <c r="AW904" t="inlineStr">
        <is>
          <t>991002774039702656</t>
        </is>
      </c>
      <c r="AX904" t="inlineStr">
        <is>
          <t>991002774039702656</t>
        </is>
      </c>
      <c r="AY904" t="inlineStr">
        <is>
          <t>2265215860002656</t>
        </is>
      </c>
      <c r="AZ904" t="inlineStr">
        <is>
          <t>BOOK</t>
        </is>
      </c>
      <c r="BC904" t="inlineStr">
        <is>
          <t>32285000667237</t>
        </is>
      </c>
      <c r="BD904" t="inlineStr">
        <is>
          <t>893517726</t>
        </is>
      </c>
    </row>
    <row r="905">
      <c r="A905" t="inlineStr">
        <is>
          <t>No</t>
        </is>
      </c>
      <c r="B905" t="inlineStr">
        <is>
          <t>BX1920 .C24 1999</t>
        </is>
      </c>
      <c r="C905" t="inlineStr">
        <is>
          <t>0                      BX 1920000C  24          1999</t>
        </is>
      </c>
      <c r="D905" t="inlineStr">
        <is>
          <t>Lay ecclesial ministry : the state of the questions : a report of the Subcommittee on Lay Ministry, Committee on the Laity, National Conference of Catholic Bishops.</t>
        </is>
      </c>
      <c r="F905" t="inlineStr">
        <is>
          <t>No</t>
        </is>
      </c>
      <c r="G905" t="inlineStr">
        <is>
          <t>1</t>
        </is>
      </c>
      <c r="H905" t="inlineStr">
        <is>
          <t>No</t>
        </is>
      </c>
      <c r="I905" t="inlineStr">
        <is>
          <t>No</t>
        </is>
      </c>
      <c r="J905" t="inlineStr">
        <is>
          <t>0</t>
        </is>
      </c>
      <c r="K905" t="inlineStr">
        <is>
          <t>Catholic Church. National Conference of Catholic Bishops. Subcommittee on Lay Ministry.</t>
        </is>
      </c>
      <c r="L905" t="inlineStr">
        <is>
          <t>Washincton, D.C. : United States Catholic Conference, c1999.</t>
        </is>
      </c>
      <c r="M905" t="inlineStr">
        <is>
          <t>1999</t>
        </is>
      </c>
      <c r="O905" t="inlineStr">
        <is>
          <t>eng</t>
        </is>
      </c>
      <c r="P905" t="inlineStr">
        <is>
          <t>dcu</t>
        </is>
      </c>
      <c r="Q905" t="inlineStr">
        <is>
          <t>Publication ; no. 5-345</t>
        </is>
      </c>
      <c r="R905" t="inlineStr">
        <is>
          <t xml:space="preserve">BX </t>
        </is>
      </c>
      <c r="S905" t="n">
        <v>1</v>
      </c>
      <c r="T905" t="n">
        <v>1</v>
      </c>
      <c r="U905" t="inlineStr">
        <is>
          <t>2003-09-16</t>
        </is>
      </c>
      <c r="V905" t="inlineStr">
        <is>
          <t>2003-09-16</t>
        </is>
      </c>
      <c r="W905" t="inlineStr">
        <is>
          <t>2000-03-02</t>
        </is>
      </c>
      <c r="X905" t="inlineStr">
        <is>
          <t>2000-03-02</t>
        </is>
      </c>
      <c r="Y905" t="n">
        <v>118</v>
      </c>
      <c r="Z905" t="n">
        <v>109</v>
      </c>
      <c r="AA905" t="n">
        <v>114</v>
      </c>
      <c r="AB905" t="n">
        <v>1</v>
      </c>
      <c r="AC905" t="n">
        <v>1</v>
      </c>
      <c r="AD905" t="n">
        <v>18</v>
      </c>
      <c r="AE905" t="n">
        <v>18</v>
      </c>
      <c r="AF905" t="n">
        <v>5</v>
      </c>
      <c r="AG905" t="n">
        <v>5</v>
      </c>
      <c r="AH905" t="n">
        <v>5</v>
      </c>
      <c r="AI905" t="n">
        <v>5</v>
      </c>
      <c r="AJ905" t="n">
        <v>13</v>
      </c>
      <c r="AK905" t="n">
        <v>13</v>
      </c>
      <c r="AL905" t="n">
        <v>0</v>
      </c>
      <c r="AM905" t="n">
        <v>0</v>
      </c>
      <c r="AN905" t="n">
        <v>0</v>
      </c>
      <c r="AO905" t="n">
        <v>0</v>
      </c>
      <c r="AP905" t="inlineStr">
        <is>
          <t>No</t>
        </is>
      </c>
      <c r="AQ905" t="inlineStr">
        <is>
          <t>No</t>
        </is>
      </c>
      <c r="AS905">
        <f>HYPERLINK("https://creighton-primo.hosted.exlibrisgroup.com/primo-explore/search?tab=default_tab&amp;search_scope=EVERYTHING&amp;vid=01CRU&amp;lang=en_US&amp;offset=0&amp;query=any,contains,991003053329702656","Catalog Record")</f>
        <v/>
      </c>
      <c r="AT905">
        <f>HYPERLINK("http://www.worldcat.org/oclc/50591202","WorldCat Record")</f>
        <v/>
      </c>
      <c r="AU905" t="inlineStr">
        <is>
          <t>4066039600:eng</t>
        </is>
      </c>
      <c r="AV905" t="inlineStr">
        <is>
          <t>50591202</t>
        </is>
      </c>
      <c r="AW905" t="inlineStr">
        <is>
          <t>991003053329702656</t>
        </is>
      </c>
      <c r="AX905" t="inlineStr">
        <is>
          <t>991003053329702656</t>
        </is>
      </c>
      <c r="AY905" t="inlineStr">
        <is>
          <t>2269105510002656</t>
        </is>
      </c>
      <c r="AZ905" t="inlineStr">
        <is>
          <t>BOOK</t>
        </is>
      </c>
      <c r="BB905" t="inlineStr">
        <is>
          <t>9781574553451</t>
        </is>
      </c>
      <c r="BC905" t="inlineStr">
        <is>
          <t>32285003666632</t>
        </is>
      </c>
      <c r="BD905" t="inlineStr">
        <is>
          <t>893422127</t>
        </is>
      </c>
    </row>
    <row r="906">
      <c r="A906" t="inlineStr">
        <is>
          <t>No</t>
        </is>
      </c>
      <c r="B906" t="inlineStr">
        <is>
          <t>BX1920 .C29 1987</t>
        </is>
      </c>
      <c r="C906" t="inlineStr">
        <is>
          <t>0                      BX 1920000C  29          1987</t>
        </is>
      </c>
      <c r="D906" t="inlineStr">
        <is>
          <t>Instrumentum laboris : the vocation and mission of the laity in the church and in the world twenty years after the Second Vatican Council / Synod of Bishops, Rome, 1987.</t>
        </is>
      </c>
      <c r="F906" t="inlineStr">
        <is>
          <t>No</t>
        </is>
      </c>
      <c r="G906" t="inlineStr">
        <is>
          <t>1</t>
        </is>
      </c>
      <c r="H906" t="inlineStr">
        <is>
          <t>No</t>
        </is>
      </c>
      <c r="I906" t="inlineStr">
        <is>
          <t>No</t>
        </is>
      </c>
      <c r="J906" t="inlineStr">
        <is>
          <t>0</t>
        </is>
      </c>
      <c r="K906" t="inlineStr">
        <is>
          <t>Catholic Church. Synodus Episcoporum (8th : 1987)</t>
        </is>
      </c>
      <c r="L906" t="inlineStr">
        <is>
          <t>Washington, D.C. : Office of Publishing and Promotion Services, United States Catholic Conference 1987.</t>
        </is>
      </c>
      <c r="M906" t="inlineStr">
        <is>
          <t>1987</t>
        </is>
      </c>
      <c r="O906" t="inlineStr">
        <is>
          <t>eng</t>
        </is>
      </c>
      <c r="P906" t="inlineStr">
        <is>
          <t>dcu</t>
        </is>
      </c>
      <c r="Q906" t="inlineStr">
        <is>
          <t>Publication / Office of Publishing and Promotion Services, United States Catholic Conference ; no. 165-2</t>
        </is>
      </c>
      <c r="R906" t="inlineStr">
        <is>
          <t xml:space="preserve">BX </t>
        </is>
      </c>
      <c r="S906" t="n">
        <v>8</v>
      </c>
      <c r="T906" t="n">
        <v>8</v>
      </c>
      <c r="U906" t="inlineStr">
        <is>
          <t>1997-08-22</t>
        </is>
      </c>
      <c r="V906" t="inlineStr">
        <is>
          <t>1997-08-22</t>
        </is>
      </c>
      <c r="W906" t="inlineStr">
        <is>
          <t>1991-07-01</t>
        </is>
      </c>
      <c r="X906" t="inlineStr">
        <is>
          <t>1991-07-01</t>
        </is>
      </c>
      <c r="Y906" t="n">
        <v>101</v>
      </c>
      <c r="Z906" t="n">
        <v>94</v>
      </c>
      <c r="AA906" t="n">
        <v>98</v>
      </c>
      <c r="AB906" t="n">
        <v>1</v>
      </c>
      <c r="AC906" t="n">
        <v>1</v>
      </c>
      <c r="AD906" t="n">
        <v>16</v>
      </c>
      <c r="AE906" t="n">
        <v>16</v>
      </c>
      <c r="AF906" t="n">
        <v>5</v>
      </c>
      <c r="AG906" t="n">
        <v>5</v>
      </c>
      <c r="AH906" t="n">
        <v>5</v>
      </c>
      <c r="AI906" t="n">
        <v>5</v>
      </c>
      <c r="AJ906" t="n">
        <v>12</v>
      </c>
      <c r="AK906" t="n">
        <v>12</v>
      </c>
      <c r="AL906" t="n">
        <v>0</v>
      </c>
      <c r="AM906" t="n">
        <v>0</v>
      </c>
      <c r="AN906" t="n">
        <v>0</v>
      </c>
      <c r="AO906" t="n">
        <v>0</v>
      </c>
      <c r="AP906" t="inlineStr">
        <is>
          <t>No</t>
        </is>
      </c>
      <c r="AQ906" t="inlineStr">
        <is>
          <t>No</t>
        </is>
      </c>
      <c r="AS906">
        <f>HYPERLINK("https://creighton-primo.hosted.exlibrisgroup.com/primo-explore/search?tab=default_tab&amp;search_scope=EVERYTHING&amp;vid=01CRU&amp;lang=en_US&amp;offset=0&amp;query=any,contains,991001156109702656","Catalog Record")</f>
        <v/>
      </c>
      <c r="AT906">
        <f>HYPERLINK("http://www.worldcat.org/oclc/16857127","WorldCat Record")</f>
        <v/>
      </c>
      <c r="AU906" t="inlineStr">
        <is>
          <t>13217475:eng</t>
        </is>
      </c>
      <c r="AV906" t="inlineStr">
        <is>
          <t>16857127</t>
        </is>
      </c>
      <c r="AW906" t="inlineStr">
        <is>
          <t>991001156109702656</t>
        </is>
      </c>
      <c r="AX906" t="inlineStr">
        <is>
          <t>991001156109702656</t>
        </is>
      </c>
      <c r="AY906" t="inlineStr">
        <is>
          <t>2258796850002656</t>
        </is>
      </c>
      <c r="AZ906" t="inlineStr">
        <is>
          <t>BOOK</t>
        </is>
      </c>
      <c r="BB906" t="inlineStr">
        <is>
          <t>9781555861650</t>
        </is>
      </c>
      <c r="BC906" t="inlineStr">
        <is>
          <t>32285000667260</t>
        </is>
      </c>
      <c r="BD906" t="inlineStr">
        <is>
          <t>893327911</t>
        </is>
      </c>
    </row>
    <row r="907">
      <c r="A907" t="inlineStr">
        <is>
          <t>No</t>
        </is>
      </c>
      <c r="B907" t="inlineStr">
        <is>
          <t>BX1920 .C35 1995</t>
        </is>
      </c>
      <c r="C907" t="inlineStr">
        <is>
          <t>0                      BX 1920000C  35          1995</t>
        </is>
      </c>
      <c r="D907" t="inlineStr">
        <is>
          <t>Called and gifted for the Third Millennium : reflections of the U.S. Catholic Bishops on the thirtieth anniversary of the Decree on the Apostolate of the Laity and the fifteenth anniversary of Called and Gifted.</t>
        </is>
      </c>
      <c r="F907" t="inlineStr">
        <is>
          <t>No</t>
        </is>
      </c>
      <c r="G907" t="inlineStr">
        <is>
          <t>1</t>
        </is>
      </c>
      <c r="H907" t="inlineStr">
        <is>
          <t>No</t>
        </is>
      </c>
      <c r="I907" t="inlineStr">
        <is>
          <t>No</t>
        </is>
      </c>
      <c r="J907" t="inlineStr">
        <is>
          <t>0</t>
        </is>
      </c>
      <c r="K907" t="inlineStr">
        <is>
          <t>United States Catholic Conference.</t>
        </is>
      </c>
      <c r="L907" t="inlineStr">
        <is>
          <t>Washington, DC : U.S. Catholic Conference, 1995.</t>
        </is>
      </c>
      <c r="M907" t="inlineStr">
        <is>
          <t>1995</t>
        </is>
      </c>
      <c r="O907" t="inlineStr">
        <is>
          <t>eng</t>
        </is>
      </c>
      <c r="P907" t="inlineStr">
        <is>
          <t>dcu</t>
        </is>
      </c>
      <c r="Q907" t="inlineStr">
        <is>
          <t>Publication ; no. 5-002</t>
        </is>
      </c>
      <c r="R907" t="inlineStr">
        <is>
          <t xml:space="preserve">BX </t>
        </is>
      </c>
      <c r="S907" t="n">
        <v>7</v>
      </c>
      <c r="T907" t="n">
        <v>7</v>
      </c>
      <c r="U907" t="inlineStr">
        <is>
          <t>2004-05-18</t>
        </is>
      </c>
      <c r="V907" t="inlineStr">
        <is>
          <t>2004-05-18</t>
        </is>
      </c>
      <c r="W907" t="inlineStr">
        <is>
          <t>1996-01-23</t>
        </is>
      </c>
      <c r="X907" t="inlineStr">
        <is>
          <t>1996-01-23</t>
        </is>
      </c>
      <c r="Y907" t="n">
        <v>99</v>
      </c>
      <c r="Z907" t="n">
        <v>93</v>
      </c>
      <c r="AA907" t="n">
        <v>93</v>
      </c>
      <c r="AB907" t="n">
        <v>1</v>
      </c>
      <c r="AC907" t="n">
        <v>1</v>
      </c>
      <c r="AD907" t="n">
        <v>15</v>
      </c>
      <c r="AE907" t="n">
        <v>15</v>
      </c>
      <c r="AF907" t="n">
        <v>3</v>
      </c>
      <c r="AG907" t="n">
        <v>3</v>
      </c>
      <c r="AH907" t="n">
        <v>5</v>
      </c>
      <c r="AI907" t="n">
        <v>5</v>
      </c>
      <c r="AJ907" t="n">
        <v>12</v>
      </c>
      <c r="AK907" t="n">
        <v>12</v>
      </c>
      <c r="AL907" t="n">
        <v>0</v>
      </c>
      <c r="AM907" t="n">
        <v>0</v>
      </c>
      <c r="AN907" t="n">
        <v>0</v>
      </c>
      <c r="AO907" t="n">
        <v>0</v>
      </c>
      <c r="AP907" t="inlineStr">
        <is>
          <t>No</t>
        </is>
      </c>
      <c r="AQ907" t="inlineStr">
        <is>
          <t>No</t>
        </is>
      </c>
      <c r="AS907">
        <f>HYPERLINK("https://creighton-primo.hosted.exlibrisgroup.com/primo-explore/search?tab=default_tab&amp;search_scope=EVERYTHING&amp;vid=01CRU&amp;lang=en_US&amp;offset=0&amp;query=any,contains,991002596289702656","Catalog Record")</f>
        <v/>
      </c>
      <c r="AT907">
        <f>HYPERLINK("http://www.worldcat.org/oclc/34005484","WorldCat Record")</f>
        <v/>
      </c>
      <c r="AU907" t="inlineStr">
        <is>
          <t>686933:eng</t>
        </is>
      </c>
      <c r="AV907" t="inlineStr">
        <is>
          <t>34005484</t>
        </is>
      </c>
      <c r="AW907" t="inlineStr">
        <is>
          <t>991002596289702656</t>
        </is>
      </c>
      <c r="AX907" t="inlineStr">
        <is>
          <t>991002596289702656</t>
        </is>
      </c>
      <c r="AY907" t="inlineStr">
        <is>
          <t>2254986600002656</t>
        </is>
      </c>
      <c r="AZ907" t="inlineStr">
        <is>
          <t>BOOK</t>
        </is>
      </c>
      <c r="BB907" t="inlineStr">
        <is>
          <t>9781574550023</t>
        </is>
      </c>
      <c r="BC907" t="inlineStr">
        <is>
          <t>32285002125341</t>
        </is>
      </c>
      <c r="BD907" t="inlineStr">
        <is>
          <t>893880146</t>
        </is>
      </c>
    </row>
    <row r="908">
      <c r="A908" t="inlineStr">
        <is>
          <t>No</t>
        </is>
      </c>
      <c r="B908" t="inlineStr">
        <is>
          <t>BX1920 .C37 1987</t>
        </is>
      </c>
      <c r="C908" t="inlineStr">
        <is>
          <t>0                      BX 1920000C  37          1987</t>
        </is>
      </c>
      <c r="D908" t="inlineStr">
        <is>
          <t>One body : different gifts, many roles : reflections on the American Catholic laity / Secretariat, Bishops' Committee on the Laity, National Conference of Catholic Bishops.</t>
        </is>
      </c>
      <c r="F908" t="inlineStr">
        <is>
          <t>No</t>
        </is>
      </c>
      <c r="G908" t="inlineStr">
        <is>
          <t>1</t>
        </is>
      </c>
      <c r="H908" t="inlineStr">
        <is>
          <t>No</t>
        </is>
      </c>
      <c r="I908" t="inlineStr">
        <is>
          <t>No</t>
        </is>
      </c>
      <c r="J908" t="inlineStr">
        <is>
          <t>0</t>
        </is>
      </c>
      <c r="K908" t="inlineStr">
        <is>
          <t>Catholic Church. National Conference of Catholic Bishops. Bishops' Committee on the Laity. Secretariat.</t>
        </is>
      </c>
      <c r="L908" t="inlineStr">
        <is>
          <t>Washington, D.C. : United States Catholic Conference, c1987.</t>
        </is>
      </c>
      <c r="M908" t="inlineStr">
        <is>
          <t>1987</t>
        </is>
      </c>
      <c r="O908" t="inlineStr">
        <is>
          <t>eng</t>
        </is>
      </c>
      <c r="P908" t="inlineStr">
        <is>
          <t>dcu</t>
        </is>
      </c>
      <c r="Q908" t="inlineStr">
        <is>
          <t>Publication / Office of Publishing and Promotion Services, United States Catholic Conference ; no. 162-8</t>
        </is>
      </c>
      <c r="R908" t="inlineStr">
        <is>
          <t xml:space="preserve">BX </t>
        </is>
      </c>
      <c r="S908" t="n">
        <v>6</v>
      </c>
      <c r="T908" t="n">
        <v>6</v>
      </c>
      <c r="U908" t="inlineStr">
        <is>
          <t>2002-04-24</t>
        </is>
      </c>
      <c r="V908" t="inlineStr">
        <is>
          <t>2002-04-24</t>
        </is>
      </c>
      <c r="W908" t="inlineStr">
        <is>
          <t>1991-07-01</t>
        </is>
      </c>
      <c r="X908" t="inlineStr">
        <is>
          <t>1991-07-01</t>
        </is>
      </c>
      <c r="Y908" t="n">
        <v>106</v>
      </c>
      <c r="Z908" t="n">
        <v>100</v>
      </c>
      <c r="AA908" t="n">
        <v>100</v>
      </c>
      <c r="AB908" t="n">
        <v>1</v>
      </c>
      <c r="AC908" t="n">
        <v>1</v>
      </c>
      <c r="AD908" t="n">
        <v>15</v>
      </c>
      <c r="AE908" t="n">
        <v>15</v>
      </c>
      <c r="AF908" t="n">
        <v>4</v>
      </c>
      <c r="AG908" t="n">
        <v>4</v>
      </c>
      <c r="AH908" t="n">
        <v>4</v>
      </c>
      <c r="AI908" t="n">
        <v>4</v>
      </c>
      <c r="AJ908" t="n">
        <v>12</v>
      </c>
      <c r="AK908" t="n">
        <v>12</v>
      </c>
      <c r="AL908" t="n">
        <v>0</v>
      </c>
      <c r="AM908" t="n">
        <v>0</v>
      </c>
      <c r="AN908" t="n">
        <v>0</v>
      </c>
      <c r="AO908" t="n">
        <v>0</v>
      </c>
      <c r="AP908" t="inlineStr">
        <is>
          <t>No</t>
        </is>
      </c>
      <c r="AQ908" t="inlineStr">
        <is>
          <t>No</t>
        </is>
      </c>
      <c r="AS908">
        <f>HYPERLINK("https://creighton-primo.hosted.exlibrisgroup.com/primo-explore/search?tab=default_tab&amp;search_scope=EVERYTHING&amp;vid=01CRU&amp;lang=en_US&amp;offset=0&amp;query=any,contains,991001127429702656","Catalog Record")</f>
        <v/>
      </c>
      <c r="AT908">
        <f>HYPERLINK("http://www.worldcat.org/oclc/17841630","WorldCat Record")</f>
        <v/>
      </c>
      <c r="AU908" t="inlineStr">
        <is>
          <t>5573078050:eng</t>
        </is>
      </c>
      <c r="AV908" t="inlineStr">
        <is>
          <t>17841630</t>
        </is>
      </c>
      <c r="AW908" t="inlineStr">
        <is>
          <t>991001127429702656</t>
        </is>
      </c>
      <c r="AX908" t="inlineStr">
        <is>
          <t>991001127429702656</t>
        </is>
      </c>
      <c r="AY908" t="inlineStr">
        <is>
          <t>2260251470002656</t>
        </is>
      </c>
      <c r="AZ908" t="inlineStr">
        <is>
          <t>BOOK</t>
        </is>
      </c>
      <c r="BB908" t="inlineStr">
        <is>
          <t>9781555861629</t>
        </is>
      </c>
      <c r="BC908" t="inlineStr">
        <is>
          <t>32285000667278</t>
        </is>
      </c>
      <c r="BD908" t="inlineStr">
        <is>
          <t>893528679</t>
        </is>
      </c>
    </row>
    <row r="909">
      <c r="A909" t="inlineStr">
        <is>
          <t>No</t>
        </is>
      </c>
      <c r="B909" t="inlineStr">
        <is>
          <t>BX1920 .C38 1990</t>
        </is>
      </c>
      <c r="C909" t="inlineStr">
        <is>
          <t>0                      BX 1920000C  38          1990</t>
        </is>
      </c>
      <c r="D909" t="inlineStr">
        <is>
          <t>Gifts unfolding : the lay vocation today with questions for tomorrow / foreword by John S. Cummins.</t>
        </is>
      </c>
      <c r="F909" t="inlineStr">
        <is>
          <t>No</t>
        </is>
      </c>
      <c r="G909" t="inlineStr">
        <is>
          <t>1</t>
        </is>
      </c>
      <c r="H909" t="inlineStr">
        <is>
          <t>No</t>
        </is>
      </c>
      <c r="I909" t="inlineStr">
        <is>
          <t>No</t>
        </is>
      </c>
      <c r="J909" t="inlineStr">
        <is>
          <t>0</t>
        </is>
      </c>
      <c r="K909" t="inlineStr">
        <is>
          <t>Catholic Church. National Conference of Catholic Bishops. Bishops' Committee on the Laity.</t>
        </is>
      </c>
      <c r="L909" t="inlineStr">
        <is>
          <t>Washington, D.C. : United States Catholic Conference, c1990.</t>
        </is>
      </c>
      <c r="M909" t="inlineStr">
        <is>
          <t>1990</t>
        </is>
      </c>
      <c r="O909" t="inlineStr">
        <is>
          <t>eng</t>
        </is>
      </c>
      <c r="P909" t="inlineStr">
        <is>
          <t>dcu</t>
        </is>
      </c>
      <c r="R909" t="inlineStr">
        <is>
          <t xml:space="preserve">BX </t>
        </is>
      </c>
      <c r="S909" t="n">
        <v>6</v>
      </c>
      <c r="T909" t="n">
        <v>6</v>
      </c>
      <c r="U909" t="inlineStr">
        <is>
          <t>2002-04-24</t>
        </is>
      </c>
      <c r="V909" t="inlineStr">
        <is>
          <t>2002-04-24</t>
        </is>
      </c>
      <c r="W909" t="inlineStr">
        <is>
          <t>1990-12-28</t>
        </is>
      </c>
      <c r="X909" t="inlineStr">
        <is>
          <t>1990-12-28</t>
        </is>
      </c>
      <c r="Y909" t="n">
        <v>106</v>
      </c>
      <c r="Z909" t="n">
        <v>98</v>
      </c>
      <c r="AA909" t="n">
        <v>102</v>
      </c>
      <c r="AB909" t="n">
        <v>1</v>
      </c>
      <c r="AC909" t="n">
        <v>1</v>
      </c>
      <c r="AD909" t="n">
        <v>15</v>
      </c>
      <c r="AE909" t="n">
        <v>15</v>
      </c>
      <c r="AF909" t="n">
        <v>4</v>
      </c>
      <c r="AG909" t="n">
        <v>4</v>
      </c>
      <c r="AH909" t="n">
        <v>4</v>
      </c>
      <c r="AI909" t="n">
        <v>4</v>
      </c>
      <c r="AJ909" t="n">
        <v>11</v>
      </c>
      <c r="AK909" t="n">
        <v>11</v>
      </c>
      <c r="AL909" t="n">
        <v>0</v>
      </c>
      <c r="AM909" t="n">
        <v>0</v>
      </c>
      <c r="AN909" t="n">
        <v>0</v>
      </c>
      <c r="AO909" t="n">
        <v>0</v>
      </c>
      <c r="AP909" t="inlineStr">
        <is>
          <t>No</t>
        </is>
      </c>
      <c r="AQ909" t="inlineStr">
        <is>
          <t>No</t>
        </is>
      </c>
      <c r="AS909">
        <f>HYPERLINK("https://creighton-primo.hosted.exlibrisgroup.com/primo-explore/search?tab=default_tab&amp;search_scope=EVERYTHING&amp;vid=01CRU&amp;lang=en_US&amp;offset=0&amp;query=any,contains,991001789289702656","Catalog Record")</f>
        <v/>
      </c>
      <c r="AT909">
        <f>HYPERLINK("http://www.worldcat.org/oclc/23970042","WorldCat Record")</f>
        <v/>
      </c>
      <c r="AU909" t="inlineStr">
        <is>
          <t>4088174537:eng</t>
        </is>
      </c>
      <c r="AV909" t="inlineStr">
        <is>
          <t>23970042</t>
        </is>
      </c>
      <c r="AW909" t="inlineStr">
        <is>
          <t>991001789289702656</t>
        </is>
      </c>
      <c r="AX909" t="inlineStr">
        <is>
          <t>991001789289702656</t>
        </is>
      </c>
      <c r="AY909" t="inlineStr">
        <is>
          <t>2271814520002656</t>
        </is>
      </c>
      <c r="AZ909" t="inlineStr">
        <is>
          <t>BOOK</t>
        </is>
      </c>
      <c r="BB909" t="inlineStr">
        <is>
          <t>9781555863487</t>
        </is>
      </c>
      <c r="BC909" t="inlineStr">
        <is>
          <t>32285000297985</t>
        </is>
      </c>
      <c r="BD909" t="inlineStr">
        <is>
          <t>893866482</t>
        </is>
      </c>
    </row>
    <row r="910">
      <c r="A910" t="inlineStr">
        <is>
          <t>No</t>
        </is>
      </c>
      <c r="B910" t="inlineStr">
        <is>
          <t>BX1920 .C58</t>
        </is>
      </c>
      <c r="C910" t="inlineStr">
        <is>
          <t>0                      BX 1920000C  58</t>
        </is>
      </c>
      <c r="D910" t="inlineStr">
        <is>
          <t>The layman in the church / edited by James O'Gara.</t>
        </is>
      </c>
      <c r="F910" t="inlineStr">
        <is>
          <t>No</t>
        </is>
      </c>
      <c r="G910" t="inlineStr">
        <is>
          <t>1</t>
        </is>
      </c>
      <c r="H910" t="inlineStr">
        <is>
          <t>No</t>
        </is>
      </c>
      <c r="I910" t="inlineStr">
        <is>
          <t>No</t>
        </is>
      </c>
      <c r="J910" t="inlineStr">
        <is>
          <t>0</t>
        </is>
      </c>
      <c r="K910" t="inlineStr">
        <is>
          <t>Commonweal.</t>
        </is>
      </c>
      <c r="L910" t="inlineStr">
        <is>
          <t>[New York] : Herder and Herder, [1962]</t>
        </is>
      </c>
      <c r="M910" t="inlineStr">
        <is>
          <t>1962</t>
        </is>
      </c>
      <c r="O910" t="inlineStr">
        <is>
          <t>eng</t>
        </is>
      </c>
      <c r="P910" t="inlineStr">
        <is>
          <t>___</t>
        </is>
      </c>
      <c r="Q910" t="inlineStr">
        <is>
          <t>Quaestiones disputatae [English series], 6</t>
        </is>
      </c>
      <c r="R910" t="inlineStr">
        <is>
          <t xml:space="preserve">BX </t>
        </is>
      </c>
      <c r="S910" t="n">
        <v>2</v>
      </c>
      <c r="T910" t="n">
        <v>2</v>
      </c>
      <c r="U910" t="inlineStr">
        <is>
          <t>2001-12-08</t>
        </is>
      </c>
      <c r="V910" t="inlineStr">
        <is>
          <t>2001-12-08</t>
        </is>
      </c>
      <c r="W910" t="inlineStr">
        <is>
          <t>1991-07-01</t>
        </is>
      </c>
      <c r="X910" t="inlineStr">
        <is>
          <t>1991-07-01</t>
        </is>
      </c>
      <c r="Y910" t="n">
        <v>212</v>
      </c>
      <c r="Z910" t="n">
        <v>183</v>
      </c>
      <c r="AA910" t="n">
        <v>183</v>
      </c>
      <c r="AB910" t="n">
        <v>2</v>
      </c>
      <c r="AC910" t="n">
        <v>2</v>
      </c>
      <c r="AD910" t="n">
        <v>30</v>
      </c>
      <c r="AE910" t="n">
        <v>30</v>
      </c>
      <c r="AF910" t="n">
        <v>10</v>
      </c>
      <c r="AG910" t="n">
        <v>10</v>
      </c>
      <c r="AH910" t="n">
        <v>7</v>
      </c>
      <c r="AI910" t="n">
        <v>7</v>
      </c>
      <c r="AJ910" t="n">
        <v>24</v>
      </c>
      <c r="AK910" t="n">
        <v>24</v>
      </c>
      <c r="AL910" t="n">
        <v>0</v>
      </c>
      <c r="AM910" t="n">
        <v>0</v>
      </c>
      <c r="AN910" t="n">
        <v>0</v>
      </c>
      <c r="AO910" t="n">
        <v>0</v>
      </c>
      <c r="AP910" t="inlineStr">
        <is>
          <t>No</t>
        </is>
      </c>
      <c r="AQ910" t="inlineStr">
        <is>
          <t>No</t>
        </is>
      </c>
      <c r="AS910">
        <f>HYPERLINK("https://creighton-primo.hosted.exlibrisgroup.com/primo-explore/search?tab=default_tab&amp;search_scope=EVERYTHING&amp;vid=01CRU&amp;lang=en_US&amp;offset=0&amp;query=any,contains,991003729299702656","Catalog Record")</f>
        <v/>
      </c>
      <c r="AT910">
        <f>HYPERLINK("http://www.worldcat.org/oclc/1379661","WorldCat Record")</f>
        <v/>
      </c>
      <c r="AU910" t="inlineStr">
        <is>
          <t>5608901110:eng</t>
        </is>
      </c>
      <c r="AV910" t="inlineStr">
        <is>
          <t>1379661</t>
        </is>
      </c>
      <c r="AW910" t="inlineStr">
        <is>
          <t>991003729299702656</t>
        </is>
      </c>
      <c r="AX910" t="inlineStr">
        <is>
          <t>991003729299702656</t>
        </is>
      </c>
      <c r="AY910" t="inlineStr">
        <is>
          <t>2256649650002656</t>
        </is>
      </c>
      <c r="AZ910" t="inlineStr">
        <is>
          <t>BOOK</t>
        </is>
      </c>
      <c r="BC910" t="inlineStr">
        <is>
          <t>32285000667286</t>
        </is>
      </c>
      <c r="BD910" t="inlineStr">
        <is>
          <t>893505926</t>
        </is>
      </c>
    </row>
    <row r="911">
      <c r="A911" t="inlineStr">
        <is>
          <t>No</t>
        </is>
      </c>
      <c r="B911" t="inlineStr">
        <is>
          <t>BX1920 .C66 1986</t>
        </is>
      </c>
      <c r="C911" t="inlineStr">
        <is>
          <t>0                      BX 1920000C  66          1986</t>
        </is>
      </c>
      <c r="D911" t="inlineStr">
        <is>
          <t>Consulting the American Catholic laity : a decade of dialogue / Moira Mathieson, editor.</t>
        </is>
      </c>
      <c r="F911" t="inlineStr">
        <is>
          <t>No</t>
        </is>
      </c>
      <c r="G911" t="inlineStr">
        <is>
          <t>1</t>
        </is>
      </c>
      <c r="H911" t="inlineStr">
        <is>
          <t>No</t>
        </is>
      </c>
      <c r="I911" t="inlineStr">
        <is>
          <t>No</t>
        </is>
      </c>
      <c r="J911" t="inlineStr">
        <is>
          <t>0</t>
        </is>
      </c>
      <c r="L911" t="inlineStr">
        <is>
          <t>Washington, D.C. : United States Catholic Conference, c1986.</t>
        </is>
      </c>
      <c r="M911" t="inlineStr">
        <is>
          <t>1986</t>
        </is>
      </c>
      <c r="O911" t="inlineStr">
        <is>
          <t>eng</t>
        </is>
      </c>
      <c r="P911" t="inlineStr">
        <is>
          <t>dcu</t>
        </is>
      </c>
      <c r="Q911" t="inlineStr">
        <is>
          <t>Publication (United States Catholic Conference) ; no. 999</t>
        </is>
      </c>
      <c r="R911" t="inlineStr">
        <is>
          <t xml:space="preserve">BX </t>
        </is>
      </c>
      <c r="S911" t="n">
        <v>5</v>
      </c>
      <c r="T911" t="n">
        <v>5</v>
      </c>
      <c r="U911" t="inlineStr">
        <is>
          <t>1996-05-01</t>
        </is>
      </c>
      <c r="V911" t="inlineStr">
        <is>
          <t>1996-05-01</t>
        </is>
      </c>
      <c r="W911" t="inlineStr">
        <is>
          <t>1991-07-01</t>
        </is>
      </c>
      <c r="X911" t="inlineStr">
        <is>
          <t>1991-07-01</t>
        </is>
      </c>
      <c r="Y911" t="n">
        <v>100</v>
      </c>
      <c r="Z911" t="n">
        <v>95</v>
      </c>
      <c r="AA911" t="n">
        <v>100</v>
      </c>
      <c r="AB911" t="n">
        <v>1</v>
      </c>
      <c r="AC911" t="n">
        <v>1</v>
      </c>
      <c r="AD911" t="n">
        <v>17</v>
      </c>
      <c r="AE911" t="n">
        <v>17</v>
      </c>
      <c r="AF911" t="n">
        <v>6</v>
      </c>
      <c r="AG911" t="n">
        <v>6</v>
      </c>
      <c r="AH911" t="n">
        <v>5</v>
      </c>
      <c r="AI911" t="n">
        <v>5</v>
      </c>
      <c r="AJ911" t="n">
        <v>13</v>
      </c>
      <c r="AK911" t="n">
        <v>13</v>
      </c>
      <c r="AL911" t="n">
        <v>0</v>
      </c>
      <c r="AM911" t="n">
        <v>0</v>
      </c>
      <c r="AN911" t="n">
        <v>0</v>
      </c>
      <c r="AO911" t="n">
        <v>0</v>
      </c>
      <c r="AP911" t="inlineStr">
        <is>
          <t>No</t>
        </is>
      </c>
      <c r="AQ911" t="inlineStr">
        <is>
          <t>No</t>
        </is>
      </c>
      <c r="AS911">
        <f>HYPERLINK("https://creighton-primo.hosted.exlibrisgroup.com/primo-explore/search?tab=default_tab&amp;search_scope=EVERYTHING&amp;vid=01CRU&amp;lang=en_US&amp;offset=0&amp;query=any,contains,991000916529702656","Catalog Record")</f>
        <v/>
      </c>
      <c r="AT911">
        <f>HYPERLINK("http://www.worldcat.org/oclc/15366942","WorldCat Record")</f>
        <v/>
      </c>
      <c r="AU911" t="inlineStr">
        <is>
          <t>501924851:eng</t>
        </is>
      </c>
      <c r="AV911" t="inlineStr">
        <is>
          <t>15366942</t>
        </is>
      </c>
      <c r="AW911" t="inlineStr">
        <is>
          <t>991000916529702656</t>
        </is>
      </c>
      <c r="AX911" t="inlineStr">
        <is>
          <t>991000916529702656</t>
        </is>
      </c>
      <c r="AY911" t="inlineStr">
        <is>
          <t>2256519840002656</t>
        </is>
      </c>
      <c r="AZ911" t="inlineStr">
        <is>
          <t>BOOK</t>
        </is>
      </c>
      <c r="BB911" t="inlineStr">
        <is>
          <t>9781555869991</t>
        </is>
      </c>
      <c r="BC911" t="inlineStr">
        <is>
          <t>32285000667310</t>
        </is>
      </c>
      <c r="BD911" t="inlineStr">
        <is>
          <t>893772107</t>
        </is>
      </c>
    </row>
    <row r="912">
      <c r="A912" t="inlineStr">
        <is>
          <t>No</t>
        </is>
      </c>
      <c r="B912" t="inlineStr">
        <is>
          <t>BX1920 .C67 1993</t>
        </is>
      </c>
      <c r="C912" t="inlineStr">
        <is>
          <t>0                      BX 1920000C  67          1993</t>
        </is>
      </c>
      <c r="D912" t="inlineStr">
        <is>
          <t>Collaborative ministry : communion, contention, commitment / Norman P. Cooper.</t>
        </is>
      </c>
      <c r="F912" t="inlineStr">
        <is>
          <t>No</t>
        </is>
      </c>
      <c r="G912" t="inlineStr">
        <is>
          <t>1</t>
        </is>
      </c>
      <c r="H912" t="inlineStr">
        <is>
          <t>No</t>
        </is>
      </c>
      <c r="I912" t="inlineStr">
        <is>
          <t>No</t>
        </is>
      </c>
      <c r="J912" t="inlineStr">
        <is>
          <t>0</t>
        </is>
      </c>
      <c r="K912" t="inlineStr">
        <is>
          <t>Cooper, Norman P., 1955-</t>
        </is>
      </c>
      <c r="L912" t="inlineStr">
        <is>
          <t>New York : Paulist Press, c1993.</t>
        </is>
      </c>
      <c r="M912" t="inlineStr">
        <is>
          <t>1993</t>
        </is>
      </c>
      <c r="O912" t="inlineStr">
        <is>
          <t>eng</t>
        </is>
      </c>
      <c r="P912" t="inlineStr">
        <is>
          <t>nyu</t>
        </is>
      </c>
      <c r="R912" t="inlineStr">
        <is>
          <t xml:space="preserve">BX </t>
        </is>
      </c>
      <c r="S912" t="n">
        <v>6</v>
      </c>
      <c r="T912" t="n">
        <v>6</v>
      </c>
      <c r="U912" t="inlineStr">
        <is>
          <t>2009-09-22</t>
        </is>
      </c>
      <c r="V912" t="inlineStr">
        <is>
          <t>2009-09-22</t>
        </is>
      </c>
      <c r="W912" t="inlineStr">
        <is>
          <t>1994-06-02</t>
        </is>
      </c>
      <c r="X912" t="inlineStr">
        <is>
          <t>1994-06-02</t>
        </is>
      </c>
      <c r="Y912" t="n">
        <v>120</v>
      </c>
      <c r="Z912" t="n">
        <v>94</v>
      </c>
      <c r="AA912" t="n">
        <v>94</v>
      </c>
      <c r="AB912" t="n">
        <v>1</v>
      </c>
      <c r="AC912" t="n">
        <v>1</v>
      </c>
      <c r="AD912" t="n">
        <v>8</v>
      </c>
      <c r="AE912" t="n">
        <v>8</v>
      </c>
      <c r="AF912" t="n">
        <v>1</v>
      </c>
      <c r="AG912" t="n">
        <v>1</v>
      </c>
      <c r="AH912" t="n">
        <v>2</v>
      </c>
      <c r="AI912" t="n">
        <v>2</v>
      </c>
      <c r="AJ912" t="n">
        <v>6</v>
      </c>
      <c r="AK912" t="n">
        <v>6</v>
      </c>
      <c r="AL912" t="n">
        <v>0</v>
      </c>
      <c r="AM912" t="n">
        <v>0</v>
      </c>
      <c r="AN912" t="n">
        <v>0</v>
      </c>
      <c r="AO912" t="n">
        <v>0</v>
      </c>
      <c r="AP912" t="inlineStr">
        <is>
          <t>No</t>
        </is>
      </c>
      <c r="AQ912" t="inlineStr">
        <is>
          <t>No</t>
        </is>
      </c>
      <c r="AS912">
        <f>HYPERLINK("https://creighton-primo.hosted.exlibrisgroup.com/primo-explore/search?tab=default_tab&amp;search_scope=EVERYTHING&amp;vid=01CRU&amp;lang=en_US&amp;offset=0&amp;query=any,contains,991002102529702656","Catalog Record")</f>
        <v/>
      </c>
      <c r="AT912">
        <f>HYPERLINK("http://www.worldcat.org/oclc/26975107","WorldCat Record")</f>
        <v/>
      </c>
      <c r="AU912" t="inlineStr">
        <is>
          <t>1779746491:eng</t>
        </is>
      </c>
      <c r="AV912" t="inlineStr">
        <is>
          <t>26975107</t>
        </is>
      </c>
      <c r="AW912" t="inlineStr">
        <is>
          <t>991002102529702656</t>
        </is>
      </c>
      <c r="AX912" t="inlineStr">
        <is>
          <t>991002102529702656</t>
        </is>
      </c>
      <c r="AY912" t="inlineStr">
        <is>
          <t>2256776610002656</t>
        </is>
      </c>
      <c r="AZ912" t="inlineStr">
        <is>
          <t>BOOK</t>
        </is>
      </c>
      <c r="BB912" t="inlineStr">
        <is>
          <t>9780809133765</t>
        </is>
      </c>
      <c r="BC912" t="inlineStr">
        <is>
          <t>32285001920825</t>
        </is>
      </c>
      <c r="BD912" t="inlineStr">
        <is>
          <t>893603199</t>
        </is>
      </c>
    </row>
    <row r="913">
      <c r="A913" t="inlineStr">
        <is>
          <t>No</t>
        </is>
      </c>
      <c r="B913" t="inlineStr">
        <is>
          <t>BX1920 .D4 1955</t>
        </is>
      </c>
      <c r="C913" t="inlineStr">
        <is>
          <t>0                      BX 1920000D  4           1955</t>
        </is>
      </c>
      <c r="D913" t="inlineStr">
        <is>
          <t>The layman in the church / by Michael De La Bedoyere.</t>
        </is>
      </c>
      <c r="F913" t="inlineStr">
        <is>
          <t>No</t>
        </is>
      </c>
      <c r="G913" t="inlineStr">
        <is>
          <t>1</t>
        </is>
      </c>
      <c r="H913" t="inlineStr">
        <is>
          <t>No</t>
        </is>
      </c>
      <c r="I913" t="inlineStr">
        <is>
          <t>No</t>
        </is>
      </c>
      <c r="J913" t="inlineStr">
        <is>
          <t>0</t>
        </is>
      </c>
      <c r="K913" t="inlineStr">
        <is>
          <t>De la Bedoyere, Michael, 1900-1973.</t>
        </is>
      </c>
      <c r="L913" t="inlineStr">
        <is>
          <t>Chicago : H. Regnery Co., 1955.</t>
        </is>
      </c>
      <c r="M913" t="inlineStr">
        <is>
          <t>1955</t>
        </is>
      </c>
      <c r="O913" t="inlineStr">
        <is>
          <t>eng</t>
        </is>
      </c>
      <c r="P913" t="inlineStr">
        <is>
          <t>___</t>
        </is>
      </c>
      <c r="R913" t="inlineStr">
        <is>
          <t xml:space="preserve">BX </t>
        </is>
      </c>
      <c r="S913" t="n">
        <v>2</v>
      </c>
      <c r="T913" t="n">
        <v>2</v>
      </c>
      <c r="U913" t="inlineStr">
        <is>
          <t>1992-04-06</t>
        </is>
      </c>
      <c r="V913" t="inlineStr">
        <is>
          <t>1992-04-06</t>
        </is>
      </c>
      <c r="W913" t="inlineStr">
        <is>
          <t>1991-07-01</t>
        </is>
      </c>
      <c r="X913" t="inlineStr">
        <is>
          <t>1991-07-01</t>
        </is>
      </c>
      <c r="Y913" t="n">
        <v>80</v>
      </c>
      <c r="Z913" t="n">
        <v>75</v>
      </c>
      <c r="AA913" t="n">
        <v>130</v>
      </c>
      <c r="AB913" t="n">
        <v>1</v>
      </c>
      <c r="AC913" t="n">
        <v>1</v>
      </c>
      <c r="AD913" t="n">
        <v>16</v>
      </c>
      <c r="AE913" t="n">
        <v>28</v>
      </c>
      <c r="AF913" t="n">
        <v>5</v>
      </c>
      <c r="AG913" t="n">
        <v>10</v>
      </c>
      <c r="AH913" t="n">
        <v>6</v>
      </c>
      <c r="AI913" t="n">
        <v>8</v>
      </c>
      <c r="AJ913" t="n">
        <v>11</v>
      </c>
      <c r="AK913" t="n">
        <v>22</v>
      </c>
      <c r="AL913" t="n">
        <v>0</v>
      </c>
      <c r="AM913" t="n">
        <v>0</v>
      </c>
      <c r="AN913" t="n">
        <v>0</v>
      </c>
      <c r="AO913" t="n">
        <v>0</v>
      </c>
      <c r="AP913" t="inlineStr">
        <is>
          <t>No</t>
        </is>
      </c>
      <c r="AQ913" t="inlineStr">
        <is>
          <t>No</t>
        </is>
      </c>
      <c r="AS913">
        <f>HYPERLINK("https://creighton-primo.hosted.exlibrisgroup.com/primo-explore/search?tab=default_tab&amp;search_scope=EVERYTHING&amp;vid=01CRU&amp;lang=en_US&amp;offset=0&amp;query=any,contains,991003146189702656","Catalog Record")</f>
        <v/>
      </c>
      <c r="AT913">
        <f>HYPERLINK("http://www.worldcat.org/oclc/480381","WorldCat Record")</f>
        <v/>
      </c>
      <c r="AU913" t="inlineStr">
        <is>
          <t>311782477:eng</t>
        </is>
      </c>
      <c r="AV913" t="inlineStr">
        <is>
          <t>480381</t>
        </is>
      </c>
      <c r="AW913" t="inlineStr">
        <is>
          <t>991003146189702656</t>
        </is>
      </c>
      <c r="AX913" t="inlineStr">
        <is>
          <t>991003146189702656</t>
        </is>
      </c>
      <c r="AY913" t="inlineStr">
        <is>
          <t>2264854930002656</t>
        </is>
      </c>
      <c r="AZ913" t="inlineStr">
        <is>
          <t>BOOK</t>
        </is>
      </c>
      <c r="BC913" t="inlineStr">
        <is>
          <t>32285000667328</t>
        </is>
      </c>
      <c r="BD913" t="inlineStr">
        <is>
          <t>893711096</t>
        </is>
      </c>
    </row>
    <row r="914">
      <c r="A914" t="inlineStr">
        <is>
          <t>No</t>
        </is>
      </c>
      <c r="B914" t="inlineStr">
        <is>
          <t>BX1920 .D57 1986</t>
        </is>
      </c>
      <c r="C914" t="inlineStr">
        <is>
          <t>0                      BX 1920000D  57          1986</t>
        </is>
      </c>
      <c r="D914" t="inlineStr">
        <is>
          <t>Laity's mission in the local church : setting a new direction / Leonard Doohan.</t>
        </is>
      </c>
      <c r="F914" t="inlineStr">
        <is>
          <t>No</t>
        </is>
      </c>
      <c r="G914" t="inlineStr">
        <is>
          <t>1</t>
        </is>
      </c>
      <c r="H914" t="inlineStr">
        <is>
          <t>No</t>
        </is>
      </c>
      <c r="I914" t="inlineStr">
        <is>
          <t>No</t>
        </is>
      </c>
      <c r="J914" t="inlineStr">
        <is>
          <t>0</t>
        </is>
      </c>
      <c r="K914" t="inlineStr">
        <is>
          <t>Doohan, Leonard.</t>
        </is>
      </c>
      <c r="L914" t="inlineStr">
        <is>
          <t>San Francisco : Harper &amp; Row, c1986.</t>
        </is>
      </c>
      <c r="M914" t="inlineStr">
        <is>
          <t>1986</t>
        </is>
      </c>
      <c r="N914" t="inlineStr">
        <is>
          <t>1st ed.</t>
        </is>
      </c>
      <c r="O914" t="inlineStr">
        <is>
          <t>eng</t>
        </is>
      </c>
      <c r="P914" t="inlineStr">
        <is>
          <t>cau</t>
        </is>
      </c>
      <c r="R914" t="inlineStr">
        <is>
          <t xml:space="preserve">BX </t>
        </is>
      </c>
      <c r="S914" t="n">
        <v>8</v>
      </c>
      <c r="T914" t="n">
        <v>8</v>
      </c>
      <c r="U914" t="inlineStr">
        <is>
          <t>2001-11-27</t>
        </is>
      </c>
      <c r="V914" t="inlineStr">
        <is>
          <t>2001-11-27</t>
        </is>
      </c>
      <c r="W914" t="inlineStr">
        <is>
          <t>1991-07-01</t>
        </is>
      </c>
      <c r="X914" t="inlineStr">
        <is>
          <t>1991-07-01</t>
        </is>
      </c>
      <c r="Y914" t="n">
        <v>144</v>
      </c>
      <c r="Z914" t="n">
        <v>121</v>
      </c>
      <c r="AA914" t="n">
        <v>137</v>
      </c>
      <c r="AB914" t="n">
        <v>1</v>
      </c>
      <c r="AC914" t="n">
        <v>2</v>
      </c>
      <c r="AD914" t="n">
        <v>10</v>
      </c>
      <c r="AE914" t="n">
        <v>12</v>
      </c>
      <c r="AF914" t="n">
        <v>1</v>
      </c>
      <c r="AG914" t="n">
        <v>2</v>
      </c>
      <c r="AH914" t="n">
        <v>2</v>
      </c>
      <c r="AI914" t="n">
        <v>3</v>
      </c>
      <c r="AJ914" t="n">
        <v>8</v>
      </c>
      <c r="AK914" t="n">
        <v>8</v>
      </c>
      <c r="AL914" t="n">
        <v>0</v>
      </c>
      <c r="AM914" t="n">
        <v>1</v>
      </c>
      <c r="AN914" t="n">
        <v>0</v>
      </c>
      <c r="AO914" t="n">
        <v>0</v>
      </c>
      <c r="AP914" t="inlineStr">
        <is>
          <t>No</t>
        </is>
      </c>
      <c r="AQ914" t="inlineStr">
        <is>
          <t>No</t>
        </is>
      </c>
      <c r="AS914">
        <f>HYPERLINK("https://creighton-primo.hosted.exlibrisgroup.com/primo-explore/search?tab=default_tab&amp;search_scope=EVERYTHING&amp;vid=01CRU&amp;lang=en_US&amp;offset=0&amp;query=any,contains,991000833689702656","Catalog Record")</f>
        <v/>
      </c>
      <c r="AT914">
        <f>HYPERLINK("http://www.worldcat.org/oclc/13456835","WorldCat Record")</f>
        <v/>
      </c>
      <c r="AU914" t="inlineStr">
        <is>
          <t>6876433:eng</t>
        </is>
      </c>
      <c r="AV914" t="inlineStr">
        <is>
          <t>13456835</t>
        </is>
      </c>
      <c r="AW914" t="inlineStr">
        <is>
          <t>991000833689702656</t>
        </is>
      </c>
      <c r="AX914" t="inlineStr">
        <is>
          <t>991000833689702656</t>
        </is>
      </c>
      <c r="AY914" t="inlineStr">
        <is>
          <t>2260911270002656</t>
        </is>
      </c>
      <c r="AZ914" t="inlineStr">
        <is>
          <t>BOOK</t>
        </is>
      </c>
      <c r="BB914" t="inlineStr">
        <is>
          <t>9780866834902</t>
        </is>
      </c>
      <c r="BC914" t="inlineStr">
        <is>
          <t>32285000667336</t>
        </is>
      </c>
      <c r="BD914" t="inlineStr">
        <is>
          <t>893339931</t>
        </is>
      </c>
    </row>
    <row r="915">
      <c r="A915" t="inlineStr">
        <is>
          <t>No</t>
        </is>
      </c>
      <c r="B915" t="inlineStr">
        <is>
          <t>BX1920 .D59 1987</t>
        </is>
      </c>
      <c r="C915" t="inlineStr">
        <is>
          <t>0                      BX 1920000D  59          1987</t>
        </is>
      </c>
      <c r="D915" t="inlineStr">
        <is>
          <t>The laity : a bibliography / Leonard Doohan.</t>
        </is>
      </c>
      <c r="F915" t="inlineStr">
        <is>
          <t>No</t>
        </is>
      </c>
      <c r="G915" t="inlineStr">
        <is>
          <t>1</t>
        </is>
      </c>
      <c r="H915" t="inlineStr">
        <is>
          <t>No</t>
        </is>
      </c>
      <c r="I915" t="inlineStr">
        <is>
          <t>No</t>
        </is>
      </c>
      <c r="J915" t="inlineStr">
        <is>
          <t>0</t>
        </is>
      </c>
      <c r="K915" t="inlineStr">
        <is>
          <t>Doohan, Leonard.</t>
        </is>
      </c>
      <c r="L915" t="inlineStr">
        <is>
          <t>Wilmington, Del. : Michael Glazier, c1987.</t>
        </is>
      </c>
      <c r="M915" t="inlineStr">
        <is>
          <t>1987</t>
        </is>
      </c>
      <c r="O915" t="inlineStr">
        <is>
          <t>eng</t>
        </is>
      </c>
      <c r="P915" t="inlineStr">
        <is>
          <t>deu</t>
        </is>
      </c>
      <c r="Q915" t="inlineStr">
        <is>
          <t>Theological and biblical resources ; v. 3</t>
        </is>
      </c>
      <c r="R915" t="inlineStr">
        <is>
          <t xml:space="preserve">BX </t>
        </is>
      </c>
      <c r="S915" t="n">
        <v>4</v>
      </c>
      <c r="T915" t="n">
        <v>4</v>
      </c>
      <c r="U915" t="inlineStr">
        <is>
          <t>2001-11-27</t>
        </is>
      </c>
      <c r="V915" t="inlineStr">
        <is>
          <t>2001-11-27</t>
        </is>
      </c>
      <c r="W915" t="inlineStr">
        <is>
          <t>1996-12-30</t>
        </is>
      </c>
      <c r="X915" t="inlineStr">
        <is>
          <t>1996-12-30</t>
        </is>
      </c>
      <c r="Y915" t="n">
        <v>152</v>
      </c>
      <c r="Z915" t="n">
        <v>131</v>
      </c>
      <c r="AA915" t="n">
        <v>131</v>
      </c>
      <c r="AB915" t="n">
        <v>1</v>
      </c>
      <c r="AC915" t="n">
        <v>1</v>
      </c>
      <c r="AD915" t="n">
        <v>17</v>
      </c>
      <c r="AE915" t="n">
        <v>17</v>
      </c>
      <c r="AF915" t="n">
        <v>4</v>
      </c>
      <c r="AG915" t="n">
        <v>4</v>
      </c>
      <c r="AH915" t="n">
        <v>4</v>
      </c>
      <c r="AI915" t="n">
        <v>4</v>
      </c>
      <c r="AJ915" t="n">
        <v>12</v>
      </c>
      <c r="AK915" t="n">
        <v>12</v>
      </c>
      <c r="AL915" t="n">
        <v>0</v>
      </c>
      <c r="AM915" t="n">
        <v>0</v>
      </c>
      <c r="AN915" t="n">
        <v>0</v>
      </c>
      <c r="AO915" t="n">
        <v>0</v>
      </c>
      <c r="AP915" t="inlineStr">
        <is>
          <t>No</t>
        </is>
      </c>
      <c r="AQ915" t="inlineStr">
        <is>
          <t>No</t>
        </is>
      </c>
      <c r="AS915">
        <f>HYPERLINK("https://creighton-primo.hosted.exlibrisgroup.com/primo-explore/search?tab=default_tab&amp;search_scope=EVERYTHING&amp;vid=01CRU&amp;lang=en_US&amp;offset=0&amp;query=any,contains,991001088559702656","Catalog Record")</f>
        <v/>
      </c>
      <c r="AT915">
        <f>HYPERLINK("http://www.worldcat.org/oclc/16149598","WorldCat Record")</f>
        <v/>
      </c>
      <c r="AU915" t="inlineStr">
        <is>
          <t>293024124:eng</t>
        </is>
      </c>
      <c r="AV915" t="inlineStr">
        <is>
          <t>16149598</t>
        </is>
      </c>
      <c r="AW915" t="inlineStr">
        <is>
          <t>991001088559702656</t>
        </is>
      </c>
      <c r="AX915" t="inlineStr">
        <is>
          <t>991001088559702656</t>
        </is>
      </c>
      <c r="AY915" t="inlineStr">
        <is>
          <t>2265405200002656</t>
        </is>
      </c>
      <c r="AZ915" t="inlineStr">
        <is>
          <t>BOOK</t>
        </is>
      </c>
      <c r="BB915" t="inlineStr">
        <is>
          <t>9780894536175</t>
        </is>
      </c>
      <c r="BC915" t="inlineStr">
        <is>
          <t>32285002402831</t>
        </is>
      </c>
      <c r="BD915" t="inlineStr">
        <is>
          <t>893321625</t>
        </is>
      </c>
    </row>
    <row r="916">
      <c r="A916" t="inlineStr">
        <is>
          <t>No</t>
        </is>
      </c>
      <c r="B916" t="inlineStr">
        <is>
          <t>BX1920 .D84 1995</t>
        </is>
      </c>
      <c r="C916" t="inlineStr">
        <is>
          <t>0                      BX 1920000D  84          1995</t>
        </is>
      </c>
      <c r="D916" t="inlineStr">
        <is>
          <t>Called to parish ministry : identity, challenges, and spirituality of lay ministers / Greg Dues &amp; Barbara Walkley.</t>
        </is>
      </c>
      <c r="F916" t="inlineStr">
        <is>
          <t>No</t>
        </is>
      </c>
      <c r="G916" t="inlineStr">
        <is>
          <t>1</t>
        </is>
      </c>
      <c r="H916" t="inlineStr">
        <is>
          <t>No</t>
        </is>
      </c>
      <c r="I916" t="inlineStr">
        <is>
          <t>No</t>
        </is>
      </c>
      <c r="J916" t="inlineStr">
        <is>
          <t>0</t>
        </is>
      </c>
      <c r="K916" t="inlineStr">
        <is>
          <t>Dues, Greg.</t>
        </is>
      </c>
      <c r="L916" t="inlineStr">
        <is>
          <t>Mystic, CT : Twenty-third Publications ; Blackrock, Co.Dublin, Ireland : Columba Press, c1995.</t>
        </is>
      </c>
      <c r="M916" t="inlineStr">
        <is>
          <t>1995</t>
        </is>
      </c>
      <c r="O916" t="inlineStr">
        <is>
          <t>eng</t>
        </is>
      </c>
      <c r="P916" t="inlineStr">
        <is>
          <t>ctu</t>
        </is>
      </c>
      <c r="Q916" t="inlineStr">
        <is>
          <t>Pastoral ministry</t>
        </is>
      </c>
      <c r="R916" t="inlineStr">
        <is>
          <t xml:space="preserve">BX </t>
        </is>
      </c>
      <c r="S916" t="n">
        <v>8</v>
      </c>
      <c r="T916" t="n">
        <v>8</v>
      </c>
      <c r="U916" t="inlineStr">
        <is>
          <t>2005-01-17</t>
        </is>
      </c>
      <c r="V916" t="inlineStr">
        <is>
          <t>2005-01-17</t>
        </is>
      </c>
      <c r="W916" t="inlineStr">
        <is>
          <t>1996-01-17</t>
        </is>
      </c>
      <c r="X916" t="inlineStr">
        <is>
          <t>1996-01-17</t>
        </is>
      </c>
      <c r="Y916" t="n">
        <v>107</v>
      </c>
      <c r="Z916" t="n">
        <v>84</v>
      </c>
      <c r="AA916" t="n">
        <v>87</v>
      </c>
      <c r="AB916" t="n">
        <v>1</v>
      </c>
      <c r="AC916" t="n">
        <v>1</v>
      </c>
      <c r="AD916" t="n">
        <v>7</v>
      </c>
      <c r="AE916" t="n">
        <v>7</v>
      </c>
      <c r="AF916" t="n">
        <v>2</v>
      </c>
      <c r="AG916" t="n">
        <v>2</v>
      </c>
      <c r="AH916" t="n">
        <v>1</v>
      </c>
      <c r="AI916" t="n">
        <v>1</v>
      </c>
      <c r="AJ916" t="n">
        <v>6</v>
      </c>
      <c r="AK916" t="n">
        <v>6</v>
      </c>
      <c r="AL916" t="n">
        <v>0</v>
      </c>
      <c r="AM916" t="n">
        <v>0</v>
      </c>
      <c r="AN916" t="n">
        <v>0</v>
      </c>
      <c r="AO916" t="n">
        <v>0</v>
      </c>
      <c r="AP916" t="inlineStr">
        <is>
          <t>No</t>
        </is>
      </c>
      <c r="AQ916" t="inlineStr">
        <is>
          <t>No</t>
        </is>
      </c>
      <c r="AS916">
        <f>HYPERLINK("https://creighton-primo.hosted.exlibrisgroup.com/primo-explore/search?tab=default_tab&amp;search_scope=EVERYTHING&amp;vid=01CRU&amp;lang=en_US&amp;offset=0&amp;query=any,contains,991002562149702656","Catalog Record")</f>
        <v/>
      </c>
      <c r="AT916">
        <f>HYPERLINK("http://www.worldcat.org/oclc/37934889","WorldCat Record")</f>
        <v/>
      </c>
      <c r="AU916" t="inlineStr">
        <is>
          <t>15324282:eng</t>
        </is>
      </c>
      <c r="AV916" t="inlineStr">
        <is>
          <t>37934889</t>
        </is>
      </c>
      <c r="AW916" t="inlineStr">
        <is>
          <t>991002562149702656</t>
        </is>
      </c>
      <c r="AX916" t="inlineStr">
        <is>
          <t>991002562149702656</t>
        </is>
      </c>
      <c r="AY916" t="inlineStr">
        <is>
          <t>2257056690002656</t>
        </is>
      </c>
      <c r="AZ916" t="inlineStr">
        <is>
          <t>BOOK</t>
        </is>
      </c>
      <c r="BB916" t="inlineStr">
        <is>
          <t>9780896226494</t>
        </is>
      </c>
      <c r="BC916" t="inlineStr">
        <is>
          <t>32285002119120</t>
        </is>
      </c>
      <c r="BD916" t="inlineStr">
        <is>
          <t>893716609</t>
        </is>
      </c>
    </row>
    <row r="917">
      <c r="A917" t="inlineStr">
        <is>
          <t>No</t>
        </is>
      </c>
      <c r="B917" t="inlineStr">
        <is>
          <t>BX1920 .G74 1988</t>
        </is>
      </c>
      <c r="C917" t="inlineStr">
        <is>
          <t>0                      BX 1920000G  74          1988</t>
        </is>
      </c>
      <c r="D917" t="inlineStr">
        <is>
          <t>Come down Zacchaeus : spirituality &amp; the laity / Thomas H. Green.</t>
        </is>
      </c>
      <c r="F917" t="inlineStr">
        <is>
          <t>No</t>
        </is>
      </c>
      <c r="G917" t="inlineStr">
        <is>
          <t>1</t>
        </is>
      </c>
      <c r="H917" t="inlineStr">
        <is>
          <t>No</t>
        </is>
      </c>
      <c r="I917" t="inlineStr">
        <is>
          <t>No</t>
        </is>
      </c>
      <c r="J917" t="inlineStr">
        <is>
          <t>0</t>
        </is>
      </c>
      <c r="K917" t="inlineStr">
        <is>
          <t>Green, Thomas H. (Thomas Henry), 1932-</t>
        </is>
      </c>
      <c r="L917" t="inlineStr">
        <is>
          <t>Notre Dame, IN : Ave Maria Press, 1988.</t>
        </is>
      </c>
      <c r="M917" t="inlineStr">
        <is>
          <t>1988</t>
        </is>
      </c>
      <c r="O917" t="inlineStr">
        <is>
          <t>eng</t>
        </is>
      </c>
      <c r="P917" t="inlineStr">
        <is>
          <t>inu</t>
        </is>
      </c>
      <c r="R917" t="inlineStr">
        <is>
          <t xml:space="preserve">BX </t>
        </is>
      </c>
      <c r="S917" t="n">
        <v>9</v>
      </c>
      <c r="T917" t="n">
        <v>9</v>
      </c>
      <c r="U917" t="inlineStr">
        <is>
          <t>1999-07-30</t>
        </is>
      </c>
      <c r="V917" t="inlineStr">
        <is>
          <t>1999-07-30</t>
        </is>
      </c>
      <c r="W917" t="inlineStr">
        <is>
          <t>1999-09-07</t>
        </is>
      </c>
      <c r="X917" t="inlineStr">
        <is>
          <t>1999-09-07</t>
        </is>
      </c>
      <c r="Y917" t="n">
        <v>137</v>
      </c>
      <c r="Z917" t="n">
        <v>109</v>
      </c>
      <c r="AA917" t="n">
        <v>109</v>
      </c>
      <c r="AB917" t="n">
        <v>1</v>
      </c>
      <c r="AC917" t="n">
        <v>1</v>
      </c>
      <c r="AD917" t="n">
        <v>11</v>
      </c>
      <c r="AE917" t="n">
        <v>11</v>
      </c>
      <c r="AF917" t="n">
        <v>2</v>
      </c>
      <c r="AG917" t="n">
        <v>2</v>
      </c>
      <c r="AH917" t="n">
        <v>2</v>
      </c>
      <c r="AI917" t="n">
        <v>2</v>
      </c>
      <c r="AJ917" t="n">
        <v>9</v>
      </c>
      <c r="AK917" t="n">
        <v>9</v>
      </c>
      <c r="AL917" t="n">
        <v>0</v>
      </c>
      <c r="AM917" t="n">
        <v>0</v>
      </c>
      <c r="AN917" t="n">
        <v>0</v>
      </c>
      <c r="AO917" t="n">
        <v>0</v>
      </c>
      <c r="AP917" t="inlineStr">
        <is>
          <t>No</t>
        </is>
      </c>
      <c r="AQ917" t="inlineStr">
        <is>
          <t>No</t>
        </is>
      </c>
      <c r="AS917">
        <f>HYPERLINK("https://creighton-primo.hosted.exlibrisgroup.com/primo-explore/search?tab=default_tab&amp;search_scope=EVERYTHING&amp;vid=01CRU&amp;lang=en_US&amp;offset=0&amp;query=any,contains,991001268009702656","Catalog Record")</f>
        <v/>
      </c>
      <c r="AT917">
        <f>HYPERLINK("http://www.worldcat.org/oclc/17830274","WorldCat Record")</f>
        <v/>
      </c>
      <c r="AU917" t="inlineStr">
        <is>
          <t>1042372659:eng</t>
        </is>
      </c>
      <c r="AV917" t="inlineStr">
        <is>
          <t>17830274</t>
        </is>
      </c>
      <c r="AW917" t="inlineStr">
        <is>
          <t>991001268009702656</t>
        </is>
      </c>
      <c r="AX917" t="inlineStr">
        <is>
          <t>991001268009702656</t>
        </is>
      </c>
      <c r="AY917" t="inlineStr">
        <is>
          <t>2257146610002656</t>
        </is>
      </c>
      <c r="AZ917" t="inlineStr">
        <is>
          <t>BOOK</t>
        </is>
      </c>
      <c r="BB917" t="inlineStr">
        <is>
          <t>9780877933731</t>
        </is>
      </c>
      <c r="BC917" t="inlineStr">
        <is>
          <t>32285003264891</t>
        </is>
      </c>
      <c r="BD917" t="inlineStr">
        <is>
          <t>893444645</t>
        </is>
      </c>
    </row>
    <row r="918">
      <c r="A918" t="inlineStr">
        <is>
          <t>No</t>
        </is>
      </c>
      <c r="B918" t="inlineStr">
        <is>
          <t>BX1920 .K55 1985</t>
        </is>
      </c>
      <c r="C918" t="inlineStr">
        <is>
          <t>0                      BX 1920000K  55          1985</t>
        </is>
      </c>
      <c r="D918" t="inlineStr">
        <is>
          <t>Caring for society : a theological interpretation of lay ministry / Robert L. Kinast.</t>
        </is>
      </c>
      <c r="F918" t="inlineStr">
        <is>
          <t>No</t>
        </is>
      </c>
      <c r="G918" t="inlineStr">
        <is>
          <t>1</t>
        </is>
      </c>
      <c r="H918" t="inlineStr">
        <is>
          <t>No</t>
        </is>
      </c>
      <c r="I918" t="inlineStr">
        <is>
          <t>No</t>
        </is>
      </c>
      <c r="J918" t="inlineStr">
        <is>
          <t>0</t>
        </is>
      </c>
      <c r="K918" t="inlineStr">
        <is>
          <t>Kinast, Robert L.</t>
        </is>
      </c>
      <c r="L918" t="inlineStr">
        <is>
          <t>Chicago, Ill. : T. More Press, c1985.</t>
        </is>
      </c>
      <c r="M918" t="inlineStr">
        <is>
          <t>1985</t>
        </is>
      </c>
      <c r="O918" t="inlineStr">
        <is>
          <t>eng</t>
        </is>
      </c>
      <c r="P918" t="inlineStr">
        <is>
          <t>ilu</t>
        </is>
      </c>
      <c r="R918" t="inlineStr">
        <is>
          <t xml:space="preserve">BX </t>
        </is>
      </c>
      <c r="S918" t="n">
        <v>8</v>
      </c>
      <c r="T918" t="n">
        <v>8</v>
      </c>
      <c r="U918" t="inlineStr">
        <is>
          <t>2006-02-28</t>
        </is>
      </c>
      <c r="V918" t="inlineStr">
        <is>
          <t>2006-02-28</t>
        </is>
      </c>
      <c r="W918" t="inlineStr">
        <is>
          <t>1991-07-01</t>
        </is>
      </c>
      <c r="X918" t="inlineStr">
        <is>
          <t>1991-07-01</t>
        </is>
      </c>
      <c r="Y918" t="n">
        <v>146</v>
      </c>
      <c r="Z918" t="n">
        <v>124</v>
      </c>
      <c r="AA918" t="n">
        <v>129</v>
      </c>
      <c r="AB918" t="n">
        <v>2</v>
      </c>
      <c r="AC918" t="n">
        <v>2</v>
      </c>
      <c r="AD918" t="n">
        <v>20</v>
      </c>
      <c r="AE918" t="n">
        <v>20</v>
      </c>
      <c r="AF918" t="n">
        <v>8</v>
      </c>
      <c r="AG918" t="n">
        <v>8</v>
      </c>
      <c r="AH918" t="n">
        <v>4</v>
      </c>
      <c r="AI918" t="n">
        <v>4</v>
      </c>
      <c r="AJ918" t="n">
        <v>15</v>
      </c>
      <c r="AK918" t="n">
        <v>15</v>
      </c>
      <c r="AL918" t="n">
        <v>0</v>
      </c>
      <c r="AM918" t="n">
        <v>0</v>
      </c>
      <c r="AN918" t="n">
        <v>0</v>
      </c>
      <c r="AO918" t="n">
        <v>0</v>
      </c>
      <c r="AP918" t="inlineStr">
        <is>
          <t>No</t>
        </is>
      </c>
      <c r="AQ918" t="inlineStr">
        <is>
          <t>No</t>
        </is>
      </c>
      <c r="AS918">
        <f>HYPERLINK("https://creighton-primo.hosted.exlibrisgroup.com/primo-explore/search?tab=default_tab&amp;search_scope=EVERYTHING&amp;vid=01CRU&amp;lang=en_US&amp;offset=0&amp;query=any,contains,991000711119702656","Catalog Record")</f>
        <v/>
      </c>
      <c r="AT918">
        <f>HYPERLINK("http://www.worldcat.org/oclc/12583296","WorldCat Record")</f>
        <v/>
      </c>
      <c r="AU918" t="inlineStr">
        <is>
          <t>5221186811:eng</t>
        </is>
      </c>
      <c r="AV918" t="inlineStr">
        <is>
          <t>12583296</t>
        </is>
      </c>
      <c r="AW918" t="inlineStr">
        <is>
          <t>991000711119702656</t>
        </is>
      </c>
      <c r="AX918" t="inlineStr">
        <is>
          <t>991000711119702656</t>
        </is>
      </c>
      <c r="AY918" t="inlineStr">
        <is>
          <t>2272418700002656</t>
        </is>
      </c>
      <c r="AZ918" t="inlineStr">
        <is>
          <t>BOOK</t>
        </is>
      </c>
      <c r="BB918" t="inlineStr">
        <is>
          <t>9780883471708</t>
        </is>
      </c>
      <c r="BC918" t="inlineStr">
        <is>
          <t>32285000667385</t>
        </is>
      </c>
      <c r="BD918" t="inlineStr">
        <is>
          <t>893534282</t>
        </is>
      </c>
    </row>
    <row r="919">
      <c r="A919" t="inlineStr">
        <is>
          <t>No</t>
        </is>
      </c>
      <c r="B919" t="inlineStr">
        <is>
          <t>BX1920 .N27</t>
        </is>
      </c>
      <c r="C919" t="inlineStr">
        <is>
          <t>0                      BX 1920000N  27</t>
        </is>
      </c>
      <c r="D919" t="inlineStr">
        <is>
          <t>Called and gifted : The American Catholic laity. Reflections of the American Bishops commemorating the fifteenth anniversary of the issuance of the Decree on the Apostolate of the Laity / National Conference of Catholic Bishops.</t>
        </is>
      </c>
      <c r="F919" t="inlineStr">
        <is>
          <t>No</t>
        </is>
      </c>
      <c r="G919" t="inlineStr">
        <is>
          <t>1</t>
        </is>
      </c>
      <c r="H919" t="inlineStr">
        <is>
          <t>No</t>
        </is>
      </c>
      <c r="I919" t="inlineStr">
        <is>
          <t>No</t>
        </is>
      </c>
      <c r="J919" t="inlineStr">
        <is>
          <t>0</t>
        </is>
      </c>
      <c r="K919" t="inlineStr">
        <is>
          <t>Catholic Church. National Conference of Catholic Bishops.</t>
        </is>
      </c>
      <c r="L919" t="inlineStr">
        <is>
          <t>[S.l.] : The Conference, 1980.</t>
        </is>
      </c>
      <c r="M919" t="inlineStr">
        <is>
          <t>1980</t>
        </is>
      </c>
      <c r="O919" t="inlineStr">
        <is>
          <t>eng</t>
        </is>
      </c>
      <c r="P919" t="inlineStr">
        <is>
          <t xml:space="preserve">xx </t>
        </is>
      </c>
      <c r="R919" t="inlineStr">
        <is>
          <t xml:space="preserve">BX </t>
        </is>
      </c>
      <c r="S919" t="n">
        <v>7</v>
      </c>
      <c r="T919" t="n">
        <v>7</v>
      </c>
      <c r="U919" t="inlineStr">
        <is>
          <t>1998-10-15</t>
        </is>
      </c>
      <c r="V919" t="inlineStr">
        <is>
          <t>1998-10-15</t>
        </is>
      </c>
      <c r="W919" t="inlineStr">
        <is>
          <t>1991-07-01</t>
        </is>
      </c>
      <c r="X919" t="inlineStr">
        <is>
          <t>1991-07-01</t>
        </is>
      </c>
      <c r="Y919" t="n">
        <v>33</v>
      </c>
      <c r="Z919" t="n">
        <v>33</v>
      </c>
      <c r="AA919" t="n">
        <v>33</v>
      </c>
      <c r="AB919" t="n">
        <v>1</v>
      </c>
      <c r="AC919" t="n">
        <v>1</v>
      </c>
      <c r="AD919" t="n">
        <v>6</v>
      </c>
      <c r="AE919" t="n">
        <v>6</v>
      </c>
      <c r="AF919" t="n">
        <v>0</v>
      </c>
      <c r="AG919" t="n">
        <v>0</v>
      </c>
      <c r="AH919" t="n">
        <v>3</v>
      </c>
      <c r="AI919" t="n">
        <v>3</v>
      </c>
      <c r="AJ919" t="n">
        <v>4</v>
      </c>
      <c r="AK919" t="n">
        <v>4</v>
      </c>
      <c r="AL919" t="n">
        <v>0</v>
      </c>
      <c r="AM919" t="n">
        <v>0</v>
      </c>
      <c r="AN919" t="n">
        <v>0</v>
      </c>
      <c r="AO919" t="n">
        <v>0</v>
      </c>
      <c r="AP919" t="inlineStr">
        <is>
          <t>No</t>
        </is>
      </c>
      <c r="AQ919" t="inlineStr">
        <is>
          <t>No</t>
        </is>
      </c>
      <c r="AS919">
        <f>HYPERLINK("https://creighton-primo.hosted.exlibrisgroup.com/primo-explore/search?tab=default_tab&amp;search_scope=EVERYTHING&amp;vid=01CRU&amp;lang=en_US&amp;offset=0&amp;query=any,contains,991005108989702656","Catalog Record")</f>
        <v/>
      </c>
      <c r="AT919">
        <f>HYPERLINK("http://www.worldcat.org/oclc/7387203","WorldCat Record")</f>
        <v/>
      </c>
      <c r="AU919" t="inlineStr">
        <is>
          <t>43498929:eng</t>
        </is>
      </c>
      <c r="AV919" t="inlineStr">
        <is>
          <t>7387203</t>
        </is>
      </c>
      <c r="AW919" t="inlineStr">
        <is>
          <t>991005108989702656</t>
        </is>
      </c>
      <c r="AX919" t="inlineStr">
        <is>
          <t>991005108989702656</t>
        </is>
      </c>
      <c r="AY919" t="inlineStr">
        <is>
          <t>2265779580002656</t>
        </is>
      </c>
      <c r="AZ919" t="inlineStr">
        <is>
          <t>BOOK</t>
        </is>
      </c>
      <c r="BC919" t="inlineStr">
        <is>
          <t>32285000667401</t>
        </is>
      </c>
      <c r="BD919" t="inlineStr">
        <is>
          <t>893353692</t>
        </is>
      </c>
    </row>
    <row r="920">
      <c r="A920" t="inlineStr">
        <is>
          <t>No</t>
        </is>
      </c>
      <c r="B920" t="inlineStr">
        <is>
          <t>BX1920 .N43</t>
        </is>
      </c>
      <c r="C920" t="inlineStr">
        <is>
          <t>0                      BX 1920000N  43</t>
        </is>
      </c>
      <c r="D920" t="inlineStr">
        <is>
          <t>The Christian in society : a theological investigation / by Jeremiah Newman.</t>
        </is>
      </c>
      <c r="F920" t="inlineStr">
        <is>
          <t>No</t>
        </is>
      </c>
      <c r="G920" t="inlineStr">
        <is>
          <t>1</t>
        </is>
      </c>
      <c r="H920" t="inlineStr">
        <is>
          <t>No</t>
        </is>
      </c>
      <c r="I920" t="inlineStr">
        <is>
          <t>No</t>
        </is>
      </c>
      <c r="J920" t="inlineStr">
        <is>
          <t>0</t>
        </is>
      </c>
      <c r="K920" t="inlineStr">
        <is>
          <t>Newman, Jeremiah.</t>
        </is>
      </c>
      <c r="L920" t="inlineStr">
        <is>
          <t>Baltimore : Helicon Press, 1962.</t>
        </is>
      </c>
      <c r="M920" t="inlineStr">
        <is>
          <t>1962</t>
        </is>
      </c>
      <c r="O920" t="inlineStr">
        <is>
          <t>eng</t>
        </is>
      </c>
      <c r="P920" t="inlineStr">
        <is>
          <t>mdu</t>
        </is>
      </c>
      <c r="R920" t="inlineStr">
        <is>
          <t xml:space="preserve">BX </t>
        </is>
      </c>
      <c r="S920" t="n">
        <v>2</v>
      </c>
      <c r="T920" t="n">
        <v>2</v>
      </c>
      <c r="U920" t="inlineStr">
        <is>
          <t>1992-11-17</t>
        </is>
      </c>
      <c r="V920" t="inlineStr">
        <is>
          <t>1992-11-17</t>
        </is>
      </c>
      <c r="W920" t="inlineStr">
        <is>
          <t>1991-07-01</t>
        </is>
      </c>
      <c r="X920" t="inlineStr">
        <is>
          <t>1991-07-01</t>
        </is>
      </c>
      <c r="Y920" t="n">
        <v>140</v>
      </c>
      <c r="Z920" t="n">
        <v>125</v>
      </c>
      <c r="AA920" t="n">
        <v>145</v>
      </c>
      <c r="AB920" t="n">
        <v>1</v>
      </c>
      <c r="AC920" t="n">
        <v>1</v>
      </c>
      <c r="AD920" t="n">
        <v>21</v>
      </c>
      <c r="AE920" t="n">
        <v>22</v>
      </c>
      <c r="AF920" t="n">
        <v>7</v>
      </c>
      <c r="AG920" t="n">
        <v>7</v>
      </c>
      <c r="AH920" t="n">
        <v>3</v>
      </c>
      <c r="AI920" t="n">
        <v>3</v>
      </c>
      <c r="AJ920" t="n">
        <v>18</v>
      </c>
      <c r="AK920" t="n">
        <v>19</v>
      </c>
      <c r="AL920" t="n">
        <v>0</v>
      </c>
      <c r="AM920" t="n">
        <v>0</v>
      </c>
      <c r="AN920" t="n">
        <v>0</v>
      </c>
      <c r="AO920" t="n">
        <v>0</v>
      </c>
      <c r="AP920" t="inlineStr">
        <is>
          <t>No</t>
        </is>
      </c>
      <c r="AQ920" t="inlineStr">
        <is>
          <t>No</t>
        </is>
      </c>
      <c r="AS920">
        <f>HYPERLINK("https://creighton-primo.hosted.exlibrisgroup.com/primo-explore/search?tab=default_tab&amp;search_scope=EVERYTHING&amp;vid=01CRU&amp;lang=en_US&amp;offset=0&amp;query=any,contains,991004226119702656","Catalog Record")</f>
        <v/>
      </c>
      <c r="AT920">
        <f>HYPERLINK("http://www.worldcat.org/oclc/2730953","WorldCat Record")</f>
        <v/>
      </c>
      <c r="AU920" t="inlineStr">
        <is>
          <t>6070876:eng</t>
        </is>
      </c>
      <c r="AV920" t="inlineStr">
        <is>
          <t>2730953</t>
        </is>
      </c>
      <c r="AW920" t="inlineStr">
        <is>
          <t>991004226119702656</t>
        </is>
      </c>
      <c r="AX920" t="inlineStr">
        <is>
          <t>991004226119702656</t>
        </is>
      </c>
      <c r="AY920" t="inlineStr">
        <is>
          <t>2256870010002656</t>
        </is>
      </c>
      <c r="AZ920" t="inlineStr">
        <is>
          <t>BOOK</t>
        </is>
      </c>
      <c r="BC920" t="inlineStr">
        <is>
          <t>32285000667419</t>
        </is>
      </c>
      <c r="BD920" t="inlineStr">
        <is>
          <t>893325094</t>
        </is>
      </c>
    </row>
    <row r="921">
      <c r="A921" t="inlineStr">
        <is>
          <t>No</t>
        </is>
      </c>
      <c r="B921" t="inlineStr">
        <is>
          <t>BX1920 .P52</t>
        </is>
      </c>
      <c r="C921" t="inlineStr">
        <is>
          <t>0                      BX 1920000P  52</t>
        </is>
      </c>
      <c r="D921" t="inlineStr">
        <is>
          <t>The role of the laity in the church / by Gerard Philips. Translated by John R. Gilbert and James W.Moudry.</t>
        </is>
      </c>
      <c r="F921" t="inlineStr">
        <is>
          <t>No</t>
        </is>
      </c>
      <c r="G921" t="inlineStr">
        <is>
          <t>1</t>
        </is>
      </c>
      <c r="H921" t="inlineStr">
        <is>
          <t>No</t>
        </is>
      </c>
      <c r="I921" t="inlineStr">
        <is>
          <t>No</t>
        </is>
      </c>
      <c r="J921" t="inlineStr">
        <is>
          <t>0</t>
        </is>
      </c>
      <c r="K921" t="inlineStr">
        <is>
          <t>Philips, Gérard, 1899-1972.</t>
        </is>
      </c>
      <c r="L921" t="inlineStr">
        <is>
          <t>Chicago : Fides Publishers, 1957.</t>
        </is>
      </c>
      <c r="M921" t="inlineStr">
        <is>
          <t>1957</t>
        </is>
      </c>
      <c r="O921" t="inlineStr">
        <is>
          <t>eng</t>
        </is>
      </c>
      <c r="P921" t="inlineStr">
        <is>
          <t>___</t>
        </is>
      </c>
      <c r="R921" t="inlineStr">
        <is>
          <t xml:space="preserve">BX </t>
        </is>
      </c>
      <c r="S921" t="n">
        <v>2</v>
      </c>
      <c r="T921" t="n">
        <v>2</v>
      </c>
      <c r="U921" t="inlineStr">
        <is>
          <t>2004-06-15</t>
        </is>
      </c>
      <c r="V921" t="inlineStr">
        <is>
          <t>2004-06-15</t>
        </is>
      </c>
      <c r="W921" t="inlineStr">
        <is>
          <t>1991-07-01</t>
        </is>
      </c>
      <c r="X921" t="inlineStr">
        <is>
          <t>1991-07-01</t>
        </is>
      </c>
      <c r="Y921" t="n">
        <v>76</v>
      </c>
      <c r="Z921" t="n">
        <v>70</v>
      </c>
      <c r="AA921" t="n">
        <v>196</v>
      </c>
      <c r="AB921" t="n">
        <v>1</v>
      </c>
      <c r="AC921" t="n">
        <v>3</v>
      </c>
      <c r="AD921" t="n">
        <v>14</v>
      </c>
      <c r="AE921" t="n">
        <v>29</v>
      </c>
      <c r="AF921" t="n">
        <v>5</v>
      </c>
      <c r="AG921" t="n">
        <v>9</v>
      </c>
      <c r="AH921" t="n">
        <v>4</v>
      </c>
      <c r="AI921" t="n">
        <v>8</v>
      </c>
      <c r="AJ921" t="n">
        <v>10</v>
      </c>
      <c r="AK921" t="n">
        <v>23</v>
      </c>
      <c r="AL921" t="n">
        <v>0</v>
      </c>
      <c r="AM921" t="n">
        <v>0</v>
      </c>
      <c r="AN921" t="n">
        <v>0</v>
      </c>
      <c r="AO921" t="n">
        <v>0</v>
      </c>
      <c r="AP921" t="inlineStr">
        <is>
          <t>No</t>
        </is>
      </c>
      <c r="AQ921" t="inlineStr">
        <is>
          <t>No</t>
        </is>
      </c>
      <c r="AS921">
        <f>HYPERLINK("https://creighton-primo.hosted.exlibrisgroup.com/primo-explore/search?tab=default_tab&amp;search_scope=EVERYTHING&amp;vid=01CRU&amp;lang=en_US&amp;offset=0&amp;query=any,contains,991003109779702656","Catalog Record")</f>
        <v/>
      </c>
      <c r="AT921">
        <f>HYPERLINK("http://www.worldcat.org/oclc/656172","WorldCat Record")</f>
        <v/>
      </c>
      <c r="AU921" t="inlineStr">
        <is>
          <t>10678413392:eng</t>
        </is>
      </c>
      <c r="AV921" t="inlineStr">
        <is>
          <t>656172</t>
        </is>
      </c>
      <c r="AW921" t="inlineStr">
        <is>
          <t>991003109779702656</t>
        </is>
      </c>
      <c r="AX921" t="inlineStr">
        <is>
          <t>991003109779702656</t>
        </is>
      </c>
      <c r="AY921" t="inlineStr">
        <is>
          <t>2263316090002656</t>
        </is>
      </c>
      <c r="AZ921" t="inlineStr">
        <is>
          <t>BOOK</t>
        </is>
      </c>
      <c r="BC921" t="inlineStr">
        <is>
          <t>32285000667435</t>
        </is>
      </c>
      <c r="BD921" t="inlineStr">
        <is>
          <t>893440936</t>
        </is>
      </c>
    </row>
    <row r="922">
      <c r="A922" t="inlineStr">
        <is>
          <t>No</t>
        </is>
      </c>
      <c r="B922" t="inlineStr">
        <is>
          <t>BX1920 .R44</t>
        </is>
      </c>
      <c r="C922" t="inlineStr">
        <is>
          <t>0                      BX 1920000R  44</t>
        </is>
      </c>
      <c r="D922" t="inlineStr">
        <is>
          <t>The perplexed Catholic : a guide through confusion.</t>
        </is>
      </c>
      <c r="F922" t="inlineStr">
        <is>
          <t>No</t>
        </is>
      </c>
      <c r="G922" t="inlineStr">
        <is>
          <t>1</t>
        </is>
      </c>
      <c r="H922" t="inlineStr">
        <is>
          <t>No</t>
        </is>
      </c>
      <c r="I922" t="inlineStr">
        <is>
          <t>No</t>
        </is>
      </c>
      <c r="J922" t="inlineStr">
        <is>
          <t>0</t>
        </is>
      </c>
      <c r="K922" t="inlineStr">
        <is>
          <t>Reedy, John L.</t>
        </is>
      </c>
      <c r="L922" t="inlineStr">
        <is>
          <t>Notre Dame, Ind. : Ave Maria Press, [c.1966]</t>
        </is>
      </c>
      <c r="M922" t="inlineStr">
        <is>
          <t>1966</t>
        </is>
      </c>
      <c r="O922" t="inlineStr">
        <is>
          <t>eng</t>
        </is>
      </c>
      <c r="P922" t="inlineStr">
        <is>
          <t>___</t>
        </is>
      </c>
      <c r="R922" t="inlineStr">
        <is>
          <t xml:space="preserve">BX </t>
        </is>
      </c>
      <c r="S922" t="n">
        <v>2</v>
      </c>
      <c r="T922" t="n">
        <v>2</v>
      </c>
      <c r="U922" t="inlineStr">
        <is>
          <t>2002-04-24</t>
        </is>
      </c>
      <c r="V922" t="inlineStr">
        <is>
          <t>2002-04-24</t>
        </is>
      </c>
      <c r="W922" t="inlineStr">
        <is>
          <t>1991-07-01</t>
        </is>
      </c>
      <c r="X922" t="inlineStr">
        <is>
          <t>1991-07-01</t>
        </is>
      </c>
      <c r="Y922" t="n">
        <v>61</v>
      </c>
      <c r="Z922" t="n">
        <v>50</v>
      </c>
      <c r="AA922" t="n">
        <v>50</v>
      </c>
      <c r="AB922" t="n">
        <v>1</v>
      </c>
      <c r="AC922" t="n">
        <v>1</v>
      </c>
      <c r="AD922" t="n">
        <v>10</v>
      </c>
      <c r="AE922" t="n">
        <v>10</v>
      </c>
      <c r="AF922" t="n">
        <v>2</v>
      </c>
      <c r="AG922" t="n">
        <v>2</v>
      </c>
      <c r="AH922" t="n">
        <v>3</v>
      </c>
      <c r="AI922" t="n">
        <v>3</v>
      </c>
      <c r="AJ922" t="n">
        <v>7</v>
      </c>
      <c r="AK922" t="n">
        <v>7</v>
      </c>
      <c r="AL922" t="n">
        <v>0</v>
      </c>
      <c r="AM922" t="n">
        <v>0</v>
      </c>
      <c r="AN922" t="n">
        <v>0</v>
      </c>
      <c r="AO922" t="n">
        <v>0</v>
      </c>
      <c r="AP922" t="inlineStr">
        <is>
          <t>No</t>
        </is>
      </c>
      <c r="AQ922" t="inlineStr">
        <is>
          <t>No</t>
        </is>
      </c>
      <c r="AS922">
        <f>HYPERLINK("https://creighton-primo.hosted.exlibrisgroup.com/primo-explore/search?tab=default_tab&amp;search_scope=EVERYTHING&amp;vid=01CRU&amp;lang=en_US&amp;offset=0&amp;query=any,contains,991003150159702656","Catalog Record")</f>
        <v/>
      </c>
      <c r="AT922">
        <f>HYPERLINK("http://www.worldcat.org/oclc/689462","WorldCat Record")</f>
        <v/>
      </c>
      <c r="AU922" t="inlineStr">
        <is>
          <t>1193385367:eng</t>
        </is>
      </c>
      <c r="AV922" t="inlineStr">
        <is>
          <t>689462</t>
        </is>
      </c>
      <c r="AW922" t="inlineStr">
        <is>
          <t>991003150159702656</t>
        </is>
      </c>
      <c r="AX922" t="inlineStr">
        <is>
          <t>991003150159702656</t>
        </is>
      </c>
      <c r="AY922" t="inlineStr">
        <is>
          <t>2272704110002656</t>
        </is>
      </c>
      <c r="AZ922" t="inlineStr">
        <is>
          <t>BOOK</t>
        </is>
      </c>
      <c r="BC922" t="inlineStr">
        <is>
          <t>32285000667443</t>
        </is>
      </c>
      <c r="BD922" t="inlineStr">
        <is>
          <t>893233861</t>
        </is>
      </c>
    </row>
    <row r="923">
      <c r="A923" t="inlineStr">
        <is>
          <t>No</t>
        </is>
      </c>
      <c r="B923" t="inlineStr">
        <is>
          <t>BX1920 .S3</t>
        </is>
      </c>
      <c r="C923" t="inlineStr">
        <is>
          <t>0                      BX 1920000S  3</t>
        </is>
      </c>
      <c r="D923" t="inlineStr">
        <is>
          <t>The layman in the church, and other essays / [by] E.H.Schilebeeckx.</t>
        </is>
      </c>
      <c r="F923" t="inlineStr">
        <is>
          <t>No</t>
        </is>
      </c>
      <c r="G923" t="inlineStr">
        <is>
          <t>1</t>
        </is>
      </c>
      <c r="H923" t="inlineStr">
        <is>
          <t>No</t>
        </is>
      </c>
      <c r="I923" t="inlineStr">
        <is>
          <t>No</t>
        </is>
      </c>
      <c r="J923" t="inlineStr">
        <is>
          <t>0</t>
        </is>
      </c>
      <c r="K923" t="inlineStr">
        <is>
          <t>Schillebeeckx, Edward, 1914-2009.</t>
        </is>
      </c>
      <c r="L923" t="inlineStr">
        <is>
          <t>Staten Island, N.Y. : Alba House, [1963]</t>
        </is>
      </c>
      <c r="M923" t="inlineStr">
        <is>
          <t>1963</t>
        </is>
      </c>
      <c r="O923" t="inlineStr">
        <is>
          <t>eng</t>
        </is>
      </c>
      <c r="P923" t="inlineStr">
        <is>
          <t>___</t>
        </is>
      </c>
      <c r="R923" t="inlineStr">
        <is>
          <t xml:space="preserve">BX </t>
        </is>
      </c>
      <c r="S923" t="n">
        <v>6</v>
      </c>
      <c r="T923" t="n">
        <v>6</v>
      </c>
      <c r="U923" t="inlineStr">
        <is>
          <t>2006-07-03</t>
        </is>
      </c>
      <c r="V923" t="inlineStr">
        <is>
          <t>2006-07-03</t>
        </is>
      </c>
      <c r="W923" t="inlineStr">
        <is>
          <t>1991-07-01</t>
        </is>
      </c>
      <c r="X923" t="inlineStr">
        <is>
          <t>1991-07-01</t>
        </is>
      </c>
      <c r="Y923" t="n">
        <v>288</v>
      </c>
      <c r="Z923" t="n">
        <v>258</v>
      </c>
      <c r="AA923" t="n">
        <v>266</v>
      </c>
      <c r="AB923" t="n">
        <v>4</v>
      </c>
      <c r="AC923" t="n">
        <v>4</v>
      </c>
      <c r="AD923" t="n">
        <v>35</v>
      </c>
      <c r="AE923" t="n">
        <v>35</v>
      </c>
      <c r="AF923" t="n">
        <v>11</v>
      </c>
      <c r="AG923" t="n">
        <v>11</v>
      </c>
      <c r="AH923" t="n">
        <v>8</v>
      </c>
      <c r="AI923" t="n">
        <v>8</v>
      </c>
      <c r="AJ923" t="n">
        <v>25</v>
      </c>
      <c r="AK923" t="n">
        <v>25</v>
      </c>
      <c r="AL923" t="n">
        <v>2</v>
      </c>
      <c r="AM923" t="n">
        <v>2</v>
      </c>
      <c r="AN923" t="n">
        <v>0</v>
      </c>
      <c r="AO923" t="n">
        <v>0</v>
      </c>
      <c r="AP923" t="inlineStr">
        <is>
          <t>No</t>
        </is>
      </c>
      <c r="AQ923" t="inlineStr">
        <is>
          <t>No</t>
        </is>
      </c>
      <c r="AS923">
        <f>HYPERLINK("https://creighton-primo.hosted.exlibrisgroup.com/primo-explore/search?tab=default_tab&amp;search_scope=EVERYTHING&amp;vid=01CRU&amp;lang=en_US&amp;offset=0&amp;query=any,contains,991003109849702656","Catalog Record")</f>
        <v/>
      </c>
      <c r="AT923">
        <f>HYPERLINK("http://www.worldcat.org/oclc/656186","WorldCat Record")</f>
        <v/>
      </c>
      <c r="AU923" t="inlineStr">
        <is>
          <t>369181762:eng</t>
        </is>
      </c>
      <c r="AV923" t="inlineStr">
        <is>
          <t>656186</t>
        </is>
      </c>
      <c r="AW923" t="inlineStr">
        <is>
          <t>991003109849702656</t>
        </is>
      </c>
      <c r="AX923" t="inlineStr">
        <is>
          <t>991003109849702656</t>
        </is>
      </c>
      <c r="AY923" t="inlineStr">
        <is>
          <t>2263313640002656</t>
        </is>
      </c>
      <c r="AZ923" t="inlineStr">
        <is>
          <t>BOOK</t>
        </is>
      </c>
      <c r="BC923" t="inlineStr">
        <is>
          <t>32285000667450</t>
        </is>
      </c>
      <c r="BD923" t="inlineStr">
        <is>
          <t>893880825</t>
        </is>
      </c>
    </row>
    <row r="924">
      <c r="A924" t="inlineStr">
        <is>
          <t>No</t>
        </is>
      </c>
      <c r="B924" t="inlineStr">
        <is>
          <t>BX1920 .T5 1962</t>
        </is>
      </c>
      <c r="C924" t="inlineStr">
        <is>
          <t>0                      BX 1920000T  5           1962</t>
        </is>
      </c>
      <c r="D924" t="inlineStr">
        <is>
          <t>The emerging layman; the role of the Catholic layman in America.</t>
        </is>
      </c>
      <c r="F924" t="inlineStr">
        <is>
          <t>No</t>
        </is>
      </c>
      <c r="G924" t="inlineStr">
        <is>
          <t>1</t>
        </is>
      </c>
      <c r="H924" t="inlineStr">
        <is>
          <t>No</t>
        </is>
      </c>
      <c r="I924" t="inlineStr">
        <is>
          <t>No</t>
        </is>
      </c>
      <c r="J924" t="inlineStr">
        <is>
          <t>0</t>
        </is>
      </c>
      <c r="K924" t="inlineStr">
        <is>
          <t>Thorman, Donald J.</t>
        </is>
      </c>
      <c r="L924" t="inlineStr">
        <is>
          <t>Garden City, N.Y., Doubleday, 1962.</t>
        </is>
      </c>
      <c r="M924" t="inlineStr">
        <is>
          <t>1962</t>
        </is>
      </c>
      <c r="N924" t="inlineStr">
        <is>
          <t>[1st ed.]</t>
        </is>
      </c>
      <c r="O924" t="inlineStr">
        <is>
          <t>eng</t>
        </is>
      </c>
      <c r="P924" t="inlineStr">
        <is>
          <t xml:space="preserve">xx </t>
        </is>
      </c>
      <c r="R924" t="inlineStr">
        <is>
          <t xml:space="preserve">BX </t>
        </is>
      </c>
      <c r="S924" t="n">
        <v>1</v>
      </c>
      <c r="T924" t="n">
        <v>1</v>
      </c>
      <c r="U924" t="inlineStr">
        <is>
          <t>1992-11-17</t>
        </is>
      </c>
      <c r="V924" t="inlineStr">
        <is>
          <t>1992-11-17</t>
        </is>
      </c>
      <c r="W924" t="inlineStr">
        <is>
          <t>1991-07-01</t>
        </is>
      </c>
      <c r="X924" t="inlineStr">
        <is>
          <t>1991-07-01</t>
        </is>
      </c>
      <c r="Y924" t="n">
        <v>370</v>
      </c>
      <c r="Z924" t="n">
        <v>339</v>
      </c>
      <c r="AA924" t="n">
        <v>363</v>
      </c>
      <c r="AB924" t="n">
        <v>3</v>
      </c>
      <c r="AC924" t="n">
        <v>3</v>
      </c>
      <c r="AD924" t="n">
        <v>33</v>
      </c>
      <c r="AE924" t="n">
        <v>34</v>
      </c>
      <c r="AF924" t="n">
        <v>10</v>
      </c>
      <c r="AG924" t="n">
        <v>11</v>
      </c>
      <c r="AH924" t="n">
        <v>8</v>
      </c>
      <c r="AI924" t="n">
        <v>8</v>
      </c>
      <c r="AJ924" t="n">
        <v>24</v>
      </c>
      <c r="AK924" t="n">
        <v>24</v>
      </c>
      <c r="AL924" t="n">
        <v>1</v>
      </c>
      <c r="AM924" t="n">
        <v>1</v>
      </c>
      <c r="AN924" t="n">
        <v>1</v>
      </c>
      <c r="AO924" t="n">
        <v>1</v>
      </c>
      <c r="AP924" t="inlineStr">
        <is>
          <t>No</t>
        </is>
      </c>
      <c r="AQ924" t="inlineStr">
        <is>
          <t>No</t>
        </is>
      </c>
      <c r="AS924">
        <f>HYPERLINK("https://creighton-primo.hosted.exlibrisgroup.com/primo-explore/search?tab=default_tab&amp;search_scope=EVERYTHING&amp;vid=01CRU&amp;lang=en_US&amp;offset=0&amp;query=any,contains,991003142429702656","Catalog Record")</f>
        <v/>
      </c>
      <c r="AT924">
        <f>HYPERLINK("http://www.worldcat.org/oclc/683626","WorldCat Record")</f>
        <v/>
      </c>
      <c r="AU924" t="inlineStr">
        <is>
          <t>1760509:eng</t>
        </is>
      </c>
      <c r="AV924" t="inlineStr">
        <is>
          <t>683626</t>
        </is>
      </c>
      <c r="AW924" t="inlineStr">
        <is>
          <t>991003142429702656</t>
        </is>
      </c>
      <c r="AX924" t="inlineStr">
        <is>
          <t>991003142429702656</t>
        </is>
      </c>
      <c r="AY924" t="inlineStr">
        <is>
          <t>2265558090002656</t>
        </is>
      </c>
      <c r="AZ924" t="inlineStr">
        <is>
          <t>BOOK</t>
        </is>
      </c>
      <c r="BC924" t="inlineStr">
        <is>
          <t>32285000667476</t>
        </is>
      </c>
      <c r="BD924" t="inlineStr">
        <is>
          <t>893623191</t>
        </is>
      </c>
    </row>
    <row r="925">
      <c r="A925" t="inlineStr">
        <is>
          <t>No</t>
        </is>
      </c>
      <c r="B925" t="inlineStr">
        <is>
          <t>BX1920 .W54 1986</t>
        </is>
      </c>
      <c r="C925" t="inlineStr">
        <is>
          <t>0                      BX 1920000W  54          1986</t>
        </is>
      </c>
      <c r="D925" t="inlineStr">
        <is>
          <t>The emerging laity : returning leadership to the community of faith / James D. Whitehead, Evelyn Eaton Whitehead.</t>
        </is>
      </c>
      <c r="F925" t="inlineStr">
        <is>
          <t>No</t>
        </is>
      </c>
      <c r="G925" t="inlineStr">
        <is>
          <t>1</t>
        </is>
      </c>
      <c r="H925" t="inlineStr">
        <is>
          <t>No</t>
        </is>
      </c>
      <c r="I925" t="inlineStr">
        <is>
          <t>No</t>
        </is>
      </c>
      <c r="J925" t="inlineStr">
        <is>
          <t>0</t>
        </is>
      </c>
      <c r="K925" t="inlineStr">
        <is>
          <t>Whitehead, James D.</t>
        </is>
      </c>
      <c r="L925" t="inlineStr">
        <is>
          <t>Garden City, N.Y. : Doubleday, 1986.</t>
        </is>
      </c>
      <c r="M925" t="inlineStr">
        <is>
          <t>1986</t>
        </is>
      </c>
      <c r="O925" t="inlineStr">
        <is>
          <t>eng</t>
        </is>
      </c>
      <c r="P925" t="inlineStr">
        <is>
          <t>nyu</t>
        </is>
      </c>
      <c r="R925" t="inlineStr">
        <is>
          <t xml:space="preserve">BX </t>
        </is>
      </c>
      <c r="S925" t="n">
        <v>2</v>
      </c>
      <c r="T925" t="n">
        <v>2</v>
      </c>
      <c r="U925" t="inlineStr">
        <is>
          <t>2007-06-11</t>
        </is>
      </c>
      <c r="V925" t="inlineStr">
        <is>
          <t>2007-06-11</t>
        </is>
      </c>
      <c r="W925" t="inlineStr">
        <is>
          <t>2007-06-11</t>
        </is>
      </c>
      <c r="X925" t="inlineStr">
        <is>
          <t>2007-06-11</t>
        </is>
      </c>
      <c r="Y925" t="n">
        <v>336</v>
      </c>
      <c r="Z925" t="n">
        <v>297</v>
      </c>
      <c r="AA925" t="n">
        <v>336</v>
      </c>
      <c r="AB925" t="n">
        <v>3</v>
      </c>
      <c r="AC925" t="n">
        <v>3</v>
      </c>
      <c r="AD925" t="n">
        <v>27</v>
      </c>
      <c r="AE925" t="n">
        <v>29</v>
      </c>
      <c r="AF925" t="n">
        <v>8</v>
      </c>
      <c r="AG925" t="n">
        <v>8</v>
      </c>
      <c r="AH925" t="n">
        <v>5</v>
      </c>
      <c r="AI925" t="n">
        <v>6</v>
      </c>
      <c r="AJ925" t="n">
        <v>20</v>
      </c>
      <c r="AK925" t="n">
        <v>21</v>
      </c>
      <c r="AL925" t="n">
        <v>2</v>
      </c>
      <c r="AM925" t="n">
        <v>2</v>
      </c>
      <c r="AN925" t="n">
        <v>0</v>
      </c>
      <c r="AO925" t="n">
        <v>0</v>
      </c>
      <c r="AP925" t="inlineStr">
        <is>
          <t>No</t>
        </is>
      </c>
      <c r="AQ925" t="inlineStr">
        <is>
          <t>Yes</t>
        </is>
      </c>
      <c r="AR925">
        <f>HYPERLINK("http://catalog.hathitrust.org/Record/000671656","HathiTrust Record")</f>
        <v/>
      </c>
      <c r="AS925">
        <f>HYPERLINK("https://creighton-primo.hosted.exlibrisgroup.com/primo-explore/search?tab=default_tab&amp;search_scope=EVERYTHING&amp;vid=01CRU&amp;lang=en_US&amp;offset=0&amp;query=any,contains,991005090279702656","Catalog Record")</f>
        <v/>
      </c>
      <c r="AT925">
        <f>HYPERLINK("http://www.worldcat.org/oclc/13008347","WorldCat Record")</f>
        <v/>
      </c>
      <c r="AU925" t="inlineStr">
        <is>
          <t>5461680:eng</t>
        </is>
      </c>
      <c r="AV925" t="inlineStr">
        <is>
          <t>13008347</t>
        </is>
      </c>
      <c r="AW925" t="inlineStr">
        <is>
          <t>991005090279702656</t>
        </is>
      </c>
      <c r="AX925" t="inlineStr">
        <is>
          <t>991005090279702656</t>
        </is>
      </c>
      <c r="AY925" t="inlineStr">
        <is>
          <t>2267679500002656</t>
        </is>
      </c>
      <c r="AZ925" t="inlineStr">
        <is>
          <t>BOOK</t>
        </is>
      </c>
      <c r="BB925" t="inlineStr">
        <is>
          <t>9780385236126</t>
        </is>
      </c>
      <c r="BC925" t="inlineStr">
        <is>
          <t>32285005316509</t>
        </is>
      </c>
      <c r="BD925" t="inlineStr">
        <is>
          <t>893889647</t>
        </is>
      </c>
    </row>
    <row r="926">
      <c r="A926" t="inlineStr">
        <is>
          <t>No</t>
        </is>
      </c>
      <c r="B926" t="inlineStr">
        <is>
          <t>BX1920.N47 L85 1978</t>
        </is>
      </c>
      <c r="C926" t="inlineStr">
        <is>
          <t>0                      BX 1920000N  47                 L  85          1978</t>
        </is>
      </c>
      <c r="D926" t="inlineStr">
        <is>
          <t>Newman's dialogues on certitude / James W. Lyons.</t>
        </is>
      </c>
      <c r="F926" t="inlineStr">
        <is>
          <t>No</t>
        </is>
      </c>
      <c r="G926" t="inlineStr">
        <is>
          <t>1</t>
        </is>
      </c>
      <c r="H926" t="inlineStr">
        <is>
          <t>No</t>
        </is>
      </c>
      <c r="I926" t="inlineStr">
        <is>
          <t>No</t>
        </is>
      </c>
      <c r="J926" t="inlineStr">
        <is>
          <t>0</t>
        </is>
      </c>
      <c r="K926" t="inlineStr">
        <is>
          <t>Lyons, James W.</t>
        </is>
      </c>
      <c r="L926" t="inlineStr">
        <is>
          <t>Rome : Catholic Book Agency ; Westminster, MD : distributed in the U.S. by Christian Classics, 1978.</t>
        </is>
      </c>
      <c r="M926" t="inlineStr">
        <is>
          <t>1978</t>
        </is>
      </c>
      <c r="O926" t="inlineStr">
        <is>
          <t>eng</t>
        </is>
      </c>
      <c r="P926" t="inlineStr">
        <is>
          <t xml:space="preserve">it </t>
        </is>
      </c>
      <c r="R926" t="inlineStr">
        <is>
          <t xml:space="preserve">BX </t>
        </is>
      </c>
      <c r="S926" t="n">
        <v>5</v>
      </c>
      <c r="T926" t="n">
        <v>5</v>
      </c>
      <c r="U926" t="inlineStr">
        <is>
          <t>1993-06-01</t>
        </is>
      </c>
      <c r="V926" t="inlineStr">
        <is>
          <t>1993-06-01</t>
        </is>
      </c>
      <c r="W926" t="inlineStr">
        <is>
          <t>1992-03-30</t>
        </is>
      </c>
      <c r="X926" t="inlineStr">
        <is>
          <t>1992-03-30</t>
        </is>
      </c>
      <c r="Y926" t="n">
        <v>90</v>
      </c>
      <c r="Z926" t="n">
        <v>72</v>
      </c>
      <c r="AA926" t="n">
        <v>73</v>
      </c>
      <c r="AB926" t="n">
        <v>2</v>
      </c>
      <c r="AC926" t="n">
        <v>2</v>
      </c>
      <c r="AD926" t="n">
        <v>11</v>
      </c>
      <c r="AE926" t="n">
        <v>11</v>
      </c>
      <c r="AF926" t="n">
        <v>2</v>
      </c>
      <c r="AG926" t="n">
        <v>2</v>
      </c>
      <c r="AH926" t="n">
        <v>3</v>
      </c>
      <c r="AI926" t="n">
        <v>3</v>
      </c>
      <c r="AJ926" t="n">
        <v>9</v>
      </c>
      <c r="AK926" t="n">
        <v>9</v>
      </c>
      <c r="AL926" t="n">
        <v>0</v>
      </c>
      <c r="AM926" t="n">
        <v>0</v>
      </c>
      <c r="AN926" t="n">
        <v>0</v>
      </c>
      <c r="AO926" t="n">
        <v>0</v>
      </c>
      <c r="AP926" t="inlineStr">
        <is>
          <t>No</t>
        </is>
      </c>
      <c r="AQ926" t="inlineStr">
        <is>
          <t>Yes</t>
        </is>
      </c>
      <c r="AR926">
        <f>HYPERLINK("http://catalog.hathitrust.org/Record/101931497","HathiTrust Record")</f>
        <v/>
      </c>
      <c r="AS926">
        <f>HYPERLINK("https://creighton-primo.hosted.exlibrisgroup.com/primo-explore/search?tab=default_tab&amp;search_scope=EVERYTHING&amp;vid=01CRU&amp;lang=en_US&amp;offset=0&amp;query=any,contains,991004759919702656","Catalog Record")</f>
        <v/>
      </c>
      <c r="AT926">
        <f>HYPERLINK("http://www.worldcat.org/oclc/7999242","WorldCat Record")</f>
        <v/>
      </c>
      <c r="AU926" t="inlineStr">
        <is>
          <t>15233383:eng</t>
        </is>
      </c>
      <c r="AV926" t="inlineStr">
        <is>
          <t>7999242</t>
        </is>
      </c>
      <c r="AW926" t="inlineStr">
        <is>
          <t>991004759919702656</t>
        </is>
      </c>
      <c r="AX926" t="inlineStr">
        <is>
          <t>991004759919702656</t>
        </is>
      </c>
      <c r="AY926" t="inlineStr">
        <is>
          <t>2258224360002656</t>
        </is>
      </c>
      <c r="AZ926" t="inlineStr">
        <is>
          <t>BOOK</t>
        </is>
      </c>
      <c r="BC926" t="inlineStr">
        <is>
          <t>32285001046092</t>
        </is>
      </c>
      <c r="BD926" t="inlineStr">
        <is>
          <t>893532769</t>
        </is>
      </c>
    </row>
    <row r="927">
      <c r="A927" t="inlineStr">
        <is>
          <t>No</t>
        </is>
      </c>
      <c r="B927" t="inlineStr">
        <is>
          <t>BX1934 .C67 1997</t>
        </is>
      </c>
      <c r="C927" t="inlineStr">
        <is>
          <t>0                      BX 1934000C  67          1997</t>
        </is>
      </c>
      <c r="D927" t="inlineStr">
        <is>
          <t>The parish in Catholic tradition : history, theology, and canon law / James A. Coriden.</t>
        </is>
      </c>
      <c r="F927" t="inlineStr">
        <is>
          <t>No</t>
        </is>
      </c>
      <c r="G927" t="inlineStr">
        <is>
          <t>1</t>
        </is>
      </c>
      <c r="H927" t="inlineStr">
        <is>
          <t>No</t>
        </is>
      </c>
      <c r="I927" t="inlineStr">
        <is>
          <t>No</t>
        </is>
      </c>
      <c r="J927" t="inlineStr">
        <is>
          <t>0</t>
        </is>
      </c>
      <c r="K927" t="inlineStr">
        <is>
          <t>Coriden, James A.</t>
        </is>
      </c>
      <c r="L927" t="inlineStr">
        <is>
          <t>New York : Paulist Press, c1997.</t>
        </is>
      </c>
      <c r="M927" t="inlineStr">
        <is>
          <t>1997</t>
        </is>
      </c>
      <c r="O927" t="inlineStr">
        <is>
          <t>eng</t>
        </is>
      </c>
      <c r="P927" t="inlineStr">
        <is>
          <t>nyu</t>
        </is>
      </c>
      <c r="R927" t="inlineStr">
        <is>
          <t xml:space="preserve">BX </t>
        </is>
      </c>
      <c r="S927" t="n">
        <v>6</v>
      </c>
      <c r="T927" t="n">
        <v>6</v>
      </c>
      <c r="U927" t="inlineStr">
        <is>
          <t>2004-09-07</t>
        </is>
      </c>
      <c r="V927" t="inlineStr">
        <is>
          <t>2004-09-07</t>
        </is>
      </c>
      <c r="W927" t="inlineStr">
        <is>
          <t>1997-03-20</t>
        </is>
      </c>
      <c r="X927" t="inlineStr">
        <is>
          <t>1997-03-20</t>
        </is>
      </c>
      <c r="Y927" t="n">
        <v>234</v>
      </c>
      <c r="Z927" t="n">
        <v>188</v>
      </c>
      <c r="AA927" t="n">
        <v>189</v>
      </c>
      <c r="AB927" t="n">
        <v>3</v>
      </c>
      <c r="AC927" t="n">
        <v>3</v>
      </c>
      <c r="AD927" t="n">
        <v>22</v>
      </c>
      <c r="AE927" t="n">
        <v>22</v>
      </c>
      <c r="AF927" t="n">
        <v>8</v>
      </c>
      <c r="AG927" t="n">
        <v>8</v>
      </c>
      <c r="AH927" t="n">
        <v>5</v>
      </c>
      <c r="AI927" t="n">
        <v>5</v>
      </c>
      <c r="AJ927" t="n">
        <v>14</v>
      </c>
      <c r="AK927" t="n">
        <v>14</v>
      </c>
      <c r="AL927" t="n">
        <v>2</v>
      </c>
      <c r="AM927" t="n">
        <v>2</v>
      </c>
      <c r="AN927" t="n">
        <v>0</v>
      </c>
      <c r="AO927" t="n">
        <v>0</v>
      </c>
      <c r="AP927" t="inlineStr">
        <is>
          <t>No</t>
        </is>
      </c>
      <c r="AQ927" t="inlineStr">
        <is>
          <t>No</t>
        </is>
      </c>
      <c r="AS927">
        <f>HYPERLINK("https://creighton-primo.hosted.exlibrisgroup.com/primo-explore/search?tab=default_tab&amp;search_scope=EVERYTHING&amp;vid=01CRU&amp;lang=en_US&amp;offset=0&amp;query=any,contains,991002687689702656","Catalog Record")</f>
        <v/>
      </c>
      <c r="AT927">
        <f>HYPERLINK("http://www.worldcat.org/oclc/35110372","WorldCat Record")</f>
        <v/>
      </c>
      <c r="AU927" t="inlineStr">
        <is>
          <t>373218800:eng</t>
        </is>
      </c>
      <c r="AV927" t="inlineStr">
        <is>
          <t>35110372</t>
        </is>
      </c>
      <c r="AW927" t="inlineStr">
        <is>
          <t>991002687689702656</t>
        </is>
      </c>
      <c r="AX927" t="inlineStr">
        <is>
          <t>991002687689702656</t>
        </is>
      </c>
      <c r="AY927" t="inlineStr">
        <is>
          <t>2269957670002656</t>
        </is>
      </c>
      <c r="AZ927" t="inlineStr">
        <is>
          <t>BOOK</t>
        </is>
      </c>
      <c r="BB927" t="inlineStr">
        <is>
          <t>9780809136858</t>
        </is>
      </c>
      <c r="BC927" t="inlineStr">
        <is>
          <t>32285002475191</t>
        </is>
      </c>
      <c r="BD927" t="inlineStr">
        <is>
          <t>893691880</t>
        </is>
      </c>
    </row>
    <row r="928">
      <c r="A928" t="inlineStr">
        <is>
          <t>No</t>
        </is>
      </c>
      <c r="B928" t="inlineStr">
        <is>
          <t>BX1935 .A5 1918</t>
        </is>
      </c>
      <c r="C928" t="inlineStr">
        <is>
          <t>0                      BX 1935000A  5           1918</t>
        </is>
      </c>
      <c r="D928" t="inlineStr">
        <is>
          <t>Codex iuris canonici Pii x pontificis maximi iussu digestus : Benedicti papae xv auctoritate promulgatus, praefatione emi Petri card / Gasparri et indice analytico-alphabetico auctus.</t>
        </is>
      </c>
      <c r="F928" t="inlineStr">
        <is>
          <t>No</t>
        </is>
      </c>
      <c r="G928" t="inlineStr">
        <is>
          <t>2</t>
        </is>
      </c>
      <c r="H928" t="inlineStr">
        <is>
          <t>Yes</t>
        </is>
      </c>
      <c r="I928" t="inlineStr">
        <is>
          <t>No</t>
        </is>
      </c>
      <c r="J928" t="inlineStr">
        <is>
          <t>0</t>
        </is>
      </c>
      <c r="K928" t="inlineStr">
        <is>
          <t>Catholic Church. Codex Juris Canonici.</t>
        </is>
      </c>
      <c r="L928" t="inlineStr">
        <is>
          <t>Romae : Typis Polyglottis Vaticanis, 1918.</t>
        </is>
      </c>
      <c r="M928" t="inlineStr">
        <is>
          <t>1918</t>
        </is>
      </c>
      <c r="O928" t="inlineStr">
        <is>
          <t>lat</t>
        </is>
      </c>
      <c r="P928" t="inlineStr">
        <is>
          <t xml:space="preserve">it </t>
        </is>
      </c>
      <c r="R928" t="inlineStr">
        <is>
          <t xml:space="preserve">BX </t>
        </is>
      </c>
      <c r="S928" t="n">
        <v>1</v>
      </c>
      <c r="T928" t="n">
        <v>1</v>
      </c>
      <c r="U928" t="inlineStr">
        <is>
          <t>2007-06-22</t>
        </is>
      </c>
      <c r="V928" t="inlineStr">
        <is>
          <t>2007-06-22</t>
        </is>
      </c>
      <c r="W928" t="inlineStr">
        <is>
          <t>1991-07-01</t>
        </is>
      </c>
      <c r="X928" t="inlineStr">
        <is>
          <t>2000-06-14</t>
        </is>
      </c>
      <c r="Y928" t="n">
        <v>37</v>
      </c>
      <c r="Z928" t="n">
        <v>32</v>
      </c>
      <c r="AA928" t="n">
        <v>32</v>
      </c>
      <c r="AB928" t="n">
        <v>1</v>
      </c>
      <c r="AC928" t="n">
        <v>1</v>
      </c>
      <c r="AD928" t="n">
        <v>7</v>
      </c>
      <c r="AE928" t="n">
        <v>7</v>
      </c>
      <c r="AF928" t="n">
        <v>2</v>
      </c>
      <c r="AG928" t="n">
        <v>2</v>
      </c>
      <c r="AH928" t="n">
        <v>1</v>
      </c>
      <c r="AI928" t="n">
        <v>1</v>
      </c>
      <c r="AJ928" t="n">
        <v>5</v>
      </c>
      <c r="AK928" t="n">
        <v>5</v>
      </c>
      <c r="AL928" t="n">
        <v>0</v>
      </c>
      <c r="AM928" t="n">
        <v>0</v>
      </c>
      <c r="AN928" t="n">
        <v>1</v>
      </c>
      <c r="AO928" t="n">
        <v>1</v>
      </c>
      <c r="AP928" t="inlineStr">
        <is>
          <t>No</t>
        </is>
      </c>
      <c r="AQ928" t="inlineStr">
        <is>
          <t>No</t>
        </is>
      </c>
      <c r="AS928">
        <f>HYPERLINK("https://creighton-primo.hosted.exlibrisgroup.com/primo-explore/search?tab=default_tab&amp;search_scope=EVERYTHING&amp;vid=01CRU&amp;lang=en_US&amp;offset=0&amp;query=any,contains,991003068219702656","Catalog Record")</f>
        <v/>
      </c>
      <c r="AT928">
        <f>HYPERLINK("http://www.worldcat.org/oclc/3931218","WorldCat Record")</f>
        <v/>
      </c>
      <c r="AU928" t="inlineStr">
        <is>
          <t>10596148906:lat</t>
        </is>
      </c>
      <c r="AV928" t="inlineStr">
        <is>
          <t>3931218</t>
        </is>
      </c>
      <c r="AW928" t="inlineStr">
        <is>
          <t>991003068219702656</t>
        </is>
      </c>
      <c r="AX928" t="inlineStr">
        <is>
          <t>991003068219702656</t>
        </is>
      </c>
      <c r="AY928" t="inlineStr">
        <is>
          <t>2268197490002656</t>
        </is>
      </c>
      <c r="AZ928" t="inlineStr">
        <is>
          <t>BOOK</t>
        </is>
      </c>
      <c r="BC928" t="inlineStr">
        <is>
          <t>32285000667492</t>
        </is>
      </c>
      <c r="BD928" t="inlineStr">
        <is>
          <t>893774360</t>
        </is>
      </c>
    </row>
    <row r="929">
      <c r="A929" t="inlineStr">
        <is>
          <t>No</t>
        </is>
      </c>
      <c r="B929" t="inlineStr">
        <is>
          <t>BX1935 .A5 1936</t>
        </is>
      </c>
      <c r="C929" t="inlineStr">
        <is>
          <t>0                      BX 1935000A  5           1936</t>
        </is>
      </c>
      <c r="D929" t="inlineStr">
        <is>
          <t>Codex iuris canonici : Pii X pontificis maximi iussu digestus ; Benedicti papae XV auctoritate promulgatus / praefatione Petri Card. Gasparri et indice analytico-alphabetico auctus.</t>
        </is>
      </c>
      <c r="F929" t="inlineStr">
        <is>
          <t>No</t>
        </is>
      </c>
      <c r="G929" t="inlineStr">
        <is>
          <t>1</t>
        </is>
      </c>
      <c r="H929" t="inlineStr">
        <is>
          <t>No</t>
        </is>
      </c>
      <c r="I929" t="inlineStr">
        <is>
          <t>No</t>
        </is>
      </c>
      <c r="J929" t="inlineStr">
        <is>
          <t>0</t>
        </is>
      </c>
      <c r="K929" t="inlineStr">
        <is>
          <t>Catholic Church.</t>
        </is>
      </c>
      <c r="L929" t="inlineStr">
        <is>
          <t>[Romae] : Typis polyglottis Vaticanis, 1936.</t>
        </is>
      </c>
      <c r="M929" t="inlineStr">
        <is>
          <t>1936</t>
        </is>
      </c>
      <c r="O929" t="inlineStr">
        <is>
          <t>lat</t>
        </is>
      </c>
      <c r="P929" t="inlineStr">
        <is>
          <t xml:space="preserve">it </t>
        </is>
      </c>
      <c r="R929" t="inlineStr">
        <is>
          <t xml:space="preserve">BX </t>
        </is>
      </c>
      <c r="S929" t="n">
        <v>2</v>
      </c>
      <c r="T929" t="n">
        <v>2</v>
      </c>
      <c r="U929" t="inlineStr">
        <is>
          <t>2008-06-05</t>
        </is>
      </c>
      <c r="V929" t="inlineStr">
        <is>
          <t>2008-06-05</t>
        </is>
      </c>
      <c r="W929" t="inlineStr">
        <is>
          <t>2006-09-27</t>
        </is>
      </c>
      <c r="X929" t="inlineStr">
        <is>
          <t>2006-09-27</t>
        </is>
      </c>
      <c r="Y929" t="n">
        <v>19</v>
      </c>
      <c r="Z929" t="n">
        <v>12</v>
      </c>
      <c r="AA929" t="n">
        <v>83</v>
      </c>
      <c r="AB929" t="n">
        <v>1</v>
      </c>
      <c r="AC929" t="n">
        <v>2</v>
      </c>
      <c r="AD929" t="n">
        <v>1</v>
      </c>
      <c r="AE929" t="n">
        <v>10</v>
      </c>
      <c r="AF929" t="n">
        <v>0</v>
      </c>
      <c r="AG929" t="n">
        <v>2</v>
      </c>
      <c r="AH929" t="n">
        <v>1</v>
      </c>
      <c r="AI929" t="n">
        <v>6</v>
      </c>
      <c r="AJ929" t="n">
        <v>1</v>
      </c>
      <c r="AK929" t="n">
        <v>5</v>
      </c>
      <c r="AL929" t="n">
        <v>0</v>
      </c>
      <c r="AM929" t="n">
        <v>0</v>
      </c>
      <c r="AN929" t="n">
        <v>0</v>
      </c>
      <c r="AO929" t="n">
        <v>0</v>
      </c>
      <c r="AP929" t="inlineStr">
        <is>
          <t>No</t>
        </is>
      </c>
      <c r="AQ929" t="inlineStr">
        <is>
          <t>No</t>
        </is>
      </c>
      <c r="AS929">
        <f>HYPERLINK("https://creighton-primo.hosted.exlibrisgroup.com/primo-explore/search?tab=default_tab&amp;search_scope=EVERYTHING&amp;vid=01CRU&amp;lang=en_US&amp;offset=0&amp;query=any,contains,991004933709702656","Catalog Record")</f>
        <v/>
      </c>
      <c r="AT929">
        <f>HYPERLINK("http://www.worldcat.org/oclc/7135507","WorldCat Record")</f>
        <v/>
      </c>
      <c r="AU929" t="inlineStr">
        <is>
          <t>1593338:lat</t>
        </is>
      </c>
      <c r="AV929" t="inlineStr">
        <is>
          <t>7135507</t>
        </is>
      </c>
      <c r="AW929" t="inlineStr">
        <is>
          <t>991004933709702656</t>
        </is>
      </c>
      <c r="AX929" t="inlineStr">
        <is>
          <t>991004933709702656</t>
        </is>
      </c>
      <c r="AY929" t="inlineStr">
        <is>
          <t>2263346230002656</t>
        </is>
      </c>
      <c r="AZ929" t="inlineStr">
        <is>
          <t>BOOK</t>
        </is>
      </c>
      <c r="BC929" t="inlineStr">
        <is>
          <t>32285005226153</t>
        </is>
      </c>
      <c r="BD929" t="inlineStr">
        <is>
          <t>893513824</t>
        </is>
      </c>
    </row>
    <row r="930">
      <c r="A930" t="inlineStr">
        <is>
          <t>No</t>
        </is>
      </c>
      <c r="B930" t="inlineStr">
        <is>
          <t>BX1935 .B3</t>
        </is>
      </c>
      <c r="C930" t="inlineStr">
        <is>
          <t>0                      BX 1935000B  3</t>
        </is>
      </c>
      <c r="D930" t="inlineStr">
        <is>
          <t>A commentary on the new Code of canon law / by the Rev. P. Chas. Augustine ... vol. I-VIII.</t>
        </is>
      </c>
      <c r="E930" t="inlineStr">
        <is>
          <t>V. 1</t>
        </is>
      </c>
      <c r="F930" t="inlineStr">
        <is>
          <t>Yes</t>
        </is>
      </c>
      <c r="G930" t="inlineStr">
        <is>
          <t>1</t>
        </is>
      </c>
      <c r="H930" t="inlineStr">
        <is>
          <t>Yes</t>
        </is>
      </c>
      <c r="I930" t="inlineStr">
        <is>
          <t>No</t>
        </is>
      </c>
      <c r="J930" t="inlineStr">
        <is>
          <t>0</t>
        </is>
      </c>
      <c r="K930" t="inlineStr">
        <is>
          <t>Charles Augustine, Rev. P., O.S.B., 1872-1943.</t>
        </is>
      </c>
      <c r="L930" t="inlineStr">
        <is>
          <t>St. Louis, Mo. ; and London : B. Herder book, 1918-1922.</t>
        </is>
      </c>
      <c r="M930" t="inlineStr">
        <is>
          <t>1918</t>
        </is>
      </c>
      <c r="O930" t="inlineStr">
        <is>
          <t>eng</t>
        </is>
      </c>
      <c r="P930" t="inlineStr">
        <is>
          <t xml:space="preserve">mo </t>
        </is>
      </c>
      <c r="R930" t="inlineStr">
        <is>
          <t xml:space="preserve">BX </t>
        </is>
      </c>
      <c r="S930" t="n">
        <v>0</v>
      </c>
      <c r="T930" t="n">
        <v>3</v>
      </c>
      <c r="V930" t="inlineStr">
        <is>
          <t>2001-11-26</t>
        </is>
      </c>
      <c r="W930" t="inlineStr">
        <is>
          <t>1991-07-01</t>
        </is>
      </c>
      <c r="X930" t="inlineStr">
        <is>
          <t>1994-05-13</t>
        </is>
      </c>
      <c r="Y930" t="n">
        <v>107</v>
      </c>
      <c r="Z930" t="n">
        <v>93</v>
      </c>
      <c r="AA930" t="n">
        <v>361</v>
      </c>
      <c r="AB930" t="n">
        <v>2</v>
      </c>
      <c r="AC930" t="n">
        <v>5</v>
      </c>
      <c r="AD930" t="n">
        <v>19</v>
      </c>
      <c r="AE930" t="n">
        <v>37</v>
      </c>
      <c r="AF930" t="n">
        <v>4</v>
      </c>
      <c r="AG930" t="n">
        <v>9</v>
      </c>
      <c r="AH930" t="n">
        <v>4</v>
      </c>
      <c r="AI930" t="n">
        <v>6</v>
      </c>
      <c r="AJ930" t="n">
        <v>13</v>
      </c>
      <c r="AK930" t="n">
        <v>14</v>
      </c>
      <c r="AL930" t="n">
        <v>0</v>
      </c>
      <c r="AM930" t="n">
        <v>1</v>
      </c>
      <c r="AN930" t="n">
        <v>1</v>
      </c>
      <c r="AO930" t="n">
        <v>11</v>
      </c>
      <c r="AP930" t="inlineStr">
        <is>
          <t>Yes</t>
        </is>
      </c>
      <c r="AQ930" t="inlineStr">
        <is>
          <t>No</t>
        </is>
      </c>
      <c r="AR930">
        <f>HYPERLINK("http://catalog.hathitrust.org/Record/100438158","HathiTrust Record")</f>
        <v/>
      </c>
      <c r="AS930">
        <f>HYPERLINK("https://creighton-primo.hosted.exlibrisgroup.com/primo-explore/search?tab=default_tab&amp;search_scope=EVERYTHING&amp;vid=01CRU&amp;lang=en_US&amp;offset=0&amp;query=any,contains,991001788159702656","Catalog Record")</f>
        <v/>
      </c>
      <c r="AT930">
        <f>HYPERLINK("http://www.worldcat.org/oclc/3865765","WorldCat Record")</f>
        <v/>
      </c>
      <c r="AU930" t="inlineStr">
        <is>
          <t>3149180372:eng</t>
        </is>
      </c>
      <c r="AV930" t="inlineStr">
        <is>
          <t>3865765</t>
        </is>
      </c>
      <c r="AW930" t="inlineStr">
        <is>
          <t>991001788159702656</t>
        </is>
      </c>
      <c r="AX930" t="inlineStr">
        <is>
          <t>991001788159702656</t>
        </is>
      </c>
      <c r="AY930" t="inlineStr">
        <is>
          <t>2272137570002656</t>
        </is>
      </c>
      <c r="AZ930" t="inlineStr">
        <is>
          <t>BOOK</t>
        </is>
      </c>
      <c r="BC930" t="inlineStr">
        <is>
          <t>32285000667526</t>
        </is>
      </c>
      <c r="BD930" t="inlineStr">
        <is>
          <t>893791709</t>
        </is>
      </c>
    </row>
    <row r="931">
      <c r="A931" t="inlineStr">
        <is>
          <t>No</t>
        </is>
      </c>
      <c r="B931" t="inlineStr">
        <is>
          <t>BX1935 .B3</t>
        </is>
      </c>
      <c r="C931" t="inlineStr">
        <is>
          <t>0                      BX 1935000B  3</t>
        </is>
      </c>
      <c r="D931" t="inlineStr">
        <is>
          <t>A commentary on the new Code of canon law / by the Rev. P. Chas. Augustine ... vol. I-VIII.</t>
        </is>
      </c>
      <c r="E931" t="inlineStr">
        <is>
          <t>V. 4</t>
        </is>
      </c>
      <c r="F931" t="inlineStr">
        <is>
          <t>Yes</t>
        </is>
      </c>
      <c r="G931" t="inlineStr">
        <is>
          <t>1</t>
        </is>
      </c>
      <c r="H931" t="inlineStr">
        <is>
          <t>Yes</t>
        </is>
      </c>
      <c r="I931" t="inlineStr">
        <is>
          <t>No</t>
        </is>
      </c>
      <c r="J931" t="inlineStr">
        <is>
          <t>0</t>
        </is>
      </c>
      <c r="K931" t="inlineStr">
        <is>
          <t>Charles Augustine, Rev. P., O.S.B., 1872-1943.</t>
        </is>
      </c>
      <c r="L931" t="inlineStr">
        <is>
          <t>St. Louis, Mo. ; and London : B. Herder book, 1918-1922.</t>
        </is>
      </c>
      <c r="M931" t="inlineStr">
        <is>
          <t>1918</t>
        </is>
      </c>
      <c r="O931" t="inlineStr">
        <is>
          <t>eng</t>
        </is>
      </c>
      <c r="P931" t="inlineStr">
        <is>
          <t xml:space="preserve">mo </t>
        </is>
      </c>
      <c r="R931" t="inlineStr">
        <is>
          <t xml:space="preserve">BX </t>
        </is>
      </c>
      <c r="S931" t="n">
        <v>0</v>
      </c>
      <c r="T931" t="n">
        <v>3</v>
      </c>
      <c r="V931" t="inlineStr">
        <is>
          <t>2001-11-26</t>
        </is>
      </c>
      <c r="W931" t="inlineStr">
        <is>
          <t>1991-07-01</t>
        </is>
      </c>
      <c r="X931" t="inlineStr">
        <is>
          <t>1994-05-13</t>
        </is>
      </c>
      <c r="Y931" t="n">
        <v>107</v>
      </c>
      <c r="Z931" t="n">
        <v>93</v>
      </c>
      <c r="AA931" t="n">
        <v>361</v>
      </c>
      <c r="AB931" t="n">
        <v>2</v>
      </c>
      <c r="AC931" t="n">
        <v>5</v>
      </c>
      <c r="AD931" t="n">
        <v>19</v>
      </c>
      <c r="AE931" t="n">
        <v>37</v>
      </c>
      <c r="AF931" t="n">
        <v>4</v>
      </c>
      <c r="AG931" t="n">
        <v>9</v>
      </c>
      <c r="AH931" t="n">
        <v>4</v>
      </c>
      <c r="AI931" t="n">
        <v>6</v>
      </c>
      <c r="AJ931" t="n">
        <v>13</v>
      </c>
      <c r="AK931" t="n">
        <v>14</v>
      </c>
      <c r="AL931" t="n">
        <v>0</v>
      </c>
      <c r="AM931" t="n">
        <v>1</v>
      </c>
      <c r="AN931" t="n">
        <v>1</v>
      </c>
      <c r="AO931" t="n">
        <v>11</v>
      </c>
      <c r="AP931" t="inlineStr">
        <is>
          <t>Yes</t>
        </is>
      </c>
      <c r="AQ931" t="inlineStr">
        <is>
          <t>No</t>
        </is>
      </c>
      <c r="AR931">
        <f>HYPERLINK("http://catalog.hathitrust.org/Record/100438158","HathiTrust Record")</f>
        <v/>
      </c>
      <c r="AS931">
        <f>HYPERLINK("https://creighton-primo.hosted.exlibrisgroup.com/primo-explore/search?tab=default_tab&amp;search_scope=EVERYTHING&amp;vid=01CRU&amp;lang=en_US&amp;offset=0&amp;query=any,contains,991001788159702656","Catalog Record")</f>
        <v/>
      </c>
      <c r="AT931">
        <f>HYPERLINK("http://www.worldcat.org/oclc/3865765","WorldCat Record")</f>
        <v/>
      </c>
      <c r="AU931" t="inlineStr">
        <is>
          <t>3149180372:eng</t>
        </is>
      </c>
      <c r="AV931" t="inlineStr">
        <is>
          <t>3865765</t>
        </is>
      </c>
      <c r="AW931" t="inlineStr">
        <is>
          <t>991001788159702656</t>
        </is>
      </c>
      <c r="AX931" t="inlineStr">
        <is>
          <t>991001788159702656</t>
        </is>
      </c>
      <c r="AY931" t="inlineStr">
        <is>
          <t>2272137570002656</t>
        </is>
      </c>
      <c r="AZ931" t="inlineStr">
        <is>
          <t>BOOK</t>
        </is>
      </c>
      <c r="BC931" t="inlineStr">
        <is>
          <t>32285000667559</t>
        </is>
      </c>
      <c r="BD931" t="inlineStr">
        <is>
          <t>893772908</t>
        </is>
      </c>
    </row>
    <row r="932">
      <c r="A932" t="inlineStr">
        <is>
          <t>No</t>
        </is>
      </c>
      <c r="B932" t="inlineStr">
        <is>
          <t>BX1935 .B3</t>
        </is>
      </c>
      <c r="C932" t="inlineStr">
        <is>
          <t>0                      BX 1935000B  3</t>
        </is>
      </c>
      <c r="D932" t="inlineStr">
        <is>
          <t>A commentary on the new Code of canon law / by the Rev. P. Chas. Augustine ... vol. I-VIII.</t>
        </is>
      </c>
      <c r="E932" t="inlineStr">
        <is>
          <t>V. 5</t>
        </is>
      </c>
      <c r="F932" t="inlineStr">
        <is>
          <t>Yes</t>
        </is>
      </c>
      <c r="G932" t="inlineStr">
        <is>
          <t>1</t>
        </is>
      </c>
      <c r="H932" t="inlineStr">
        <is>
          <t>Yes</t>
        </is>
      </c>
      <c r="I932" t="inlineStr">
        <is>
          <t>No</t>
        </is>
      </c>
      <c r="J932" t="inlineStr">
        <is>
          <t>0</t>
        </is>
      </c>
      <c r="K932" t="inlineStr">
        <is>
          <t>Charles Augustine, Rev. P., O.S.B., 1872-1943.</t>
        </is>
      </c>
      <c r="L932" t="inlineStr">
        <is>
          <t>St. Louis, Mo. ; and London : B. Herder book, 1918-1922.</t>
        </is>
      </c>
      <c r="M932" t="inlineStr">
        <is>
          <t>1918</t>
        </is>
      </c>
      <c r="O932" t="inlineStr">
        <is>
          <t>eng</t>
        </is>
      </c>
      <c r="P932" t="inlineStr">
        <is>
          <t xml:space="preserve">mo </t>
        </is>
      </c>
      <c r="R932" t="inlineStr">
        <is>
          <t xml:space="preserve">BX </t>
        </is>
      </c>
      <c r="S932" t="n">
        <v>2</v>
      </c>
      <c r="T932" t="n">
        <v>3</v>
      </c>
      <c r="U932" t="inlineStr">
        <is>
          <t>2001-11-26</t>
        </is>
      </c>
      <c r="V932" t="inlineStr">
        <is>
          <t>2001-11-26</t>
        </is>
      </c>
      <c r="W932" t="inlineStr">
        <is>
          <t>1991-07-01</t>
        </is>
      </c>
      <c r="X932" t="inlineStr">
        <is>
          <t>1994-05-13</t>
        </is>
      </c>
      <c r="Y932" t="n">
        <v>107</v>
      </c>
      <c r="Z932" t="n">
        <v>93</v>
      </c>
      <c r="AA932" t="n">
        <v>361</v>
      </c>
      <c r="AB932" t="n">
        <v>2</v>
      </c>
      <c r="AC932" t="n">
        <v>5</v>
      </c>
      <c r="AD932" t="n">
        <v>19</v>
      </c>
      <c r="AE932" t="n">
        <v>37</v>
      </c>
      <c r="AF932" t="n">
        <v>4</v>
      </c>
      <c r="AG932" t="n">
        <v>9</v>
      </c>
      <c r="AH932" t="n">
        <v>4</v>
      </c>
      <c r="AI932" t="n">
        <v>6</v>
      </c>
      <c r="AJ932" t="n">
        <v>13</v>
      </c>
      <c r="AK932" t="n">
        <v>14</v>
      </c>
      <c r="AL932" t="n">
        <v>0</v>
      </c>
      <c r="AM932" t="n">
        <v>1</v>
      </c>
      <c r="AN932" t="n">
        <v>1</v>
      </c>
      <c r="AO932" t="n">
        <v>11</v>
      </c>
      <c r="AP932" t="inlineStr">
        <is>
          <t>Yes</t>
        </is>
      </c>
      <c r="AQ932" t="inlineStr">
        <is>
          <t>No</t>
        </is>
      </c>
      <c r="AR932">
        <f>HYPERLINK("http://catalog.hathitrust.org/Record/100438158","HathiTrust Record")</f>
        <v/>
      </c>
      <c r="AS932">
        <f>HYPERLINK("https://creighton-primo.hosted.exlibrisgroup.com/primo-explore/search?tab=default_tab&amp;search_scope=EVERYTHING&amp;vid=01CRU&amp;lang=en_US&amp;offset=0&amp;query=any,contains,991001788159702656","Catalog Record")</f>
        <v/>
      </c>
      <c r="AT932">
        <f>HYPERLINK("http://www.worldcat.org/oclc/3865765","WorldCat Record")</f>
        <v/>
      </c>
      <c r="AU932" t="inlineStr">
        <is>
          <t>3149180372:eng</t>
        </is>
      </c>
      <c r="AV932" t="inlineStr">
        <is>
          <t>3865765</t>
        </is>
      </c>
      <c r="AW932" t="inlineStr">
        <is>
          <t>991001788159702656</t>
        </is>
      </c>
      <c r="AX932" t="inlineStr">
        <is>
          <t>991001788159702656</t>
        </is>
      </c>
      <c r="AY932" t="inlineStr">
        <is>
          <t>2272137570002656</t>
        </is>
      </c>
      <c r="AZ932" t="inlineStr">
        <is>
          <t>BOOK</t>
        </is>
      </c>
      <c r="BC932" t="inlineStr">
        <is>
          <t>32285000667567</t>
        </is>
      </c>
      <c r="BD932" t="inlineStr">
        <is>
          <t>893772907</t>
        </is>
      </c>
    </row>
    <row r="933">
      <c r="A933" t="inlineStr">
        <is>
          <t>No</t>
        </is>
      </c>
      <c r="B933" t="inlineStr">
        <is>
          <t>BX1935 .B3</t>
        </is>
      </c>
      <c r="C933" t="inlineStr">
        <is>
          <t>0                      BX 1935000B  3</t>
        </is>
      </c>
      <c r="D933" t="inlineStr">
        <is>
          <t>A commentary on the new Code of canon law / by the Rev. P. Chas. Augustine ... vol. I-VIII.</t>
        </is>
      </c>
      <c r="E933" t="inlineStr">
        <is>
          <t>V. 7</t>
        </is>
      </c>
      <c r="F933" t="inlineStr">
        <is>
          <t>Yes</t>
        </is>
      </c>
      <c r="G933" t="inlineStr">
        <is>
          <t>1</t>
        </is>
      </c>
      <c r="H933" t="inlineStr">
        <is>
          <t>Yes</t>
        </is>
      </c>
      <c r="I933" t="inlineStr">
        <is>
          <t>No</t>
        </is>
      </c>
      <c r="J933" t="inlineStr">
        <is>
          <t>0</t>
        </is>
      </c>
      <c r="K933" t="inlineStr">
        <is>
          <t>Charles Augustine, Rev. P., O.S.B., 1872-1943.</t>
        </is>
      </c>
      <c r="L933" t="inlineStr">
        <is>
          <t>St. Louis, Mo. ; and London : B. Herder book, 1918-1922.</t>
        </is>
      </c>
      <c r="M933" t="inlineStr">
        <is>
          <t>1918</t>
        </is>
      </c>
      <c r="O933" t="inlineStr">
        <is>
          <t>eng</t>
        </is>
      </c>
      <c r="P933" t="inlineStr">
        <is>
          <t xml:space="preserve">mo </t>
        </is>
      </c>
      <c r="R933" t="inlineStr">
        <is>
          <t xml:space="preserve">BX </t>
        </is>
      </c>
      <c r="S933" t="n">
        <v>0</v>
      </c>
      <c r="T933" t="n">
        <v>3</v>
      </c>
      <c r="V933" t="inlineStr">
        <is>
          <t>2001-11-26</t>
        </is>
      </c>
      <c r="W933" t="inlineStr">
        <is>
          <t>1991-07-01</t>
        </is>
      </c>
      <c r="X933" t="inlineStr">
        <is>
          <t>1994-05-13</t>
        </is>
      </c>
      <c r="Y933" t="n">
        <v>107</v>
      </c>
      <c r="Z933" t="n">
        <v>93</v>
      </c>
      <c r="AA933" t="n">
        <v>361</v>
      </c>
      <c r="AB933" t="n">
        <v>2</v>
      </c>
      <c r="AC933" t="n">
        <v>5</v>
      </c>
      <c r="AD933" t="n">
        <v>19</v>
      </c>
      <c r="AE933" t="n">
        <v>37</v>
      </c>
      <c r="AF933" t="n">
        <v>4</v>
      </c>
      <c r="AG933" t="n">
        <v>9</v>
      </c>
      <c r="AH933" t="n">
        <v>4</v>
      </c>
      <c r="AI933" t="n">
        <v>6</v>
      </c>
      <c r="AJ933" t="n">
        <v>13</v>
      </c>
      <c r="AK933" t="n">
        <v>14</v>
      </c>
      <c r="AL933" t="n">
        <v>0</v>
      </c>
      <c r="AM933" t="n">
        <v>1</v>
      </c>
      <c r="AN933" t="n">
        <v>1</v>
      </c>
      <c r="AO933" t="n">
        <v>11</v>
      </c>
      <c r="AP933" t="inlineStr">
        <is>
          <t>Yes</t>
        </is>
      </c>
      <c r="AQ933" t="inlineStr">
        <is>
          <t>No</t>
        </is>
      </c>
      <c r="AR933">
        <f>HYPERLINK("http://catalog.hathitrust.org/Record/100438158","HathiTrust Record")</f>
        <v/>
      </c>
      <c r="AS933">
        <f>HYPERLINK("https://creighton-primo.hosted.exlibrisgroup.com/primo-explore/search?tab=default_tab&amp;search_scope=EVERYTHING&amp;vid=01CRU&amp;lang=en_US&amp;offset=0&amp;query=any,contains,991001788159702656","Catalog Record")</f>
        <v/>
      </c>
      <c r="AT933">
        <f>HYPERLINK("http://www.worldcat.org/oclc/3865765","WorldCat Record")</f>
        <v/>
      </c>
      <c r="AU933" t="inlineStr">
        <is>
          <t>3149180372:eng</t>
        </is>
      </c>
      <c r="AV933" t="inlineStr">
        <is>
          <t>3865765</t>
        </is>
      </c>
      <c r="AW933" t="inlineStr">
        <is>
          <t>991001788159702656</t>
        </is>
      </c>
      <c r="AX933" t="inlineStr">
        <is>
          <t>991001788159702656</t>
        </is>
      </c>
      <c r="AY933" t="inlineStr">
        <is>
          <t>2272137570002656</t>
        </is>
      </c>
      <c r="AZ933" t="inlineStr">
        <is>
          <t>BOOK</t>
        </is>
      </c>
      <c r="BC933" t="inlineStr">
        <is>
          <t>32285000667583</t>
        </is>
      </c>
      <c r="BD933" t="inlineStr">
        <is>
          <t>893772905</t>
        </is>
      </c>
    </row>
    <row r="934">
      <c r="A934" t="inlineStr">
        <is>
          <t>No</t>
        </is>
      </c>
      <c r="B934" t="inlineStr">
        <is>
          <t>BX1935 .B3</t>
        </is>
      </c>
      <c r="C934" t="inlineStr">
        <is>
          <t>0                      BX 1935000B  3</t>
        </is>
      </c>
      <c r="D934" t="inlineStr">
        <is>
          <t>A commentary on the new Code of canon law / by the Rev. P. Chas. Augustine ... vol. I-VIII.</t>
        </is>
      </c>
      <c r="E934" t="inlineStr">
        <is>
          <t>V. 6</t>
        </is>
      </c>
      <c r="F934" t="inlineStr">
        <is>
          <t>Yes</t>
        </is>
      </c>
      <c r="G934" t="inlineStr">
        <is>
          <t>1</t>
        </is>
      </c>
      <c r="H934" t="inlineStr">
        <is>
          <t>Yes</t>
        </is>
      </c>
      <c r="I934" t="inlineStr">
        <is>
          <t>No</t>
        </is>
      </c>
      <c r="J934" t="inlineStr">
        <is>
          <t>0</t>
        </is>
      </c>
      <c r="K934" t="inlineStr">
        <is>
          <t>Charles Augustine, Rev. P., O.S.B., 1872-1943.</t>
        </is>
      </c>
      <c r="L934" t="inlineStr">
        <is>
          <t>St. Louis, Mo. ; and London : B. Herder book, 1918-1922.</t>
        </is>
      </c>
      <c r="M934" t="inlineStr">
        <is>
          <t>1918</t>
        </is>
      </c>
      <c r="O934" t="inlineStr">
        <is>
          <t>eng</t>
        </is>
      </c>
      <c r="P934" t="inlineStr">
        <is>
          <t xml:space="preserve">mo </t>
        </is>
      </c>
      <c r="R934" t="inlineStr">
        <is>
          <t xml:space="preserve">BX </t>
        </is>
      </c>
      <c r="S934" t="n">
        <v>0</v>
      </c>
      <c r="T934" t="n">
        <v>3</v>
      </c>
      <c r="V934" t="inlineStr">
        <is>
          <t>2001-11-26</t>
        </is>
      </c>
      <c r="W934" t="inlineStr">
        <is>
          <t>1991-07-01</t>
        </is>
      </c>
      <c r="X934" t="inlineStr">
        <is>
          <t>1994-05-13</t>
        </is>
      </c>
      <c r="Y934" t="n">
        <v>107</v>
      </c>
      <c r="Z934" t="n">
        <v>93</v>
      </c>
      <c r="AA934" t="n">
        <v>361</v>
      </c>
      <c r="AB934" t="n">
        <v>2</v>
      </c>
      <c r="AC934" t="n">
        <v>5</v>
      </c>
      <c r="AD934" t="n">
        <v>19</v>
      </c>
      <c r="AE934" t="n">
        <v>37</v>
      </c>
      <c r="AF934" t="n">
        <v>4</v>
      </c>
      <c r="AG934" t="n">
        <v>9</v>
      </c>
      <c r="AH934" t="n">
        <v>4</v>
      </c>
      <c r="AI934" t="n">
        <v>6</v>
      </c>
      <c r="AJ934" t="n">
        <v>13</v>
      </c>
      <c r="AK934" t="n">
        <v>14</v>
      </c>
      <c r="AL934" t="n">
        <v>0</v>
      </c>
      <c r="AM934" t="n">
        <v>1</v>
      </c>
      <c r="AN934" t="n">
        <v>1</v>
      </c>
      <c r="AO934" t="n">
        <v>11</v>
      </c>
      <c r="AP934" t="inlineStr">
        <is>
          <t>Yes</t>
        </is>
      </c>
      <c r="AQ934" t="inlineStr">
        <is>
          <t>No</t>
        </is>
      </c>
      <c r="AR934">
        <f>HYPERLINK("http://catalog.hathitrust.org/Record/100438158","HathiTrust Record")</f>
        <v/>
      </c>
      <c r="AS934">
        <f>HYPERLINK("https://creighton-primo.hosted.exlibrisgroup.com/primo-explore/search?tab=default_tab&amp;search_scope=EVERYTHING&amp;vid=01CRU&amp;lang=en_US&amp;offset=0&amp;query=any,contains,991001788159702656","Catalog Record")</f>
        <v/>
      </c>
      <c r="AT934">
        <f>HYPERLINK("http://www.worldcat.org/oclc/3865765","WorldCat Record")</f>
        <v/>
      </c>
      <c r="AU934" t="inlineStr">
        <is>
          <t>3149180372:eng</t>
        </is>
      </c>
      <c r="AV934" t="inlineStr">
        <is>
          <t>3865765</t>
        </is>
      </c>
      <c r="AW934" t="inlineStr">
        <is>
          <t>991001788159702656</t>
        </is>
      </c>
      <c r="AX934" t="inlineStr">
        <is>
          <t>991001788159702656</t>
        </is>
      </c>
      <c r="AY934" t="inlineStr">
        <is>
          <t>2272137570002656</t>
        </is>
      </c>
      <c r="AZ934" t="inlineStr">
        <is>
          <t>BOOK</t>
        </is>
      </c>
      <c r="BC934" t="inlineStr">
        <is>
          <t>32285000667575</t>
        </is>
      </c>
      <c r="BD934" t="inlineStr">
        <is>
          <t>893791707</t>
        </is>
      </c>
    </row>
    <row r="935">
      <c r="A935" t="inlineStr">
        <is>
          <t>No</t>
        </is>
      </c>
      <c r="B935" t="inlineStr">
        <is>
          <t>BX1935 .B3</t>
        </is>
      </c>
      <c r="C935" t="inlineStr">
        <is>
          <t>0                      BX 1935000B  3</t>
        </is>
      </c>
      <c r="D935" t="inlineStr">
        <is>
          <t>A commentary on the new Code of canon law / by the Rev. P. Chas. Augustine ... vol. I-VIII.</t>
        </is>
      </c>
      <c r="E935" t="inlineStr">
        <is>
          <t>V. 8</t>
        </is>
      </c>
      <c r="F935" t="inlineStr">
        <is>
          <t>Yes</t>
        </is>
      </c>
      <c r="G935" t="inlineStr">
        <is>
          <t>1</t>
        </is>
      </c>
      <c r="H935" t="inlineStr">
        <is>
          <t>Yes</t>
        </is>
      </c>
      <c r="I935" t="inlineStr">
        <is>
          <t>No</t>
        </is>
      </c>
      <c r="J935" t="inlineStr">
        <is>
          <t>0</t>
        </is>
      </c>
      <c r="K935" t="inlineStr">
        <is>
          <t>Charles Augustine, Rev. P., O.S.B., 1872-1943.</t>
        </is>
      </c>
      <c r="L935" t="inlineStr">
        <is>
          <t>St. Louis, Mo. ; and London : B. Herder book, 1918-1922.</t>
        </is>
      </c>
      <c r="M935" t="inlineStr">
        <is>
          <t>1918</t>
        </is>
      </c>
      <c r="O935" t="inlineStr">
        <is>
          <t>eng</t>
        </is>
      </c>
      <c r="P935" t="inlineStr">
        <is>
          <t xml:space="preserve">mo </t>
        </is>
      </c>
      <c r="R935" t="inlineStr">
        <is>
          <t xml:space="preserve">BX </t>
        </is>
      </c>
      <c r="S935" t="n">
        <v>0</v>
      </c>
      <c r="T935" t="n">
        <v>3</v>
      </c>
      <c r="V935" t="inlineStr">
        <is>
          <t>2001-11-26</t>
        </is>
      </c>
      <c r="W935" t="inlineStr">
        <is>
          <t>1991-07-01</t>
        </is>
      </c>
      <c r="X935" t="inlineStr">
        <is>
          <t>1994-05-13</t>
        </is>
      </c>
      <c r="Y935" t="n">
        <v>107</v>
      </c>
      <c r="Z935" t="n">
        <v>93</v>
      </c>
      <c r="AA935" t="n">
        <v>361</v>
      </c>
      <c r="AB935" t="n">
        <v>2</v>
      </c>
      <c r="AC935" t="n">
        <v>5</v>
      </c>
      <c r="AD935" t="n">
        <v>19</v>
      </c>
      <c r="AE935" t="n">
        <v>37</v>
      </c>
      <c r="AF935" t="n">
        <v>4</v>
      </c>
      <c r="AG935" t="n">
        <v>9</v>
      </c>
      <c r="AH935" t="n">
        <v>4</v>
      </c>
      <c r="AI935" t="n">
        <v>6</v>
      </c>
      <c r="AJ935" t="n">
        <v>13</v>
      </c>
      <c r="AK935" t="n">
        <v>14</v>
      </c>
      <c r="AL935" t="n">
        <v>0</v>
      </c>
      <c r="AM935" t="n">
        <v>1</v>
      </c>
      <c r="AN935" t="n">
        <v>1</v>
      </c>
      <c r="AO935" t="n">
        <v>11</v>
      </c>
      <c r="AP935" t="inlineStr">
        <is>
          <t>Yes</t>
        </is>
      </c>
      <c r="AQ935" t="inlineStr">
        <is>
          <t>No</t>
        </is>
      </c>
      <c r="AR935">
        <f>HYPERLINK("http://catalog.hathitrust.org/Record/100438158","HathiTrust Record")</f>
        <v/>
      </c>
      <c r="AS935">
        <f>HYPERLINK("https://creighton-primo.hosted.exlibrisgroup.com/primo-explore/search?tab=default_tab&amp;search_scope=EVERYTHING&amp;vid=01CRU&amp;lang=en_US&amp;offset=0&amp;query=any,contains,991001788159702656","Catalog Record")</f>
        <v/>
      </c>
      <c r="AT935">
        <f>HYPERLINK("http://www.worldcat.org/oclc/3865765","WorldCat Record")</f>
        <v/>
      </c>
      <c r="AU935" t="inlineStr">
        <is>
          <t>3149180372:eng</t>
        </is>
      </c>
      <c r="AV935" t="inlineStr">
        <is>
          <t>3865765</t>
        </is>
      </c>
      <c r="AW935" t="inlineStr">
        <is>
          <t>991001788159702656</t>
        </is>
      </c>
      <c r="AX935" t="inlineStr">
        <is>
          <t>991001788159702656</t>
        </is>
      </c>
      <c r="AY935" t="inlineStr">
        <is>
          <t>2272137570002656</t>
        </is>
      </c>
      <c r="AZ935" t="inlineStr">
        <is>
          <t>BOOK</t>
        </is>
      </c>
      <c r="BC935" t="inlineStr">
        <is>
          <t>32285000667591</t>
        </is>
      </c>
      <c r="BD935" t="inlineStr">
        <is>
          <t>893791710</t>
        </is>
      </c>
    </row>
    <row r="936">
      <c r="A936" t="inlineStr">
        <is>
          <t>No</t>
        </is>
      </c>
      <c r="B936" t="inlineStr">
        <is>
          <t>BX1935 .B3</t>
        </is>
      </c>
      <c r="C936" t="inlineStr">
        <is>
          <t>0                      BX 1935000B  3</t>
        </is>
      </c>
      <c r="D936" t="inlineStr">
        <is>
          <t>A commentary on the new Code of canon law / by the Rev. P. Chas. Augustine ... vol. I-VIII.</t>
        </is>
      </c>
      <c r="E936" t="inlineStr">
        <is>
          <t>V. 2</t>
        </is>
      </c>
      <c r="F936" t="inlineStr">
        <is>
          <t>Yes</t>
        </is>
      </c>
      <c r="G936" t="inlineStr">
        <is>
          <t>1</t>
        </is>
      </c>
      <c r="H936" t="inlineStr">
        <is>
          <t>Yes</t>
        </is>
      </c>
      <c r="I936" t="inlineStr">
        <is>
          <t>No</t>
        </is>
      </c>
      <c r="J936" t="inlineStr">
        <is>
          <t>0</t>
        </is>
      </c>
      <c r="K936" t="inlineStr">
        <is>
          <t>Charles Augustine, Rev. P., O.S.B., 1872-1943.</t>
        </is>
      </c>
      <c r="L936" t="inlineStr">
        <is>
          <t>St. Louis, Mo. ; and London : B. Herder book, 1918-1922.</t>
        </is>
      </c>
      <c r="M936" t="inlineStr">
        <is>
          <t>1918</t>
        </is>
      </c>
      <c r="O936" t="inlineStr">
        <is>
          <t>eng</t>
        </is>
      </c>
      <c r="P936" t="inlineStr">
        <is>
          <t xml:space="preserve">mo </t>
        </is>
      </c>
      <c r="R936" t="inlineStr">
        <is>
          <t xml:space="preserve">BX </t>
        </is>
      </c>
      <c r="S936" t="n">
        <v>0</v>
      </c>
      <c r="T936" t="n">
        <v>3</v>
      </c>
      <c r="V936" t="inlineStr">
        <is>
          <t>2001-11-26</t>
        </is>
      </c>
      <c r="W936" t="inlineStr">
        <is>
          <t>1991-07-01</t>
        </is>
      </c>
      <c r="X936" t="inlineStr">
        <is>
          <t>1994-05-13</t>
        </is>
      </c>
      <c r="Y936" t="n">
        <v>107</v>
      </c>
      <c r="Z936" t="n">
        <v>93</v>
      </c>
      <c r="AA936" t="n">
        <v>361</v>
      </c>
      <c r="AB936" t="n">
        <v>2</v>
      </c>
      <c r="AC936" t="n">
        <v>5</v>
      </c>
      <c r="AD936" t="n">
        <v>19</v>
      </c>
      <c r="AE936" t="n">
        <v>37</v>
      </c>
      <c r="AF936" t="n">
        <v>4</v>
      </c>
      <c r="AG936" t="n">
        <v>9</v>
      </c>
      <c r="AH936" t="n">
        <v>4</v>
      </c>
      <c r="AI936" t="n">
        <v>6</v>
      </c>
      <c r="AJ936" t="n">
        <v>13</v>
      </c>
      <c r="AK936" t="n">
        <v>14</v>
      </c>
      <c r="AL936" t="n">
        <v>0</v>
      </c>
      <c r="AM936" t="n">
        <v>1</v>
      </c>
      <c r="AN936" t="n">
        <v>1</v>
      </c>
      <c r="AO936" t="n">
        <v>11</v>
      </c>
      <c r="AP936" t="inlineStr">
        <is>
          <t>Yes</t>
        </is>
      </c>
      <c r="AQ936" t="inlineStr">
        <is>
          <t>No</t>
        </is>
      </c>
      <c r="AR936">
        <f>HYPERLINK("http://catalog.hathitrust.org/Record/100438158","HathiTrust Record")</f>
        <v/>
      </c>
      <c r="AS936">
        <f>HYPERLINK("https://creighton-primo.hosted.exlibrisgroup.com/primo-explore/search?tab=default_tab&amp;search_scope=EVERYTHING&amp;vid=01CRU&amp;lang=en_US&amp;offset=0&amp;query=any,contains,991001788159702656","Catalog Record")</f>
        <v/>
      </c>
      <c r="AT936">
        <f>HYPERLINK("http://www.worldcat.org/oclc/3865765","WorldCat Record")</f>
        <v/>
      </c>
      <c r="AU936" t="inlineStr">
        <is>
          <t>3149180372:eng</t>
        </is>
      </c>
      <c r="AV936" t="inlineStr">
        <is>
          <t>3865765</t>
        </is>
      </c>
      <c r="AW936" t="inlineStr">
        <is>
          <t>991001788159702656</t>
        </is>
      </c>
      <c r="AX936" t="inlineStr">
        <is>
          <t>991001788159702656</t>
        </is>
      </c>
      <c r="AY936" t="inlineStr">
        <is>
          <t>2272137570002656</t>
        </is>
      </c>
      <c r="AZ936" t="inlineStr">
        <is>
          <t>BOOK</t>
        </is>
      </c>
      <c r="BC936" t="inlineStr">
        <is>
          <t>32285000667534</t>
        </is>
      </c>
      <c r="BD936" t="inlineStr">
        <is>
          <t>893791708</t>
        </is>
      </c>
    </row>
    <row r="937">
      <c r="A937" t="inlineStr">
        <is>
          <t>No</t>
        </is>
      </c>
      <c r="B937" t="inlineStr">
        <is>
          <t>BX1935 .B3</t>
        </is>
      </c>
      <c r="C937" t="inlineStr">
        <is>
          <t>0                      BX 1935000B  3</t>
        </is>
      </c>
      <c r="D937" t="inlineStr">
        <is>
          <t>A commentary on the new Code of canon law / by the Rev. P. Chas. Augustine ... vol. I-VIII.</t>
        </is>
      </c>
      <c r="E937" t="inlineStr">
        <is>
          <t>V. 3</t>
        </is>
      </c>
      <c r="F937" t="inlineStr">
        <is>
          <t>Yes</t>
        </is>
      </c>
      <c r="G937" t="inlineStr">
        <is>
          <t>1</t>
        </is>
      </c>
      <c r="H937" t="inlineStr">
        <is>
          <t>Yes</t>
        </is>
      </c>
      <c r="I937" t="inlineStr">
        <is>
          <t>No</t>
        </is>
      </c>
      <c r="J937" t="inlineStr">
        <is>
          <t>0</t>
        </is>
      </c>
      <c r="K937" t="inlineStr">
        <is>
          <t>Charles Augustine, Rev. P., O.S.B., 1872-1943.</t>
        </is>
      </c>
      <c r="L937" t="inlineStr">
        <is>
          <t>St. Louis, Mo. ; and London : B. Herder book, 1918-1922.</t>
        </is>
      </c>
      <c r="M937" t="inlineStr">
        <is>
          <t>1918</t>
        </is>
      </c>
      <c r="O937" t="inlineStr">
        <is>
          <t>eng</t>
        </is>
      </c>
      <c r="P937" t="inlineStr">
        <is>
          <t xml:space="preserve">mo </t>
        </is>
      </c>
      <c r="R937" t="inlineStr">
        <is>
          <t xml:space="preserve">BX </t>
        </is>
      </c>
      <c r="S937" t="n">
        <v>0</v>
      </c>
      <c r="T937" t="n">
        <v>3</v>
      </c>
      <c r="V937" t="inlineStr">
        <is>
          <t>2001-11-26</t>
        </is>
      </c>
      <c r="W937" t="inlineStr">
        <is>
          <t>1991-07-01</t>
        </is>
      </c>
      <c r="X937" t="inlineStr">
        <is>
          <t>1994-05-13</t>
        </is>
      </c>
      <c r="Y937" t="n">
        <v>107</v>
      </c>
      <c r="Z937" t="n">
        <v>93</v>
      </c>
      <c r="AA937" t="n">
        <v>361</v>
      </c>
      <c r="AB937" t="n">
        <v>2</v>
      </c>
      <c r="AC937" t="n">
        <v>5</v>
      </c>
      <c r="AD937" t="n">
        <v>19</v>
      </c>
      <c r="AE937" t="n">
        <v>37</v>
      </c>
      <c r="AF937" t="n">
        <v>4</v>
      </c>
      <c r="AG937" t="n">
        <v>9</v>
      </c>
      <c r="AH937" t="n">
        <v>4</v>
      </c>
      <c r="AI937" t="n">
        <v>6</v>
      </c>
      <c r="AJ937" t="n">
        <v>13</v>
      </c>
      <c r="AK937" t="n">
        <v>14</v>
      </c>
      <c r="AL937" t="n">
        <v>0</v>
      </c>
      <c r="AM937" t="n">
        <v>1</v>
      </c>
      <c r="AN937" t="n">
        <v>1</v>
      </c>
      <c r="AO937" t="n">
        <v>11</v>
      </c>
      <c r="AP937" t="inlineStr">
        <is>
          <t>Yes</t>
        </is>
      </c>
      <c r="AQ937" t="inlineStr">
        <is>
          <t>No</t>
        </is>
      </c>
      <c r="AR937">
        <f>HYPERLINK("http://catalog.hathitrust.org/Record/100438158","HathiTrust Record")</f>
        <v/>
      </c>
      <c r="AS937">
        <f>HYPERLINK("https://creighton-primo.hosted.exlibrisgroup.com/primo-explore/search?tab=default_tab&amp;search_scope=EVERYTHING&amp;vid=01CRU&amp;lang=en_US&amp;offset=0&amp;query=any,contains,991001788159702656","Catalog Record")</f>
        <v/>
      </c>
      <c r="AT937">
        <f>HYPERLINK("http://www.worldcat.org/oclc/3865765","WorldCat Record")</f>
        <v/>
      </c>
      <c r="AU937" t="inlineStr">
        <is>
          <t>3149180372:eng</t>
        </is>
      </c>
      <c r="AV937" t="inlineStr">
        <is>
          <t>3865765</t>
        </is>
      </c>
      <c r="AW937" t="inlineStr">
        <is>
          <t>991001788159702656</t>
        </is>
      </c>
      <c r="AX937" t="inlineStr">
        <is>
          <t>991001788159702656</t>
        </is>
      </c>
      <c r="AY937" t="inlineStr">
        <is>
          <t>2272137570002656</t>
        </is>
      </c>
      <c r="AZ937" t="inlineStr">
        <is>
          <t>BOOK</t>
        </is>
      </c>
      <c r="BC937" t="inlineStr">
        <is>
          <t>32285000667542</t>
        </is>
      </c>
      <c r="BD937" t="inlineStr">
        <is>
          <t>893772906</t>
        </is>
      </c>
    </row>
    <row r="938">
      <c r="A938" t="inlineStr">
        <is>
          <t>No</t>
        </is>
      </c>
      <c r="B938" t="inlineStr">
        <is>
          <t>BX1935 .B6 1951</t>
        </is>
      </c>
      <c r="C938" t="inlineStr">
        <is>
          <t>0                      BX 1935000B  6           1951</t>
        </is>
      </c>
      <c r="D938" t="inlineStr">
        <is>
          <t>Canon law : a text and commentary / by T. Lincoln Bouscaren and Adam C. Ellis.</t>
        </is>
      </c>
      <c r="F938" t="inlineStr">
        <is>
          <t>No</t>
        </is>
      </c>
      <c r="G938" t="inlineStr">
        <is>
          <t>1</t>
        </is>
      </c>
      <c r="H938" t="inlineStr">
        <is>
          <t>No</t>
        </is>
      </c>
      <c r="I938" t="inlineStr">
        <is>
          <t>Yes</t>
        </is>
      </c>
      <c r="J938" t="inlineStr">
        <is>
          <t>0</t>
        </is>
      </c>
      <c r="K938" t="inlineStr">
        <is>
          <t>Bouscaren, T. Lincoln (Timothy Lincoln), 1884-1971.</t>
        </is>
      </c>
      <c r="L938" t="inlineStr">
        <is>
          <t>Milwaukee : Bruce, [1951]</t>
        </is>
      </c>
      <c r="M938" t="inlineStr">
        <is>
          <t>1951</t>
        </is>
      </c>
      <c r="N938" t="inlineStr">
        <is>
          <t>2d rev. ed.</t>
        </is>
      </c>
      <c r="O938" t="inlineStr">
        <is>
          <t>eng</t>
        </is>
      </c>
      <c r="P938" t="inlineStr">
        <is>
          <t xml:space="preserve">xx </t>
        </is>
      </c>
      <c r="R938" t="inlineStr">
        <is>
          <t xml:space="preserve">BX </t>
        </is>
      </c>
      <c r="S938" t="n">
        <v>1</v>
      </c>
      <c r="T938" t="n">
        <v>1</v>
      </c>
      <c r="U938" t="inlineStr">
        <is>
          <t>2008-07-10</t>
        </is>
      </c>
      <c r="V938" t="inlineStr">
        <is>
          <t>2008-07-10</t>
        </is>
      </c>
      <c r="W938" t="inlineStr">
        <is>
          <t>1991-07-01</t>
        </is>
      </c>
      <c r="X938" t="inlineStr">
        <is>
          <t>1991-07-01</t>
        </is>
      </c>
      <c r="Y938" t="n">
        <v>135</v>
      </c>
      <c r="Z938" t="n">
        <v>119</v>
      </c>
      <c r="AA938" t="n">
        <v>508</v>
      </c>
      <c r="AB938" t="n">
        <v>2</v>
      </c>
      <c r="AC938" t="n">
        <v>8</v>
      </c>
      <c r="AD938" t="n">
        <v>18</v>
      </c>
      <c r="AE938" t="n">
        <v>51</v>
      </c>
      <c r="AF938" t="n">
        <v>3</v>
      </c>
      <c r="AG938" t="n">
        <v>11</v>
      </c>
      <c r="AH938" t="n">
        <v>2</v>
      </c>
      <c r="AI938" t="n">
        <v>10</v>
      </c>
      <c r="AJ938" t="n">
        <v>12</v>
      </c>
      <c r="AK938" t="n">
        <v>24</v>
      </c>
      <c r="AL938" t="n">
        <v>0</v>
      </c>
      <c r="AM938" t="n">
        <v>3</v>
      </c>
      <c r="AN938" t="n">
        <v>5</v>
      </c>
      <c r="AO938" t="n">
        <v>15</v>
      </c>
      <c r="AP938" t="inlineStr">
        <is>
          <t>No</t>
        </is>
      </c>
      <c r="AQ938" t="inlineStr">
        <is>
          <t>No</t>
        </is>
      </c>
      <c r="AS938">
        <f>HYPERLINK("https://creighton-primo.hosted.exlibrisgroup.com/primo-explore/search?tab=default_tab&amp;search_scope=EVERYTHING&amp;vid=01CRU&amp;lang=en_US&amp;offset=0&amp;query=any,contains,991004126549702656","Catalog Record")</f>
        <v/>
      </c>
      <c r="AT938">
        <f>HYPERLINK("http://www.worldcat.org/oclc/2461098","WorldCat Record")</f>
        <v/>
      </c>
      <c r="AU938" t="inlineStr">
        <is>
          <t>1689809:eng</t>
        </is>
      </c>
      <c r="AV938" t="inlineStr">
        <is>
          <t>2461098</t>
        </is>
      </c>
      <c r="AW938" t="inlineStr">
        <is>
          <t>991004126549702656</t>
        </is>
      </c>
      <c r="AX938" t="inlineStr">
        <is>
          <t>991004126549702656</t>
        </is>
      </c>
      <c r="AY938" t="inlineStr">
        <is>
          <t>2270589290002656</t>
        </is>
      </c>
      <c r="AZ938" t="inlineStr">
        <is>
          <t>BOOK</t>
        </is>
      </c>
      <c r="BC938" t="inlineStr">
        <is>
          <t>32285000667617</t>
        </is>
      </c>
      <c r="BD938" t="inlineStr">
        <is>
          <t>893331228</t>
        </is>
      </c>
    </row>
    <row r="939">
      <c r="A939" t="inlineStr">
        <is>
          <t>No</t>
        </is>
      </c>
      <c r="B939" t="inlineStr">
        <is>
          <t>BX1935 .F35 1961</t>
        </is>
      </c>
      <c r="C939" t="inlineStr">
        <is>
          <t>0                      BX 1935000F  35          1961</t>
        </is>
      </c>
      <c r="D939" t="inlineStr">
        <is>
          <t>Canon law for religious women / by Louis G. Fanfani and Kevin D. O'Rourke.</t>
        </is>
      </c>
      <c r="F939" t="inlineStr">
        <is>
          <t>No</t>
        </is>
      </c>
      <c r="G939" t="inlineStr">
        <is>
          <t>1</t>
        </is>
      </c>
      <c r="H939" t="inlineStr">
        <is>
          <t>No</t>
        </is>
      </c>
      <c r="I939" t="inlineStr">
        <is>
          <t>No</t>
        </is>
      </c>
      <c r="J939" t="inlineStr">
        <is>
          <t>0</t>
        </is>
      </c>
      <c r="K939" t="inlineStr">
        <is>
          <t>Fanfani, Lodovico G. (Lodovico Giuseppe), 1876-1955.</t>
        </is>
      </c>
      <c r="L939" t="inlineStr">
        <is>
          <t>Dubuque, Iowa : Priory Press, [1961]</t>
        </is>
      </c>
      <c r="M939" t="inlineStr">
        <is>
          <t>1961</t>
        </is>
      </c>
      <c r="O939" t="inlineStr">
        <is>
          <t>eng</t>
        </is>
      </c>
      <c r="P939" t="inlineStr">
        <is>
          <t>iau</t>
        </is>
      </c>
      <c r="R939" t="inlineStr">
        <is>
          <t xml:space="preserve">BX </t>
        </is>
      </c>
      <c r="S939" t="n">
        <v>2</v>
      </c>
      <c r="T939" t="n">
        <v>2</v>
      </c>
      <c r="U939" t="inlineStr">
        <is>
          <t>1995-11-05</t>
        </is>
      </c>
      <c r="V939" t="inlineStr">
        <is>
          <t>1995-11-05</t>
        </is>
      </c>
      <c r="W939" t="inlineStr">
        <is>
          <t>1991-07-02</t>
        </is>
      </c>
      <c r="X939" t="inlineStr">
        <is>
          <t>1991-07-02</t>
        </is>
      </c>
      <c r="Y939" t="n">
        <v>110</v>
      </c>
      <c r="Z939" t="n">
        <v>96</v>
      </c>
      <c r="AA939" t="n">
        <v>96</v>
      </c>
      <c r="AB939" t="n">
        <v>2</v>
      </c>
      <c r="AC939" t="n">
        <v>2</v>
      </c>
      <c r="AD939" t="n">
        <v>18</v>
      </c>
      <c r="AE939" t="n">
        <v>18</v>
      </c>
      <c r="AF939" t="n">
        <v>5</v>
      </c>
      <c r="AG939" t="n">
        <v>5</v>
      </c>
      <c r="AH939" t="n">
        <v>4</v>
      </c>
      <c r="AI939" t="n">
        <v>4</v>
      </c>
      <c r="AJ939" t="n">
        <v>13</v>
      </c>
      <c r="AK939" t="n">
        <v>13</v>
      </c>
      <c r="AL939" t="n">
        <v>0</v>
      </c>
      <c r="AM939" t="n">
        <v>0</v>
      </c>
      <c r="AN939" t="n">
        <v>2</v>
      </c>
      <c r="AO939" t="n">
        <v>2</v>
      </c>
      <c r="AP939" t="inlineStr">
        <is>
          <t>No</t>
        </is>
      </c>
      <c r="AQ939" t="inlineStr">
        <is>
          <t>No</t>
        </is>
      </c>
      <c r="AS939">
        <f>HYPERLINK("https://creighton-primo.hosted.exlibrisgroup.com/primo-explore/search?tab=default_tab&amp;search_scope=EVERYTHING&amp;vid=01CRU&amp;lang=en_US&amp;offset=0&amp;query=any,contains,991004273199702656","Catalog Record")</f>
        <v/>
      </c>
      <c r="AT939">
        <f>HYPERLINK("http://www.worldcat.org/oclc/2884759","WorldCat Record")</f>
        <v/>
      </c>
      <c r="AU939" t="inlineStr">
        <is>
          <t>3753544654:eng</t>
        </is>
      </c>
      <c r="AV939" t="inlineStr">
        <is>
          <t>2884759</t>
        </is>
      </c>
      <c r="AW939" t="inlineStr">
        <is>
          <t>991004273199702656</t>
        </is>
      </c>
      <c r="AX939" t="inlineStr">
        <is>
          <t>991004273199702656</t>
        </is>
      </c>
      <c r="AY939" t="inlineStr">
        <is>
          <t>2254942950002656</t>
        </is>
      </c>
      <c r="AZ939" t="inlineStr">
        <is>
          <t>BOOK</t>
        </is>
      </c>
      <c r="BC939" t="inlineStr">
        <is>
          <t>32285000667708</t>
        </is>
      </c>
      <c r="BD939" t="inlineStr">
        <is>
          <t>893875902</t>
        </is>
      </c>
    </row>
    <row r="940">
      <c r="A940" t="inlineStr">
        <is>
          <t>No</t>
        </is>
      </c>
      <c r="B940" t="inlineStr">
        <is>
          <t>BX1935 .K47 1999</t>
        </is>
      </c>
      <c r="C940" t="inlineStr">
        <is>
          <t>0                      BX 1935000K  47          1999</t>
        </is>
      </c>
      <c r="D940" t="inlineStr">
        <is>
          <t>Canonical collections of the early Middle Ages (ca. 400-1140) : a bibliographical guide to the manuscripts and literature / Lotte Kéry.</t>
        </is>
      </c>
      <c r="F940" t="inlineStr">
        <is>
          <t>No</t>
        </is>
      </c>
      <c r="G940" t="inlineStr">
        <is>
          <t>1</t>
        </is>
      </c>
      <c r="H940" t="inlineStr">
        <is>
          <t>No</t>
        </is>
      </c>
      <c r="I940" t="inlineStr">
        <is>
          <t>No</t>
        </is>
      </c>
      <c r="J940" t="inlineStr">
        <is>
          <t>0</t>
        </is>
      </c>
      <c r="K940" t="inlineStr">
        <is>
          <t>Kéry, Lotte.</t>
        </is>
      </c>
      <c r="L940" t="inlineStr">
        <is>
          <t>Washington, D.C. : Catholic University of America Press, c1999.</t>
        </is>
      </c>
      <c r="M940" t="inlineStr">
        <is>
          <t>1999</t>
        </is>
      </c>
      <c r="O940" t="inlineStr">
        <is>
          <t>eng</t>
        </is>
      </c>
      <c r="P940" t="inlineStr">
        <is>
          <t>dcu</t>
        </is>
      </c>
      <c r="Q940" t="inlineStr">
        <is>
          <t>History of medieval canon law</t>
        </is>
      </c>
      <c r="R940" t="inlineStr">
        <is>
          <t xml:space="preserve">BX </t>
        </is>
      </c>
      <c r="S940" t="n">
        <v>2</v>
      </c>
      <c r="T940" t="n">
        <v>2</v>
      </c>
      <c r="U940" t="inlineStr">
        <is>
          <t>2000-09-18</t>
        </is>
      </c>
      <c r="V940" t="inlineStr">
        <is>
          <t>2000-09-18</t>
        </is>
      </c>
      <c r="W940" t="inlineStr">
        <is>
          <t>2000-09-18</t>
        </is>
      </c>
      <c r="X940" t="inlineStr">
        <is>
          <t>2000-09-18</t>
        </is>
      </c>
      <c r="Y940" t="n">
        <v>287</v>
      </c>
      <c r="Z940" t="n">
        <v>232</v>
      </c>
      <c r="AA940" t="n">
        <v>237</v>
      </c>
      <c r="AB940" t="n">
        <v>2</v>
      </c>
      <c r="AC940" t="n">
        <v>2</v>
      </c>
      <c r="AD940" t="n">
        <v>19</v>
      </c>
      <c r="AE940" t="n">
        <v>19</v>
      </c>
      <c r="AF940" t="n">
        <v>5</v>
      </c>
      <c r="AG940" t="n">
        <v>5</v>
      </c>
      <c r="AH940" t="n">
        <v>4</v>
      </c>
      <c r="AI940" t="n">
        <v>4</v>
      </c>
      <c r="AJ940" t="n">
        <v>10</v>
      </c>
      <c r="AK940" t="n">
        <v>10</v>
      </c>
      <c r="AL940" t="n">
        <v>1</v>
      </c>
      <c r="AM940" t="n">
        <v>1</v>
      </c>
      <c r="AN940" t="n">
        <v>3</v>
      </c>
      <c r="AO940" t="n">
        <v>3</v>
      </c>
      <c r="AP940" t="inlineStr">
        <is>
          <t>No</t>
        </is>
      </c>
      <c r="AQ940" t="inlineStr">
        <is>
          <t>No</t>
        </is>
      </c>
      <c r="AS940">
        <f>HYPERLINK("https://creighton-primo.hosted.exlibrisgroup.com/primo-explore/search?tab=default_tab&amp;search_scope=EVERYTHING&amp;vid=01CRU&amp;lang=en_US&amp;offset=0&amp;query=any,contains,991003292539702656","Catalog Record")</f>
        <v/>
      </c>
      <c r="AT940">
        <f>HYPERLINK("http://www.worldcat.org/oclc/39129804","WorldCat Record")</f>
        <v/>
      </c>
      <c r="AU940" t="inlineStr">
        <is>
          <t>347231120:eng</t>
        </is>
      </c>
      <c r="AV940" t="inlineStr">
        <is>
          <t>39129804</t>
        </is>
      </c>
      <c r="AW940" t="inlineStr">
        <is>
          <t>991003292539702656</t>
        </is>
      </c>
      <c r="AX940" t="inlineStr">
        <is>
          <t>991003292539702656</t>
        </is>
      </c>
      <c r="AY940" t="inlineStr">
        <is>
          <t>2257261880002656</t>
        </is>
      </c>
      <c r="AZ940" t="inlineStr">
        <is>
          <t>BOOK</t>
        </is>
      </c>
      <c r="BB940" t="inlineStr">
        <is>
          <t>9780813209180</t>
        </is>
      </c>
      <c r="BC940" t="inlineStr">
        <is>
          <t>32285003684593</t>
        </is>
      </c>
      <c r="BD940" t="inlineStr">
        <is>
          <t>893524645</t>
        </is>
      </c>
    </row>
    <row r="941">
      <c r="A941" t="inlineStr">
        <is>
          <t>No</t>
        </is>
      </c>
      <c r="B941" t="inlineStr">
        <is>
          <t>BX1939.W6 R3 1976</t>
        </is>
      </c>
      <c r="C941" t="inlineStr">
        <is>
          <t>0                      BX 1939000W  6                  R  3           1976</t>
        </is>
      </c>
      <c r="D941" t="inlineStr">
        <is>
          <t>The exclusion of women from the priesthood : divine law or sex discrimination? : A historical investigation of the juridical and doctrinal foundations of the code of canon law, canon 968, 1 / by Ida Raming ; translated by Norman R. Adams ; with a pref. by Arlene &amp; Leonard Swidler.</t>
        </is>
      </c>
      <c r="F941" t="inlineStr">
        <is>
          <t>No</t>
        </is>
      </c>
      <c r="G941" t="inlineStr">
        <is>
          <t>1</t>
        </is>
      </c>
      <c r="H941" t="inlineStr">
        <is>
          <t>No</t>
        </is>
      </c>
      <c r="I941" t="inlineStr">
        <is>
          <t>No</t>
        </is>
      </c>
      <c r="J941" t="inlineStr">
        <is>
          <t>0</t>
        </is>
      </c>
      <c r="K941" t="inlineStr">
        <is>
          <t>Raming, Ida.</t>
        </is>
      </c>
      <c r="L941" t="inlineStr">
        <is>
          <t>Metuchen, N.J. : Scarecrow Press, 1976.</t>
        </is>
      </c>
      <c r="M941" t="inlineStr">
        <is>
          <t>1976</t>
        </is>
      </c>
      <c r="O941" t="inlineStr">
        <is>
          <t>eng</t>
        </is>
      </c>
      <c r="P941" t="inlineStr">
        <is>
          <t>nju</t>
        </is>
      </c>
      <c r="R941" t="inlineStr">
        <is>
          <t xml:space="preserve">BX </t>
        </is>
      </c>
      <c r="S941" t="n">
        <v>10</v>
      </c>
      <c r="T941" t="n">
        <v>10</v>
      </c>
      <c r="U941" t="inlineStr">
        <is>
          <t>2007-04-15</t>
        </is>
      </c>
      <c r="V941" t="inlineStr">
        <is>
          <t>2007-04-15</t>
        </is>
      </c>
      <c r="W941" t="inlineStr">
        <is>
          <t>1991-07-02</t>
        </is>
      </c>
      <c r="X941" t="inlineStr">
        <is>
          <t>1991-07-02</t>
        </is>
      </c>
      <c r="Y941" t="n">
        <v>679</v>
      </c>
      <c r="Z941" t="n">
        <v>619</v>
      </c>
      <c r="AA941" t="n">
        <v>626</v>
      </c>
      <c r="AB941" t="n">
        <v>6</v>
      </c>
      <c r="AC941" t="n">
        <v>6</v>
      </c>
      <c r="AD941" t="n">
        <v>37</v>
      </c>
      <c r="AE941" t="n">
        <v>37</v>
      </c>
      <c r="AF941" t="n">
        <v>10</v>
      </c>
      <c r="AG941" t="n">
        <v>10</v>
      </c>
      <c r="AH941" t="n">
        <v>7</v>
      </c>
      <c r="AI941" t="n">
        <v>7</v>
      </c>
      <c r="AJ941" t="n">
        <v>17</v>
      </c>
      <c r="AK941" t="n">
        <v>17</v>
      </c>
      <c r="AL941" t="n">
        <v>5</v>
      </c>
      <c r="AM941" t="n">
        <v>5</v>
      </c>
      <c r="AN941" t="n">
        <v>5</v>
      </c>
      <c r="AO941" t="n">
        <v>5</v>
      </c>
      <c r="AP941" t="inlineStr">
        <is>
          <t>No</t>
        </is>
      </c>
      <c r="AQ941" t="inlineStr">
        <is>
          <t>Yes</t>
        </is>
      </c>
      <c r="AR941">
        <f>HYPERLINK("http://catalog.hathitrust.org/Record/000117467","HathiTrust Record")</f>
        <v/>
      </c>
      <c r="AS941">
        <f>HYPERLINK("https://creighton-primo.hosted.exlibrisgroup.com/primo-explore/search?tab=default_tab&amp;search_scope=EVERYTHING&amp;vid=01CRU&amp;lang=en_US&amp;offset=0&amp;query=any,contains,991004086099702656","Catalog Record")</f>
        <v/>
      </c>
      <c r="AT941">
        <f>HYPERLINK("http://www.worldcat.org/oclc/2332131","WorldCat Record")</f>
        <v/>
      </c>
      <c r="AU941" t="inlineStr">
        <is>
          <t>4837245:eng</t>
        </is>
      </c>
      <c r="AV941" t="inlineStr">
        <is>
          <t>2332131</t>
        </is>
      </c>
      <c r="AW941" t="inlineStr">
        <is>
          <t>991004086099702656</t>
        </is>
      </c>
      <c r="AX941" t="inlineStr">
        <is>
          <t>991004086099702656</t>
        </is>
      </c>
      <c r="AY941" t="inlineStr">
        <is>
          <t>2264217460002656</t>
        </is>
      </c>
      <c r="AZ941" t="inlineStr">
        <is>
          <t>BOOK</t>
        </is>
      </c>
      <c r="BB941" t="inlineStr">
        <is>
          <t>9780810809574</t>
        </is>
      </c>
      <c r="BC941" t="inlineStr">
        <is>
          <t>32285000667732</t>
        </is>
      </c>
      <c r="BD941" t="inlineStr">
        <is>
          <t>893800567</t>
        </is>
      </c>
    </row>
    <row r="942">
      <c r="A942" t="inlineStr">
        <is>
          <t>No</t>
        </is>
      </c>
      <c r="B942" t="inlineStr">
        <is>
          <t>BX1947 .M3 1948</t>
        </is>
      </c>
      <c r="C942" t="inlineStr">
        <is>
          <t>0                      BX 1947000M  3           1948</t>
        </is>
      </c>
      <c r="D942" t="inlineStr">
        <is>
          <t>Parish accounting : an analysis of Catholic parish financial reports and accounting systems and two suggested systems / by Dumas Leon McCleary.</t>
        </is>
      </c>
      <c r="F942" t="inlineStr">
        <is>
          <t>No</t>
        </is>
      </c>
      <c r="G942" t="inlineStr">
        <is>
          <t>1</t>
        </is>
      </c>
      <c r="H942" t="inlineStr">
        <is>
          <t>No</t>
        </is>
      </c>
      <c r="I942" t="inlineStr">
        <is>
          <t>No</t>
        </is>
      </c>
      <c r="J942" t="inlineStr">
        <is>
          <t>0</t>
        </is>
      </c>
      <c r="K942" t="inlineStr">
        <is>
          <t>McCleary, Dumas Leon, 1907-</t>
        </is>
      </c>
      <c r="L942" t="inlineStr">
        <is>
          <t>Washington : Catholic University of America Press, 1948.</t>
        </is>
      </c>
      <c r="M942" t="inlineStr">
        <is>
          <t>1948</t>
        </is>
      </c>
      <c r="O942" t="inlineStr">
        <is>
          <t>eng</t>
        </is>
      </c>
      <c r="P942" t="inlineStr">
        <is>
          <t>dcu</t>
        </is>
      </c>
      <c r="Q942" t="inlineStr">
        <is>
          <t>The Catholic University of America. Studies in economics ; v. 22</t>
        </is>
      </c>
      <c r="R942" t="inlineStr">
        <is>
          <t xml:space="preserve">BX </t>
        </is>
      </c>
      <c r="S942" t="n">
        <v>3</v>
      </c>
      <c r="T942" t="n">
        <v>3</v>
      </c>
      <c r="U942" t="inlineStr">
        <is>
          <t>1995-10-24</t>
        </is>
      </c>
      <c r="V942" t="inlineStr">
        <is>
          <t>1995-10-24</t>
        </is>
      </c>
      <c r="W942" t="inlineStr">
        <is>
          <t>1991-07-02</t>
        </is>
      </c>
      <c r="X942" t="inlineStr">
        <is>
          <t>1991-07-02</t>
        </is>
      </c>
      <c r="Y942" t="n">
        <v>49</v>
      </c>
      <c r="Z942" t="n">
        <v>44</v>
      </c>
      <c r="AA942" t="n">
        <v>44</v>
      </c>
      <c r="AB942" t="n">
        <v>1</v>
      </c>
      <c r="AC942" t="n">
        <v>1</v>
      </c>
      <c r="AD942" t="n">
        <v>7</v>
      </c>
      <c r="AE942" t="n">
        <v>7</v>
      </c>
      <c r="AF942" t="n">
        <v>0</v>
      </c>
      <c r="AG942" t="n">
        <v>0</v>
      </c>
      <c r="AH942" t="n">
        <v>3</v>
      </c>
      <c r="AI942" t="n">
        <v>3</v>
      </c>
      <c r="AJ942" t="n">
        <v>5</v>
      </c>
      <c r="AK942" t="n">
        <v>5</v>
      </c>
      <c r="AL942" t="n">
        <v>0</v>
      </c>
      <c r="AM942" t="n">
        <v>0</v>
      </c>
      <c r="AN942" t="n">
        <v>0</v>
      </c>
      <c r="AO942" t="n">
        <v>0</v>
      </c>
      <c r="AP942" t="inlineStr">
        <is>
          <t>No</t>
        </is>
      </c>
      <c r="AQ942" t="inlineStr">
        <is>
          <t>No</t>
        </is>
      </c>
      <c r="AS942">
        <f>HYPERLINK("https://creighton-primo.hosted.exlibrisgroup.com/primo-explore/search?tab=default_tab&amp;search_scope=EVERYTHING&amp;vid=01CRU&amp;lang=en_US&amp;offset=0&amp;query=any,contains,991004619329702656","Catalog Record")</f>
        <v/>
      </c>
      <c r="AT942">
        <f>HYPERLINK("http://www.worldcat.org/oclc/4280865","WorldCat Record")</f>
        <v/>
      </c>
      <c r="AU942" t="inlineStr">
        <is>
          <t>14573417:eng</t>
        </is>
      </c>
      <c r="AV942" t="inlineStr">
        <is>
          <t>4280865</t>
        </is>
      </c>
      <c r="AW942" t="inlineStr">
        <is>
          <t>991004619329702656</t>
        </is>
      </c>
      <c r="AX942" t="inlineStr">
        <is>
          <t>991004619329702656</t>
        </is>
      </c>
      <c r="AY942" t="inlineStr">
        <is>
          <t>2271703700002656</t>
        </is>
      </c>
      <c r="AZ942" t="inlineStr">
        <is>
          <t>BOOK</t>
        </is>
      </c>
      <c r="BC942" t="inlineStr">
        <is>
          <t>32285000667740</t>
        </is>
      </c>
      <c r="BD942" t="inlineStr">
        <is>
          <t>893424000</t>
        </is>
      </c>
    </row>
    <row r="943">
      <c r="A943" t="inlineStr">
        <is>
          <t>No</t>
        </is>
      </c>
      <c r="B943" t="inlineStr">
        <is>
          <t>BX1950 .G6 1971</t>
        </is>
      </c>
      <c r="C943" t="inlineStr">
        <is>
          <t>0                      BX 1950000G  6           1971</t>
        </is>
      </c>
      <c r="D943" t="inlineStr">
        <is>
          <t>Worldly goods : the wealth and power of the American Catholic Church, the Vatican, and the men who control the money / by James Gollin.</t>
        </is>
      </c>
      <c r="F943" t="inlineStr">
        <is>
          <t>No</t>
        </is>
      </c>
      <c r="G943" t="inlineStr">
        <is>
          <t>1</t>
        </is>
      </c>
      <c r="H943" t="inlineStr">
        <is>
          <t>No</t>
        </is>
      </c>
      <c r="I943" t="inlineStr">
        <is>
          <t>No</t>
        </is>
      </c>
      <c r="J943" t="inlineStr">
        <is>
          <t>0</t>
        </is>
      </c>
      <c r="K943" t="inlineStr">
        <is>
          <t>Gollin, James.</t>
        </is>
      </c>
      <c r="L943" t="inlineStr">
        <is>
          <t>New York : Random House, [1971]</t>
        </is>
      </c>
      <c r="M943" t="inlineStr">
        <is>
          <t>1971</t>
        </is>
      </c>
      <c r="N943" t="inlineStr">
        <is>
          <t>[1st ed.]</t>
        </is>
      </c>
      <c r="O943" t="inlineStr">
        <is>
          <t>eng</t>
        </is>
      </c>
      <c r="P943" t="inlineStr">
        <is>
          <t>nyu</t>
        </is>
      </c>
      <c r="R943" t="inlineStr">
        <is>
          <t xml:space="preserve">BX </t>
        </is>
      </c>
      <c r="S943" t="n">
        <v>4</v>
      </c>
      <c r="T943" t="n">
        <v>4</v>
      </c>
      <c r="U943" t="inlineStr">
        <is>
          <t>1995-10-24</t>
        </is>
      </c>
      <c r="V943" t="inlineStr">
        <is>
          <t>1995-10-24</t>
        </is>
      </c>
      <c r="W943" t="inlineStr">
        <is>
          <t>1991-07-02</t>
        </is>
      </c>
      <c r="X943" t="inlineStr">
        <is>
          <t>1991-07-02</t>
        </is>
      </c>
      <c r="Y943" t="n">
        <v>549</v>
      </c>
      <c r="Z943" t="n">
        <v>508</v>
      </c>
      <c r="AA943" t="n">
        <v>508</v>
      </c>
      <c r="AB943" t="n">
        <v>4</v>
      </c>
      <c r="AC943" t="n">
        <v>4</v>
      </c>
      <c r="AD943" t="n">
        <v>26</v>
      </c>
      <c r="AE943" t="n">
        <v>26</v>
      </c>
      <c r="AF943" t="n">
        <v>7</v>
      </c>
      <c r="AG943" t="n">
        <v>7</v>
      </c>
      <c r="AH943" t="n">
        <v>6</v>
      </c>
      <c r="AI943" t="n">
        <v>6</v>
      </c>
      <c r="AJ943" t="n">
        <v>19</v>
      </c>
      <c r="AK943" t="n">
        <v>19</v>
      </c>
      <c r="AL943" t="n">
        <v>3</v>
      </c>
      <c r="AM943" t="n">
        <v>3</v>
      </c>
      <c r="AN943" t="n">
        <v>0</v>
      </c>
      <c r="AO943" t="n">
        <v>0</v>
      </c>
      <c r="AP943" t="inlineStr">
        <is>
          <t>No</t>
        </is>
      </c>
      <c r="AQ943" t="inlineStr">
        <is>
          <t>No</t>
        </is>
      </c>
      <c r="AS943">
        <f>HYPERLINK("https://creighton-primo.hosted.exlibrisgroup.com/primo-explore/search?tab=default_tab&amp;search_scope=EVERYTHING&amp;vid=01CRU&amp;lang=en_US&amp;offset=0&amp;query=any,contains,991000957169702656","Catalog Record")</f>
        <v/>
      </c>
      <c r="AT943">
        <f>HYPERLINK("http://www.worldcat.org/oclc/168349","WorldCat Record")</f>
        <v/>
      </c>
      <c r="AU943" t="inlineStr">
        <is>
          <t>293215633:eng</t>
        </is>
      </c>
      <c r="AV943" t="inlineStr">
        <is>
          <t>168349</t>
        </is>
      </c>
      <c r="AW943" t="inlineStr">
        <is>
          <t>991000957169702656</t>
        </is>
      </c>
      <c r="AX943" t="inlineStr">
        <is>
          <t>991000957169702656</t>
        </is>
      </c>
      <c r="AY943" t="inlineStr">
        <is>
          <t>2261937160002656</t>
        </is>
      </c>
      <c r="AZ943" t="inlineStr">
        <is>
          <t>BOOK</t>
        </is>
      </c>
      <c r="BB943" t="inlineStr">
        <is>
          <t>9780394463308</t>
        </is>
      </c>
      <c r="BC943" t="inlineStr">
        <is>
          <t>32285000667757</t>
        </is>
      </c>
      <c r="BD943" t="inlineStr">
        <is>
          <t>893778425</t>
        </is>
      </c>
    </row>
    <row r="944">
      <c r="A944" t="inlineStr">
        <is>
          <t>No</t>
        </is>
      </c>
      <c r="B944" t="inlineStr">
        <is>
          <t>BX1950 .G74 1987</t>
        </is>
      </c>
      <c r="C944" t="inlineStr">
        <is>
          <t>0                      BX 1950000G  74          1987</t>
        </is>
      </c>
      <c r="D944" t="inlineStr">
        <is>
          <t>Catholic contributions : sociology and policy / Andrew Greeley, William McManus.</t>
        </is>
      </c>
      <c r="F944" t="inlineStr">
        <is>
          <t>No</t>
        </is>
      </c>
      <c r="G944" t="inlineStr">
        <is>
          <t>1</t>
        </is>
      </c>
      <c r="H944" t="inlineStr">
        <is>
          <t>No</t>
        </is>
      </c>
      <c r="I944" t="inlineStr">
        <is>
          <t>No</t>
        </is>
      </c>
      <c r="J944" t="inlineStr">
        <is>
          <t>0</t>
        </is>
      </c>
      <c r="K944" t="inlineStr">
        <is>
          <t>Greeley, Andrew M., 1928-2013.</t>
        </is>
      </c>
      <c r="L944" t="inlineStr">
        <is>
          <t>Chicago, Ill. : Thomas More Press, c1987.</t>
        </is>
      </c>
      <c r="M944" t="inlineStr">
        <is>
          <t>1987</t>
        </is>
      </c>
      <c r="O944" t="inlineStr">
        <is>
          <t>eng</t>
        </is>
      </c>
      <c r="P944" t="inlineStr">
        <is>
          <t>ilu</t>
        </is>
      </c>
      <c r="R944" t="inlineStr">
        <is>
          <t xml:space="preserve">BX </t>
        </is>
      </c>
      <c r="S944" t="n">
        <v>3</v>
      </c>
      <c r="T944" t="n">
        <v>3</v>
      </c>
      <c r="U944" t="inlineStr">
        <is>
          <t>2010-11-29</t>
        </is>
      </c>
      <c r="V944" t="inlineStr">
        <is>
          <t>2010-11-29</t>
        </is>
      </c>
      <c r="W944" t="inlineStr">
        <is>
          <t>1991-07-02</t>
        </is>
      </c>
      <c r="X944" t="inlineStr">
        <is>
          <t>1991-07-02</t>
        </is>
      </c>
      <c r="Y944" t="n">
        <v>152</v>
      </c>
      <c r="Z944" t="n">
        <v>144</v>
      </c>
      <c r="AA944" t="n">
        <v>144</v>
      </c>
      <c r="AB944" t="n">
        <v>1</v>
      </c>
      <c r="AC944" t="n">
        <v>1</v>
      </c>
      <c r="AD944" t="n">
        <v>14</v>
      </c>
      <c r="AE944" t="n">
        <v>14</v>
      </c>
      <c r="AF944" t="n">
        <v>4</v>
      </c>
      <c r="AG944" t="n">
        <v>4</v>
      </c>
      <c r="AH944" t="n">
        <v>5</v>
      </c>
      <c r="AI944" t="n">
        <v>5</v>
      </c>
      <c r="AJ944" t="n">
        <v>10</v>
      </c>
      <c r="AK944" t="n">
        <v>10</v>
      </c>
      <c r="AL944" t="n">
        <v>0</v>
      </c>
      <c r="AM944" t="n">
        <v>0</v>
      </c>
      <c r="AN944" t="n">
        <v>0</v>
      </c>
      <c r="AO944" t="n">
        <v>0</v>
      </c>
      <c r="AP944" t="inlineStr">
        <is>
          <t>No</t>
        </is>
      </c>
      <c r="AQ944" t="inlineStr">
        <is>
          <t>No</t>
        </is>
      </c>
      <c r="AS944">
        <f>HYPERLINK("https://creighton-primo.hosted.exlibrisgroup.com/primo-explore/search?tab=default_tab&amp;search_scope=EVERYTHING&amp;vid=01CRU&amp;lang=en_US&amp;offset=0&amp;query=any,contains,991001164709702656","Catalog Record")</f>
        <v/>
      </c>
      <c r="AT944">
        <f>HYPERLINK("http://www.worldcat.org/oclc/16922188","WorldCat Record")</f>
        <v/>
      </c>
      <c r="AU944" t="inlineStr">
        <is>
          <t>13558212:eng</t>
        </is>
      </c>
      <c r="AV944" t="inlineStr">
        <is>
          <t>16922188</t>
        </is>
      </c>
      <c r="AW944" t="inlineStr">
        <is>
          <t>991001164709702656</t>
        </is>
      </c>
      <c r="AX944" t="inlineStr">
        <is>
          <t>991001164709702656</t>
        </is>
      </c>
      <c r="AY944" t="inlineStr">
        <is>
          <t>2271751660002656</t>
        </is>
      </c>
      <c r="AZ944" t="inlineStr">
        <is>
          <t>BOOK</t>
        </is>
      </c>
      <c r="BB944" t="inlineStr">
        <is>
          <t>9780883472163</t>
        </is>
      </c>
      <c r="BC944" t="inlineStr">
        <is>
          <t>32285000667765</t>
        </is>
      </c>
      <c r="BD944" t="inlineStr">
        <is>
          <t>893878677</t>
        </is>
      </c>
    </row>
    <row r="945">
      <c r="A945" t="inlineStr">
        <is>
          <t>No</t>
        </is>
      </c>
      <c r="B945" t="inlineStr">
        <is>
          <t>BX1950 .Y32 1984</t>
        </is>
      </c>
      <c r="C945" t="inlineStr">
        <is>
          <t>0                      BX 1950000Y  32          1984</t>
        </is>
      </c>
      <c r="D945" t="inlineStr">
        <is>
          <t>The case statement / by Dr. Robert J. Yeager.</t>
        </is>
      </c>
      <c r="F945" t="inlineStr">
        <is>
          <t>No</t>
        </is>
      </c>
      <c r="G945" t="inlineStr">
        <is>
          <t>1</t>
        </is>
      </c>
      <c r="H945" t="inlineStr">
        <is>
          <t>No</t>
        </is>
      </c>
      <c r="I945" t="inlineStr">
        <is>
          <t>No</t>
        </is>
      </c>
      <c r="J945" t="inlineStr">
        <is>
          <t>0</t>
        </is>
      </c>
      <c r="K945" t="inlineStr">
        <is>
          <t>Yeager, Robert J.</t>
        </is>
      </c>
      <c r="L945" t="inlineStr">
        <is>
          <t>[Washington, D.C.] : National Catholic Educational Association, Office of Development, 1984.</t>
        </is>
      </c>
      <c r="M945" t="inlineStr">
        <is>
          <t>1984</t>
        </is>
      </c>
      <c r="O945" t="inlineStr">
        <is>
          <t>eng</t>
        </is>
      </c>
      <c r="P945" t="inlineStr">
        <is>
          <t>dcu</t>
        </is>
      </c>
      <c r="R945" t="inlineStr">
        <is>
          <t xml:space="preserve">BX </t>
        </is>
      </c>
      <c r="S945" t="n">
        <v>1</v>
      </c>
      <c r="T945" t="n">
        <v>1</v>
      </c>
      <c r="U945" t="inlineStr">
        <is>
          <t>1992-10-10</t>
        </is>
      </c>
      <c r="V945" t="inlineStr">
        <is>
          <t>1992-10-10</t>
        </is>
      </c>
      <c r="W945" t="inlineStr">
        <is>
          <t>1991-07-02</t>
        </is>
      </c>
      <c r="X945" t="inlineStr">
        <is>
          <t>1991-07-02</t>
        </is>
      </c>
      <c r="Y945" t="n">
        <v>13</v>
      </c>
      <c r="Z945" t="n">
        <v>13</v>
      </c>
      <c r="AA945" t="n">
        <v>15</v>
      </c>
      <c r="AB945" t="n">
        <v>1</v>
      </c>
      <c r="AC945" t="n">
        <v>1</v>
      </c>
      <c r="AD945" t="n">
        <v>3</v>
      </c>
      <c r="AE945" t="n">
        <v>3</v>
      </c>
      <c r="AF945" t="n">
        <v>1</v>
      </c>
      <c r="AG945" t="n">
        <v>1</v>
      </c>
      <c r="AH945" t="n">
        <v>0</v>
      </c>
      <c r="AI945" t="n">
        <v>0</v>
      </c>
      <c r="AJ945" t="n">
        <v>2</v>
      </c>
      <c r="AK945" t="n">
        <v>2</v>
      </c>
      <c r="AL945" t="n">
        <v>0</v>
      </c>
      <c r="AM945" t="n">
        <v>0</v>
      </c>
      <c r="AN945" t="n">
        <v>0</v>
      </c>
      <c r="AO945" t="n">
        <v>0</v>
      </c>
      <c r="AP945" t="inlineStr">
        <is>
          <t>No</t>
        </is>
      </c>
      <c r="AQ945" t="inlineStr">
        <is>
          <t>No</t>
        </is>
      </c>
      <c r="AS945">
        <f>HYPERLINK("https://creighton-primo.hosted.exlibrisgroup.com/primo-explore/search?tab=default_tab&amp;search_scope=EVERYTHING&amp;vid=01CRU&amp;lang=en_US&amp;offset=0&amp;query=any,contains,991000644629702656","Catalog Record")</f>
        <v/>
      </c>
      <c r="AT945">
        <f>HYPERLINK("http://www.worldcat.org/oclc/12117107","WorldCat Record")</f>
        <v/>
      </c>
      <c r="AU945" t="inlineStr">
        <is>
          <t>4963642:eng</t>
        </is>
      </c>
      <c r="AV945" t="inlineStr">
        <is>
          <t>12117107</t>
        </is>
      </c>
      <c r="AW945" t="inlineStr">
        <is>
          <t>991000644629702656</t>
        </is>
      </c>
      <c r="AX945" t="inlineStr">
        <is>
          <t>991000644629702656</t>
        </is>
      </c>
      <c r="AY945" t="inlineStr">
        <is>
          <t>2262041990002656</t>
        </is>
      </c>
      <c r="AZ945" t="inlineStr">
        <is>
          <t>BOOK</t>
        </is>
      </c>
      <c r="BC945" t="inlineStr">
        <is>
          <t>32285000667773</t>
        </is>
      </c>
      <c r="BD945" t="inlineStr">
        <is>
          <t>893871859</t>
        </is>
      </c>
    </row>
    <row r="946">
      <c r="A946" t="inlineStr">
        <is>
          <t>No</t>
        </is>
      </c>
      <c r="B946" t="inlineStr">
        <is>
          <t>BX1959.5 .U55 1995</t>
        </is>
      </c>
      <c r="C946" t="inlineStr">
        <is>
          <t>0                      BX 1959500U  55          1995</t>
        </is>
      </c>
      <c r="D946" t="inlineStr">
        <is>
          <t>Catechism of the Catholic Church : an access guide for adult discussion groups / [National Advisory Committee on Adult Religious Education]</t>
        </is>
      </c>
      <c r="F946" t="inlineStr">
        <is>
          <t>No</t>
        </is>
      </c>
      <c r="G946" t="inlineStr">
        <is>
          <t>1</t>
        </is>
      </c>
      <c r="H946" t="inlineStr">
        <is>
          <t>No</t>
        </is>
      </c>
      <c r="I946" t="inlineStr">
        <is>
          <t>No</t>
        </is>
      </c>
      <c r="J946" t="inlineStr">
        <is>
          <t>0</t>
        </is>
      </c>
      <c r="K946" t="inlineStr">
        <is>
          <t>United States Catholic Conference. Department of Education. National Advisory Committee on Adult Religious Education.</t>
        </is>
      </c>
      <c r="L946" t="inlineStr">
        <is>
          <t>Washington, D.C. : United States Catholic Conference, c1995.</t>
        </is>
      </c>
      <c r="M946" t="inlineStr">
        <is>
          <t>1995</t>
        </is>
      </c>
      <c r="O946" t="inlineStr">
        <is>
          <t>eng</t>
        </is>
      </c>
      <c r="P946" t="inlineStr">
        <is>
          <t>dcu</t>
        </is>
      </c>
      <c r="Q946" t="inlineStr">
        <is>
          <t>Publication (United States Catholic Conference) ; no. 050-8</t>
        </is>
      </c>
      <c r="R946" t="inlineStr">
        <is>
          <t xml:space="preserve">BX </t>
        </is>
      </c>
      <c r="S946" t="n">
        <v>4</v>
      </c>
      <c r="T946" t="n">
        <v>4</v>
      </c>
      <c r="U946" t="inlineStr">
        <is>
          <t>1997-07-03</t>
        </is>
      </c>
      <c r="V946" t="inlineStr">
        <is>
          <t>1997-07-03</t>
        </is>
      </c>
      <c r="W946" t="inlineStr">
        <is>
          <t>1995-08-28</t>
        </is>
      </c>
      <c r="X946" t="inlineStr">
        <is>
          <t>1995-08-28</t>
        </is>
      </c>
      <c r="Y946" t="n">
        <v>51</v>
      </c>
      <c r="Z946" t="n">
        <v>50</v>
      </c>
      <c r="AA946" t="n">
        <v>50</v>
      </c>
      <c r="AB946" t="n">
        <v>1</v>
      </c>
      <c r="AC946" t="n">
        <v>1</v>
      </c>
      <c r="AD946" t="n">
        <v>7</v>
      </c>
      <c r="AE946" t="n">
        <v>7</v>
      </c>
      <c r="AF946" t="n">
        <v>2</v>
      </c>
      <c r="AG946" t="n">
        <v>2</v>
      </c>
      <c r="AH946" t="n">
        <v>2</v>
      </c>
      <c r="AI946" t="n">
        <v>2</v>
      </c>
      <c r="AJ946" t="n">
        <v>6</v>
      </c>
      <c r="AK946" t="n">
        <v>6</v>
      </c>
      <c r="AL946" t="n">
        <v>0</v>
      </c>
      <c r="AM946" t="n">
        <v>0</v>
      </c>
      <c r="AN946" t="n">
        <v>0</v>
      </c>
      <c r="AO946" t="n">
        <v>0</v>
      </c>
      <c r="AP946" t="inlineStr">
        <is>
          <t>No</t>
        </is>
      </c>
      <c r="AQ946" t="inlineStr">
        <is>
          <t>No</t>
        </is>
      </c>
      <c r="AS946">
        <f>HYPERLINK("https://creighton-primo.hosted.exlibrisgroup.com/primo-explore/search?tab=default_tab&amp;search_scope=EVERYTHING&amp;vid=01CRU&amp;lang=en_US&amp;offset=0&amp;query=any,contains,991002529339702656","Catalog Record")</f>
        <v/>
      </c>
      <c r="AT946">
        <f>HYPERLINK("http://www.worldcat.org/oclc/32883041","WorldCat Record")</f>
        <v/>
      </c>
      <c r="AU946" t="inlineStr">
        <is>
          <t>37947093:eng</t>
        </is>
      </c>
      <c r="AV946" t="inlineStr">
        <is>
          <t>32883041</t>
        </is>
      </c>
      <c r="AW946" t="inlineStr">
        <is>
          <t>991002529339702656</t>
        </is>
      </c>
      <c r="AX946" t="inlineStr">
        <is>
          <t>991002529339702656</t>
        </is>
      </c>
      <c r="AY946" t="inlineStr">
        <is>
          <t>2256467880002656</t>
        </is>
      </c>
      <c r="AZ946" t="inlineStr">
        <is>
          <t>BOOK</t>
        </is>
      </c>
      <c r="BB946" t="inlineStr">
        <is>
          <t>9781555860509</t>
        </is>
      </c>
      <c r="BC946" t="inlineStr">
        <is>
          <t>32285002080603</t>
        </is>
      </c>
      <c r="BD946" t="inlineStr">
        <is>
          <t>893591447</t>
        </is>
      </c>
    </row>
    <row r="947">
      <c r="A947" t="inlineStr">
        <is>
          <t>No</t>
        </is>
      </c>
      <c r="B947" t="inlineStr">
        <is>
          <t>BX1959.5 .W74 1996</t>
        </is>
      </c>
      <c r="C947" t="inlineStr">
        <is>
          <t>0                      BX 1959500W  74          1996</t>
        </is>
      </c>
      <c r="D947" t="inlineStr">
        <is>
          <t>Flawed expectations : the reception of the Catechism of the Catholic Church / Michael J. Wrenn, Kenneth D. Whitehead.</t>
        </is>
      </c>
      <c r="F947" t="inlineStr">
        <is>
          <t>No</t>
        </is>
      </c>
      <c r="G947" t="inlineStr">
        <is>
          <t>1</t>
        </is>
      </c>
      <c r="H947" t="inlineStr">
        <is>
          <t>No</t>
        </is>
      </c>
      <c r="I947" t="inlineStr">
        <is>
          <t>No</t>
        </is>
      </c>
      <c r="J947" t="inlineStr">
        <is>
          <t>0</t>
        </is>
      </c>
      <c r="K947" t="inlineStr">
        <is>
          <t>Wrenn, Michael J.</t>
        </is>
      </c>
      <c r="L947" t="inlineStr">
        <is>
          <t>San Francisco : Ignatius, c1996.</t>
        </is>
      </c>
      <c r="M947" t="inlineStr">
        <is>
          <t>1996</t>
        </is>
      </c>
      <c r="O947" t="inlineStr">
        <is>
          <t>eng</t>
        </is>
      </c>
      <c r="P947" t="inlineStr">
        <is>
          <t>cau</t>
        </is>
      </c>
      <c r="R947" t="inlineStr">
        <is>
          <t xml:space="preserve">BX </t>
        </is>
      </c>
      <c r="S947" t="n">
        <v>8</v>
      </c>
      <c r="T947" t="n">
        <v>8</v>
      </c>
      <c r="U947" t="inlineStr">
        <is>
          <t>2007-07-03</t>
        </is>
      </c>
      <c r="V947" t="inlineStr">
        <is>
          <t>2007-07-03</t>
        </is>
      </c>
      <c r="W947" t="inlineStr">
        <is>
          <t>1997-01-22</t>
        </is>
      </c>
      <c r="X947" t="inlineStr">
        <is>
          <t>1997-01-22</t>
        </is>
      </c>
      <c r="Y947" t="n">
        <v>136</v>
      </c>
      <c r="Z947" t="n">
        <v>114</v>
      </c>
      <c r="AA947" t="n">
        <v>116</v>
      </c>
      <c r="AB947" t="n">
        <v>4</v>
      </c>
      <c r="AC947" t="n">
        <v>4</v>
      </c>
      <c r="AD947" t="n">
        <v>15</v>
      </c>
      <c r="AE947" t="n">
        <v>15</v>
      </c>
      <c r="AF947" t="n">
        <v>1</v>
      </c>
      <c r="AG947" t="n">
        <v>1</v>
      </c>
      <c r="AH947" t="n">
        <v>4</v>
      </c>
      <c r="AI947" t="n">
        <v>4</v>
      </c>
      <c r="AJ947" t="n">
        <v>11</v>
      </c>
      <c r="AK947" t="n">
        <v>11</v>
      </c>
      <c r="AL947" t="n">
        <v>1</v>
      </c>
      <c r="AM947" t="n">
        <v>1</v>
      </c>
      <c r="AN947" t="n">
        <v>0</v>
      </c>
      <c r="AO947" t="n">
        <v>0</v>
      </c>
      <c r="AP947" t="inlineStr">
        <is>
          <t>No</t>
        </is>
      </c>
      <c r="AQ947" t="inlineStr">
        <is>
          <t>Yes</t>
        </is>
      </c>
      <c r="AR947">
        <f>HYPERLINK("http://catalog.hathitrust.org/Record/003165434","HathiTrust Record")</f>
        <v/>
      </c>
      <c r="AS947">
        <f>HYPERLINK("https://creighton-primo.hosted.exlibrisgroup.com/primo-explore/search?tab=default_tab&amp;search_scope=EVERYTHING&amp;vid=01CRU&amp;lang=en_US&amp;offset=0&amp;query=any,contains,991002736459702656","Catalog Record")</f>
        <v/>
      </c>
      <c r="AT947">
        <f>HYPERLINK("http://www.worldcat.org/oclc/35916576","WorldCat Record")</f>
        <v/>
      </c>
      <c r="AU947" t="inlineStr">
        <is>
          <t>466536150:eng</t>
        </is>
      </c>
      <c r="AV947" t="inlineStr">
        <is>
          <t>35916576</t>
        </is>
      </c>
      <c r="AW947" t="inlineStr">
        <is>
          <t>991002736459702656</t>
        </is>
      </c>
      <c r="AX947" t="inlineStr">
        <is>
          <t>991002736459702656</t>
        </is>
      </c>
      <c r="AY947" t="inlineStr">
        <is>
          <t>2260375930002656</t>
        </is>
      </c>
      <c r="AZ947" t="inlineStr">
        <is>
          <t>BOOK</t>
        </is>
      </c>
      <c r="BB947" t="inlineStr">
        <is>
          <t>9780898705911</t>
        </is>
      </c>
      <c r="BC947" t="inlineStr">
        <is>
          <t>32285002409935</t>
        </is>
      </c>
      <c r="BD947" t="inlineStr">
        <is>
          <t>893685719</t>
        </is>
      </c>
    </row>
    <row r="948">
      <c r="A948" t="inlineStr">
        <is>
          <t>No</t>
        </is>
      </c>
      <c r="B948" t="inlineStr">
        <is>
          <t>BX1961 .F3 1848</t>
        </is>
      </c>
      <c r="C948" t="inlineStr">
        <is>
          <t>0                      BX 1961000F  3           1848</t>
        </is>
      </c>
      <c r="D948" t="inlineStr">
        <is>
          <t>An essay on beatification, canonization, and the processes of the congregation of rites / by F. W. Faber.</t>
        </is>
      </c>
      <c r="F948" t="inlineStr">
        <is>
          <t>No</t>
        </is>
      </c>
      <c r="G948" t="inlineStr">
        <is>
          <t>1</t>
        </is>
      </c>
      <c r="H948" t="inlineStr">
        <is>
          <t>No</t>
        </is>
      </c>
      <c r="I948" t="inlineStr">
        <is>
          <t>No</t>
        </is>
      </c>
      <c r="J948" t="inlineStr">
        <is>
          <t>0</t>
        </is>
      </c>
      <c r="K948" t="inlineStr">
        <is>
          <t>Faber, Frederick William, 1814-1863.</t>
        </is>
      </c>
      <c r="L948" t="inlineStr">
        <is>
          <t>London : Richardson, 1848.</t>
        </is>
      </c>
      <c r="M948" t="inlineStr">
        <is>
          <t>1848</t>
        </is>
      </c>
      <c r="O948" t="inlineStr">
        <is>
          <t>eng</t>
        </is>
      </c>
      <c r="P948" t="inlineStr">
        <is>
          <t>enk</t>
        </is>
      </c>
      <c r="R948" t="inlineStr">
        <is>
          <t xml:space="preserve">BX </t>
        </is>
      </c>
      <c r="S948" t="n">
        <v>2</v>
      </c>
      <c r="T948" t="n">
        <v>2</v>
      </c>
      <c r="U948" t="inlineStr">
        <is>
          <t>2002-11-26</t>
        </is>
      </c>
      <c r="V948" t="inlineStr">
        <is>
          <t>2002-11-26</t>
        </is>
      </c>
      <c r="W948" t="inlineStr">
        <is>
          <t>1991-07-02</t>
        </is>
      </c>
      <c r="X948" t="inlineStr">
        <is>
          <t>1991-07-02</t>
        </is>
      </c>
      <c r="Y948" t="n">
        <v>29</v>
      </c>
      <c r="Z948" t="n">
        <v>15</v>
      </c>
      <c r="AA948" t="n">
        <v>24</v>
      </c>
      <c r="AB948" t="n">
        <v>1</v>
      </c>
      <c r="AC948" t="n">
        <v>1</v>
      </c>
      <c r="AD948" t="n">
        <v>2</v>
      </c>
      <c r="AE948" t="n">
        <v>4</v>
      </c>
      <c r="AF948" t="n">
        <v>0</v>
      </c>
      <c r="AG948" t="n">
        <v>0</v>
      </c>
      <c r="AH948" t="n">
        <v>1</v>
      </c>
      <c r="AI948" t="n">
        <v>2</v>
      </c>
      <c r="AJ948" t="n">
        <v>2</v>
      </c>
      <c r="AK948" t="n">
        <v>3</v>
      </c>
      <c r="AL948" t="n">
        <v>0</v>
      </c>
      <c r="AM948" t="n">
        <v>0</v>
      </c>
      <c r="AN948" t="n">
        <v>0</v>
      </c>
      <c r="AO948" t="n">
        <v>0</v>
      </c>
      <c r="AP948" t="inlineStr">
        <is>
          <t>Yes</t>
        </is>
      </c>
      <c r="AQ948" t="inlineStr">
        <is>
          <t>No</t>
        </is>
      </c>
      <c r="AR948">
        <f>HYPERLINK("http://catalog.hathitrust.org/Record/011531446","HathiTrust Record")</f>
        <v/>
      </c>
      <c r="AS948">
        <f>HYPERLINK("https://creighton-primo.hosted.exlibrisgroup.com/primo-explore/search?tab=default_tab&amp;search_scope=EVERYTHING&amp;vid=01CRU&amp;lang=en_US&amp;offset=0&amp;query=any,contains,991004930879702656","Catalog Record")</f>
        <v/>
      </c>
      <c r="AT948">
        <f>HYPERLINK("http://www.worldcat.org/oclc/6093843","WorldCat Record")</f>
        <v/>
      </c>
      <c r="AU948" t="inlineStr">
        <is>
          <t>19069660:eng</t>
        </is>
      </c>
      <c r="AV948" t="inlineStr">
        <is>
          <t>6093843</t>
        </is>
      </c>
      <c r="AW948" t="inlineStr">
        <is>
          <t>991004930879702656</t>
        </is>
      </c>
      <c r="AX948" t="inlineStr">
        <is>
          <t>991004930879702656</t>
        </is>
      </c>
      <c r="AY948" t="inlineStr">
        <is>
          <t>2260662630002656</t>
        </is>
      </c>
      <c r="AZ948" t="inlineStr">
        <is>
          <t>BOOK</t>
        </is>
      </c>
      <c r="BC948" t="inlineStr">
        <is>
          <t>32285000667898</t>
        </is>
      </c>
      <c r="BD948" t="inlineStr">
        <is>
          <t>893795421</t>
        </is>
      </c>
    </row>
    <row r="949">
      <c r="A949" t="inlineStr">
        <is>
          <t>No</t>
        </is>
      </c>
      <c r="B949" t="inlineStr">
        <is>
          <t>BX1961 .F37</t>
        </is>
      </c>
      <c r="C949" t="inlineStr">
        <is>
          <t>0                      BX 1961000F  37</t>
        </is>
      </c>
      <c r="D949" t="inlineStr">
        <is>
          <t>The parish catechism / by Father Farrell.</t>
        </is>
      </c>
      <c r="F949" t="inlineStr">
        <is>
          <t>No</t>
        </is>
      </c>
      <c r="G949" t="inlineStr">
        <is>
          <t>1</t>
        </is>
      </c>
      <c r="H949" t="inlineStr">
        <is>
          <t>No</t>
        </is>
      </c>
      <c r="I949" t="inlineStr">
        <is>
          <t>No</t>
        </is>
      </c>
      <c r="J949" t="inlineStr">
        <is>
          <t>0</t>
        </is>
      </c>
      <c r="K949" t="inlineStr">
        <is>
          <t>Farrell, Martin.</t>
        </is>
      </c>
      <c r="L949" t="inlineStr">
        <is>
          <t>Chicago : United Book Service, 1954, c1955.</t>
        </is>
      </c>
      <c r="M949" t="inlineStr">
        <is>
          <t>1954</t>
        </is>
      </c>
      <c r="O949" t="inlineStr">
        <is>
          <t>eng</t>
        </is>
      </c>
      <c r="P949" t="inlineStr">
        <is>
          <t>ilu</t>
        </is>
      </c>
      <c r="R949" t="inlineStr">
        <is>
          <t xml:space="preserve">BX </t>
        </is>
      </c>
      <c r="S949" t="n">
        <v>1</v>
      </c>
      <c r="T949" t="n">
        <v>1</v>
      </c>
      <c r="U949" t="inlineStr">
        <is>
          <t>2001-11-05</t>
        </is>
      </c>
      <c r="V949" t="inlineStr">
        <is>
          <t>2001-11-05</t>
        </is>
      </c>
      <c r="W949" t="inlineStr">
        <is>
          <t>1991-07-02</t>
        </is>
      </c>
      <c r="X949" t="inlineStr">
        <is>
          <t>1991-07-02</t>
        </is>
      </c>
      <c r="Y949" t="n">
        <v>14</v>
      </c>
      <c r="Z949" t="n">
        <v>13</v>
      </c>
      <c r="AA949" t="n">
        <v>35</v>
      </c>
      <c r="AB949" t="n">
        <v>1</v>
      </c>
      <c r="AC949" t="n">
        <v>3</v>
      </c>
      <c r="AD949" t="n">
        <v>2</v>
      </c>
      <c r="AE949" t="n">
        <v>5</v>
      </c>
      <c r="AF949" t="n">
        <v>0</v>
      </c>
      <c r="AG949" t="n">
        <v>0</v>
      </c>
      <c r="AH949" t="n">
        <v>1</v>
      </c>
      <c r="AI949" t="n">
        <v>1</v>
      </c>
      <c r="AJ949" t="n">
        <v>1</v>
      </c>
      <c r="AK949" t="n">
        <v>3</v>
      </c>
      <c r="AL949" t="n">
        <v>0</v>
      </c>
      <c r="AM949" t="n">
        <v>1</v>
      </c>
      <c r="AN949" t="n">
        <v>0</v>
      </c>
      <c r="AO949" t="n">
        <v>0</v>
      </c>
      <c r="AP949" t="inlineStr">
        <is>
          <t>No</t>
        </is>
      </c>
      <c r="AQ949" t="inlineStr">
        <is>
          <t>No</t>
        </is>
      </c>
      <c r="AS949">
        <f>HYPERLINK("https://creighton-primo.hosted.exlibrisgroup.com/primo-explore/search?tab=default_tab&amp;search_scope=EVERYTHING&amp;vid=01CRU&amp;lang=en_US&amp;offset=0&amp;query=any,contains,991004738459702656","Catalog Record")</f>
        <v/>
      </c>
      <c r="AT949">
        <f>HYPERLINK("http://www.worldcat.org/oclc/4866999","WorldCat Record")</f>
        <v/>
      </c>
      <c r="AU949" t="inlineStr">
        <is>
          <t>14052214:eng</t>
        </is>
      </c>
      <c r="AV949" t="inlineStr">
        <is>
          <t>4866999</t>
        </is>
      </c>
      <c r="AW949" t="inlineStr">
        <is>
          <t>991004738459702656</t>
        </is>
      </c>
      <c r="AX949" t="inlineStr">
        <is>
          <t>991004738459702656</t>
        </is>
      </c>
      <c r="AY949" t="inlineStr">
        <is>
          <t>2268040330002656</t>
        </is>
      </c>
      <c r="AZ949" t="inlineStr">
        <is>
          <t>BOOK</t>
        </is>
      </c>
      <c r="BC949" t="inlineStr">
        <is>
          <t>32285000667906</t>
        </is>
      </c>
      <c r="BD949" t="inlineStr">
        <is>
          <t>893889205</t>
        </is>
      </c>
    </row>
    <row r="950">
      <c r="A950" t="inlineStr">
        <is>
          <t>No</t>
        </is>
      </c>
      <c r="B950" t="inlineStr">
        <is>
          <t>BX1961 .G3 1932a</t>
        </is>
      </c>
      <c r="C950" t="inlineStr">
        <is>
          <t>0                      BX 1961000G  3           1932a</t>
        </is>
      </c>
      <c r="D950" t="inlineStr">
        <is>
          <t>The Catholic catechism / drawn up by His Eminence Peter Cardinal Gasparri ; only authorized English translation, by Reverend Hugh Pope.</t>
        </is>
      </c>
      <c r="F950" t="inlineStr">
        <is>
          <t>No</t>
        </is>
      </c>
      <c r="G950" t="inlineStr">
        <is>
          <t>1</t>
        </is>
      </c>
      <c r="H950" t="inlineStr">
        <is>
          <t>No</t>
        </is>
      </c>
      <c r="I950" t="inlineStr">
        <is>
          <t>No</t>
        </is>
      </c>
      <c r="J950" t="inlineStr">
        <is>
          <t>0</t>
        </is>
      </c>
      <c r="K950" t="inlineStr">
        <is>
          <t>Gasparri, Pietro, 1852-1934.</t>
        </is>
      </c>
      <c r="L950" t="inlineStr">
        <is>
          <t>New York : P.J. Kenedy &amp; Sons, c1932.</t>
        </is>
      </c>
      <c r="M950" t="inlineStr">
        <is>
          <t>1932</t>
        </is>
      </c>
      <c r="O950" t="inlineStr">
        <is>
          <t>eng</t>
        </is>
      </c>
      <c r="P950" t="inlineStr">
        <is>
          <t>nyu</t>
        </is>
      </c>
      <c r="R950" t="inlineStr">
        <is>
          <t xml:space="preserve">BX </t>
        </is>
      </c>
      <c r="S950" t="n">
        <v>6</v>
      </c>
      <c r="T950" t="n">
        <v>6</v>
      </c>
      <c r="U950" t="inlineStr">
        <is>
          <t>2004-04-13</t>
        </is>
      </c>
      <c r="V950" t="inlineStr">
        <is>
          <t>2004-04-13</t>
        </is>
      </c>
      <c r="W950" t="inlineStr">
        <is>
          <t>1991-07-02</t>
        </is>
      </c>
      <c r="X950" t="inlineStr">
        <is>
          <t>1991-07-02</t>
        </is>
      </c>
      <c r="Y950" t="n">
        <v>146</v>
      </c>
      <c r="Z950" t="n">
        <v>132</v>
      </c>
      <c r="AA950" t="n">
        <v>152</v>
      </c>
      <c r="AB950" t="n">
        <v>1</v>
      </c>
      <c r="AC950" t="n">
        <v>2</v>
      </c>
      <c r="AD950" t="n">
        <v>21</v>
      </c>
      <c r="AE950" t="n">
        <v>21</v>
      </c>
      <c r="AF950" t="n">
        <v>7</v>
      </c>
      <c r="AG950" t="n">
        <v>7</v>
      </c>
      <c r="AH950" t="n">
        <v>7</v>
      </c>
      <c r="AI950" t="n">
        <v>7</v>
      </c>
      <c r="AJ950" t="n">
        <v>16</v>
      </c>
      <c r="AK950" t="n">
        <v>16</v>
      </c>
      <c r="AL950" t="n">
        <v>0</v>
      </c>
      <c r="AM950" t="n">
        <v>0</v>
      </c>
      <c r="AN950" t="n">
        <v>0</v>
      </c>
      <c r="AO950" t="n">
        <v>0</v>
      </c>
      <c r="AP950" t="inlineStr">
        <is>
          <t>No</t>
        </is>
      </c>
      <c r="AQ950" t="inlineStr">
        <is>
          <t>Yes</t>
        </is>
      </c>
      <c r="AR950">
        <f>HYPERLINK("http://catalog.hathitrust.org/Record/101872516","HathiTrust Record")</f>
        <v/>
      </c>
      <c r="AS950">
        <f>HYPERLINK("https://creighton-primo.hosted.exlibrisgroup.com/primo-explore/search?tab=default_tab&amp;search_scope=EVERYTHING&amp;vid=01CRU&amp;lang=en_US&amp;offset=0&amp;query=any,contains,991002710519702656","Catalog Record")</f>
        <v/>
      </c>
      <c r="AT950">
        <f>HYPERLINK("http://www.worldcat.org/oclc/409082","WorldCat Record")</f>
        <v/>
      </c>
      <c r="AU950" t="inlineStr">
        <is>
          <t>1445743:eng</t>
        </is>
      </c>
      <c r="AV950" t="inlineStr">
        <is>
          <t>409082</t>
        </is>
      </c>
      <c r="AW950" t="inlineStr">
        <is>
          <t>991002710519702656</t>
        </is>
      </c>
      <c r="AX950" t="inlineStr">
        <is>
          <t>991002710519702656</t>
        </is>
      </c>
      <c r="AY950" t="inlineStr">
        <is>
          <t>2262136960002656</t>
        </is>
      </c>
      <c r="AZ950" t="inlineStr">
        <is>
          <t>BOOK</t>
        </is>
      </c>
      <c r="BC950" t="inlineStr">
        <is>
          <t>32285000667914</t>
        </is>
      </c>
      <c r="BD950" t="inlineStr">
        <is>
          <t>893341752</t>
        </is>
      </c>
    </row>
    <row r="951">
      <c r="A951" t="inlineStr">
        <is>
          <t>No</t>
        </is>
      </c>
      <c r="B951" t="inlineStr">
        <is>
          <t>BX1961 .K25 1958</t>
        </is>
      </c>
      <c r="C951" t="inlineStr">
        <is>
          <t>0                      BX 1961000K  25          1958</t>
        </is>
      </c>
      <c r="D951" t="inlineStr">
        <is>
          <t>A Catholic catechism.</t>
        </is>
      </c>
      <c r="F951" t="inlineStr">
        <is>
          <t>No</t>
        </is>
      </c>
      <c r="G951" t="inlineStr">
        <is>
          <t>1</t>
        </is>
      </c>
      <c r="H951" t="inlineStr">
        <is>
          <t>No</t>
        </is>
      </c>
      <c r="I951" t="inlineStr">
        <is>
          <t>No</t>
        </is>
      </c>
      <c r="J951" t="inlineStr">
        <is>
          <t>0</t>
        </is>
      </c>
      <c r="L951" t="inlineStr">
        <is>
          <t>New York] : Herder and Herder, [1958]</t>
        </is>
      </c>
      <c r="M951" t="inlineStr">
        <is>
          <t>1958</t>
        </is>
      </c>
      <c r="N951" t="inlineStr">
        <is>
          <t>[Popular ed.</t>
        </is>
      </c>
      <c r="O951" t="inlineStr">
        <is>
          <t>eng</t>
        </is>
      </c>
      <c r="P951" t="inlineStr">
        <is>
          <t>nyu</t>
        </is>
      </c>
      <c r="R951" t="inlineStr">
        <is>
          <t xml:space="preserve">BX </t>
        </is>
      </c>
      <c r="S951" t="n">
        <v>2</v>
      </c>
      <c r="T951" t="n">
        <v>2</v>
      </c>
      <c r="U951" t="inlineStr">
        <is>
          <t>2002-11-04</t>
        </is>
      </c>
      <c r="V951" t="inlineStr">
        <is>
          <t>2002-11-04</t>
        </is>
      </c>
      <c r="W951" t="inlineStr">
        <is>
          <t>1991-07-02</t>
        </is>
      </c>
      <c r="X951" t="inlineStr">
        <is>
          <t>1991-07-02</t>
        </is>
      </c>
      <c r="Y951" t="n">
        <v>41</v>
      </c>
      <c r="Z951" t="n">
        <v>33</v>
      </c>
      <c r="AA951" t="n">
        <v>193</v>
      </c>
      <c r="AB951" t="n">
        <v>1</v>
      </c>
      <c r="AC951" t="n">
        <v>1</v>
      </c>
      <c r="AD951" t="n">
        <v>9</v>
      </c>
      <c r="AE951" t="n">
        <v>27</v>
      </c>
      <c r="AF951" t="n">
        <v>1</v>
      </c>
      <c r="AG951" t="n">
        <v>8</v>
      </c>
      <c r="AH951" t="n">
        <v>2</v>
      </c>
      <c r="AI951" t="n">
        <v>6</v>
      </c>
      <c r="AJ951" t="n">
        <v>8</v>
      </c>
      <c r="AK951" t="n">
        <v>21</v>
      </c>
      <c r="AL951" t="n">
        <v>0</v>
      </c>
      <c r="AM951" t="n">
        <v>0</v>
      </c>
      <c r="AN951" t="n">
        <v>0</v>
      </c>
      <c r="AO951" t="n">
        <v>0</v>
      </c>
      <c r="AP951" t="inlineStr">
        <is>
          <t>No</t>
        </is>
      </c>
      <c r="AQ951" t="inlineStr">
        <is>
          <t>No</t>
        </is>
      </c>
      <c r="AS951">
        <f>HYPERLINK("https://creighton-primo.hosted.exlibrisgroup.com/primo-explore/search?tab=default_tab&amp;search_scope=EVERYTHING&amp;vid=01CRU&amp;lang=en_US&amp;offset=0&amp;query=any,contains,991005104509702656","Catalog Record")</f>
        <v/>
      </c>
      <c r="AT951">
        <f>HYPERLINK("http://www.worldcat.org/oclc/7323255","WorldCat Record")</f>
        <v/>
      </c>
      <c r="AU951" t="inlineStr">
        <is>
          <t>115862264:eng</t>
        </is>
      </c>
      <c r="AV951" t="inlineStr">
        <is>
          <t>7323255</t>
        </is>
      </c>
      <c r="AW951" t="inlineStr">
        <is>
          <t>991005104509702656</t>
        </is>
      </c>
      <c r="AX951" t="inlineStr">
        <is>
          <t>991005104509702656</t>
        </is>
      </c>
      <c r="AY951" t="inlineStr">
        <is>
          <t>2266127360002656</t>
        </is>
      </c>
      <c r="AZ951" t="inlineStr">
        <is>
          <t>BOOK</t>
        </is>
      </c>
      <c r="BC951" t="inlineStr">
        <is>
          <t>32285000667948</t>
        </is>
      </c>
      <c r="BD951" t="inlineStr">
        <is>
          <t>893418378</t>
        </is>
      </c>
    </row>
    <row r="952">
      <c r="A952" t="inlineStr">
        <is>
          <t>No</t>
        </is>
      </c>
      <c r="B952" t="inlineStr">
        <is>
          <t>BX1961 .L68</t>
        </is>
      </c>
      <c r="C952" t="inlineStr">
        <is>
          <t>0                      BX 1961000L  68</t>
        </is>
      </c>
      <c r="D952" t="inlineStr">
        <is>
          <t>Saint Joseph new American catechism : according to the "Basic teachings for Catholic education," issued by the National Conference of Catholic Bishops, Vatican II documents, and Holy Scripture / arranged and explained by Lawrence G. Lovasik.</t>
        </is>
      </c>
      <c r="F952" t="inlineStr">
        <is>
          <t>No</t>
        </is>
      </c>
      <c r="G952" t="inlineStr">
        <is>
          <t>1</t>
        </is>
      </c>
      <c r="H952" t="inlineStr">
        <is>
          <t>No</t>
        </is>
      </c>
      <c r="I952" t="inlineStr">
        <is>
          <t>No</t>
        </is>
      </c>
      <c r="J952" t="inlineStr">
        <is>
          <t>0</t>
        </is>
      </c>
      <c r="K952" t="inlineStr">
        <is>
          <t>Lovasik, Lawrence G. (Lawrence George), 1913-1986.</t>
        </is>
      </c>
      <c r="L952" t="inlineStr">
        <is>
          <t>New York : Catholic Book Pub. Co., c1977.</t>
        </is>
      </c>
      <c r="M952" t="inlineStr">
        <is>
          <t>1977</t>
        </is>
      </c>
      <c r="O952" t="inlineStr">
        <is>
          <t>eng</t>
        </is>
      </c>
      <c r="P952" t="inlineStr">
        <is>
          <t>nyu</t>
        </is>
      </c>
      <c r="R952" t="inlineStr">
        <is>
          <t xml:space="preserve">BX </t>
        </is>
      </c>
      <c r="S952" t="n">
        <v>7</v>
      </c>
      <c r="T952" t="n">
        <v>7</v>
      </c>
      <c r="U952" t="inlineStr">
        <is>
          <t>2003-01-23</t>
        </is>
      </c>
      <c r="V952" t="inlineStr">
        <is>
          <t>2003-01-23</t>
        </is>
      </c>
      <c r="W952" t="inlineStr">
        <is>
          <t>1990-05-01</t>
        </is>
      </c>
      <c r="X952" t="inlineStr">
        <is>
          <t>1990-05-01</t>
        </is>
      </c>
      <c r="Y952" t="n">
        <v>26</v>
      </c>
      <c r="Z952" t="n">
        <v>25</v>
      </c>
      <c r="AA952" t="n">
        <v>42</v>
      </c>
      <c r="AB952" t="n">
        <v>1</v>
      </c>
      <c r="AC952" t="n">
        <v>2</v>
      </c>
      <c r="AD952" t="n">
        <v>5</v>
      </c>
      <c r="AE952" t="n">
        <v>5</v>
      </c>
      <c r="AF952" t="n">
        <v>1</v>
      </c>
      <c r="AG952" t="n">
        <v>1</v>
      </c>
      <c r="AH952" t="n">
        <v>2</v>
      </c>
      <c r="AI952" t="n">
        <v>2</v>
      </c>
      <c r="AJ952" t="n">
        <v>3</v>
      </c>
      <c r="AK952" t="n">
        <v>3</v>
      </c>
      <c r="AL952" t="n">
        <v>0</v>
      </c>
      <c r="AM952" t="n">
        <v>0</v>
      </c>
      <c r="AN952" t="n">
        <v>0</v>
      </c>
      <c r="AO952" t="n">
        <v>0</v>
      </c>
      <c r="AP952" t="inlineStr">
        <is>
          <t>No</t>
        </is>
      </c>
      <c r="AQ952" t="inlineStr">
        <is>
          <t>No</t>
        </is>
      </c>
      <c r="AS952">
        <f>HYPERLINK("https://creighton-primo.hosted.exlibrisgroup.com/primo-explore/search?tab=default_tab&amp;search_scope=EVERYTHING&amp;vid=01CRU&amp;lang=en_US&amp;offset=0&amp;query=any,contains,991004375439702656","Catalog Record")</f>
        <v/>
      </c>
      <c r="AT952">
        <f>HYPERLINK("http://www.worldcat.org/oclc/3204621","WorldCat Record")</f>
        <v/>
      </c>
      <c r="AU952" t="inlineStr">
        <is>
          <t>5218521060:eng</t>
        </is>
      </c>
      <c r="AV952" t="inlineStr">
        <is>
          <t>3204621</t>
        </is>
      </c>
      <c r="AW952" t="inlineStr">
        <is>
          <t>991004375439702656</t>
        </is>
      </c>
      <c r="AX952" t="inlineStr">
        <is>
          <t>991004375439702656</t>
        </is>
      </c>
      <c r="AY952" t="inlineStr">
        <is>
          <t>2269524910002656</t>
        </is>
      </c>
      <c r="AZ952" t="inlineStr">
        <is>
          <t>BOOK</t>
        </is>
      </c>
      <c r="BC952" t="inlineStr">
        <is>
          <t>32285000146356</t>
        </is>
      </c>
      <c r="BD952" t="inlineStr">
        <is>
          <t>893687654</t>
        </is>
      </c>
    </row>
    <row r="953">
      <c r="A953" t="inlineStr">
        <is>
          <t>No</t>
        </is>
      </c>
      <c r="B953" t="inlineStr">
        <is>
          <t>BX1961 .M66 1979</t>
        </is>
      </c>
      <c r="C953" t="inlineStr">
        <is>
          <t>0                      BX 1961000M  66          1979</t>
        </is>
      </c>
      <c r="D953" t="inlineStr">
        <is>
          <t>Signs of catechesis : an overview of the National catechetical directory / by Anne Marie Mongoven.</t>
        </is>
      </c>
      <c r="F953" t="inlineStr">
        <is>
          <t>No</t>
        </is>
      </c>
      <c r="G953" t="inlineStr">
        <is>
          <t>1</t>
        </is>
      </c>
      <c r="H953" t="inlineStr">
        <is>
          <t>No</t>
        </is>
      </c>
      <c r="I953" t="inlineStr">
        <is>
          <t>No</t>
        </is>
      </c>
      <c r="J953" t="inlineStr">
        <is>
          <t>0</t>
        </is>
      </c>
      <c r="K953" t="inlineStr">
        <is>
          <t>Mongoven, Anne Marie.</t>
        </is>
      </c>
      <c r="L953" t="inlineStr">
        <is>
          <t>New York : Paulist Press, c1979.</t>
        </is>
      </c>
      <c r="M953" t="inlineStr">
        <is>
          <t>1979</t>
        </is>
      </c>
      <c r="O953" t="inlineStr">
        <is>
          <t>eng</t>
        </is>
      </c>
      <c r="P953" t="inlineStr">
        <is>
          <t>nyu</t>
        </is>
      </c>
      <c r="R953" t="inlineStr">
        <is>
          <t xml:space="preserve">BX </t>
        </is>
      </c>
      <c r="S953" t="n">
        <v>2</v>
      </c>
      <c r="T953" t="n">
        <v>2</v>
      </c>
      <c r="U953" t="inlineStr">
        <is>
          <t>1997-12-22</t>
        </is>
      </c>
      <c r="V953" t="inlineStr">
        <is>
          <t>1997-12-22</t>
        </is>
      </c>
      <c r="W953" t="inlineStr">
        <is>
          <t>1990-11-26</t>
        </is>
      </c>
      <c r="X953" t="inlineStr">
        <is>
          <t>1990-11-26</t>
        </is>
      </c>
      <c r="Y953" t="n">
        <v>94</v>
      </c>
      <c r="Z953" t="n">
        <v>82</v>
      </c>
      <c r="AA953" t="n">
        <v>87</v>
      </c>
      <c r="AB953" t="n">
        <v>1</v>
      </c>
      <c r="AC953" t="n">
        <v>1</v>
      </c>
      <c r="AD953" t="n">
        <v>13</v>
      </c>
      <c r="AE953" t="n">
        <v>13</v>
      </c>
      <c r="AF953" t="n">
        <v>3</v>
      </c>
      <c r="AG953" t="n">
        <v>3</v>
      </c>
      <c r="AH953" t="n">
        <v>4</v>
      </c>
      <c r="AI953" t="n">
        <v>4</v>
      </c>
      <c r="AJ953" t="n">
        <v>8</v>
      </c>
      <c r="AK953" t="n">
        <v>8</v>
      </c>
      <c r="AL953" t="n">
        <v>0</v>
      </c>
      <c r="AM953" t="n">
        <v>0</v>
      </c>
      <c r="AN953" t="n">
        <v>0</v>
      </c>
      <c r="AO953" t="n">
        <v>0</v>
      </c>
      <c r="AP953" t="inlineStr">
        <is>
          <t>No</t>
        </is>
      </c>
      <c r="AQ953" t="inlineStr">
        <is>
          <t>No</t>
        </is>
      </c>
      <c r="AS953">
        <f>HYPERLINK("https://creighton-primo.hosted.exlibrisgroup.com/primo-explore/search?tab=default_tab&amp;search_scope=EVERYTHING&amp;vid=01CRU&amp;lang=en_US&amp;offset=0&amp;query=any,contains,991004744469702656","Catalog Record")</f>
        <v/>
      </c>
      <c r="AT953">
        <f>HYPERLINK("http://www.worldcat.org/oclc/4900874","WorldCat Record")</f>
        <v/>
      </c>
      <c r="AU953" t="inlineStr">
        <is>
          <t>5221190904:eng</t>
        </is>
      </c>
      <c r="AV953" t="inlineStr">
        <is>
          <t>4900874</t>
        </is>
      </c>
      <c r="AW953" t="inlineStr">
        <is>
          <t>991004744469702656</t>
        </is>
      </c>
      <c r="AX953" t="inlineStr">
        <is>
          <t>991004744469702656</t>
        </is>
      </c>
      <c r="AY953" t="inlineStr">
        <is>
          <t>2269983450002656</t>
        </is>
      </c>
      <c r="AZ953" t="inlineStr">
        <is>
          <t>BOOK</t>
        </is>
      </c>
      <c r="BB953" t="inlineStr">
        <is>
          <t>9780809121526</t>
        </is>
      </c>
      <c r="BC953" t="inlineStr">
        <is>
          <t>32285000297274</t>
        </is>
      </c>
      <c r="BD953" t="inlineStr">
        <is>
          <t>893612720</t>
        </is>
      </c>
    </row>
    <row r="954">
      <c r="A954" t="inlineStr">
        <is>
          <t>No</t>
        </is>
      </c>
      <c r="B954" t="inlineStr">
        <is>
          <t>BX1961 .M67 1961</t>
        </is>
      </c>
      <c r="C954" t="inlineStr">
        <is>
          <t>0                      BX 1961000M  67          1961</t>
        </is>
      </c>
      <c r="D954" t="inlineStr">
        <is>
          <t>My Catholic faith : a manual of religion / by Louis LaRavoire Morrow.</t>
        </is>
      </c>
      <c r="F954" t="inlineStr">
        <is>
          <t>No</t>
        </is>
      </c>
      <c r="G954" t="inlineStr">
        <is>
          <t>1</t>
        </is>
      </c>
      <c r="H954" t="inlineStr">
        <is>
          <t>No</t>
        </is>
      </c>
      <c r="I954" t="inlineStr">
        <is>
          <t>No</t>
        </is>
      </c>
      <c r="J954" t="inlineStr">
        <is>
          <t>0</t>
        </is>
      </c>
      <c r="K954" t="inlineStr">
        <is>
          <t>Morrow, Louis L. R.</t>
        </is>
      </c>
      <c r="L954" t="inlineStr">
        <is>
          <t>Kenosha, Wis. : My Mission House, 1961.</t>
        </is>
      </c>
      <c r="M954" t="inlineStr">
        <is>
          <t>1961</t>
        </is>
      </c>
      <c r="N954" t="inlineStr">
        <is>
          <t>Rev.</t>
        </is>
      </c>
      <c r="O954" t="inlineStr">
        <is>
          <t>eng</t>
        </is>
      </c>
      <c r="P954" t="inlineStr">
        <is>
          <t>wiu</t>
        </is>
      </c>
      <c r="R954" t="inlineStr">
        <is>
          <t xml:space="preserve">BX </t>
        </is>
      </c>
      <c r="S954" t="n">
        <v>4</v>
      </c>
      <c r="T954" t="n">
        <v>4</v>
      </c>
      <c r="U954" t="inlineStr">
        <is>
          <t>2002-11-09</t>
        </is>
      </c>
      <c r="V954" t="inlineStr">
        <is>
          <t>2002-11-09</t>
        </is>
      </c>
      <c r="W954" t="inlineStr">
        <is>
          <t>1991-07-02</t>
        </is>
      </c>
      <c r="X954" t="inlineStr">
        <is>
          <t>1991-07-02</t>
        </is>
      </c>
      <c r="Y954" t="n">
        <v>16</v>
      </c>
      <c r="Z954" t="n">
        <v>13</v>
      </c>
      <c r="AA954" t="n">
        <v>156</v>
      </c>
      <c r="AB954" t="n">
        <v>1</v>
      </c>
      <c r="AC954" t="n">
        <v>3</v>
      </c>
      <c r="AD954" t="n">
        <v>0</v>
      </c>
      <c r="AE954" t="n">
        <v>10</v>
      </c>
      <c r="AF954" t="n">
        <v>0</v>
      </c>
      <c r="AG954" t="n">
        <v>2</v>
      </c>
      <c r="AH954" t="n">
        <v>0</v>
      </c>
      <c r="AI954" t="n">
        <v>3</v>
      </c>
      <c r="AJ954" t="n">
        <v>0</v>
      </c>
      <c r="AK954" t="n">
        <v>8</v>
      </c>
      <c r="AL954" t="n">
        <v>0</v>
      </c>
      <c r="AM954" t="n">
        <v>0</v>
      </c>
      <c r="AN954" t="n">
        <v>0</v>
      </c>
      <c r="AO954" t="n">
        <v>0</v>
      </c>
      <c r="AP954" t="inlineStr">
        <is>
          <t>No</t>
        </is>
      </c>
      <c r="AQ954" t="inlineStr">
        <is>
          <t>No</t>
        </is>
      </c>
      <c r="AS954">
        <f>HYPERLINK("https://creighton-primo.hosted.exlibrisgroup.com/primo-explore/search?tab=default_tab&amp;search_scope=EVERYTHING&amp;vid=01CRU&amp;lang=en_US&amp;offset=0&amp;query=any,contains,991000365299702656","Catalog Record")</f>
        <v/>
      </c>
      <c r="AT954">
        <f>HYPERLINK("http://www.worldcat.org/oclc/10401456","WorldCat Record")</f>
        <v/>
      </c>
      <c r="AU954" t="inlineStr">
        <is>
          <t>3171899:eng</t>
        </is>
      </c>
      <c r="AV954" t="inlineStr">
        <is>
          <t>10401456</t>
        </is>
      </c>
      <c r="AW954" t="inlineStr">
        <is>
          <t>991000365299702656</t>
        </is>
      </c>
      <c r="AX954" t="inlineStr">
        <is>
          <t>991000365299702656</t>
        </is>
      </c>
      <c r="AY954" t="inlineStr">
        <is>
          <t>2270808350002656</t>
        </is>
      </c>
      <c r="AZ954" t="inlineStr">
        <is>
          <t>BOOK</t>
        </is>
      </c>
      <c r="BC954" t="inlineStr">
        <is>
          <t>32285000667989</t>
        </is>
      </c>
      <c r="BD954" t="inlineStr">
        <is>
          <t>893345579</t>
        </is>
      </c>
    </row>
    <row r="955">
      <c r="A955" t="inlineStr">
        <is>
          <t>No</t>
        </is>
      </c>
      <c r="B955" t="inlineStr">
        <is>
          <t>BX1961 .N382 2005</t>
        </is>
      </c>
      <c r="C955" t="inlineStr">
        <is>
          <t>0                      BX 1961000N  382         2005</t>
        </is>
      </c>
      <c r="D955" t="inlineStr">
        <is>
          <t>Summary of the national directory for catechesis / United States Conference of Catholic Bishops.</t>
        </is>
      </c>
      <c r="F955" t="inlineStr">
        <is>
          <t>No</t>
        </is>
      </c>
      <c r="G955" t="inlineStr">
        <is>
          <t>1</t>
        </is>
      </c>
      <c r="H955" t="inlineStr">
        <is>
          <t>No</t>
        </is>
      </c>
      <c r="I955" t="inlineStr">
        <is>
          <t>No</t>
        </is>
      </c>
      <c r="J955" t="inlineStr">
        <is>
          <t>0</t>
        </is>
      </c>
      <c r="L955" t="inlineStr">
        <is>
          <t>Washington, D.C. : United States Conference of Catholic Bishops, 2005.</t>
        </is>
      </c>
      <c r="M955" t="inlineStr">
        <is>
          <t>2005</t>
        </is>
      </c>
      <c r="O955" t="inlineStr">
        <is>
          <t>eng</t>
        </is>
      </c>
      <c r="P955" t="inlineStr">
        <is>
          <t>dcu</t>
        </is>
      </c>
      <c r="Q955" t="inlineStr">
        <is>
          <t>Publication / USCCB Publishing ; no. 5-696</t>
        </is>
      </c>
      <c r="R955" t="inlineStr">
        <is>
          <t xml:space="preserve">BX </t>
        </is>
      </c>
      <c r="S955" t="n">
        <v>4</v>
      </c>
      <c r="T955" t="n">
        <v>4</v>
      </c>
      <c r="U955" t="inlineStr">
        <is>
          <t>2010-10-12</t>
        </is>
      </c>
      <c r="V955" t="inlineStr">
        <is>
          <t>2010-10-12</t>
        </is>
      </c>
      <c r="W955" t="inlineStr">
        <is>
          <t>2005-07-20</t>
        </is>
      </c>
      <c r="X955" t="inlineStr">
        <is>
          <t>2005-07-20</t>
        </is>
      </c>
      <c r="Y955" t="n">
        <v>84</v>
      </c>
      <c r="Z955" t="n">
        <v>82</v>
      </c>
      <c r="AA955" t="n">
        <v>86</v>
      </c>
      <c r="AB955" t="n">
        <v>1</v>
      </c>
      <c r="AC955" t="n">
        <v>1</v>
      </c>
      <c r="AD955" t="n">
        <v>12</v>
      </c>
      <c r="AE955" t="n">
        <v>12</v>
      </c>
      <c r="AF955" t="n">
        <v>2</v>
      </c>
      <c r="AG955" t="n">
        <v>2</v>
      </c>
      <c r="AH955" t="n">
        <v>3</v>
      </c>
      <c r="AI955" t="n">
        <v>3</v>
      </c>
      <c r="AJ955" t="n">
        <v>9</v>
      </c>
      <c r="AK955" t="n">
        <v>9</v>
      </c>
      <c r="AL955" t="n">
        <v>0</v>
      </c>
      <c r="AM955" t="n">
        <v>0</v>
      </c>
      <c r="AN955" t="n">
        <v>0</v>
      </c>
      <c r="AO955" t="n">
        <v>0</v>
      </c>
      <c r="AP955" t="inlineStr">
        <is>
          <t>No</t>
        </is>
      </c>
      <c r="AQ955" t="inlineStr">
        <is>
          <t>No</t>
        </is>
      </c>
      <c r="AS955">
        <f>HYPERLINK("https://creighton-primo.hosted.exlibrisgroup.com/primo-explore/search?tab=default_tab&amp;search_scope=EVERYTHING&amp;vid=01CRU&amp;lang=en_US&amp;offset=0&amp;query=any,contains,991004616119702656","Catalog Record")</f>
        <v/>
      </c>
      <c r="AT955">
        <f>HYPERLINK("http://www.worldcat.org/oclc/60547136","WorldCat Record")</f>
        <v/>
      </c>
      <c r="AU955" t="inlineStr">
        <is>
          <t>10225347200:eng</t>
        </is>
      </c>
      <c r="AV955" t="inlineStr">
        <is>
          <t>60547136</t>
        </is>
      </c>
      <c r="AW955" t="inlineStr">
        <is>
          <t>991004616119702656</t>
        </is>
      </c>
      <c r="AX955" t="inlineStr">
        <is>
          <t>991004616119702656</t>
        </is>
      </c>
      <c r="AY955" t="inlineStr">
        <is>
          <t>2259953760002656</t>
        </is>
      </c>
      <c r="AZ955" t="inlineStr">
        <is>
          <t>BOOK</t>
        </is>
      </c>
      <c r="BB955" t="inlineStr">
        <is>
          <t>9781574556964</t>
        </is>
      </c>
      <c r="BC955" t="inlineStr">
        <is>
          <t>32285005097307</t>
        </is>
      </c>
      <c r="BD955" t="inlineStr">
        <is>
          <t>893519850</t>
        </is>
      </c>
    </row>
    <row r="956">
      <c r="A956" t="inlineStr">
        <is>
          <t>No</t>
        </is>
      </c>
      <c r="B956" t="inlineStr">
        <is>
          <t>BX1961 .N383 2005</t>
        </is>
      </c>
      <c r="C956" t="inlineStr">
        <is>
          <t>0                      BX 1961000N  383         2005</t>
        </is>
      </c>
      <c r="D956" t="inlineStr">
        <is>
          <t>Leader's guide to the National directory for catechesis / Committee on Catechesis.</t>
        </is>
      </c>
      <c r="F956" t="inlineStr">
        <is>
          <t>No</t>
        </is>
      </c>
      <c r="G956" t="inlineStr">
        <is>
          <t>1</t>
        </is>
      </c>
      <c r="H956" t="inlineStr">
        <is>
          <t>No</t>
        </is>
      </c>
      <c r="I956" t="inlineStr">
        <is>
          <t>No</t>
        </is>
      </c>
      <c r="J956" t="inlineStr">
        <is>
          <t>0</t>
        </is>
      </c>
      <c r="L956" t="inlineStr">
        <is>
          <t>Washington D.C. : United States Conference of Catholic Bishops, 2005.</t>
        </is>
      </c>
      <c r="M956" t="inlineStr">
        <is>
          <t>2005</t>
        </is>
      </c>
      <c r="O956" t="inlineStr">
        <is>
          <t>eng</t>
        </is>
      </c>
      <c r="P956" t="inlineStr">
        <is>
          <t>dcu</t>
        </is>
      </c>
      <c r="Q956" t="inlineStr">
        <is>
          <t>USCCB Publishing publication ; no. 5-695</t>
        </is>
      </c>
      <c r="R956" t="inlineStr">
        <is>
          <t xml:space="preserve">BX </t>
        </is>
      </c>
      <c r="S956" t="n">
        <v>3</v>
      </c>
      <c r="T956" t="n">
        <v>3</v>
      </c>
      <c r="U956" t="inlineStr">
        <is>
          <t>2010-10-12</t>
        </is>
      </c>
      <c r="V956" t="inlineStr">
        <is>
          <t>2010-10-12</t>
        </is>
      </c>
      <c r="W956" t="inlineStr">
        <is>
          <t>2006-02-20</t>
        </is>
      </c>
      <c r="X956" t="inlineStr">
        <is>
          <t>2006-02-20</t>
        </is>
      </c>
      <c r="Y956" t="n">
        <v>68</v>
      </c>
      <c r="Z956" t="n">
        <v>65</v>
      </c>
      <c r="AA956" t="n">
        <v>65</v>
      </c>
      <c r="AB956" t="n">
        <v>1</v>
      </c>
      <c r="AC956" t="n">
        <v>1</v>
      </c>
      <c r="AD956" t="n">
        <v>9</v>
      </c>
      <c r="AE956" t="n">
        <v>9</v>
      </c>
      <c r="AF956" t="n">
        <v>1</v>
      </c>
      <c r="AG956" t="n">
        <v>1</v>
      </c>
      <c r="AH956" t="n">
        <v>3</v>
      </c>
      <c r="AI956" t="n">
        <v>3</v>
      </c>
      <c r="AJ956" t="n">
        <v>6</v>
      </c>
      <c r="AK956" t="n">
        <v>6</v>
      </c>
      <c r="AL956" t="n">
        <v>0</v>
      </c>
      <c r="AM956" t="n">
        <v>0</v>
      </c>
      <c r="AN956" t="n">
        <v>0</v>
      </c>
      <c r="AO956" t="n">
        <v>0</v>
      </c>
      <c r="AP956" t="inlineStr">
        <is>
          <t>No</t>
        </is>
      </c>
      <c r="AQ956" t="inlineStr">
        <is>
          <t>No</t>
        </is>
      </c>
      <c r="AS956">
        <f>HYPERLINK("https://creighton-primo.hosted.exlibrisgroup.com/primo-explore/search?tab=default_tab&amp;search_scope=EVERYTHING&amp;vid=01CRU&amp;lang=en_US&amp;offset=0&amp;query=any,contains,991004748689702656","Catalog Record")</f>
        <v/>
      </c>
      <c r="AT956">
        <f>HYPERLINK("http://www.worldcat.org/oclc/62033827","WorldCat Record")</f>
        <v/>
      </c>
      <c r="AU956" t="inlineStr">
        <is>
          <t>504192689:eng</t>
        </is>
      </c>
      <c r="AV956" t="inlineStr">
        <is>
          <t>62033827</t>
        </is>
      </c>
      <c r="AW956" t="inlineStr">
        <is>
          <t>991004748689702656</t>
        </is>
      </c>
      <c r="AX956" t="inlineStr">
        <is>
          <t>991004748689702656</t>
        </is>
      </c>
      <c r="AY956" t="inlineStr">
        <is>
          <t>2264805780002656</t>
        </is>
      </c>
      <c r="AZ956" t="inlineStr">
        <is>
          <t>BOOK</t>
        </is>
      </c>
      <c r="BB956" t="inlineStr">
        <is>
          <t>9781574556957</t>
        </is>
      </c>
      <c r="BC956" t="inlineStr">
        <is>
          <t>32285005108260</t>
        </is>
      </c>
      <c r="BD956" t="inlineStr">
        <is>
          <t>893807419</t>
        </is>
      </c>
    </row>
    <row r="957">
      <c r="A957" t="inlineStr">
        <is>
          <t>No</t>
        </is>
      </c>
      <c r="B957" t="inlineStr">
        <is>
          <t>BX1961 .P46 1989</t>
        </is>
      </c>
      <c r="C957" t="inlineStr">
        <is>
          <t>0                      BX 1961000P  46          1989</t>
        </is>
      </c>
      <c r="D957" t="inlineStr">
        <is>
          <t>This is our faith : a Catholic catechism for adults / Michael Francis Pennock.</t>
        </is>
      </c>
      <c r="F957" t="inlineStr">
        <is>
          <t>No</t>
        </is>
      </c>
      <c r="G957" t="inlineStr">
        <is>
          <t>1</t>
        </is>
      </c>
      <c r="H957" t="inlineStr">
        <is>
          <t>No</t>
        </is>
      </c>
      <c r="I957" t="inlineStr">
        <is>
          <t>No</t>
        </is>
      </c>
      <c r="J957" t="inlineStr">
        <is>
          <t>0</t>
        </is>
      </c>
      <c r="K957" t="inlineStr">
        <is>
          <t>Pennock, Michael.</t>
        </is>
      </c>
      <c r="L957" t="inlineStr">
        <is>
          <t>Notre Dame, Ind. : Ave Maria Press, c1989.</t>
        </is>
      </c>
      <c r="M957" t="inlineStr">
        <is>
          <t>1989</t>
        </is>
      </c>
      <c r="O957" t="inlineStr">
        <is>
          <t>eng</t>
        </is>
      </c>
      <c r="P957" t="inlineStr">
        <is>
          <t>inu</t>
        </is>
      </c>
      <c r="R957" t="inlineStr">
        <is>
          <t xml:space="preserve">BX </t>
        </is>
      </c>
      <c r="S957" t="n">
        <v>8</v>
      </c>
      <c r="T957" t="n">
        <v>8</v>
      </c>
      <c r="U957" t="inlineStr">
        <is>
          <t>2009-08-28</t>
        </is>
      </c>
      <c r="V957" t="inlineStr">
        <is>
          <t>2009-08-28</t>
        </is>
      </c>
      <c r="W957" t="inlineStr">
        <is>
          <t>1991-07-02</t>
        </is>
      </c>
      <c r="X957" t="inlineStr">
        <is>
          <t>1991-07-02</t>
        </is>
      </c>
      <c r="Y957" t="n">
        <v>146</v>
      </c>
      <c r="Z957" t="n">
        <v>123</v>
      </c>
      <c r="AA957" t="n">
        <v>229</v>
      </c>
      <c r="AB957" t="n">
        <v>2</v>
      </c>
      <c r="AC957" t="n">
        <v>4</v>
      </c>
      <c r="AD957" t="n">
        <v>8</v>
      </c>
      <c r="AE957" t="n">
        <v>19</v>
      </c>
      <c r="AF957" t="n">
        <v>1</v>
      </c>
      <c r="AG957" t="n">
        <v>8</v>
      </c>
      <c r="AH957" t="n">
        <v>3</v>
      </c>
      <c r="AI957" t="n">
        <v>4</v>
      </c>
      <c r="AJ957" t="n">
        <v>7</v>
      </c>
      <c r="AK957" t="n">
        <v>12</v>
      </c>
      <c r="AL957" t="n">
        <v>0</v>
      </c>
      <c r="AM957" t="n">
        <v>1</v>
      </c>
      <c r="AN957" t="n">
        <v>0</v>
      </c>
      <c r="AO957" t="n">
        <v>0</v>
      </c>
      <c r="AP957" t="inlineStr">
        <is>
          <t>No</t>
        </is>
      </c>
      <c r="AQ957" t="inlineStr">
        <is>
          <t>No</t>
        </is>
      </c>
      <c r="AS957">
        <f>HYPERLINK("https://creighton-primo.hosted.exlibrisgroup.com/primo-explore/search?tab=default_tab&amp;search_scope=EVERYTHING&amp;vid=01CRU&amp;lang=en_US&amp;offset=0&amp;query=any,contains,991001430699702656","Catalog Record")</f>
        <v/>
      </c>
      <c r="AT957">
        <f>HYPERLINK("http://www.worldcat.org/oclc/19103138","WorldCat Record")</f>
        <v/>
      </c>
      <c r="AU957" t="inlineStr">
        <is>
          <t>1042410089:eng</t>
        </is>
      </c>
      <c r="AV957" t="inlineStr">
        <is>
          <t>19103138</t>
        </is>
      </c>
      <c r="AW957" t="inlineStr">
        <is>
          <t>991001430699702656</t>
        </is>
      </c>
      <c r="AX957" t="inlineStr">
        <is>
          <t>991001430699702656</t>
        </is>
      </c>
      <c r="AY957" t="inlineStr">
        <is>
          <t>2258891340002656</t>
        </is>
      </c>
      <c r="AZ957" t="inlineStr">
        <is>
          <t>BOOK</t>
        </is>
      </c>
      <c r="BB957" t="inlineStr">
        <is>
          <t>9780877933908</t>
        </is>
      </c>
      <c r="BC957" t="inlineStr">
        <is>
          <t>32285000668003</t>
        </is>
      </c>
      <c r="BD957" t="inlineStr">
        <is>
          <t>893602601</t>
        </is>
      </c>
    </row>
    <row r="958">
      <c r="A958" t="inlineStr">
        <is>
          <t>No</t>
        </is>
      </c>
      <c r="B958" t="inlineStr">
        <is>
          <t>BX1961 .T422 1976</t>
        </is>
      </c>
      <c r="C958" t="inlineStr">
        <is>
          <t>0                      BX 1961000T  422         1976</t>
        </is>
      </c>
      <c r="D958" t="inlineStr">
        <is>
          <t>The Teaching of Christ : a Catholic catechism for adults / edited by Ronald Lawler, Donald W. Wuerl, Thomas Comerford Lawler.</t>
        </is>
      </c>
      <c r="F958" t="inlineStr">
        <is>
          <t>No</t>
        </is>
      </c>
      <c r="G958" t="inlineStr">
        <is>
          <t>1</t>
        </is>
      </c>
      <c r="H958" t="inlineStr">
        <is>
          <t>No</t>
        </is>
      </c>
      <c r="I958" t="inlineStr">
        <is>
          <t>No</t>
        </is>
      </c>
      <c r="J958" t="inlineStr">
        <is>
          <t>0</t>
        </is>
      </c>
      <c r="L958" t="inlineStr">
        <is>
          <t>Huntington, IN : Our Sunday Visitor, c1976.</t>
        </is>
      </c>
      <c r="M958" t="inlineStr">
        <is>
          <t>1976</t>
        </is>
      </c>
      <c r="O958" t="inlineStr">
        <is>
          <t>eng</t>
        </is>
      </c>
      <c r="P958" t="inlineStr">
        <is>
          <t>inu</t>
        </is>
      </c>
      <c r="R958" t="inlineStr">
        <is>
          <t xml:space="preserve">BX </t>
        </is>
      </c>
      <c r="S958" t="n">
        <v>3</v>
      </c>
      <c r="T958" t="n">
        <v>3</v>
      </c>
      <c r="U958" t="inlineStr">
        <is>
          <t>1995-10-19</t>
        </is>
      </c>
      <c r="V958" t="inlineStr">
        <is>
          <t>1995-10-19</t>
        </is>
      </c>
      <c r="W958" t="inlineStr">
        <is>
          <t>1990-08-16</t>
        </is>
      </c>
      <c r="X958" t="inlineStr">
        <is>
          <t>1990-08-16</t>
        </is>
      </c>
      <c r="Y958" t="n">
        <v>432</v>
      </c>
      <c r="Z958" t="n">
        <v>382</v>
      </c>
      <c r="AA958" t="n">
        <v>516</v>
      </c>
      <c r="AB958" t="n">
        <v>8</v>
      </c>
      <c r="AC958" t="n">
        <v>11</v>
      </c>
      <c r="AD958" t="n">
        <v>28</v>
      </c>
      <c r="AE958" t="n">
        <v>33</v>
      </c>
      <c r="AF958" t="n">
        <v>9</v>
      </c>
      <c r="AG958" t="n">
        <v>12</v>
      </c>
      <c r="AH958" t="n">
        <v>8</v>
      </c>
      <c r="AI958" t="n">
        <v>8</v>
      </c>
      <c r="AJ958" t="n">
        <v>22</v>
      </c>
      <c r="AK958" t="n">
        <v>24</v>
      </c>
      <c r="AL958" t="n">
        <v>1</v>
      </c>
      <c r="AM958" t="n">
        <v>2</v>
      </c>
      <c r="AN958" t="n">
        <v>0</v>
      </c>
      <c r="AO958" t="n">
        <v>0</v>
      </c>
      <c r="AP958" t="inlineStr">
        <is>
          <t>No</t>
        </is>
      </c>
      <c r="AQ958" t="inlineStr">
        <is>
          <t>No</t>
        </is>
      </c>
      <c r="AS958">
        <f>HYPERLINK("https://creighton-primo.hosted.exlibrisgroup.com/primo-explore/search?tab=default_tab&amp;search_scope=EVERYTHING&amp;vid=01CRU&amp;lang=en_US&amp;offset=0&amp;query=any,contains,991003957319702656","Catalog Record")</f>
        <v/>
      </c>
      <c r="AT958">
        <f>HYPERLINK("http://www.worldcat.org/oclc/1970818","WorldCat Record")</f>
        <v/>
      </c>
      <c r="AU958" t="inlineStr">
        <is>
          <t>180098609:eng</t>
        </is>
      </c>
      <c r="AV958" t="inlineStr">
        <is>
          <t>1970818</t>
        </is>
      </c>
      <c r="AW958" t="inlineStr">
        <is>
          <t>991003957319702656</t>
        </is>
      </c>
      <c r="AX958" t="inlineStr">
        <is>
          <t>991003957319702656</t>
        </is>
      </c>
      <c r="AY958" t="inlineStr">
        <is>
          <t>2263673840002656</t>
        </is>
      </c>
      <c r="AZ958" t="inlineStr">
        <is>
          <t>BOOK</t>
        </is>
      </c>
      <c r="BB958" t="inlineStr">
        <is>
          <t>9780879738990</t>
        </is>
      </c>
      <c r="BC958" t="inlineStr">
        <is>
          <t>32285000290253</t>
        </is>
      </c>
      <c r="BD958" t="inlineStr">
        <is>
          <t>893318632</t>
        </is>
      </c>
    </row>
    <row r="959">
      <c r="A959" t="inlineStr">
        <is>
          <t>No</t>
        </is>
      </c>
      <c r="B959" t="inlineStr">
        <is>
          <t>BX1961.B265 T7</t>
        </is>
      </c>
      <c r="C959" t="inlineStr">
        <is>
          <t>0                      BX 1961000B  265                T  7</t>
        </is>
      </c>
      <c r="D959" t="inlineStr">
        <is>
          <t>The faith explained / Leo J. Trese.</t>
        </is>
      </c>
      <c r="F959" t="inlineStr">
        <is>
          <t>No</t>
        </is>
      </c>
      <c r="G959" t="inlineStr">
        <is>
          <t>1</t>
        </is>
      </c>
      <c r="H959" t="inlineStr">
        <is>
          <t>No</t>
        </is>
      </c>
      <c r="I959" t="inlineStr">
        <is>
          <t>No</t>
        </is>
      </c>
      <c r="J959" t="inlineStr">
        <is>
          <t>0</t>
        </is>
      </c>
      <c r="K959" t="inlineStr">
        <is>
          <t>Trese, Leo J. (Leo John), 1902-1970.</t>
        </is>
      </c>
      <c r="L959" t="inlineStr">
        <is>
          <t>Chicago : Fides Publishers Association, [1959]</t>
        </is>
      </c>
      <c r="M959" t="inlineStr">
        <is>
          <t>1959</t>
        </is>
      </c>
      <c r="O959" t="inlineStr">
        <is>
          <t>eng</t>
        </is>
      </c>
      <c r="P959" t="inlineStr">
        <is>
          <t>ilu</t>
        </is>
      </c>
      <c r="R959" t="inlineStr">
        <is>
          <t xml:space="preserve">BX </t>
        </is>
      </c>
      <c r="S959" t="n">
        <v>3</v>
      </c>
      <c r="T959" t="n">
        <v>3</v>
      </c>
      <c r="U959" t="inlineStr">
        <is>
          <t>2002-05-17</t>
        </is>
      </c>
      <c r="V959" t="inlineStr">
        <is>
          <t>2002-05-17</t>
        </is>
      </c>
      <c r="W959" t="inlineStr">
        <is>
          <t>1991-07-02</t>
        </is>
      </c>
      <c r="X959" t="inlineStr">
        <is>
          <t>1991-07-02</t>
        </is>
      </c>
      <c r="Y959" t="n">
        <v>185</v>
      </c>
      <c r="Z959" t="n">
        <v>168</v>
      </c>
      <c r="AA959" t="n">
        <v>226</v>
      </c>
      <c r="AB959" t="n">
        <v>4</v>
      </c>
      <c r="AC959" t="n">
        <v>4</v>
      </c>
      <c r="AD959" t="n">
        <v>25</v>
      </c>
      <c r="AE959" t="n">
        <v>26</v>
      </c>
      <c r="AF959" t="n">
        <v>8</v>
      </c>
      <c r="AG959" t="n">
        <v>9</v>
      </c>
      <c r="AH959" t="n">
        <v>6</v>
      </c>
      <c r="AI959" t="n">
        <v>6</v>
      </c>
      <c r="AJ959" t="n">
        <v>19</v>
      </c>
      <c r="AK959" t="n">
        <v>20</v>
      </c>
      <c r="AL959" t="n">
        <v>0</v>
      </c>
      <c r="AM959" t="n">
        <v>0</v>
      </c>
      <c r="AN959" t="n">
        <v>0</v>
      </c>
      <c r="AO959" t="n">
        <v>0</v>
      </c>
      <c r="AP959" t="inlineStr">
        <is>
          <t>No</t>
        </is>
      </c>
      <c r="AQ959" t="inlineStr">
        <is>
          <t>No</t>
        </is>
      </c>
      <c r="AS959">
        <f>HYPERLINK("https://creighton-primo.hosted.exlibrisgroup.com/primo-explore/search?tab=default_tab&amp;search_scope=EVERYTHING&amp;vid=01CRU&amp;lang=en_US&amp;offset=0&amp;query=any,contains,991003412079702656","Catalog Record")</f>
        <v/>
      </c>
      <c r="AT959">
        <f>HYPERLINK("http://www.worldcat.org/oclc/950123","WorldCat Record")</f>
        <v/>
      </c>
      <c r="AU959" t="inlineStr">
        <is>
          <t>196091227:eng</t>
        </is>
      </c>
      <c r="AV959" t="inlineStr">
        <is>
          <t>950123</t>
        </is>
      </c>
      <c r="AW959" t="inlineStr">
        <is>
          <t>991003412079702656</t>
        </is>
      </c>
      <c r="AX959" t="inlineStr">
        <is>
          <t>991003412079702656</t>
        </is>
      </c>
      <c r="AY959" t="inlineStr">
        <is>
          <t>2261923360002656</t>
        </is>
      </c>
      <c r="AZ959" t="inlineStr">
        <is>
          <t>BOOK</t>
        </is>
      </c>
      <c r="BC959" t="inlineStr">
        <is>
          <t>32285000667815</t>
        </is>
      </c>
      <c r="BD959" t="inlineStr">
        <is>
          <t>893336471</t>
        </is>
      </c>
    </row>
    <row r="960">
      <c r="A960" t="inlineStr">
        <is>
          <t>No</t>
        </is>
      </c>
      <c r="B960" t="inlineStr">
        <is>
          <t>BX1968 .A36 2003</t>
        </is>
      </c>
      <c r="C960" t="inlineStr">
        <is>
          <t>0                      BX 1968000A  36          2003</t>
        </is>
      </c>
      <c r="D960" t="inlineStr">
        <is>
          <t>Adolescent catechesis.</t>
        </is>
      </c>
      <c r="F960" t="inlineStr">
        <is>
          <t>No</t>
        </is>
      </c>
      <c r="G960" t="inlineStr">
        <is>
          <t>1</t>
        </is>
      </c>
      <c r="H960" t="inlineStr">
        <is>
          <t>No</t>
        </is>
      </c>
      <c r="I960" t="inlineStr">
        <is>
          <t>No</t>
        </is>
      </c>
      <c r="J960" t="inlineStr">
        <is>
          <t>0</t>
        </is>
      </c>
      <c r="L960" t="inlineStr">
        <is>
          <t>Washington, D.C. : United States Conference of Catholic Bishops, c2003.</t>
        </is>
      </c>
      <c r="M960" t="inlineStr">
        <is>
          <t>2003</t>
        </is>
      </c>
      <c r="O960" t="inlineStr">
        <is>
          <t>eng</t>
        </is>
      </c>
      <c r="P960" t="inlineStr">
        <is>
          <t>dcu</t>
        </is>
      </c>
      <c r="Q960" t="inlineStr">
        <is>
          <t>Resources from The living light ; number 1</t>
        </is>
      </c>
      <c r="R960" t="inlineStr">
        <is>
          <t xml:space="preserve">BX </t>
        </is>
      </c>
      <c r="S960" t="n">
        <v>7</v>
      </c>
      <c r="T960" t="n">
        <v>7</v>
      </c>
      <c r="U960" t="inlineStr">
        <is>
          <t>2007-08-02</t>
        </is>
      </c>
      <c r="V960" t="inlineStr">
        <is>
          <t>2007-08-02</t>
        </is>
      </c>
      <c r="W960" t="inlineStr">
        <is>
          <t>2003-12-17</t>
        </is>
      </c>
      <c r="X960" t="inlineStr">
        <is>
          <t>2003-12-17</t>
        </is>
      </c>
      <c r="Y960" t="n">
        <v>71</v>
      </c>
      <c r="Z960" t="n">
        <v>70</v>
      </c>
      <c r="AA960" t="n">
        <v>70</v>
      </c>
      <c r="AB960" t="n">
        <v>1</v>
      </c>
      <c r="AC960" t="n">
        <v>1</v>
      </c>
      <c r="AD960" t="n">
        <v>11</v>
      </c>
      <c r="AE960" t="n">
        <v>11</v>
      </c>
      <c r="AF960" t="n">
        <v>2</v>
      </c>
      <c r="AG960" t="n">
        <v>2</v>
      </c>
      <c r="AH960" t="n">
        <v>4</v>
      </c>
      <c r="AI960" t="n">
        <v>4</v>
      </c>
      <c r="AJ960" t="n">
        <v>7</v>
      </c>
      <c r="AK960" t="n">
        <v>7</v>
      </c>
      <c r="AL960" t="n">
        <v>0</v>
      </c>
      <c r="AM960" t="n">
        <v>0</v>
      </c>
      <c r="AN960" t="n">
        <v>0</v>
      </c>
      <c r="AO960" t="n">
        <v>0</v>
      </c>
      <c r="AP960" t="inlineStr">
        <is>
          <t>No</t>
        </is>
      </c>
      <c r="AQ960" t="inlineStr">
        <is>
          <t>No</t>
        </is>
      </c>
      <c r="AS960">
        <f>HYPERLINK("https://creighton-primo.hosted.exlibrisgroup.com/primo-explore/search?tab=default_tab&amp;search_scope=EVERYTHING&amp;vid=01CRU&amp;lang=en_US&amp;offset=0&amp;query=any,contains,991004207819702656","Catalog Record")</f>
        <v/>
      </c>
      <c r="AT960">
        <f>HYPERLINK("http://www.worldcat.org/oclc/53910880","WorldCat Record")</f>
        <v/>
      </c>
      <c r="AU960" t="inlineStr">
        <is>
          <t>12294871:eng</t>
        </is>
      </c>
      <c r="AV960" t="inlineStr">
        <is>
          <t>53910880</t>
        </is>
      </c>
      <c r="AW960" t="inlineStr">
        <is>
          <t>991004207819702656</t>
        </is>
      </c>
      <c r="AX960" t="inlineStr">
        <is>
          <t>991004207819702656</t>
        </is>
      </c>
      <c r="AY960" t="inlineStr">
        <is>
          <t>2271118600002656</t>
        </is>
      </c>
      <c r="AZ960" t="inlineStr">
        <is>
          <t>BOOK</t>
        </is>
      </c>
      <c r="BB960" t="inlineStr">
        <is>
          <t>9781574555493</t>
        </is>
      </c>
      <c r="BC960" t="inlineStr">
        <is>
          <t>32285004847363</t>
        </is>
      </c>
      <c r="BD960" t="inlineStr">
        <is>
          <t>893712279</t>
        </is>
      </c>
    </row>
    <row r="961">
      <c r="A961" t="inlineStr">
        <is>
          <t>No</t>
        </is>
      </c>
      <c r="B961" t="inlineStr">
        <is>
          <t>BX1968 .A53 1987</t>
        </is>
      </c>
      <c r="C961" t="inlineStr">
        <is>
          <t>0                      BX 1968000A  53          1987</t>
        </is>
      </c>
      <c r="D961" t="inlineStr">
        <is>
          <t>And the truth will make you free : documents of the Congregation for the Doctrine of the Faith : Instruction on respect for human life in its origin and the dignity of procreation : replies to certain questions of the day.</t>
        </is>
      </c>
      <c r="F961" t="inlineStr">
        <is>
          <t>No</t>
        </is>
      </c>
      <c r="G961" t="inlineStr">
        <is>
          <t>1</t>
        </is>
      </c>
      <c r="H961" t="inlineStr">
        <is>
          <t>No</t>
        </is>
      </c>
      <c r="I961" t="inlineStr">
        <is>
          <t>No</t>
        </is>
      </c>
      <c r="J961" t="inlineStr">
        <is>
          <t>0</t>
        </is>
      </c>
      <c r="L961" t="inlineStr">
        <is>
          <t>San Francisco : Ignatius Press, 1987.</t>
        </is>
      </c>
      <c r="M961" t="inlineStr">
        <is>
          <t>1987</t>
        </is>
      </c>
      <c r="O961" t="inlineStr">
        <is>
          <t>eng</t>
        </is>
      </c>
      <c r="P961" t="inlineStr">
        <is>
          <t>cau</t>
        </is>
      </c>
      <c r="R961" t="inlineStr">
        <is>
          <t xml:space="preserve">BX </t>
        </is>
      </c>
      <c r="S961" t="n">
        <v>1</v>
      </c>
      <c r="T961" t="n">
        <v>1</v>
      </c>
      <c r="U961" t="inlineStr">
        <is>
          <t>1998-12-06</t>
        </is>
      </c>
      <c r="V961" t="inlineStr">
        <is>
          <t>1998-12-06</t>
        </is>
      </c>
      <c r="W961" t="inlineStr">
        <is>
          <t>1992-06-09</t>
        </is>
      </c>
      <c r="X961" t="inlineStr">
        <is>
          <t>1992-06-09</t>
        </is>
      </c>
      <c r="Y961" t="n">
        <v>55</v>
      </c>
      <c r="Z961" t="n">
        <v>53</v>
      </c>
      <c r="AA961" t="n">
        <v>54</v>
      </c>
      <c r="AB961" t="n">
        <v>2</v>
      </c>
      <c r="AC961" t="n">
        <v>2</v>
      </c>
      <c r="AD961" t="n">
        <v>5</v>
      </c>
      <c r="AE961" t="n">
        <v>5</v>
      </c>
      <c r="AF961" t="n">
        <v>2</v>
      </c>
      <c r="AG961" t="n">
        <v>2</v>
      </c>
      <c r="AH961" t="n">
        <v>1</v>
      </c>
      <c r="AI961" t="n">
        <v>1</v>
      </c>
      <c r="AJ961" t="n">
        <v>3</v>
      </c>
      <c r="AK961" t="n">
        <v>3</v>
      </c>
      <c r="AL961" t="n">
        <v>0</v>
      </c>
      <c r="AM961" t="n">
        <v>0</v>
      </c>
      <c r="AN961" t="n">
        <v>0</v>
      </c>
      <c r="AO961" t="n">
        <v>0</v>
      </c>
      <c r="AP961" t="inlineStr">
        <is>
          <t>No</t>
        </is>
      </c>
      <c r="AQ961" t="inlineStr">
        <is>
          <t>No</t>
        </is>
      </c>
      <c r="AS961">
        <f>HYPERLINK("https://creighton-primo.hosted.exlibrisgroup.com/primo-explore/search?tab=default_tab&amp;search_scope=EVERYTHING&amp;vid=01CRU&amp;lang=en_US&amp;offset=0&amp;query=any,contains,991001113719702656","Catalog Record")</f>
        <v/>
      </c>
      <c r="AT961">
        <f>HYPERLINK("http://www.worldcat.org/oclc/16521236","WorldCat Record")</f>
        <v/>
      </c>
      <c r="AU961" t="inlineStr">
        <is>
          <t>2960482548:eng</t>
        </is>
      </c>
      <c r="AV961" t="inlineStr">
        <is>
          <t>16521236</t>
        </is>
      </c>
      <c r="AW961" t="inlineStr">
        <is>
          <t>991001113719702656</t>
        </is>
      </c>
      <c r="AX961" t="inlineStr">
        <is>
          <t>991001113719702656</t>
        </is>
      </c>
      <c r="AY961" t="inlineStr">
        <is>
          <t>2271458380002656</t>
        </is>
      </c>
      <c r="AZ961" t="inlineStr">
        <is>
          <t>BOOK</t>
        </is>
      </c>
      <c r="BC961" t="inlineStr">
        <is>
          <t>32285001074672</t>
        </is>
      </c>
      <c r="BD961" t="inlineStr">
        <is>
          <t>893872289</t>
        </is>
      </c>
    </row>
    <row r="962">
      <c r="A962" t="inlineStr">
        <is>
          <t>No</t>
        </is>
      </c>
      <c r="B962" t="inlineStr">
        <is>
          <t>BX1968 .C185 2005</t>
        </is>
      </c>
      <c r="C962" t="inlineStr">
        <is>
          <t>0                      BX 1968000C  185         2005</t>
        </is>
      </c>
      <c r="D962" t="inlineStr">
        <is>
          <t>Catechetical Scholars III. Perspectives on evangelization and catechesis / Diana Dudoit Raiche, general editor.</t>
        </is>
      </c>
      <c r="F962" t="inlineStr">
        <is>
          <t>No</t>
        </is>
      </c>
      <c r="G962" t="inlineStr">
        <is>
          <t>1</t>
        </is>
      </c>
      <c r="H962" t="inlineStr">
        <is>
          <t>No</t>
        </is>
      </c>
      <c r="I962" t="inlineStr">
        <is>
          <t>No</t>
        </is>
      </c>
      <c r="J962" t="inlineStr">
        <is>
          <t>0</t>
        </is>
      </c>
      <c r="L962" t="inlineStr">
        <is>
          <t>Washington, DC : National Catholic Educational Association, c2005.</t>
        </is>
      </c>
      <c r="M962" t="inlineStr">
        <is>
          <t>2005</t>
        </is>
      </c>
      <c r="O962" t="inlineStr">
        <is>
          <t>eng</t>
        </is>
      </c>
      <c r="P962" t="inlineStr">
        <is>
          <t>dcu</t>
        </is>
      </c>
      <c r="R962" t="inlineStr">
        <is>
          <t xml:space="preserve">BX </t>
        </is>
      </c>
      <c r="S962" t="n">
        <v>1</v>
      </c>
      <c r="T962" t="n">
        <v>1</v>
      </c>
      <c r="U962" t="inlineStr">
        <is>
          <t>2005-12-13</t>
        </is>
      </c>
      <c r="V962" t="inlineStr">
        <is>
          <t>2005-12-13</t>
        </is>
      </c>
      <c r="W962" t="inlineStr">
        <is>
          <t>2005-12-13</t>
        </is>
      </c>
      <c r="X962" t="inlineStr">
        <is>
          <t>2005-12-13</t>
        </is>
      </c>
      <c r="Y962" t="n">
        <v>36</v>
      </c>
      <c r="Z962" t="n">
        <v>31</v>
      </c>
      <c r="AA962" t="n">
        <v>31</v>
      </c>
      <c r="AB962" t="n">
        <v>1</v>
      </c>
      <c r="AC962" t="n">
        <v>1</v>
      </c>
      <c r="AD962" t="n">
        <v>5</v>
      </c>
      <c r="AE962" t="n">
        <v>5</v>
      </c>
      <c r="AF962" t="n">
        <v>2</v>
      </c>
      <c r="AG962" t="n">
        <v>2</v>
      </c>
      <c r="AH962" t="n">
        <v>1</v>
      </c>
      <c r="AI962" t="n">
        <v>1</v>
      </c>
      <c r="AJ962" t="n">
        <v>3</v>
      </c>
      <c r="AK962" t="n">
        <v>3</v>
      </c>
      <c r="AL962" t="n">
        <v>0</v>
      </c>
      <c r="AM962" t="n">
        <v>0</v>
      </c>
      <c r="AN962" t="n">
        <v>0</v>
      </c>
      <c r="AO962" t="n">
        <v>0</v>
      </c>
      <c r="AP962" t="inlineStr">
        <is>
          <t>No</t>
        </is>
      </c>
      <c r="AQ962" t="inlineStr">
        <is>
          <t>No</t>
        </is>
      </c>
      <c r="AS962">
        <f>HYPERLINK("https://creighton-primo.hosted.exlibrisgroup.com/primo-explore/search?tab=default_tab&amp;search_scope=EVERYTHING&amp;vid=01CRU&amp;lang=en_US&amp;offset=0&amp;query=any,contains,991004685329702656","Catalog Record")</f>
        <v/>
      </c>
      <c r="AT962">
        <f>HYPERLINK("http://www.worldcat.org/oclc/62480054","WorldCat Record")</f>
        <v/>
      </c>
      <c r="AU962" t="inlineStr">
        <is>
          <t>46846303:eng</t>
        </is>
      </c>
      <c r="AV962" t="inlineStr">
        <is>
          <t>62480054</t>
        </is>
      </c>
      <c r="AW962" t="inlineStr">
        <is>
          <t>991004685329702656</t>
        </is>
      </c>
      <c r="AX962" t="inlineStr">
        <is>
          <t>991004685329702656</t>
        </is>
      </c>
      <c r="AY962" t="inlineStr">
        <is>
          <t>2270294200002656</t>
        </is>
      </c>
      <c r="AZ962" t="inlineStr">
        <is>
          <t>BOOK</t>
        </is>
      </c>
      <c r="BB962" t="inlineStr">
        <is>
          <t>9781558333499</t>
        </is>
      </c>
      <c r="BC962" t="inlineStr">
        <is>
          <t>32285005142988</t>
        </is>
      </c>
      <c r="BD962" t="inlineStr">
        <is>
          <t>893782533</t>
        </is>
      </c>
    </row>
    <row r="963">
      <c r="A963" t="inlineStr">
        <is>
          <t>No</t>
        </is>
      </c>
      <c r="B963" t="inlineStr">
        <is>
          <t>BX1968 .C28 1994</t>
        </is>
      </c>
      <c r="C963" t="inlineStr">
        <is>
          <t>0                      BX 1968000C  28          1994</t>
        </is>
      </c>
      <c r="D963" t="inlineStr">
        <is>
          <t>Catechetical Sunday, September 18, 1994 : seek God's wisdom : Wisdom 2:12, 17-20, James 3:16-4:3, Mark 9:30-37 / [prepared by Katharine Bird in consultation with the USCC Department of Education].</t>
        </is>
      </c>
      <c r="F963" t="inlineStr">
        <is>
          <t>No</t>
        </is>
      </c>
      <c r="G963" t="inlineStr">
        <is>
          <t>1</t>
        </is>
      </c>
      <c r="H963" t="inlineStr">
        <is>
          <t>No</t>
        </is>
      </c>
      <c r="I963" t="inlineStr">
        <is>
          <t>No</t>
        </is>
      </c>
      <c r="J963" t="inlineStr">
        <is>
          <t>0</t>
        </is>
      </c>
      <c r="L963" t="inlineStr">
        <is>
          <t>Washington, D.C. : United States Catholic Conference, Department of Education, c1994.</t>
        </is>
      </c>
      <c r="M963" t="inlineStr">
        <is>
          <t>1994</t>
        </is>
      </c>
      <c r="O963" t="inlineStr">
        <is>
          <t>eng</t>
        </is>
      </c>
      <c r="P963" t="inlineStr">
        <is>
          <t>dcu</t>
        </is>
      </c>
      <c r="Q963" t="inlineStr">
        <is>
          <t>Publication / Office for Publishing and Promotion Services, United States Catholic Conference ; no. 714-6</t>
        </is>
      </c>
      <c r="R963" t="inlineStr">
        <is>
          <t xml:space="preserve">BX </t>
        </is>
      </c>
      <c r="S963" t="n">
        <v>5</v>
      </c>
      <c r="T963" t="n">
        <v>5</v>
      </c>
      <c r="U963" t="inlineStr">
        <is>
          <t>1995-07-13</t>
        </is>
      </c>
      <c r="V963" t="inlineStr">
        <is>
          <t>1995-07-13</t>
        </is>
      </c>
      <c r="W963" t="inlineStr">
        <is>
          <t>1994-06-02</t>
        </is>
      </c>
      <c r="X963" t="inlineStr">
        <is>
          <t>1994-06-02</t>
        </is>
      </c>
      <c r="Y963" t="n">
        <v>37</v>
      </c>
      <c r="Z963" t="n">
        <v>35</v>
      </c>
      <c r="AA963" t="n">
        <v>35</v>
      </c>
      <c r="AB963" t="n">
        <v>1</v>
      </c>
      <c r="AC963" t="n">
        <v>1</v>
      </c>
      <c r="AD963" t="n">
        <v>6</v>
      </c>
      <c r="AE963" t="n">
        <v>6</v>
      </c>
      <c r="AF963" t="n">
        <v>1</v>
      </c>
      <c r="AG963" t="n">
        <v>1</v>
      </c>
      <c r="AH963" t="n">
        <v>2</v>
      </c>
      <c r="AI963" t="n">
        <v>2</v>
      </c>
      <c r="AJ963" t="n">
        <v>5</v>
      </c>
      <c r="AK963" t="n">
        <v>5</v>
      </c>
      <c r="AL963" t="n">
        <v>0</v>
      </c>
      <c r="AM963" t="n">
        <v>0</v>
      </c>
      <c r="AN963" t="n">
        <v>0</v>
      </c>
      <c r="AO963" t="n">
        <v>0</v>
      </c>
      <c r="AP963" t="inlineStr">
        <is>
          <t>No</t>
        </is>
      </c>
      <c r="AQ963" t="inlineStr">
        <is>
          <t>No</t>
        </is>
      </c>
      <c r="AS963">
        <f>HYPERLINK("https://creighton-primo.hosted.exlibrisgroup.com/primo-explore/search?tab=default_tab&amp;search_scope=EVERYTHING&amp;vid=01CRU&amp;lang=en_US&amp;offset=0&amp;query=any,contains,991002337379702656","Catalog Record")</f>
        <v/>
      </c>
      <c r="AT963">
        <f>HYPERLINK("http://www.worldcat.org/oclc/30426738","WorldCat Record")</f>
        <v/>
      </c>
      <c r="AU963" t="inlineStr">
        <is>
          <t>32432493:eng</t>
        </is>
      </c>
      <c r="AV963" t="inlineStr">
        <is>
          <t>30426738</t>
        </is>
      </c>
      <c r="AW963" t="inlineStr">
        <is>
          <t>991002337379702656</t>
        </is>
      </c>
      <c r="AX963" t="inlineStr">
        <is>
          <t>991002337379702656</t>
        </is>
      </c>
      <c r="AY963" t="inlineStr">
        <is>
          <t>2268855580002656</t>
        </is>
      </c>
      <c r="AZ963" t="inlineStr">
        <is>
          <t>BOOK</t>
        </is>
      </c>
      <c r="BB963" t="inlineStr">
        <is>
          <t>9781555867140</t>
        </is>
      </c>
      <c r="BC963" t="inlineStr">
        <is>
          <t>32285001915577</t>
        </is>
      </c>
      <c r="BD963" t="inlineStr">
        <is>
          <t>893251097</t>
        </is>
      </c>
    </row>
    <row r="964">
      <c r="A964" t="inlineStr">
        <is>
          <t>No</t>
        </is>
      </c>
      <c r="B964" t="inlineStr">
        <is>
          <t>BX1968 .C32 1988</t>
        </is>
      </c>
      <c r="C964" t="inlineStr">
        <is>
          <t>0                      BX 1968000C  32          1988</t>
        </is>
      </c>
      <c r="D964" t="inlineStr">
        <is>
          <t>A Catechumen's lectionary / edited by Robert M. Hamma.</t>
        </is>
      </c>
      <c r="F964" t="inlineStr">
        <is>
          <t>No</t>
        </is>
      </c>
      <c r="G964" t="inlineStr">
        <is>
          <t>1</t>
        </is>
      </c>
      <c r="H964" t="inlineStr">
        <is>
          <t>No</t>
        </is>
      </c>
      <c r="I964" t="inlineStr">
        <is>
          <t>No</t>
        </is>
      </c>
      <c r="J964" t="inlineStr">
        <is>
          <t>0</t>
        </is>
      </c>
      <c r="L964" t="inlineStr">
        <is>
          <t>New York : Paulist Press, c1988.</t>
        </is>
      </c>
      <c r="M964" t="inlineStr">
        <is>
          <t>1988</t>
        </is>
      </c>
      <c r="O964" t="inlineStr">
        <is>
          <t>eng</t>
        </is>
      </c>
      <c r="P964" t="inlineStr">
        <is>
          <t>nyu</t>
        </is>
      </c>
      <c r="R964" t="inlineStr">
        <is>
          <t xml:space="preserve">BX </t>
        </is>
      </c>
      <c r="S964" t="n">
        <v>1</v>
      </c>
      <c r="T964" t="n">
        <v>1</v>
      </c>
      <c r="U964" t="inlineStr">
        <is>
          <t>2005-04-13</t>
        </is>
      </c>
      <c r="V964" t="inlineStr">
        <is>
          <t>2005-04-13</t>
        </is>
      </c>
      <c r="W964" t="inlineStr">
        <is>
          <t>2005-04-13</t>
        </is>
      </c>
      <c r="X964" t="inlineStr">
        <is>
          <t>2005-04-13</t>
        </is>
      </c>
      <c r="Y964" t="n">
        <v>77</v>
      </c>
      <c r="Z964" t="n">
        <v>67</v>
      </c>
      <c r="AA964" t="n">
        <v>72</v>
      </c>
      <c r="AB964" t="n">
        <v>1</v>
      </c>
      <c r="AC964" t="n">
        <v>1</v>
      </c>
      <c r="AD964" t="n">
        <v>11</v>
      </c>
      <c r="AE964" t="n">
        <v>11</v>
      </c>
      <c r="AF964" t="n">
        <v>3</v>
      </c>
      <c r="AG964" t="n">
        <v>3</v>
      </c>
      <c r="AH964" t="n">
        <v>3</v>
      </c>
      <c r="AI964" t="n">
        <v>3</v>
      </c>
      <c r="AJ964" t="n">
        <v>8</v>
      </c>
      <c r="AK964" t="n">
        <v>8</v>
      </c>
      <c r="AL964" t="n">
        <v>0</v>
      </c>
      <c r="AM964" t="n">
        <v>0</v>
      </c>
      <c r="AN964" t="n">
        <v>0</v>
      </c>
      <c r="AO964" t="n">
        <v>0</v>
      </c>
      <c r="AP964" t="inlineStr">
        <is>
          <t>No</t>
        </is>
      </c>
      <c r="AQ964" t="inlineStr">
        <is>
          <t>No</t>
        </is>
      </c>
      <c r="AS964">
        <f>HYPERLINK("https://creighton-primo.hosted.exlibrisgroup.com/primo-explore/search?tab=default_tab&amp;search_scope=EVERYTHING&amp;vid=01CRU&amp;lang=en_US&amp;offset=0&amp;query=any,contains,991004528619702656","Catalog Record")</f>
        <v/>
      </c>
      <c r="AT964">
        <f>HYPERLINK("http://www.worldcat.org/oclc/18381649","WorldCat Record")</f>
        <v/>
      </c>
      <c r="AU964" t="inlineStr">
        <is>
          <t>2755394:eng</t>
        </is>
      </c>
      <c r="AV964" t="inlineStr">
        <is>
          <t>18381649</t>
        </is>
      </c>
      <c r="AW964" t="inlineStr">
        <is>
          <t>991004528619702656</t>
        </is>
      </c>
      <c r="AX964" t="inlineStr">
        <is>
          <t>991004528619702656</t>
        </is>
      </c>
      <c r="AY964" t="inlineStr">
        <is>
          <t>2258559430002656</t>
        </is>
      </c>
      <c r="AZ964" t="inlineStr">
        <is>
          <t>BOOK</t>
        </is>
      </c>
      <c r="BB964" t="inlineStr">
        <is>
          <t>9780809129980</t>
        </is>
      </c>
      <c r="BC964" t="inlineStr">
        <is>
          <t>32285005030639</t>
        </is>
      </c>
      <c r="BD964" t="inlineStr">
        <is>
          <t>893801055</t>
        </is>
      </c>
    </row>
    <row r="965">
      <c r="A965" t="inlineStr">
        <is>
          <t>No</t>
        </is>
      </c>
      <c r="B965" t="inlineStr">
        <is>
          <t>BX1968 .C35 1983</t>
        </is>
      </c>
      <c r="C965" t="inlineStr">
        <is>
          <t>0                      BX 1968000C  35          1983</t>
        </is>
      </c>
      <c r="D965" t="inlineStr">
        <is>
          <t>Called to be enterprising stewards : Catechetical Sunday, September 18, 1983 : Luke 16:1-8 / [prepared by Mariella Frye].</t>
        </is>
      </c>
      <c r="F965" t="inlineStr">
        <is>
          <t>No</t>
        </is>
      </c>
      <c r="G965" t="inlineStr">
        <is>
          <t>1</t>
        </is>
      </c>
      <c r="H965" t="inlineStr">
        <is>
          <t>No</t>
        </is>
      </c>
      <c r="I965" t="inlineStr">
        <is>
          <t>No</t>
        </is>
      </c>
      <c r="J965" t="inlineStr">
        <is>
          <t>0</t>
        </is>
      </c>
      <c r="L965" t="inlineStr">
        <is>
          <t>Washington, D.C. : Office of Publishing Services, United States Catholic Conference, c1983.</t>
        </is>
      </c>
      <c r="M965" t="inlineStr">
        <is>
          <t>1983</t>
        </is>
      </c>
      <c r="O965" t="inlineStr">
        <is>
          <t>eng</t>
        </is>
      </c>
      <c r="P965" t="inlineStr">
        <is>
          <t>dcu</t>
        </is>
      </c>
      <c r="R965" t="inlineStr">
        <is>
          <t xml:space="preserve">BX </t>
        </is>
      </c>
      <c r="S965" t="n">
        <v>3</v>
      </c>
      <c r="T965" t="n">
        <v>3</v>
      </c>
      <c r="U965" t="inlineStr">
        <is>
          <t>1995-07-17</t>
        </is>
      </c>
      <c r="V965" t="inlineStr">
        <is>
          <t>1995-07-17</t>
        </is>
      </c>
      <c r="W965" t="inlineStr">
        <is>
          <t>1995-07-14</t>
        </is>
      </c>
      <c r="X965" t="inlineStr">
        <is>
          <t>1995-07-14</t>
        </is>
      </c>
      <c r="Y965" t="n">
        <v>41</v>
      </c>
      <c r="Z965" t="n">
        <v>40</v>
      </c>
      <c r="AA965" t="n">
        <v>41</v>
      </c>
      <c r="AB965" t="n">
        <v>1</v>
      </c>
      <c r="AC965" t="n">
        <v>1</v>
      </c>
      <c r="AD965" t="n">
        <v>6</v>
      </c>
      <c r="AE965" t="n">
        <v>6</v>
      </c>
      <c r="AF965" t="n">
        <v>2</v>
      </c>
      <c r="AG965" t="n">
        <v>2</v>
      </c>
      <c r="AH965" t="n">
        <v>2</v>
      </c>
      <c r="AI965" t="n">
        <v>2</v>
      </c>
      <c r="AJ965" t="n">
        <v>5</v>
      </c>
      <c r="AK965" t="n">
        <v>5</v>
      </c>
      <c r="AL965" t="n">
        <v>0</v>
      </c>
      <c r="AM965" t="n">
        <v>0</v>
      </c>
      <c r="AN965" t="n">
        <v>0</v>
      </c>
      <c r="AO965" t="n">
        <v>0</v>
      </c>
      <c r="AP965" t="inlineStr">
        <is>
          <t>No</t>
        </is>
      </c>
      <c r="AQ965" t="inlineStr">
        <is>
          <t>No</t>
        </is>
      </c>
      <c r="AS965">
        <f>HYPERLINK("https://creighton-primo.hosted.exlibrisgroup.com/primo-explore/search?tab=default_tab&amp;search_scope=EVERYTHING&amp;vid=01CRU&amp;lang=en_US&amp;offset=0&amp;query=any,contains,991000238259702656","Catalog Record")</f>
        <v/>
      </c>
      <c r="AT965">
        <f>HYPERLINK("http://www.worldcat.org/oclc/9680393","WorldCat Record")</f>
        <v/>
      </c>
      <c r="AU965" t="inlineStr">
        <is>
          <t>787119239:eng</t>
        </is>
      </c>
      <c r="AV965" t="inlineStr">
        <is>
          <t>9680393</t>
        </is>
      </c>
      <c r="AW965" t="inlineStr">
        <is>
          <t>991000238259702656</t>
        </is>
      </c>
      <c r="AX965" t="inlineStr">
        <is>
          <t>991000238259702656</t>
        </is>
      </c>
      <c r="AY965" t="inlineStr">
        <is>
          <t>2258320960002656</t>
        </is>
      </c>
      <c r="AZ965" t="inlineStr">
        <is>
          <t>BOOK</t>
        </is>
      </c>
      <c r="BC965" t="inlineStr">
        <is>
          <t>32285000668144</t>
        </is>
      </c>
      <c r="BD965" t="inlineStr">
        <is>
          <t>893784084</t>
        </is>
      </c>
    </row>
    <row r="966">
      <c r="A966" t="inlineStr">
        <is>
          <t>No</t>
        </is>
      </c>
      <c r="B966" t="inlineStr">
        <is>
          <t>BX1968 .C37 1988</t>
        </is>
      </c>
      <c r="C966" t="inlineStr">
        <is>
          <t>0                      BX 1968000C  37          1988</t>
        </is>
      </c>
      <c r="D966" t="inlineStr">
        <is>
          <t>Catechesis : sow justice, reap peace / Department of Education, United States Catholic Conference.</t>
        </is>
      </c>
      <c r="F966" t="inlineStr">
        <is>
          <t>No</t>
        </is>
      </c>
      <c r="G966" t="inlineStr">
        <is>
          <t>1</t>
        </is>
      </c>
      <c r="H966" t="inlineStr">
        <is>
          <t>No</t>
        </is>
      </c>
      <c r="I966" t="inlineStr">
        <is>
          <t>No</t>
        </is>
      </c>
      <c r="J966" t="inlineStr">
        <is>
          <t>0</t>
        </is>
      </c>
      <c r="L966" t="inlineStr">
        <is>
          <t>Washington, D.C. : USCC, c1988</t>
        </is>
      </c>
      <c r="M966" t="inlineStr">
        <is>
          <t>1988</t>
        </is>
      </c>
      <c r="O966" t="inlineStr">
        <is>
          <t>eng</t>
        </is>
      </c>
      <c r="P966" t="inlineStr">
        <is>
          <t>dcu</t>
        </is>
      </c>
      <c r="R966" t="inlineStr">
        <is>
          <t xml:space="preserve">BX </t>
        </is>
      </c>
      <c r="S966" t="n">
        <v>3</v>
      </c>
      <c r="T966" t="n">
        <v>3</v>
      </c>
      <c r="U966" t="inlineStr">
        <is>
          <t>1995-07-13</t>
        </is>
      </c>
      <c r="V966" t="inlineStr">
        <is>
          <t>1995-07-13</t>
        </is>
      </c>
      <c r="W966" t="inlineStr">
        <is>
          <t>1991-07-03</t>
        </is>
      </c>
      <c r="X966" t="inlineStr">
        <is>
          <t>1991-07-03</t>
        </is>
      </c>
      <c r="Y966" t="n">
        <v>36</v>
      </c>
      <c r="Z966" t="n">
        <v>36</v>
      </c>
      <c r="AA966" t="n">
        <v>36</v>
      </c>
      <c r="AB966" t="n">
        <v>1</v>
      </c>
      <c r="AC966" t="n">
        <v>1</v>
      </c>
      <c r="AD966" t="n">
        <v>9</v>
      </c>
      <c r="AE966" t="n">
        <v>9</v>
      </c>
      <c r="AF966" t="n">
        <v>2</v>
      </c>
      <c r="AG966" t="n">
        <v>2</v>
      </c>
      <c r="AH966" t="n">
        <v>4</v>
      </c>
      <c r="AI966" t="n">
        <v>4</v>
      </c>
      <c r="AJ966" t="n">
        <v>6</v>
      </c>
      <c r="AK966" t="n">
        <v>6</v>
      </c>
      <c r="AL966" t="n">
        <v>0</v>
      </c>
      <c r="AM966" t="n">
        <v>0</v>
      </c>
      <c r="AN966" t="n">
        <v>0</v>
      </c>
      <c r="AO966" t="n">
        <v>0</v>
      </c>
      <c r="AP966" t="inlineStr">
        <is>
          <t>No</t>
        </is>
      </c>
      <c r="AQ966" t="inlineStr">
        <is>
          <t>No</t>
        </is>
      </c>
      <c r="AS966">
        <f>HYPERLINK("https://creighton-primo.hosted.exlibrisgroup.com/primo-explore/search?tab=default_tab&amp;search_scope=EVERYTHING&amp;vid=01CRU&amp;lang=en_US&amp;offset=0&amp;query=any,contains,991001303779702656","Catalog Record")</f>
        <v/>
      </c>
      <c r="AT966">
        <f>HYPERLINK("http://www.worldcat.org/oclc/18078839","WorldCat Record")</f>
        <v/>
      </c>
      <c r="AU966" t="inlineStr">
        <is>
          <t>3855960185:eng</t>
        </is>
      </c>
      <c r="AV966" t="inlineStr">
        <is>
          <t>18078839</t>
        </is>
      </c>
      <c r="AW966" t="inlineStr">
        <is>
          <t>991001303779702656</t>
        </is>
      </c>
      <c r="AX966" t="inlineStr">
        <is>
          <t>991001303779702656</t>
        </is>
      </c>
      <c r="AY966" t="inlineStr">
        <is>
          <t>2266264500002656</t>
        </is>
      </c>
      <c r="AZ966" t="inlineStr">
        <is>
          <t>BOOK</t>
        </is>
      </c>
      <c r="BB966" t="inlineStr">
        <is>
          <t>9781555861902</t>
        </is>
      </c>
      <c r="BC966" t="inlineStr">
        <is>
          <t>32285000668151</t>
        </is>
      </c>
      <c r="BD966" t="inlineStr">
        <is>
          <t>893608757</t>
        </is>
      </c>
    </row>
    <row r="967">
      <c r="A967" t="inlineStr">
        <is>
          <t>No</t>
        </is>
      </c>
      <c r="B967" t="inlineStr">
        <is>
          <t>BX1968 .C374 1989</t>
        </is>
      </c>
      <c r="C967" t="inlineStr">
        <is>
          <t>0                      BX 1968000C  374         1989</t>
        </is>
      </c>
      <c r="D967" t="inlineStr">
        <is>
          <t>Catechesis : know and share the God of mercy : Exodus 32 :7-11, 13-14 / 1 Timothy 1:12-17 / Luke 15: 1-32 / [prepared by Mary Elizabeth Hogan].</t>
        </is>
      </c>
      <c r="F967" t="inlineStr">
        <is>
          <t>No</t>
        </is>
      </c>
      <c r="G967" t="inlineStr">
        <is>
          <t>1</t>
        </is>
      </c>
      <c r="H967" t="inlineStr">
        <is>
          <t>No</t>
        </is>
      </c>
      <c r="I967" t="inlineStr">
        <is>
          <t>No</t>
        </is>
      </c>
      <c r="J967" t="inlineStr">
        <is>
          <t>0</t>
        </is>
      </c>
      <c r="L967" t="inlineStr">
        <is>
          <t>Washington, D.C. : United States Catholic Conference, c1989.</t>
        </is>
      </c>
      <c r="M967" t="inlineStr">
        <is>
          <t>1989</t>
        </is>
      </c>
      <c r="O967" t="inlineStr">
        <is>
          <t>eng</t>
        </is>
      </c>
      <c r="P967" t="inlineStr">
        <is>
          <t>dcu</t>
        </is>
      </c>
      <c r="R967" t="inlineStr">
        <is>
          <t xml:space="preserve">BX </t>
        </is>
      </c>
      <c r="S967" t="n">
        <v>3</v>
      </c>
      <c r="T967" t="n">
        <v>3</v>
      </c>
      <c r="U967" t="inlineStr">
        <is>
          <t>1995-07-13</t>
        </is>
      </c>
      <c r="V967" t="inlineStr">
        <is>
          <t>1995-07-13</t>
        </is>
      </c>
      <c r="W967" t="inlineStr">
        <is>
          <t>1991-07-03</t>
        </is>
      </c>
      <c r="X967" t="inlineStr">
        <is>
          <t>1991-07-03</t>
        </is>
      </c>
      <c r="Y967" t="n">
        <v>39</v>
      </c>
      <c r="Z967" t="n">
        <v>36</v>
      </c>
      <c r="AA967" t="n">
        <v>36</v>
      </c>
      <c r="AB967" t="n">
        <v>1</v>
      </c>
      <c r="AC967" t="n">
        <v>1</v>
      </c>
      <c r="AD967" t="n">
        <v>7</v>
      </c>
      <c r="AE967" t="n">
        <v>7</v>
      </c>
      <c r="AF967" t="n">
        <v>2</v>
      </c>
      <c r="AG967" t="n">
        <v>2</v>
      </c>
      <c r="AH967" t="n">
        <v>2</v>
      </c>
      <c r="AI967" t="n">
        <v>2</v>
      </c>
      <c r="AJ967" t="n">
        <v>7</v>
      </c>
      <c r="AK967" t="n">
        <v>7</v>
      </c>
      <c r="AL967" t="n">
        <v>0</v>
      </c>
      <c r="AM967" t="n">
        <v>0</v>
      </c>
      <c r="AN967" t="n">
        <v>0</v>
      </c>
      <c r="AO967" t="n">
        <v>0</v>
      </c>
      <c r="AP967" t="inlineStr">
        <is>
          <t>No</t>
        </is>
      </c>
      <c r="AQ967" t="inlineStr">
        <is>
          <t>No</t>
        </is>
      </c>
      <c r="AS967">
        <f>HYPERLINK("https://creighton-primo.hosted.exlibrisgroup.com/primo-explore/search?tab=default_tab&amp;search_scope=EVERYTHING&amp;vid=01CRU&amp;lang=en_US&amp;offset=0&amp;query=any,contains,991001489499702656","Catalog Record")</f>
        <v/>
      </c>
      <c r="AT967">
        <f>HYPERLINK("http://www.worldcat.org/oclc/19708599","WorldCat Record")</f>
        <v/>
      </c>
      <c r="AU967" t="inlineStr">
        <is>
          <t>5609722052:eng</t>
        </is>
      </c>
      <c r="AV967" t="inlineStr">
        <is>
          <t>19708599</t>
        </is>
      </c>
      <c r="AW967" t="inlineStr">
        <is>
          <t>991001489499702656</t>
        </is>
      </c>
      <c r="AX967" t="inlineStr">
        <is>
          <t>991001489499702656</t>
        </is>
      </c>
      <c r="AY967" t="inlineStr">
        <is>
          <t>2265339890002656</t>
        </is>
      </c>
      <c r="AZ967" t="inlineStr">
        <is>
          <t>BOOK</t>
        </is>
      </c>
      <c r="BB967" t="inlineStr">
        <is>
          <t>9781555862411</t>
        </is>
      </c>
      <c r="BC967" t="inlineStr">
        <is>
          <t>32285000668169</t>
        </is>
      </c>
      <c r="BD967" t="inlineStr">
        <is>
          <t>893897820</t>
        </is>
      </c>
    </row>
    <row r="968">
      <c r="A968" t="inlineStr">
        <is>
          <t>No</t>
        </is>
      </c>
      <c r="B968" t="inlineStr">
        <is>
          <t>BX1968 .C375 1990</t>
        </is>
      </c>
      <c r="C968" t="inlineStr">
        <is>
          <t>0                      BX 1968000C  375         1990</t>
        </is>
      </c>
      <c r="D968" t="inlineStr">
        <is>
          <t>Report of the Catholic Theological Society of America Committee on the Profession of faith and the Oath of fidelity : April 15, 1990.</t>
        </is>
      </c>
      <c r="F968" t="inlineStr">
        <is>
          <t>No</t>
        </is>
      </c>
      <c r="G968" t="inlineStr">
        <is>
          <t>1</t>
        </is>
      </c>
      <c r="H968" t="inlineStr">
        <is>
          <t>No</t>
        </is>
      </c>
      <c r="I968" t="inlineStr">
        <is>
          <t>No</t>
        </is>
      </c>
      <c r="J968" t="inlineStr">
        <is>
          <t>0</t>
        </is>
      </c>
      <c r="K968" t="inlineStr">
        <is>
          <t>Catholic Theological Society of America. Committee on the Profession of Faith and the Oath of Fidelity.</t>
        </is>
      </c>
      <c r="L968" t="inlineStr">
        <is>
          <t>[Chicago, Ill.] : Catholic Theological Society of America, c1990.</t>
        </is>
      </c>
      <c r="M968" t="inlineStr">
        <is>
          <t>1990</t>
        </is>
      </c>
      <c r="O968" t="inlineStr">
        <is>
          <t>eng</t>
        </is>
      </c>
      <c r="P968" t="inlineStr">
        <is>
          <t>ilu</t>
        </is>
      </c>
      <c r="R968" t="inlineStr">
        <is>
          <t xml:space="preserve">BX </t>
        </is>
      </c>
      <c r="S968" t="n">
        <v>3</v>
      </c>
      <c r="T968" t="n">
        <v>3</v>
      </c>
      <c r="U968" t="inlineStr">
        <is>
          <t>2004-10-09</t>
        </is>
      </c>
      <c r="V968" t="inlineStr">
        <is>
          <t>2004-10-09</t>
        </is>
      </c>
      <c r="W968" t="inlineStr">
        <is>
          <t>1991-12-17</t>
        </is>
      </c>
      <c r="X968" t="inlineStr">
        <is>
          <t>1991-12-17</t>
        </is>
      </c>
      <c r="Y968" t="n">
        <v>53</v>
      </c>
      <c r="Z968" t="n">
        <v>47</v>
      </c>
      <c r="AA968" t="n">
        <v>47</v>
      </c>
      <c r="AB968" t="n">
        <v>2</v>
      </c>
      <c r="AC968" t="n">
        <v>2</v>
      </c>
      <c r="AD968" t="n">
        <v>8</v>
      </c>
      <c r="AE968" t="n">
        <v>8</v>
      </c>
      <c r="AF968" t="n">
        <v>0</v>
      </c>
      <c r="AG968" t="n">
        <v>0</v>
      </c>
      <c r="AH968" t="n">
        <v>3</v>
      </c>
      <c r="AI968" t="n">
        <v>3</v>
      </c>
      <c r="AJ968" t="n">
        <v>4</v>
      </c>
      <c r="AK968" t="n">
        <v>4</v>
      </c>
      <c r="AL968" t="n">
        <v>1</v>
      </c>
      <c r="AM968" t="n">
        <v>1</v>
      </c>
      <c r="AN968" t="n">
        <v>0</v>
      </c>
      <c r="AO968" t="n">
        <v>0</v>
      </c>
      <c r="AP968" t="inlineStr">
        <is>
          <t>No</t>
        </is>
      </c>
      <c r="AQ968" t="inlineStr">
        <is>
          <t>No</t>
        </is>
      </c>
      <c r="AS968">
        <f>HYPERLINK("https://creighton-primo.hosted.exlibrisgroup.com/primo-explore/search?tab=default_tab&amp;search_scope=EVERYTHING&amp;vid=01CRU&amp;lang=en_US&amp;offset=0&amp;query=any,contains,991001748509702656","Catalog Record")</f>
        <v/>
      </c>
      <c r="AT968">
        <f>HYPERLINK("http://www.worldcat.org/oclc/22142921","WorldCat Record")</f>
        <v/>
      </c>
      <c r="AU968" t="inlineStr">
        <is>
          <t>23878024:eng</t>
        </is>
      </c>
      <c r="AV968" t="inlineStr">
        <is>
          <t>22142921</t>
        </is>
      </c>
      <c r="AW968" t="inlineStr">
        <is>
          <t>991001748509702656</t>
        </is>
      </c>
      <c r="AX968" t="inlineStr">
        <is>
          <t>991001748509702656</t>
        </is>
      </c>
      <c r="AY968" t="inlineStr">
        <is>
          <t>2272238060002656</t>
        </is>
      </c>
      <c r="AZ968" t="inlineStr">
        <is>
          <t>BOOK</t>
        </is>
      </c>
      <c r="BC968" t="inlineStr">
        <is>
          <t>32285000859552</t>
        </is>
      </c>
      <c r="BD968" t="inlineStr">
        <is>
          <t>893433085</t>
        </is>
      </c>
    </row>
    <row r="969">
      <c r="A969" t="inlineStr">
        <is>
          <t>No</t>
        </is>
      </c>
      <c r="B969" t="inlineStr">
        <is>
          <t>BX1968 .C3813 1980b</t>
        </is>
      </c>
      <c r="C969" t="inlineStr">
        <is>
          <t>0                      BX 1968000C  3813        1980b</t>
        </is>
      </c>
      <c r="D969" t="inlineStr">
        <is>
          <t>John Paul II, catechist : the text with commentary and discussion questions of Catechesi tradendae, the Pope's new charter for religious education today : presented and endorsed by a number of catechetical institutes in the United States.</t>
        </is>
      </c>
      <c r="F969" t="inlineStr">
        <is>
          <t>No</t>
        </is>
      </c>
      <c r="G969" t="inlineStr">
        <is>
          <t>1</t>
        </is>
      </c>
      <c r="H969" t="inlineStr">
        <is>
          <t>No</t>
        </is>
      </c>
      <c r="I969" t="inlineStr">
        <is>
          <t>No</t>
        </is>
      </c>
      <c r="J969" t="inlineStr">
        <is>
          <t>0</t>
        </is>
      </c>
      <c r="K969" t="inlineStr">
        <is>
          <t>Catholic Church. Pope (1978-2005 : John Paul II).</t>
        </is>
      </c>
      <c r="L969" t="inlineStr">
        <is>
          <t>Chicago, Ill. : Franciscan Herald Press, 1980.</t>
        </is>
      </c>
      <c r="M969" t="inlineStr">
        <is>
          <t>1980</t>
        </is>
      </c>
      <c r="O969" t="inlineStr">
        <is>
          <t>eng</t>
        </is>
      </c>
      <c r="P969" t="inlineStr">
        <is>
          <t>ilu</t>
        </is>
      </c>
      <c r="R969" t="inlineStr">
        <is>
          <t xml:space="preserve">BX </t>
        </is>
      </c>
      <c r="S969" t="n">
        <v>7</v>
      </c>
      <c r="T969" t="n">
        <v>7</v>
      </c>
      <c r="U969" t="inlineStr">
        <is>
          <t>1995-07-13</t>
        </is>
      </c>
      <c r="V969" t="inlineStr">
        <is>
          <t>1995-07-13</t>
        </is>
      </c>
      <c r="W969" t="inlineStr">
        <is>
          <t>1991-07-03</t>
        </is>
      </c>
      <c r="X969" t="inlineStr">
        <is>
          <t>1991-07-03</t>
        </is>
      </c>
      <c r="Y969" t="n">
        <v>137</v>
      </c>
      <c r="Z969" t="n">
        <v>119</v>
      </c>
      <c r="AA969" t="n">
        <v>119</v>
      </c>
      <c r="AB969" t="n">
        <v>2</v>
      </c>
      <c r="AC969" t="n">
        <v>2</v>
      </c>
      <c r="AD969" t="n">
        <v>17</v>
      </c>
      <c r="AE969" t="n">
        <v>17</v>
      </c>
      <c r="AF969" t="n">
        <v>6</v>
      </c>
      <c r="AG969" t="n">
        <v>6</v>
      </c>
      <c r="AH969" t="n">
        <v>4</v>
      </c>
      <c r="AI969" t="n">
        <v>4</v>
      </c>
      <c r="AJ969" t="n">
        <v>13</v>
      </c>
      <c r="AK969" t="n">
        <v>13</v>
      </c>
      <c r="AL969" t="n">
        <v>0</v>
      </c>
      <c r="AM969" t="n">
        <v>0</v>
      </c>
      <c r="AN969" t="n">
        <v>0</v>
      </c>
      <c r="AO969" t="n">
        <v>0</v>
      </c>
      <c r="AP969" t="inlineStr">
        <is>
          <t>No</t>
        </is>
      </c>
      <c r="AQ969" t="inlineStr">
        <is>
          <t>No</t>
        </is>
      </c>
      <c r="AS969">
        <f>HYPERLINK("https://creighton-primo.hosted.exlibrisgroup.com/primo-explore/search?tab=default_tab&amp;search_scope=EVERYTHING&amp;vid=01CRU&amp;lang=en_US&amp;offset=0&amp;query=any,contains,991005068379702656","Catalog Record")</f>
        <v/>
      </c>
      <c r="AT969">
        <f>HYPERLINK("http://www.worldcat.org/oclc/6982604","WorldCat Record")</f>
        <v/>
      </c>
      <c r="AU969" t="inlineStr">
        <is>
          <t>1814155696:eng</t>
        </is>
      </c>
      <c r="AV969" t="inlineStr">
        <is>
          <t>6982604</t>
        </is>
      </c>
      <c r="AW969" t="inlineStr">
        <is>
          <t>991005068379702656</t>
        </is>
      </c>
      <c r="AX969" t="inlineStr">
        <is>
          <t>991005068379702656</t>
        </is>
      </c>
      <c r="AY969" t="inlineStr">
        <is>
          <t>2272634890002656</t>
        </is>
      </c>
      <c r="AZ969" t="inlineStr">
        <is>
          <t>BOOK</t>
        </is>
      </c>
      <c r="BB969" t="inlineStr">
        <is>
          <t>9780819908155</t>
        </is>
      </c>
      <c r="BC969" t="inlineStr">
        <is>
          <t>32285000668177</t>
        </is>
      </c>
      <c r="BD969" t="inlineStr">
        <is>
          <t>893248302</t>
        </is>
      </c>
    </row>
    <row r="970">
      <c r="A970" t="inlineStr">
        <is>
          <t>No</t>
        </is>
      </c>
      <c r="B970" t="inlineStr">
        <is>
          <t>BX1968 .C383 2006</t>
        </is>
      </c>
      <c r="C970" t="inlineStr">
        <is>
          <t>0                      BX 1968000C  383         2006</t>
        </is>
      </c>
      <c r="D970" t="inlineStr">
        <is>
          <t>National directory for catechesis : a vision and direction for the future / Most Reverend Donald W. Wuerl.</t>
        </is>
      </c>
      <c r="F970" t="inlineStr">
        <is>
          <t>No</t>
        </is>
      </c>
      <c r="G970" t="inlineStr">
        <is>
          <t>1</t>
        </is>
      </c>
      <c r="H970" t="inlineStr">
        <is>
          <t>No</t>
        </is>
      </c>
      <c r="I970" t="inlineStr">
        <is>
          <t>No</t>
        </is>
      </c>
      <c r="J970" t="inlineStr">
        <is>
          <t>0</t>
        </is>
      </c>
      <c r="K970" t="inlineStr">
        <is>
          <t>Wuerl, Donald W.</t>
        </is>
      </c>
      <c r="L970" t="inlineStr">
        <is>
          <t>Washington, D.C. : National Catholic Educational Association, 2006.</t>
        </is>
      </c>
      <c r="M970" t="inlineStr">
        <is>
          <t>2005</t>
        </is>
      </c>
      <c r="O970" t="inlineStr">
        <is>
          <t>eng</t>
        </is>
      </c>
      <c r="P970" t="inlineStr">
        <is>
          <t>dcu</t>
        </is>
      </c>
      <c r="R970" t="inlineStr">
        <is>
          <t xml:space="preserve">BX </t>
        </is>
      </c>
      <c r="S970" t="n">
        <v>1</v>
      </c>
      <c r="T970" t="n">
        <v>1</v>
      </c>
      <c r="U970" t="inlineStr">
        <is>
          <t>2006-09-28</t>
        </is>
      </c>
      <c r="V970" t="inlineStr">
        <is>
          <t>2006-09-28</t>
        </is>
      </c>
      <c r="W970" t="inlineStr">
        <is>
          <t>2006-09-28</t>
        </is>
      </c>
      <c r="X970" t="inlineStr">
        <is>
          <t>2006-09-28</t>
        </is>
      </c>
      <c r="Y970" t="n">
        <v>23</v>
      </c>
      <c r="Z970" t="n">
        <v>23</v>
      </c>
      <c r="AA970" t="n">
        <v>23</v>
      </c>
      <c r="AB970" t="n">
        <v>1</v>
      </c>
      <c r="AC970" t="n">
        <v>1</v>
      </c>
      <c r="AD970" t="n">
        <v>6</v>
      </c>
      <c r="AE970" t="n">
        <v>6</v>
      </c>
      <c r="AF970" t="n">
        <v>2</v>
      </c>
      <c r="AG970" t="n">
        <v>2</v>
      </c>
      <c r="AH970" t="n">
        <v>1</v>
      </c>
      <c r="AI970" t="n">
        <v>1</v>
      </c>
      <c r="AJ970" t="n">
        <v>4</v>
      </c>
      <c r="AK970" t="n">
        <v>4</v>
      </c>
      <c r="AL970" t="n">
        <v>0</v>
      </c>
      <c r="AM970" t="n">
        <v>0</v>
      </c>
      <c r="AN970" t="n">
        <v>0</v>
      </c>
      <c r="AO970" t="n">
        <v>0</v>
      </c>
      <c r="AP970" t="inlineStr">
        <is>
          <t>No</t>
        </is>
      </c>
      <c r="AQ970" t="inlineStr">
        <is>
          <t>No</t>
        </is>
      </c>
      <c r="AS970">
        <f>HYPERLINK("https://creighton-primo.hosted.exlibrisgroup.com/primo-explore/search?tab=default_tab&amp;search_scope=EVERYTHING&amp;vid=01CRU&amp;lang=en_US&amp;offset=0&amp;query=any,contains,991004929799702656","Catalog Record")</f>
        <v/>
      </c>
      <c r="AT970">
        <f>HYPERLINK("http://www.worldcat.org/oclc/71781443","WorldCat Record")</f>
        <v/>
      </c>
      <c r="AU970" t="inlineStr">
        <is>
          <t>58661756:eng</t>
        </is>
      </c>
      <c r="AV970" t="inlineStr">
        <is>
          <t>71781443</t>
        </is>
      </c>
      <c r="AW970" t="inlineStr">
        <is>
          <t>991004929799702656</t>
        </is>
      </c>
      <c r="AX970" t="inlineStr">
        <is>
          <t>991004929799702656</t>
        </is>
      </c>
      <c r="AY970" t="inlineStr">
        <is>
          <t>2272350400002656</t>
        </is>
      </c>
      <c r="AZ970" t="inlineStr">
        <is>
          <t>BOOK</t>
        </is>
      </c>
      <c r="BB970" t="inlineStr">
        <is>
          <t>9781558333925</t>
        </is>
      </c>
      <c r="BC970" t="inlineStr">
        <is>
          <t>32285005226351</t>
        </is>
      </c>
      <c r="BD970" t="inlineStr">
        <is>
          <t>893876715</t>
        </is>
      </c>
    </row>
    <row r="971">
      <c r="A971" t="inlineStr">
        <is>
          <t>No</t>
        </is>
      </c>
      <c r="B971" t="inlineStr">
        <is>
          <t>BX1968 .D84 1984</t>
        </is>
      </c>
      <c r="C971" t="inlineStr">
        <is>
          <t>0                      BX 1968000D  84          1984</t>
        </is>
      </c>
      <c r="D971" t="inlineStr">
        <is>
          <t>On becoming a Catholic : the challenge of Christian initiation / Regis A. Duffy.</t>
        </is>
      </c>
      <c r="F971" t="inlineStr">
        <is>
          <t>No</t>
        </is>
      </c>
      <c r="G971" t="inlineStr">
        <is>
          <t>1</t>
        </is>
      </c>
      <c r="H971" t="inlineStr">
        <is>
          <t>No</t>
        </is>
      </c>
      <c r="I971" t="inlineStr">
        <is>
          <t>No</t>
        </is>
      </c>
      <c r="J971" t="inlineStr">
        <is>
          <t>0</t>
        </is>
      </c>
      <c r="K971" t="inlineStr">
        <is>
          <t>Duffy, Regis A.</t>
        </is>
      </c>
      <c r="L971" t="inlineStr">
        <is>
          <t>San Francisco : Harper &amp; Row, c1984.</t>
        </is>
      </c>
      <c r="M971" t="inlineStr">
        <is>
          <t>1984</t>
        </is>
      </c>
      <c r="N971" t="inlineStr">
        <is>
          <t>1st ed.</t>
        </is>
      </c>
      <c r="O971" t="inlineStr">
        <is>
          <t>eng</t>
        </is>
      </c>
      <c r="P971" t="inlineStr">
        <is>
          <t>cau</t>
        </is>
      </c>
      <c r="R971" t="inlineStr">
        <is>
          <t xml:space="preserve">BX </t>
        </is>
      </c>
      <c r="S971" t="n">
        <v>6</v>
      </c>
      <c r="T971" t="n">
        <v>6</v>
      </c>
      <c r="U971" t="inlineStr">
        <is>
          <t>2000-10-17</t>
        </is>
      </c>
      <c r="V971" t="inlineStr">
        <is>
          <t>2000-10-17</t>
        </is>
      </c>
      <c r="W971" t="inlineStr">
        <is>
          <t>1991-07-03</t>
        </is>
      </c>
      <c r="X971" t="inlineStr">
        <is>
          <t>1991-07-03</t>
        </is>
      </c>
      <c r="Y971" t="n">
        <v>208</v>
      </c>
      <c r="Z971" t="n">
        <v>171</v>
      </c>
      <c r="AA971" t="n">
        <v>180</v>
      </c>
      <c r="AB971" t="n">
        <v>3</v>
      </c>
      <c r="AC971" t="n">
        <v>4</v>
      </c>
      <c r="AD971" t="n">
        <v>20</v>
      </c>
      <c r="AE971" t="n">
        <v>22</v>
      </c>
      <c r="AF971" t="n">
        <v>5</v>
      </c>
      <c r="AG971" t="n">
        <v>6</v>
      </c>
      <c r="AH971" t="n">
        <v>5</v>
      </c>
      <c r="AI971" t="n">
        <v>6</v>
      </c>
      <c r="AJ971" t="n">
        <v>15</v>
      </c>
      <c r="AK971" t="n">
        <v>15</v>
      </c>
      <c r="AL971" t="n">
        <v>1</v>
      </c>
      <c r="AM971" t="n">
        <v>2</v>
      </c>
      <c r="AN971" t="n">
        <v>0</v>
      </c>
      <c r="AO971" t="n">
        <v>0</v>
      </c>
      <c r="AP971" t="inlineStr">
        <is>
          <t>No</t>
        </is>
      </c>
      <c r="AQ971" t="inlineStr">
        <is>
          <t>Yes</t>
        </is>
      </c>
      <c r="AR971">
        <f>HYPERLINK("http://catalog.hathitrust.org/Record/006019154","HathiTrust Record")</f>
        <v/>
      </c>
      <c r="AS971">
        <f>HYPERLINK("https://creighton-primo.hosted.exlibrisgroup.com/primo-explore/search?tab=default_tab&amp;search_scope=EVERYTHING&amp;vid=01CRU&amp;lang=en_US&amp;offset=0&amp;query=any,contains,991000458639702656","Catalog Record")</f>
        <v/>
      </c>
      <c r="AT971">
        <f>HYPERLINK("http://www.worldcat.org/oclc/10923812","WorldCat Record")</f>
        <v/>
      </c>
      <c r="AU971" t="inlineStr">
        <is>
          <t>836670653:eng</t>
        </is>
      </c>
      <c r="AV971" t="inlineStr">
        <is>
          <t>10923812</t>
        </is>
      </c>
      <c r="AW971" t="inlineStr">
        <is>
          <t>991000458639702656</t>
        </is>
      </c>
      <c r="AX971" t="inlineStr">
        <is>
          <t>991000458639702656</t>
        </is>
      </c>
      <c r="AY971" t="inlineStr">
        <is>
          <t>2270142190002656</t>
        </is>
      </c>
      <c r="AZ971" t="inlineStr">
        <is>
          <t>BOOK</t>
        </is>
      </c>
      <c r="BB971" t="inlineStr">
        <is>
          <t>9780060621070</t>
        </is>
      </c>
      <c r="BC971" t="inlineStr">
        <is>
          <t>32285000668201</t>
        </is>
      </c>
      <c r="BD971" t="inlineStr">
        <is>
          <t>893345671</t>
        </is>
      </c>
    </row>
    <row r="972">
      <c r="A972" t="inlineStr">
        <is>
          <t>No</t>
        </is>
      </c>
      <c r="B972" t="inlineStr">
        <is>
          <t>BX1968 .D86 1993</t>
        </is>
      </c>
      <c r="C972" t="inlineStr">
        <is>
          <t>0                      BX 1968000D  86          1993</t>
        </is>
      </c>
      <c r="D972" t="inlineStr">
        <is>
          <t>Echoing God's word : formation for catechists and homilists in a catechumenal church / James B. Dunning.</t>
        </is>
      </c>
      <c r="F972" t="inlineStr">
        <is>
          <t>No</t>
        </is>
      </c>
      <c r="G972" t="inlineStr">
        <is>
          <t>1</t>
        </is>
      </c>
      <c r="H972" t="inlineStr">
        <is>
          <t>No</t>
        </is>
      </c>
      <c r="I972" t="inlineStr">
        <is>
          <t>No</t>
        </is>
      </c>
      <c r="J972" t="inlineStr">
        <is>
          <t>0</t>
        </is>
      </c>
      <c r="K972" t="inlineStr">
        <is>
          <t>Dunning, James B.</t>
        </is>
      </c>
      <c r="L972" t="inlineStr">
        <is>
          <t>Chicago, IL : North American Forum on the Catechumenates, c1993.</t>
        </is>
      </c>
      <c r="M972" t="inlineStr">
        <is>
          <t>1993</t>
        </is>
      </c>
      <c r="O972" t="inlineStr">
        <is>
          <t>eng</t>
        </is>
      </c>
      <c r="P972" t="inlineStr">
        <is>
          <t>ilu</t>
        </is>
      </c>
      <c r="R972" t="inlineStr">
        <is>
          <t xml:space="preserve">BX </t>
        </is>
      </c>
      <c r="S972" t="n">
        <v>1</v>
      </c>
      <c r="T972" t="n">
        <v>1</v>
      </c>
      <c r="U972" t="inlineStr">
        <is>
          <t>2005-04-13</t>
        </is>
      </c>
      <c r="V972" t="inlineStr">
        <is>
          <t>2005-04-13</t>
        </is>
      </c>
      <c r="W972" t="inlineStr">
        <is>
          <t>2005-04-13</t>
        </is>
      </c>
      <c r="X972" t="inlineStr">
        <is>
          <t>2005-04-13</t>
        </is>
      </c>
      <c r="Y972" t="n">
        <v>106</v>
      </c>
      <c r="Z972" t="n">
        <v>84</v>
      </c>
      <c r="AA972" t="n">
        <v>89</v>
      </c>
      <c r="AB972" t="n">
        <v>1</v>
      </c>
      <c r="AC972" t="n">
        <v>1</v>
      </c>
      <c r="AD972" t="n">
        <v>9</v>
      </c>
      <c r="AE972" t="n">
        <v>9</v>
      </c>
      <c r="AF972" t="n">
        <v>1</v>
      </c>
      <c r="AG972" t="n">
        <v>1</v>
      </c>
      <c r="AH972" t="n">
        <v>3</v>
      </c>
      <c r="AI972" t="n">
        <v>3</v>
      </c>
      <c r="AJ972" t="n">
        <v>6</v>
      </c>
      <c r="AK972" t="n">
        <v>6</v>
      </c>
      <c r="AL972" t="n">
        <v>0</v>
      </c>
      <c r="AM972" t="n">
        <v>0</v>
      </c>
      <c r="AN972" t="n">
        <v>0</v>
      </c>
      <c r="AO972" t="n">
        <v>0</v>
      </c>
      <c r="AP972" t="inlineStr">
        <is>
          <t>No</t>
        </is>
      </c>
      <c r="AQ972" t="inlineStr">
        <is>
          <t>No</t>
        </is>
      </c>
      <c r="AS972">
        <f>HYPERLINK("https://creighton-primo.hosted.exlibrisgroup.com/primo-explore/search?tab=default_tab&amp;search_scope=EVERYTHING&amp;vid=01CRU&amp;lang=en_US&amp;offset=0&amp;query=any,contains,991004528489702656","Catalog Record")</f>
        <v/>
      </c>
      <c r="AT972">
        <f>HYPERLINK("http://www.worldcat.org/oclc/26587308","WorldCat Record")</f>
        <v/>
      </c>
      <c r="AU972" t="inlineStr">
        <is>
          <t>2231250638:eng</t>
        </is>
      </c>
      <c r="AV972" t="inlineStr">
        <is>
          <t>26587308</t>
        </is>
      </c>
      <c r="AW972" t="inlineStr">
        <is>
          <t>991004528489702656</t>
        </is>
      </c>
      <c r="AX972" t="inlineStr">
        <is>
          <t>991004528489702656</t>
        </is>
      </c>
      <c r="AY972" t="inlineStr">
        <is>
          <t>2265573280002656</t>
        </is>
      </c>
      <c r="AZ972" t="inlineStr">
        <is>
          <t>BOOK</t>
        </is>
      </c>
      <c r="BB972" t="inlineStr">
        <is>
          <t>9780929650630</t>
        </is>
      </c>
      <c r="BC972" t="inlineStr">
        <is>
          <t>32285005030407</t>
        </is>
      </c>
      <c r="BD972" t="inlineStr">
        <is>
          <t>893500696</t>
        </is>
      </c>
    </row>
    <row r="973">
      <c r="A973" t="inlineStr">
        <is>
          <t>No</t>
        </is>
      </c>
      <c r="B973" t="inlineStr">
        <is>
          <t>BX1968 .F35 1987</t>
        </is>
      </c>
      <c r="C973" t="inlineStr">
        <is>
          <t>0                      BX 1968000F  35          1987</t>
        </is>
      </c>
      <c r="D973" t="inlineStr">
        <is>
          <t>Faith and culture: a multicultural catechetical resource.</t>
        </is>
      </c>
      <c r="F973" t="inlineStr">
        <is>
          <t>No</t>
        </is>
      </c>
      <c r="G973" t="inlineStr">
        <is>
          <t>1</t>
        </is>
      </c>
      <c r="H973" t="inlineStr">
        <is>
          <t>No</t>
        </is>
      </c>
      <c r="I973" t="inlineStr">
        <is>
          <t>No</t>
        </is>
      </c>
      <c r="J973" t="inlineStr">
        <is>
          <t>0</t>
        </is>
      </c>
      <c r="L973" t="inlineStr">
        <is>
          <t>[Washington, D.C.] : Department of Education, United States Catholic Conference, [c1987].</t>
        </is>
      </c>
      <c r="M973" t="inlineStr">
        <is>
          <t>1987</t>
        </is>
      </c>
      <c r="O973" t="inlineStr">
        <is>
          <t>eng</t>
        </is>
      </c>
      <c r="P973" t="inlineStr">
        <is>
          <t xml:space="preserve">xx </t>
        </is>
      </c>
      <c r="Q973" t="inlineStr">
        <is>
          <t>Publication / Office of Publishing and Promotion Services, United States Catholic Conference ; no. 994-7</t>
        </is>
      </c>
      <c r="R973" t="inlineStr">
        <is>
          <t xml:space="preserve">BX </t>
        </is>
      </c>
      <c r="S973" t="n">
        <v>5</v>
      </c>
      <c r="T973" t="n">
        <v>5</v>
      </c>
      <c r="U973" t="inlineStr">
        <is>
          <t>1997-06-15</t>
        </is>
      </c>
      <c r="V973" t="inlineStr">
        <is>
          <t>1997-06-15</t>
        </is>
      </c>
      <c r="W973" t="inlineStr">
        <is>
          <t>1991-07-03</t>
        </is>
      </c>
      <c r="X973" t="inlineStr">
        <is>
          <t>1991-07-03</t>
        </is>
      </c>
      <c r="Y973" t="n">
        <v>140</v>
      </c>
      <c r="Z973" t="n">
        <v>129</v>
      </c>
      <c r="AA973" t="n">
        <v>134</v>
      </c>
      <c r="AB973" t="n">
        <v>1</v>
      </c>
      <c r="AC973" t="n">
        <v>1</v>
      </c>
      <c r="AD973" t="n">
        <v>20</v>
      </c>
      <c r="AE973" t="n">
        <v>20</v>
      </c>
      <c r="AF973" t="n">
        <v>4</v>
      </c>
      <c r="AG973" t="n">
        <v>4</v>
      </c>
      <c r="AH973" t="n">
        <v>6</v>
      </c>
      <c r="AI973" t="n">
        <v>6</v>
      </c>
      <c r="AJ973" t="n">
        <v>15</v>
      </c>
      <c r="AK973" t="n">
        <v>15</v>
      </c>
      <c r="AL973" t="n">
        <v>0</v>
      </c>
      <c r="AM973" t="n">
        <v>0</v>
      </c>
      <c r="AN973" t="n">
        <v>0</v>
      </c>
      <c r="AO973" t="n">
        <v>0</v>
      </c>
      <c r="AP973" t="inlineStr">
        <is>
          <t>No</t>
        </is>
      </c>
      <c r="AQ973" t="inlineStr">
        <is>
          <t>No</t>
        </is>
      </c>
      <c r="AS973">
        <f>HYPERLINK("https://creighton-primo.hosted.exlibrisgroup.com/primo-explore/search?tab=default_tab&amp;search_scope=EVERYTHING&amp;vid=01CRU&amp;lang=en_US&amp;offset=0&amp;query=any,contains,991001113359702656","Catalog Record")</f>
        <v/>
      </c>
      <c r="AT973">
        <f>HYPERLINK("http://www.worldcat.org/oclc/17104591","WorldCat Record")</f>
        <v/>
      </c>
      <c r="AU973" t="inlineStr">
        <is>
          <t>1007359038:eng</t>
        </is>
      </c>
      <c r="AV973" t="inlineStr">
        <is>
          <t>17104591</t>
        </is>
      </c>
      <c r="AW973" t="inlineStr">
        <is>
          <t>991001113359702656</t>
        </is>
      </c>
      <c r="AX973" t="inlineStr">
        <is>
          <t>991001113359702656</t>
        </is>
      </c>
      <c r="AY973" t="inlineStr">
        <is>
          <t>2261562460002656</t>
        </is>
      </c>
      <c r="AZ973" t="inlineStr">
        <is>
          <t>BOOK</t>
        </is>
      </c>
      <c r="BC973" t="inlineStr">
        <is>
          <t>32285000668219</t>
        </is>
      </c>
      <c r="BD973" t="inlineStr">
        <is>
          <t>893237883</t>
        </is>
      </c>
    </row>
    <row r="974">
      <c r="A974" t="inlineStr">
        <is>
          <t>No</t>
        </is>
      </c>
      <c r="B974" t="inlineStr">
        <is>
          <t>BX1968 .G613 1963</t>
        </is>
      </c>
      <c r="C974" t="inlineStr">
        <is>
          <t>0                      BX 1968000G  613         1963</t>
        </is>
      </c>
      <c r="D974" t="inlineStr">
        <is>
          <t>Teaching the Catholic catechism / Josef Goldbrunner.</t>
        </is>
      </c>
      <c r="E974" t="inlineStr">
        <is>
          <t>V.3</t>
        </is>
      </c>
      <c r="F974" t="inlineStr">
        <is>
          <t>Yes</t>
        </is>
      </c>
      <c r="G974" t="inlineStr">
        <is>
          <t>1</t>
        </is>
      </c>
      <c r="H974" t="inlineStr">
        <is>
          <t>No</t>
        </is>
      </c>
      <c r="I974" t="inlineStr">
        <is>
          <t>No</t>
        </is>
      </c>
      <c r="J974" t="inlineStr">
        <is>
          <t>0</t>
        </is>
      </c>
      <c r="K974" t="inlineStr">
        <is>
          <t>Goldbrunner, Josef.</t>
        </is>
      </c>
      <c r="L974" t="inlineStr">
        <is>
          <t>New York : Herder &amp; Herder, 1963.</t>
        </is>
      </c>
      <c r="M974" t="inlineStr">
        <is>
          <t>1963</t>
        </is>
      </c>
      <c r="O974" t="inlineStr">
        <is>
          <t>eng</t>
        </is>
      </c>
      <c r="P974" t="inlineStr">
        <is>
          <t>nyu</t>
        </is>
      </c>
      <c r="R974" t="inlineStr">
        <is>
          <t xml:space="preserve">BX </t>
        </is>
      </c>
      <c r="S974" t="n">
        <v>1</v>
      </c>
      <c r="T974" t="n">
        <v>6</v>
      </c>
      <c r="V974" t="inlineStr">
        <is>
          <t>1999-12-13</t>
        </is>
      </c>
      <c r="W974" t="inlineStr">
        <is>
          <t>1991-07-03</t>
        </is>
      </c>
      <c r="X974" t="inlineStr">
        <is>
          <t>1991-07-03</t>
        </is>
      </c>
      <c r="Y974" t="n">
        <v>21</v>
      </c>
      <c r="Z974" t="n">
        <v>21</v>
      </c>
      <c r="AA974" t="n">
        <v>93</v>
      </c>
      <c r="AB974" t="n">
        <v>2</v>
      </c>
      <c r="AC974" t="n">
        <v>2</v>
      </c>
      <c r="AD974" t="n">
        <v>4</v>
      </c>
      <c r="AE974" t="n">
        <v>19</v>
      </c>
      <c r="AF974" t="n">
        <v>1</v>
      </c>
      <c r="AG974" t="n">
        <v>6</v>
      </c>
      <c r="AH974" t="n">
        <v>1</v>
      </c>
      <c r="AI974" t="n">
        <v>5</v>
      </c>
      <c r="AJ974" t="n">
        <v>3</v>
      </c>
      <c r="AK974" t="n">
        <v>14</v>
      </c>
      <c r="AL974" t="n">
        <v>0</v>
      </c>
      <c r="AM974" t="n">
        <v>0</v>
      </c>
      <c r="AN974" t="n">
        <v>0</v>
      </c>
      <c r="AO974" t="n">
        <v>0</v>
      </c>
      <c r="AP974" t="inlineStr">
        <is>
          <t>No</t>
        </is>
      </c>
      <c r="AQ974" t="inlineStr">
        <is>
          <t>No</t>
        </is>
      </c>
      <c r="AS974">
        <f>HYPERLINK("https://creighton-primo.hosted.exlibrisgroup.com/primo-explore/search?tab=default_tab&amp;search_scope=EVERYTHING&amp;vid=01CRU&amp;lang=en_US&amp;offset=0&amp;query=any,contains,991000860339702656","Catalog Record")</f>
        <v/>
      </c>
      <c r="AT974">
        <f>HYPERLINK("http://www.worldcat.org/oclc/13672042","WorldCat Record")</f>
        <v/>
      </c>
      <c r="AU974" t="inlineStr">
        <is>
          <t>4714486035:eng</t>
        </is>
      </c>
      <c r="AV974" t="inlineStr">
        <is>
          <t>13672042</t>
        </is>
      </c>
      <c r="AW974" t="inlineStr">
        <is>
          <t>991000860339702656</t>
        </is>
      </c>
      <c r="AX974" t="inlineStr">
        <is>
          <t>991000860339702656</t>
        </is>
      </c>
      <c r="AY974" t="inlineStr">
        <is>
          <t>2256943040002656</t>
        </is>
      </c>
      <c r="AZ974" t="inlineStr">
        <is>
          <t>BOOK</t>
        </is>
      </c>
      <c r="BC974" t="inlineStr">
        <is>
          <t>32285000668268</t>
        </is>
      </c>
      <c r="BD974" t="inlineStr">
        <is>
          <t>893249751</t>
        </is>
      </c>
    </row>
    <row r="975">
      <c r="A975" t="inlineStr">
        <is>
          <t>No</t>
        </is>
      </c>
      <c r="B975" t="inlineStr">
        <is>
          <t>BX1968 .G613 1963</t>
        </is>
      </c>
      <c r="C975" t="inlineStr">
        <is>
          <t>0                      BX 1968000G  613         1963</t>
        </is>
      </c>
      <c r="D975" t="inlineStr">
        <is>
          <t>Teaching the Catholic catechism / Josef Goldbrunner.</t>
        </is>
      </c>
      <c r="E975" t="inlineStr">
        <is>
          <t>V.1</t>
        </is>
      </c>
      <c r="F975" t="inlineStr">
        <is>
          <t>Yes</t>
        </is>
      </c>
      <c r="G975" t="inlineStr">
        <is>
          <t>1</t>
        </is>
      </c>
      <c r="H975" t="inlineStr">
        <is>
          <t>No</t>
        </is>
      </c>
      <c r="I975" t="inlineStr">
        <is>
          <t>No</t>
        </is>
      </c>
      <c r="J975" t="inlineStr">
        <is>
          <t>0</t>
        </is>
      </c>
      <c r="K975" t="inlineStr">
        <is>
          <t>Goldbrunner, Josef.</t>
        </is>
      </c>
      <c r="L975" t="inlineStr">
        <is>
          <t>New York : Herder &amp; Herder, 1963.</t>
        </is>
      </c>
      <c r="M975" t="inlineStr">
        <is>
          <t>1963</t>
        </is>
      </c>
      <c r="O975" t="inlineStr">
        <is>
          <t>eng</t>
        </is>
      </c>
      <c r="P975" t="inlineStr">
        <is>
          <t>nyu</t>
        </is>
      </c>
      <c r="R975" t="inlineStr">
        <is>
          <t xml:space="preserve">BX </t>
        </is>
      </c>
      <c r="S975" t="n">
        <v>4</v>
      </c>
      <c r="T975" t="n">
        <v>6</v>
      </c>
      <c r="U975" t="inlineStr">
        <is>
          <t>1999-12-13</t>
        </is>
      </c>
      <c r="V975" t="inlineStr">
        <is>
          <t>1999-12-13</t>
        </is>
      </c>
      <c r="W975" t="inlineStr">
        <is>
          <t>1991-07-03</t>
        </is>
      </c>
      <c r="X975" t="inlineStr">
        <is>
          <t>1991-07-03</t>
        </is>
      </c>
      <c r="Y975" t="n">
        <v>21</v>
      </c>
      <c r="Z975" t="n">
        <v>21</v>
      </c>
      <c r="AA975" t="n">
        <v>93</v>
      </c>
      <c r="AB975" t="n">
        <v>2</v>
      </c>
      <c r="AC975" t="n">
        <v>2</v>
      </c>
      <c r="AD975" t="n">
        <v>4</v>
      </c>
      <c r="AE975" t="n">
        <v>19</v>
      </c>
      <c r="AF975" t="n">
        <v>1</v>
      </c>
      <c r="AG975" t="n">
        <v>6</v>
      </c>
      <c r="AH975" t="n">
        <v>1</v>
      </c>
      <c r="AI975" t="n">
        <v>5</v>
      </c>
      <c r="AJ975" t="n">
        <v>3</v>
      </c>
      <c r="AK975" t="n">
        <v>14</v>
      </c>
      <c r="AL975" t="n">
        <v>0</v>
      </c>
      <c r="AM975" t="n">
        <v>0</v>
      </c>
      <c r="AN975" t="n">
        <v>0</v>
      </c>
      <c r="AO975" t="n">
        <v>0</v>
      </c>
      <c r="AP975" t="inlineStr">
        <is>
          <t>No</t>
        </is>
      </c>
      <c r="AQ975" t="inlineStr">
        <is>
          <t>No</t>
        </is>
      </c>
      <c r="AS975">
        <f>HYPERLINK("https://creighton-primo.hosted.exlibrisgroup.com/primo-explore/search?tab=default_tab&amp;search_scope=EVERYTHING&amp;vid=01CRU&amp;lang=en_US&amp;offset=0&amp;query=any,contains,991000860339702656","Catalog Record")</f>
        <v/>
      </c>
      <c r="AT975">
        <f>HYPERLINK("http://www.worldcat.org/oclc/13672042","WorldCat Record")</f>
        <v/>
      </c>
      <c r="AU975" t="inlineStr">
        <is>
          <t>4714486035:eng</t>
        </is>
      </c>
      <c r="AV975" t="inlineStr">
        <is>
          <t>13672042</t>
        </is>
      </c>
      <c r="AW975" t="inlineStr">
        <is>
          <t>991000860339702656</t>
        </is>
      </c>
      <c r="AX975" t="inlineStr">
        <is>
          <t>991000860339702656</t>
        </is>
      </c>
      <c r="AY975" t="inlineStr">
        <is>
          <t>2256943040002656</t>
        </is>
      </c>
      <c r="AZ975" t="inlineStr">
        <is>
          <t>BOOK</t>
        </is>
      </c>
      <c r="BC975" t="inlineStr">
        <is>
          <t>32285000668235</t>
        </is>
      </c>
      <c r="BD975" t="inlineStr">
        <is>
          <t>893231480</t>
        </is>
      </c>
    </row>
    <row r="976">
      <c r="A976" t="inlineStr">
        <is>
          <t>No</t>
        </is>
      </c>
      <c r="B976" t="inlineStr">
        <is>
          <t>BX1968 .G613 1963</t>
        </is>
      </c>
      <c r="C976" t="inlineStr">
        <is>
          <t>0                      BX 1968000G  613         1963</t>
        </is>
      </c>
      <c r="D976" t="inlineStr">
        <is>
          <t>Teaching the Catholic catechism / Josef Goldbrunner.</t>
        </is>
      </c>
      <c r="E976" t="inlineStr">
        <is>
          <t>V.2</t>
        </is>
      </c>
      <c r="F976" t="inlineStr">
        <is>
          <t>Yes</t>
        </is>
      </c>
      <c r="G976" t="inlineStr">
        <is>
          <t>1</t>
        </is>
      </c>
      <c r="H976" t="inlineStr">
        <is>
          <t>No</t>
        </is>
      </c>
      <c r="I976" t="inlineStr">
        <is>
          <t>No</t>
        </is>
      </c>
      <c r="J976" t="inlineStr">
        <is>
          <t>0</t>
        </is>
      </c>
      <c r="K976" t="inlineStr">
        <is>
          <t>Goldbrunner, Josef.</t>
        </is>
      </c>
      <c r="L976" t="inlineStr">
        <is>
          <t>New York : Herder &amp; Herder, 1963.</t>
        </is>
      </c>
      <c r="M976" t="inlineStr">
        <is>
          <t>1963</t>
        </is>
      </c>
      <c r="O976" t="inlineStr">
        <is>
          <t>eng</t>
        </is>
      </c>
      <c r="P976" t="inlineStr">
        <is>
          <t>nyu</t>
        </is>
      </c>
      <c r="R976" t="inlineStr">
        <is>
          <t xml:space="preserve">BX </t>
        </is>
      </c>
      <c r="S976" t="n">
        <v>1</v>
      </c>
      <c r="T976" t="n">
        <v>6</v>
      </c>
      <c r="V976" t="inlineStr">
        <is>
          <t>1999-12-13</t>
        </is>
      </c>
      <c r="W976" t="inlineStr">
        <is>
          <t>1991-07-03</t>
        </is>
      </c>
      <c r="X976" t="inlineStr">
        <is>
          <t>1991-07-03</t>
        </is>
      </c>
      <c r="Y976" t="n">
        <v>21</v>
      </c>
      <c r="Z976" t="n">
        <v>21</v>
      </c>
      <c r="AA976" t="n">
        <v>93</v>
      </c>
      <c r="AB976" t="n">
        <v>2</v>
      </c>
      <c r="AC976" t="n">
        <v>2</v>
      </c>
      <c r="AD976" t="n">
        <v>4</v>
      </c>
      <c r="AE976" t="n">
        <v>19</v>
      </c>
      <c r="AF976" t="n">
        <v>1</v>
      </c>
      <c r="AG976" t="n">
        <v>6</v>
      </c>
      <c r="AH976" t="n">
        <v>1</v>
      </c>
      <c r="AI976" t="n">
        <v>5</v>
      </c>
      <c r="AJ976" t="n">
        <v>3</v>
      </c>
      <c r="AK976" t="n">
        <v>14</v>
      </c>
      <c r="AL976" t="n">
        <v>0</v>
      </c>
      <c r="AM976" t="n">
        <v>0</v>
      </c>
      <c r="AN976" t="n">
        <v>0</v>
      </c>
      <c r="AO976" t="n">
        <v>0</v>
      </c>
      <c r="AP976" t="inlineStr">
        <is>
          <t>No</t>
        </is>
      </c>
      <c r="AQ976" t="inlineStr">
        <is>
          <t>No</t>
        </is>
      </c>
      <c r="AS976">
        <f>HYPERLINK("https://creighton-primo.hosted.exlibrisgroup.com/primo-explore/search?tab=default_tab&amp;search_scope=EVERYTHING&amp;vid=01CRU&amp;lang=en_US&amp;offset=0&amp;query=any,contains,991000860339702656","Catalog Record")</f>
        <v/>
      </c>
      <c r="AT976">
        <f>HYPERLINK("http://www.worldcat.org/oclc/13672042","WorldCat Record")</f>
        <v/>
      </c>
      <c r="AU976" t="inlineStr">
        <is>
          <t>4714486035:eng</t>
        </is>
      </c>
      <c r="AV976" t="inlineStr">
        <is>
          <t>13672042</t>
        </is>
      </c>
      <c r="AW976" t="inlineStr">
        <is>
          <t>991000860339702656</t>
        </is>
      </c>
      <c r="AX976" t="inlineStr">
        <is>
          <t>991000860339702656</t>
        </is>
      </c>
      <c r="AY976" t="inlineStr">
        <is>
          <t>2256943040002656</t>
        </is>
      </c>
      <c r="AZ976" t="inlineStr">
        <is>
          <t>BOOK</t>
        </is>
      </c>
      <c r="BC976" t="inlineStr">
        <is>
          <t>32285000668250</t>
        </is>
      </c>
      <c r="BD976" t="inlineStr">
        <is>
          <t>893231479</t>
        </is>
      </c>
    </row>
    <row r="977">
      <c r="A977" t="inlineStr">
        <is>
          <t>No</t>
        </is>
      </c>
      <c r="B977" t="inlineStr">
        <is>
          <t>BX1968 .H37</t>
        </is>
      </c>
      <c r="C977" t="inlineStr">
        <is>
          <t>0                      BX 1968000H  37</t>
        </is>
      </c>
      <c r="D977" t="inlineStr">
        <is>
          <t>The relationship between evangelization and catechesis / [by Robert J. Hater]</t>
        </is>
      </c>
      <c r="F977" t="inlineStr">
        <is>
          <t>No</t>
        </is>
      </c>
      <c r="G977" t="inlineStr">
        <is>
          <t>1</t>
        </is>
      </c>
      <c r="H977" t="inlineStr">
        <is>
          <t>No</t>
        </is>
      </c>
      <c r="I977" t="inlineStr">
        <is>
          <t>No</t>
        </is>
      </c>
      <c r="J977" t="inlineStr">
        <is>
          <t>0</t>
        </is>
      </c>
      <c r="K977" t="inlineStr">
        <is>
          <t>Hater, Robert J.</t>
        </is>
      </c>
      <c r="L977" t="inlineStr">
        <is>
          <t>Washington, D.C. : National Conference of Diocesan Directors of Religious Education-CCD, 1981.</t>
        </is>
      </c>
      <c r="M977" t="inlineStr">
        <is>
          <t>1981</t>
        </is>
      </c>
      <c r="O977" t="inlineStr">
        <is>
          <t>eng</t>
        </is>
      </c>
      <c r="P977" t="inlineStr">
        <is>
          <t>dcu</t>
        </is>
      </c>
      <c r="Q977" t="inlineStr">
        <is>
          <t>A clarification/study paper commissioned by the NCDD</t>
        </is>
      </c>
      <c r="R977" t="inlineStr">
        <is>
          <t xml:space="preserve">BX </t>
        </is>
      </c>
      <c r="S977" t="n">
        <v>2</v>
      </c>
      <c r="T977" t="n">
        <v>2</v>
      </c>
      <c r="U977" t="inlineStr">
        <is>
          <t>1994-07-21</t>
        </is>
      </c>
      <c r="V977" t="inlineStr">
        <is>
          <t>1994-07-21</t>
        </is>
      </c>
      <c r="W977" t="inlineStr">
        <is>
          <t>1991-07-03</t>
        </is>
      </c>
      <c r="X977" t="inlineStr">
        <is>
          <t>1991-07-03</t>
        </is>
      </c>
      <c r="Y977" t="n">
        <v>80</v>
      </c>
      <c r="Z977" t="n">
        <v>79</v>
      </c>
      <c r="AA977" t="n">
        <v>83</v>
      </c>
      <c r="AB977" t="n">
        <v>1</v>
      </c>
      <c r="AC977" t="n">
        <v>1</v>
      </c>
      <c r="AD977" t="n">
        <v>18</v>
      </c>
      <c r="AE977" t="n">
        <v>18</v>
      </c>
      <c r="AF977" t="n">
        <v>5</v>
      </c>
      <c r="AG977" t="n">
        <v>5</v>
      </c>
      <c r="AH977" t="n">
        <v>7</v>
      </c>
      <c r="AI977" t="n">
        <v>7</v>
      </c>
      <c r="AJ977" t="n">
        <v>12</v>
      </c>
      <c r="AK977" t="n">
        <v>12</v>
      </c>
      <c r="AL977" t="n">
        <v>0</v>
      </c>
      <c r="AM977" t="n">
        <v>0</v>
      </c>
      <c r="AN977" t="n">
        <v>0</v>
      </c>
      <c r="AO977" t="n">
        <v>0</v>
      </c>
      <c r="AP977" t="inlineStr">
        <is>
          <t>No</t>
        </is>
      </c>
      <c r="AQ977" t="inlineStr">
        <is>
          <t>No</t>
        </is>
      </c>
      <c r="AS977">
        <f>HYPERLINK("https://creighton-primo.hosted.exlibrisgroup.com/primo-explore/search?tab=default_tab&amp;search_scope=EVERYTHING&amp;vid=01CRU&amp;lang=en_US&amp;offset=0&amp;query=any,contains,991005200549702656","Catalog Record")</f>
        <v/>
      </c>
      <c r="AT977">
        <f>HYPERLINK("http://www.worldcat.org/oclc/8070437","WorldCat Record")</f>
        <v/>
      </c>
      <c r="AU977" t="inlineStr">
        <is>
          <t>30290552:eng</t>
        </is>
      </c>
      <c r="AV977" t="inlineStr">
        <is>
          <t>8070437</t>
        </is>
      </c>
      <c r="AW977" t="inlineStr">
        <is>
          <t>991005200549702656</t>
        </is>
      </c>
      <c r="AX977" t="inlineStr">
        <is>
          <t>991005200549702656</t>
        </is>
      </c>
      <c r="AY977" t="inlineStr">
        <is>
          <t>2272600770002656</t>
        </is>
      </c>
      <c r="AZ977" t="inlineStr">
        <is>
          <t>BOOK</t>
        </is>
      </c>
      <c r="BC977" t="inlineStr">
        <is>
          <t>32285000668276</t>
        </is>
      </c>
      <c r="BD977" t="inlineStr">
        <is>
          <t>893870686</t>
        </is>
      </c>
    </row>
    <row r="978">
      <c r="A978" t="inlineStr">
        <is>
          <t>No</t>
        </is>
      </c>
      <c r="B978" t="inlineStr">
        <is>
          <t>BX1968 .H67 1999</t>
        </is>
      </c>
      <c r="C978" t="inlineStr">
        <is>
          <t>0                      BX 1968000H  67          1999</t>
        </is>
      </c>
      <c r="D978" t="inlineStr">
        <is>
          <t>Catechesis as an evangelizing moment : singular challenge to a maturing church / Michael P. Horan.</t>
        </is>
      </c>
      <c r="F978" t="inlineStr">
        <is>
          <t>No</t>
        </is>
      </c>
      <c r="G978" t="inlineStr">
        <is>
          <t>1</t>
        </is>
      </c>
      <c r="H978" t="inlineStr">
        <is>
          <t>No</t>
        </is>
      </c>
      <c r="I978" t="inlineStr">
        <is>
          <t>No</t>
        </is>
      </c>
      <c r="J978" t="inlineStr">
        <is>
          <t>0</t>
        </is>
      </c>
      <c r="K978" t="inlineStr">
        <is>
          <t>Horan, Michael P.</t>
        </is>
      </c>
      <c r="L978" t="inlineStr">
        <is>
          <t>Washington : National Catholic Educational Association, c1999</t>
        </is>
      </c>
      <c r="M978" t="inlineStr">
        <is>
          <t>1999</t>
        </is>
      </c>
      <c r="O978" t="inlineStr">
        <is>
          <t>eng</t>
        </is>
      </c>
      <c r="P978" t="inlineStr">
        <is>
          <t>dcu</t>
        </is>
      </c>
      <c r="R978" t="inlineStr">
        <is>
          <t xml:space="preserve">BX </t>
        </is>
      </c>
      <c r="S978" t="n">
        <v>1</v>
      </c>
      <c r="T978" t="n">
        <v>1</v>
      </c>
      <c r="U978" t="inlineStr">
        <is>
          <t>2001-08-09</t>
        </is>
      </c>
      <c r="V978" t="inlineStr">
        <is>
          <t>2001-08-09</t>
        </is>
      </c>
      <c r="W978" t="inlineStr">
        <is>
          <t>2001-08-08</t>
        </is>
      </c>
      <c r="X978" t="inlineStr">
        <is>
          <t>2001-08-08</t>
        </is>
      </c>
      <c r="Y978" t="n">
        <v>31</v>
      </c>
      <c r="Z978" t="n">
        <v>28</v>
      </c>
      <c r="AA978" t="n">
        <v>30</v>
      </c>
      <c r="AB978" t="n">
        <v>1</v>
      </c>
      <c r="AC978" t="n">
        <v>1</v>
      </c>
      <c r="AD978" t="n">
        <v>7</v>
      </c>
      <c r="AE978" t="n">
        <v>7</v>
      </c>
      <c r="AF978" t="n">
        <v>3</v>
      </c>
      <c r="AG978" t="n">
        <v>3</v>
      </c>
      <c r="AH978" t="n">
        <v>1</v>
      </c>
      <c r="AI978" t="n">
        <v>1</v>
      </c>
      <c r="AJ978" t="n">
        <v>5</v>
      </c>
      <c r="AK978" t="n">
        <v>5</v>
      </c>
      <c r="AL978" t="n">
        <v>0</v>
      </c>
      <c r="AM978" t="n">
        <v>0</v>
      </c>
      <c r="AN978" t="n">
        <v>0</v>
      </c>
      <c r="AO978" t="n">
        <v>0</v>
      </c>
      <c r="AP978" t="inlineStr">
        <is>
          <t>No</t>
        </is>
      </c>
      <c r="AQ978" t="inlineStr">
        <is>
          <t>No</t>
        </is>
      </c>
      <c r="AS978">
        <f>HYPERLINK("https://creighton-primo.hosted.exlibrisgroup.com/primo-explore/search?tab=default_tab&amp;search_scope=EVERYTHING&amp;vid=01CRU&amp;lang=en_US&amp;offset=0&amp;query=any,contains,991003600209702656","Catalog Record")</f>
        <v/>
      </c>
      <c r="AT978">
        <f>HYPERLINK("http://www.worldcat.org/oclc/47219300","WorldCat Record")</f>
        <v/>
      </c>
      <c r="AU978" t="inlineStr">
        <is>
          <t>36238492:eng</t>
        </is>
      </c>
      <c r="AV978" t="inlineStr">
        <is>
          <t>47219300</t>
        </is>
      </c>
      <c r="AW978" t="inlineStr">
        <is>
          <t>991003600209702656</t>
        </is>
      </c>
      <c r="AX978" t="inlineStr">
        <is>
          <t>991003600209702656</t>
        </is>
      </c>
      <c r="AY978" t="inlineStr">
        <is>
          <t>2256743100002656</t>
        </is>
      </c>
      <c r="AZ978" t="inlineStr">
        <is>
          <t>BOOK</t>
        </is>
      </c>
      <c r="BB978" t="inlineStr">
        <is>
          <t>9781558332393</t>
        </is>
      </c>
      <c r="BC978" t="inlineStr">
        <is>
          <t>32285004376553</t>
        </is>
      </c>
      <c r="BD978" t="inlineStr">
        <is>
          <t>893348888</t>
        </is>
      </c>
    </row>
    <row r="979">
      <c r="A979" t="inlineStr">
        <is>
          <t>No</t>
        </is>
      </c>
      <c r="B979" t="inlineStr">
        <is>
          <t>BX1968 .J813 1959</t>
        </is>
      </c>
      <c r="C979" t="inlineStr">
        <is>
          <t>0                      BX 1968000J  813         1959</t>
        </is>
      </c>
      <c r="D979" t="inlineStr">
        <is>
          <t>Handing on the faith : a manual of catechetics / by Josef Andreas Jungmann. [Translated and rev. by A.N. Fuerst, with supplementary material for Great Britain by J.D. Crichton.</t>
        </is>
      </c>
      <c r="F979" t="inlineStr">
        <is>
          <t>No</t>
        </is>
      </c>
      <c r="G979" t="inlineStr">
        <is>
          <t>1</t>
        </is>
      </c>
      <c r="H979" t="inlineStr">
        <is>
          <t>No</t>
        </is>
      </c>
      <c r="I979" t="inlineStr">
        <is>
          <t>No</t>
        </is>
      </c>
      <c r="J979" t="inlineStr">
        <is>
          <t>0</t>
        </is>
      </c>
      <c r="K979" t="inlineStr">
        <is>
          <t>Jungmann, Josef A. (Josef Andreas), 1889-1975.</t>
        </is>
      </c>
      <c r="L979" t="inlineStr">
        <is>
          <t>New York] : Herder and Herder, [1959]</t>
        </is>
      </c>
      <c r="M979" t="inlineStr">
        <is>
          <t>1959</t>
        </is>
      </c>
      <c r="O979" t="inlineStr">
        <is>
          <t>eng</t>
        </is>
      </c>
      <c r="P979" t="inlineStr">
        <is>
          <t xml:space="preserve">xx </t>
        </is>
      </c>
      <c r="R979" t="inlineStr">
        <is>
          <t xml:space="preserve">BX </t>
        </is>
      </c>
      <c r="S979" t="n">
        <v>2</v>
      </c>
      <c r="T979" t="n">
        <v>2</v>
      </c>
      <c r="U979" t="inlineStr">
        <is>
          <t>2002-07-20</t>
        </is>
      </c>
      <c r="V979" t="inlineStr">
        <is>
          <t>2002-07-20</t>
        </is>
      </c>
      <c r="W979" t="inlineStr">
        <is>
          <t>1991-07-03</t>
        </is>
      </c>
      <c r="X979" t="inlineStr">
        <is>
          <t>1991-07-03</t>
        </is>
      </c>
      <c r="Y979" t="n">
        <v>265</v>
      </c>
      <c r="Z979" t="n">
        <v>230</v>
      </c>
      <c r="AA979" t="n">
        <v>250</v>
      </c>
      <c r="AB979" t="n">
        <v>4</v>
      </c>
      <c r="AC979" t="n">
        <v>4</v>
      </c>
      <c r="AD979" t="n">
        <v>34</v>
      </c>
      <c r="AE979" t="n">
        <v>35</v>
      </c>
      <c r="AF979" t="n">
        <v>11</v>
      </c>
      <c r="AG979" t="n">
        <v>12</v>
      </c>
      <c r="AH979" t="n">
        <v>9</v>
      </c>
      <c r="AI979" t="n">
        <v>9</v>
      </c>
      <c r="AJ979" t="n">
        <v>24</v>
      </c>
      <c r="AK979" t="n">
        <v>25</v>
      </c>
      <c r="AL979" t="n">
        <v>1</v>
      </c>
      <c r="AM979" t="n">
        <v>1</v>
      </c>
      <c r="AN979" t="n">
        <v>0</v>
      </c>
      <c r="AO979" t="n">
        <v>0</v>
      </c>
      <c r="AP979" t="inlineStr">
        <is>
          <t>No</t>
        </is>
      </c>
      <c r="AQ979" t="inlineStr">
        <is>
          <t>No</t>
        </is>
      </c>
      <c r="AS979">
        <f>HYPERLINK("https://creighton-primo.hosted.exlibrisgroup.com/primo-explore/search?tab=default_tab&amp;search_scope=EVERYTHING&amp;vid=01CRU&amp;lang=en_US&amp;offset=0&amp;query=any,contains,991003326599702656","Catalog Record")</f>
        <v/>
      </c>
      <c r="AT979">
        <f>HYPERLINK("http://www.worldcat.org/oclc/856362","WorldCat Record")</f>
        <v/>
      </c>
      <c r="AU979" t="inlineStr">
        <is>
          <t>3901028900:eng</t>
        </is>
      </c>
      <c r="AV979" t="inlineStr">
        <is>
          <t>856362</t>
        </is>
      </c>
      <c r="AW979" t="inlineStr">
        <is>
          <t>991003326599702656</t>
        </is>
      </c>
      <c r="AX979" t="inlineStr">
        <is>
          <t>991003326599702656</t>
        </is>
      </c>
      <c r="AY979" t="inlineStr">
        <is>
          <t>2268646790002656</t>
        </is>
      </c>
      <c r="AZ979" t="inlineStr">
        <is>
          <t>BOOK</t>
        </is>
      </c>
      <c r="BC979" t="inlineStr">
        <is>
          <t>32285000668342</t>
        </is>
      </c>
      <c r="BD979" t="inlineStr">
        <is>
          <t>893881048</t>
        </is>
      </c>
    </row>
    <row r="980">
      <c r="A980" t="inlineStr">
        <is>
          <t>No</t>
        </is>
      </c>
      <c r="B980" t="inlineStr">
        <is>
          <t>BX1968 .L54 2006</t>
        </is>
      </c>
      <c r="C980" t="inlineStr">
        <is>
          <t>0                      BX 1968000L  54          2006</t>
        </is>
      </c>
      <c r="D980" t="inlineStr">
        <is>
          <t>Celebrating the Catechetical Year 2006-2007 : with resources for Catechetical Sunday 2006, September 17, 2006 = Celebración del Año Catequético 2006-2007 : con recursos para el Domingo Catequético 2006, 17 de Septiembre de 2006.</t>
        </is>
      </c>
      <c r="F980" t="inlineStr">
        <is>
          <t>No</t>
        </is>
      </c>
      <c r="G980" t="inlineStr">
        <is>
          <t>1</t>
        </is>
      </c>
      <c r="H980" t="inlineStr">
        <is>
          <t>No</t>
        </is>
      </c>
      <c r="I980" t="inlineStr">
        <is>
          <t>No</t>
        </is>
      </c>
      <c r="J980" t="inlineStr">
        <is>
          <t>0</t>
        </is>
      </c>
      <c r="L980" t="inlineStr">
        <is>
          <t>Washington, D.C. : United States Conference of Catholic Bishops, c2006.</t>
        </is>
      </c>
      <c r="M980" t="inlineStr">
        <is>
          <t>2006</t>
        </is>
      </c>
      <c r="O980" t="inlineStr">
        <is>
          <t>eng</t>
        </is>
      </c>
      <c r="P980" t="inlineStr">
        <is>
          <t>dcu</t>
        </is>
      </c>
      <c r="Q980" t="inlineStr">
        <is>
          <t>[Publication / USCCB Publishing ; no. 5-726]</t>
        </is>
      </c>
      <c r="R980" t="inlineStr">
        <is>
          <t xml:space="preserve">BX </t>
        </is>
      </c>
      <c r="S980" t="n">
        <v>1</v>
      </c>
      <c r="T980" t="n">
        <v>1</v>
      </c>
      <c r="U980" t="inlineStr">
        <is>
          <t>2006-07-27</t>
        </is>
      </c>
      <c r="V980" t="inlineStr">
        <is>
          <t>2006-07-27</t>
        </is>
      </c>
      <c r="W980" t="inlineStr">
        <is>
          <t>2006-07-27</t>
        </is>
      </c>
      <c r="X980" t="inlineStr">
        <is>
          <t>2006-07-27</t>
        </is>
      </c>
      <c r="Y980" t="n">
        <v>34</v>
      </c>
      <c r="Z980" t="n">
        <v>33</v>
      </c>
      <c r="AA980" t="n">
        <v>33</v>
      </c>
      <c r="AB980" t="n">
        <v>1</v>
      </c>
      <c r="AC980" t="n">
        <v>1</v>
      </c>
      <c r="AD980" t="n">
        <v>6</v>
      </c>
      <c r="AE980" t="n">
        <v>6</v>
      </c>
      <c r="AF980" t="n">
        <v>0</v>
      </c>
      <c r="AG980" t="n">
        <v>0</v>
      </c>
      <c r="AH980" t="n">
        <v>1</v>
      </c>
      <c r="AI980" t="n">
        <v>1</v>
      </c>
      <c r="AJ980" t="n">
        <v>6</v>
      </c>
      <c r="AK980" t="n">
        <v>6</v>
      </c>
      <c r="AL980" t="n">
        <v>0</v>
      </c>
      <c r="AM980" t="n">
        <v>0</v>
      </c>
      <c r="AN980" t="n">
        <v>0</v>
      </c>
      <c r="AO980" t="n">
        <v>0</v>
      </c>
      <c r="AP980" t="inlineStr">
        <is>
          <t>No</t>
        </is>
      </c>
      <c r="AQ980" t="inlineStr">
        <is>
          <t>No</t>
        </is>
      </c>
      <c r="AS980">
        <f>HYPERLINK("https://creighton-primo.hosted.exlibrisgroup.com/primo-explore/search?tab=default_tab&amp;search_scope=EVERYTHING&amp;vid=01CRU&amp;lang=en_US&amp;offset=0&amp;query=any,contains,991004896749702656","Catalog Record")</f>
        <v/>
      </c>
      <c r="AT980">
        <f>HYPERLINK("http://www.worldcat.org/oclc/69368941","WorldCat Record")</f>
        <v/>
      </c>
      <c r="AU980" t="inlineStr">
        <is>
          <t>52779516:eng</t>
        </is>
      </c>
      <c r="AV980" t="inlineStr">
        <is>
          <t>69368941</t>
        </is>
      </c>
      <c r="AW980" t="inlineStr">
        <is>
          <t>991004896749702656</t>
        </is>
      </c>
      <c r="AX980" t="inlineStr">
        <is>
          <t>991004896749702656</t>
        </is>
      </c>
      <c r="AY980" t="inlineStr">
        <is>
          <t>2269237340002656</t>
        </is>
      </c>
      <c r="AZ980" t="inlineStr">
        <is>
          <t>BOOK</t>
        </is>
      </c>
      <c r="BB980" t="inlineStr">
        <is>
          <t>9781574557268</t>
        </is>
      </c>
      <c r="BC980" t="inlineStr">
        <is>
          <t>32285005214605</t>
        </is>
      </c>
      <c r="BD980" t="inlineStr">
        <is>
          <t>893694467</t>
        </is>
      </c>
    </row>
    <row r="981">
      <c r="A981" t="inlineStr">
        <is>
          <t>No</t>
        </is>
      </c>
      <c r="B981" t="inlineStr">
        <is>
          <t>BX1968 .L68 1956</t>
        </is>
      </c>
      <c r="C981" t="inlineStr">
        <is>
          <t>0                      BX 1968000L  68          1956</t>
        </is>
      </c>
      <c r="D981" t="inlineStr">
        <is>
          <t>Catechism in stories / by Lawrence G. Lovasik.</t>
        </is>
      </c>
      <c r="F981" t="inlineStr">
        <is>
          <t>No</t>
        </is>
      </c>
      <c r="G981" t="inlineStr">
        <is>
          <t>1</t>
        </is>
      </c>
      <c r="H981" t="inlineStr">
        <is>
          <t>No</t>
        </is>
      </c>
      <c r="I981" t="inlineStr">
        <is>
          <t>No</t>
        </is>
      </c>
      <c r="J981" t="inlineStr">
        <is>
          <t>0</t>
        </is>
      </c>
      <c r="K981" t="inlineStr">
        <is>
          <t>Lovasik, Lawrence G. (Lawrence George), 1913-1986.</t>
        </is>
      </c>
      <c r="L981" t="inlineStr">
        <is>
          <t>Milwaukee : Bruce, c1956.</t>
        </is>
      </c>
      <c r="M981" t="inlineStr">
        <is>
          <t>1956</t>
        </is>
      </c>
      <c r="N981" t="inlineStr">
        <is>
          <t>Rev. ed.</t>
        </is>
      </c>
      <c r="O981" t="inlineStr">
        <is>
          <t>eng</t>
        </is>
      </c>
      <c r="P981" t="inlineStr">
        <is>
          <t>wiu</t>
        </is>
      </c>
      <c r="R981" t="inlineStr">
        <is>
          <t xml:space="preserve">BX </t>
        </is>
      </c>
      <c r="S981" t="n">
        <v>2</v>
      </c>
      <c r="T981" t="n">
        <v>2</v>
      </c>
      <c r="U981" t="inlineStr">
        <is>
          <t>1999-02-03</t>
        </is>
      </c>
      <c r="V981" t="inlineStr">
        <is>
          <t>1999-02-03</t>
        </is>
      </c>
      <c r="W981" t="inlineStr">
        <is>
          <t>1991-07-03</t>
        </is>
      </c>
      <c r="X981" t="inlineStr">
        <is>
          <t>1991-07-03</t>
        </is>
      </c>
      <c r="Y981" t="n">
        <v>32</v>
      </c>
      <c r="Z981" t="n">
        <v>26</v>
      </c>
      <c r="AA981" t="n">
        <v>44</v>
      </c>
      <c r="AB981" t="n">
        <v>1</v>
      </c>
      <c r="AC981" t="n">
        <v>1</v>
      </c>
      <c r="AD981" t="n">
        <v>4</v>
      </c>
      <c r="AE981" t="n">
        <v>5</v>
      </c>
      <c r="AF981" t="n">
        <v>0</v>
      </c>
      <c r="AG981" t="n">
        <v>0</v>
      </c>
      <c r="AH981" t="n">
        <v>1</v>
      </c>
      <c r="AI981" t="n">
        <v>1</v>
      </c>
      <c r="AJ981" t="n">
        <v>3</v>
      </c>
      <c r="AK981" t="n">
        <v>4</v>
      </c>
      <c r="AL981" t="n">
        <v>0</v>
      </c>
      <c r="AM981" t="n">
        <v>0</v>
      </c>
      <c r="AN981" t="n">
        <v>0</v>
      </c>
      <c r="AO981" t="n">
        <v>0</v>
      </c>
      <c r="AP981" t="inlineStr">
        <is>
          <t>No</t>
        </is>
      </c>
      <c r="AQ981" t="inlineStr">
        <is>
          <t>No</t>
        </is>
      </c>
      <c r="AS981">
        <f>HYPERLINK("https://creighton-primo.hosted.exlibrisgroup.com/primo-explore/search?tab=default_tab&amp;search_scope=EVERYTHING&amp;vid=01CRU&amp;lang=en_US&amp;offset=0&amp;query=any,contains,991005111219702656","Catalog Record")</f>
        <v/>
      </c>
      <c r="AT981">
        <f>HYPERLINK("http://www.worldcat.org/oclc/7433193","WorldCat Record")</f>
        <v/>
      </c>
      <c r="AU981" t="inlineStr">
        <is>
          <t>6627637:eng</t>
        </is>
      </c>
      <c r="AV981" t="inlineStr">
        <is>
          <t>7433193</t>
        </is>
      </c>
      <c r="AW981" t="inlineStr">
        <is>
          <t>991005111219702656</t>
        </is>
      </c>
      <c r="AX981" t="inlineStr">
        <is>
          <t>991005111219702656</t>
        </is>
      </c>
      <c r="AY981" t="inlineStr">
        <is>
          <t>2269974050002656</t>
        </is>
      </c>
      <c r="AZ981" t="inlineStr">
        <is>
          <t>BOOK</t>
        </is>
      </c>
      <c r="BC981" t="inlineStr">
        <is>
          <t>32285000668383</t>
        </is>
      </c>
      <c r="BD981" t="inlineStr">
        <is>
          <t>893713460</t>
        </is>
      </c>
    </row>
    <row r="982">
      <c r="A982" t="inlineStr">
        <is>
          <t>No</t>
        </is>
      </c>
      <c r="B982" t="inlineStr">
        <is>
          <t>BX1968 .M64 2000</t>
        </is>
      </c>
      <c r="C982" t="inlineStr">
        <is>
          <t>0                      BX 1968000M  64          2000</t>
        </is>
      </c>
      <c r="D982" t="inlineStr">
        <is>
          <t>The prophetic spirit of catechesis : how we share the fire in our hearts / Anne Marie Mongoven.</t>
        </is>
      </c>
      <c r="F982" t="inlineStr">
        <is>
          <t>No</t>
        </is>
      </c>
      <c r="G982" t="inlineStr">
        <is>
          <t>1</t>
        </is>
      </c>
      <c r="H982" t="inlineStr">
        <is>
          <t>No</t>
        </is>
      </c>
      <c r="I982" t="inlineStr">
        <is>
          <t>No</t>
        </is>
      </c>
      <c r="J982" t="inlineStr">
        <is>
          <t>0</t>
        </is>
      </c>
      <c r="K982" t="inlineStr">
        <is>
          <t>Mongoven, Anne Marie.</t>
        </is>
      </c>
      <c r="L982" t="inlineStr">
        <is>
          <t>New York : Paulist Press, c2000.</t>
        </is>
      </c>
      <c r="M982" t="inlineStr">
        <is>
          <t>2000</t>
        </is>
      </c>
      <c r="O982" t="inlineStr">
        <is>
          <t>eng</t>
        </is>
      </c>
      <c r="P982" t="inlineStr">
        <is>
          <t>nyu</t>
        </is>
      </c>
      <c r="R982" t="inlineStr">
        <is>
          <t xml:space="preserve">BX </t>
        </is>
      </c>
      <c r="S982" t="n">
        <v>3</v>
      </c>
      <c r="T982" t="n">
        <v>3</v>
      </c>
      <c r="U982" t="inlineStr">
        <is>
          <t>2004-08-10</t>
        </is>
      </c>
      <c r="V982" t="inlineStr">
        <is>
          <t>2004-08-10</t>
        </is>
      </c>
      <c r="W982" t="inlineStr">
        <is>
          <t>2000-10-30</t>
        </is>
      </c>
      <c r="X982" t="inlineStr">
        <is>
          <t>2000-10-30</t>
        </is>
      </c>
      <c r="Y982" t="n">
        <v>113</v>
      </c>
      <c r="Z982" t="n">
        <v>92</v>
      </c>
      <c r="AA982" t="n">
        <v>92</v>
      </c>
      <c r="AB982" t="n">
        <v>1</v>
      </c>
      <c r="AC982" t="n">
        <v>1</v>
      </c>
      <c r="AD982" t="n">
        <v>11</v>
      </c>
      <c r="AE982" t="n">
        <v>11</v>
      </c>
      <c r="AF982" t="n">
        <v>2</v>
      </c>
      <c r="AG982" t="n">
        <v>2</v>
      </c>
      <c r="AH982" t="n">
        <v>2</v>
      </c>
      <c r="AI982" t="n">
        <v>2</v>
      </c>
      <c r="AJ982" t="n">
        <v>8</v>
      </c>
      <c r="AK982" t="n">
        <v>8</v>
      </c>
      <c r="AL982" t="n">
        <v>0</v>
      </c>
      <c r="AM982" t="n">
        <v>0</v>
      </c>
      <c r="AN982" t="n">
        <v>0</v>
      </c>
      <c r="AO982" t="n">
        <v>0</v>
      </c>
      <c r="AP982" t="inlineStr">
        <is>
          <t>No</t>
        </is>
      </c>
      <c r="AQ982" t="inlineStr">
        <is>
          <t>No</t>
        </is>
      </c>
      <c r="AS982">
        <f>HYPERLINK("https://creighton-primo.hosted.exlibrisgroup.com/primo-explore/search?tab=default_tab&amp;search_scope=EVERYTHING&amp;vid=01CRU&amp;lang=en_US&amp;offset=0&amp;query=any,contains,991003316379702656","Catalog Record")</f>
        <v/>
      </c>
      <c r="AT982">
        <f>HYPERLINK("http://www.worldcat.org/oclc/42592828","WorldCat Record")</f>
        <v/>
      </c>
      <c r="AU982" t="inlineStr">
        <is>
          <t>44372580:eng</t>
        </is>
      </c>
      <c r="AV982" t="inlineStr">
        <is>
          <t>42592828</t>
        </is>
      </c>
      <c r="AW982" t="inlineStr">
        <is>
          <t>991003316379702656</t>
        </is>
      </c>
      <c r="AX982" t="inlineStr">
        <is>
          <t>991003316379702656</t>
        </is>
      </c>
      <c r="AY982" t="inlineStr">
        <is>
          <t>2256060370002656</t>
        </is>
      </c>
      <c r="AZ982" t="inlineStr">
        <is>
          <t>BOOK</t>
        </is>
      </c>
      <c r="BB982" t="inlineStr">
        <is>
          <t>9780809139224</t>
        </is>
      </c>
      <c r="BC982" t="inlineStr">
        <is>
          <t>32285004261573</t>
        </is>
      </c>
      <c r="BD982" t="inlineStr">
        <is>
          <t>893868299</t>
        </is>
      </c>
    </row>
    <row r="983">
      <c r="A983" t="inlineStr">
        <is>
          <t>No</t>
        </is>
      </c>
      <c r="B983" t="inlineStr">
        <is>
          <t>BX1968 .O77 1990</t>
        </is>
      </c>
      <c r="C983" t="inlineStr">
        <is>
          <t>0                      BX 1968000O  77          1990</t>
        </is>
      </c>
      <c r="D983" t="inlineStr">
        <is>
          <t>The Profession of faith and the Oath of fidelity : a theological and canonical analysis / Ladislas Orsy.</t>
        </is>
      </c>
      <c r="F983" t="inlineStr">
        <is>
          <t>No</t>
        </is>
      </c>
      <c r="G983" t="inlineStr">
        <is>
          <t>1</t>
        </is>
      </c>
      <c r="H983" t="inlineStr">
        <is>
          <t>No</t>
        </is>
      </c>
      <c r="I983" t="inlineStr">
        <is>
          <t>No</t>
        </is>
      </c>
      <c r="J983" t="inlineStr">
        <is>
          <t>0</t>
        </is>
      </c>
      <c r="K983" t="inlineStr">
        <is>
          <t>Orsy, Ladislas M., 1921-</t>
        </is>
      </c>
      <c r="L983" t="inlineStr">
        <is>
          <t>Wilmington, Del. : M. Glazier, c1990.</t>
        </is>
      </c>
      <c r="M983" t="inlineStr">
        <is>
          <t>1990</t>
        </is>
      </c>
      <c r="O983" t="inlineStr">
        <is>
          <t>eng</t>
        </is>
      </c>
      <c r="P983" t="inlineStr">
        <is>
          <t>deu</t>
        </is>
      </c>
      <c r="R983" t="inlineStr">
        <is>
          <t xml:space="preserve">BX </t>
        </is>
      </c>
      <c r="S983" t="n">
        <v>2</v>
      </c>
      <c r="T983" t="n">
        <v>2</v>
      </c>
      <c r="U983" t="inlineStr">
        <is>
          <t>2004-06-24</t>
        </is>
      </c>
      <c r="V983" t="inlineStr">
        <is>
          <t>2004-06-24</t>
        </is>
      </c>
      <c r="W983" t="inlineStr">
        <is>
          <t>1991-02-22</t>
        </is>
      </c>
      <c r="X983" t="inlineStr">
        <is>
          <t>1991-02-22</t>
        </is>
      </c>
      <c r="Y983" t="n">
        <v>115</v>
      </c>
      <c r="Z983" t="n">
        <v>97</v>
      </c>
      <c r="AA983" t="n">
        <v>98</v>
      </c>
      <c r="AB983" t="n">
        <v>1</v>
      </c>
      <c r="AC983" t="n">
        <v>1</v>
      </c>
      <c r="AD983" t="n">
        <v>15</v>
      </c>
      <c r="AE983" t="n">
        <v>16</v>
      </c>
      <c r="AF983" t="n">
        <v>5</v>
      </c>
      <c r="AG983" t="n">
        <v>6</v>
      </c>
      <c r="AH983" t="n">
        <v>5</v>
      </c>
      <c r="AI983" t="n">
        <v>5</v>
      </c>
      <c r="AJ983" t="n">
        <v>9</v>
      </c>
      <c r="AK983" t="n">
        <v>10</v>
      </c>
      <c r="AL983" t="n">
        <v>0</v>
      </c>
      <c r="AM983" t="n">
        <v>0</v>
      </c>
      <c r="AN983" t="n">
        <v>0</v>
      </c>
      <c r="AO983" t="n">
        <v>0</v>
      </c>
      <c r="AP983" t="inlineStr">
        <is>
          <t>No</t>
        </is>
      </c>
      <c r="AQ983" t="inlineStr">
        <is>
          <t>No</t>
        </is>
      </c>
      <c r="AS983">
        <f>HYPERLINK("https://creighton-primo.hosted.exlibrisgroup.com/primo-explore/search?tab=default_tab&amp;search_scope=EVERYTHING&amp;vid=01CRU&amp;lang=en_US&amp;offset=0&amp;query=any,contains,991001650009702656","Catalog Record")</f>
        <v/>
      </c>
      <c r="AT983">
        <f>HYPERLINK("http://www.worldcat.org/oclc/21079970","WorldCat Record")</f>
        <v/>
      </c>
      <c r="AU983" t="inlineStr">
        <is>
          <t>139475745:eng</t>
        </is>
      </c>
      <c r="AV983" t="inlineStr">
        <is>
          <t>21079970</t>
        </is>
      </c>
      <c r="AW983" t="inlineStr">
        <is>
          <t>991001650009702656</t>
        </is>
      </c>
      <c r="AX983" t="inlineStr">
        <is>
          <t>991001650009702656</t>
        </is>
      </c>
      <c r="AY983" t="inlineStr">
        <is>
          <t>2271082510002656</t>
        </is>
      </c>
      <c r="AZ983" t="inlineStr">
        <is>
          <t>BOOK</t>
        </is>
      </c>
      <c r="BB983" t="inlineStr">
        <is>
          <t>9780894537981</t>
        </is>
      </c>
      <c r="BC983" t="inlineStr">
        <is>
          <t>32285000492818</t>
        </is>
      </c>
      <c r="BD983" t="inlineStr">
        <is>
          <t>893244271</t>
        </is>
      </c>
    </row>
    <row r="984">
      <c r="A984" t="inlineStr">
        <is>
          <t>No</t>
        </is>
      </c>
      <c r="B984" t="inlineStr">
        <is>
          <t>BX1968 .P43 2003</t>
        </is>
      </c>
      <c r="C984" t="inlineStr">
        <is>
          <t>0                      BX 1968000P  43          2003</t>
        </is>
      </c>
      <c r="D984" t="inlineStr">
        <is>
          <t>A "no frills" guide to catechesis / Carl J. Pfeifer, Janaan Manternach.</t>
        </is>
      </c>
      <c r="F984" t="inlineStr">
        <is>
          <t>No</t>
        </is>
      </c>
      <c r="G984" t="inlineStr">
        <is>
          <t>1</t>
        </is>
      </c>
      <c r="H984" t="inlineStr">
        <is>
          <t>No</t>
        </is>
      </c>
      <c r="I984" t="inlineStr">
        <is>
          <t>No</t>
        </is>
      </c>
      <c r="J984" t="inlineStr">
        <is>
          <t>0</t>
        </is>
      </c>
      <c r="K984" t="inlineStr">
        <is>
          <t>Pfeifer, Carl J.</t>
        </is>
      </c>
      <c r="L984" t="inlineStr">
        <is>
          <t>Washington, D.C. : National Catholic Educational Association, 2003.</t>
        </is>
      </c>
      <c r="M984" t="inlineStr">
        <is>
          <t>2003</t>
        </is>
      </c>
      <c r="O984" t="inlineStr">
        <is>
          <t>eng</t>
        </is>
      </c>
      <c r="P984" t="inlineStr">
        <is>
          <t>dcu</t>
        </is>
      </c>
      <c r="R984" t="inlineStr">
        <is>
          <t xml:space="preserve">BX </t>
        </is>
      </c>
      <c r="S984" t="n">
        <v>3</v>
      </c>
      <c r="T984" t="n">
        <v>3</v>
      </c>
      <c r="U984" t="inlineStr">
        <is>
          <t>2003-11-01</t>
        </is>
      </c>
      <c r="V984" t="inlineStr">
        <is>
          <t>2003-11-01</t>
        </is>
      </c>
      <c r="W984" t="inlineStr">
        <is>
          <t>2003-11-01</t>
        </is>
      </c>
      <c r="X984" t="inlineStr">
        <is>
          <t>2003-11-01</t>
        </is>
      </c>
      <c r="Y984" t="n">
        <v>24</v>
      </c>
      <c r="Z984" t="n">
        <v>23</v>
      </c>
      <c r="AA984" t="n">
        <v>23</v>
      </c>
      <c r="AB984" t="n">
        <v>1</v>
      </c>
      <c r="AC984" t="n">
        <v>1</v>
      </c>
      <c r="AD984" t="n">
        <v>7</v>
      </c>
      <c r="AE984" t="n">
        <v>7</v>
      </c>
      <c r="AF984" t="n">
        <v>3</v>
      </c>
      <c r="AG984" t="n">
        <v>3</v>
      </c>
      <c r="AH984" t="n">
        <v>2</v>
      </c>
      <c r="AI984" t="n">
        <v>2</v>
      </c>
      <c r="AJ984" t="n">
        <v>4</v>
      </c>
      <c r="AK984" t="n">
        <v>4</v>
      </c>
      <c r="AL984" t="n">
        <v>0</v>
      </c>
      <c r="AM984" t="n">
        <v>0</v>
      </c>
      <c r="AN984" t="n">
        <v>0</v>
      </c>
      <c r="AO984" t="n">
        <v>0</v>
      </c>
      <c r="AP984" t="inlineStr">
        <is>
          <t>No</t>
        </is>
      </c>
      <c r="AQ984" t="inlineStr">
        <is>
          <t>No</t>
        </is>
      </c>
      <c r="AS984">
        <f>HYPERLINK("https://creighton-primo.hosted.exlibrisgroup.com/primo-explore/search?tab=default_tab&amp;search_scope=EVERYTHING&amp;vid=01CRU&amp;lang=en_US&amp;offset=0&amp;query=any,contains,991004066649702656","Catalog Record")</f>
        <v/>
      </c>
      <c r="AT984">
        <f>HYPERLINK("http://www.worldcat.org/oclc/52999063","WorldCat Record")</f>
        <v/>
      </c>
      <c r="AU984" t="inlineStr">
        <is>
          <t>11898637:eng</t>
        </is>
      </c>
      <c r="AV984" t="inlineStr">
        <is>
          <t>52999063</t>
        </is>
      </c>
      <c r="AW984" t="inlineStr">
        <is>
          <t>991004066649702656</t>
        </is>
      </c>
      <c r="AX984" t="inlineStr">
        <is>
          <t>991004066649702656</t>
        </is>
      </c>
      <c r="AY984" t="inlineStr">
        <is>
          <t>2266165450002656</t>
        </is>
      </c>
      <c r="AZ984" t="inlineStr">
        <is>
          <t>BOOK</t>
        </is>
      </c>
      <c r="BB984" t="inlineStr">
        <is>
          <t>9781558333024</t>
        </is>
      </c>
      <c r="BC984" t="inlineStr">
        <is>
          <t>32285004753116</t>
        </is>
      </c>
      <c r="BD984" t="inlineStr">
        <is>
          <t>893869235</t>
        </is>
      </c>
    </row>
    <row r="985">
      <c r="A985" t="inlineStr">
        <is>
          <t>No</t>
        </is>
      </c>
      <c r="B985" t="inlineStr">
        <is>
          <t>BX1968 .P47 2001</t>
        </is>
      </c>
      <c r="C985" t="inlineStr">
        <is>
          <t>0                      BX 1968000P  47          2001</t>
        </is>
      </c>
      <c r="D985" t="inlineStr">
        <is>
          <t>Perspectives on leadership and catechesis / Robert I. Colbert, general editor ; Janice A. Kraus, managing editor.</t>
        </is>
      </c>
      <c r="F985" t="inlineStr">
        <is>
          <t>No</t>
        </is>
      </c>
      <c r="G985" t="inlineStr">
        <is>
          <t>1</t>
        </is>
      </c>
      <c r="H985" t="inlineStr">
        <is>
          <t>No</t>
        </is>
      </c>
      <c r="I985" t="inlineStr">
        <is>
          <t>No</t>
        </is>
      </c>
      <c r="J985" t="inlineStr">
        <is>
          <t>0</t>
        </is>
      </c>
      <c r="L985" t="inlineStr">
        <is>
          <t>Washington, D.C. : National Catholic Education Association, c2001.</t>
        </is>
      </c>
      <c r="M985" t="inlineStr">
        <is>
          <t>2001</t>
        </is>
      </c>
      <c r="O985" t="inlineStr">
        <is>
          <t>eng</t>
        </is>
      </c>
      <c r="P985" t="inlineStr">
        <is>
          <t>dcu</t>
        </is>
      </c>
      <c r="R985" t="inlineStr">
        <is>
          <t xml:space="preserve">BX </t>
        </is>
      </c>
      <c r="S985" t="n">
        <v>1</v>
      </c>
      <c r="T985" t="n">
        <v>1</v>
      </c>
      <c r="U985" t="inlineStr">
        <is>
          <t>2002-03-25</t>
        </is>
      </c>
      <c r="V985" t="inlineStr">
        <is>
          <t>2002-03-25</t>
        </is>
      </c>
      <c r="W985" t="inlineStr">
        <is>
          <t>2002-02-06</t>
        </is>
      </c>
      <c r="X985" t="inlineStr">
        <is>
          <t>2002-02-06</t>
        </is>
      </c>
      <c r="Y985" t="n">
        <v>40</v>
      </c>
      <c r="Z985" t="n">
        <v>37</v>
      </c>
      <c r="AA985" t="n">
        <v>42</v>
      </c>
      <c r="AB985" t="n">
        <v>1</v>
      </c>
      <c r="AC985" t="n">
        <v>1</v>
      </c>
      <c r="AD985" t="n">
        <v>6</v>
      </c>
      <c r="AE985" t="n">
        <v>6</v>
      </c>
      <c r="AF985" t="n">
        <v>2</v>
      </c>
      <c r="AG985" t="n">
        <v>2</v>
      </c>
      <c r="AH985" t="n">
        <v>1</v>
      </c>
      <c r="AI985" t="n">
        <v>1</v>
      </c>
      <c r="AJ985" t="n">
        <v>4</v>
      </c>
      <c r="AK985" t="n">
        <v>4</v>
      </c>
      <c r="AL985" t="n">
        <v>0</v>
      </c>
      <c r="AM985" t="n">
        <v>0</v>
      </c>
      <c r="AN985" t="n">
        <v>0</v>
      </c>
      <c r="AO985" t="n">
        <v>0</v>
      </c>
      <c r="AP985" t="inlineStr">
        <is>
          <t>No</t>
        </is>
      </c>
      <c r="AQ985" t="inlineStr">
        <is>
          <t>No</t>
        </is>
      </c>
      <c r="AS985">
        <f>HYPERLINK("https://creighton-primo.hosted.exlibrisgroup.com/primo-explore/search?tab=default_tab&amp;search_scope=EVERYTHING&amp;vid=01CRU&amp;lang=en_US&amp;offset=0&amp;query=any,contains,991003636999702656","Catalog Record")</f>
        <v/>
      </c>
      <c r="AT985">
        <f>HYPERLINK("http://www.worldcat.org/oclc/48617092","WorldCat Record")</f>
        <v/>
      </c>
      <c r="AU985" t="inlineStr">
        <is>
          <t>10172071690:eng</t>
        </is>
      </c>
      <c r="AV985" t="inlineStr">
        <is>
          <t>48617092</t>
        </is>
      </c>
      <c r="AW985" t="inlineStr">
        <is>
          <t>991003636999702656</t>
        </is>
      </c>
      <c r="AX985" t="inlineStr">
        <is>
          <t>991003636999702656</t>
        </is>
      </c>
      <c r="AY985" t="inlineStr">
        <is>
          <t>2271377320002656</t>
        </is>
      </c>
      <c r="AZ985" t="inlineStr">
        <is>
          <t>BOOK</t>
        </is>
      </c>
      <c r="BB985" t="inlineStr">
        <is>
          <t>9781558332645</t>
        </is>
      </c>
      <c r="BC985" t="inlineStr">
        <is>
          <t>32285004417902</t>
        </is>
      </c>
      <c r="BD985" t="inlineStr">
        <is>
          <t>893518699</t>
        </is>
      </c>
    </row>
    <row r="986">
      <c r="A986" t="inlineStr">
        <is>
          <t>No</t>
        </is>
      </c>
      <c r="B986" t="inlineStr">
        <is>
          <t>BX1968 .P76 2004</t>
        </is>
      </c>
      <c r="C986" t="inlineStr">
        <is>
          <t>0                      BX 1968000P  76          2004</t>
        </is>
      </c>
      <c r="D986" t="inlineStr">
        <is>
          <t>Proceedings of the 12th annual national association of parish catechetical directors (NPCD) convocation : April 13-16, 2004 Boston, MA / Most Rev. Richard J. Malone; Dr. Carole Eipers; Sr. Catherine Dooley.</t>
        </is>
      </c>
      <c r="F986" t="inlineStr">
        <is>
          <t>No</t>
        </is>
      </c>
      <c r="G986" t="inlineStr">
        <is>
          <t>1</t>
        </is>
      </c>
      <c r="H986" t="inlineStr">
        <is>
          <t>No</t>
        </is>
      </c>
      <c r="I986" t="inlineStr">
        <is>
          <t>No</t>
        </is>
      </c>
      <c r="J986" t="inlineStr">
        <is>
          <t>0</t>
        </is>
      </c>
      <c r="L986" t="inlineStr">
        <is>
          <t>Washington, DC : National Catholic Educational Association, 2005.</t>
        </is>
      </c>
      <c r="M986" t="inlineStr">
        <is>
          <t>2005</t>
        </is>
      </c>
      <c r="O986" t="inlineStr">
        <is>
          <t>eng</t>
        </is>
      </c>
      <c r="P986" t="inlineStr">
        <is>
          <t>dcu</t>
        </is>
      </c>
      <c r="R986" t="inlineStr">
        <is>
          <t xml:space="preserve">BX </t>
        </is>
      </c>
      <c r="S986" t="n">
        <v>1</v>
      </c>
      <c r="T986" t="n">
        <v>1</v>
      </c>
      <c r="U986" t="inlineStr">
        <is>
          <t>2005-08-17</t>
        </is>
      </c>
      <c r="V986" t="inlineStr">
        <is>
          <t>2005-08-17</t>
        </is>
      </c>
      <c r="W986" t="inlineStr">
        <is>
          <t>2005-07-20</t>
        </is>
      </c>
      <c r="X986" t="inlineStr">
        <is>
          <t>2005-07-20</t>
        </is>
      </c>
      <c r="Y986" t="n">
        <v>13</v>
      </c>
      <c r="Z986" t="n">
        <v>13</v>
      </c>
      <c r="AA986" t="n">
        <v>13</v>
      </c>
      <c r="AB986" t="n">
        <v>1</v>
      </c>
      <c r="AC986" t="n">
        <v>1</v>
      </c>
      <c r="AD986" t="n">
        <v>3</v>
      </c>
      <c r="AE986" t="n">
        <v>3</v>
      </c>
      <c r="AF986" t="n">
        <v>1</v>
      </c>
      <c r="AG986" t="n">
        <v>1</v>
      </c>
      <c r="AH986" t="n">
        <v>1</v>
      </c>
      <c r="AI986" t="n">
        <v>1</v>
      </c>
      <c r="AJ986" t="n">
        <v>1</v>
      </c>
      <c r="AK986" t="n">
        <v>1</v>
      </c>
      <c r="AL986" t="n">
        <v>0</v>
      </c>
      <c r="AM986" t="n">
        <v>0</v>
      </c>
      <c r="AN986" t="n">
        <v>0</v>
      </c>
      <c r="AO986" t="n">
        <v>0</v>
      </c>
      <c r="AP986" t="inlineStr">
        <is>
          <t>No</t>
        </is>
      </c>
      <c r="AQ986" t="inlineStr">
        <is>
          <t>No</t>
        </is>
      </c>
      <c r="AS986">
        <f>HYPERLINK("https://creighton-primo.hosted.exlibrisgroup.com/primo-explore/search?tab=default_tab&amp;search_scope=EVERYTHING&amp;vid=01CRU&amp;lang=en_US&amp;offset=0&amp;query=any,contains,991004555139702656","Catalog Record")</f>
        <v/>
      </c>
      <c r="AT986">
        <f>HYPERLINK("http://www.worldcat.org/oclc/60548080","WorldCat Record")</f>
        <v/>
      </c>
      <c r="AU986" t="inlineStr">
        <is>
          <t>43225965:eng</t>
        </is>
      </c>
      <c r="AV986" t="inlineStr">
        <is>
          <t>60548080</t>
        </is>
      </c>
      <c r="AW986" t="inlineStr">
        <is>
          <t>991004555139702656</t>
        </is>
      </c>
      <c r="AX986" t="inlineStr">
        <is>
          <t>991004555139702656</t>
        </is>
      </c>
      <c r="AY986" t="inlineStr">
        <is>
          <t>2260589680002656</t>
        </is>
      </c>
      <c r="AZ986" t="inlineStr">
        <is>
          <t>BOOK</t>
        </is>
      </c>
      <c r="BB986" t="inlineStr">
        <is>
          <t>9781558333437</t>
        </is>
      </c>
      <c r="BC986" t="inlineStr">
        <is>
          <t>32285005097257</t>
        </is>
      </c>
      <c r="BD986" t="inlineStr">
        <is>
          <t>893526240</t>
        </is>
      </c>
    </row>
    <row r="987">
      <c r="A987" t="inlineStr">
        <is>
          <t>No</t>
        </is>
      </c>
      <c r="B987" t="inlineStr">
        <is>
          <t>BX1968 .R43 2004</t>
        </is>
      </c>
      <c r="C987" t="inlineStr">
        <is>
          <t>0                      BX 1968000R  43          2004</t>
        </is>
      </c>
      <c r="D987" t="inlineStr">
        <is>
          <t>Readings for effective catechetical leaders : on ministry, formation, growth, worship and community / from the writers of the newsletter of the National Association of Parish Catechetical Directors (NPCD).</t>
        </is>
      </c>
      <c r="F987" t="inlineStr">
        <is>
          <t>No</t>
        </is>
      </c>
      <c r="G987" t="inlineStr">
        <is>
          <t>1</t>
        </is>
      </c>
      <c r="H987" t="inlineStr">
        <is>
          <t>No</t>
        </is>
      </c>
      <c r="I987" t="inlineStr">
        <is>
          <t>No</t>
        </is>
      </c>
      <c r="J987" t="inlineStr">
        <is>
          <t>0</t>
        </is>
      </c>
      <c r="L987" t="inlineStr">
        <is>
          <t>Washington, D.C. : National Catholic Educational Association, 2004.</t>
        </is>
      </c>
      <c r="M987" t="inlineStr">
        <is>
          <t>2004</t>
        </is>
      </c>
      <c r="O987" t="inlineStr">
        <is>
          <t>eng</t>
        </is>
      </c>
      <c r="P987" t="inlineStr">
        <is>
          <t>dcu</t>
        </is>
      </c>
      <c r="R987" t="inlineStr">
        <is>
          <t xml:space="preserve">BX </t>
        </is>
      </c>
      <c r="S987" t="n">
        <v>2</v>
      </c>
      <c r="T987" t="n">
        <v>2</v>
      </c>
      <c r="U987" t="inlineStr">
        <is>
          <t>2005-11-08</t>
        </is>
      </c>
      <c r="V987" t="inlineStr">
        <is>
          <t>2005-11-08</t>
        </is>
      </c>
      <c r="W987" t="inlineStr">
        <is>
          <t>2004-06-10</t>
        </is>
      </c>
      <c r="X987" t="inlineStr">
        <is>
          <t>2004-06-10</t>
        </is>
      </c>
      <c r="Y987" t="n">
        <v>24</v>
      </c>
      <c r="Z987" t="n">
        <v>21</v>
      </c>
      <c r="AA987" t="n">
        <v>21</v>
      </c>
      <c r="AB987" t="n">
        <v>1</v>
      </c>
      <c r="AC987" t="n">
        <v>1</v>
      </c>
      <c r="AD987" t="n">
        <v>5</v>
      </c>
      <c r="AE987" t="n">
        <v>5</v>
      </c>
      <c r="AF987" t="n">
        <v>2</v>
      </c>
      <c r="AG987" t="n">
        <v>2</v>
      </c>
      <c r="AH987" t="n">
        <v>1</v>
      </c>
      <c r="AI987" t="n">
        <v>1</v>
      </c>
      <c r="AJ987" t="n">
        <v>3</v>
      </c>
      <c r="AK987" t="n">
        <v>3</v>
      </c>
      <c r="AL987" t="n">
        <v>0</v>
      </c>
      <c r="AM987" t="n">
        <v>0</v>
      </c>
      <c r="AN987" t="n">
        <v>0</v>
      </c>
      <c r="AO987" t="n">
        <v>0</v>
      </c>
      <c r="AP987" t="inlineStr">
        <is>
          <t>No</t>
        </is>
      </c>
      <c r="AQ987" t="inlineStr">
        <is>
          <t>No</t>
        </is>
      </c>
      <c r="AS987">
        <f>HYPERLINK("https://creighton-primo.hosted.exlibrisgroup.com/primo-explore/search?tab=default_tab&amp;search_scope=EVERYTHING&amp;vid=01CRU&amp;lang=en_US&amp;offset=0&amp;query=any,contains,991004311069702656","Catalog Record")</f>
        <v/>
      </c>
      <c r="AT987">
        <f>HYPERLINK("http://www.worldcat.org/oclc/55151260","WorldCat Record")</f>
        <v/>
      </c>
      <c r="AU987" t="inlineStr">
        <is>
          <t>13534920:eng</t>
        </is>
      </c>
      <c r="AV987" t="inlineStr">
        <is>
          <t>55151260</t>
        </is>
      </c>
      <c r="AW987" t="inlineStr">
        <is>
          <t>991004311069702656</t>
        </is>
      </c>
      <c r="AX987" t="inlineStr">
        <is>
          <t>991004311069702656</t>
        </is>
      </c>
      <c r="AY987" t="inlineStr">
        <is>
          <t>2264110110002656</t>
        </is>
      </c>
      <c r="AZ987" t="inlineStr">
        <is>
          <t>BOOK</t>
        </is>
      </c>
      <c r="BB987" t="inlineStr">
        <is>
          <t>9781558333314</t>
        </is>
      </c>
      <c r="BC987" t="inlineStr">
        <is>
          <t>32285004909213</t>
        </is>
      </c>
      <c r="BD987" t="inlineStr">
        <is>
          <t>893229193</t>
        </is>
      </c>
    </row>
    <row r="988">
      <c r="A988" t="inlineStr">
        <is>
          <t>No</t>
        </is>
      </c>
      <c r="B988" t="inlineStr">
        <is>
          <t>BX1968 .R432 2006</t>
        </is>
      </c>
      <c r="C988" t="inlineStr">
        <is>
          <t>0                      BX 1968000R  432         2006</t>
        </is>
      </c>
      <c r="D988" t="inlineStr">
        <is>
          <t>Readings for effective catechetical leaders II : In tune with the church ; in tune with colleagues; in tune with on-going professional development / from the writers of the newsletter of the National Association of Parish Catechetical Directors (NPCD).</t>
        </is>
      </c>
      <c r="F988" t="inlineStr">
        <is>
          <t>No</t>
        </is>
      </c>
      <c r="G988" t="inlineStr">
        <is>
          <t>1</t>
        </is>
      </c>
      <c r="H988" t="inlineStr">
        <is>
          <t>No</t>
        </is>
      </c>
      <c r="I988" t="inlineStr">
        <is>
          <t>No</t>
        </is>
      </c>
      <c r="J988" t="inlineStr">
        <is>
          <t>0</t>
        </is>
      </c>
      <c r="L988" t="inlineStr">
        <is>
          <t>Washington, D.C. : National Catholic Educational Association, 2006.</t>
        </is>
      </c>
      <c r="M988" t="inlineStr">
        <is>
          <t>2006</t>
        </is>
      </c>
      <c r="O988" t="inlineStr">
        <is>
          <t>eng</t>
        </is>
      </c>
      <c r="P988" t="inlineStr">
        <is>
          <t>dcu</t>
        </is>
      </c>
      <c r="R988" t="inlineStr">
        <is>
          <t xml:space="preserve">BX </t>
        </is>
      </c>
      <c r="S988" t="n">
        <v>1</v>
      </c>
      <c r="T988" t="n">
        <v>1</v>
      </c>
      <c r="U988" t="inlineStr">
        <is>
          <t>2006-06-26</t>
        </is>
      </c>
      <c r="V988" t="inlineStr">
        <is>
          <t>2006-06-26</t>
        </is>
      </c>
      <c r="W988" t="inlineStr">
        <is>
          <t>2006-06-26</t>
        </is>
      </c>
      <c r="X988" t="inlineStr">
        <is>
          <t>2006-06-26</t>
        </is>
      </c>
      <c r="Y988" t="n">
        <v>19</v>
      </c>
      <c r="Z988" t="n">
        <v>19</v>
      </c>
      <c r="AA988" t="n">
        <v>19</v>
      </c>
      <c r="AB988" t="n">
        <v>1</v>
      </c>
      <c r="AC988" t="n">
        <v>1</v>
      </c>
      <c r="AD988" t="n">
        <v>6</v>
      </c>
      <c r="AE988" t="n">
        <v>6</v>
      </c>
      <c r="AF988" t="n">
        <v>2</v>
      </c>
      <c r="AG988" t="n">
        <v>2</v>
      </c>
      <c r="AH988" t="n">
        <v>1</v>
      </c>
      <c r="AI988" t="n">
        <v>1</v>
      </c>
      <c r="AJ988" t="n">
        <v>4</v>
      </c>
      <c r="AK988" t="n">
        <v>4</v>
      </c>
      <c r="AL988" t="n">
        <v>0</v>
      </c>
      <c r="AM988" t="n">
        <v>0</v>
      </c>
      <c r="AN988" t="n">
        <v>0</v>
      </c>
      <c r="AO988" t="n">
        <v>0</v>
      </c>
      <c r="AP988" t="inlineStr">
        <is>
          <t>No</t>
        </is>
      </c>
      <c r="AQ988" t="inlineStr">
        <is>
          <t>No</t>
        </is>
      </c>
      <c r="AS988">
        <f>HYPERLINK("https://creighton-primo.hosted.exlibrisgroup.com/primo-explore/search?tab=default_tab&amp;search_scope=EVERYTHING&amp;vid=01CRU&amp;lang=en_US&amp;offset=0&amp;query=any,contains,991004812579702656","Catalog Record")</f>
        <v/>
      </c>
      <c r="AT988">
        <f>HYPERLINK("http://www.worldcat.org/oclc/69669750","WorldCat Record")</f>
        <v/>
      </c>
      <c r="AU988" t="inlineStr">
        <is>
          <t>53101624:eng</t>
        </is>
      </c>
      <c r="AV988" t="inlineStr">
        <is>
          <t>69669750</t>
        </is>
      </c>
      <c r="AW988" t="inlineStr">
        <is>
          <t>991004812579702656</t>
        </is>
      </c>
      <c r="AX988" t="inlineStr">
        <is>
          <t>991004812579702656</t>
        </is>
      </c>
      <c r="AY988" t="inlineStr">
        <is>
          <t>2258410240002656</t>
        </is>
      </c>
      <c r="AZ988" t="inlineStr">
        <is>
          <t>BOOK</t>
        </is>
      </c>
      <c r="BB988" t="inlineStr">
        <is>
          <t>9781558333772</t>
        </is>
      </c>
      <c r="BC988" t="inlineStr">
        <is>
          <t>32285005185003</t>
        </is>
      </c>
      <c r="BD988" t="inlineStr">
        <is>
          <t>893795300</t>
        </is>
      </c>
    </row>
    <row r="989">
      <c r="A989" t="inlineStr">
        <is>
          <t>No</t>
        </is>
      </c>
      <c r="B989" t="inlineStr">
        <is>
          <t>BX1968 .R52 1984</t>
        </is>
      </c>
      <c r="C989" t="inlineStr">
        <is>
          <t>0                      BX 1968000R  52          1984</t>
        </is>
      </c>
      <c r="D989" t="inlineStr">
        <is>
          <t>Rich in compassion : Psalm 103 : Catechetical Sunday, September 16, 1984 / [prepared by Mariella Frye in consultation with the staff of the USCC Department of Education].</t>
        </is>
      </c>
      <c r="F989" t="inlineStr">
        <is>
          <t>No</t>
        </is>
      </c>
      <c r="G989" t="inlineStr">
        <is>
          <t>1</t>
        </is>
      </c>
      <c r="H989" t="inlineStr">
        <is>
          <t>No</t>
        </is>
      </c>
      <c r="I989" t="inlineStr">
        <is>
          <t>No</t>
        </is>
      </c>
      <c r="J989" t="inlineStr">
        <is>
          <t>0</t>
        </is>
      </c>
      <c r="K989" t="inlineStr">
        <is>
          <t>Rich in compassion. Spanish &amp; English.</t>
        </is>
      </c>
      <c r="L989" t="inlineStr">
        <is>
          <t>Washington, D.C. : United States Catholic Conference, c1984.</t>
        </is>
      </c>
      <c r="M989" t="inlineStr">
        <is>
          <t>1984</t>
        </is>
      </c>
      <c r="O989" t="inlineStr">
        <is>
          <t>eng</t>
        </is>
      </c>
      <c r="P989" t="inlineStr">
        <is>
          <t>dcu</t>
        </is>
      </c>
      <c r="R989" t="inlineStr">
        <is>
          <t xml:space="preserve">BX </t>
        </is>
      </c>
      <c r="S989" t="n">
        <v>2</v>
      </c>
      <c r="T989" t="n">
        <v>2</v>
      </c>
      <c r="U989" t="inlineStr">
        <is>
          <t>1995-07-13</t>
        </is>
      </c>
      <c r="V989" t="inlineStr">
        <is>
          <t>1995-07-13</t>
        </is>
      </c>
      <c r="W989" t="inlineStr">
        <is>
          <t>1991-07-03</t>
        </is>
      </c>
      <c r="X989" t="inlineStr">
        <is>
          <t>1991-07-03</t>
        </is>
      </c>
      <c r="Y989" t="n">
        <v>40</v>
      </c>
      <c r="Z989" t="n">
        <v>39</v>
      </c>
      <c r="AA989" t="n">
        <v>39</v>
      </c>
      <c r="AB989" t="n">
        <v>1</v>
      </c>
      <c r="AC989" t="n">
        <v>1</v>
      </c>
      <c r="AD989" t="n">
        <v>8</v>
      </c>
      <c r="AE989" t="n">
        <v>8</v>
      </c>
      <c r="AF989" t="n">
        <v>2</v>
      </c>
      <c r="AG989" t="n">
        <v>2</v>
      </c>
      <c r="AH989" t="n">
        <v>2</v>
      </c>
      <c r="AI989" t="n">
        <v>2</v>
      </c>
      <c r="AJ989" t="n">
        <v>7</v>
      </c>
      <c r="AK989" t="n">
        <v>7</v>
      </c>
      <c r="AL989" t="n">
        <v>0</v>
      </c>
      <c r="AM989" t="n">
        <v>0</v>
      </c>
      <c r="AN989" t="n">
        <v>0</v>
      </c>
      <c r="AO989" t="n">
        <v>0</v>
      </c>
      <c r="AP989" t="inlineStr">
        <is>
          <t>No</t>
        </is>
      </c>
      <c r="AQ989" t="inlineStr">
        <is>
          <t>No</t>
        </is>
      </c>
      <c r="AS989">
        <f>HYPERLINK("https://creighton-primo.hosted.exlibrisgroup.com/primo-explore/search?tab=default_tab&amp;search_scope=EVERYTHING&amp;vid=01CRU&amp;lang=en_US&amp;offset=0&amp;query=any,contains,991000474189702656","Catalog Record")</f>
        <v/>
      </c>
      <c r="AT989">
        <f>HYPERLINK("http://www.worldcat.org/oclc/11004774","WorldCat Record")</f>
        <v/>
      </c>
      <c r="AU989" t="inlineStr">
        <is>
          <t>6184332475:eng</t>
        </is>
      </c>
      <c r="AV989" t="inlineStr">
        <is>
          <t>11004774</t>
        </is>
      </c>
      <c r="AW989" t="inlineStr">
        <is>
          <t>991000474189702656</t>
        </is>
      </c>
      <c r="AX989" t="inlineStr">
        <is>
          <t>991000474189702656</t>
        </is>
      </c>
      <c r="AY989" t="inlineStr">
        <is>
          <t>2256783790002656</t>
        </is>
      </c>
      <c r="AZ989" t="inlineStr">
        <is>
          <t>BOOK</t>
        </is>
      </c>
      <c r="BC989" t="inlineStr">
        <is>
          <t>32285000668391</t>
        </is>
      </c>
      <c r="BD989" t="inlineStr">
        <is>
          <t>893231135</t>
        </is>
      </c>
    </row>
    <row r="990">
      <c r="A990" t="inlineStr">
        <is>
          <t>No</t>
        </is>
      </c>
      <c r="B990" t="inlineStr">
        <is>
          <t>BX1968 .S453</t>
        </is>
      </c>
      <c r="C990" t="inlineStr">
        <is>
          <t>0                      BX 1968000S  453</t>
        </is>
      </c>
      <c r="D990" t="inlineStr">
        <is>
          <t>Sharing the light of faith : norms and guidelines for catechetical planners.</t>
        </is>
      </c>
      <c r="F990" t="inlineStr">
        <is>
          <t>No</t>
        </is>
      </c>
      <c r="G990" t="inlineStr">
        <is>
          <t>1</t>
        </is>
      </c>
      <c r="H990" t="inlineStr">
        <is>
          <t>No</t>
        </is>
      </c>
      <c r="I990" t="inlineStr">
        <is>
          <t>Yes</t>
        </is>
      </c>
      <c r="J990" t="inlineStr">
        <is>
          <t>0</t>
        </is>
      </c>
      <c r="L990" t="inlineStr">
        <is>
          <t>[Washington : United States Catholic Conference, Dept. of Education, c1980.]</t>
        </is>
      </c>
      <c r="M990" t="inlineStr">
        <is>
          <t>1980</t>
        </is>
      </c>
      <c r="O990" t="inlineStr">
        <is>
          <t>eng</t>
        </is>
      </c>
      <c r="P990" t="inlineStr">
        <is>
          <t>dcu</t>
        </is>
      </c>
      <c r="R990" t="inlineStr">
        <is>
          <t xml:space="preserve">BX </t>
        </is>
      </c>
      <c r="S990" t="n">
        <v>8</v>
      </c>
      <c r="T990" t="n">
        <v>8</v>
      </c>
      <c r="U990" t="inlineStr">
        <is>
          <t>1999-12-23</t>
        </is>
      </c>
      <c r="V990" t="inlineStr">
        <is>
          <t>1999-12-23</t>
        </is>
      </c>
      <c r="W990" t="inlineStr">
        <is>
          <t>2000-02-01</t>
        </is>
      </c>
      <c r="X990" t="inlineStr">
        <is>
          <t>2000-02-01</t>
        </is>
      </c>
      <c r="Y990" t="n">
        <v>104</v>
      </c>
      <c r="Z990" t="n">
        <v>98</v>
      </c>
      <c r="AA990" t="n">
        <v>184</v>
      </c>
      <c r="AB990" t="n">
        <v>2</v>
      </c>
      <c r="AC990" t="n">
        <v>4</v>
      </c>
      <c r="AD990" t="n">
        <v>19</v>
      </c>
      <c r="AE990" t="n">
        <v>28</v>
      </c>
      <c r="AF990" t="n">
        <v>5</v>
      </c>
      <c r="AG990" t="n">
        <v>9</v>
      </c>
      <c r="AH990" t="n">
        <v>7</v>
      </c>
      <c r="AI990" t="n">
        <v>7</v>
      </c>
      <c r="AJ990" t="n">
        <v>14</v>
      </c>
      <c r="AK990" t="n">
        <v>20</v>
      </c>
      <c r="AL990" t="n">
        <v>0</v>
      </c>
      <c r="AM990" t="n">
        <v>1</v>
      </c>
      <c r="AN990" t="n">
        <v>0</v>
      </c>
      <c r="AO990" t="n">
        <v>0</v>
      </c>
      <c r="AP990" t="inlineStr">
        <is>
          <t>No</t>
        </is>
      </c>
      <c r="AQ990" t="inlineStr">
        <is>
          <t>No</t>
        </is>
      </c>
      <c r="AS990">
        <f>HYPERLINK("https://creighton-primo.hosted.exlibrisgroup.com/primo-explore/search?tab=default_tab&amp;search_scope=EVERYTHING&amp;vid=01CRU&amp;lang=en_US&amp;offset=0&amp;query=any,contains,991005104729702656","Catalog Record")</f>
        <v/>
      </c>
      <c r="AT990">
        <f>HYPERLINK("http://www.worldcat.org/oclc/7326060","WorldCat Record")</f>
        <v/>
      </c>
      <c r="AU990" t="inlineStr">
        <is>
          <t>3858869712:eng</t>
        </is>
      </c>
      <c r="AV990" t="inlineStr">
        <is>
          <t>7326060</t>
        </is>
      </c>
      <c r="AW990" t="inlineStr">
        <is>
          <t>991005104729702656</t>
        </is>
      </c>
      <c r="AX990" t="inlineStr">
        <is>
          <t>991005104729702656</t>
        </is>
      </c>
      <c r="AY990" t="inlineStr">
        <is>
          <t>2269851740002656</t>
        </is>
      </c>
      <c r="AZ990" t="inlineStr">
        <is>
          <t>BOOK</t>
        </is>
      </c>
      <c r="BC990" t="inlineStr">
        <is>
          <t>32285003657938</t>
        </is>
      </c>
      <c r="BD990" t="inlineStr">
        <is>
          <t>893619448</t>
        </is>
      </c>
    </row>
    <row r="991">
      <c r="A991" t="inlineStr">
        <is>
          <t>No</t>
        </is>
      </c>
      <c r="B991" t="inlineStr">
        <is>
          <t>BX1968 .S5 1963</t>
        </is>
      </c>
      <c r="C991" t="inlineStr">
        <is>
          <t>0                      BX 1968000S  5           1963</t>
        </is>
      </c>
      <c r="D991" t="inlineStr">
        <is>
          <t>Modern catechetics : message and method in religious formation.</t>
        </is>
      </c>
      <c r="F991" t="inlineStr">
        <is>
          <t>No</t>
        </is>
      </c>
      <c r="G991" t="inlineStr">
        <is>
          <t>1</t>
        </is>
      </c>
      <c r="H991" t="inlineStr">
        <is>
          <t>No</t>
        </is>
      </c>
      <c r="I991" t="inlineStr">
        <is>
          <t>No</t>
        </is>
      </c>
      <c r="J991" t="inlineStr">
        <is>
          <t>0</t>
        </is>
      </c>
      <c r="K991" t="inlineStr">
        <is>
          <t>Sloyan, Gerard S., 1919-, editor.</t>
        </is>
      </c>
      <c r="L991" t="inlineStr">
        <is>
          <t>New York : Macmillan, [1963]</t>
        </is>
      </c>
      <c r="M991" t="inlineStr">
        <is>
          <t>1963</t>
        </is>
      </c>
      <c r="O991" t="inlineStr">
        <is>
          <t>eng</t>
        </is>
      </c>
      <c r="P991" t="inlineStr">
        <is>
          <t xml:space="preserve">xx </t>
        </is>
      </c>
      <c r="R991" t="inlineStr">
        <is>
          <t xml:space="preserve">BX </t>
        </is>
      </c>
      <c r="S991" t="n">
        <v>3</v>
      </c>
      <c r="T991" t="n">
        <v>3</v>
      </c>
      <c r="U991" t="inlineStr">
        <is>
          <t>2002-11-20</t>
        </is>
      </c>
      <c r="V991" t="inlineStr">
        <is>
          <t>2002-11-20</t>
        </is>
      </c>
      <c r="W991" t="inlineStr">
        <is>
          <t>1991-07-03</t>
        </is>
      </c>
      <c r="X991" t="inlineStr">
        <is>
          <t>1991-07-03</t>
        </is>
      </c>
      <c r="Y991" t="n">
        <v>281</v>
      </c>
      <c r="Z991" t="n">
        <v>243</v>
      </c>
      <c r="AA991" t="n">
        <v>252</v>
      </c>
      <c r="AB991" t="n">
        <v>2</v>
      </c>
      <c r="AC991" t="n">
        <v>2</v>
      </c>
      <c r="AD991" t="n">
        <v>23</v>
      </c>
      <c r="AE991" t="n">
        <v>23</v>
      </c>
      <c r="AF991" t="n">
        <v>6</v>
      </c>
      <c r="AG991" t="n">
        <v>6</v>
      </c>
      <c r="AH991" t="n">
        <v>9</v>
      </c>
      <c r="AI991" t="n">
        <v>9</v>
      </c>
      <c r="AJ991" t="n">
        <v>15</v>
      </c>
      <c r="AK991" t="n">
        <v>15</v>
      </c>
      <c r="AL991" t="n">
        <v>1</v>
      </c>
      <c r="AM991" t="n">
        <v>1</v>
      </c>
      <c r="AN991" t="n">
        <v>0</v>
      </c>
      <c r="AO991" t="n">
        <v>0</v>
      </c>
      <c r="AP991" t="inlineStr">
        <is>
          <t>No</t>
        </is>
      </c>
      <c r="AQ991" t="inlineStr">
        <is>
          <t>No</t>
        </is>
      </c>
      <c r="AS991">
        <f>HYPERLINK("https://creighton-primo.hosted.exlibrisgroup.com/primo-explore/search?tab=default_tab&amp;search_scope=EVERYTHING&amp;vid=01CRU&amp;lang=en_US&amp;offset=0&amp;query=any,contains,991002892919702656","Catalog Record")</f>
        <v/>
      </c>
      <c r="AT991">
        <f>HYPERLINK("http://www.worldcat.org/oclc/876374","WorldCat Record")</f>
        <v/>
      </c>
      <c r="AU991" t="inlineStr">
        <is>
          <t>1851055:eng</t>
        </is>
      </c>
      <c r="AV991" t="inlineStr">
        <is>
          <t>876374</t>
        </is>
      </c>
      <c r="AW991" t="inlineStr">
        <is>
          <t>991002892919702656</t>
        </is>
      </c>
      <c r="AX991" t="inlineStr">
        <is>
          <t>991002892919702656</t>
        </is>
      </c>
      <c r="AY991" t="inlineStr">
        <is>
          <t>2263260060002656</t>
        </is>
      </c>
      <c r="AZ991" t="inlineStr">
        <is>
          <t>BOOK</t>
        </is>
      </c>
      <c r="BC991" t="inlineStr">
        <is>
          <t>32285000668417</t>
        </is>
      </c>
      <c r="BD991" t="inlineStr">
        <is>
          <t>893233563</t>
        </is>
      </c>
    </row>
    <row r="992">
      <c r="A992" t="inlineStr">
        <is>
          <t>No</t>
        </is>
      </c>
      <c r="B992" t="inlineStr">
        <is>
          <t>BX1968 .S64 1986</t>
        </is>
      </c>
      <c r="C992" t="inlineStr">
        <is>
          <t>0                      BX 1968000S  64          1986</t>
        </is>
      </c>
      <c r="D992" t="inlineStr">
        <is>
          <t>Speak the truth in love = Proclama la verdad con amor : 1 Timothy 2:1-8, Amos 8:4-7 : Catechetical Sunday September 21, 1986 / [prepared by Mariella Frye in consultation with the USCC Department of Education].</t>
        </is>
      </c>
      <c r="F992" t="inlineStr">
        <is>
          <t>No</t>
        </is>
      </c>
      <c r="G992" t="inlineStr">
        <is>
          <t>1</t>
        </is>
      </c>
      <c r="H992" t="inlineStr">
        <is>
          <t>No</t>
        </is>
      </c>
      <c r="I992" t="inlineStr">
        <is>
          <t>No</t>
        </is>
      </c>
      <c r="J992" t="inlineStr">
        <is>
          <t>0</t>
        </is>
      </c>
      <c r="L992" t="inlineStr">
        <is>
          <t>Washington, D.C. : United States Catholic Conference, c1986.</t>
        </is>
      </c>
      <c r="M992" t="inlineStr">
        <is>
          <t>1986</t>
        </is>
      </c>
      <c r="O992" t="inlineStr">
        <is>
          <t>eng</t>
        </is>
      </c>
      <c r="P992" t="inlineStr">
        <is>
          <t>dcu</t>
        </is>
      </c>
      <c r="Q992" t="inlineStr">
        <is>
          <t>Publication / Office of Publishing and Promotion Services, United States Catholic Conference ; no. 977.</t>
        </is>
      </c>
      <c r="R992" t="inlineStr">
        <is>
          <t xml:space="preserve">BX </t>
        </is>
      </c>
      <c r="S992" t="n">
        <v>3</v>
      </c>
      <c r="T992" t="n">
        <v>3</v>
      </c>
      <c r="U992" t="inlineStr">
        <is>
          <t>1995-07-13</t>
        </is>
      </c>
      <c r="V992" t="inlineStr">
        <is>
          <t>1995-07-13</t>
        </is>
      </c>
      <c r="W992" t="inlineStr">
        <is>
          <t>1991-07-03</t>
        </is>
      </c>
      <c r="X992" t="inlineStr">
        <is>
          <t>1991-07-03</t>
        </is>
      </c>
      <c r="Y992" t="n">
        <v>23</v>
      </c>
      <c r="Z992" t="n">
        <v>23</v>
      </c>
      <c r="AA992" t="n">
        <v>23</v>
      </c>
      <c r="AB992" t="n">
        <v>1</v>
      </c>
      <c r="AC992" t="n">
        <v>1</v>
      </c>
      <c r="AD992" t="n">
        <v>4</v>
      </c>
      <c r="AE992" t="n">
        <v>4</v>
      </c>
      <c r="AF992" t="n">
        <v>2</v>
      </c>
      <c r="AG992" t="n">
        <v>2</v>
      </c>
      <c r="AH992" t="n">
        <v>1</v>
      </c>
      <c r="AI992" t="n">
        <v>1</v>
      </c>
      <c r="AJ992" t="n">
        <v>3</v>
      </c>
      <c r="AK992" t="n">
        <v>3</v>
      </c>
      <c r="AL992" t="n">
        <v>0</v>
      </c>
      <c r="AM992" t="n">
        <v>0</v>
      </c>
      <c r="AN992" t="n">
        <v>0</v>
      </c>
      <c r="AO992" t="n">
        <v>0</v>
      </c>
      <c r="AP992" t="inlineStr">
        <is>
          <t>No</t>
        </is>
      </c>
      <c r="AQ992" t="inlineStr">
        <is>
          <t>No</t>
        </is>
      </c>
      <c r="AS992">
        <f>HYPERLINK("https://creighton-primo.hosted.exlibrisgroup.com/primo-explore/search?tab=default_tab&amp;search_scope=EVERYTHING&amp;vid=01CRU&amp;lang=en_US&amp;offset=0&amp;query=any,contains,991000920899702656","Catalog Record")</f>
        <v/>
      </c>
      <c r="AT992">
        <f>HYPERLINK("http://www.worldcat.org/oclc/14211468","WorldCat Record")</f>
        <v/>
      </c>
      <c r="AU992" t="inlineStr">
        <is>
          <t>5608899727:eng</t>
        </is>
      </c>
      <c r="AV992" t="inlineStr">
        <is>
          <t>14211468</t>
        </is>
      </c>
      <c r="AW992" t="inlineStr">
        <is>
          <t>991000920899702656</t>
        </is>
      </c>
      <c r="AX992" t="inlineStr">
        <is>
          <t>991000920899702656</t>
        </is>
      </c>
      <c r="AY992" t="inlineStr">
        <is>
          <t>2272207500002656</t>
        </is>
      </c>
      <c r="AZ992" t="inlineStr">
        <is>
          <t>BOOK</t>
        </is>
      </c>
      <c r="BC992" t="inlineStr">
        <is>
          <t>32285000668425</t>
        </is>
      </c>
      <c r="BD992" t="inlineStr">
        <is>
          <t>893702560</t>
        </is>
      </c>
    </row>
    <row r="993">
      <c r="A993" t="inlineStr">
        <is>
          <t>No</t>
        </is>
      </c>
      <c r="B993" t="inlineStr">
        <is>
          <t>BX1968 .S74 2004</t>
        </is>
      </c>
      <c r="C993" t="inlineStr">
        <is>
          <t>0                      BX 1968000S  74          2004</t>
        </is>
      </c>
      <c r="D993" t="inlineStr">
        <is>
          <t>Stewards of God's gifts : prayer services and retreats for the catechetical year, incluye servicios de oraciaon en espaanol.</t>
        </is>
      </c>
      <c r="F993" t="inlineStr">
        <is>
          <t>No</t>
        </is>
      </c>
      <c r="G993" t="inlineStr">
        <is>
          <t>1</t>
        </is>
      </c>
      <c r="H993" t="inlineStr">
        <is>
          <t>No</t>
        </is>
      </c>
      <c r="I993" t="inlineStr">
        <is>
          <t>No</t>
        </is>
      </c>
      <c r="J993" t="inlineStr">
        <is>
          <t>0</t>
        </is>
      </c>
      <c r="L993" t="inlineStr">
        <is>
          <t>Washington, D.C. : United States Conference of Catholic Bishops, c2004.</t>
        </is>
      </c>
      <c r="M993" t="inlineStr">
        <is>
          <t>2004</t>
        </is>
      </c>
      <c r="O993" t="inlineStr">
        <is>
          <t>eng</t>
        </is>
      </c>
      <c r="P993" t="inlineStr">
        <is>
          <t>dcu</t>
        </is>
      </c>
      <c r="Q993" t="inlineStr">
        <is>
          <t>[Publication / USCCB Publishing ; no. 5-589]</t>
        </is>
      </c>
      <c r="R993" t="inlineStr">
        <is>
          <t xml:space="preserve">BX </t>
        </is>
      </c>
      <c r="S993" t="n">
        <v>1</v>
      </c>
      <c r="T993" t="n">
        <v>1</v>
      </c>
      <c r="U993" t="inlineStr">
        <is>
          <t>2004-06-10</t>
        </is>
      </c>
      <c r="V993" t="inlineStr">
        <is>
          <t>2004-06-10</t>
        </is>
      </c>
      <c r="W993" t="inlineStr">
        <is>
          <t>2004-06-10</t>
        </is>
      </c>
      <c r="X993" t="inlineStr">
        <is>
          <t>2004-06-10</t>
        </is>
      </c>
      <c r="Y993" t="n">
        <v>36</v>
      </c>
      <c r="Z993" t="n">
        <v>35</v>
      </c>
      <c r="AA993" t="n">
        <v>39</v>
      </c>
      <c r="AB993" t="n">
        <v>1</v>
      </c>
      <c r="AC993" t="n">
        <v>1</v>
      </c>
      <c r="AD993" t="n">
        <v>6</v>
      </c>
      <c r="AE993" t="n">
        <v>6</v>
      </c>
      <c r="AF993" t="n">
        <v>0</v>
      </c>
      <c r="AG993" t="n">
        <v>0</v>
      </c>
      <c r="AH993" t="n">
        <v>2</v>
      </c>
      <c r="AI993" t="n">
        <v>2</v>
      </c>
      <c r="AJ993" t="n">
        <v>5</v>
      </c>
      <c r="AK993" t="n">
        <v>5</v>
      </c>
      <c r="AL993" t="n">
        <v>0</v>
      </c>
      <c r="AM993" t="n">
        <v>0</v>
      </c>
      <c r="AN993" t="n">
        <v>0</v>
      </c>
      <c r="AO993" t="n">
        <v>0</v>
      </c>
      <c r="AP993" t="inlineStr">
        <is>
          <t>No</t>
        </is>
      </c>
      <c r="AQ993" t="inlineStr">
        <is>
          <t>No</t>
        </is>
      </c>
      <c r="AS993">
        <f>HYPERLINK("https://creighton-primo.hosted.exlibrisgroup.com/primo-explore/search?tab=default_tab&amp;search_scope=EVERYTHING&amp;vid=01CRU&amp;lang=en_US&amp;offset=0&amp;query=any,contains,991004310949702656","Catalog Record")</f>
        <v/>
      </c>
      <c r="AT993">
        <f>HYPERLINK("http://www.worldcat.org/oclc/55225407","WorldCat Record")</f>
        <v/>
      </c>
      <c r="AU993" t="inlineStr">
        <is>
          <t>10226880770:eng</t>
        </is>
      </c>
      <c r="AV993" t="inlineStr">
        <is>
          <t>55225407</t>
        </is>
      </c>
      <c r="AW993" t="inlineStr">
        <is>
          <t>991004310949702656</t>
        </is>
      </c>
      <c r="AX993" t="inlineStr">
        <is>
          <t>991004310949702656</t>
        </is>
      </c>
      <c r="AY993" t="inlineStr">
        <is>
          <t>2268839550002656</t>
        </is>
      </c>
      <c r="AZ993" t="inlineStr">
        <is>
          <t>BOOK</t>
        </is>
      </c>
      <c r="BB993" t="inlineStr">
        <is>
          <t>9781574555899</t>
        </is>
      </c>
      <c r="BC993" t="inlineStr">
        <is>
          <t>32285004909221</t>
        </is>
      </c>
      <c r="BD993" t="inlineStr">
        <is>
          <t>893331432</t>
        </is>
      </c>
    </row>
    <row r="994">
      <c r="A994" t="inlineStr">
        <is>
          <t>No</t>
        </is>
      </c>
      <c r="B994" t="inlineStr">
        <is>
          <t>BX1968 .S742 2004</t>
        </is>
      </c>
      <c r="C994" t="inlineStr">
        <is>
          <t>0                      BX 1968000S  742         2004</t>
        </is>
      </c>
      <c r="D994" t="inlineStr">
        <is>
          <t>Stewards of God's gifts : celebrating Catechetical Sunday 2004, September 19 = Corresponsables de los dones de Dios : celebraciaon del Domingo catequaetico de 2004, 19 de Septiembre.</t>
        </is>
      </c>
      <c r="F994" t="inlineStr">
        <is>
          <t>No</t>
        </is>
      </c>
      <c r="G994" t="inlineStr">
        <is>
          <t>1</t>
        </is>
      </c>
      <c r="H994" t="inlineStr">
        <is>
          <t>No</t>
        </is>
      </c>
      <c r="I994" t="inlineStr">
        <is>
          <t>No</t>
        </is>
      </c>
      <c r="J994" t="inlineStr">
        <is>
          <t>0</t>
        </is>
      </c>
      <c r="L994" t="inlineStr">
        <is>
          <t>Washington, D.C. : United States Conference of Catholic Bishops, c2004.</t>
        </is>
      </c>
      <c r="M994" t="inlineStr">
        <is>
          <t>2004</t>
        </is>
      </c>
      <c r="O994" t="inlineStr">
        <is>
          <t>eng</t>
        </is>
      </c>
      <c r="P994" t="inlineStr">
        <is>
          <t>dcu</t>
        </is>
      </c>
      <c r="Q994" t="inlineStr">
        <is>
          <t>[Publication / USCCB Publishing ; no. 5-582]</t>
        </is>
      </c>
      <c r="R994" t="inlineStr">
        <is>
          <t xml:space="preserve">BX </t>
        </is>
      </c>
      <c r="S994" t="n">
        <v>1</v>
      </c>
      <c r="T994" t="n">
        <v>1</v>
      </c>
      <c r="U994" t="inlineStr">
        <is>
          <t>2004-06-10</t>
        </is>
      </c>
      <c r="V994" t="inlineStr">
        <is>
          <t>2004-06-10</t>
        </is>
      </c>
      <c r="W994" t="inlineStr">
        <is>
          <t>2004-06-10</t>
        </is>
      </c>
      <c r="X994" t="inlineStr">
        <is>
          <t>2004-06-10</t>
        </is>
      </c>
      <c r="Y994" t="n">
        <v>30</v>
      </c>
      <c r="Z994" t="n">
        <v>29</v>
      </c>
      <c r="AA994" t="n">
        <v>29</v>
      </c>
      <c r="AB994" t="n">
        <v>1</v>
      </c>
      <c r="AC994" t="n">
        <v>1</v>
      </c>
      <c r="AD994" t="n">
        <v>5</v>
      </c>
      <c r="AE994" t="n">
        <v>5</v>
      </c>
      <c r="AF994" t="n">
        <v>0</v>
      </c>
      <c r="AG994" t="n">
        <v>0</v>
      </c>
      <c r="AH994" t="n">
        <v>2</v>
      </c>
      <c r="AI994" t="n">
        <v>2</v>
      </c>
      <c r="AJ994" t="n">
        <v>4</v>
      </c>
      <c r="AK994" t="n">
        <v>4</v>
      </c>
      <c r="AL994" t="n">
        <v>0</v>
      </c>
      <c r="AM994" t="n">
        <v>0</v>
      </c>
      <c r="AN994" t="n">
        <v>0</v>
      </c>
      <c r="AO994" t="n">
        <v>0</v>
      </c>
      <c r="AP994" t="inlineStr">
        <is>
          <t>No</t>
        </is>
      </c>
      <c r="AQ994" t="inlineStr">
        <is>
          <t>No</t>
        </is>
      </c>
      <c r="AS994">
        <f>HYPERLINK("https://creighton-primo.hosted.exlibrisgroup.com/primo-explore/search?tab=default_tab&amp;search_scope=EVERYTHING&amp;vid=01CRU&amp;lang=en_US&amp;offset=0&amp;query=any,contains,991004310979702656","Catalog Record")</f>
        <v/>
      </c>
      <c r="AT994">
        <f>HYPERLINK("http://www.worldcat.org/oclc/55214153","WorldCat Record")</f>
        <v/>
      </c>
      <c r="AU994" t="inlineStr">
        <is>
          <t>13993110:eng</t>
        </is>
      </c>
      <c r="AV994" t="inlineStr">
        <is>
          <t>55214153</t>
        </is>
      </c>
      <c r="AW994" t="inlineStr">
        <is>
          <t>991004310979702656</t>
        </is>
      </c>
      <c r="AX994" t="inlineStr">
        <is>
          <t>991004310979702656</t>
        </is>
      </c>
      <c r="AY994" t="inlineStr">
        <is>
          <t>2271327860002656</t>
        </is>
      </c>
      <c r="AZ994" t="inlineStr">
        <is>
          <t>BOOK</t>
        </is>
      </c>
      <c r="BB994" t="inlineStr">
        <is>
          <t>9781574555820</t>
        </is>
      </c>
      <c r="BC994" t="inlineStr">
        <is>
          <t>32285004909239</t>
        </is>
      </c>
      <c r="BD994" t="inlineStr">
        <is>
          <t>893235322</t>
        </is>
      </c>
    </row>
    <row r="995">
      <c r="A995" t="inlineStr">
        <is>
          <t>No</t>
        </is>
      </c>
      <c r="B995" t="inlineStr">
        <is>
          <t>BX1968 .S75 1889</t>
        </is>
      </c>
      <c r="C995" t="inlineStr">
        <is>
          <t>0                      BX 1968000S  75          1889</t>
        </is>
      </c>
      <c r="D995" t="inlineStr">
        <is>
          <t>The catechism explained : an exhaustive exposition of the Christian religion, with special reference to the present state of society and the spirit of the age. A practical manual / from the original of Rev. Francis Spirago. Edited by Rev. Richard F. Clarke, S. J.</t>
        </is>
      </c>
      <c r="F995" t="inlineStr">
        <is>
          <t>No</t>
        </is>
      </c>
      <c r="G995" t="inlineStr">
        <is>
          <t>1</t>
        </is>
      </c>
      <c r="H995" t="inlineStr">
        <is>
          <t>No</t>
        </is>
      </c>
      <c r="I995" t="inlineStr">
        <is>
          <t>No</t>
        </is>
      </c>
      <c r="J995" t="inlineStr">
        <is>
          <t>0</t>
        </is>
      </c>
      <c r="K995" t="inlineStr">
        <is>
          <t>Spirago, Francis, 1862-</t>
        </is>
      </c>
      <c r="L995" t="inlineStr">
        <is>
          <t>New York, Cincinnati [etc.] Benziger brothers, printers, 1889.</t>
        </is>
      </c>
      <c r="M995" t="inlineStr">
        <is>
          <t>1889</t>
        </is>
      </c>
      <c r="O995" t="inlineStr">
        <is>
          <t>eng</t>
        </is>
      </c>
      <c r="P995" t="inlineStr">
        <is>
          <t xml:space="preserve">ny </t>
        </is>
      </c>
      <c r="R995" t="inlineStr">
        <is>
          <t xml:space="preserve">BX </t>
        </is>
      </c>
      <c r="S995" t="n">
        <v>2</v>
      </c>
      <c r="T995" t="n">
        <v>2</v>
      </c>
      <c r="U995" t="inlineStr">
        <is>
          <t>1999-03-16</t>
        </is>
      </c>
      <c r="V995" t="inlineStr">
        <is>
          <t>1999-03-16</t>
        </is>
      </c>
      <c r="W995" t="inlineStr">
        <is>
          <t>1991-07-03</t>
        </is>
      </c>
      <c r="X995" t="inlineStr">
        <is>
          <t>1991-07-03</t>
        </is>
      </c>
      <c r="Y995" t="n">
        <v>80</v>
      </c>
      <c r="Z995" t="n">
        <v>66</v>
      </c>
      <c r="AA995" t="n">
        <v>158</v>
      </c>
      <c r="AB995" t="n">
        <v>1</v>
      </c>
      <c r="AC995" t="n">
        <v>3</v>
      </c>
      <c r="AD995" t="n">
        <v>10</v>
      </c>
      <c r="AE995" t="n">
        <v>21</v>
      </c>
      <c r="AF995" t="n">
        <v>2</v>
      </c>
      <c r="AG995" t="n">
        <v>3</v>
      </c>
      <c r="AH995" t="n">
        <v>4</v>
      </c>
      <c r="AI995" t="n">
        <v>7</v>
      </c>
      <c r="AJ995" t="n">
        <v>7</v>
      </c>
      <c r="AK995" t="n">
        <v>13</v>
      </c>
      <c r="AL995" t="n">
        <v>0</v>
      </c>
      <c r="AM995" t="n">
        <v>2</v>
      </c>
      <c r="AN995" t="n">
        <v>0</v>
      </c>
      <c r="AO995" t="n">
        <v>0</v>
      </c>
      <c r="AP995" t="inlineStr">
        <is>
          <t>Yes</t>
        </is>
      </c>
      <c r="AQ995" t="inlineStr">
        <is>
          <t>No</t>
        </is>
      </c>
      <c r="AR995">
        <f>HYPERLINK("http://catalog.hathitrust.org/Record/011202959","HathiTrust Record")</f>
        <v/>
      </c>
      <c r="AS995">
        <f>HYPERLINK("https://creighton-primo.hosted.exlibrisgroup.com/primo-explore/search?tab=default_tab&amp;search_scope=EVERYTHING&amp;vid=01CRU&amp;lang=en_US&amp;offset=0&amp;query=any,contains,991004135309702656","Catalog Record")</f>
        <v/>
      </c>
      <c r="AT995">
        <f>HYPERLINK("http://www.worldcat.org/oclc/2484044","WorldCat Record")</f>
        <v/>
      </c>
      <c r="AU995" t="inlineStr">
        <is>
          <t>5252082:eng</t>
        </is>
      </c>
      <c r="AV995" t="inlineStr">
        <is>
          <t>2484044</t>
        </is>
      </c>
      <c r="AW995" t="inlineStr">
        <is>
          <t>991004135309702656</t>
        </is>
      </c>
      <c r="AX995" t="inlineStr">
        <is>
          <t>991004135309702656</t>
        </is>
      </c>
      <c r="AY995" t="inlineStr">
        <is>
          <t>2264222430002656</t>
        </is>
      </c>
      <c r="AZ995" t="inlineStr">
        <is>
          <t>BOOK</t>
        </is>
      </c>
      <c r="BC995" t="inlineStr">
        <is>
          <t>32285000668433</t>
        </is>
      </c>
      <c r="BD995" t="inlineStr">
        <is>
          <t>893500157</t>
        </is>
      </c>
    </row>
    <row r="996">
      <c r="A996" t="inlineStr">
        <is>
          <t>No</t>
        </is>
      </c>
      <c r="B996" t="inlineStr">
        <is>
          <t>BX1968 .T5</t>
        </is>
      </c>
      <c r="C996" t="inlineStr">
        <is>
          <t>0                      BX 1968000T  5</t>
        </is>
      </c>
      <c r="D996" t="inlineStr">
        <is>
          <t>The catechetical instructions of St. Thomas Aquinas; translated with a commentary by Rev. Joseph B. Collins, introd. by Rev. Rudolph G. Bandas.</t>
        </is>
      </c>
      <c r="F996" t="inlineStr">
        <is>
          <t>No</t>
        </is>
      </c>
      <c r="G996" t="inlineStr">
        <is>
          <t>1</t>
        </is>
      </c>
      <c r="H996" t="inlineStr">
        <is>
          <t>No</t>
        </is>
      </c>
      <c r="I996" t="inlineStr">
        <is>
          <t>No</t>
        </is>
      </c>
      <c r="J996" t="inlineStr">
        <is>
          <t>0</t>
        </is>
      </c>
      <c r="K996" t="inlineStr">
        <is>
          <t>Thomas, Aquinas, Saint, 1225?-1274.</t>
        </is>
      </c>
      <c r="L996" t="inlineStr">
        <is>
          <t>New York, J.F. Wagner [1939]</t>
        </is>
      </c>
      <c r="M996" t="inlineStr">
        <is>
          <t>1939</t>
        </is>
      </c>
      <c r="O996" t="inlineStr">
        <is>
          <t>eng</t>
        </is>
      </c>
      <c r="P996" t="inlineStr">
        <is>
          <t>___</t>
        </is>
      </c>
      <c r="R996" t="inlineStr">
        <is>
          <t xml:space="preserve">BX </t>
        </is>
      </c>
      <c r="S996" t="n">
        <v>4</v>
      </c>
      <c r="T996" t="n">
        <v>4</v>
      </c>
      <c r="U996" t="inlineStr">
        <is>
          <t>2005-04-10</t>
        </is>
      </c>
      <c r="V996" t="inlineStr">
        <is>
          <t>2005-04-10</t>
        </is>
      </c>
      <c r="W996" t="inlineStr">
        <is>
          <t>1991-07-03</t>
        </is>
      </c>
      <c r="X996" t="inlineStr">
        <is>
          <t>1991-07-03</t>
        </is>
      </c>
      <c r="Y996" t="n">
        <v>148</v>
      </c>
      <c r="Z996" t="n">
        <v>133</v>
      </c>
      <c r="AA996" t="n">
        <v>152</v>
      </c>
      <c r="AB996" t="n">
        <v>3</v>
      </c>
      <c r="AC996" t="n">
        <v>3</v>
      </c>
      <c r="AD996" t="n">
        <v>21</v>
      </c>
      <c r="AE996" t="n">
        <v>23</v>
      </c>
      <c r="AF996" t="n">
        <v>4</v>
      </c>
      <c r="AG996" t="n">
        <v>4</v>
      </c>
      <c r="AH996" t="n">
        <v>8</v>
      </c>
      <c r="AI996" t="n">
        <v>8</v>
      </c>
      <c r="AJ996" t="n">
        <v>16</v>
      </c>
      <c r="AK996" t="n">
        <v>18</v>
      </c>
      <c r="AL996" t="n">
        <v>0</v>
      </c>
      <c r="AM996" t="n">
        <v>0</v>
      </c>
      <c r="AN996" t="n">
        <v>0</v>
      </c>
      <c r="AO996" t="n">
        <v>0</v>
      </c>
      <c r="AP996" t="inlineStr">
        <is>
          <t>No</t>
        </is>
      </c>
      <c r="AQ996" t="inlineStr">
        <is>
          <t>No</t>
        </is>
      </c>
      <c r="AS996">
        <f>HYPERLINK("https://creighton-primo.hosted.exlibrisgroup.com/primo-explore/search?tab=default_tab&amp;search_scope=EVERYTHING&amp;vid=01CRU&amp;lang=en_US&amp;offset=0&amp;query=any,contains,991003330009702656","Catalog Record")</f>
        <v/>
      </c>
      <c r="AT996">
        <f>HYPERLINK("http://www.worldcat.org/oclc/860406","WorldCat Record")</f>
        <v/>
      </c>
      <c r="AU996" t="inlineStr">
        <is>
          <t>10850761:eng</t>
        </is>
      </c>
      <c r="AV996" t="inlineStr">
        <is>
          <t>860406</t>
        </is>
      </c>
      <c r="AW996" t="inlineStr">
        <is>
          <t>991003330009702656</t>
        </is>
      </c>
      <c r="AX996" t="inlineStr">
        <is>
          <t>991003330009702656</t>
        </is>
      </c>
      <c r="AY996" t="inlineStr">
        <is>
          <t>2260888630002656</t>
        </is>
      </c>
      <c r="AZ996" t="inlineStr">
        <is>
          <t>BOOK</t>
        </is>
      </c>
      <c r="BC996" t="inlineStr">
        <is>
          <t>32285000668458</t>
        </is>
      </c>
      <c r="BD996" t="inlineStr">
        <is>
          <t>893422463</t>
        </is>
      </c>
    </row>
    <row r="997">
      <c r="A997" t="inlineStr">
        <is>
          <t>No</t>
        </is>
      </c>
      <c r="B997" t="inlineStr">
        <is>
          <t>BX1968 .U55 1994</t>
        </is>
      </c>
      <c r="C997" t="inlineStr">
        <is>
          <t>0                      BX 1968000U  55          1994</t>
        </is>
      </c>
      <c r="D997" t="inlineStr">
        <is>
          <t>Principles for inculturation of the catechism of the Catholic Church / Department of Education, United States Catholic Conference.</t>
        </is>
      </c>
      <c r="F997" t="inlineStr">
        <is>
          <t>No</t>
        </is>
      </c>
      <c r="G997" t="inlineStr">
        <is>
          <t>1</t>
        </is>
      </c>
      <c r="H997" t="inlineStr">
        <is>
          <t>No</t>
        </is>
      </c>
      <c r="I997" t="inlineStr">
        <is>
          <t>No</t>
        </is>
      </c>
      <c r="J997" t="inlineStr">
        <is>
          <t>0</t>
        </is>
      </c>
      <c r="K997" t="inlineStr">
        <is>
          <t>United States Catholic Conference. Department of Education.</t>
        </is>
      </c>
      <c r="L997" t="inlineStr">
        <is>
          <t>Washington, D.C. : Office for Publishing and Promotion Services, United States Catholic Conference, c1994.</t>
        </is>
      </c>
      <c r="M997" t="inlineStr">
        <is>
          <t>1994</t>
        </is>
      </c>
      <c r="O997" t="inlineStr">
        <is>
          <t>eng</t>
        </is>
      </c>
      <c r="P997" t="inlineStr">
        <is>
          <t>dcu</t>
        </is>
      </c>
      <c r="Q997" t="inlineStr">
        <is>
          <t>Publication / Office of Publishing and Promotion Services, United States Catholic Conference ; no. 022-2</t>
        </is>
      </c>
      <c r="R997" t="inlineStr">
        <is>
          <t xml:space="preserve">BX </t>
        </is>
      </c>
      <c r="S997" t="n">
        <v>2</v>
      </c>
      <c r="T997" t="n">
        <v>2</v>
      </c>
      <c r="U997" t="inlineStr">
        <is>
          <t>1995-11-14</t>
        </is>
      </c>
      <c r="V997" t="inlineStr">
        <is>
          <t>1995-11-14</t>
        </is>
      </c>
      <c r="W997" t="inlineStr">
        <is>
          <t>1995-02-01</t>
        </is>
      </c>
      <c r="X997" t="inlineStr">
        <is>
          <t>1995-02-01</t>
        </is>
      </c>
      <c r="Y997" t="n">
        <v>56</v>
      </c>
      <c r="Z997" t="n">
        <v>52</v>
      </c>
      <c r="AA997" t="n">
        <v>52</v>
      </c>
      <c r="AB997" t="n">
        <v>1</v>
      </c>
      <c r="AC997" t="n">
        <v>1</v>
      </c>
      <c r="AD997" t="n">
        <v>8</v>
      </c>
      <c r="AE997" t="n">
        <v>8</v>
      </c>
      <c r="AF997" t="n">
        <v>1</v>
      </c>
      <c r="AG997" t="n">
        <v>1</v>
      </c>
      <c r="AH997" t="n">
        <v>3</v>
      </c>
      <c r="AI997" t="n">
        <v>3</v>
      </c>
      <c r="AJ997" t="n">
        <v>6</v>
      </c>
      <c r="AK997" t="n">
        <v>6</v>
      </c>
      <c r="AL997" t="n">
        <v>0</v>
      </c>
      <c r="AM997" t="n">
        <v>0</v>
      </c>
      <c r="AN997" t="n">
        <v>0</v>
      </c>
      <c r="AO997" t="n">
        <v>0</v>
      </c>
      <c r="AP997" t="inlineStr">
        <is>
          <t>No</t>
        </is>
      </c>
      <c r="AQ997" t="inlineStr">
        <is>
          <t>No</t>
        </is>
      </c>
      <c r="AS997">
        <f>HYPERLINK("https://creighton-primo.hosted.exlibrisgroup.com/primo-explore/search?tab=default_tab&amp;search_scope=EVERYTHING&amp;vid=01CRU&amp;lang=en_US&amp;offset=0&amp;query=any,contains,991002428019702656","Catalog Record")</f>
        <v/>
      </c>
      <c r="AT997">
        <f>HYPERLINK("http://www.worldcat.org/oclc/31633021","WorldCat Record")</f>
        <v/>
      </c>
      <c r="AU997" t="inlineStr">
        <is>
          <t>33953566:eng</t>
        </is>
      </c>
      <c r="AV997" t="inlineStr">
        <is>
          <t>31633021</t>
        </is>
      </c>
      <c r="AW997" t="inlineStr">
        <is>
          <t>991002428019702656</t>
        </is>
      </c>
      <c r="AX997" t="inlineStr">
        <is>
          <t>991002428019702656</t>
        </is>
      </c>
      <c r="AY997" t="inlineStr">
        <is>
          <t>2269083470002656</t>
        </is>
      </c>
      <c r="AZ997" t="inlineStr">
        <is>
          <t>BOOK</t>
        </is>
      </c>
      <c r="BB997" t="inlineStr">
        <is>
          <t>9781555860226</t>
        </is>
      </c>
      <c r="BC997" t="inlineStr">
        <is>
          <t>32285001974954</t>
        </is>
      </c>
      <c r="BD997" t="inlineStr">
        <is>
          <t>893867206</t>
        </is>
      </c>
    </row>
    <row r="998">
      <c r="A998" t="inlineStr">
        <is>
          <t>No</t>
        </is>
      </c>
      <c r="B998" t="inlineStr">
        <is>
          <t>BX1968.C3 C66 1993</t>
        </is>
      </c>
      <c r="C998" t="inlineStr">
        <is>
          <t>0                      BX 1968000C  3                  C  66          1993</t>
        </is>
      </c>
      <c r="D998" t="inlineStr">
        <is>
          <t>Guide for catechists : document of vocational, formative and promotional orientation of catechists in the territories dependent on the Congregation for the Evangelization of Peoples.</t>
        </is>
      </c>
      <c r="F998" t="inlineStr">
        <is>
          <t>No</t>
        </is>
      </c>
      <c r="G998" t="inlineStr">
        <is>
          <t>1</t>
        </is>
      </c>
      <c r="H998" t="inlineStr">
        <is>
          <t>No</t>
        </is>
      </c>
      <c r="I998" t="inlineStr">
        <is>
          <t>No</t>
        </is>
      </c>
      <c r="J998" t="inlineStr">
        <is>
          <t>0</t>
        </is>
      </c>
      <c r="K998" t="inlineStr">
        <is>
          <t>Catholic Church. Congregatio pro Gentium Evangelizatione.</t>
        </is>
      </c>
      <c r="L998" t="inlineStr">
        <is>
          <t>Vatican City : Congregation for the Evangelization of Peoples, 1993.</t>
        </is>
      </c>
      <c r="M998" t="inlineStr">
        <is>
          <t>1993</t>
        </is>
      </c>
      <c r="O998" t="inlineStr">
        <is>
          <t>eng</t>
        </is>
      </c>
      <c r="P998" t="inlineStr">
        <is>
          <t xml:space="preserve">vc </t>
        </is>
      </c>
      <c r="Q998" t="inlineStr">
        <is>
          <t>Publication / Office for Publishing and Promotion Services, United States Catholic Conference ; no. 824-X.</t>
        </is>
      </c>
      <c r="R998" t="inlineStr">
        <is>
          <t xml:space="preserve">BX </t>
        </is>
      </c>
      <c r="S998" t="n">
        <v>5</v>
      </c>
      <c r="T998" t="n">
        <v>5</v>
      </c>
      <c r="U998" t="inlineStr">
        <is>
          <t>1999-12-13</t>
        </is>
      </c>
      <c r="V998" t="inlineStr">
        <is>
          <t>1999-12-13</t>
        </is>
      </c>
      <c r="W998" t="inlineStr">
        <is>
          <t>1994-10-31</t>
        </is>
      </c>
      <c r="X998" t="inlineStr">
        <is>
          <t>1994-10-31</t>
        </is>
      </c>
      <c r="Y998" t="n">
        <v>25</v>
      </c>
      <c r="Z998" t="n">
        <v>23</v>
      </c>
      <c r="AA998" t="n">
        <v>96</v>
      </c>
      <c r="AB998" t="n">
        <v>1</v>
      </c>
      <c r="AC998" t="n">
        <v>2</v>
      </c>
      <c r="AD998" t="n">
        <v>3</v>
      </c>
      <c r="AE998" t="n">
        <v>17</v>
      </c>
      <c r="AF998" t="n">
        <v>0</v>
      </c>
      <c r="AG998" t="n">
        <v>4</v>
      </c>
      <c r="AH998" t="n">
        <v>2</v>
      </c>
      <c r="AI998" t="n">
        <v>6</v>
      </c>
      <c r="AJ998" t="n">
        <v>1</v>
      </c>
      <c r="AK998" t="n">
        <v>12</v>
      </c>
      <c r="AL998" t="n">
        <v>0</v>
      </c>
      <c r="AM998" t="n">
        <v>0</v>
      </c>
      <c r="AN998" t="n">
        <v>0</v>
      </c>
      <c r="AO998" t="n">
        <v>0</v>
      </c>
      <c r="AP998" t="inlineStr">
        <is>
          <t>No</t>
        </is>
      </c>
      <c r="AQ998" t="inlineStr">
        <is>
          <t>No</t>
        </is>
      </c>
      <c r="AS998">
        <f>HYPERLINK("https://creighton-primo.hosted.exlibrisgroup.com/primo-explore/search?tab=default_tab&amp;search_scope=EVERYTHING&amp;vid=01CRU&amp;lang=en_US&amp;offset=0&amp;query=any,contains,991002404069702656","Catalog Record")</f>
        <v/>
      </c>
      <c r="AT998">
        <f>HYPERLINK("http://www.worldcat.org/oclc/31255879","WorldCat Record")</f>
        <v/>
      </c>
      <c r="AU998" t="inlineStr">
        <is>
          <t>32726859:eng</t>
        </is>
      </c>
      <c r="AV998" t="inlineStr">
        <is>
          <t>31255879</t>
        </is>
      </c>
      <c r="AW998" t="inlineStr">
        <is>
          <t>991002404069702656</t>
        </is>
      </c>
      <c r="AX998" t="inlineStr">
        <is>
          <t>991002404069702656</t>
        </is>
      </c>
      <c r="AY998" t="inlineStr">
        <is>
          <t>2256023920002656</t>
        </is>
      </c>
      <c r="AZ998" t="inlineStr">
        <is>
          <t>BOOK</t>
        </is>
      </c>
      <c r="BC998" t="inlineStr">
        <is>
          <t>32285001970135</t>
        </is>
      </c>
      <c r="BD998" t="inlineStr">
        <is>
          <t>893804579</t>
        </is>
      </c>
    </row>
    <row r="999">
      <c r="A999" t="inlineStr">
        <is>
          <t>No</t>
        </is>
      </c>
      <c r="B999" t="inlineStr">
        <is>
          <t>BX1969 .D77 1982</t>
        </is>
      </c>
      <c r="C999" t="inlineStr">
        <is>
          <t>0                      BX 1969000D  77          1982</t>
        </is>
      </c>
      <c r="D999" t="inlineStr">
        <is>
          <t>Real presence : worship, sacraments, and commitment / Regis A. Duffy.</t>
        </is>
      </c>
      <c r="F999" t="inlineStr">
        <is>
          <t>No</t>
        </is>
      </c>
      <c r="G999" t="inlineStr">
        <is>
          <t>1</t>
        </is>
      </c>
      <c r="H999" t="inlineStr">
        <is>
          <t>No</t>
        </is>
      </c>
      <c r="I999" t="inlineStr">
        <is>
          <t>No</t>
        </is>
      </c>
      <c r="J999" t="inlineStr">
        <is>
          <t>0</t>
        </is>
      </c>
      <c r="K999" t="inlineStr">
        <is>
          <t>Duffy, Regis A.</t>
        </is>
      </c>
      <c r="L999" t="inlineStr">
        <is>
          <t>San Francisco : Harper &amp; Row, c1982.</t>
        </is>
      </c>
      <c r="M999" t="inlineStr">
        <is>
          <t>1982</t>
        </is>
      </c>
      <c r="N999" t="inlineStr">
        <is>
          <t>1st ed.</t>
        </is>
      </c>
      <c r="O999" t="inlineStr">
        <is>
          <t>eng</t>
        </is>
      </c>
      <c r="P999" t="inlineStr">
        <is>
          <t>cau</t>
        </is>
      </c>
      <c r="R999" t="inlineStr">
        <is>
          <t xml:space="preserve">BX </t>
        </is>
      </c>
      <c r="S999" t="n">
        <v>6</v>
      </c>
      <c r="T999" t="n">
        <v>6</v>
      </c>
      <c r="U999" t="inlineStr">
        <is>
          <t>2000-09-04</t>
        </is>
      </c>
      <c r="V999" t="inlineStr">
        <is>
          <t>2000-09-04</t>
        </is>
      </c>
      <c r="W999" t="inlineStr">
        <is>
          <t>1990-08-08</t>
        </is>
      </c>
      <c r="X999" t="inlineStr">
        <is>
          <t>1990-08-08</t>
        </is>
      </c>
      <c r="Y999" t="n">
        <v>284</v>
      </c>
      <c r="Z999" t="n">
        <v>241</v>
      </c>
      <c r="AA999" t="n">
        <v>255</v>
      </c>
      <c r="AB999" t="n">
        <v>2</v>
      </c>
      <c r="AC999" t="n">
        <v>3</v>
      </c>
      <c r="AD999" t="n">
        <v>28</v>
      </c>
      <c r="AE999" t="n">
        <v>30</v>
      </c>
      <c r="AF999" t="n">
        <v>6</v>
      </c>
      <c r="AG999" t="n">
        <v>7</v>
      </c>
      <c r="AH999" t="n">
        <v>8</v>
      </c>
      <c r="AI999" t="n">
        <v>9</v>
      </c>
      <c r="AJ999" t="n">
        <v>23</v>
      </c>
      <c r="AK999" t="n">
        <v>23</v>
      </c>
      <c r="AL999" t="n">
        <v>1</v>
      </c>
      <c r="AM999" t="n">
        <v>2</v>
      </c>
      <c r="AN999" t="n">
        <v>0</v>
      </c>
      <c r="AO999" t="n">
        <v>0</v>
      </c>
      <c r="AP999" t="inlineStr">
        <is>
          <t>No</t>
        </is>
      </c>
      <c r="AQ999" t="inlineStr">
        <is>
          <t>No</t>
        </is>
      </c>
      <c r="AS999">
        <f>HYPERLINK("https://creighton-primo.hosted.exlibrisgroup.com/primo-explore/search?tab=default_tab&amp;search_scope=EVERYTHING&amp;vid=01CRU&amp;lang=en_US&amp;offset=0&amp;query=any,contains,991005166809702656","Catalog Record")</f>
        <v/>
      </c>
      <c r="AT999">
        <f>HYPERLINK("http://www.worldcat.org/oclc/7836187","WorldCat Record")</f>
        <v/>
      </c>
      <c r="AU999" t="inlineStr">
        <is>
          <t>1076203693:eng</t>
        </is>
      </c>
      <c r="AV999" t="inlineStr">
        <is>
          <t>7836187</t>
        </is>
      </c>
      <c r="AW999" t="inlineStr">
        <is>
          <t>991005166809702656</t>
        </is>
      </c>
      <c r="AX999" t="inlineStr">
        <is>
          <t>991005166809702656</t>
        </is>
      </c>
      <c r="AY999" t="inlineStr">
        <is>
          <t>2255373440002656</t>
        </is>
      </c>
      <c r="AZ999" t="inlineStr">
        <is>
          <t>BOOK</t>
        </is>
      </c>
      <c r="BB999" t="inlineStr">
        <is>
          <t>9780060621056</t>
        </is>
      </c>
      <c r="BC999" t="inlineStr">
        <is>
          <t>32285000270719</t>
        </is>
      </c>
      <c r="BD999" t="inlineStr">
        <is>
          <t>893707377</t>
        </is>
      </c>
    </row>
    <row r="1000">
      <c r="A1000" t="inlineStr">
        <is>
          <t>No</t>
        </is>
      </c>
      <c r="B1000" t="inlineStr">
        <is>
          <t>BX1970 .A53 1962</t>
        </is>
      </c>
      <c r="C1000" t="inlineStr">
        <is>
          <t>0                      BX 1970000A  53          1962</t>
        </is>
      </c>
      <c r="D1000" t="inlineStr">
        <is>
          <t>The Liturgy / selected and arr. by the Benedictine monks of Solesmes. Translated by the Daughters of St. Paul.</t>
        </is>
      </c>
      <c r="F1000" t="inlineStr">
        <is>
          <t>No</t>
        </is>
      </c>
      <c r="G1000" t="inlineStr">
        <is>
          <t>1</t>
        </is>
      </c>
      <c r="H1000" t="inlineStr">
        <is>
          <t>No</t>
        </is>
      </c>
      <c r="I1000" t="inlineStr">
        <is>
          <t>No</t>
        </is>
      </c>
      <c r="J1000" t="inlineStr">
        <is>
          <t>0</t>
        </is>
      </c>
      <c r="K1000" t="inlineStr">
        <is>
          <t>Catholic Church. Pope.</t>
        </is>
      </c>
      <c r="L1000" t="inlineStr">
        <is>
          <t>[Boston] : St. Paul Editions, [1962]</t>
        </is>
      </c>
      <c r="M1000" t="inlineStr">
        <is>
          <t>1962</t>
        </is>
      </c>
      <c r="O1000" t="inlineStr">
        <is>
          <t>eng</t>
        </is>
      </c>
      <c r="P1000" t="inlineStr">
        <is>
          <t xml:space="preserve">xx </t>
        </is>
      </c>
      <c r="Q1000" t="inlineStr">
        <is>
          <t>Papal teachings</t>
        </is>
      </c>
      <c r="R1000" t="inlineStr">
        <is>
          <t xml:space="preserve">BX </t>
        </is>
      </c>
      <c r="S1000" t="n">
        <v>2</v>
      </c>
      <c r="T1000" t="n">
        <v>2</v>
      </c>
      <c r="U1000" t="inlineStr">
        <is>
          <t>1995-07-10</t>
        </is>
      </c>
      <c r="V1000" t="inlineStr">
        <is>
          <t>1995-07-10</t>
        </is>
      </c>
      <c r="W1000" t="inlineStr">
        <is>
          <t>1991-07-03</t>
        </is>
      </c>
      <c r="X1000" t="inlineStr">
        <is>
          <t>1991-07-03</t>
        </is>
      </c>
      <c r="Y1000" t="n">
        <v>212</v>
      </c>
      <c r="Z1000" t="n">
        <v>176</v>
      </c>
      <c r="AA1000" t="n">
        <v>184</v>
      </c>
      <c r="AB1000" t="n">
        <v>2</v>
      </c>
      <c r="AC1000" t="n">
        <v>2</v>
      </c>
      <c r="AD1000" t="n">
        <v>29</v>
      </c>
      <c r="AE1000" t="n">
        <v>29</v>
      </c>
      <c r="AF1000" t="n">
        <v>10</v>
      </c>
      <c r="AG1000" t="n">
        <v>10</v>
      </c>
      <c r="AH1000" t="n">
        <v>6</v>
      </c>
      <c r="AI1000" t="n">
        <v>6</v>
      </c>
      <c r="AJ1000" t="n">
        <v>22</v>
      </c>
      <c r="AK1000" t="n">
        <v>22</v>
      </c>
      <c r="AL1000" t="n">
        <v>0</v>
      </c>
      <c r="AM1000" t="n">
        <v>0</v>
      </c>
      <c r="AN1000" t="n">
        <v>0</v>
      </c>
      <c r="AO1000" t="n">
        <v>0</v>
      </c>
      <c r="AP1000" t="inlineStr">
        <is>
          <t>No</t>
        </is>
      </c>
      <c r="AQ1000" t="inlineStr">
        <is>
          <t>Yes</t>
        </is>
      </c>
      <c r="AR1000">
        <f>HYPERLINK("http://catalog.hathitrust.org/Record/102622360","HathiTrust Record")</f>
        <v/>
      </c>
      <c r="AS1000">
        <f>HYPERLINK("https://creighton-primo.hosted.exlibrisgroup.com/primo-explore/search?tab=default_tab&amp;search_scope=EVERYTHING&amp;vid=01CRU&amp;lang=en_US&amp;offset=0&amp;query=any,contains,991003441169702656","Catalog Record")</f>
        <v/>
      </c>
      <c r="AT1000">
        <f>HYPERLINK("http://www.worldcat.org/oclc/977653","WorldCat Record")</f>
        <v/>
      </c>
      <c r="AU1000" t="inlineStr">
        <is>
          <t>1939439:eng</t>
        </is>
      </c>
      <c r="AV1000" t="inlineStr">
        <is>
          <t>977653</t>
        </is>
      </c>
      <c r="AW1000" t="inlineStr">
        <is>
          <t>991003441169702656</t>
        </is>
      </c>
      <c r="AX1000" t="inlineStr">
        <is>
          <t>991003441169702656</t>
        </is>
      </c>
      <c r="AY1000" t="inlineStr">
        <is>
          <t>2260989770002656</t>
        </is>
      </c>
      <c r="AZ1000" t="inlineStr">
        <is>
          <t>BOOK</t>
        </is>
      </c>
      <c r="BC1000" t="inlineStr">
        <is>
          <t>32285000669068</t>
        </is>
      </c>
      <c r="BD1000" t="inlineStr">
        <is>
          <t>893874755</t>
        </is>
      </c>
    </row>
    <row r="1001">
      <c r="A1001" t="inlineStr">
        <is>
          <t>No</t>
        </is>
      </c>
      <c r="B1001" t="inlineStr">
        <is>
          <t>BX1970 .A56 1982</t>
        </is>
      </c>
      <c r="C1001" t="inlineStr">
        <is>
          <t>0                      BX 1970000A  56          1982</t>
        </is>
      </c>
      <c r="D1001" t="inlineStr">
        <is>
          <t>Documents on the liturgy, 1963-1979--conciliar, papal, and curial texts / International Commission on English in the Liturgy ; [edited and translated by Thomas C. O'Brien].</t>
        </is>
      </c>
      <c r="F1001" t="inlineStr">
        <is>
          <t>No</t>
        </is>
      </c>
      <c r="G1001" t="inlineStr">
        <is>
          <t>1</t>
        </is>
      </c>
      <c r="H1001" t="inlineStr">
        <is>
          <t>No</t>
        </is>
      </c>
      <c r="I1001" t="inlineStr">
        <is>
          <t>No</t>
        </is>
      </c>
      <c r="J1001" t="inlineStr">
        <is>
          <t>0</t>
        </is>
      </c>
      <c r="L1001" t="inlineStr">
        <is>
          <t>Collegeville, Minn. : Liturgical Press, c1982.</t>
        </is>
      </c>
      <c r="M1001" t="inlineStr">
        <is>
          <t>1982</t>
        </is>
      </c>
      <c r="O1001" t="inlineStr">
        <is>
          <t>eng</t>
        </is>
      </c>
      <c r="P1001" t="inlineStr">
        <is>
          <t>mnu</t>
        </is>
      </c>
      <c r="R1001" t="inlineStr">
        <is>
          <t xml:space="preserve">BX </t>
        </is>
      </c>
      <c r="S1001" t="n">
        <v>8</v>
      </c>
      <c r="T1001" t="n">
        <v>8</v>
      </c>
      <c r="U1001" t="inlineStr">
        <is>
          <t>2003-04-03</t>
        </is>
      </c>
      <c r="V1001" t="inlineStr">
        <is>
          <t>2003-04-03</t>
        </is>
      </c>
      <c r="W1001" t="inlineStr">
        <is>
          <t>1991-07-03</t>
        </is>
      </c>
      <c r="X1001" t="inlineStr">
        <is>
          <t>1991-07-03</t>
        </is>
      </c>
      <c r="Y1001" t="n">
        <v>339</v>
      </c>
      <c r="Z1001" t="n">
        <v>276</v>
      </c>
      <c r="AA1001" t="n">
        <v>278</v>
      </c>
      <c r="AB1001" t="n">
        <v>3</v>
      </c>
      <c r="AC1001" t="n">
        <v>3</v>
      </c>
      <c r="AD1001" t="n">
        <v>28</v>
      </c>
      <c r="AE1001" t="n">
        <v>28</v>
      </c>
      <c r="AF1001" t="n">
        <v>10</v>
      </c>
      <c r="AG1001" t="n">
        <v>10</v>
      </c>
      <c r="AH1001" t="n">
        <v>6</v>
      </c>
      <c r="AI1001" t="n">
        <v>6</v>
      </c>
      <c r="AJ1001" t="n">
        <v>21</v>
      </c>
      <c r="AK1001" t="n">
        <v>21</v>
      </c>
      <c r="AL1001" t="n">
        <v>0</v>
      </c>
      <c r="AM1001" t="n">
        <v>0</v>
      </c>
      <c r="AN1001" t="n">
        <v>0</v>
      </c>
      <c r="AO1001" t="n">
        <v>0</v>
      </c>
      <c r="AP1001" t="inlineStr">
        <is>
          <t>No</t>
        </is>
      </c>
      <c r="AQ1001" t="inlineStr">
        <is>
          <t>Yes</t>
        </is>
      </c>
      <c r="AR1001">
        <f>HYPERLINK("http://catalog.hathitrust.org/Record/002899645","HathiTrust Record")</f>
        <v/>
      </c>
      <c r="AS1001">
        <f>HYPERLINK("https://creighton-primo.hosted.exlibrisgroup.com/primo-explore/search?tab=default_tab&amp;search_scope=EVERYTHING&amp;vid=01CRU&amp;lang=en_US&amp;offset=0&amp;query=any,contains,991000208299702656","Catalog Record")</f>
        <v/>
      </c>
      <c r="AT1001">
        <f>HYPERLINK("http://www.worldcat.org/oclc/9525890","WorldCat Record")</f>
        <v/>
      </c>
      <c r="AU1001" t="inlineStr">
        <is>
          <t>766878463:eng</t>
        </is>
      </c>
      <c r="AV1001" t="inlineStr">
        <is>
          <t>9525890</t>
        </is>
      </c>
      <c r="AW1001" t="inlineStr">
        <is>
          <t>991000208299702656</t>
        </is>
      </c>
      <c r="AX1001" t="inlineStr">
        <is>
          <t>991000208299702656</t>
        </is>
      </c>
      <c r="AY1001" t="inlineStr">
        <is>
          <t>2266645070002656</t>
        </is>
      </c>
      <c r="AZ1001" t="inlineStr">
        <is>
          <t>BOOK</t>
        </is>
      </c>
      <c r="BB1001" t="inlineStr">
        <is>
          <t>9780814612811</t>
        </is>
      </c>
      <c r="BC1001" t="inlineStr">
        <is>
          <t>32285000669076</t>
        </is>
      </c>
      <c r="BD1001" t="inlineStr">
        <is>
          <t>893896709</t>
        </is>
      </c>
    </row>
    <row r="1002">
      <c r="A1002" t="inlineStr">
        <is>
          <t>No</t>
        </is>
      </c>
      <c r="B1002" t="inlineStr">
        <is>
          <t>BX1970 .C22 1925</t>
        </is>
      </c>
      <c r="C1002" t="inlineStr">
        <is>
          <t>0                      BX 1970000C  22          1925</t>
        </is>
      </c>
      <c r="D1002" t="inlineStr">
        <is>
          <t>Liturgical prayer : its history &amp; spirit / by Fernand Cabrol. Translated by a Benedictine of Stanbrook.</t>
        </is>
      </c>
      <c r="F1002" t="inlineStr">
        <is>
          <t>No</t>
        </is>
      </c>
      <c r="G1002" t="inlineStr">
        <is>
          <t>1</t>
        </is>
      </c>
      <c r="H1002" t="inlineStr">
        <is>
          <t>No</t>
        </is>
      </c>
      <c r="I1002" t="inlineStr">
        <is>
          <t>No</t>
        </is>
      </c>
      <c r="J1002" t="inlineStr">
        <is>
          <t>0</t>
        </is>
      </c>
      <c r="K1002" t="inlineStr">
        <is>
          <t>Cabrol, Fernand, 1855-1937.</t>
        </is>
      </c>
      <c r="L1002" t="inlineStr">
        <is>
          <t>London : Burns, Oates and Washbourne, 1925.</t>
        </is>
      </c>
      <c r="M1002" t="inlineStr">
        <is>
          <t>1925</t>
        </is>
      </c>
      <c r="O1002" t="inlineStr">
        <is>
          <t>eng</t>
        </is>
      </c>
      <c r="P1002" t="inlineStr">
        <is>
          <t>enk</t>
        </is>
      </c>
      <c r="R1002" t="inlineStr">
        <is>
          <t xml:space="preserve">BX </t>
        </is>
      </c>
      <c r="S1002" t="n">
        <v>1</v>
      </c>
      <c r="T1002" t="n">
        <v>1</v>
      </c>
      <c r="U1002" t="inlineStr">
        <is>
          <t>2007-10-15</t>
        </is>
      </c>
      <c r="V1002" t="inlineStr">
        <is>
          <t>2007-10-15</t>
        </is>
      </c>
      <c r="W1002" t="inlineStr">
        <is>
          <t>1991-07-03</t>
        </is>
      </c>
      <c r="X1002" t="inlineStr">
        <is>
          <t>1991-07-03</t>
        </is>
      </c>
      <c r="Y1002" t="n">
        <v>59</v>
      </c>
      <c r="Z1002" t="n">
        <v>51</v>
      </c>
      <c r="AA1002" t="n">
        <v>251</v>
      </c>
      <c r="AB1002" t="n">
        <v>1</v>
      </c>
      <c r="AC1002" t="n">
        <v>3</v>
      </c>
      <c r="AD1002" t="n">
        <v>6</v>
      </c>
      <c r="AE1002" t="n">
        <v>29</v>
      </c>
      <c r="AF1002" t="n">
        <v>2</v>
      </c>
      <c r="AG1002" t="n">
        <v>10</v>
      </c>
      <c r="AH1002" t="n">
        <v>1</v>
      </c>
      <c r="AI1002" t="n">
        <v>7</v>
      </c>
      <c r="AJ1002" t="n">
        <v>5</v>
      </c>
      <c r="AK1002" t="n">
        <v>24</v>
      </c>
      <c r="AL1002" t="n">
        <v>0</v>
      </c>
      <c r="AM1002" t="n">
        <v>0</v>
      </c>
      <c r="AN1002" t="n">
        <v>0</v>
      </c>
      <c r="AO1002" t="n">
        <v>0</v>
      </c>
      <c r="AP1002" t="inlineStr">
        <is>
          <t>No</t>
        </is>
      </c>
      <c r="AQ1002" t="inlineStr">
        <is>
          <t>No</t>
        </is>
      </c>
      <c r="AS1002">
        <f>HYPERLINK("https://creighton-primo.hosted.exlibrisgroup.com/primo-explore/search?tab=default_tab&amp;search_scope=EVERYTHING&amp;vid=01CRU&amp;lang=en_US&amp;offset=0&amp;query=any,contains,991003939709702656","Catalog Record")</f>
        <v/>
      </c>
      <c r="AT1002">
        <f>HYPERLINK("http://www.worldcat.org/oclc/1926452","WorldCat Record")</f>
        <v/>
      </c>
      <c r="AU1002" t="inlineStr">
        <is>
          <t>365194495:eng</t>
        </is>
      </c>
      <c r="AV1002" t="inlineStr">
        <is>
          <t>1926452</t>
        </is>
      </c>
      <c r="AW1002" t="inlineStr">
        <is>
          <t>991003939709702656</t>
        </is>
      </c>
      <c r="AX1002" t="inlineStr">
        <is>
          <t>991003939709702656</t>
        </is>
      </c>
      <c r="AY1002" t="inlineStr">
        <is>
          <t>2255790160002656</t>
        </is>
      </c>
      <c r="AZ1002" t="inlineStr">
        <is>
          <t>BOOK</t>
        </is>
      </c>
      <c r="BC1002" t="inlineStr">
        <is>
          <t>32285000669126</t>
        </is>
      </c>
      <c r="BD1002" t="inlineStr">
        <is>
          <t>893869091</t>
        </is>
      </c>
    </row>
    <row r="1003">
      <c r="A1003" t="inlineStr">
        <is>
          <t>No</t>
        </is>
      </c>
      <c r="B1003" t="inlineStr">
        <is>
          <t>BX1970 .C35 1985</t>
        </is>
      </c>
      <c r="C1003" t="inlineStr">
        <is>
          <t>0                      BX 1970000C  35          1985</t>
        </is>
      </c>
      <c r="D1003" t="inlineStr">
        <is>
          <t>The liturgical year : celebrating the mystery of Christ and his saints ; study text 9 / Secretariat, Bishops' Committee on the Liturgy, National Conference of Catholic Bishops.</t>
        </is>
      </c>
      <c r="F1003" t="inlineStr">
        <is>
          <t>No</t>
        </is>
      </c>
      <c r="G1003" t="inlineStr">
        <is>
          <t>1</t>
        </is>
      </c>
      <c r="H1003" t="inlineStr">
        <is>
          <t>No</t>
        </is>
      </c>
      <c r="I1003" t="inlineStr">
        <is>
          <t>No</t>
        </is>
      </c>
      <c r="J1003" t="inlineStr">
        <is>
          <t>0</t>
        </is>
      </c>
      <c r="K1003" t="inlineStr">
        <is>
          <t>Catholic Church. National Conference of Catholic Bishops. Bishops' Committee on the Liturgy. Secretariat.</t>
        </is>
      </c>
      <c r="L1003" t="inlineStr">
        <is>
          <t>Washington, D.C. : United States Catholic Conference, Office of Publishing and Promotion Services, c1985.</t>
        </is>
      </c>
      <c r="M1003" t="inlineStr">
        <is>
          <t>1985</t>
        </is>
      </c>
      <c r="O1003" t="inlineStr">
        <is>
          <t>eng</t>
        </is>
      </c>
      <c r="P1003" t="inlineStr">
        <is>
          <t>dcu</t>
        </is>
      </c>
      <c r="Q1003" t="inlineStr">
        <is>
          <t>Study text ; 9</t>
        </is>
      </c>
      <c r="R1003" t="inlineStr">
        <is>
          <t xml:space="preserve">BX </t>
        </is>
      </c>
      <c r="S1003" t="n">
        <v>9</v>
      </c>
      <c r="T1003" t="n">
        <v>9</v>
      </c>
      <c r="U1003" t="inlineStr">
        <is>
          <t>2005-07-15</t>
        </is>
      </c>
      <c r="V1003" t="inlineStr">
        <is>
          <t>2005-07-15</t>
        </is>
      </c>
      <c r="W1003" t="inlineStr">
        <is>
          <t>1991-07-03</t>
        </is>
      </c>
      <c r="X1003" t="inlineStr">
        <is>
          <t>1991-07-03</t>
        </is>
      </c>
      <c r="Y1003" t="n">
        <v>127</v>
      </c>
      <c r="Z1003" t="n">
        <v>111</v>
      </c>
      <c r="AA1003" t="n">
        <v>111</v>
      </c>
      <c r="AB1003" t="n">
        <v>1</v>
      </c>
      <c r="AC1003" t="n">
        <v>1</v>
      </c>
      <c r="AD1003" t="n">
        <v>18</v>
      </c>
      <c r="AE1003" t="n">
        <v>18</v>
      </c>
      <c r="AF1003" t="n">
        <v>5</v>
      </c>
      <c r="AG1003" t="n">
        <v>5</v>
      </c>
      <c r="AH1003" t="n">
        <v>4</v>
      </c>
      <c r="AI1003" t="n">
        <v>4</v>
      </c>
      <c r="AJ1003" t="n">
        <v>15</v>
      </c>
      <c r="AK1003" t="n">
        <v>15</v>
      </c>
      <c r="AL1003" t="n">
        <v>0</v>
      </c>
      <c r="AM1003" t="n">
        <v>0</v>
      </c>
      <c r="AN1003" t="n">
        <v>0</v>
      </c>
      <c r="AO1003" t="n">
        <v>0</v>
      </c>
      <c r="AP1003" t="inlineStr">
        <is>
          <t>No</t>
        </is>
      </c>
      <c r="AQ1003" t="inlineStr">
        <is>
          <t>No</t>
        </is>
      </c>
      <c r="AS1003">
        <f>HYPERLINK("https://creighton-primo.hosted.exlibrisgroup.com/primo-explore/search?tab=default_tab&amp;search_scope=EVERYTHING&amp;vid=01CRU&amp;lang=en_US&amp;offset=0&amp;query=any,contains,991000576049702656","Catalog Record")</f>
        <v/>
      </c>
      <c r="AT1003">
        <f>HYPERLINK("http://www.worldcat.org/oclc/12286535","WorldCat Record")</f>
        <v/>
      </c>
      <c r="AU1003" t="inlineStr">
        <is>
          <t>2028356805:eng</t>
        </is>
      </c>
      <c r="AV1003" t="inlineStr">
        <is>
          <t>12286535</t>
        </is>
      </c>
      <c r="AW1003" t="inlineStr">
        <is>
          <t>991000576049702656</t>
        </is>
      </c>
      <c r="AX1003" t="inlineStr">
        <is>
          <t>991000576049702656</t>
        </is>
      </c>
      <c r="AY1003" t="inlineStr">
        <is>
          <t>2258427050002656</t>
        </is>
      </c>
      <c r="AZ1003" t="inlineStr">
        <is>
          <t>BOOK</t>
        </is>
      </c>
      <c r="BC1003" t="inlineStr">
        <is>
          <t>32285000669159</t>
        </is>
      </c>
      <c r="BD1003" t="inlineStr">
        <is>
          <t>893708492</t>
        </is>
      </c>
    </row>
    <row r="1004">
      <c r="A1004" t="inlineStr">
        <is>
          <t>No</t>
        </is>
      </c>
      <c r="B1004" t="inlineStr">
        <is>
          <t>BX1970 .C358 1986, v.4</t>
        </is>
      </c>
      <c r="C1004" t="inlineStr">
        <is>
          <t>0                      BX 1970000C  358         1986                                        v.4</t>
        </is>
      </c>
      <c r="D1004" t="inlineStr">
        <is>
          <t>The liturgy and time / by Irénée Henri Dalmais, Pierre Jounel, and Aimé Georges Martimort ; translated by Matthew J. O'Connell.</t>
        </is>
      </c>
      <c r="E1004" t="inlineStr">
        <is>
          <t>V. 4</t>
        </is>
      </c>
      <c r="F1004" t="inlineStr">
        <is>
          <t>No</t>
        </is>
      </c>
      <c r="G1004" t="inlineStr">
        <is>
          <t>1</t>
        </is>
      </c>
      <c r="H1004" t="inlineStr">
        <is>
          <t>No</t>
        </is>
      </c>
      <c r="I1004" t="inlineStr">
        <is>
          <t>No</t>
        </is>
      </c>
      <c r="J1004" t="inlineStr">
        <is>
          <t>0</t>
        </is>
      </c>
      <c r="K1004" t="inlineStr">
        <is>
          <t>Dalmais, Irénée Henri, 1914-2006.</t>
        </is>
      </c>
      <c r="L1004" t="inlineStr">
        <is>
          <t>Collegeville, Minn. : Liturgical Press, c1986.</t>
        </is>
      </c>
      <c r="M1004" t="inlineStr">
        <is>
          <t>1986</t>
        </is>
      </c>
      <c r="N1004" t="inlineStr">
        <is>
          <t>New ed.</t>
        </is>
      </c>
      <c r="O1004" t="inlineStr">
        <is>
          <t>eng</t>
        </is>
      </c>
      <c r="P1004" t="inlineStr">
        <is>
          <t>mnu</t>
        </is>
      </c>
      <c r="Q1004" t="inlineStr">
        <is>
          <t>The Church at prayer ; v. 4</t>
        </is>
      </c>
      <c r="R1004" t="inlineStr">
        <is>
          <t xml:space="preserve">BX </t>
        </is>
      </c>
      <c r="S1004" t="n">
        <v>3</v>
      </c>
      <c r="T1004" t="n">
        <v>3</v>
      </c>
      <c r="U1004" t="inlineStr">
        <is>
          <t>2007-04-09</t>
        </is>
      </c>
      <c r="V1004" t="inlineStr">
        <is>
          <t>2007-04-09</t>
        </is>
      </c>
      <c r="W1004" t="inlineStr">
        <is>
          <t>2000-06-15</t>
        </is>
      </c>
      <c r="X1004" t="inlineStr">
        <is>
          <t>2000-06-15</t>
        </is>
      </c>
      <c r="Y1004" t="n">
        <v>103</v>
      </c>
      <c r="Z1004" t="n">
        <v>86</v>
      </c>
      <c r="AA1004" t="n">
        <v>87</v>
      </c>
      <c r="AB1004" t="n">
        <v>1</v>
      </c>
      <c r="AC1004" t="n">
        <v>1</v>
      </c>
      <c r="AD1004" t="n">
        <v>9</v>
      </c>
      <c r="AE1004" t="n">
        <v>9</v>
      </c>
      <c r="AF1004" t="n">
        <v>2</v>
      </c>
      <c r="AG1004" t="n">
        <v>2</v>
      </c>
      <c r="AH1004" t="n">
        <v>2</v>
      </c>
      <c r="AI1004" t="n">
        <v>2</v>
      </c>
      <c r="AJ1004" t="n">
        <v>7</v>
      </c>
      <c r="AK1004" t="n">
        <v>7</v>
      </c>
      <c r="AL1004" t="n">
        <v>0</v>
      </c>
      <c r="AM1004" t="n">
        <v>0</v>
      </c>
      <c r="AN1004" t="n">
        <v>0</v>
      </c>
      <c r="AO1004" t="n">
        <v>0</v>
      </c>
      <c r="AP1004" t="inlineStr">
        <is>
          <t>No</t>
        </is>
      </c>
      <c r="AQ1004" t="inlineStr">
        <is>
          <t>No</t>
        </is>
      </c>
      <c r="AS1004">
        <f>HYPERLINK("https://creighton-primo.hosted.exlibrisgroup.com/primo-explore/search?tab=default_tab&amp;search_scope=EVERYTHING&amp;vid=01CRU&amp;lang=en_US&amp;offset=0&amp;query=any,contains,991003176849702656","Catalog Record")</f>
        <v/>
      </c>
      <c r="AT1004">
        <f>HYPERLINK("http://www.worldcat.org/oclc/13842073","WorldCat Record")</f>
        <v/>
      </c>
      <c r="AU1004" t="inlineStr">
        <is>
          <t>3855476089:eng</t>
        </is>
      </c>
      <c r="AV1004" t="inlineStr">
        <is>
          <t>13842073</t>
        </is>
      </c>
      <c r="AW1004" t="inlineStr">
        <is>
          <t>991003176849702656</t>
        </is>
      </c>
      <c r="AX1004" t="inlineStr">
        <is>
          <t>991003176849702656</t>
        </is>
      </c>
      <c r="AY1004" t="inlineStr">
        <is>
          <t>2261221880002656</t>
        </is>
      </c>
      <c r="AZ1004" t="inlineStr">
        <is>
          <t>BOOK</t>
        </is>
      </c>
      <c r="BB1004" t="inlineStr">
        <is>
          <t>9780814613665</t>
        </is>
      </c>
      <c r="BC1004" t="inlineStr">
        <is>
          <t>32285003261228</t>
        </is>
      </c>
      <c r="BD1004" t="inlineStr">
        <is>
          <t>893352715</t>
        </is>
      </c>
    </row>
    <row r="1005">
      <c r="A1005" t="inlineStr">
        <is>
          <t>No</t>
        </is>
      </c>
      <c r="B1005" t="inlineStr">
        <is>
          <t>BX1970 .C37 1988</t>
        </is>
      </c>
      <c r="C1005" t="inlineStr">
        <is>
          <t>0                      BX 1970000C  37          1988</t>
        </is>
      </c>
      <c r="D1005" t="inlineStr">
        <is>
          <t>Circular letter concerning the preparation and celebration of the Easter feasts / Congregation for Divine Worship.</t>
        </is>
      </c>
      <c r="F1005" t="inlineStr">
        <is>
          <t>No</t>
        </is>
      </c>
      <c r="G1005" t="inlineStr">
        <is>
          <t>1</t>
        </is>
      </c>
      <c r="H1005" t="inlineStr">
        <is>
          <t>No</t>
        </is>
      </c>
      <c r="I1005" t="inlineStr">
        <is>
          <t>No</t>
        </is>
      </c>
      <c r="J1005" t="inlineStr">
        <is>
          <t>0</t>
        </is>
      </c>
      <c r="K1005" t="inlineStr">
        <is>
          <t>Catholic Church. Congregatio pro Cultu Divino.</t>
        </is>
      </c>
      <c r="L1005" t="inlineStr">
        <is>
          <t>Washington, D.C.: United States Catholic Conference , 1988</t>
        </is>
      </c>
      <c r="M1005" t="inlineStr">
        <is>
          <t>1988</t>
        </is>
      </c>
      <c r="O1005" t="inlineStr">
        <is>
          <t>eng</t>
        </is>
      </c>
      <c r="P1005" t="inlineStr">
        <is>
          <t>dcu</t>
        </is>
      </c>
      <c r="Q1005" t="inlineStr">
        <is>
          <t>Publication / Office of Publishing and Promotion Services, United States Catholic Conference ; no. 219-5</t>
        </is>
      </c>
      <c r="R1005" t="inlineStr">
        <is>
          <t xml:space="preserve">BX </t>
        </is>
      </c>
      <c r="S1005" t="n">
        <v>5</v>
      </c>
      <c r="T1005" t="n">
        <v>5</v>
      </c>
      <c r="U1005" t="inlineStr">
        <is>
          <t>1996-06-28</t>
        </is>
      </c>
      <c r="V1005" t="inlineStr">
        <is>
          <t>1996-06-28</t>
        </is>
      </c>
      <c r="W1005" t="inlineStr">
        <is>
          <t>1991-09-11</t>
        </is>
      </c>
      <c r="X1005" t="inlineStr">
        <is>
          <t>1991-09-11</t>
        </is>
      </c>
      <c r="Y1005" t="n">
        <v>87</v>
      </c>
      <c r="Z1005" t="n">
        <v>79</v>
      </c>
      <c r="AA1005" t="n">
        <v>86</v>
      </c>
      <c r="AB1005" t="n">
        <v>1</v>
      </c>
      <c r="AC1005" t="n">
        <v>1</v>
      </c>
      <c r="AD1005" t="n">
        <v>15</v>
      </c>
      <c r="AE1005" t="n">
        <v>15</v>
      </c>
      <c r="AF1005" t="n">
        <v>5</v>
      </c>
      <c r="AG1005" t="n">
        <v>5</v>
      </c>
      <c r="AH1005" t="n">
        <v>3</v>
      </c>
      <c r="AI1005" t="n">
        <v>3</v>
      </c>
      <c r="AJ1005" t="n">
        <v>11</v>
      </c>
      <c r="AK1005" t="n">
        <v>11</v>
      </c>
      <c r="AL1005" t="n">
        <v>0</v>
      </c>
      <c r="AM1005" t="n">
        <v>0</v>
      </c>
      <c r="AN1005" t="n">
        <v>0</v>
      </c>
      <c r="AO1005" t="n">
        <v>0</v>
      </c>
      <c r="AP1005" t="inlineStr">
        <is>
          <t>No</t>
        </is>
      </c>
      <c r="AQ1005" t="inlineStr">
        <is>
          <t>No</t>
        </is>
      </c>
      <c r="AS1005">
        <f>HYPERLINK("https://creighton-primo.hosted.exlibrisgroup.com/primo-explore/search?tab=default_tab&amp;search_scope=EVERYTHING&amp;vid=01CRU&amp;lang=en_US&amp;offset=0&amp;query=any,contains,991001452649702656","Catalog Record")</f>
        <v/>
      </c>
      <c r="AT1005">
        <f>HYPERLINK("http://www.worldcat.org/oclc/19454856","WorldCat Record")</f>
        <v/>
      </c>
      <c r="AU1005" t="inlineStr">
        <is>
          <t>21165414:eng</t>
        </is>
      </c>
      <c r="AV1005" t="inlineStr">
        <is>
          <t>19454856</t>
        </is>
      </c>
      <c r="AW1005" t="inlineStr">
        <is>
          <t>991001452649702656</t>
        </is>
      </c>
      <c r="AX1005" t="inlineStr">
        <is>
          <t>991001452649702656</t>
        </is>
      </c>
      <c r="AY1005" t="inlineStr">
        <is>
          <t>2269083640002656</t>
        </is>
      </c>
      <c r="AZ1005" t="inlineStr">
        <is>
          <t>BOOK</t>
        </is>
      </c>
      <c r="BB1005" t="inlineStr">
        <is>
          <t>9781555862190</t>
        </is>
      </c>
      <c r="BC1005" t="inlineStr">
        <is>
          <t>32285000741560</t>
        </is>
      </c>
      <c r="BD1005" t="inlineStr">
        <is>
          <t>893340453</t>
        </is>
      </c>
    </row>
    <row r="1006">
      <c r="A1006" t="inlineStr">
        <is>
          <t>No</t>
        </is>
      </c>
      <c r="B1006" t="inlineStr">
        <is>
          <t>BX1970 .C377 1996</t>
        </is>
      </c>
      <c r="C1006" t="inlineStr">
        <is>
          <t>0                      BX 1970000C  377         1996</t>
        </is>
      </c>
      <c r="D1006" t="inlineStr">
        <is>
          <t>Sunday celebrations in the absence of a priest / [Bishops' Committee on the Liturgy.]</t>
        </is>
      </c>
      <c r="F1006" t="inlineStr">
        <is>
          <t>No</t>
        </is>
      </c>
      <c r="G1006" t="inlineStr">
        <is>
          <t>1</t>
        </is>
      </c>
      <c r="H1006" t="inlineStr">
        <is>
          <t>No</t>
        </is>
      </c>
      <c r="I1006" t="inlineStr">
        <is>
          <t>Yes</t>
        </is>
      </c>
      <c r="J1006" t="inlineStr">
        <is>
          <t>0</t>
        </is>
      </c>
      <c r="K1006" t="inlineStr">
        <is>
          <t>Catholic Church. National Conference of Catholic Bishops. Bishops' Committee on the Liturgy.</t>
        </is>
      </c>
      <c r="L1006" t="inlineStr">
        <is>
          <t>Washington, D.C. : United States Catholic Conference, c1996.</t>
        </is>
      </c>
      <c r="M1006" t="inlineStr">
        <is>
          <t>1996</t>
        </is>
      </c>
      <c r="O1006" t="inlineStr">
        <is>
          <t>eng</t>
        </is>
      </c>
      <c r="P1006" t="inlineStr">
        <is>
          <t>dcu</t>
        </is>
      </c>
      <c r="Q1006" t="inlineStr">
        <is>
          <t>Liturgy documentary series ; 10</t>
        </is>
      </c>
      <c r="R1006" t="inlineStr">
        <is>
          <t xml:space="preserve">BX </t>
        </is>
      </c>
      <c r="S1006" t="n">
        <v>0</v>
      </c>
      <c r="T1006" t="n">
        <v>0</v>
      </c>
      <c r="U1006" t="inlineStr">
        <is>
          <t>2005-02-18</t>
        </is>
      </c>
      <c r="V1006" t="inlineStr">
        <is>
          <t>2005-02-18</t>
        </is>
      </c>
      <c r="W1006" t="inlineStr">
        <is>
          <t>1996-12-12</t>
        </is>
      </c>
      <c r="X1006" t="inlineStr">
        <is>
          <t>1996-12-12</t>
        </is>
      </c>
      <c r="Y1006" t="n">
        <v>86</v>
      </c>
      <c r="Z1006" t="n">
        <v>80</v>
      </c>
      <c r="AA1006" t="n">
        <v>132</v>
      </c>
      <c r="AB1006" t="n">
        <v>1</v>
      </c>
      <c r="AC1006" t="n">
        <v>1</v>
      </c>
      <c r="AD1006" t="n">
        <v>10</v>
      </c>
      <c r="AE1006" t="n">
        <v>15</v>
      </c>
      <c r="AF1006" t="n">
        <v>2</v>
      </c>
      <c r="AG1006" t="n">
        <v>4</v>
      </c>
      <c r="AH1006" t="n">
        <v>3</v>
      </c>
      <c r="AI1006" t="n">
        <v>3</v>
      </c>
      <c r="AJ1006" t="n">
        <v>8</v>
      </c>
      <c r="AK1006" t="n">
        <v>11</v>
      </c>
      <c r="AL1006" t="n">
        <v>0</v>
      </c>
      <c r="AM1006" t="n">
        <v>0</v>
      </c>
      <c r="AN1006" t="n">
        <v>0</v>
      </c>
      <c r="AO1006" t="n">
        <v>0</v>
      </c>
      <c r="AP1006" t="inlineStr">
        <is>
          <t>No</t>
        </is>
      </c>
      <c r="AQ1006" t="inlineStr">
        <is>
          <t>No</t>
        </is>
      </c>
      <c r="AS1006">
        <f>HYPERLINK("https://creighton-primo.hosted.exlibrisgroup.com/primo-explore/search?tab=default_tab&amp;search_scope=EVERYTHING&amp;vid=01CRU&amp;lang=en_US&amp;offset=0&amp;query=any,contains,991002688899702656","Catalog Record")</f>
        <v/>
      </c>
      <c r="AT1006">
        <f>HYPERLINK("http://www.worldcat.org/oclc/35127671","WorldCat Record")</f>
        <v/>
      </c>
      <c r="AU1006" t="inlineStr">
        <is>
          <t>33938328:eng</t>
        </is>
      </c>
      <c r="AV1006" t="inlineStr">
        <is>
          <t>35127671</t>
        </is>
      </c>
      <c r="AW1006" t="inlineStr">
        <is>
          <t>991002688899702656</t>
        </is>
      </c>
      <c r="AX1006" t="inlineStr">
        <is>
          <t>991002688899702656</t>
        </is>
      </c>
      <c r="AY1006" t="inlineStr">
        <is>
          <t>2271411320002656</t>
        </is>
      </c>
      <c r="AZ1006" t="inlineStr">
        <is>
          <t>BOOK</t>
        </is>
      </c>
      <c r="BB1006" t="inlineStr">
        <is>
          <t>9781574551051</t>
        </is>
      </c>
      <c r="BC1006" t="inlineStr">
        <is>
          <t>32285002392628</t>
        </is>
      </c>
      <c r="BD1006" t="inlineStr">
        <is>
          <t>893352465</t>
        </is>
      </c>
    </row>
    <row r="1007">
      <c r="A1007" t="inlineStr">
        <is>
          <t>No</t>
        </is>
      </c>
      <c r="B1007" t="inlineStr">
        <is>
          <t>BX1970 .C379 1988</t>
        </is>
      </c>
      <c r="C1007" t="inlineStr">
        <is>
          <t>0                      BX 1970000C  379         1988</t>
        </is>
      </c>
      <c r="D1007" t="inlineStr">
        <is>
          <t>Directory for Sunday celebrations in the absence of a priest / Congregation for Divine Worship.</t>
        </is>
      </c>
      <c r="F1007" t="inlineStr">
        <is>
          <t>No</t>
        </is>
      </c>
      <c r="G1007" t="inlineStr">
        <is>
          <t>1</t>
        </is>
      </c>
      <c r="H1007" t="inlineStr">
        <is>
          <t>No</t>
        </is>
      </c>
      <c r="I1007" t="inlineStr">
        <is>
          <t>No</t>
        </is>
      </c>
      <c r="J1007" t="inlineStr">
        <is>
          <t>0</t>
        </is>
      </c>
      <c r="K1007" t="inlineStr">
        <is>
          <t>Catholic Church. Congregatio pro Cultu Divino.</t>
        </is>
      </c>
      <c r="L1007" t="inlineStr">
        <is>
          <t>Washington, D.C. : United States Catholic Conference, 1988</t>
        </is>
      </c>
      <c r="M1007" t="inlineStr">
        <is>
          <t>1988</t>
        </is>
      </c>
      <c r="O1007" t="inlineStr">
        <is>
          <t>eng</t>
        </is>
      </c>
      <c r="P1007" t="inlineStr">
        <is>
          <t>dcu</t>
        </is>
      </c>
      <c r="Q1007" t="inlineStr">
        <is>
          <t>Publication / Office of Publishing and Promotion Services, United States Catholic Conference ; no. 251-9.</t>
        </is>
      </c>
      <c r="R1007" t="inlineStr">
        <is>
          <t xml:space="preserve">BX </t>
        </is>
      </c>
      <c r="S1007" t="n">
        <v>2</v>
      </c>
      <c r="T1007" t="n">
        <v>2</v>
      </c>
      <c r="U1007" t="inlineStr">
        <is>
          <t>1995-07-10</t>
        </is>
      </c>
      <c r="V1007" t="inlineStr">
        <is>
          <t>1995-07-10</t>
        </is>
      </c>
      <c r="W1007" t="inlineStr">
        <is>
          <t>1991-09-11</t>
        </is>
      </c>
      <c r="X1007" t="inlineStr">
        <is>
          <t>1991-09-11</t>
        </is>
      </c>
      <c r="Y1007" t="n">
        <v>65</v>
      </c>
      <c r="Z1007" t="n">
        <v>59</v>
      </c>
      <c r="AA1007" t="n">
        <v>80</v>
      </c>
      <c r="AB1007" t="n">
        <v>1</v>
      </c>
      <c r="AC1007" t="n">
        <v>1</v>
      </c>
      <c r="AD1007" t="n">
        <v>12</v>
      </c>
      <c r="AE1007" t="n">
        <v>15</v>
      </c>
      <c r="AF1007" t="n">
        <v>4</v>
      </c>
      <c r="AG1007" t="n">
        <v>5</v>
      </c>
      <c r="AH1007" t="n">
        <v>2</v>
      </c>
      <c r="AI1007" t="n">
        <v>3</v>
      </c>
      <c r="AJ1007" t="n">
        <v>10</v>
      </c>
      <c r="AK1007" t="n">
        <v>12</v>
      </c>
      <c r="AL1007" t="n">
        <v>0</v>
      </c>
      <c r="AM1007" t="n">
        <v>0</v>
      </c>
      <c r="AN1007" t="n">
        <v>0</v>
      </c>
      <c r="AO1007" t="n">
        <v>0</v>
      </c>
      <c r="AP1007" t="inlineStr">
        <is>
          <t>No</t>
        </is>
      </c>
      <c r="AQ1007" t="inlineStr">
        <is>
          <t>No</t>
        </is>
      </c>
      <c r="AS1007">
        <f>HYPERLINK("https://creighton-primo.hosted.exlibrisgroup.com/primo-explore/search?tab=default_tab&amp;search_scope=EVERYTHING&amp;vid=01CRU&amp;lang=en_US&amp;offset=0&amp;query=any,contains,991001452609702656","Catalog Record")</f>
        <v/>
      </c>
      <c r="AT1007">
        <f>HYPERLINK("http://www.worldcat.org/oclc/19351635","WorldCat Record")</f>
        <v/>
      </c>
      <c r="AU1007" t="inlineStr">
        <is>
          <t>3768966689:eng</t>
        </is>
      </c>
      <c r="AV1007" t="inlineStr">
        <is>
          <t>19351635</t>
        </is>
      </c>
      <c r="AW1007" t="inlineStr">
        <is>
          <t>991001452609702656</t>
        </is>
      </c>
      <c r="AX1007" t="inlineStr">
        <is>
          <t>991001452609702656</t>
        </is>
      </c>
      <c r="AY1007" t="inlineStr">
        <is>
          <t>2269083890002656</t>
        </is>
      </c>
      <c r="AZ1007" t="inlineStr">
        <is>
          <t>BOOK</t>
        </is>
      </c>
      <c r="BC1007" t="inlineStr">
        <is>
          <t>32285000741578</t>
        </is>
      </c>
      <c r="BD1007" t="inlineStr">
        <is>
          <t>893596482</t>
        </is>
      </c>
    </row>
    <row r="1008">
      <c r="A1008" t="inlineStr">
        <is>
          <t>No</t>
        </is>
      </c>
      <c r="B1008" t="inlineStr">
        <is>
          <t>BX1970 .C47 1981</t>
        </is>
      </c>
      <c r="C1008" t="inlineStr">
        <is>
          <t>0                      BX 1970000C  47          1981</t>
        </is>
      </c>
      <c r="D1008" t="inlineStr">
        <is>
          <t>The proper balance : a practical look at liturgical renewal / Joseph M. Champlin.</t>
        </is>
      </c>
      <c r="F1008" t="inlineStr">
        <is>
          <t>No</t>
        </is>
      </c>
      <c r="G1008" t="inlineStr">
        <is>
          <t>1</t>
        </is>
      </c>
      <c r="H1008" t="inlineStr">
        <is>
          <t>No</t>
        </is>
      </c>
      <c r="I1008" t="inlineStr">
        <is>
          <t>No</t>
        </is>
      </c>
      <c r="J1008" t="inlineStr">
        <is>
          <t>0</t>
        </is>
      </c>
      <c r="K1008" t="inlineStr">
        <is>
          <t>Champlin, Joseph M.</t>
        </is>
      </c>
      <c r="L1008" t="inlineStr">
        <is>
          <t>Notre Dame, Ind. : Ave Maria Press, c1981.</t>
        </is>
      </c>
      <c r="M1008" t="inlineStr">
        <is>
          <t>1981</t>
        </is>
      </c>
      <c r="O1008" t="inlineStr">
        <is>
          <t>eng</t>
        </is>
      </c>
      <c r="P1008" t="inlineStr">
        <is>
          <t>inu</t>
        </is>
      </c>
      <c r="R1008" t="inlineStr">
        <is>
          <t xml:space="preserve">BX </t>
        </is>
      </c>
      <c r="S1008" t="n">
        <v>1</v>
      </c>
      <c r="T1008" t="n">
        <v>1</v>
      </c>
      <c r="U1008" t="inlineStr">
        <is>
          <t>2005-04-13</t>
        </is>
      </c>
      <c r="V1008" t="inlineStr">
        <is>
          <t>2005-04-13</t>
        </is>
      </c>
      <c r="W1008" t="inlineStr">
        <is>
          <t>2005-04-13</t>
        </is>
      </c>
      <c r="X1008" t="inlineStr">
        <is>
          <t>2005-04-13</t>
        </is>
      </c>
      <c r="Y1008" t="n">
        <v>108</v>
      </c>
      <c r="Z1008" t="n">
        <v>84</v>
      </c>
      <c r="AA1008" t="n">
        <v>84</v>
      </c>
      <c r="AB1008" t="n">
        <v>2</v>
      </c>
      <c r="AC1008" t="n">
        <v>2</v>
      </c>
      <c r="AD1008" t="n">
        <v>13</v>
      </c>
      <c r="AE1008" t="n">
        <v>13</v>
      </c>
      <c r="AF1008" t="n">
        <v>2</v>
      </c>
      <c r="AG1008" t="n">
        <v>2</v>
      </c>
      <c r="AH1008" t="n">
        <v>4</v>
      </c>
      <c r="AI1008" t="n">
        <v>4</v>
      </c>
      <c r="AJ1008" t="n">
        <v>10</v>
      </c>
      <c r="AK1008" t="n">
        <v>10</v>
      </c>
      <c r="AL1008" t="n">
        <v>0</v>
      </c>
      <c r="AM1008" t="n">
        <v>0</v>
      </c>
      <c r="AN1008" t="n">
        <v>0</v>
      </c>
      <c r="AO1008" t="n">
        <v>0</v>
      </c>
      <c r="AP1008" t="inlineStr">
        <is>
          <t>No</t>
        </is>
      </c>
      <c r="AQ1008" t="inlineStr">
        <is>
          <t>No</t>
        </is>
      </c>
      <c r="AS1008">
        <f>HYPERLINK("https://creighton-primo.hosted.exlibrisgroup.com/primo-explore/search?tab=default_tab&amp;search_scope=EVERYTHING&amp;vid=01CRU&amp;lang=en_US&amp;offset=0&amp;query=any,contains,991004529639702656","Catalog Record")</f>
        <v/>
      </c>
      <c r="AT1008">
        <f>HYPERLINK("http://www.worldcat.org/oclc/8021035","WorldCat Record")</f>
        <v/>
      </c>
      <c r="AU1008" t="inlineStr">
        <is>
          <t>30258812:eng</t>
        </is>
      </c>
      <c r="AV1008" t="inlineStr">
        <is>
          <t>8021035</t>
        </is>
      </c>
      <c r="AW1008" t="inlineStr">
        <is>
          <t>991004529639702656</t>
        </is>
      </c>
      <c r="AX1008" t="inlineStr">
        <is>
          <t>991004529639702656</t>
        </is>
      </c>
      <c r="AY1008" t="inlineStr">
        <is>
          <t>2269248880002656</t>
        </is>
      </c>
      <c r="AZ1008" t="inlineStr">
        <is>
          <t>BOOK</t>
        </is>
      </c>
      <c r="BB1008" t="inlineStr">
        <is>
          <t>9780877932338</t>
        </is>
      </c>
      <c r="BC1008" t="inlineStr">
        <is>
          <t>32285005030514</t>
        </is>
      </c>
      <c r="BD1008" t="inlineStr">
        <is>
          <t>893241546</t>
        </is>
      </c>
    </row>
    <row r="1009">
      <c r="A1009" t="inlineStr">
        <is>
          <t>No</t>
        </is>
      </c>
      <c r="B1009" t="inlineStr">
        <is>
          <t>BX1970 .C475 1991</t>
        </is>
      </c>
      <c r="C1009" t="inlineStr">
        <is>
          <t>0                      BX 1970000C  475         1991</t>
        </is>
      </c>
      <c r="D1009" t="inlineStr">
        <is>
          <t>Plenty good room : the spirit and truth of African American Catholic Worship / Secretariat for the Liturgy and Secretariat for Black Catholics, National Conference of Catholic Bishops.</t>
        </is>
      </c>
      <c r="F1009" t="inlineStr">
        <is>
          <t>No</t>
        </is>
      </c>
      <c r="G1009" t="inlineStr">
        <is>
          <t>1</t>
        </is>
      </c>
      <c r="H1009" t="inlineStr">
        <is>
          <t>No</t>
        </is>
      </c>
      <c r="I1009" t="inlineStr">
        <is>
          <t>No</t>
        </is>
      </c>
      <c r="J1009" t="inlineStr">
        <is>
          <t>0</t>
        </is>
      </c>
      <c r="K1009" t="inlineStr">
        <is>
          <t>Catholic Church. National Conference of Catholic Bishops. Bishops' Committee on the Liturgy. Secretariat.</t>
        </is>
      </c>
      <c r="L1009" t="inlineStr">
        <is>
          <t>Washington, D.C. : United States Catholic Conference, 1991, c1990.</t>
        </is>
      </c>
      <c r="M1009" t="inlineStr">
        <is>
          <t>1991</t>
        </is>
      </c>
      <c r="O1009" t="inlineStr">
        <is>
          <t>eng</t>
        </is>
      </c>
      <c r="P1009" t="inlineStr">
        <is>
          <t>dcu</t>
        </is>
      </c>
      <c r="Q1009" t="inlineStr">
        <is>
          <t>Publication / Office for Publishing and Promotion Services, United States Catholic Conference ; no. 385-X</t>
        </is>
      </c>
      <c r="R1009" t="inlineStr">
        <is>
          <t xml:space="preserve">BX </t>
        </is>
      </c>
      <c r="S1009" t="n">
        <v>4</v>
      </c>
      <c r="T1009" t="n">
        <v>4</v>
      </c>
      <c r="U1009" t="inlineStr">
        <is>
          <t>2001-10-20</t>
        </is>
      </c>
      <c r="V1009" t="inlineStr">
        <is>
          <t>2001-10-20</t>
        </is>
      </c>
      <c r="W1009" t="inlineStr">
        <is>
          <t>1991-11-04</t>
        </is>
      </c>
      <c r="X1009" t="inlineStr">
        <is>
          <t>1991-11-04</t>
        </is>
      </c>
      <c r="Y1009" t="n">
        <v>171</v>
      </c>
      <c r="Z1009" t="n">
        <v>158</v>
      </c>
      <c r="AA1009" t="n">
        <v>163</v>
      </c>
      <c r="AB1009" t="n">
        <v>1</v>
      </c>
      <c r="AC1009" t="n">
        <v>1</v>
      </c>
      <c r="AD1009" t="n">
        <v>23</v>
      </c>
      <c r="AE1009" t="n">
        <v>23</v>
      </c>
      <c r="AF1009" t="n">
        <v>7</v>
      </c>
      <c r="AG1009" t="n">
        <v>7</v>
      </c>
      <c r="AH1009" t="n">
        <v>7</v>
      </c>
      <c r="AI1009" t="n">
        <v>7</v>
      </c>
      <c r="AJ1009" t="n">
        <v>18</v>
      </c>
      <c r="AK1009" t="n">
        <v>18</v>
      </c>
      <c r="AL1009" t="n">
        <v>0</v>
      </c>
      <c r="AM1009" t="n">
        <v>0</v>
      </c>
      <c r="AN1009" t="n">
        <v>0</v>
      </c>
      <c r="AO1009" t="n">
        <v>0</v>
      </c>
      <c r="AP1009" t="inlineStr">
        <is>
          <t>No</t>
        </is>
      </c>
      <c r="AQ1009" t="inlineStr">
        <is>
          <t>Yes</t>
        </is>
      </c>
      <c r="AR1009">
        <f>HYPERLINK("http://catalog.hathitrust.org/Record/011807364","HathiTrust Record")</f>
        <v/>
      </c>
      <c r="AS1009">
        <f>HYPERLINK("https://creighton-primo.hosted.exlibrisgroup.com/primo-explore/search?tab=default_tab&amp;search_scope=EVERYTHING&amp;vid=01CRU&amp;lang=en_US&amp;offset=0&amp;query=any,contains,991001938169702656","Catalog Record")</f>
        <v/>
      </c>
      <c r="AT1009">
        <f>HYPERLINK("http://www.worldcat.org/oclc/24494375","WorldCat Record")</f>
        <v/>
      </c>
      <c r="AU1009" t="inlineStr">
        <is>
          <t>1060563226:eng</t>
        </is>
      </c>
      <c r="AV1009" t="inlineStr">
        <is>
          <t>24494375</t>
        </is>
      </c>
      <c r="AW1009" t="inlineStr">
        <is>
          <t>991001938169702656</t>
        </is>
      </c>
      <c r="AX1009" t="inlineStr">
        <is>
          <t>991001938169702656</t>
        </is>
      </c>
      <c r="AY1009" t="inlineStr">
        <is>
          <t>2258491100002656</t>
        </is>
      </c>
      <c r="AZ1009" t="inlineStr">
        <is>
          <t>BOOK</t>
        </is>
      </c>
      <c r="BB1009" t="inlineStr">
        <is>
          <t>9781555863852</t>
        </is>
      </c>
      <c r="BC1009" t="inlineStr">
        <is>
          <t>32285000769942</t>
        </is>
      </c>
      <c r="BD1009" t="inlineStr">
        <is>
          <t>893721201</t>
        </is>
      </c>
    </row>
    <row r="1010">
      <c r="A1010" t="inlineStr">
        <is>
          <t>No</t>
        </is>
      </c>
      <c r="B1010" t="inlineStr">
        <is>
          <t>BX1970 .C476 1991</t>
        </is>
      </c>
      <c r="C1010" t="inlineStr">
        <is>
          <t>0                      BX 1970000C  476         1991</t>
        </is>
      </c>
      <c r="D1010" t="inlineStr">
        <is>
          <t>Gathered in steadfast faith : statement on Sunday worship in the absence of a priest.</t>
        </is>
      </c>
      <c r="F1010" t="inlineStr">
        <is>
          <t>No</t>
        </is>
      </c>
      <c r="G1010" t="inlineStr">
        <is>
          <t>1</t>
        </is>
      </c>
      <c r="H1010" t="inlineStr">
        <is>
          <t>No</t>
        </is>
      </c>
      <c r="I1010" t="inlineStr">
        <is>
          <t>No</t>
        </is>
      </c>
      <c r="J1010" t="inlineStr">
        <is>
          <t>0</t>
        </is>
      </c>
      <c r="K1010" t="inlineStr">
        <is>
          <t>Catholic Church. National Conference of Catholic Bishops. Bishops' Committee on the Liturgy.</t>
        </is>
      </c>
      <c r="L1010" t="inlineStr">
        <is>
          <t>Washington, D.C. : United States Catholic Conference, c1991.</t>
        </is>
      </c>
      <c r="M1010" t="inlineStr">
        <is>
          <t>1991</t>
        </is>
      </c>
      <c r="O1010" t="inlineStr">
        <is>
          <t>eng</t>
        </is>
      </c>
      <c r="P1010" t="inlineStr">
        <is>
          <t>dcu</t>
        </is>
      </c>
      <c r="Q1010" t="inlineStr">
        <is>
          <t>Publication / Office for Publishing and Promotion Services, United States Catholic Conference ; no. 361-2</t>
        </is>
      </c>
      <c r="R1010" t="inlineStr">
        <is>
          <t xml:space="preserve">BX </t>
        </is>
      </c>
      <c r="S1010" t="n">
        <v>1</v>
      </c>
      <c r="T1010" t="n">
        <v>1</v>
      </c>
      <c r="U1010" t="inlineStr">
        <is>
          <t>1995-11-25</t>
        </is>
      </c>
      <c r="V1010" t="inlineStr">
        <is>
          <t>1995-11-25</t>
        </is>
      </c>
      <c r="W1010" t="inlineStr">
        <is>
          <t>1992-09-09</t>
        </is>
      </c>
      <c r="X1010" t="inlineStr">
        <is>
          <t>1992-09-09</t>
        </is>
      </c>
      <c r="Y1010" t="n">
        <v>84</v>
      </c>
      <c r="Z1010" t="n">
        <v>75</v>
      </c>
      <c r="AA1010" t="n">
        <v>76</v>
      </c>
      <c r="AB1010" t="n">
        <v>1</v>
      </c>
      <c r="AC1010" t="n">
        <v>1</v>
      </c>
      <c r="AD1010" t="n">
        <v>12</v>
      </c>
      <c r="AE1010" t="n">
        <v>12</v>
      </c>
      <c r="AF1010" t="n">
        <v>2</v>
      </c>
      <c r="AG1010" t="n">
        <v>2</v>
      </c>
      <c r="AH1010" t="n">
        <v>4</v>
      </c>
      <c r="AI1010" t="n">
        <v>4</v>
      </c>
      <c r="AJ1010" t="n">
        <v>9</v>
      </c>
      <c r="AK1010" t="n">
        <v>9</v>
      </c>
      <c r="AL1010" t="n">
        <v>0</v>
      </c>
      <c r="AM1010" t="n">
        <v>0</v>
      </c>
      <c r="AN1010" t="n">
        <v>0</v>
      </c>
      <c r="AO1010" t="n">
        <v>0</v>
      </c>
      <c r="AP1010" t="inlineStr">
        <is>
          <t>No</t>
        </is>
      </c>
      <c r="AQ1010" t="inlineStr">
        <is>
          <t>No</t>
        </is>
      </c>
      <c r="AS1010">
        <f>HYPERLINK("https://creighton-primo.hosted.exlibrisgroup.com/primo-explore/search?tab=default_tab&amp;search_scope=EVERYTHING&amp;vid=01CRU&amp;lang=en_US&amp;offset=0&amp;query=any,contains,991001946969702656","Catalog Record")</f>
        <v/>
      </c>
      <c r="AT1010">
        <f>HYPERLINK("http://www.worldcat.org/oclc/27146996","WorldCat Record")</f>
        <v/>
      </c>
      <c r="AU1010" t="inlineStr">
        <is>
          <t>29980939:eng</t>
        </is>
      </c>
      <c r="AV1010" t="inlineStr">
        <is>
          <t>27146996</t>
        </is>
      </c>
      <c r="AW1010" t="inlineStr">
        <is>
          <t>991001946969702656</t>
        </is>
      </c>
      <c r="AX1010" t="inlineStr">
        <is>
          <t>991001946969702656</t>
        </is>
      </c>
      <c r="AY1010" t="inlineStr">
        <is>
          <t>2255065320002656</t>
        </is>
      </c>
      <c r="AZ1010" t="inlineStr">
        <is>
          <t>BOOK</t>
        </is>
      </c>
      <c r="BB1010" t="inlineStr">
        <is>
          <t>9781555863616</t>
        </is>
      </c>
      <c r="BC1010" t="inlineStr">
        <is>
          <t>32285001284701</t>
        </is>
      </c>
      <c r="BD1010" t="inlineStr">
        <is>
          <t>893872919</t>
        </is>
      </c>
    </row>
    <row r="1011">
      <c r="A1011" t="inlineStr">
        <is>
          <t>No</t>
        </is>
      </c>
      <c r="B1011" t="inlineStr">
        <is>
          <t>BX1970 .C656 1990</t>
        </is>
      </c>
      <c r="C1011" t="inlineStr">
        <is>
          <t>0                      BX 1970000C  656         1990</t>
        </is>
      </c>
      <c r="D1011" t="inlineStr">
        <is>
          <t>Contemplative participation : Sacrosanctum Concilium, twenty-five years later / Mary Collins.</t>
        </is>
      </c>
      <c r="F1011" t="inlineStr">
        <is>
          <t>No</t>
        </is>
      </c>
      <c r="G1011" t="inlineStr">
        <is>
          <t>1</t>
        </is>
      </c>
      <c r="H1011" t="inlineStr">
        <is>
          <t>No</t>
        </is>
      </c>
      <c r="I1011" t="inlineStr">
        <is>
          <t>No</t>
        </is>
      </c>
      <c r="J1011" t="inlineStr">
        <is>
          <t>0</t>
        </is>
      </c>
      <c r="K1011" t="inlineStr">
        <is>
          <t>Collins, Mary, 1935-</t>
        </is>
      </c>
      <c r="L1011" t="inlineStr">
        <is>
          <t>Collegeville, Minn. : Liturgical Press, c1990.</t>
        </is>
      </c>
      <c r="M1011" t="inlineStr">
        <is>
          <t>1990</t>
        </is>
      </c>
      <c r="O1011" t="inlineStr">
        <is>
          <t>eng</t>
        </is>
      </c>
      <c r="P1011" t="inlineStr">
        <is>
          <t>mnu</t>
        </is>
      </c>
      <c r="R1011" t="inlineStr">
        <is>
          <t xml:space="preserve">BX </t>
        </is>
      </c>
      <c r="S1011" t="n">
        <v>2</v>
      </c>
      <c r="T1011" t="n">
        <v>2</v>
      </c>
      <c r="U1011" t="inlineStr">
        <is>
          <t>2005-12-09</t>
        </is>
      </c>
      <c r="V1011" t="inlineStr">
        <is>
          <t>2005-12-09</t>
        </is>
      </c>
      <c r="W1011" t="inlineStr">
        <is>
          <t>2004-05-05</t>
        </is>
      </c>
      <c r="X1011" t="inlineStr">
        <is>
          <t>2004-05-05</t>
        </is>
      </c>
      <c r="Y1011" t="n">
        <v>115</v>
      </c>
      <c r="Z1011" t="n">
        <v>97</v>
      </c>
      <c r="AA1011" t="n">
        <v>97</v>
      </c>
      <c r="AB1011" t="n">
        <v>1</v>
      </c>
      <c r="AC1011" t="n">
        <v>1</v>
      </c>
      <c r="AD1011" t="n">
        <v>16</v>
      </c>
      <c r="AE1011" t="n">
        <v>16</v>
      </c>
      <c r="AF1011" t="n">
        <v>5</v>
      </c>
      <c r="AG1011" t="n">
        <v>5</v>
      </c>
      <c r="AH1011" t="n">
        <v>4</v>
      </c>
      <c r="AI1011" t="n">
        <v>4</v>
      </c>
      <c r="AJ1011" t="n">
        <v>10</v>
      </c>
      <c r="AK1011" t="n">
        <v>10</v>
      </c>
      <c r="AL1011" t="n">
        <v>0</v>
      </c>
      <c r="AM1011" t="n">
        <v>0</v>
      </c>
      <c r="AN1011" t="n">
        <v>0</v>
      </c>
      <c r="AO1011" t="n">
        <v>0</v>
      </c>
      <c r="AP1011" t="inlineStr">
        <is>
          <t>No</t>
        </is>
      </c>
      <c r="AQ1011" t="inlineStr">
        <is>
          <t>No</t>
        </is>
      </c>
      <c r="AS1011">
        <f>HYPERLINK("https://creighton-primo.hosted.exlibrisgroup.com/primo-explore/search?tab=default_tab&amp;search_scope=EVERYTHING&amp;vid=01CRU&amp;lang=en_US&amp;offset=0&amp;query=any,contains,991004295709702656","Catalog Record")</f>
        <v/>
      </c>
      <c r="AT1011">
        <f>HYPERLINK("http://www.worldcat.org/oclc/21483213","WorldCat Record")</f>
        <v/>
      </c>
      <c r="AU1011" t="inlineStr">
        <is>
          <t>890226485:eng</t>
        </is>
      </c>
      <c r="AV1011" t="inlineStr">
        <is>
          <t>21483213</t>
        </is>
      </c>
      <c r="AW1011" t="inlineStr">
        <is>
          <t>991004295709702656</t>
        </is>
      </c>
      <c r="AX1011" t="inlineStr">
        <is>
          <t>991004295709702656</t>
        </is>
      </c>
      <c r="AY1011" t="inlineStr">
        <is>
          <t>2261725090002656</t>
        </is>
      </c>
      <c r="AZ1011" t="inlineStr">
        <is>
          <t>BOOK</t>
        </is>
      </c>
      <c r="BB1011" t="inlineStr">
        <is>
          <t>9780814619223</t>
        </is>
      </c>
      <c r="BC1011" t="inlineStr">
        <is>
          <t>32285004904115</t>
        </is>
      </c>
      <c r="BD1011" t="inlineStr">
        <is>
          <t>893442452</t>
        </is>
      </c>
    </row>
    <row r="1012">
      <c r="A1012" t="inlineStr">
        <is>
          <t>No</t>
        </is>
      </c>
      <c r="B1012" t="inlineStr">
        <is>
          <t>BX1970 .D273 1961</t>
        </is>
      </c>
      <c r="C1012" t="inlineStr">
        <is>
          <t>0                      BX 1970000D  273         1961</t>
        </is>
      </c>
      <c r="D1012" t="inlineStr">
        <is>
          <t>Introduction to the liturgy / by I. H. Dalmais. Translated by Roger Capel. With a pref. by Frederick R. McManus.</t>
        </is>
      </c>
      <c r="F1012" t="inlineStr">
        <is>
          <t>No</t>
        </is>
      </c>
      <c r="G1012" t="inlineStr">
        <is>
          <t>1</t>
        </is>
      </c>
      <c r="H1012" t="inlineStr">
        <is>
          <t>No</t>
        </is>
      </c>
      <c r="I1012" t="inlineStr">
        <is>
          <t>No</t>
        </is>
      </c>
      <c r="J1012" t="inlineStr">
        <is>
          <t>0</t>
        </is>
      </c>
      <c r="K1012" t="inlineStr">
        <is>
          <t>Dalmais, Irénée Henri, 1914-2006.</t>
        </is>
      </c>
      <c r="L1012" t="inlineStr">
        <is>
          <t>Baltimore : Helicon Press, 1961.</t>
        </is>
      </c>
      <c r="M1012" t="inlineStr">
        <is>
          <t>1961</t>
        </is>
      </c>
      <c r="O1012" t="inlineStr">
        <is>
          <t>eng</t>
        </is>
      </c>
      <c r="P1012" t="inlineStr">
        <is>
          <t>mdu</t>
        </is>
      </c>
      <c r="R1012" t="inlineStr">
        <is>
          <t xml:space="preserve">BX </t>
        </is>
      </c>
      <c r="S1012" t="n">
        <v>2</v>
      </c>
      <c r="T1012" t="n">
        <v>2</v>
      </c>
      <c r="U1012" t="inlineStr">
        <is>
          <t>1995-02-22</t>
        </is>
      </c>
      <c r="V1012" t="inlineStr">
        <is>
          <t>1995-02-22</t>
        </is>
      </c>
      <c r="W1012" t="inlineStr">
        <is>
          <t>1990-06-01</t>
        </is>
      </c>
      <c r="X1012" t="inlineStr">
        <is>
          <t>1990-06-01</t>
        </is>
      </c>
      <c r="Y1012" t="n">
        <v>197</v>
      </c>
      <c r="Z1012" t="n">
        <v>178</v>
      </c>
      <c r="AA1012" t="n">
        <v>195</v>
      </c>
      <c r="AB1012" t="n">
        <v>3</v>
      </c>
      <c r="AC1012" t="n">
        <v>3</v>
      </c>
      <c r="AD1012" t="n">
        <v>23</v>
      </c>
      <c r="AE1012" t="n">
        <v>26</v>
      </c>
      <c r="AF1012" t="n">
        <v>10</v>
      </c>
      <c r="AG1012" t="n">
        <v>10</v>
      </c>
      <c r="AH1012" t="n">
        <v>6</v>
      </c>
      <c r="AI1012" t="n">
        <v>7</v>
      </c>
      <c r="AJ1012" t="n">
        <v>17</v>
      </c>
      <c r="AK1012" t="n">
        <v>20</v>
      </c>
      <c r="AL1012" t="n">
        <v>0</v>
      </c>
      <c r="AM1012" t="n">
        <v>0</v>
      </c>
      <c r="AN1012" t="n">
        <v>0</v>
      </c>
      <c r="AO1012" t="n">
        <v>0</v>
      </c>
      <c r="AP1012" t="inlineStr">
        <is>
          <t>No</t>
        </is>
      </c>
      <c r="AQ1012" t="inlineStr">
        <is>
          <t>No</t>
        </is>
      </c>
      <c r="AS1012">
        <f>HYPERLINK("https://creighton-primo.hosted.exlibrisgroup.com/primo-explore/search?tab=default_tab&amp;search_scope=EVERYTHING&amp;vid=01CRU&amp;lang=en_US&amp;offset=0&amp;query=any,contains,991004233109702656","Catalog Record")</f>
        <v/>
      </c>
      <c r="AT1012">
        <f>HYPERLINK("http://www.worldcat.org/oclc/2755311","WorldCat Record")</f>
        <v/>
      </c>
      <c r="AU1012" t="inlineStr">
        <is>
          <t>5829672:eng</t>
        </is>
      </c>
      <c r="AV1012" t="inlineStr">
        <is>
          <t>2755311</t>
        </is>
      </c>
      <c r="AW1012" t="inlineStr">
        <is>
          <t>991004233109702656</t>
        </is>
      </c>
      <c r="AX1012" t="inlineStr">
        <is>
          <t>991004233109702656</t>
        </is>
      </c>
      <c r="AY1012" t="inlineStr">
        <is>
          <t>2259989390002656</t>
        </is>
      </c>
      <c r="AZ1012" t="inlineStr">
        <is>
          <t>BOOK</t>
        </is>
      </c>
      <c r="BC1012" t="inlineStr">
        <is>
          <t>32285000181288</t>
        </is>
      </c>
      <c r="BD1012" t="inlineStr">
        <is>
          <t>893599594</t>
        </is>
      </c>
    </row>
    <row r="1013">
      <c r="A1013" t="inlineStr">
        <is>
          <t>No</t>
        </is>
      </c>
      <c r="B1013" t="inlineStr">
        <is>
          <t>BX1970 .F57 1985</t>
        </is>
      </c>
      <c r="C1013" t="inlineStr">
        <is>
          <t>0                      BX 1970000F  57          1985</t>
        </is>
      </c>
      <c r="D1013" t="inlineStr">
        <is>
          <t>Preparing for liturgy : a theology and spirituality / Austin Fleming.</t>
        </is>
      </c>
      <c r="F1013" t="inlineStr">
        <is>
          <t>No</t>
        </is>
      </c>
      <c r="G1013" t="inlineStr">
        <is>
          <t>1</t>
        </is>
      </c>
      <c r="H1013" t="inlineStr">
        <is>
          <t>No</t>
        </is>
      </c>
      <c r="I1013" t="inlineStr">
        <is>
          <t>No</t>
        </is>
      </c>
      <c r="J1013" t="inlineStr">
        <is>
          <t>0</t>
        </is>
      </c>
      <c r="K1013" t="inlineStr">
        <is>
          <t>Fleming, Austin.</t>
        </is>
      </c>
      <c r="L1013" t="inlineStr">
        <is>
          <t>Washington, D.C. : Pastoral Press, c1985.</t>
        </is>
      </c>
      <c r="M1013" t="inlineStr">
        <is>
          <t>1985</t>
        </is>
      </c>
      <c r="O1013" t="inlineStr">
        <is>
          <t>eng</t>
        </is>
      </c>
      <c r="P1013" t="inlineStr">
        <is>
          <t>dcu</t>
        </is>
      </c>
      <c r="R1013" t="inlineStr">
        <is>
          <t xml:space="preserve">BX </t>
        </is>
      </c>
      <c r="S1013" t="n">
        <v>6</v>
      </c>
      <c r="T1013" t="n">
        <v>6</v>
      </c>
      <c r="U1013" t="inlineStr">
        <is>
          <t>1996-06-29</t>
        </is>
      </c>
      <c r="V1013" t="inlineStr">
        <is>
          <t>1996-06-29</t>
        </is>
      </c>
      <c r="W1013" t="inlineStr">
        <is>
          <t>1991-09-11</t>
        </is>
      </c>
      <c r="X1013" t="inlineStr">
        <is>
          <t>1991-09-11</t>
        </is>
      </c>
      <c r="Y1013" t="n">
        <v>126</v>
      </c>
      <c r="Z1013" t="n">
        <v>106</v>
      </c>
      <c r="AA1013" t="n">
        <v>138</v>
      </c>
      <c r="AB1013" t="n">
        <v>2</v>
      </c>
      <c r="AC1013" t="n">
        <v>2</v>
      </c>
      <c r="AD1013" t="n">
        <v>15</v>
      </c>
      <c r="AE1013" t="n">
        <v>17</v>
      </c>
      <c r="AF1013" t="n">
        <v>5</v>
      </c>
      <c r="AG1013" t="n">
        <v>6</v>
      </c>
      <c r="AH1013" t="n">
        <v>3</v>
      </c>
      <c r="AI1013" t="n">
        <v>4</v>
      </c>
      <c r="AJ1013" t="n">
        <v>11</v>
      </c>
      <c r="AK1013" t="n">
        <v>13</v>
      </c>
      <c r="AL1013" t="n">
        <v>1</v>
      </c>
      <c r="AM1013" t="n">
        <v>1</v>
      </c>
      <c r="AN1013" t="n">
        <v>0</v>
      </c>
      <c r="AO1013" t="n">
        <v>0</v>
      </c>
      <c r="AP1013" t="inlineStr">
        <is>
          <t>No</t>
        </is>
      </c>
      <c r="AQ1013" t="inlineStr">
        <is>
          <t>No</t>
        </is>
      </c>
      <c r="AS1013">
        <f>HYPERLINK("https://creighton-primo.hosted.exlibrisgroup.com/primo-explore/search?tab=default_tab&amp;search_scope=EVERYTHING&amp;vid=01CRU&amp;lang=en_US&amp;offset=0&amp;query=any,contains,991000713019702656","Catalog Record")</f>
        <v/>
      </c>
      <c r="AT1013">
        <f>HYPERLINK("http://www.worldcat.org/oclc/12598291","WorldCat Record")</f>
        <v/>
      </c>
      <c r="AU1013" t="inlineStr">
        <is>
          <t>680433:eng</t>
        </is>
      </c>
      <c r="AV1013" t="inlineStr">
        <is>
          <t>12598291</t>
        </is>
      </c>
      <c r="AW1013" t="inlineStr">
        <is>
          <t>991000713019702656</t>
        </is>
      </c>
      <c r="AX1013" t="inlineStr">
        <is>
          <t>991000713019702656</t>
        </is>
      </c>
      <c r="AY1013" t="inlineStr">
        <is>
          <t>2270342310002656</t>
        </is>
      </c>
      <c r="AZ1013" t="inlineStr">
        <is>
          <t>BOOK</t>
        </is>
      </c>
      <c r="BB1013" t="inlineStr">
        <is>
          <t>9780912405162</t>
        </is>
      </c>
      <c r="BC1013" t="inlineStr">
        <is>
          <t>32285000741800</t>
        </is>
      </c>
      <c r="BD1013" t="inlineStr">
        <is>
          <t>893534285</t>
        </is>
      </c>
    </row>
    <row r="1014">
      <c r="A1014" t="inlineStr">
        <is>
          <t>No</t>
        </is>
      </c>
      <c r="B1014" t="inlineStr">
        <is>
          <t>BX1970 .F68 1991</t>
        </is>
      </c>
      <c r="C1014" t="inlineStr">
        <is>
          <t>0                      BX 1970000F  68          1991</t>
        </is>
      </c>
      <c r="D1014" t="inlineStr">
        <is>
          <t>Fountain of life / Gerard Austin, editor.</t>
        </is>
      </c>
      <c r="F1014" t="inlineStr">
        <is>
          <t>No</t>
        </is>
      </c>
      <c r="G1014" t="inlineStr">
        <is>
          <t>1</t>
        </is>
      </c>
      <c r="H1014" t="inlineStr">
        <is>
          <t>No</t>
        </is>
      </c>
      <c r="I1014" t="inlineStr">
        <is>
          <t>No</t>
        </is>
      </c>
      <c r="J1014" t="inlineStr">
        <is>
          <t>0</t>
        </is>
      </c>
      <c r="L1014" t="inlineStr">
        <is>
          <t>Washington, D.C. : Pastoral Press, c1991.</t>
        </is>
      </c>
      <c r="M1014" t="inlineStr">
        <is>
          <t>1991</t>
        </is>
      </c>
      <c r="O1014" t="inlineStr">
        <is>
          <t>eng</t>
        </is>
      </c>
      <c r="P1014" t="inlineStr">
        <is>
          <t>dcu</t>
        </is>
      </c>
      <c r="Q1014" t="inlineStr">
        <is>
          <t>NPM studies in church music and liturgy</t>
        </is>
      </c>
      <c r="R1014" t="inlineStr">
        <is>
          <t xml:space="preserve">BX </t>
        </is>
      </c>
      <c r="S1014" t="n">
        <v>1</v>
      </c>
      <c r="T1014" t="n">
        <v>1</v>
      </c>
      <c r="U1014" t="inlineStr">
        <is>
          <t>2006-06-05</t>
        </is>
      </c>
      <c r="V1014" t="inlineStr">
        <is>
          <t>2006-06-05</t>
        </is>
      </c>
      <c r="W1014" t="inlineStr">
        <is>
          <t>1992-03-11</t>
        </is>
      </c>
      <c r="X1014" t="inlineStr">
        <is>
          <t>1992-03-11</t>
        </is>
      </c>
      <c r="Y1014" t="n">
        <v>139</v>
      </c>
      <c r="Z1014" t="n">
        <v>108</v>
      </c>
      <c r="AA1014" t="n">
        <v>108</v>
      </c>
      <c r="AB1014" t="n">
        <v>2</v>
      </c>
      <c r="AC1014" t="n">
        <v>2</v>
      </c>
      <c r="AD1014" t="n">
        <v>16</v>
      </c>
      <c r="AE1014" t="n">
        <v>16</v>
      </c>
      <c r="AF1014" t="n">
        <v>4</v>
      </c>
      <c r="AG1014" t="n">
        <v>4</v>
      </c>
      <c r="AH1014" t="n">
        <v>4</v>
      </c>
      <c r="AI1014" t="n">
        <v>4</v>
      </c>
      <c r="AJ1014" t="n">
        <v>10</v>
      </c>
      <c r="AK1014" t="n">
        <v>10</v>
      </c>
      <c r="AL1014" t="n">
        <v>1</v>
      </c>
      <c r="AM1014" t="n">
        <v>1</v>
      </c>
      <c r="AN1014" t="n">
        <v>0</v>
      </c>
      <c r="AO1014" t="n">
        <v>0</v>
      </c>
      <c r="AP1014" t="inlineStr">
        <is>
          <t>No</t>
        </is>
      </c>
      <c r="AQ1014" t="inlineStr">
        <is>
          <t>No</t>
        </is>
      </c>
      <c r="AS1014">
        <f>HYPERLINK("https://creighton-primo.hosted.exlibrisgroup.com/primo-explore/search?tab=default_tab&amp;search_scope=EVERYTHING&amp;vid=01CRU&amp;lang=en_US&amp;offset=0&amp;query=any,contains,991001950209702656","Catalog Record")</f>
        <v/>
      </c>
      <c r="AT1014">
        <f>HYPERLINK("http://www.worldcat.org/oclc/24661962","WorldCat Record")</f>
        <v/>
      </c>
      <c r="AU1014" t="inlineStr">
        <is>
          <t>1042372156:eng</t>
        </is>
      </c>
      <c r="AV1014" t="inlineStr">
        <is>
          <t>24661962</t>
        </is>
      </c>
      <c r="AW1014" t="inlineStr">
        <is>
          <t>991001950209702656</t>
        </is>
      </c>
      <c r="AX1014" t="inlineStr">
        <is>
          <t>991001950209702656</t>
        </is>
      </c>
      <c r="AY1014" t="inlineStr">
        <is>
          <t>2258654020002656</t>
        </is>
      </c>
      <c r="AZ1014" t="inlineStr">
        <is>
          <t>BOOK</t>
        </is>
      </c>
      <c r="BB1014" t="inlineStr">
        <is>
          <t>9780912405858</t>
        </is>
      </c>
      <c r="BC1014" t="inlineStr">
        <is>
          <t>32285000939495</t>
        </is>
      </c>
      <c r="BD1014" t="inlineStr">
        <is>
          <t>893497565</t>
        </is>
      </c>
    </row>
    <row r="1015">
      <c r="A1015" t="inlineStr">
        <is>
          <t>No</t>
        </is>
      </c>
      <c r="B1015" t="inlineStr">
        <is>
          <t>BX1970 .G42137 1978</t>
        </is>
      </c>
      <c r="C1015" t="inlineStr">
        <is>
          <t>0                      BX 1970000G  42137       1978</t>
        </is>
      </c>
      <c r="D1015" t="inlineStr">
        <is>
          <t>The liturgy today and tomorrow / Joseph Gelineau ; translated by Dinah Livingstone.</t>
        </is>
      </c>
      <c r="F1015" t="inlineStr">
        <is>
          <t>No</t>
        </is>
      </c>
      <c r="G1015" t="inlineStr">
        <is>
          <t>1</t>
        </is>
      </c>
      <c r="H1015" t="inlineStr">
        <is>
          <t>No</t>
        </is>
      </c>
      <c r="I1015" t="inlineStr">
        <is>
          <t>No</t>
        </is>
      </c>
      <c r="J1015" t="inlineStr">
        <is>
          <t>0</t>
        </is>
      </c>
      <c r="K1015" t="inlineStr">
        <is>
          <t>Gelineau, Joseph.</t>
        </is>
      </c>
      <c r="L1015" t="inlineStr">
        <is>
          <t>New York : Paulist Press, c1978, 1980 printing.</t>
        </is>
      </c>
      <c r="M1015" t="inlineStr">
        <is>
          <t>1978</t>
        </is>
      </c>
      <c r="O1015" t="inlineStr">
        <is>
          <t>eng</t>
        </is>
      </c>
      <c r="P1015" t="inlineStr">
        <is>
          <t>nyu</t>
        </is>
      </c>
      <c r="R1015" t="inlineStr">
        <is>
          <t xml:space="preserve">BX </t>
        </is>
      </c>
      <c r="S1015" t="n">
        <v>3</v>
      </c>
      <c r="T1015" t="n">
        <v>3</v>
      </c>
      <c r="U1015" t="inlineStr">
        <is>
          <t>2004-12-13</t>
        </is>
      </c>
      <c r="V1015" t="inlineStr">
        <is>
          <t>2004-12-13</t>
        </is>
      </c>
      <c r="W1015" t="inlineStr">
        <is>
          <t>1990-05-24</t>
        </is>
      </c>
      <c r="X1015" t="inlineStr">
        <is>
          <t>1990-05-24</t>
        </is>
      </c>
      <c r="Y1015" t="n">
        <v>130</v>
      </c>
      <c r="Z1015" t="n">
        <v>113</v>
      </c>
      <c r="AA1015" t="n">
        <v>113</v>
      </c>
      <c r="AB1015" t="n">
        <v>2</v>
      </c>
      <c r="AC1015" t="n">
        <v>2</v>
      </c>
      <c r="AD1015" t="n">
        <v>14</v>
      </c>
      <c r="AE1015" t="n">
        <v>14</v>
      </c>
      <c r="AF1015" t="n">
        <v>5</v>
      </c>
      <c r="AG1015" t="n">
        <v>5</v>
      </c>
      <c r="AH1015" t="n">
        <v>4</v>
      </c>
      <c r="AI1015" t="n">
        <v>4</v>
      </c>
      <c r="AJ1015" t="n">
        <v>8</v>
      </c>
      <c r="AK1015" t="n">
        <v>8</v>
      </c>
      <c r="AL1015" t="n">
        <v>1</v>
      </c>
      <c r="AM1015" t="n">
        <v>1</v>
      </c>
      <c r="AN1015" t="n">
        <v>0</v>
      </c>
      <c r="AO1015" t="n">
        <v>0</v>
      </c>
      <c r="AP1015" t="inlineStr">
        <is>
          <t>No</t>
        </is>
      </c>
      <c r="AQ1015" t="inlineStr">
        <is>
          <t>No</t>
        </is>
      </c>
      <c r="AS1015">
        <f>HYPERLINK("https://creighton-primo.hosted.exlibrisgroup.com/primo-explore/search?tab=default_tab&amp;search_scope=EVERYTHING&amp;vid=01CRU&amp;lang=en_US&amp;offset=0&amp;query=any,contains,991004663729702656","Catalog Record")</f>
        <v/>
      </c>
      <c r="AT1015">
        <f>HYPERLINK("http://www.worldcat.org/oclc/4499243","WorldCat Record")</f>
        <v/>
      </c>
      <c r="AU1015" t="inlineStr">
        <is>
          <t>807351517:eng</t>
        </is>
      </c>
      <c r="AV1015" t="inlineStr">
        <is>
          <t>4499243</t>
        </is>
      </c>
      <c r="AW1015" t="inlineStr">
        <is>
          <t>991004663729702656</t>
        </is>
      </c>
      <c r="AX1015" t="inlineStr">
        <is>
          <t>991004663729702656</t>
        </is>
      </c>
      <c r="AY1015" t="inlineStr">
        <is>
          <t>2262682080002656</t>
        </is>
      </c>
      <c r="AZ1015" t="inlineStr">
        <is>
          <t>BOOK</t>
        </is>
      </c>
      <c r="BB1015" t="inlineStr">
        <is>
          <t>9780809121205</t>
        </is>
      </c>
      <c r="BC1015" t="inlineStr">
        <is>
          <t>32285000164649</t>
        </is>
      </c>
      <c r="BD1015" t="inlineStr">
        <is>
          <t>893436566</t>
        </is>
      </c>
    </row>
    <row r="1016">
      <c r="A1016" t="inlineStr">
        <is>
          <t>No</t>
        </is>
      </c>
      <c r="B1016" t="inlineStr">
        <is>
          <t>BX1970 .H7 1990</t>
        </is>
      </c>
      <c r="C1016" t="inlineStr">
        <is>
          <t>0                      BX 1970000H  7           1990</t>
        </is>
      </c>
      <c r="D1016" t="inlineStr">
        <is>
          <t>How firm a foundation : voices of the early liturgical movement / compiled and introduced by Kathleen Hughes.</t>
        </is>
      </c>
      <c r="F1016" t="inlineStr">
        <is>
          <t>No</t>
        </is>
      </c>
      <c r="G1016" t="inlineStr">
        <is>
          <t>1</t>
        </is>
      </c>
      <c r="H1016" t="inlineStr">
        <is>
          <t>No</t>
        </is>
      </c>
      <c r="I1016" t="inlineStr">
        <is>
          <t>No</t>
        </is>
      </c>
      <c r="J1016" t="inlineStr">
        <is>
          <t>0</t>
        </is>
      </c>
      <c r="K1016" t="inlineStr">
        <is>
          <t>Hughes, Kathleen, 1942-</t>
        </is>
      </c>
      <c r="L1016" t="inlineStr">
        <is>
          <t>Chicago, Ill. : Liturgy Training Publications, c1990.</t>
        </is>
      </c>
      <c r="M1016" t="inlineStr">
        <is>
          <t>1990</t>
        </is>
      </c>
      <c r="O1016" t="inlineStr">
        <is>
          <t>eng</t>
        </is>
      </c>
      <c r="P1016" t="inlineStr">
        <is>
          <t>ilu</t>
        </is>
      </c>
      <c r="R1016" t="inlineStr">
        <is>
          <t xml:space="preserve">BX </t>
        </is>
      </c>
      <c r="S1016" t="n">
        <v>2</v>
      </c>
      <c r="T1016" t="n">
        <v>2</v>
      </c>
      <c r="U1016" t="inlineStr">
        <is>
          <t>2008-03-10</t>
        </is>
      </c>
      <c r="V1016" t="inlineStr">
        <is>
          <t>2008-03-10</t>
        </is>
      </c>
      <c r="W1016" t="inlineStr">
        <is>
          <t>2004-05-05</t>
        </is>
      </c>
      <c r="X1016" t="inlineStr">
        <is>
          <t>2004-05-05</t>
        </is>
      </c>
      <c r="Y1016" t="n">
        <v>139</v>
      </c>
      <c r="Z1016" t="n">
        <v>118</v>
      </c>
      <c r="AA1016" t="n">
        <v>119</v>
      </c>
      <c r="AB1016" t="n">
        <v>3</v>
      </c>
      <c r="AC1016" t="n">
        <v>3</v>
      </c>
      <c r="AD1016" t="n">
        <v>16</v>
      </c>
      <c r="AE1016" t="n">
        <v>16</v>
      </c>
      <c r="AF1016" t="n">
        <v>4</v>
      </c>
      <c r="AG1016" t="n">
        <v>4</v>
      </c>
      <c r="AH1016" t="n">
        <v>4</v>
      </c>
      <c r="AI1016" t="n">
        <v>4</v>
      </c>
      <c r="AJ1016" t="n">
        <v>11</v>
      </c>
      <c r="AK1016" t="n">
        <v>11</v>
      </c>
      <c r="AL1016" t="n">
        <v>0</v>
      </c>
      <c r="AM1016" t="n">
        <v>0</v>
      </c>
      <c r="AN1016" t="n">
        <v>0</v>
      </c>
      <c r="AO1016" t="n">
        <v>0</v>
      </c>
      <c r="AP1016" t="inlineStr">
        <is>
          <t>No</t>
        </is>
      </c>
      <c r="AQ1016" t="inlineStr">
        <is>
          <t>No</t>
        </is>
      </c>
      <c r="AS1016">
        <f>HYPERLINK("https://creighton-primo.hosted.exlibrisgroup.com/primo-explore/search?tab=default_tab&amp;search_scope=EVERYTHING&amp;vid=01CRU&amp;lang=en_US&amp;offset=0&amp;query=any,contains,991004295529702656","Catalog Record")</f>
        <v/>
      </c>
      <c r="AT1016">
        <f>HYPERLINK("http://www.worldcat.org/oclc/23097973","WorldCat Record")</f>
        <v/>
      </c>
      <c r="AU1016" t="inlineStr">
        <is>
          <t>4230752394:eng</t>
        </is>
      </c>
      <c r="AV1016" t="inlineStr">
        <is>
          <t>23097973</t>
        </is>
      </c>
      <c r="AW1016" t="inlineStr">
        <is>
          <t>991004295529702656</t>
        </is>
      </c>
      <c r="AX1016" t="inlineStr">
        <is>
          <t>991004295529702656</t>
        </is>
      </c>
      <c r="AY1016" t="inlineStr">
        <is>
          <t>2259197510002656</t>
        </is>
      </c>
      <c r="AZ1016" t="inlineStr">
        <is>
          <t>BOOK</t>
        </is>
      </c>
      <c r="BB1016" t="inlineStr">
        <is>
          <t>9780930467982</t>
        </is>
      </c>
      <c r="BC1016" t="inlineStr">
        <is>
          <t>32285004904123</t>
        </is>
      </c>
      <c r="BD1016" t="inlineStr">
        <is>
          <t>893423630</t>
        </is>
      </c>
    </row>
    <row r="1017">
      <c r="A1017" t="inlineStr">
        <is>
          <t>No</t>
        </is>
      </c>
      <c r="B1017" t="inlineStr">
        <is>
          <t>BX1970 .I7588 1990</t>
        </is>
      </c>
      <c r="C1017" t="inlineStr">
        <is>
          <t>0                      BX 1970000I  7588        1990</t>
        </is>
      </c>
      <c r="D1017" t="inlineStr">
        <is>
          <t>Liturgical theology : a primer / Kevin W. Irwin.</t>
        </is>
      </c>
      <c r="F1017" t="inlineStr">
        <is>
          <t>No</t>
        </is>
      </c>
      <c r="G1017" t="inlineStr">
        <is>
          <t>1</t>
        </is>
      </c>
      <c r="H1017" t="inlineStr">
        <is>
          <t>No</t>
        </is>
      </c>
      <c r="I1017" t="inlineStr">
        <is>
          <t>No</t>
        </is>
      </c>
      <c r="J1017" t="inlineStr">
        <is>
          <t>0</t>
        </is>
      </c>
      <c r="K1017" t="inlineStr">
        <is>
          <t>Irwin, Kevin W.</t>
        </is>
      </c>
      <c r="L1017" t="inlineStr">
        <is>
          <t>Collegeville, Minn. : Liturgical Press, c1990.</t>
        </is>
      </c>
      <c r="M1017" t="inlineStr">
        <is>
          <t>1990</t>
        </is>
      </c>
      <c r="O1017" t="inlineStr">
        <is>
          <t>eng</t>
        </is>
      </c>
      <c r="P1017" t="inlineStr">
        <is>
          <t>mnu</t>
        </is>
      </c>
      <c r="Q1017" t="inlineStr">
        <is>
          <t>American essays in liturgy</t>
        </is>
      </c>
      <c r="R1017" t="inlineStr">
        <is>
          <t xml:space="preserve">BX </t>
        </is>
      </c>
      <c r="S1017" t="n">
        <v>6</v>
      </c>
      <c r="T1017" t="n">
        <v>6</v>
      </c>
      <c r="U1017" t="inlineStr">
        <is>
          <t>1995-06-29</t>
        </is>
      </c>
      <c r="V1017" t="inlineStr">
        <is>
          <t>1995-06-29</t>
        </is>
      </c>
      <c r="W1017" t="inlineStr">
        <is>
          <t>1994-04-07</t>
        </is>
      </c>
      <c r="X1017" t="inlineStr">
        <is>
          <t>1994-04-07</t>
        </is>
      </c>
      <c r="Y1017" t="n">
        <v>139</v>
      </c>
      <c r="Z1017" t="n">
        <v>110</v>
      </c>
      <c r="AA1017" t="n">
        <v>110</v>
      </c>
      <c r="AB1017" t="n">
        <v>1</v>
      </c>
      <c r="AC1017" t="n">
        <v>1</v>
      </c>
      <c r="AD1017" t="n">
        <v>18</v>
      </c>
      <c r="AE1017" t="n">
        <v>18</v>
      </c>
      <c r="AF1017" t="n">
        <v>6</v>
      </c>
      <c r="AG1017" t="n">
        <v>6</v>
      </c>
      <c r="AH1017" t="n">
        <v>5</v>
      </c>
      <c r="AI1017" t="n">
        <v>5</v>
      </c>
      <c r="AJ1017" t="n">
        <v>13</v>
      </c>
      <c r="AK1017" t="n">
        <v>13</v>
      </c>
      <c r="AL1017" t="n">
        <v>0</v>
      </c>
      <c r="AM1017" t="n">
        <v>0</v>
      </c>
      <c r="AN1017" t="n">
        <v>0</v>
      </c>
      <c r="AO1017" t="n">
        <v>0</v>
      </c>
      <c r="AP1017" t="inlineStr">
        <is>
          <t>No</t>
        </is>
      </c>
      <c r="AQ1017" t="inlineStr">
        <is>
          <t>No</t>
        </is>
      </c>
      <c r="AS1017">
        <f>HYPERLINK("https://creighton-primo.hosted.exlibrisgroup.com/primo-explore/search?tab=default_tab&amp;search_scope=EVERYTHING&amp;vid=01CRU&amp;lang=en_US&amp;offset=0&amp;query=any,contains,991001835779702656","Catalog Record")</f>
        <v/>
      </c>
      <c r="AT1017">
        <f>HYPERLINK("http://www.worldcat.org/oclc/23055940","WorldCat Record")</f>
        <v/>
      </c>
      <c r="AU1017" t="inlineStr">
        <is>
          <t>890002866:eng</t>
        </is>
      </c>
      <c r="AV1017" t="inlineStr">
        <is>
          <t>23055940</t>
        </is>
      </c>
      <c r="AW1017" t="inlineStr">
        <is>
          <t>991001835779702656</t>
        </is>
      </c>
      <c r="AX1017" t="inlineStr">
        <is>
          <t>991001835779702656</t>
        </is>
      </c>
      <c r="AY1017" t="inlineStr">
        <is>
          <t>2260202610002656</t>
        </is>
      </c>
      <c r="AZ1017" t="inlineStr">
        <is>
          <t>BOOK</t>
        </is>
      </c>
      <c r="BB1017" t="inlineStr">
        <is>
          <t>9780814619773</t>
        </is>
      </c>
      <c r="BC1017" t="inlineStr">
        <is>
          <t>32285001859510</t>
        </is>
      </c>
      <c r="BD1017" t="inlineStr">
        <is>
          <t>893497477</t>
        </is>
      </c>
    </row>
    <row r="1018">
      <c r="A1018" t="inlineStr">
        <is>
          <t>No</t>
        </is>
      </c>
      <c r="B1018" t="inlineStr">
        <is>
          <t>BX1970 .J67313 1991</t>
        </is>
      </c>
      <c r="C1018" t="inlineStr">
        <is>
          <t>0                      BX 1970000J  67313       1991</t>
        </is>
      </c>
      <c r="D1018" t="inlineStr">
        <is>
          <t>Days of the Lord : the liturgical year.</t>
        </is>
      </c>
      <c r="E1018" t="inlineStr">
        <is>
          <t>V.6</t>
        </is>
      </c>
      <c r="F1018" t="inlineStr">
        <is>
          <t>Yes</t>
        </is>
      </c>
      <c r="G1018" t="inlineStr">
        <is>
          <t>1</t>
        </is>
      </c>
      <c r="H1018" t="inlineStr">
        <is>
          <t>No</t>
        </is>
      </c>
      <c r="I1018" t="inlineStr">
        <is>
          <t>No</t>
        </is>
      </c>
      <c r="J1018" t="inlineStr">
        <is>
          <t>0</t>
        </is>
      </c>
      <c r="K1018" t="inlineStr">
        <is>
          <t>Jours du Seigneur. English.</t>
        </is>
      </c>
      <c r="L1018" t="inlineStr">
        <is>
          <t>Collegeville, Minn. : Liturgical Press, c1991-1994.</t>
        </is>
      </c>
      <c r="M1018" t="inlineStr">
        <is>
          <t>1991</t>
        </is>
      </c>
      <c r="O1018" t="inlineStr">
        <is>
          <t>eng</t>
        </is>
      </c>
      <c r="P1018" t="inlineStr">
        <is>
          <t>mnu</t>
        </is>
      </c>
      <c r="R1018" t="inlineStr">
        <is>
          <t xml:space="preserve">BX </t>
        </is>
      </c>
      <c r="S1018" t="n">
        <v>1</v>
      </c>
      <c r="T1018" t="n">
        <v>39</v>
      </c>
      <c r="U1018" t="inlineStr">
        <is>
          <t>1995-01-15</t>
        </is>
      </c>
      <c r="V1018" t="inlineStr">
        <is>
          <t>2010-03-02</t>
        </is>
      </c>
      <c r="W1018" t="inlineStr">
        <is>
          <t>1994-06-21</t>
        </is>
      </c>
      <c r="X1018" t="inlineStr">
        <is>
          <t>1995-08-17</t>
        </is>
      </c>
      <c r="Y1018" t="n">
        <v>202</v>
      </c>
      <c r="Z1018" t="n">
        <v>173</v>
      </c>
      <c r="AA1018" t="n">
        <v>178</v>
      </c>
      <c r="AB1018" t="n">
        <v>2</v>
      </c>
      <c r="AC1018" t="n">
        <v>2</v>
      </c>
      <c r="AD1018" t="n">
        <v>17</v>
      </c>
      <c r="AE1018" t="n">
        <v>17</v>
      </c>
      <c r="AF1018" t="n">
        <v>6</v>
      </c>
      <c r="AG1018" t="n">
        <v>6</v>
      </c>
      <c r="AH1018" t="n">
        <v>4</v>
      </c>
      <c r="AI1018" t="n">
        <v>4</v>
      </c>
      <c r="AJ1018" t="n">
        <v>13</v>
      </c>
      <c r="AK1018" t="n">
        <v>13</v>
      </c>
      <c r="AL1018" t="n">
        <v>0</v>
      </c>
      <c r="AM1018" t="n">
        <v>0</v>
      </c>
      <c r="AN1018" t="n">
        <v>0</v>
      </c>
      <c r="AO1018" t="n">
        <v>0</v>
      </c>
      <c r="AP1018" t="inlineStr">
        <is>
          <t>No</t>
        </is>
      </c>
      <c r="AQ1018" t="inlineStr">
        <is>
          <t>No</t>
        </is>
      </c>
      <c r="AS1018">
        <f>HYPERLINK("https://creighton-primo.hosted.exlibrisgroup.com/primo-explore/search?tab=default_tab&amp;search_scope=EVERYTHING&amp;vid=01CRU&amp;lang=en_US&amp;offset=0&amp;query=any,contains,991001803699702656","Catalog Record")</f>
        <v/>
      </c>
      <c r="AT1018">
        <f>HYPERLINK("http://www.worldcat.org/oclc/22664637","WorldCat Record")</f>
        <v/>
      </c>
      <c r="AU1018" t="inlineStr">
        <is>
          <t>1151390030:eng</t>
        </is>
      </c>
      <c r="AV1018" t="inlineStr">
        <is>
          <t>22664637</t>
        </is>
      </c>
      <c r="AW1018" t="inlineStr">
        <is>
          <t>991001803699702656</t>
        </is>
      </c>
      <c r="AX1018" t="inlineStr">
        <is>
          <t>991001803699702656</t>
        </is>
      </c>
      <c r="AY1018" t="inlineStr">
        <is>
          <t>2257309300002656</t>
        </is>
      </c>
      <c r="AZ1018" t="inlineStr">
        <is>
          <t>BOOK</t>
        </is>
      </c>
      <c r="BB1018" t="inlineStr">
        <is>
          <t>9780814618998</t>
        </is>
      </c>
      <c r="BC1018" t="inlineStr">
        <is>
          <t>32285001929305</t>
        </is>
      </c>
      <c r="BD1018" t="inlineStr">
        <is>
          <t>893352020</t>
        </is>
      </c>
    </row>
    <row r="1019">
      <c r="A1019" t="inlineStr">
        <is>
          <t>No</t>
        </is>
      </c>
      <c r="B1019" t="inlineStr">
        <is>
          <t>BX1970 .J67313 1991</t>
        </is>
      </c>
      <c r="C1019" t="inlineStr">
        <is>
          <t>0                      BX 1970000J  67313       1991</t>
        </is>
      </c>
      <c r="D1019" t="inlineStr">
        <is>
          <t>Days of the Lord : the liturgical year.</t>
        </is>
      </c>
      <c r="E1019" t="inlineStr">
        <is>
          <t>V.7</t>
        </is>
      </c>
      <c r="F1019" t="inlineStr">
        <is>
          <t>Yes</t>
        </is>
      </c>
      <c r="G1019" t="inlineStr">
        <is>
          <t>1</t>
        </is>
      </c>
      <c r="H1019" t="inlineStr">
        <is>
          <t>No</t>
        </is>
      </c>
      <c r="I1019" t="inlineStr">
        <is>
          <t>No</t>
        </is>
      </c>
      <c r="J1019" t="inlineStr">
        <is>
          <t>0</t>
        </is>
      </c>
      <c r="K1019" t="inlineStr">
        <is>
          <t>Jours du Seigneur. English.</t>
        </is>
      </c>
      <c r="L1019" t="inlineStr">
        <is>
          <t>Collegeville, Minn. : Liturgical Press, c1991-1994.</t>
        </is>
      </c>
      <c r="M1019" t="inlineStr">
        <is>
          <t>1991</t>
        </is>
      </c>
      <c r="O1019" t="inlineStr">
        <is>
          <t>eng</t>
        </is>
      </c>
      <c r="P1019" t="inlineStr">
        <is>
          <t>mnu</t>
        </is>
      </c>
      <c r="R1019" t="inlineStr">
        <is>
          <t xml:space="preserve">BX </t>
        </is>
      </c>
      <c r="S1019" t="n">
        <v>2</v>
      </c>
      <c r="T1019" t="n">
        <v>39</v>
      </c>
      <c r="U1019" t="inlineStr">
        <is>
          <t>2006-06-27</t>
        </is>
      </c>
      <c r="V1019" t="inlineStr">
        <is>
          <t>2010-03-02</t>
        </is>
      </c>
      <c r="W1019" t="inlineStr">
        <is>
          <t>1995-08-17</t>
        </is>
      </c>
      <c r="X1019" t="inlineStr">
        <is>
          <t>1995-08-17</t>
        </is>
      </c>
      <c r="Y1019" t="n">
        <v>202</v>
      </c>
      <c r="Z1019" t="n">
        <v>173</v>
      </c>
      <c r="AA1019" t="n">
        <v>178</v>
      </c>
      <c r="AB1019" t="n">
        <v>2</v>
      </c>
      <c r="AC1019" t="n">
        <v>2</v>
      </c>
      <c r="AD1019" t="n">
        <v>17</v>
      </c>
      <c r="AE1019" t="n">
        <v>17</v>
      </c>
      <c r="AF1019" t="n">
        <v>6</v>
      </c>
      <c r="AG1019" t="n">
        <v>6</v>
      </c>
      <c r="AH1019" t="n">
        <v>4</v>
      </c>
      <c r="AI1019" t="n">
        <v>4</v>
      </c>
      <c r="AJ1019" t="n">
        <v>13</v>
      </c>
      <c r="AK1019" t="n">
        <v>13</v>
      </c>
      <c r="AL1019" t="n">
        <v>0</v>
      </c>
      <c r="AM1019" t="n">
        <v>0</v>
      </c>
      <c r="AN1019" t="n">
        <v>0</v>
      </c>
      <c r="AO1019" t="n">
        <v>0</v>
      </c>
      <c r="AP1019" t="inlineStr">
        <is>
          <t>No</t>
        </is>
      </c>
      <c r="AQ1019" t="inlineStr">
        <is>
          <t>No</t>
        </is>
      </c>
      <c r="AS1019">
        <f>HYPERLINK("https://creighton-primo.hosted.exlibrisgroup.com/primo-explore/search?tab=default_tab&amp;search_scope=EVERYTHING&amp;vid=01CRU&amp;lang=en_US&amp;offset=0&amp;query=any,contains,991001803699702656","Catalog Record")</f>
        <v/>
      </c>
      <c r="AT1019">
        <f>HYPERLINK("http://www.worldcat.org/oclc/22664637","WorldCat Record")</f>
        <v/>
      </c>
      <c r="AU1019" t="inlineStr">
        <is>
          <t>1151390030:eng</t>
        </is>
      </c>
      <c r="AV1019" t="inlineStr">
        <is>
          <t>22664637</t>
        </is>
      </c>
      <c r="AW1019" t="inlineStr">
        <is>
          <t>991001803699702656</t>
        </is>
      </c>
      <c r="AX1019" t="inlineStr">
        <is>
          <t>991001803699702656</t>
        </is>
      </c>
      <c r="AY1019" t="inlineStr">
        <is>
          <t>2257309300002656</t>
        </is>
      </c>
      <c r="AZ1019" t="inlineStr">
        <is>
          <t>BOOK</t>
        </is>
      </c>
      <c r="BB1019" t="inlineStr">
        <is>
          <t>9780814618998</t>
        </is>
      </c>
      <c r="BC1019" t="inlineStr">
        <is>
          <t>32285002065182</t>
        </is>
      </c>
      <c r="BD1019" t="inlineStr">
        <is>
          <t>893352019</t>
        </is>
      </c>
    </row>
    <row r="1020">
      <c r="A1020" t="inlineStr">
        <is>
          <t>No</t>
        </is>
      </c>
      <c r="B1020" t="inlineStr">
        <is>
          <t>BX1970 .J67313 1991</t>
        </is>
      </c>
      <c r="C1020" t="inlineStr">
        <is>
          <t>0                      BX 1970000J  67313       1991</t>
        </is>
      </c>
      <c r="D1020" t="inlineStr">
        <is>
          <t>Days of the Lord : the liturgical year.</t>
        </is>
      </c>
      <c r="E1020" t="inlineStr">
        <is>
          <t>V.3</t>
        </is>
      </c>
      <c r="F1020" t="inlineStr">
        <is>
          <t>Yes</t>
        </is>
      </c>
      <c r="G1020" t="inlineStr">
        <is>
          <t>1</t>
        </is>
      </c>
      <c r="H1020" t="inlineStr">
        <is>
          <t>No</t>
        </is>
      </c>
      <c r="I1020" t="inlineStr">
        <is>
          <t>No</t>
        </is>
      </c>
      <c r="J1020" t="inlineStr">
        <is>
          <t>0</t>
        </is>
      </c>
      <c r="K1020" t="inlineStr">
        <is>
          <t>Jours du Seigneur. English.</t>
        </is>
      </c>
      <c r="L1020" t="inlineStr">
        <is>
          <t>Collegeville, Minn. : Liturgical Press, c1991-1994.</t>
        </is>
      </c>
      <c r="M1020" t="inlineStr">
        <is>
          <t>1991</t>
        </is>
      </c>
      <c r="O1020" t="inlineStr">
        <is>
          <t>eng</t>
        </is>
      </c>
      <c r="P1020" t="inlineStr">
        <is>
          <t>mnu</t>
        </is>
      </c>
      <c r="R1020" t="inlineStr">
        <is>
          <t xml:space="preserve">BX </t>
        </is>
      </c>
      <c r="S1020" t="n">
        <v>13</v>
      </c>
      <c r="T1020" t="n">
        <v>39</v>
      </c>
      <c r="U1020" t="inlineStr">
        <is>
          <t>2010-03-02</t>
        </is>
      </c>
      <c r="V1020" t="inlineStr">
        <is>
          <t>2010-03-02</t>
        </is>
      </c>
      <c r="W1020" t="inlineStr">
        <is>
          <t>1994-06-21</t>
        </is>
      </c>
      <c r="X1020" t="inlineStr">
        <is>
          <t>1995-08-17</t>
        </is>
      </c>
      <c r="Y1020" t="n">
        <v>202</v>
      </c>
      <c r="Z1020" t="n">
        <v>173</v>
      </c>
      <c r="AA1020" t="n">
        <v>178</v>
      </c>
      <c r="AB1020" t="n">
        <v>2</v>
      </c>
      <c r="AC1020" t="n">
        <v>2</v>
      </c>
      <c r="AD1020" t="n">
        <v>17</v>
      </c>
      <c r="AE1020" t="n">
        <v>17</v>
      </c>
      <c r="AF1020" t="n">
        <v>6</v>
      </c>
      <c r="AG1020" t="n">
        <v>6</v>
      </c>
      <c r="AH1020" t="n">
        <v>4</v>
      </c>
      <c r="AI1020" t="n">
        <v>4</v>
      </c>
      <c r="AJ1020" t="n">
        <v>13</v>
      </c>
      <c r="AK1020" t="n">
        <v>13</v>
      </c>
      <c r="AL1020" t="n">
        <v>0</v>
      </c>
      <c r="AM1020" t="n">
        <v>0</v>
      </c>
      <c r="AN1020" t="n">
        <v>0</v>
      </c>
      <c r="AO1020" t="n">
        <v>0</v>
      </c>
      <c r="AP1020" t="inlineStr">
        <is>
          <t>No</t>
        </is>
      </c>
      <c r="AQ1020" t="inlineStr">
        <is>
          <t>No</t>
        </is>
      </c>
      <c r="AS1020">
        <f>HYPERLINK("https://creighton-primo.hosted.exlibrisgroup.com/primo-explore/search?tab=default_tab&amp;search_scope=EVERYTHING&amp;vid=01CRU&amp;lang=en_US&amp;offset=0&amp;query=any,contains,991001803699702656","Catalog Record")</f>
        <v/>
      </c>
      <c r="AT1020">
        <f>HYPERLINK("http://www.worldcat.org/oclc/22664637","WorldCat Record")</f>
        <v/>
      </c>
      <c r="AU1020" t="inlineStr">
        <is>
          <t>1151390030:eng</t>
        </is>
      </c>
      <c r="AV1020" t="inlineStr">
        <is>
          <t>22664637</t>
        </is>
      </c>
      <c r="AW1020" t="inlineStr">
        <is>
          <t>991001803699702656</t>
        </is>
      </c>
      <c r="AX1020" t="inlineStr">
        <is>
          <t>991001803699702656</t>
        </is>
      </c>
      <c r="AY1020" t="inlineStr">
        <is>
          <t>2257309300002656</t>
        </is>
      </c>
      <c r="AZ1020" t="inlineStr">
        <is>
          <t>BOOK</t>
        </is>
      </c>
      <c r="BB1020" t="inlineStr">
        <is>
          <t>9780814618998</t>
        </is>
      </c>
      <c r="BC1020" t="inlineStr">
        <is>
          <t>32285001929289</t>
        </is>
      </c>
      <c r="BD1020" t="inlineStr">
        <is>
          <t>893340712</t>
        </is>
      </c>
    </row>
    <row r="1021">
      <c r="A1021" t="inlineStr">
        <is>
          <t>No</t>
        </is>
      </c>
      <c r="B1021" t="inlineStr">
        <is>
          <t>BX1970 .J67313 1991</t>
        </is>
      </c>
      <c r="C1021" t="inlineStr">
        <is>
          <t>0                      BX 1970000J  67313       1991</t>
        </is>
      </c>
      <c r="D1021" t="inlineStr">
        <is>
          <t>Days of the Lord : the liturgical year.</t>
        </is>
      </c>
      <c r="E1021" t="inlineStr">
        <is>
          <t>V.5</t>
        </is>
      </c>
      <c r="F1021" t="inlineStr">
        <is>
          <t>Yes</t>
        </is>
      </c>
      <c r="G1021" t="inlineStr">
        <is>
          <t>1</t>
        </is>
      </c>
      <c r="H1021" t="inlineStr">
        <is>
          <t>No</t>
        </is>
      </c>
      <c r="I1021" t="inlineStr">
        <is>
          <t>No</t>
        </is>
      </c>
      <c r="J1021" t="inlineStr">
        <is>
          <t>0</t>
        </is>
      </c>
      <c r="K1021" t="inlineStr">
        <is>
          <t>Jours du Seigneur. English.</t>
        </is>
      </c>
      <c r="L1021" t="inlineStr">
        <is>
          <t>Collegeville, Minn. : Liturgical Press, c1991-1994.</t>
        </is>
      </c>
      <c r="M1021" t="inlineStr">
        <is>
          <t>1991</t>
        </is>
      </c>
      <c r="O1021" t="inlineStr">
        <is>
          <t>eng</t>
        </is>
      </c>
      <c r="P1021" t="inlineStr">
        <is>
          <t>mnu</t>
        </is>
      </c>
      <c r="R1021" t="inlineStr">
        <is>
          <t xml:space="preserve">BX </t>
        </is>
      </c>
      <c r="S1021" t="n">
        <v>2</v>
      </c>
      <c r="T1021" t="n">
        <v>39</v>
      </c>
      <c r="U1021" t="inlineStr">
        <is>
          <t>1997-06-17</t>
        </is>
      </c>
      <c r="V1021" t="inlineStr">
        <is>
          <t>2010-03-02</t>
        </is>
      </c>
      <c r="W1021" t="inlineStr">
        <is>
          <t>1994-05-06</t>
        </is>
      </c>
      <c r="X1021" t="inlineStr">
        <is>
          <t>1995-08-17</t>
        </is>
      </c>
      <c r="Y1021" t="n">
        <v>202</v>
      </c>
      <c r="Z1021" t="n">
        <v>173</v>
      </c>
      <c r="AA1021" t="n">
        <v>178</v>
      </c>
      <c r="AB1021" t="n">
        <v>2</v>
      </c>
      <c r="AC1021" t="n">
        <v>2</v>
      </c>
      <c r="AD1021" t="n">
        <v>17</v>
      </c>
      <c r="AE1021" t="n">
        <v>17</v>
      </c>
      <c r="AF1021" t="n">
        <v>6</v>
      </c>
      <c r="AG1021" t="n">
        <v>6</v>
      </c>
      <c r="AH1021" t="n">
        <v>4</v>
      </c>
      <c r="AI1021" t="n">
        <v>4</v>
      </c>
      <c r="AJ1021" t="n">
        <v>13</v>
      </c>
      <c r="AK1021" t="n">
        <v>13</v>
      </c>
      <c r="AL1021" t="n">
        <v>0</v>
      </c>
      <c r="AM1021" t="n">
        <v>0</v>
      </c>
      <c r="AN1021" t="n">
        <v>0</v>
      </c>
      <c r="AO1021" t="n">
        <v>0</v>
      </c>
      <c r="AP1021" t="inlineStr">
        <is>
          <t>No</t>
        </is>
      </c>
      <c r="AQ1021" t="inlineStr">
        <is>
          <t>No</t>
        </is>
      </c>
      <c r="AS1021">
        <f>HYPERLINK("https://creighton-primo.hosted.exlibrisgroup.com/primo-explore/search?tab=default_tab&amp;search_scope=EVERYTHING&amp;vid=01CRU&amp;lang=en_US&amp;offset=0&amp;query=any,contains,991001803699702656","Catalog Record")</f>
        <v/>
      </c>
      <c r="AT1021">
        <f>HYPERLINK("http://www.worldcat.org/oclc/22664637","WorldCat Record")</f>
        <v/>
      </c>
      <c r="AU1021" t="inlineStr">
        <is>
          <t>1151390030:eng</t>
        </is>
      </c>
      <c r="AV1021" t="inlineStr">
        <is>
          <t>22664637</t>
        </is>
      </c>
      <c r="AW1021" t="inlineStr">
        <is>
          <t>991001803699702656</t>
        </is>
      </c>
      <c r="AX1021" t="inlineStr">
        <is>
          <t>991001803699702656</t>
        </is>
      </c>
      <c r="AY1021" t="inlineStr">
        <is>
          <t>2257309300002656</t>
        </is>
      </c>
      <c r="AZ1021" t="inlineStr">
        <is>
          <t>BOOK</t>
        </is>
      </c>
      <c r="BB1021" t="inlineStr">
        <is>
          <t>9780814618998</t>
        </is>
      </c>
      <c r="BC1021" t="inlineStr">
        <is>
          <t>32285001908580</t>
        </is>
      </c>
      <c r="BD1021" t="inlineStr">
        <is>
          <t>893334619</t>
        </is>
      </c>
    </row>
    <row r="1022">
      <c r="A1022" t="inlineStr">
        <is>
          <t>No</t>
        </is>
      </c>
      <c r="B1022" t="inlineStr">
        <is>
          <t>BX1970 .J67313 1991</t>
        </is>
      </c>
      <c r="C1022" t="inlineStr">
        <is>
          <t>0                      BX 1970000J  67313       1991</t>
        </is>
      </c>
      <c r="D1022" t="inlineStr">
        <is>
          <t>Days of the Lord : the liturgical year.</t>
        </is>
      </c>
      <c r="E1022" t="inlineStr">
        <is>
          <t>V.1</t>
        </is>
      </c>
      <c r="F1022" t="inlineStr">
        <is>
          <t>Yes</t>
        </is>
      </c>
      <c r="G1022" t="inlineStr">
        <is>
          <t>1</t>
        </is>
      </c>
      <c r="H1022" t="inlineStr">
        <is>
          <t>No</t>
        </is>
      </c>
      <c r="I1022" t="inlineStr">
        <is>
          <t>No</t>
        </is>
      </c>
      <c r="J1022" t="inlineStr">
        <is>
          <t>0</t>
        </is>
      </c>
      <c r="K1022" t="inlineStr">
        <is>
          <t>Jours du Seigneur. English.</t>
        </is>
      </c>
      <c r="L1022" t="inlineStr">
        <is>
          <t>Collegeville, Minn. : Liturgical Press, c1991-1994.</t>
        </is>
      </c>
      <c r="M1022" t="inlineStr">
        <is>
          <t>1991</t>
        </is>
      </c>
      <c r="O1022" t="inlineStr">
        <is>
          <t>eng</t>
        </is>
      </c>
      <c r="P1022" t="inlineStr">
        <is>
          <t>mnu</t>
        </is>
      </c>
      <c r="R1022" t="inlineStr">
        <is>
          <t xml:space="preserve">BX </t>
        </is>
      </c>
      <c r="S1022" t="n">
        <v>10</v>
      </c>
      <c r="T1022" t="n">
        <v>39</v>
      </c>
      <c r="U1022" t="inlineStr">
        <is>
          <t>2002-09-18</t>
        </is>
      </c>
      <c r="V1022" t="inlineStr">
        <is>
          <t>2010-03-02</t>
        </is>
      </c>
      <c r="W1022" t="inlineStr">
        <is>
          <t>1991-07-25</t>
        </is>
      </c>
      <c r="X1022" t="inlineStr">
        <is>
          <t>1995-08-17</t>
        </is>
      </c>
      <c r="Y1022" t="n">
        <v>202</v>
      </c>
      <c r="Z1022" t="n">
        <v>173</v>
      </c>
      <c r="AA1022" t="n">
        <v>178</v>
      </c>
      <c r="AB1022" t="n">
        <v>2</v>
      </c>
      <c r="AC1022" t="n">
        <v>2</v>
      </c>
      <c r="AD1022" t="n">
        <v>17</v>
      </c>
      <c r="AE1022" t="n">
        <v>17</v>
      </c>
      <c r="AF1022" t="n">
        <v>6</v>
      </c>
      <c r="AG1022" t="n">
        <v>6</v>
      </c>
      <c r="AH1022" t="n">
        <v>4</v>
      </c>
      <c r="AI1022" t="n">
        <v>4</v>
      </c>
      <c r="AJ1022" t="n">
        <v>13</v>
      </c>
      <c r="AK1022" t="n">
        <v>13</v>
      </c>
      <c r="AL1022" t="n">
        <v>0</v>
      </c>
      <c r="AM1022" t="n">
        <v>0</v>
      </c>
      <c r="AN1022" t="n">
        <v>0</v>
      </c>
      <c r="AO1022" t="n">
        <v>0</v>
      </c>
      <c r="AP1022" t="inlineStr">
        <is>
          <t>No</t>
        </is>
      </c>
      <c r="AQ1022" t="inlineStr">
        <is>
          <t>No</t>
        </is>
      </c>
      <c r="AS1022">
        <f>HYPERLINK("https://creighton-primo.hosted.exlibrisgroup.com/primo-explore/search?tab=default_tab&amp;search_scope=EVERYTHING&amp;vid=01CRU&amp;lang=en_US&amp;offset=0&amp;query=any,contains,991001803699702656","Catalog Record")</f>
        <v/>
      </c>
      <c r="AT1022">
        <f>HYPERLINK("http://www.worldcat.org/oclc/22664637","WorldCat Record")</f>
        <v/>
      </c>
      <c r="AU1022" t="inlineStr">
        <is>
          <t>1151390030:eng</t>
        </is>
      </c>
      <c r="AV1022" t="inlineStr">
        <is>
          <t>22664637</t>
        </is>
      </c>
      <c r="AW1022" t="inlineStr">
        <is>
          <t>991001803699702656</t>
        </is>
      </c>
      <c r="AX1022" t="inlineStr">
        <is>
          <t>991001803699702656</t>
        </is>
      </c>
      <c r="AY1022" t="inlineStr">
        <is>
          <t>2257309300002656</t>
        </is>
      </c>
      <c r="AZ1022" t="inlineStr">
        <is>
          <t>BOOK</t>
        </is>
      </c>
      <c r="BB1022" t="inlineStr">
        <is>
          <t>9780814618998</t>
        </is>
      </c>
      <c r="BC1022" t="inlineStr">
        <is>
          <t>32285000662477</t>
        </is>
      </c>
      <c r="BD1022" t="inlineStr">
        <is>
          <t>893334618</t>
        </is>
      </c>
    </row>
    <row r="1023">
      <c r="A1023" t="inlineStr">
        <is>
          <t>No</t>
        </is>
      </c>
      <c r="B1023" t="inlineStr">
        <is>
          <t>BX1970 .J67313 1991</t>
        </is>
      </c>
      <c r="C1023" t="inlineStr">
        <is>
          <t>0                      BX 1970000J  67313       1991</t>
        </is>
      </c>
      <c r="D1023" t="inlineStr">
        <is>
          <t>Days of the Lord : the liturgical year.</t>
        </is>
      </c>
      <c r="E1023" t="inlineStr">
        <is>
          <t>V.2</t>
        </is>
      </c>
      <c r="F1023" t="inlineStr">
        <is>
          <t>Yes</t>
        </is>
      </c>
      <c r="G1023" t="inlineStr">
        <is>
          <t>1</t>
        </is>
      </c>
      <c r="H1023" t="inlineStr">
        <is>
          <t>No</t>
        </is>
      </c>
      <c r="I1023" t="inlineStr">
        <is>
          <t>No</t>
        </is>
      </c>
      <c r="J1023" t="inlineStr">
        <is>
          <t>0</t>
        </is>
      </c>
      <c r="K1023" t="inlineStr">
        <is>
          <t>Jours du Seigneur. English.</t>
        </is>
      </c>
      <c r="L1023" t="inlineStr">
        <is>
          <t>Collegeville, Minn. : Liturgical Press, c1991-1994.</t>
        </is>
      </c>
      <c r="M1023" t="inlineStr">
        <is>
          <t>1991</t>
        </is>
      </c>
      <c r="O1023" t="inlineStr">
        <is>
          <t>eng</t>
        </is>
      </c>
      <c r="P1023" t="inlineStr">
        <is>
          <t>mnu</t>
        </is>
      </c>
      <c r="R1023" t="inlineStr">
        <is>
          <t xml:space="preserve">BX </t>
        </is>
      </c>
      <c r="S1023" t="n">
        <v>9</v>
      </c>
      <c r="T1023" t="n">
        <v>39</v>
      </c>
      <c r="U1023" t="inlineStr">
        <is>
          <t>2000-03-08</t>
        </is>
      </c>
      <c r="V1023" t="inlineStr">
        <is>
          <t>2010-03-02</t>
        </is>
      </c>
      <c r="W1023" t="inlineStr">
        <is>
          <t>1994-06-21</t>
        </is>
      </c>
      <c r="X1023" t="inlineStr">
        <is>
          <t>1995-08-17</t>
        </is>
      </c>
      <c r="Y1023" t="n">
        <v>202</v>
      </c>
      <c r="Z1023" t="n">
        <v>173</v>
      </c>
      <c r="AA1023" t="n">
        <v>178</v>
      </c>
      <c r="AB1023" t="n">
        <v>2</v>
      </c>
      <c r="AC1023" t="n">
        <v>2</v>
      </c>
      <c r="AD1023" t="n">
        <v>17</v>
      </c>
      <c r="AE1023" t="n">
        <v>17</v>
      </c>
      <c r="AF1023" t="n">
        <v>6</v>
      </c>
      <c r="AG1023" t="n">
        <v>6</v>
      </c>
      <c r="AH1023" t="n">
        <v>4</v>
      </c>
      <c r="AI1023" t="n">
        <v>4</v>
      </c>
      <c r="AJ1023" t="n">
        <v>13</v>
      </c>
      <c r="AK1023" t="n">
        <v>13</v>
      </c>
      <c r="AL1023" t="n">
        <v>0</v>
      </c>
      <c r="AM1023" t="n">
        <v>0</v>
      </c>
      <c r="AN1023" t="n">
        <v>0</v>
      </c>
      <c r="AO1023" t="n">
        <v>0</v>
      </c>
      <c r="AP1023" t="inlineStr">
        <is>
          <t>No</t>
        </is>
      </c>
      <c r="AQ1023" t="inlineStr">
        <is>
          <t>No</t>
        </is>
      </c>
      <c r="AS1023">
        <f>HYPERLINK("https://creighton-primo.hosted.exlibrisgroup.com/primo-explore/search?tab=default_tab&amp;search_scope=EVERYTHING&amp;vid=01CRU&amp;lang=en_US&amp;offset=0&amp;query=any,contains,991001803699702656","Catalog Record")</f>
        <v/>
      </c>
      <c r="AT1023">
        <f>HYPERLINK("http://www.worldcat.org/oclc/22664637","WorldCat Record")</f>
        <v/>
      </c>
      <c r="AU1023" t="inlineStr">
        <is>
          <t>1151390030:eng</t>
        </is>
      </c>
      <c r="AV1023" t="inlineStr">
        <is>
          <t>22664637</t>
        </is>
      </c>
      <c r="AW1023" t="inlineStr">
        <is>
          <t>991001803699702656</t>
        </is>
      </c>
      <c r="AX1023" t="inlineStr">
        <is>
          <t>991001803699702656</t>
        </is>
      </c>
      <c r="AY1023" t="inlineStr">
        <is>
          <t>2257309300002656</t>
        </is>
      </c>
      <c r="AZ1023" t="inlineStr">
        <is>
          <t>BOOK</t>
        </is>
      </c>
      <c r="BB1023" t="inlineStr">
        <is>
          <t>9780814618998</t>
        </is>
      </c>
      <c r="BC1023" t="inlineStr">
        <is>
          <t>32285001929271</t>
        </is>
      </c>
      <c r="BD1023" t="inlineStr">
        <is>
          <t>893340713</t>
        </is>
      </c>
    </row>
    <row r="1024">
      <c r="A1024" t="inlineStr">
        <is>
          <t>No</t>
        </is>
      </c>
      <c r="B1024" t="inlineStr">
        <is>
          <t>BX1970 .J67313 1991</t>
        </is>
      </c>
      <c r="C1024" t="inlineStr">
        <is>
          <t>0                      BX 1970000J  67313       1991</t>
        </is>
      </c>
      <c r="D1024" t="inlineStr">
        <is>
          <t>Days of the Lord : the liturgical year.</t>
        </is>
      </c>
      <c r="E1024" t="inlineStr">
        <is>
          <t>V.4</t>
        </is>
      </c>
      <c r="F1024" t="inlineStr">
        <is>
          <t>Yes</t>
        </is>
      </c>
      <c r="G1024" t="inlineStr">
        <is>
          <t>1</t>
        </is>
      </c>
      <c r="H1024" t="inlineStr">
        <is>
          <t>No</t>
        </is>
      </c>
      <c r="I1024" t="inlineStr">
        <is>
          <t>No</t>
        </is>
      </c>
      <c r="J1024" t="inlineStr">
        <is>
          <t>0</t>
        </is>
      </c>
      <c r="K1024" t="inlineStr">
        <is>
          <t>Jours du Seigneur. English.</t>
        </is>
      </c>
      <c r="L1024" t="inlineStr">
        <is>
          <t>Collegeville, Minn. : Liturgical Press, c1991-1994.</t>
        </is>
      </c>
      <c r="M1024" t="inlineStr">
        <is>
          <t>1991</t>
        </is>
      </c>
      <c r="O1024" t="inlineStr">
        <is>
          <t>eng</t>
        </is>
      </c>
      <c r="P1024" t="inlineStr">
        <is>
          <t>mnu</t>
        </is>
      </c>
      <c r="R1024" t="inlineStr">
        <is>
          <t xml:space="preserve">BX </t>
        </is>
      </c>
      <c r="S1024" t="n">
        <v>2</v>
      </c>
      <c r="T1024" t="n">
        <v>39</v>
      </c>
      <c r="U1024" t="inlineStr">
        <is>
          <t>1997-06-13</t>
        </is>
      </c>
      <c r="V1024" t="inlineStr">
        <is>
          <t>2010-03-02</t>
        </is>
      </c>
      <c r="W1024" t="inlineStr">
        <is>
          <t>1994-06-21</t>
        </is>
      </c>
      <c r="X1024" t="inlineStr">
        <is>
          <t>1995-08-17</t>
        </is>
      </c>
      <c r="Y1024" t="n">
        <v>202</v>
      </c>
      <c r="Z1024" t="n">
        <v>173</v>
      </c>
      <c r="AA1024" t="n">
        <v>178</v>
      </c>
      <c r="AB1024" t="n">
        <v>2</v>
      </c>
      <c r="AC1024" t="n">
        <v>2</v>
      </c>
      <c r="AD1024" t="n">
        <v>17</v>
      </c>
      <c r="AE1024" t="n">
        <v>17</v>
      </c>
      <c r="AF1024" t="n">
        <v>6</v>
      </c>
      <c r="AG1024" t="n">
        <v>6</v>
      </c>
      <c r="AH1024" t="n">
        <v>4</v>
      </c>
      <c r="AI1024" t="n">
        <v>4</v>
      </c>
      <c r="AJ1024" t="n">
        <v>13</v>
      </c>
      <c r="AK1024" t="n">
        <v>13</v>
      </c>
      <c r="AL1024" t="n">
        <v>0</v>
      </c>
      <c r="AM1024" t="n">
        <v>0</v>
      </c>
      <c r="AN1024" t="n">
        <v>0</v>
      </c>
      <c r="AO1024" t="n">
        <v>0</v>
      </c>
      <c r="AP1024" t="inlineStr">
        <is>
          <t>No</t>
        </is>
      </c>
      <c r="AQ1024" t="inlineStr">
        <is>
          <t>No</t>
        </is>
      </c>
      <c r="AS1024">
        <f>HYPERLINK("https://creighton-primo.hosted.exlibrisgroup.com/primo-explore/search?tab=default_tab&amp;search_scope=EVERYTHING&amp;vid=01CRU&amp;lang=en_US&amp;offset=0&amp;query=any,contains,991001803699702656","Catalog Record")</f>
        <v/>
      </c>
      <c r="AT1024">
        <f>HYPERLINK("http://www.worldcat.org/oclc/22664637","WorldCat Record")</f>
        <v/>
      </c>
      <c r="AU1024" t="inlineStr">
        <is>
          <t>1151390030:eng</t>
        </is>
      </c>
      <c r="AV1024" t="inlineStr">
        <is>
          <t>22664637</t>
        </is>
      </c>
      <c r="AW1024" t="inlineStr">
        <is>
          <t>991001803699702656</t>
        </is>
      </c>
      <c r="AX1024" t="inlineStr">
        <is>
          <t>991001803699702656</t>
        </is>
      </c>
      <c r="AY1024" t="inlineStr">
        <is>
          <t>2257309300002656</t>
        </is>
      </c>
      <c r="AZ1024" t="inlineStr">
        <is>
          <t>BOOK</t>
        </is>
      </c>
      <c r="BB1024" t="inlineStr">
        <is>
          <t>9780814618998</t>
        </is>
      </c>
      <c r="BC1024" t="inlineStr">
        <is>
          <t>32285001929297</t>
        </is>
      </c>
      <c r="BD1024" t="inlineStr">
        <is>
          <t>893346801</t>
        </is>
      </c>
    </row>
    <row r="1025">
      <c r="A1025" t="inlineStr">
        <is>
          <t>No</t>
        </is>
      </c>
      <c r="B1025" t="inlineStr">
        <is>
          <t>BX1970 .J82 1941</t>
        </is>
      </c>
      <c r="C1025" t="inlineStr">
        <is>
          <t>0                      BX 1970000J  82          1941</t>
        </is>
      </c>
      <c r="D1025" t="inlineStr">
        <is>
          <t>Liturgical worship ... / by Joseph A. Jungmann ; translated by a monk of St. John's abbey, Collegeville, Minnesota ; with a foreword by the Right Reverend Alcuin Deutsch.</t>
        </is>
      </c>
      <c r="F1025" t="inlineStr">
        <is>
          <t>No</t>
        </is>
      </c>
      <c r="G1025" t="inlineStr">
        <is>
          <t>1</t>
        </is>
      </c>
      <c r="H1025" t="inlineStr">
        <is>
          <t>No</t>
        </is>
      </c>
      <c r="I1025" t="inlineStr">
        <is>
          <t>No</t>
        </is>
      </c>
      <c r="J1025" t="inlineStr">
        <is>
          <t>0</t>
        </is>
      </c>
      <c r="K1025" t="inlineStr">
        <is>
          <t>Jungmann, Josef A. (Josef Andreas), 1889-1975.</t>
        </is>
      </c>
      <c r="L1025" t="inlineStr">
        <is>
          <t>New York ; Cincinnati : Frederick Pustet co., 1941.</t>
        </is>
      </c>
      <c r="M1025" t="inlineStr">
        <is>
          <t>1941</t>
        </is>
      </c>
      <c r="O1025" t="inlineStr">
        <is>
          <t>eng</t>
        </is>
      </c>
      <c r="P1025" t="inlineStr">
        <is>
          <t>nyu</t>
        </is>
      </c>
      <c r="R1025" t="inlineStr">
        <is>
          <t xml:space="preserve">BX </t>
        </is>
      </c>
      <c r="S1025" t="n">
        <v>2</v>
      </c>
      <c r="T1025" t="n">
        <v>2</v>
      </c>
      <c r="U1025" t="inlineStr">
        <is>
          <t>2004-12-13</t>
        </is>
      </c>
      <c r="V1025" t="inlineStr">
        <is>
          <t>2004-12-13</t>
        </is>
      </c>
      <c r="W1025" t="inlineStr">
        <is>
          <t>1991-09-11</t>
        </is>
      </c>
      <c r="X1025" t="inlineStr">
        <is>
          <t>1991-09-11</t>
        </is>
      </c>
      <c r="Y1025" t="n">
        <v>129</v>
      </c>
      <c r="Z1025" t="n">
        <v>111</v>
      </c>
      <c r="AA1025" t="n">
        <v>121</v>
      </c>
      <c r="AB1025" t="n">
        <v>3</v>
      </c>
      <c r="AC1025" t="n">
        <v>3</v>
      </c>
      <c r="AD1025" t="n">
        <v>24</v>
      </c>
      <c r="AE1025" t="n">
        <v>24</v>
      </c>
      <c r="AF1025" t="n">
        <v>8</v>
      </c>
      <c r="AG1025" t="n">
        <v>8</v>
      </c>
      <c r="AH1025" t="n">
        <v>6</v>
      </c>
      <c r="AI1025" t="n">
        <v>6</v>
      </c>
      <c r="AJ1025" t="n">
        <v>18</v>
      </c>
      <c r="AK1025" t="n">
        <v>18</v>
      </c>
      <c r="AL1025" t="n">
        <v>1</v>
      </c>
      <c r="AM1025" t="n">
        <v>1</v>
      </c>
      <c r="AN1025" t="n">
        <v>0</v>
      </c>
      <c r="AO1025" t="n">
        <v>0</v>
      </c>
      <c r="AP1025" t="inlineStr">
        <is>
          <t>No</t>
        </is>
      </c>
      <c r="AQ1025" t="inlineStr">
        <is>
          <t>No</t>
        </is>
      </c>
      <c r="AS1025">
        <f>HYPERLINK("https://creighton-primo.hosted.exlibrisgroup.com/primo-explore/search?tab=default_tab&amp;search_scope=EVERYTHING&amp;vid=01CRU&amp;lang=en_US&amp;offset=0&amp;query=any,contains,991004234489702656","Catalog Record")</f>
        <v/>
      </c>
      <c r="AT1025">
        <f>HYPERLINK("http://www.worldcat.org/oclc/2760543","WorldCat Record")</f>
        <v/>
      </c>
      <c r="AU1025" t="inlineStr">
        <is>
          <t>5879792:eng</t>
        </is>
      </c>
      <c r="AV1025" t="inlineStr">
        <is>
          <t>2760543</t>
        </is>
      </c>
      <c r="AW1025" t="inlineStr">
        <is>
          <t>991004234489702656</t>
        </is>
      </c>
      <c r="AX1025" t="inlineStr">
        <is>
          <t>991004234489702656</t>
        </is>
      </c>
      <c r="AY1025" t="inlineStr">
        <is>
          <t>2269856030002656</t>
        </is>
      </c>
      <c r="AZ1025" t="inlineStr">
        <is>
          <t>BOOK</t>
        </is>
      </c>
      <c r="BC1025" t="inlineStr">
        <is>
          <t>32285000741909</t>
        </is>
      </c>
      <c r="BD1025" t="inlineStr">
        <is>
          <t>893706133</t>
        </is>
      </c>
    </row>
    <row r="1026">
      <c r="A1026" t="inlineStr">
        <is>
          <t>No</t>
        </is>
      </c>
      <c r="B1026" t="inlineStr">
        <is>
          <t>BX1970 .J85 1957</t>
        </is>
      </c>
      <c r="C1026" t="inlineStr">
        <is>
          <t>0                      BX 1970000J  85          1957</t>
        </is>
      </c>
      <c r="D1026" t="inlineStr">
        <is>
          <t>Public worship / J.A. Jungmann. Translated by Clifford Howell.</t>
        </is>
      </c>
      <c r="F1026" t="inlineStr">
        <is>
          <t>No</t>
        </is>
      </c>
      <c r="G1026" t="inlineStr">
        <is>
          <t>1</t>
        </is>
      </c>
      <c r="H1026" t="inlineStr">
        <is>
          <t>No</t>
        </is>
      </c>
      <c r="I1026" t="inlineStr">
        <is>
          <t>No</t>
        </is>
      </c>
      <c r="J1026" t="inlineStr">
        <is>
          <t>0</t>
        </is>
      </c>
      <c r="K1026" t="inlineStr">
        <is>
          <t>Jungmann, Josef A. (Josef Andreas), 1889-1975.</t>
        </is>
      </c>
      <c r="L1026" t="inlineStr">
        <is>
          <t>London : Challoner Publications, 1957.</t>
        </is>
      </c>
      <c r="M1026" t="inlineStr">
        <is>
          <t>1957</t>
        </is>
      </c>
      <c r="O1026" t="inlineStr">
        <is>
          <t>eng</t>
        </is>
      </c>
      <c r="P1026" t="inlineStr">
        <is>
          <t>enk</t>
        </is>
      </c>
      <c r="R1026" t="inlineStr">
        <is>
          <t xml:space="preserve">BX </t>
        </is>
      </c>
      <c r="S1026" t="n">
        <v>2</v>
      </c>
      <c r="T1026" t="n">
        <v>2</v>
      </c>
      <c r="U1026" t="inlineStr">
        <is>
          <t>1992-03-17</t>
        </is>
      </c>
      <c r="V1026" t="inlineStr">
        <is>
          <t>1992-03-17</t>
        </is>
      </c>
      <c r="W1026" t="inlineStr">
        <is>
          <t>1991-09-11</t>
        </is>
      </c>
      <c r="X1026" t="inlineStr">
        <is>
          <t>1991-09-11</t>
        </is>
      </c>
      <c r="Y1026" t="n">
        <v>117</v>
      </c>
      <c r="Z1026" t="n">
        <v>67</v>
      </c>
      <c r="AA1026" t="n">
        <v>69</v>
      </c>
      <c r="AB1026" t="n">
        <v>2</v>
      </c>
      <c r="AC1026" t="n">
        <v>2</v>
      </c>
      <c r="AD1026" t="n">
        <v>10</v>
      </c>
      <c r="AE1026" t="n">
        <v>10</v>
      </c>
      <c r="AF1026" t="n">
        <v>3</v>
      </c>
      <c r="AG1026" t="n">
        <v>3</v>
      </c>
      <c r="AH1026" t="n">
        <v>1</v>
      </c>
      <c r="AI1026" t="n">
        <v>1</v>
      </c>
      <c r="AJ1026" t="n">
        <v>8</v>
      </c>
      <c r="AK1026" t="n">
        <v>8</v>
      </c>
      <c r="AL1026" t="n">
        <v>0</v>
      </c>
      <c r="AM1026" t="n">
        <v>0</v>
      </c>
      <c r="AN1026" t="n">
        <v>0</v>
      </c>
      <c r="AO1026" t="n">
        <v>0</v>
      </c>
      <c r="AP1026" t="inlineStr">
        <is>
          <t>No</t>
        </is>
      </c>
      <c r="AQ1026" t="inlineStr">
        <is>
          <t>Yes</t>
        </is>
      </c>
      <c r="AR1026">
        <f>HYPERLINK("http://catalog.hathitrust.org/Record/101882610","HathiTrust Record")</f>
        <v/>
      </c>
      <c r="AS1026">
        <f>HYPERLINK("https://creighton-primo.hosted.exlibrisgroup.com/primo-explore/search?tab=default_tab&amp;search_scope=EVERYTHING&amp;vid=01CRU&amp;lang=en_US&amp;offset=0&amp;query=any,contains,991004136739702656","Catalog Record")</f>
        <v/>
      </c>
      <c r="AT1026">
        <f>HYPERLINK("http://www.worldcat.org/oclc/2488878","WorldCat Record")</f>
        <v/>
      </c>
      <c r="AU1026" t="inlineStr">
        <is>
          <t>10567222046:eng</t>
        </is>
      </c>
      <c r="AV1026" t="inlineStr">
        <is>
          <t>2488878</t>
        </is>
      </c>
      <c r="AW1026" t="inlineStr">
        <is>
          <t>991004136739702656</t>
        </is>
      </c>
      <c r="AX1026" t="inlineStr">
        <is>
          <t>991004136739702656</t>
        </is>
      </c>
      <c r="AY1026" t="inlineStr">
        <is>
          <t>2260061640002656</t>
        </is>
      </c>
      <c r="AZ1026" t="inlineStr">
        <is>
          <t>BOOK</t>
        </is>
      </c>
      <c r="BC1026" t="inlineStr">
        <is>
          <t>32285000741917</t>
        </is>
      </c>
      <c r="BD1026" t="inlineStr">
        <is>
          <t>893875731</t>
        </is>
      </c>
    </row>
    <row r="1027">
      <c r="A1027" t="inlineStr">
        <is>
          <t>No</t>
        </is>
      </c>
      <c r="B1027" t="inlineStr">
        <is>
          <t>BX1970 .K23 v...</t>
        </is>
      </c>
      <c r="C1027" t="inlineStr">
        <is>
          <t>0                      BX 1970000K  23                                                      v...</t>
        </is>
      </c>
      <c r="D1027" t="inlineStr">
        <is>
          <t>Enchiridion documentorum instaurationis liturgicae / composuit et indice auxit Reiner Kaczynski.</t>
        </is>
      </c>
      <c r="E1027" t="inlineStr">
        <is>
          <t>V.2</t>
        </is>
      </c>
      <c r="F1027" t="inlineStr">
        <is>
          <t>Yes</t>
        </is>
      </c>
      <c r="G1027" t="inlineStr">
        <is>
          <t>1</t>
        </is>
      </c>
      <c r="H1027" t="inlineStr">
        <is>
          <t>No</t>
        </is>
      </c>
      <c r="I1027" t="inlineStr">
        <is>
          <t>No</t>
        </is>
      </c>
      <c r="J1027" t="inlineStr">
        <is>
          <t>0</t>
        </is>
      </c>
      <c r="L1027" t="inlineStr">
        <is>
          <t>Torino : Marietti, 1976-</t>
        </is>
      </c>
      <c r="M1027" t="inlineStr">
        <is>
          <t>1976</t>
        </is>
      </c>
      <c r="O1027" t="inlineStr">
        <is>
          <t>mul</t>
        </is>
      </c>
      <c r="P1027" t="inlineStr">
        <is>
          <t xml:space="preserve">xx </t>
        </is>
      </c>
      <c r="R1027" t="inlineStr">
        <is>
          <t xml:space="preserve">BX </t>
        </is>
      </c>
      <c r="S1027" t="n">
        <v>1</v>
      </c>
      <c r="T1027" t="n">
        <v>2</v>
      </c>
      <c r="U1027" t="inlineStr">
        <is>
          <t>2008-07-10</t>
        </is>
      </c>
      <c r="V1027" t="inlineStr">
        <is>
          <t>2008-07-10</t>
        </is>
      </c>
      <c r="W1027" t="inlineStr">
        <is>
          <t>1996-06-18</t>
        </is>
      </c>
      <c r="X1027" t="inlineStr">
        <is>
          <t>1996-06-18</t>
        </is>
      </c>
      <c r="Y1027" t="n">
        <v>67</v>
      </c>
      <c r="Z1027" t="n">
        <v>51</v>
      </c>
      <c r="AA1027" t="n">
        <v>51</v>
      </c>
      <c r="AB1027" t="n">
        <v>2</v>
      </c>
      <c r="AC1027" t="n">
        <v>2</v>
      </c>
      <c r="AD1027" t="n">
        <v>8</v>
      </c>
      <c r="AE1027" t="n">
        <v>8</v>
      </c>
      <c r="AF1027" t="n">
        <v>2</v>
      </c>
      <c r="AG1027" t="n">
        <v>2</v>
      </c>
      <c r="AH1027" t="n">
        <v>3</v>
      </c>
      <c r="AI1027" t="n">
        <v>3</v>
      </c>
      <c r="AJ1027" t="n">
        <v>6</v>
      </c>
      <c r="AK1027" t="n">
        <v>6</v>
      </c>
      <c r="AL1027" t="n">
        <v>0</v>
      </c>
      <c r="AM1027" t="n">
        <v>0</v>
      </c>
      <c r="AN1027" t="n">
        <v>0</v>
      </c>
      <c r="AO1027" t="n">
        <v>0</v>
      </c>
      <c r="AP1027" t="inlineStr">
        <is>
          <t>No</t>
        </is>
      </c>
      <c r="AQ1027" t="inlineStr">
        <is>
          <t>Yes</t>
        </is>
      </c>
      <c r="AR1027">
        <f>HYPERLINK("http://catalog.hathitrust.org/Record/102028418","HathiTrust Record")</f>
        <v/>
      </c>
      <c r="AS1027">
        <f>HYPERLINK("https://creighton-primo.hosted.exlibrisgroup.com/primo-explore/search?tab=default_tab&amp;search_scope=EVERYTHING&amp;vid=01CRU&amp;lang=en_US&amp;offset=0&amp;query=any,contains,991004111099702656","Catalog Record")</f>
        <v/>
      </c>
      <c r="AT1027">
        <f>HYPERLINK("http://www.worldcat.org/oclc/8627469","WorldCat Record")</f>
        <v/>
      </c>
      <c r="AU1027" t="inlineStr">
        <is>
          <t>10252633812:lat</t>
        </is>
      </c>
      <c r="AV1027" t="inlineStr">
        <is>
          <t>8627469</t>
        </is>
      </c>
      <c r="AW1027" t="inlineStr">
        <is>
          <t>991004111099702656</t>
        </is>
      </c>
      <c r="AX1027" t="inlineStr">
        <is>
          <t>991004111099702656</t>
        </is>
      </c>
      <c r="AY1027" t="inlineStr">
        <is>
          <t>2258008240002656</t>
        </is>
      </c>
      <c r="AZ1027" t="inlineStr">
        <is>
          <t>BOOK</t>
        </is>
      </c>
      <c r="BC1027" t="inlineStr">
        <is>
          <t>32285002194503</t>
        </is>
      </c>
      <c r="BD1027" t="inlineStr">
        <is>
          <t>893624350</t>
        </is>
      </c>
    </row>
    <row r="1028">
      <c r="A1028" t="inlineStr">
        <is>
          <t>No</t>
        </is>
      </c>
      <c r="B1028" t="inlineStr">
        <is>
          <t>BX1970 .K23 v...</t>
        </is>
      </c>
      <c r="C1028" t="inlineStr">
        <is>
          <t>0                      BX 1970000K  23                                                      v...</t>
        </is>
      </c>
      <c r="D1028" t="inlineStr">
        <is>
          <t>Enchiridion documentorum instaurationis liturgicae / composuit et indice auxit Reiner Kaczynski.</t>
        </is>
      </c>
      <c r="E1028" t="inlineStr">
        <is>
          <t>V.1</t>
        </is>
      </c>
      <c r="F1028" t="inlineStr">
        <is>
          <t>Yes</t>
        </is>
      </c>
      <c r="G1028" t="inlineStr">
        <is>
          <t>1</t>
        </is>
      </c>
      <c r="H1028" t="inlineStr">
        <is>
          <t>No</t>
        </is>
      </c>
      <c r="I1028" t="inlineStr">
        <is>
          <t>No</t>
        </is>
      </c>
      <c r="J1028" t="inlineStr">
        <is>
          <t>0</t>
        </is>
      </c>
      <c r="L1028" t="inlineStr">
        <is>
          <t>Torino : Marietti, 1976-</t>
        </is>
      </c>
      <c r="M1028" t="inlineStr">
        <is>
          <t>1976</t>
        </is>
      </c>
      <c r="O1028" t="inlineStr">
        <is>
          <t>mul</t>
        </is>
      </c>
      <c r="P1028" t="inlineStr">
        <is>
          <t xml:space="preserve">xx </t>
        </is>
      </c>
      <c r="R1028" t="inlineStr">
        <is>
          <t xml:space="preserve">BX </t>
        </is>
      </c>
      <c r="S1028" t="n">
        <v>1</v>
      </c>
      <c r="T1028" t="n">
        <v>2</v>
      </c>
      <c r="U1028" t="inlineStr">
        <is>
          <t>2008-06-05</t>
        </is>
      </c>
      <c r="V1028" t="inlineStr">
        <is>
          <t>2008-07-10</t>
        </is>
      </c>
      <c r="W1028" t="inlineStr">
        <is>
          <t>1991-09-11</t>
        </is>
      </c>
      <c r="X1028" t="inlineStr">
        <is>
          <t>1996-06-18</t>
        </is>
      </c>
      <c r="Y1028" t="n">
        <v>67</v>
      </c>
      <c r="Z1028" t="n">
        <v>51</v>
      </c>
      <c r="AA1028" t="n">
        <v>51</v>
      </c>
      <c r="AB1028" t="n">
        <v>2</v>
      </c>
      <c r="AC1028" t="n">
        <v>2</v>
      </c>
      <c r="AD1028" t="n">
        <v>8</v>
      </c>
      <c r="AE1028" t="n">
        <v>8</v>
      </c>
      <c r="AF1028" t="n">
        <v>2</v>
      </c>
      <c r="AG1028" t="n">
        <v>2</v>
      </c>
      <c r="AH1028" t="n">
        <v>3</v>
      </c>
      <c r="AI1028" t="n">
        <v>3</v>
      </c>
      <c r="AJ1028" t="n">
        <v>6</v>
      </c>
      <c r="AK1028" t="n">
        <v>6</v>
      </c>
      <c r="AL1028" t="n">
        <v>0</v>
      </c>
      <c r="AM1028" t="n">
        <v>0</v>
      </c>
      <c r="AN1028" t="n">
        <v>0</v>
      </c>
      <c r="AO1028" t="n">
        <v>0</v>
      </c>
      <c r="AP1028" t="inlineStr">
        <is>
          <t>No</t>
        </is>
      </c>
      <c r="AQ1028" t="inlineStr">
        <is>
          <t>Yes</t>
        </is>
      </c>
      <c r="AR1028">
        <f>HYPERLINK("http://catalog.hathitrust.org/Record/102028418","HathiTrust Record")</f>
        <v/>
      </c>
      <c r="AS1028">
        <f>HYPERLINK("https://creighton-primo.hosted.exlibrisgroup.com/primo-explore/search?tab=default_tab&amp;search_scope=EVERYTHING&amp;vid=01CRU&amp;lang=en_US&amp;offset=0&amp;query=any,contains,991004111099702656","Catalog Record")</f>
        <v/>
      </c>
      <c r="AT1028">
        <f>HYPERLINK("http://www.worldcat.org/oclc/8627469","WorldCat Record")</f>
        <v/>
      </c>
      <c r="AU1028" t="inlineStr">
        <is>
          <t>10252633812:lat</t>
        </is>
      </c>
      <c r="AV1028" t="inlineStr">
        <is>
          <t>8627469</t>
        </is>
      </c>
      <c r="AW1028" t="inlineStr">
        <is>
          <t>991004111099702656</t>
        </is>
      </c>
      <c r="AX1028" t="inlineStr">
        <is>
          <t>991004111099702656</t>
        </is>
      </c>
      <c r="AY1028" t="inlineStr">
        <is>
          <t>2258008240002656</t>
        </is>
      </c>
      <c r="AZ1028" t="inlineStr">
        <is>
          <t>BOOK</t>
        </is>
      </c>
      <c r="BC1028" t="inlineStr">
        <is>
          <t>32285000741925</t>
        </is>
      </c>
      <c r="BD1028" t="inlineStr">
        <is>
          <t>893624351</t>
        </is>
      </c>
    </row>
    <row r="1029">
      <c r="A1029" t="inlineStr">
        <is>
          <t>No</t>
        </is>
      </c>
      <c r="B1029" t="inlineStr">
        <is>
          <t>BX1970 .K48 1966</t>
        </is>
      </c>
      <c r="C1029" t="inlineStr">
        <is>
          <t>0                      BX 1970000K  48          1966</t>
        </is>
      </c>
      <c r="D1029" t="inlineStr">
        <is>
          <t>The spirit and practice of the liturgy / Christopher Kiesling.</t>
        </is>
      </c>
      <c r="F1029" t="inlineStr">
        <is>
          <t>No</t>
        </is>
      </c>
      <c r="G1029" t="inlineStr">
        <is>
          <t>1</t>
        </is>
      </c>
      <c r="H1029" t="inlineStr">
        <is>
          <t>No</t>
        </is>
      </c>
      <c r="I1029" t="inlineStr">
        <is>
          <t>No</t>
        </is>
      </c>
      <c r="J1029" t="inlineStr">
        <is>
          <t>0</t>
        </is>
      </c>
      <c r="K1029" t="inlineStr">
        <is>
          <t>Kiesling, Christopher.</t>
        </is>
      </c>
      <c r="L1029" t="inlineStr">
        <is>
          <t>Chicago : Priory Press, [1966, c1965]</t>
        </is>
      </c>
      <c r="M1029" t="inlineStr">
        <is>
          <t>1966</t>
        </is>
      </c>
      <c r="O1029" t="inlineStr">
        <is>
          <t>eng</t>
        </is>
      </c>
      <c r="P1029" t="inlineStr">
        <is>
          <t>___</t>
        </is>
      </c>
      <c r="R1029" t="inlineStr">
        <is>
          <t xml:space="preserve">BX </t>
        </is>
      </c>
      <c r="S1029" t="n">
        <v>2</v>
      </c>
      <c r="T1029" t="n">
        <v>2</v>
      </c>
      <c r="U1029" t="inlineStr">
        <is>
          <t>1997-06-20</t>
        </is>
      </c>
      <c r="V1029" t="inlineStr">
        <is>
          <t>1997-06-20</t>
        </is>
      </c>
      <c r="W1029" t="inlineStr">
        <is>
          <t>1991-09-11</t>
        </is>
      </c>
      <c r="X1029" t="inlineStr">
        <is>
          <t>1991-09-11</t>
        </is>
      </c>
      <c r="Y1029" t="n">
        <v>107</v>
      </c>
      <c r="Z1029" t="n">
        <v>101</v>
      </c>
      <c r="AA1029" t="n">
        <v>109</v>
      </c>
      <c r="AB1029" t="n">
        <v>3</v>
      </c>
      <c r="AC1029" t="n">
        <v>3</v>
      </c>
      <c r="AD1029" t="n">
        <v>13</v>
      </c>
      <c r="AE1029" t="n">
        <v>13</v>
      </c>
      <c r="AF1029" t="n">
        <v>3</v>
      </c>
      <c r="AG1029" t="n">
        <v>3</v>
      </c>
      <c r="AH1029" t="n">
        <v>4</v>
      </c>
      <c r="AI1029" t="n">
        <v>4</v>
      </c>
      <c r="AJ1029" t="n">
        <v>10</v>
      </c>
      <c r="AK1029" t="n">
        <v>10</v>
      </c>
      <c r="AL1029" t="n">
        <v>0</v>
      </c>
      <c r="AM1029" t="n">
        <v>0</v>
      </c>
      <c r="AN1029" t="n">
        <v>0</v>
      </c>
      <c r="AO1029" t="n">
        <v>0</v>
      </c>
      <c r="AP1029" t="inlineStr">
        <is>
          <t>No</t>
        </is>
      </c>
      <c r="AQ1029" t="inlineStr">
        <is>
          <t>No</t>
        </is>
      </c>
      <c r="AS1029">
        <f>HYPERLINK("https://creighton-primo.hosted.exlibrisgroup.com/primo-explore/search?tab=default_tab&amp;search_scope=EVERYTHING&amp;vid=01CRU&amp;lang=en_US&amp;offset=0&amp;query=any,contains,991003258039702656","Catalog Record")</f>
        <v/>
      </c>
      <c r="AT1029">
        <f>HYPERLINK("http://www.worldcat.org/oclc/783824","WorldCat Record")</f>
        <v/>
      </c>
      <c r="AU1029" t="inlineStr">
        <is>
          <t>1714147:eng</t>
        </is>
      </c>
      <c r="AV1029" t="inlineStr">
        <is>
          <t>783824</t>
        </is>
      </c>
      <c r="AW1029" t="inlineStr">
        <is>
          <t>991003258039702656</t>
        </is>
      </c>
      <c r="AX1029" t="inlineStr">
        <is>
          <t>991003258039702656</t>
        </is>
      </c>
      <c r="AY1029" t="inlineStr">
        <is>
          <t>2264004610002656</t>
        </is>
      </c>
      <c r="AZ1029" t="inlineStr">
        <is>
          <t>BOOK</t>
        </is>
      </c>
      <c r="BC1029" t="inlineStr">
        <is>
          <t>32285000741941</t>
        </is>
      </c>
      <c r="BD1029" t="inlineStr">
        <is>
          <t>893246185</t>
        </is>
      </c>
    </row>
    <row r="1030">
      <c r="A1030" t="inlineStr">
        <is>
          <t>No</t>
        </is>
      </c>
      <c r="B1030" t="inlineStr">
        <is>
          <t>BX1970 .K55 1990</t>
        </is>
      </c>
      <c r="C1030" t="inlineStr">
        <is>
          <t>0                      BX 1970000K  55          1990</t>
        </is>
      </c>
      <c r="D1030" t="inlineStr">
        <is>
          <t>Culture and the praying church : the particular liturgy of the individual church / by Edward J. Kilmartin ; [edited by National Liturgical Office].</t>
        </is>
      </c>
      <c r="F1030" t="inlineStr">
        <is>
          <t>No</t>
        </is>
      </c>
      <c r="G1030" t="inlineStr">
        <is>
          <t>1</t>
        </is>
      </c>
      <c r="H1030" t="inlineStr">
        <is>
          <t>No</t>
        </is>
      </c>
      <c r="I1030" t="inlineStr">
        <is>
          <t>No</t>
        </is>
      </c>
      <c r="J1030" t="inlineStr">
        <is>
          <t>0</t>
        </is>
      </c>
      <c r="K1030" t="inlineStr">
        <is>
          <t>Kilmartin, Edward J.</t>
        </is>
      </c>
      <c r="L1030" t="inlineStr">
        <is>
          <t>Ottawa : Publications Service, Canadian Conference of Catholic Bishops, c1990.</t>
        </is>
      </c>
      <c r="M1030" t="inlineStr">
        <is>
          <t>1990</t>
        </is>
      </c>
      <c r="N1030" t="inlineStr">
        <is>
          <t>Rev. ed. with appendix / edited by Mary M. Schaefer</t>
        </is>
      </c>
      <c r="O1030" t="inlineStr">
        <is>
          <t>eng</t>
        </is>
      </c>
      <c r="P1030" t="inlineStr">
        <is>
          <t>onc</t>
        </is>
      </c>
      <c r="Q1030" t="inlineStr">
        <is>
          <t>Canadian studies in liturgy, 0826-9963 ; no. 5</t>
        </is>
      </c>
      <c r="R1030" t="inlineStr">
        <is>
          <t xml:space="preserve">BX </t>
        </is>
      </c>
      <c r="S1030" t="n">
        <v>4</v>
      </c>
      <c r="T1030" t="n">
        <v>4</v>
      </c>
      <c r="U1030" t="inlineStr">
        <is>
          <t>1996-06-14</t>
        </is>
      </c>
      <c r="V1030" t="inlineStr">
        <is>
          <t>1996-06-14</t>
        </is>
      </c>
      <c r="W1030" t="inlineStr">
        <is>
          <t>1992-10-08</t>
        </is>
      </c>
      <c r="X1030" t="inlineStr">
        <is>
          <t>1992-10-08</t>
        </is>
      </c>
      <c r="Y1030" t="n">
        <v>44</v>
      </c>
      <c r="Z1030" t="n">
        <v>27</v>
      </c>
      <c r="AA1030" t="n">
        <v>27</v>
      </c>
      <c r="AB1030" t="n">
        <v>1</v>
      </c>
      <c r="AC1030" t="n">
        <v>1</v>
      </c>
      <c r="AD1030" t="n">
        <v>7</v>
      </c>
      <c r="AE1030" t="n">
        <v>7</v>
      </c>
      <c r="AF1030" t="n">
        <v>2</v>
      </c>
      <c r="AG1030" t="n">
        <v>2</v>
      </c>
      <c r="AH1030" t="n">
        <v>2</v>
      </c>
      <c r="AI1030" t="n">
        <v>2</v>
      </c>
      <c r="AJ1030" t="n">
        <v>5</v>
      </c>
      <c r="AK1030" t="n">
        <v>5</v>
      </c>
      <c r="AL1030" t="n">
        <v>0</v>
      </c>
      <c r="AM1030" t="n">
        <v>0</v>
      </c>
      <c r="AN1030" t="n">
        <v>0</v>
      </c>
      <c r="AO1030" t="n">
        <v>0</v>
      </c>
      <c r="AP1030" t="inlineStr">
        <is>
          <t>No</t>
        </is>
      </c>
      <c r="AQ1030" t="inlineStr">
        <is>
          <t>No</t>
        </is>
      </c>
      <c r="AS1030">
        <f>HYPERLINK("https://creighton-primo.hosted.exlibrisgroup.com/primo-explore/search?tab=default_tab&amp;search_scope=EVERYTHING&amp;vid=01CRU&amp;lang=en_US&amp;offset=0&amp;query=any,contains,991001872779702656","Catalog Record")</f>
        <v/>
      </c>
      <c r="AT1030">
        <f>HYPERLINK("http://www.worldcat.org/oclc/23650258","WorldCat Record")</f>
        <v/>
      </c>
      <c r="AU1030" t="inlineStr">
        <is>
          <t>5177659938:eng</t>
        </is>
      </c>
      <c r="AV1030" t="inlineStr">
        <is>
          <t>23650258</t>
        </is>
      </c>
      <c r="AW1030" t="inlineStr">
        <is>
          <t>991001872779702656</t>
        </is>
      </c>
      <c r="AX1030" t="inlineStr">
        <is>
          <t>991001872779702656</t>
        </is>
      </c>
      <c r="AY1030" t="inlineStr">
        <is>
          <t>2271158890002656</t>
        </is>
      </c>
      <c r="AZ1030" t="inlineStr">
        <is>
          <t>BOOK</t>
        </is>
      </c>
      <c r="BB1030" t="inlineStr">
        <is>
          <t>9780889972445</t>
        </is>
      </c>
      <c r="BC1030" t="inlineStr">
        <is>
          <t>32285001316446</t>
        </is>
      </c>
      <c r="BD1030" t="inlineStr">
        <is>
          <t>893439500</t>
        </is>
      </c>
    </row>
    <row r="1031">
      <c r="A1031" t="inlineStr">
        <is>
          <t>No</t>
        </is>
      </c>
      <c r="B1031" t="inlineStr">
        <is>
          <t>BX1970 .L36 1990</t>
        </is>
      </c>
      <c r="C1031" t="inlineStr">
        <is>
          <t>0                      BX 1970000L  36          1990</t>
        </is>
      </c>
      <c r="D1031" t="inlineStr">
        <is>
          <t>Gathered before the Lord : the shape of today's liturgy / by Joseph Lange.</t>
        </is>
      </c>
      <c r="F1031" t="inlineStr">
        <is>
          <t>No</t>
        </is>
      </c>
      <c r="G1031" t="inlineStr">
        <is>
          <t>1</t>
        </is>
      </c>
      <c r="H1031" t="inlineStr">
        <is>
          <t>No</t>
        </is>
      </c>
      <c r="I1031" t="inlineStr">
        <is>
          <t>No</t>
        </is>
      </c>
      <c r="J1031" t="inlineStr">
        <is>
          <t>0</t>
        </is>
      </c>
      <c r="K1031" t="inlineStr">
        <is>
          <t>Lange, Joseph.</t>
        </is>
      </c>
      <c r="L1031" t="inlineStr">
        <is>
          <t>Westminster, MD : Christian Classics, 1990.</t>
        </is>
      </c>
      <c r="M1031" t="inlineStr">
        <is>
          <t>1990</t>
        </is>
      </c>
      <c r="O1031" t="inlineStr">
        <is>
          <t>eng</t>
        </is>
      </c>
      <c r="P1031" t="inlineStr">
        <is>
          <t>mdu</t>
        </is>
      </c>
      <c r="R1031" t="inlineStr">
        <is>
          <t xml:space="preserve">BX </t>
        </is>
      </c>
      <c r="S1031" t="n">
        <v>1</v>
      </c>
      <c r="T1031" t="n">
        <v>1</v>
      </c>
      <c r="U1031" t="inlineStr">
        <is>
          <t>1994-06-13</t>
        </is>
      </c>
      <c r="V1031" t="inlineStr">
        <is>
          <t>1994-06-13</t>
        </is>
      </c>
      <c r="W1031" t="inlineStr">
        <is>
          <t>1991-05-15</t>
        </is>
      </c>
      <c r="X1031" t="inlineStr">
        <is>
          <t>1991-05-15</t>
        </is>
      </c>
      <c r="Y1031" t="n">
        <v>38</v>
      </c>
      <c r="Z1031" t="n">
        <v>27</v>
      </c>
      <c r="AA1031" t="n">
        <v>27</v>
      </c>
      <c r="AB1031" t="n">
        <v>1</v>
      </c>
      <c r="AC1031" t="n">
        <v>1</v>
      </c>
      <c r="AD1031" t="n">
        <v>4</v>
      </c>
      <c r="AE1031" t="n">
        <v>4</v>
      </c>
      <c r="AF1031" t="n">
        <v>0</v>
      </c>
      <c r="AG1031" t="n">
        <v>0</v>
      </c>
      <c r="AH1031" t="n">
        <v>0</v>
      </c>
      <c r="AI1031" t="n">
        <v>0</v>
      </c>
      <c r="AJ1031" t="n">
        <v>4</v>
      </c>
      <c r="AK1031" t="n">
        <v>4</v>
      </c>
      <c r="AL1031" t="n">
        <v>0</v>
      </c>
      <c r="AM1031" t="n">
        <v>0</v>
      </c>
      <c r="AN1031" t="n">
        <v>0</v>
      </c>
      <c r="AO1031" t="n">
        <v>0</v>
      </c>
      <c r="AP1031" t="inlineStr">
        <is>
          <t>No</t>
        </is>
      </c>
      <c r="AQ1031" t="inlineStr">
        <is>
          <t>No</t>
        </is>
      </c>
      <c r="AS1031">
        <f>HYPERLINK("https://creighton-primo.hosted.exlibrisgroup.com/primo-explore/search?tab=default_tab&amp;search_scope=EVERYTHING&amp;vid=01CRU&amp;lang=en_US&amp;offset=0&amp;query=any,contains,991001861719702656","Catalog Record")</f>
        <v/>
      </c>
      <c r="AT1031">
        <f>HYPERLINK("http://www.worldcat.org/oclc/23384526","WorldCat Record")</f>
        <v/>
      </c>
      <c r="AU1031" t="inlineStr">
        <is>
          <t>25366901:eng</t>
        </is>
      </c>
      <c r="AV1031" t="inlineStr">
        <is>
          <t>23384526</t>
        </is>
      </c>
      <c r="AW1031" t="inlineStr">
        <is>
          <t>991001861719702656</t>
        </is>
      </c>
      <c r="AX1031" t="inlineStr">
        <is>
          <t>991001861719702656</t>
        </is>
      </c>
      <c r="AY1031" t="inlineStr">
        <is>
          <t>2267830420002656</t>
        </is>
      </c>
      <c r="AZ1031" t="inlineStr">
        <is>
          <t>BOOK</t>
        </is>
      </c>
      <c r="BB1031" t="inlineStr">
        <is>
          <t>9780870611742</t>
        </is>
      </c>
      <c r="BC1031" t="inlineStr">
        <is>
          <t>32285000573492</t>
        </is>
      </c>
      <c r="BD1031" t="inlineStr">
        <is>
          <t>893426931</t>
        </is>
      </c>
    </row>
    <row r="1032">
      <c r="A1032" t="inlineStr">
        <is>
          <t>No</t>
        </is>
      </c>
      <c r="B1032" t="inlineStr">
        <is>
          <t>BX1970 .L3913 1954</t>
        </is>
      </c>
      <c r="C1032" t="inlineStr">
        <is>
          <t>0                      BX 1970000L  3913        1954</t>
        </is>
      </c>
      <c r="D1032" t="inlineStr">
        <is>
          <t>Catholic liturgy : its fundamental principles / by Gaspar Lefebvre ; translated by a Benedictine of Stanbrook.</t>
        </is>
      </c>
      <c r="F1032" t="inlineStr">
        <is>
          <t>No</t>
        </is>
      </c>
      <c r="G1032" t="inlineStr">
        <is>
          <t>1</t>
        </is>
      </c>
      <c r="H1032" t="inlineStr">
        <is>
          <t>No</t>
        </is>
      </c>
      <c r="I1032" t="inlineStr">
        <is>
          <t>No</t>
        </is>
      </c>
      <c r="J1032" t="inlineStr">
        <is>
          <t>0</t>
        </is>
      </c>
      <c r="K1032" t="inlineStr">
        <is>
          <t>Lefebvre, Gaspar, 1880-1966.</t>
        </is>
      </c>
      <c r="L1032" t="inlineStr">
        <is>
          <t>St. Louis : Herder, [1954]</t>
        </is>
      </c>
      <c r="M1032" t="inlineStr">
        <is>
          <t>1954</t>
        </is>
      </c>
      <c r="N1032" t="inlineStr">
        <is>
          <t>New and rev. ed.</t>
        </is>
      </c>
      <c r="O1032" t="inlineStr">
        <is>
          <t>eng</t>
        </is>
      </c>
      <c r="P1032" t="inlineStr">
        <is>
          <t xml:space="preserve">xx </t>
        </is>
      </c>
      <c r="R1032" t="inlineStr">
        <is>
          <t xml:space="preserve">BX </t>
        </is>
      </c>
      <c r="S1032" t="n">
        <v>3</v>
      </c>
      <c r="T1032" t="n">
        <v>3</v>
      </c>
      <c r="U1032" t="inlineStr">
        <is>
          <t>2005-01-07</t>
        </is>
      </c>
      <c r="V1032" t="inlineStr">
        <is>
          <t>2005-01-07</t>
        </is>
      </c>
      <c r="W1032" t="inlineStr">
        <is>
          <t>1991-09-11</t>
        </is>
      </c>
      <c r="X1032" t="inlineStr">
        <is>
          <t>1991-09-11</t>
        </is>
      </c>
      <c r="Y1032" t="n">
        <v>86</v>
      </c>
      <c r="Z1032" t="n">
        <v>76</v>
      </c>
      <c r="AA1032" t="n">
        <v>144</v>
      </c>
      <c r="AB1032" t="n">
        <v>3</v>
      </c>
      <c r="AC1032" t="n">
        <v>3</v>
      </c>
      <c r="AD1032" t="n">
        <v>14</v>
      </c>
      <c r="AE1032" t="n">
        <v>20</v>
      </c>
      <c r="AF1032" t="n">
        <v>3</v>
      </c>
      <c r="AG1032" t="n">
        <v>5</v>
      </c>
      <c r="AH1032" t="n">
        <v>6</v>
      </c>
      <c r="AI1032" t="n">
        <v>7</v>
      </c>
      <c r="AJ1032" t="n">
        <v>9</v>
      </c>
      <c r="AK1032" t="n">
        <v>14</v>
      </c>
      <c r="AL1032" t="n">
        <v>0</v>
      </c>
      <c r="AM1032" t="n">
        <v>0</v>
      </c>
      <c r="AN1032" t="n">
        <v>0</v>
      </c>
      <c r="AO1032" t="n">
        <v>0</v>
      </c>
      <c r="AP1032" t="inlineStr">
        <is>
          <t>No</t>
        </is>
      </c>
      <c r="AQ1032" t="inlineStr">
        <is>
          <t>No</t>
        </is>
      </c>
      <c r="AS1032">
        <f>HYPERLINK("https://creighton-primo.hosted.exlibrisgroup.com/primo-explore/search?tab=default_tab&amp;search_scope=EVERYTHING&amp;vid=01CRU&amp;lang=en_US&amp;offset=0&amp;query=any,contains,991003510779702656","Catalog Record")</f>
        <v/>
      </c>
      <c r="AT1032">
        <f>HYPERLINK("http://www.worldcat.org/oclc/1065377","WorldCat Record")</f>
        <v/>
      </c>
      <c r="AU1032" t="inlineStr">
        <is>
          <t>10792480335:eng</t>
        </is>
      </c>
      <c r="AV1032" t="inlineStr">
        <is>
          <t>1065377</t>
        </is>
      </c>
      <c r="AW1032" t="inlineStr">
        <is>
          <t>991003510779702656</t>
        </is>
      </c>
      <c r="AX1032" t="inlineStr">
        <is>
          <t>991003510779702656</t>
        </is>
      </c>
      <c r="AY1032" t="inlineStr">
        <is>
          <t>2270474980002656</t>
        </is>
      </c>
      <c r="AZ1032" t="inlineStr">
        <is>
          <t>BOOK</t>
        </is>
      </c>
      <c r="BC1032" t="inlineStr">
        <is>
          <t>32285000741990</t>
        </is>
      </c>
      <c r="BD1032" t="inlineStr">
        <is>
          <t>893787403</t>
        </is>
      </c>
    </row>
    <row r="1033">
      <c r="A1033" t="inlineStr">
        <is>
          <t>No</t>
        </is>
      </c>
      <c r="B1033" t="inlineStr">
        <is>
          <t>BX1970 .L414 1963</t>
        </is>
      </c>
      <c r="C1033" t="inlineStr">
        <is>
          <t>0                      BX 1970000L  414         1963</t>
        </is>
      </c>
      <c r="D1033" t="inlineStr">
        <is>
          <t>Liturgy for the people : essays in honor of Gerald Ellard, S.J., 1894-1963 / edited by William J. Leonard.</t>
        </is>
      </c>
      <c r="F1033" t="inlineStr">
        <is>
          <t>No</t>
        </is>
      </c>
      <c r="G1033" t="inlineStr">
        <is>
          <t>1</t>
        </is>
      </c>
      <c r="H1033" t="inlineStr">
        <is>
          <t>No</t>
        </is>
      </c>
      <c r="I1033" t="inlineStr">
        <is>
          <t>No</t>
        </is>
      </c>
      <c r="J1033" t="inlineStr">
        <is>
          <t>0</t>
        </is>
      </c>
      <c r="K1033" t="inlineStr">
        <is>
          <t>Leonard, William J., editor.</t>
        </is>
      </c>
      <c r="L1033" t="inlineStr">
        <is>
          <t>Milwaukee : Bruce Pub Co., [1963]</t>
        </is>
      </c>
      <c r="M1033" t="inlineStr">
        <is>
          <t>1963</t>
        </is>
      </c>
      <c r="O1033" t="inlineStr">
        <is>
          <t>eng</t>
        </is>
      </c>
      <c r="P1033" t="inlineStr">
        <is>
          <t xml:space="preserve">xx </t>
        </is>
      </c>
      <c r="R1033" t="inlineStr">
        <is>
          <t xml:space="preserve">BX </t>
        </is>
      </c>
      <c r="S1033" t="n">
        <v>1</v>
      </c>
      <c r="T1033" t="n">
        <v>1</v>
      </c>
      <c r="U1033" t="inlineStr">
        <is>
          <t>2004-12-13</t>
        </is>
      </c>
      <c r="V1033" t="inlineStr">
        <is>
          <t>2004-12-13</t>
        </is>
      </c>
      <c r="W1033" t="inlineStr">
        <is>
          <t>1991-09-11</t>
        </is>
      </c>
      <c r="X1033" t="inlineStr">
        <is>
          <t>1991-09-11</t>
        </is>
      </c>
      <c r="Y1033" t="n">
        <v>157</v>
      </c>
      <c r="Z1033" t="n">
        <v>143</v>
      </c>
      <c r="AA1033" t="n">
        <v>157</v>
      </c>
      <c r="AB1033" t="n">
        <v>3</v>
      </c>
      <c r="AC1033" t="n">
        <v>3</v>
      </c>
      <c r="AD1033" t="n">
        <v>27</v>
      </c>
      <c r="AE1033" t="n">
        <v>27</v>
      </c>
      <c r="AF1033" t="n">
        <v>7</v>
      </c>
      <c r="AG1033" t="n">
        <v>7</v>
      </c>
      <c r="AH1033" t="n">
        <v>6</v>
      </c>
      <c r="AI1033" t="n">
        <v>6</v>
      </c>
      <c r="AJ1033" t="n">
        <v>23</v>
      </c>
      <c r="AK1033" t="n">
        <v>23</v>
      </c>
      <c r="AL1033" t="n">
        <v>0</v>
      </c>
      <c r="AM1033" t="n">
        <v>0</v>
      </c>
      <c r="AN1033" t="n">
        <v>0</v>
      </c>
      <c r="AO1033" t="n">
        <v>0</v>
      </c>
      <c r="AP1033" t="inlineStr">
        <is>
          <t>No</t>
        </is>
      </c>
      <c r="AQ1033" t="inlineStr">
        <is>
          <t>No</t>
        </is>
      </c>
      <c r="AS1033">
        <f>HYPERLINK("https://creighton-primo.hosted.exlibrisgroup.com/primo-explore/search?tab=default_tab&amp;search_scope=EVERYTHING&amp;vid=01CRU&amp;lang=en_US&amp;offset=0&amp;query=any,contains,991003789799702656","Catalog Record")</f>
        <v/>
      </c>
      <c r="AT1033">
        <f>HYPERLINK("http://www.worldcat.org/oclc/1507960","WorldCat Record")</f>
        <v/>
      </c>
      <c r="AU1033" t="inlineStr">
        <is>
          <t>1811157000:eng</t>
        </is>
      </c>
      <c r="AV1033" t="inlineStr">
        <is>
          <t>1507960</t>
        </is>
      </c>
      <c r="AW1033" t="inlineStr">
        <is>
          <t>991003789799702656</t>
        </is>
      </c>
      <c r="AX1033" t="inlineStr">
        <is>
          <t>991003789799702656</t>
        </is>
      </c>
      <c r="AY1033" t="inlineStr">
        <is>
          <t>2257114560002656</t>
        </is>
      </c>
      <c r="AZ1033" t="inlineStr">
        <is>
          <t>BOOK</t>
        </is>
      </c>
      <c r="BC1033" t="inlineStr">
        <is>
          <t>32285000742006</t>
        </is>
      </c>
      <c r="BD1033" t="inlineStr">
        <is>
          <t>893868865</t>
        </is>
      </c>
    </row>
    <row r="1034">
      <c r="A1034" t="inlineStr">
        <is>
          <t>No</t>
        </is>
      </c>
      <c r="B1034" t="inlineStr">
        <is>
          <t>BX1970 .M53 1960</t>
        </is>
      </c>
      <c r="C1034" t="inlineStr">
        <is>
          <t>0                      BX 1970000M  53          1960</t>
        </is>
      </c>
      <c r="D1034" t="inlineStr">
        <is>
          <t>Fundamentals of the liturgy / John H. Miller.</t>
        </is>
      </c>
      <c r="F1034" t="inlineStr">
        <is>
          <t>No</t>
        </is>
      </c>
      <c r="G1034" t="inlineStr">
        <is>
          <t>1</t>
        </is>
      </c>
      <c r="H1034" t="inlineStr">
        <is>
          <t>No</t>
        </is>
      </c>
      <c r="I1034" t="inlineStr">
        <is>
          <t>No</t>
        </is>
      </c>
      <c r="J1034" t="inlineStr">
        <is>
          <t>0</t>
        </is>
      </c>
      <c r="K1034" t="inlineStr">
        <is>
          <t>Miller, John H., 1925-</t>
        </is>
      </c>
      <c r="L1034" t="inlineStr">
        <is>
          <t>Notre Dame, Ind. : Fides, 1960, c1959.</t>
        </is>
      </c>
      <c r="M1034" t="inlineStr">
        <is>
          <t>1960</t>
        </is>
      </c>
      <c r="O1034" t="inlineStr">
        <is>
          <t>eng</t>
        </is>
      </c>
      <c r="P1034" t="inlineStr">
        <is>
          <t>inu</t>
        </is>
      </c>
      <c r="R1034" t="inlineStr">
        <is>
          <t xml:space="preserve">BX </t>
        </is>
      </c>
      <c r="S1034" t="n">
        <v>4</v>
      </c>
      <c r="T1034" t="n">
        <v>4</v>
      </c>
      <c r="U1034" t="inlineStr">
        <is>
          <t>2004-05-25</t>
        </is>
      </c>
      <c r="V1034" t="inlineStr">
        <is>
          <t>2004-05-25</t>
        </is>
      </c>
      <c r="W1034" t="inlineStr">
        <is>
          <t>1991-09-12</t>
        </is>
      </c>
      <c r="X1034" t="inlineStr">
        <is>
          <t>1991-09-12</t>
        </is>
      </c>
      <c r="Y1034" t="n">
        <v>191</v>
      </c>
      <c r="Z1034" t="n">
        <v>174</v>
      </c>
      <c r="AA1034" t="n">
        <v>205</v>
      </c>
      <c r="AB1034" t="n">
        <v>3</v>
      </c>
      <c r="AC1034" t="n">
        <v>3</v>
      </c>
      <c r="AD1034" t="n">
        <v>21</v>
      </c>
      <c r="AE1034" t="n">
        <v>26</v>
      </c>
      <c r="AF1034" t="n">
        <v>4</v>
      </c>
      <c r="AG1034" t="n">
        <v>7</v>
      </c>
      <c r="AH1034" t="n">
        <v>4</v>
      </c>
      <c r="AI1034" t="n">
        <v>6</v>
      </c>
      <c r="AJ1034" t="n">
        <v>18</v>
      </c>
      <c r="AK1034" t="n">
        <v>20</v>
      </c>
      <c r="AL1034" t="n">
        <v>1</v>
      </c>
      <c r="AM1034" t="n">
        <v>1</v>
      </c>
      <c r="AN1034" t="n">
        <v>0</v>
      </c>
      <c r="AO1034" t="n">
        <v>0</v>
      </c>
      <c r="AP1034" t="inlineStr">
        <is>
          <t>No</t>
        </is>
      </c>
      <c r="AQ1034" t="inlineStr">
        <is>
          <t>No</t>
        </is>
      </c>
      <c r="AS1034">
        <f>HYPERLINK("https://creighton-primo.hosted.exlibrisgroup.com/primo-explore/search?tab=default_tab&amp;search_scope=EVERYTHING&amp;vid=01CRU&amp;lang=en_US&amp;offset=0&amp;query=any,contains,991004940969702656","Catalog Record")</f>
        <v/>
      </c>
      <c r="AT1034">
        <f>HYPERLINK("http://www.worldcat.org/oclc/6190408","WorldCat Record")</f>
        <v/>
      </c>
      <c r="AU1034" t="inlineStr">
        <is>
          <t>1763600:eng</t>
        </is>
      </c>
      <c r="AV1034" t="inlineStr">
        <is>
          <t>6190408</t>
        </is>
      </c>
      <c r="AW1034" t="inlineStr">
        <is>
          <t>991004940969702656</t>
        </is>
      </c>
      <c r="AX1034" t="inlineStr">
        <is>
          <t>991004940969702656</t>
        </is>
      </c>
      <c r="AY1034" t="inlineStr">
        <is>
          <t>2267772520002656</t>
        </is>
      </c>
      <c r="AZ1034" t="inlineStr">
        <is>
          <t>BOOK</t>
        </is>
      </c>
      <c r="BC1034" t="inlineStr">
        <is>
          <t>32285000742154</t>
        </is>
      </c>
      <c r="BD1034" t="inlineStr">
        <is>
          <t>893446467</t>
        </is>
      </c>
    </row>
    <row r="1035">
      <c r="A1035" t="inlineStr">
        <is>
          <t>No</t>
        </is>
      </c>
      <c r="B1035" t="inlineStr">
        <is>
          <t>BX1970 .N6213 1994</t>
        </is>
      </c>
      <c r="C1035" t="inlineStr">
        <is>
          <t>0                      BX 1970000N  6213        1994</t>
        </is>
      </c>
      <c r="D1035" t="inlineStr">
        <is>
          <t>A rereading of the renewed liturgy / Adrien Nocent ; Mary M. Misrahi, translator.</t>
        </is>
      </c>
      <c r="F1035" t="inlineStr">
        <is>
          <t>No</t>
        </is>
      </c>
      <c r="G1035" t="inlineStr">
        <is>
          <t>1</t>
        </is>
      </c>
      <c r="H1035" t="inlineStr">
        <is>
          <t>No</t>
        </is>
      </c>
      <c r="I1035" t="inlineStr">
        <is>
          <t>No</t>
        </is>
      </c>
      <c r="J1035" t="inlineStr">
        <is>
          <t>0</t>
        </is>
      </c>
      <c r="K1035" t="inlineStr">
        <is>
          <t>Nocent, Adrien.</t>
        </is>
      </c>
      <c r="L1035" t="inlineStr">
        <is>
          <t>Collegeville, Minn. : Liturgical Press, c1994.</t>
        </is>
      </c>
      <c r="M1035" t="inlineStr">
        <is>
          <t>1994</t>
        </is>
      </c>
      <c r="O1035" t="inlineStr">
        <is>
          <t>eng</t>
        </is>
      </c>
      <c r="P1035" t="inlineStr">
        <is>
          <t>mnu</t>
        </is>
      </c>
      <c r="R1035" t="inlineStr">
        <is>
          <t xml:space="preserve">BX </t>
        </is>
      </c>
      <c r="S1035" t="n">
        <v>9</v>
      </c>
      <c r="T1035" t="n">
        <v>9</v>
      </c>
      <c r="U1035" t="inlineStr">
        <is>
          <t>2010-02-19</t>
        </is>
      </c>
      <c r="V1035" t="inlineStr">
        <is>
          <t>2010-02-19</t>
        </is>
      </c>
      <c r="W1035" t="inlineStr">
        <is>
          <t>1995-04-26</t>
        </is>
      </c>
      <c r="X1035" t="inlineStr">
        <is>
          <t>1995-04-26</t>
        </is>
      </c>
      <c r="Y1035" t="n">
        <v>129</v>
      </c>
      <c r="Z1035" t="n">
        <v>106</v>
      </c>
      <c r="AA1035" t="n">
        <v>106</v>
      </c>
      <c r="AB1035" t="n">
        <v>1</v>
      </c>
      <c r="AC1035" t="n">
        <v>1</v>
      </c>
      <c r="AD1035" t="n">
        <v>11</v>
      </c>
      <c r="AE1035" t="n">
        <v>11</v>
      </c>
      <c r="AF1035" t="n">
        <v>3</v>
      </c>
      <c r="AG1035" t="n">
        <v>3</v>
      </c>
      <c r="AH1035" t="n">
        <v>3</v>
      </c>
      <c r="AI1035" t="n">
        <v>3</v>
      </c>
      <c r="AJ1035" t="n">
        <v>9</v>
      </c>
      <c r="AK1035" t="n">
        <v>9</v>
      </c>
      <c r="AL1035" t="n">
        <v>0</v>
      </c>
      <c r="AM1035" t="n">
        <v>0</v>
      </c>
      <c r="AN1035" t="n">
        <v>0</v>
      </c>
      <c r="AO1035" t="n">
        <v>0</v>
      </c>
      <c r="AP1035" t="inlineStr">
        <is>
          <t>No</t>
        </is>
      </c>
      <c r="AQ1035" t="inlineStr">
        <is>
          <t>No</t>
        </is>
      </c>
      <c r="AS1035">
        <f>HYPERLINK("https://creighton-primo.hosted.exlibrisgroup.com/primo-explore/search?tab=default_tab&amp;search_scope=EVERYTHING&amp;vid=01CRU&amp;lang=en_US&amp;offset=0&amp;query=any,contains,991002319339702656","Catalog Record")</f>
        <v/>
      </c>
      <c r="AT1035">
        <f>HYPERLINK("http://www.worldcat.org/oclc/30078876","WorldCat Record")</f>
        <v/>
      </c>
      <c r="AU1035" t="inlineStr">
        <is>
          <t>32230723:eng</t>
        </is>
      </c>
      <c r="AV1035" t="inlineStr">
        <is>
          <t>30078876</t>
        </is>
      </c>
      <c r="AW1035" t="inlineStr">
        <is>
          <t>991002319339702656</t>
        </is>
      </c>
      <c r="AX1035" t="inlineStr">
        <is>
          <t>991002319339702656</t>
        </is>
      </c>
      <c r="AY1035" t="inlineStr">
        <is>
          <t>2256232390002656</t>
        </is>
      </c>
      <c r="AZ1035" t="inlineStr">
        <is>
          <t>BOOK</t>
        </is>
      </c>
      <c r="BB1035" t="inlineStr">
        <is>
          <t>9780814622995</t>
        </is>
      </c>
      <c r="BC1035" t="inlineStr">
        <is>
          <t>32285002036274</t>
        </is>
      </c>
      <c r="BD1035" t="inlineStr">
        <is>
          <t>893786002</t>
        </is>
      </c>
    </row>
    <row r="1036">
      <c r="A1036" t="inlineStr">
        <is>
          <t>No</t>
        </is>
      </c>
      <c r="B1036" t="inlineStr">
        <is>
          <t>BX1970 .O75 1986</t>
        </is>
      </c>
      <c r="C1036" t="inlineStr">
        <is>
          <t>0                      BX 1970000O  75          1986</t>
        </is>
      </c>
      <c r="D1036" t="inlineStr">
        <is>
          <t>Catechesis for liturgy : a program for parish involvement / Gilbert Ostdiek ; with an introduction by Thomas Groome.</t>
        </is>
      </c>
      <c r="F1036" t="inlineStr">
        <is>
          <t>No</t>
        </is>
      </c>
      <c r="G1036" t="inlineStr">
        <is>
          <t>1</t>
        </is>
      </c>
      <c r="H1036" t="inlineStr">
        <is>
          <t>No</t>
        </is>
      </c>
      <c r="I1036" t="inlineStr">
        <is>
          <t>No</t>
        </is>
      </c>
      <c r="J1036" t="inlineStr">
        <is>
          <t>0</t>
        </is>
      </c>
      <c r="K1036" t="inlineStr">
        <is>
          <t>Ostdiek, Gilbert.</t>
        </is>
      </c>
      <c r="L1036" t="inlineStr">
        <is>
          <t>Washington, DC : Pastoral Press, c1986.</t>
        </is>
      </c>
      <c r="M1036" t="inlineStr">
        <is>
          <t>1986</t>
        </is>
      </c>
      <c r="O1036" t="inlineStr">
        <is>
          <t>eng</t>
        </is>
      </c>
      <c r="P1036" t="inlineStr">
        <is>
          <t>dcu</t>
        </is>
      </c>
      <c r="R1036" t="inlineStr">
        <is>
          <t xml:space="preserve">BX </t>
        </is>
      </c>
      <c r="S1036" t="n">
        <v>2</v>
      </c>
      <c r="T1036" t="n">
        <v>2</v>
      </c>
      <c r="U1036" t="inlineStr">
        <is>
          <t>2004-05-05</t>
        </is>
      </c>
      <c r="V1036" t="inlineStr">
        <is>
          <t>2004-05-05</t>
        </is>
      </c>
      <c r="W1036" t="inlineStr">
        <is>
          <t>2004-05-05</t>
        </is>
      </c>
      <c r="X1036" t="inlineStr">
        <is>
          <t>2004-05-05</t>
        </is>
      </c>
      <c r="Y1036" t="n">
        <v>122</v>
      </c>
      <c r="Z1036" t="n">
        <v>98</v>
      </c>
      <c r="AA1036" t="n">
        <v>99</v>
      </c>
      <c r="AB1036" t="n">
        <v>1</v>
      </c>
      <c r="AC1036" t="n">
        <v>1</v>
      </c>
      <c r="AD1036" t="n">
        <v>14</v>
      </c>
      <c r="AE1036" t="n">
        <v>14</v>
      </c>
      <c r="AF1036" t="n">
        <v>5</v>
      </c>
      <c r="AG1036" t="n">
        <v>5</v>
      </c>
      <c r="AH1036" t="n">
        <v>4</v>
      </c>
      <c r="AI1036" t="n">
        <v>4</v>
      </c>
      <c r="AJ1036" t="n">
        <v>10</v>
      </c>
      <c r="AK1036" t="n">
        <v>10</v>
      </c>
      <c r="AL1036" t="n">
        <v>0</v>
      </c>
      <c r="AM1036" t="n">
        <v>0</v>
      </c>
      <c r="AN1036" t="n">
        <v>0</v>
      </c>
      <c r="AO1036" t="n">
        <v>0</v>
      </c>
      <c r="AP1036" t="inlineStr">
        <is>
          <t>No</t>
        </is>
      </c>
      <c r="AQ1036" t="inlineStr">
        <is>
          <t>No</t>
        </is>
      </c>
      <c r="AS1036">
        <f>HYPERLINK("https://creighton-primo.hosted.exlibrisgroup.com/primo-explore/search?tab=default_tab&amp;search_scope=EVERYTHING&amp;vid=01CRU&amp;lang=en_US&amp;offset=0&amp;query=any,contains,991004295469702656","Catalog Record")</f>
        <v/>
      </c>
      <c r="AT1036">
        <f>HYPERLINK("http://www.worldcat.org/oclc/14916996","WorldCat Record")</f>
        <v/>
      </c>
      <c r="AU1036" t="inlineStr">
        <is>
          <t>1149399874:eng</t>
        </is>
      </c>
      <c r="AV1036" t="inlineStr">
        <is>
          <t>14916996</t>
        </is>
      </c>
      <c r="AW1036" t="inlineStr">
        <is>
          <t>991004295469702656</t>
        </is>
      </c>
      <c r="AX1036" t="inlineStr">
        <is>
          <t>991004295469702656</t>
        </is>
      </c>
      <c r="AY1036" t="inlineStr">
        <is>
          <t>2264962830002656</t>
        </is>
      </c>
      <c r="AZ1036" t="inlineStr">
        <is>
          <t>BOOK</t>
        </is>
      </c>
      <c r="BB1036" t="inlineStr">
        <is>
          <t>9780912405230</t>
        </is>
      </c>
      <c r="BC1036" t="inlineStr">
        <is>
          <t>32285004904131</t>
        </is>
      </c>
      <c r="BD1036" t="inlineStr">
        <is>
          <t>893894817</t>
        </is>
      </c>
    </row>
    <row r="1037">
      <c r="A1037" t="inlineStr">
        <is>
          <t>No</t>
        </is>
      </c>
      <c r="B1037" t="inlineStr">
        <is>
          <t>BX1970 .P383 1960a</t>
        </is>
      </c>
      <c r="C1037" t="inlineStr">
        <is>
          <t>0                      BX 1970000P  383         1960a</t>
        </is>
      </c>
      <c r="D1037" t="inlineStr">
        <is>
          <t>A handbook of the liturgy / Rudolf Peil. Translated by H. E. Winstone.</t>
        </is>
      </c>
      <c r="F1037" t="inlineStr">
        <is>
          <t>No</t>
        </is>
      </c>
      <c r="G1037" t="inlineStr">
        <is>
          <t>1</t>
        </is>
      </c>
      <c r="H1037" t="inlineStr">
        <is>
          <t>No</t>
        </is>
      </c>
      <c r="I1037" t="inlineStr">
        <is>
          <t>No</t>
        </is>
      </c>
      <c r="J1037" t="inlineStr">
        <is>
          <t>0</t>
        </is>
      </c>
      <c r="K1037" t="inlineStr">
        <is>
          <t>Peil, Rudolf, 1901-</t>
        </is>
      </c>
      <c r="L1037" t="inlineStr">
        <is>
          <t>[New York] : Herder and Herder, [1960]</t>
        </is>
      </c>
      <c r="M1037" t="inlineStr">
        <is>
          <t>1960</t>
        </is>
      </c>
      <c r="O1037" t="inlineStr">
        <is>
          <t>eng</t>
        </is>
      </c>
      <c r="P1037" t="inlineStr">
        <is>
          <t>nyu</t>
        </is>
      </c>
      <c r="R1037" t="inlineStr">
        <is>
          <t xml:space="preserve">BX </t>
        </is>
      </c>
      <c r="S1037" t="n">
        <v>5</v>
      </c>
      <c r="T1037" t="n">
        <v>5</v>
      </c>
      <c r="U1037" t="inlineStr">
        <is>
          <t>1995-11-29</t>
        </is>
      </c>
      <c r="V1037" t="inlineStr">
        <is>
          <t>1995-11-29</t>
        </is>
      </c>
      <c r="W1037" t="inlineStr">
        <is>
          <t>1991-09-12</t>
        </is>
      </c>
      <c r="X1037" t="inlineStr">
        <is>
          <t>1991-09-12</t>
        </is>
      </c>
      <c r="Y1037" t="n">
        <v>168</v>
      </c>
      <c r="Z1037" t="n">
        <v>150</v>
      </c>
      <c r="AA1037" t="n">
        <v>165</v>
      </c>
      <c r="AB1037" t="n">
        <v>2</v>
      </c>
      <c r="AC1037" t="n">
        <v>2</v>
      </c>
      <c r="AD1037" t="n">
        <v>28</v>
      </c>
      <c r="AE1037" t="n">
        <v>29</v>
      </c>
      <c r="AF1037" t="n">
        <v>11</v>
      </c>
      <c r="AG1037" t="n">
        <v>11</v>
      </c>
      <c r="AH1037" t="n">
        <v>5</v>
      </c>
      <c r="AI1037" t="n">
        <v>5</v>
      </c>
      <c r="AJ1037" t="n">
        <v>20</v>
      </c>
      <c r="AK1037" t="n">
        <v>21</v>
      </c>
      <c r="AL1037" t="n">
        <v>0</v>
      </c>
      <c r="AM1037" t="n">
        <v>0</v>
      </c>
      <c r="AN1037" t="n">
        <v>0</v>
      </c>
      <c r="AO1037" t="n">
        <v>0</v>
      </c>
      <c r="AP1037" t="inlineStr">
        <is>
          <t>No</t>
        </is>
      </c>
      <c r="AQ1037" t="inlineStr">
        <is>
          <t>No</t>
        </is>
      </c>
      <c r="AS1037">
        <f>HYPERLINK("https://creighton-primo.hosted.exlibrisgroup.com/primo-explore/search?tab=default_tab&amp;search_scope=EVERYTHING&amp;vid=01CRU&amp;lang=en_US&amp;offset=0&amp;query=any,contains,991003601329702656","Catalog Record")</f>
        <v/>
      </c>
      <c r="AT1037">
        <f>HYPERLINK("http://www.worldcat.org/oclc/1178733","WorldCat Record")</f>
        <v/>
      </c>
      <c r="AU1037" t="inlineStr">
        <is>
          <t>9745543:eng</t>
        </is>
      </c>
      <c r="AV1037" t="inlineStr">
        <is>
          <t>1178733</t>
        </is>
      </c>
      <c r="AW1037" t="inlineStr">
        <is>
          <t>991003601329702656</t>
        </is>
      </c>
      <c r="AX1037" t="inlineStr">
        <is>
          <t>991003601329702656</t>
        </is>
      </c>
      <c r="AY1037" t="inlineStr">
        <is>
          <t>2266297740002656</t>
        </is>
      </c>
      <c r="AZ1037" t="inlineStr">
        <is>
          <t>BOOK</t>
        </is>
      </c>
      <c r="BC1037" t="inlineStr">
        <is>
          <t>32285000742220</t>
        </is>
      </c>
      <c r="BD1037" t="inlineStr">
        <is>
          <t>893318164</t>
        </is>
      </c>
    </row>
    <row r="1038">
      <c r="A1038" t="inlineStr">
        <is>
          <t>No</t>
        </is>
      </c>
      <c r="B1038" t="inlineStr">
        <is>
          <t>BX1970 .S28 1988</t>
        </is>
      </c>
      <c r="C1038" t="inlineStr">
        <is>
          <t>0                      BX 1970000S  28          1988</t>
        </is>
      </c>
      <c r="D1038" t="inlineStr">
        <is>
          <t>The words of worship : presiding and preaching at the rites / James M. Schmitmeyer.</t>
        </is>
      </c>
      <c r="F1038" t="inlineStr">
        <is>
          <t>No</t>
        </is>
      </c>
      <c r="G1038" t="inlineStr">
        <is>
          <t>1</t>
        </is>
      </c>
      <c r="H1038" t="inlineStr">
        <is>
          <t>No</t>
        </is>
      </c>
      <c r="I1038" t="inlineStr">
        <is>
          <t>No</t>
        </is>
      </c>
      <c r="J1038" t="inlineStr">
        <is>
          <t>0</t>
        </is>
      </c>
      <c r="K1038" t="inlineStr">
        <is>
          <t>Schmitmeyer, James M.</t>
        </is>
      </c>
      <c r="L1038" t="inlineStr">
        <is>
          <t>Staten Island, N.Y. : Alba House, c1988.</t>
        </is>
      </c>
      <c r="M1038" t="inlineStr">
        <is>
          <t>1988</t>
        </is>
      </c>
      <c r="O1038" t="inlineStr">
        <is>
          <t>eng</t>
        </is>
      </c>
      <c r="P1038" t="inlineStr">
        <is>
          <t>nyu</t>
        </is>
      </c>
      <c r="R1038" t="inlineStr">
        <is>
          <t xml:space="preserve">BX </t>
        </is>
      </c>
      <c r="S1038" t="n">
        <v>4</v>
      </c>
      <c r="T1038" t="n">
        <v>4</v>
      </c>
      <c r="U1038" t="inlineStr">
        <is>
          <t>1995-11-29</t>
        </is>
      </c>
      <c r="V1038" t="inlineStr">
        <is>
          <t>1995-11-29</t>
        </is>
      </c>
      <c r="W1038" t="inlineStr">
        <is>
          <t>1991-09-12</t>
        </is>
      </c>
      <c r="X1038" t="inlineStr">
        <is>
          <t>1991-09-12</t>
        </is>
      </c>
      <c r="Y1038" t="n">
        <v>95</v>
      </c>
      <c r="Z1038" t="n">
        <v>77</v>
      </c>
      <c r="AA1038" t="n">
        <v>77</v>
      </c>
      <c r="AB1038" t="n">
        <v>2</v>
      </c>
      <c r="AC1038" t="n">
        <v>2</v>
      </c>
      <c r="AD1038" t="n">
        <v>8</v>
      </c>
      <c r="AE1038" t="n">
        <v>8</v>
      </c>
      <c r="AF1038" t="n">
        <v>3</v>
      </c>
      <c r="AG1038" t="n">
        <v>3</v>
      </c>
      <c r="AH1038" t="n">
        <v>1</v>
      </c>
      <c r="AI1038" t="n">
        <v>1</v>
      </c>
      <c r="AJ1038" t="n">
        <v>6</v>
      </c>
      <c r="AK1038" t="n">
        <v>6</v>
      </c>
      <c r="AL1038" t="n">
        <v>0</v>
      </c>
      <c r="AM1038" t="n">
        <v>0</v>
      </c>
      <c r="AN1038" t="n">
        <v>0</v>
      </c>
      <c r="AO1038" t="n">
        <v>0</v>
      </c>
      <c r="AP1038" t="inlineStr">
        <is>
          <t>No</t>
        </is>
      </c>
      <c r="AQ1038" t="inlineStr">
        <is>
          <t>No</t>
        </is>
      </c>
      <c r="AS1038">
        <f>HYPERLINK("https://creighton-primo.hosted.exlibrisgroup.com/primo-explore/search?tab=default_tab&amp;search_scope=EVERYTHING&amp;vid=01CRU&amp;lang=en_US&amp;offset=0&amp;query=any,contains,991001180649702656","Catalog Record")</f>
        <v/>
      </c>
      <c r="AT1038">
        <f>HYPERLINK("http://www.worldcat.org/oclc/17108060","WorldCat Record")</f>
        <v/>
      </c>
      <c r="AU1038" t="inlineStr">
        <is>
          <t>13244286:eng</t>
        </is>
      </c>
      <c r="AV1038" t="inlineStr">
        <is>
          <t>17108060</t>
        </is>
      </c>
      <c r="AW1038" t="inlineStr">
        <is>
          <t>991001180649702656</t>
        </is>
      </c>
      <c r="AX1038" t="inlineStr">
        <is>
          <t>991001180649702656</t>
        </is>
      </c>
      <c r="AY1038" t="inlineStr">
        <is>
          <t>2259467210002656</t>
        </is>
      </c>
      <c r="AZ1038" t="inlineStr">
        <is>
          <t>BOOK</t>
        </is>
      </c>
      <c r="BB1038" t="inlineStr">
        <is>
          <t>9780818905308</t>
        </is>
      </c>
      <c r="BC1038" t="inlineStr">
        <is>
          <t>32285000742246</t>
        </is>
      </c>
      <c r="BD1038" t="inlineStr">
        <is>
          <t>893334133</t>
        </is>
      </c>
    </row>
    <row r="1039">
      <c r="A1039" t="inlineStr">
        <is>
          <t>No</t>
        </is>
      </c>
      <c r="B1039" t="inlineStr">
        <is>
          <t>BX1970 .S36 1981</t>
        </is>
      </c>
      <c r="C1039" t="inlineStr">
        <is>
          <t>0                      BX 1970000S  36          1981</t>
        </is>
      </c>
      <c r="D1039" t="inlineStr">
        <is>
          <t>Liturgy made simple / Mark Searle.</t>
        </is>
      </c>
      <c r="F1039" t="inlineStr">
        <is>
          <t>No</t>
        </is>
      </c>
      <c r="G1039" t="inlineStr">
        <is>
          <t>1</t>
        </is>
      </c>
      <c r="H1039" t="inlineStr">
        <is>
          <t>No</t>
        </is>
      </c>
      <c r="I1039" t="inlineStr">
        <is>
          <t>No</t>
        </is>
      </c>
      <c r="J1039" t="inlineStr">
        <is>
          <t>0</t>
        </is>
      </c>
      <c r="K1039" t="inlineStr">
        <is>
          <t>Searle, Mark, 1941-1992.</t>
        </is>
      </c>
      <c r="L1039" t="inlineStr">
        <is>
          <t>Collegeville, Minn. : Liturgical Press, 1981.</t>
        </is>
      </c>
      <c r="M1039" t="inlineStr">
        <is>
          <t>1981</t>
        </is>
      </c>
      <c r="O1039" t="inlineStr">
        <is>
          <t>eng</t>
        </is>
      </c>
      <c r="P1039" t="inlineStr">
        <is>
          <t>mnu</t>
        </is>
      </c>
      <c r="R1039" t="inlineStr">
        <is>
          <t xml:space="preserve">BX </t>
        </is>
      </c>
      <c r="S1039" t="n">
        <v>7</v>
      </c>
      <c r="T1039" t="n">
        <v>7</v>
      </c>
      <c r="U1039" t="inlineStr">
        <is>
          <t>2004-11-09</t>
        </is>
      </c>
      <c r="V1039" t="inlineStr">
        <is>
          <t>2004-11-09</t>
        </is>
      </c>
      <c r="W1039" t="inlineStr">
        <is>
          <t>1989-10-19</t>
        </is>
      </c>
      <c r="X1039" t="inlineStr">
        <is>
          <t>1989-10-19</t>
        </is>
      </c>
      <c r="Y1039" t="n">
        <v>192</v>
      </c>
      <c r="Z1039" t="n">
        <v>157</v>
      </c>
      <c r="AA1039" t="n">
        <v>162</v>
      </c>
      <c r="AB1039" t="n">
        <v>1</v>
      </c>
      <c r="AC1039" t="n">
        <v>1</v>
      </c>
      <c r="AD1039" t="n">
        <v>16</v>
      </c>
      <c r="AE1039" t="n">
        <v>16</v>
      </c>
      <c r="AF1039" t="n">
        <v>4</v>
      </c>
      <c r="AG1039" t="n">
        <v>4</v>
      </c>
      <c r="AH1039" t="n">
        <v>6</v>
      </c>
      <c r="AI1039" t="n">
        <v>6</v>
      </c>
      <c r="AJ1039" t="n">
        <v>12</v>
      </c>
      <c r="AK1039" t="n">
        <v>12</v>
      </c>
      <c r="AL1039" t="n">
        <v>0</v>
      </c>
      <c r="AM1039" t="n">
        <v>0</v>
      </c>
      <c r="AN1039" t="n">
        <v>0</v>
      </c>
      <c r="AO1039" t="n">
        <v>0</v>
      </c>
      <c r="AP1039" t="inlineStr">
        <is>
          <t>No</t>
        </is>
      </c>
      <c r="AQ1039" t="inlineStr">
        <is>
          <t>No</t>
        </is>
      </c>
      <c r="AS1039">
        <f>HYPERLINK("https://creighton-primo.hosted.exlibrisgroup.com/primo-explore/search?tab=default_tab&amp;search_scope=EVERYTHING&amp;vid=01CRU&amp;lang=en_US&amp;offset=0&amp;query=any,contains,991005099449702656","Catalog Record")</f>
        <v/>
      </c>
      <c r="AT1039">
        <f>HYPERLINK("http://www.worldcat.org/oclc/7279840","WorldCat Record")</f>
        <v/>
      </c>
      <c r="AU1039" t="inlineStr">
        <is>
          <t>119930765:eng</t>
        </is>
      </c>
      <c r="AV1039" t="inlineStr">
        <is>
          <t>7279840</t>
        </is>
      </c>
      <c r="AW1039" t="inlineStr">
        <is>
          <t>991005099449702656</t>
        </is>
      </c>
      <c r="AX1039" t="inlineStr">
        <is>
          <t>991005099449702656</t>
        </is>
      </c>
      <c r="AY1039" t="inlineStr">
        <is>
          <t>2262355290002656</t>
        </is>
      </c>
      <c r="AZ1039" t="inlineStr">
        <is>
          <t>BOOK</t>
        </is>
      </c>
      <c r="BB1039" t="inlineStr">
        <is>
          <t>9780814612217</t>
        </is>
      </c>
      <c r="BC1039" t="inlineStr">
        <is>
          <t>32285000000157</t>
        </is>
      </c>
      <c r="BD1039" t="inlineStr">
        <is>
          <t>893889665</t>
        </is>
      </c>
    </row>
    <row r="1040">
      <c r="A1040" t="inlineStr">
        <is>
          <t>No</t>
        </is>
      </c>
      <c r="B1040" t="inlineStr">
        <is>
          <t>BX1970 .S52 1990</t>
        </is>
      </c>
      <c r="C1040" t="inlineStr">
        <is>
          <t>0                      BX 1970000S  52          1990</t>
        </is>
      </c>
      <c r="D1040" t="inlineStr">
        <is>
          <t>Shaping English liturgy : studies in honor of Archbishop Denis Hurley / edited by Peter C. Finn, James M. Schellman ; prepared by the International Commission on English in the Liturgy.</t>
        </is>
      </c>
      <c r="F1040" t="inlineStr">
        <is>
          <t>No</t>
        </is>
      </c>
      <c r="G1040" t="inlineStr">
        <is>
          <t>1</t>
        </is>
      </c>
      <c r="H1040" t="inlineStr">
        <is>
          <t>No</t>
        </is>
      </c>
      <c r="I1040" t="inlineStr">
        <is>
          <t>No</t>
        </is>
      </c>
      <c r="J1040" t="inlineStr">
        <is>
          <t>0</t>
        </is>
      </c>
      <c r="L1040" t="inlineStr">
        <is>
          <t>Washington, D.C. : Pastoral Press, c1990.</t>
        </is>
      </c>
      <c r="M1040" t="inlineStr">
        <is>
          <t>1990</t>
        </is>
      </c>
      <c r="O1040" t="inlineStr">
        <is>
          <t>eng</t>
        </is>
      </c>
      <c r="P1040" t="inlineStr">
        <is>
          <t>dcu</t>
        </is>
      </c>
      <c r="R1040" t="inlineStr">
        <is>
          <t xml:space="preserve">BX </t>
        </is>
      </c>
      <c r="S1040" t="n">
        <v>2</v>
      </c>
      <c r="T1040" t="n">
        <v>2</v>
      </c>
      <c r="U1040" t="inlineStr">
        <is>
          <t>2006-10-03</t>
        </is>
      </c>
      <c r="V1040" t="inlineStr">
        <is>
          <t>2006-10-03</t>
        </is>
      </c>
      <c r="W1040" t="inlineStr">
        <is>
          <t>1991-02-28</t>
        </is>
      </c>
      <c r="X1040" t="inlineStr">
        <is>
          <t>1991-02-28</t>
        </is>
      </c>
      <c r="Y1040" t="n">
        <v>147</v>
      </c>
      <c r="Z1040" t="n">
        <v>117</v>
      </c>
      <c r="AA1040" t="n">
        <v>117</v>
      </c>
      <c r="AB1040" t="n">
        <v>1</v>
      </c>
      <c r="AC1040" t="n">
        <v>1</v>
      </c>
      <c r="AD1040" t="n">
        <v>12</v>
      </c>
      <c r="AE1040" t="n">
        <v>12</v>
      </c>
      <c r="AF1040" t="n">
        <v>3</v>
      </c>
      <c r="AG1040" t="n">
        <v>3</v>
      </c>
      <c r="AH1040" t="n">
        <v>2</v>
      </c>
      <c r="AI1040" t="n">
        <v>2</v>
      </c>
      <c r="AJ1040" t="n">
        <v>9</v>
      </c>
      <c r="AK1040" t="n">
        <v>9</v>
      </c>
      <c r="AL1040" t="n">
        <v>0</v>
      </c>
      <c r="AM1040" t="n">
        <v>0</v>
      </c>
      <c r="AN1040" t="n">
        <v>0</v>
      </c>
      <c r="AO1040" t="n">
        <v>0</v>
      </c>
      <c r="AP1040" t="inlineStr">
        <is>
          <t>No</t>
        </is>
      </c>
      <c r="AQ1040" t="inlineStr">
        <is>
          <t>No</t>
        </is>
      </c>
      <c r="AS1040">
        <f>HYPERLINK("https://creighton-primo.hosted.exlibrisgroup.com/primo-explore/search?tab=default_tab&amp;search_scope=EVERYTHING&amp;vid=01CRU&amp;lang=en_US&amp;offset=0&amp;query=any,contains,991001781529702656","Catalog Record")</f>
        <v/>
      </c>
      <c r="AT1040">
        <f>HYPERLINK("http://www.worldcat.org/oclc/22466265","WorldCat Record")</f>
        <v/>
      </c>
      <c r="AU1040" t="inlineStr">
        <is>
          <t>24165509:eng</t>
        </is>
      </c>
      <c r="AV1040" t="inlineStr">
        <is>
          <t>22466265</t>
        </is>
      </c>
      <c r="AW1040" t="inlineStr">
        <is>
          <t>991001781529702656</t>
        </is>
      </c>
      <c r="AX1040" t="inlineStr">
        <is>
          <t>991001781529702656</t>
        </is>
      </c>
      <c r="AY1040" t="inlineStr">
        <is>
          <t>2263554900002656</t>
        </is>
      </c>
      <c r="AZ1040" t="inlineStr">
        <is>
          <t>BOOK</t>
        </is>
      </c>
      <c r="BB1040" t="inlineStr">
        <is>
          <t>9780912405728</t>
        </is>
      </c>
      <c r="BC1040" t="inlineStr">
        <is>
          <t>32285000492362</t>
        </is>
      </c>
      <c r="BD1040" t="inlineStr">
        <is>
          <t>893872798</t>
        </is>
      </c>
    </row>
    <row r="1041">
      <c r="A1041" t="inlineStr">
        <is>
          <t>No</t>
        </is>
      </c>
      <c r="B1041" t="inlineStr">
        <is>
          <t>BX1970 .S84 1953</t>
        </is>
      </c>
      <c r="C1041" t="inlineStr">
        <is>
          <t>0                      BX 1970000S  84          1953</t>
        </is>
      </c>
      <c r="D1041" t="inlineStr">
        <is>
          <t>The development of Christian worship : an outline of liturgical history / Benedict Steuart. With a foreword by J. B. O'Connell.</t>
        </is>
      </c>
      <c r="F1041" t="inlineStr">
        <is>
          <t>No</t>
        </is>
      </c>
      <c r="G1041" t="inlineStr">
        <is>
          <t>1</t>
        </is>
      </c>
      <c r="H1041" t="inlineStr">
        <is>
          <t>No</t>
        </is>
      </c>
      <c r="I1041" t="inlineStr">
        <is>
          <t>No</t>
        </is>
      </c>
      <c r="J1041" t="inlineStr">
        <is>
          <t>0</t>
        </is>
      </c>
      <c r="K1041" t="inlineStr">
        <is>
          <t>Steuart, Benedict, 1880-</t>
        </is>
      </c>
      <c r="L1041" t="inlineStr">
        <is>
          <t>London ; New York : Longmans, Green, [1953]</t>
        </is>
      </c>
      <c r="M1041" t="inlineStr">
        <is>
          <t>1953</t>
        </is>
      </c>
      <c r="O1041" t="inlineStr">
        <is>
          <t>eng</t>
        </is>
      </c>
      <c r="P1041" t="inlineStr">
        <is>
          <t>enk</t>
        </is>
      </c>
      <c r="R1041" t="inlineStr">
        <is>
          <t xml:space="preserve">BX </t>
        </is>
      </c>
      <c r="S1041" t="n">
        <v>7</v>
      </c>
      <c r="T1041" t="n">
        <v>7</v>
      </c>
      <c r="U1041" t="inlineStr">
        <is>
          <t>1992-09-28</t>
        </is>
      </c>
      <c r="V1041" t="inlineStr">
        <is>
          <t>1992-09-28</t>
        </is>
      </c>
      <c r="W1041" t="inlineStr">
        <is>
          <t>1991-09-12</t>
        </is>
      </c>
      <c r="X1041" t="inlineStr">
        <is>
          <t>1991-09-12</t>
        </is>
      </c>
      <c r="Y1041" t="n">
        <v>251</v>
      </c>
      <c r="Z1041" t="n">
        <v>193</v>
      </c>
      <c r="AA1041" t="n">
        <v>200</v>
      </c>
      <c r="AB1041" t="n">
        <v>2</v>
      </c>
      <c r="AC1041" t="n">
        <v>2</v>
      </c>
      <c r="AD1041" t="n">
        <v>23</v>
      </c>
      <c r="AE1041" t="n">
        <v>23</v>
      </c>
      <c r="AF1041" t="n">
        <v>7</v>
      </c>
      <c r="AG1041" t="n">
        <v>7</v>
      </c>
      <c r="AH1041" t="n">
        <v>5</v>
      </c>
      <c r="AI1041" t="n">
        <v>5</v>
      </c>
      <c r="AJ1041" t="n">
        <v>18</v>
      </c>
      <c r="AK1041" t="n">
        <v>18</v>
      </c>
      <c r="AL1041" t="n">
        <v>0</v>
      </c>
      <c r="AM1041" t="n">
        <v>0</v>
      </c>
      <c r="AN1041" t="n">
        <v>0</v>
      </c>
      <c r="AO1041" t="n">
        <v>0</v>
      </c>
      <c r="AP1041" t="inlineStr">
        <is>
          <t>No</t>
        </is>
      </c>
      <c r="AQ1041" t="inlineStr">
        <is>
          <t>No</t>
        </is>
      </c>
      <c r="AS1041">
        <f>HYPERLINK("https://creighton-primo.hosted.exlibrisgroup.com/primo-explore/search?tab=default_tab&amp;search_scope=EVERYTHING&amp;vid=01CRU&amp;lang=en_US&amp;offset=0&amp;query=any,contains,991003195059702656","Catalog Record")</f>
        <v/>
      </c>
      <c r="AT1041">
        <f>HYPERLINK("http://www.worldcat.org/oclc/720407","WorldCat Record")</f>
        <v/>
      </c>
      <c r="AU1041" t="inlineStr">
        <is>
          <t>892191225:eng</t>
        </is>
      </c>
      <c r="AV1041" t="inlineStr">
        <is>
          <t>720407</t>
        </is>
      </c>
      <c r="AW1041" t="inlineStr">
        <is>
          <t>991003195059702656</t>
        </is>
      </c>
      <c r="AX1041" t="inlineStr">
        <is>
          <t>991003195059702656</t>
        </is>
      </c>
      <c r="AY1041" t="inlineStr">
        <is>
          <t>2256236630002656</t>
        </is>
      </c>
      <c r="AZ1041" t="inlineStr">
        <is>
          <t>BOOK</t>
        </is>
      </c>
      <c r="BC1041" t="inlineStr">
        <is>
          <t>32285000742295</t>
        </is>
      </c>
      <c r="BD1041" t="inlineStr">
        <is>
          <t>893227778</t>
        </is>
      </c>
    </row>
    <row r="1042">
      <c r="A1042" t="inlineStr">
        <is>
          <t>No</t>
        </is>
      </c>
      <c r="B1042" t="inlineStr">
        <is>
          <t>BX1970 .S86 1991</t>
        </is>
      </c>
      <c r="C1042" t="inlineStr">
        <is>
          <t>0                      BX 1970000S  86          1991</t>
        </is>
      </c>
      <c r="D1042" t="inlineStr">
        <is>
          <t>Sung liturgy : toward 2000 A.D. / Virgil C. Funk, editor.</t>
        </is>
      </c>
      <c r="F1042" t="inlineStr">
        <is>
          <t>No</t>
        </is>
      </c>
      <c r="G1042" t="inlineStr">
        <is>
          <t>1</t>
        </is>
      </c>
      <c r="H1042" t="inlineStr">
        <is>
          <t>No</t>
        </is>
      </c>
      <c r="I1042" t="inlineStr">
        <is>
          <t>No</t>
        </is>
      </c>
      <c r="J1042" t="inlineStr">
        <is>
          <t>0</t>
        </is>
      </c>
      <c r="L1042" t="inlineStr">
        <is>
          <t>Washington, D.C.: Pastoral Press, c1991.</t>
        </is>
      </c>
      <c r="M1042" t="inlineStr">
        <is>
          <t>1991</t>
        </is>
      </c>
      <c r="O1042" t="inlineStr">
        <is>
          <t>eng</t>
        </is>
      </c>
      <c r="P1042" t="inlineStr">
        <is>
          <t>dcu</t>
        </is>
      </c>
      <c r="R1042" t="inlineStr">
        <is>
          <t xml:space="preserve">BX </t>
        </is>
      </c>
      <c r="S1042" t="n">
        <v>6</v>
      </c>
      <c r="T1042" t="n">
        <v>6</v>
      </c>
      <c r="U1042" t="inlineStr">
        <is>
          <t>1998-10-16</t>
        </is>
      </c>
      <c r="V1042" t="inlineStr">
        <is>
          <t>1998-10-16</t>
        </is>
      </c>
      <c r="W1042" t="inlineStr">
        <is>
          <t>1994-04-21</t>
        </is>
      </c>
      <c r="X1042" t="inlineStr">
        <is>
          <t>1994-04-21</t>
        </is>
      </c>
      <c r="Y1042" t="n">
        <v>93</v>
      </c>
      <c r="Z1042" t="n">
        <v>78</v>
      </c>
      <c r="AA1042" t="n">
        <v>78</v>
      </c>
      <c r="AB1042" t="n">
        <v>1</v>
      </c>
      <c r="AC1042" t="n">
        <v>1</v>
      </c>
      <c r="AD1042" t="n">
        <v>9</v>
      </c>
      <c r="AE1042" t="n">
        <v>9</v>
      </c>
      <c r="AF1042" t="n">
        <v>3</v>
      </c>
      <c r="AG1042" t="n">
        <v>3</v>
      </c>
      <c r="AH1042" t="n">
        <v>3</v>
      </c>
      <c r="AI1042" t="n">
        <v>3</v>
      </c>
      <c r="AJ1042" t="n">
        <v>6</v>
      </c>
      <c r="AK1042" t="n">
        <v>6</v>
      </c>
      <c r="AL1042" t="n">
        <v>0</v>
      </c>
      <c r="AM1042" t="n">
        <v>0</v>
      </c>
      <c r="AN1042" t="n">
        <v>0</v>
      </c>
      <c r="AO1042" t="n">
        <v>0</v>
      </c>
      <c r="AP1042" t="inlineStr">
        <is>
          <t>No</t>
        </is>
      </c>
      <c r="AQ1042" t="inlineStr">
        <is>
          <t>No</t>
        </is>
      </c>
      <c r="AS1042">
        <f>HYPERLINK("https://creighton-primo.hosted.exlibrisgroup.com/primo-explore/search?tab=default_tab&amp;search_scope=EVERYTHING&amp;vid=01CRU&amp;lang=en_US&amp;offset=0&amp;query=any,contains,991001927729702656","Catalog Record")</f>
        <v/>
      </c>
      <c r="AT1042">
        <f>HYPERLINK("http://www.worldcat.org/oclc/24345046","WorldCat Record")</f>
        <v/>
      </c>
      <c r="AU1042" t="inlineStr">
        <is>
          <t>27373206:eng</t>
        </is>
      </c>
      <c r="AV1042" t="inlineStr">
        <is>
          <t>24345046</t>
        </is>
      </c>
      <c r="AW1042" t="inlineStr">
        <is>
          <t>991001927729702656</t>
        </is>
      </c>
      <c r="AX1042" t="inlineStr">
        <is>
          <t>991001927729702656</t>
        </is>
      </c>
      <c r="AY1042" t="inlineStr">
        <is>
          <t>2257574140002656</t>
        </is>
      </c>
      <c r="AZ1042" t="inlineStr">
        <is>
          <t>BOOK</t>
        </is>
      </c>
      <c r="BB1042" t="inlineStr">
        <is>
          <t>9780912405803</t>
        </is>
      </c>
      <c r="BC1042" t="inlineStr">
        <is>
          <t>32285001876324</t>
        </is>
      </c>
      <c r="BD1042" t="inlineStr">
        <is>
          <t>893809225</t>
        </is>
      </c>
    </row>
    <row r="1043">
      <c r="A1043" t="inlineStr">
        <is>
          <t>No</t>
        </is>
      </c>
      <c r="B1043" t="inlineStr">
        <is>
          <t>BX1970 .V33 1960</t>
        </is>
      </c>
      <c r="C1043" t="inlineStr">
        <is>
          <t>0                      BX 1970000V  33          1960</t>
        </is>
      </c>
      <c r="D1043" t="inlineStr">
        <is>
          <t>The origins of the modern Roman liturgy : the liturgy of the papal court and the Franciscan Order in the thirteenth century / by S. J. P. Van Dijk and J. Hazelden Walker.</t>
        </is>
      </c>
      <c r="F1043" t="inlineStr">
        <is>
          <t>No</t>
        </is>
      </c>
      <c r="G1043" t="inlineStr">
        <is>
          <t>1</t>
        </is>
      </c>
      <c r="H1043" t="inlineStr">
        <is>
          <t>No</t>
        </is>
      </c>
      <c r="I1043" t="inlineStr">
        <is>
          <t>No</t>
        </is>
      </c>
      <c r="J1043" t="inlineStr">
        <is>
          <t>0</t>
        </is>
      </c>
      <c r="K1043" t="inlineStr">
        <is>
          <t>Van Dijk, S. J. P. (Stephen Joseph Peter)</t>
        </is>
      </c>
      <c r="L1043" t="inlineStr">
        <is>
          <t>Westminster, Md. : Newman Press, [1960]</t>
        </is>
      </c>
      <c r="M1043" t="inlineStr">
        <is>
          <t>1960</t>
        </is>
      </c>
      <c r="O1043" t="inlineStr">
        <is>
          <t>eng</t>
        </is>
      </c>
      <c r="P1043" t="inlineStr">
        <is>
          <t>___</t>
        </is>
      </c>
      <c r="R1043" t="inlineStr">
        <is>
          <t xml:space="preserve">BX </t>
        </is>
      </c>
      <c r="S1043" t="n">
        <v>5</v>
      </c>
      <c r="T1043" t="n">
        <v>5</v>
      </c>
      <c r="U1043" t="inlineStr">
        <is>
          <t>2000-08-25</t>
        </is>
      </c>
      <c r="V1043" t="inlineStr">
        <is>
          <t>2000-08-25</t>
        </is>
      </c>
      <c r="W1043" t="inlineStr">
        <is>
          <t>1991-09-12</t>
        </is>
      </c>
      <c r="X1043" t="inlineStr">
        <is>
          <t>1991-09-12</t>
        </is>
      </c>
      <c r="Y1043" t="n">
        <v>307</v>
      </c>
      <c r="Z1043" t="n">
        <v>241</v>
      </c>
      <c r="AA1043" t="n">
        <v>334</v>
      </c>
      <c r="AB1043" t="n">
        <v>2</v>
      </c>
      <c r="AC1043" t="n">
        <v>3</v>
      </c>
      <c r="AD1043" t="n">
        <v>32</v>
      </c>
      <c r="AE1043" t="n">
        <v>37</v>
      </c>
      <c r="AF1043" t="n">
        <v>10</v>
      </c>
      <c r="AG1043" t="n">
        <v>12</v>
      </c>
      <c r="AH1043" t="n">
        <v>9</v>
      </c>
      <c r="AI1043" t="n">
        <v>10</v>
      </c>
      <c r="AJ1043" t="n">
        <v>21</v>
      </c>
      <c r="AK1043" t="n">
        <v>21</v>
      </c>
      <c r="AL1043" t="n">
        <v>1</v>
      </c>
      <c r="AM1043" t="n">
        <v>2</v>
      </c>
      <c r="AN1043" t="n">
        <v>0</v>
      </c>
      <c r="AO1043" t="n">
        <v>2</v>
      </c>
      <c r="AP1043" t="inlineStr">
        <is>
          <t>No</t>
        </is>
      </c>
      <c r="AQ1043" t="inlineStr">
        <is>
          <t>No</t>
        </is>
      </c>
      <c r="AS1043">
        <f>HYPERLINK("https://creighton-primo.hosted.exlibrisgroup.com/primo-explore/search?tab=default_tab&amp;search_scope=EVERYTHING&amp;vid=01CRU&amp;lang=en_US&amp;offset=0&amp;query=any,contains,991005357239702656","Catalog Record")</f>
        <v/>
      </c>
      <c r="AT1043">
        <f>HYPERLINK("http://www.worldcat.org/oclc/917700","WorldCat Record")</f>
        <v/>
      </c>
      <c r="AU1043" t="inlineStr">
        <is>
          <t>134248159:eng</t>
        </is>
      </c>
      <c r="AV1043" t="inlineStr">
        <is>
          <t>917700</t>
        </is>
      </c>
      <c r="AW1043" t="inlineStr">
        <is>
          <t>991005357239702656</t>
        </is>
      </c>
      <c r="AX1043" t="inlineStr">
        <is>
          <t>991005357239702656</t>
        </is>
      </c>
      <c r="AY1043" t="inlineStr">
        <is>
          <t>2260044640002656</t>
        </is>
      </c>
      <c r="AZ1043" t="inlineStr">
        <is>
          <t>BOOK</t>
        </is>
      </c>
      <c r="BC1043" t="inlineStr">
        <is>
          <t>32285000742329</t>
        </is>
      </c>
      <c r="BD1043" t="inlineStr">
        <is>
          <t>893236707</t>
        </is>
      </c>
    </row>
    <row r="1044">
      <c r="A1044" t="inlineStr">
        <is>
          <t>No</t>
        </is>
      </c>
      <c r="B1044" t="inlineStr">
        <is>
          <t>BX1970 .V4313 1968</t>
        </is>
      </c>
      <c r="C1044" t="inlineStr">
        <is>
          <t>0                      BX 1970000V  4313        1968</t>
        </is>
      </c>
      <c r="D1044" t="inlineStr">
        <is>
          <t>Introduction to the liturgy : towards a theology of worship / by A. Verheul ; with a foreword by Harold Winstone ; [translated from the German by Margaret Clarke].</t>
        </is>
      </c>
      <c r="F1044" t="inlineStr">
        <is>
          <t>No</t>
        </is>
      </c>
      <c r="G1044" t="inlineStr">
        <is>
          <t>1</t>
        </is>
      </c>
      <c r="H1044" t="inlineStr">
        <is>
          <t>No</t>
        </is>
      </c>
      <c r="I1044" t="inlineStr">
        <is>
          <t>No</t>
        </is>
      </c>
      <c r="J1044" t="inlineStr">
        <is>
          <t>0</t>
        </is>
      </c>
      <c r="K1044" t="inlineStr">
        <is>
          <t>Verheul, A. (Ambrosius)</t>
        </is>
      </c>
      <c r="L1044" t="inlineStr">
        <is>
          <t>Collegeville, Minn. : Liturgical Press, 1968.</t>
        </is>
      </c>
      <c r="M1044" t="inlineStr">
        <is>
          <t>1968</t>
        </is>
      </c>
      <c r="O1044" t="inlineStr">
        <is>
          <t>eng</t>
        </is>
      </c>
      <c r="P1044" t="inlineStr">
        <is>
          <t>mnu</t>
        </is>
      </c>
      <c r="R1044" t="inlineStr">
        <is>
          <t xml:space="preserve">BX </t>
        </is>
      </c>
      <c r="S1044" t="n">
        <v>2</v>
      </c>
      <c r="T1044" t="n">
        <v>2</v>
      </c>
      <c r="U1044" t="inlineStr">
        <is>
          <t>1992-09-28</t>
        </is>
      </c>
      <c r="V1044" t="inlineStr">
        <is>
          <t>1992-09-28</t>
        </is>
      </c>
      <c r="W1044" t="inlineStr">
        <is>
          <t>1991-09-12</t>
        </is>
      </c>
      <c r="X1044" t="inlineStr">
        <is>
          <t>1991-09-12</t>
        </is>
      </c>
      <c r="Y1044" t="n">
        <v>97</v>
      </c>
      <c r="Z1044" t="n">
        <v>82</v>
      </c>
      <c r="AA1044" t="n">
        <v>163</v>
      </c>
      <c r="AB1044" t="n">
        <v>3</v>
      </c>
      <c r="AC1044" t="n">
        <v>3</v>
      </c>
      <c r="AD1044" t="n">
        <v>8</v>
      </c>
      <c r="AE1044" t="n">
        <v>20</v>
      </c>
      <c r="AF1044" t="n">
        <v>0</v>
      </c>
      <c r="AG1044" t="n">
        <v>1</v>
      </c>
      <c r="AH1044" t="n">
        <v>3</v>
      </c>
      <c r="AI1044" t="n">
        <v>8</v>
      </c>
      <c r="AJ1044" t="n">
        <v>6</v>
      </c>
      <c r="AK1044" t="n">
        <v>15</v>
      </c>
      <c r="AL1044" t="n">
        <v>1</v>
      </c>
      <c r="AM1044" t="n">
        <v>1</v>
      </c>
      <c r="AN1044" t="n">
        <v>0</v>
      </c>
      <c r="AO1044" t="n">
        <v>0</v>
      </c>
      <c r="AP1044" t="inlineStr">
        <is>
          <t>No</t>
        </is>
      </c>
      <c r="AQ1044" t="inlineStr">
        <is>
          <t>No</t>
        </is>
      </c>
      <c r="AS1044">
        <f>HYPERLINK("https://creighton-primo.hosted.exlibrisgroup.com/primo-explore/search?tab=default_tab&amp;search_scope=EVERYTHING&amp;vid=01CRU&amp;lang=en_US&amp;offset=0&amp;query=any,contains,991004125629702656","Catalog Record")</f>
        <v/>
      </c>
      <c r="AT1044">
        <f>HYPERLINK("http://www.worldcat.org/oclc/2457392","WorldCat Record")</f>
        <v/>
      </c>
      <c r="AU1044" t="inlineStr">
        <is>
          <t>1506767:eng</t>
        </is>
      </c>
      <c r="AV1044" t="inlineStr">
        <is>
          <t>2457392</t>
        </is>
      </c>
      <c r="AW1044" t="inlineStr">
        <is>
          <t>991004125629702656</t>
        </is>
      </c>
      <c r="AX1044" t="inlineStr">
        <is>
          <t>991004125629702656</t>
        </is>
      </c>
      <c r="AY1044" t="inlineStr">
        <is>
          <t>2268282640002656</t>
        </is>
      </c>
      <c r="AZ1044" t="inlineStr">
        <is>
          <t>BOOK</t>
        </is>
      </c>
      <c r="BC1044" t="inlineStr">
        <is>
          <t>32285000742337</t>
        </is>
      </c>
      <c r="BD1044" t="inlineStr">
        <is>
          <t>893894584</t>
        </is>
      </c>
    </row>
    <row r="1045">
      <c r="A1045" t="inlineStr">
        <is>
          <t>No</t>
        </is>
      </c>
      <c r="B1045" t="inlineStr">
        <is>
          <t>BX1970 .V64 2001</t>
        </is>
      </c>
      <c r="C1045" t="inlineStr">
        <is>
          <t>0                      BX 1970000V  64          2001</t>
        </is>
      </c>
      <c r="D1045" t="inlineStr">
        <is>
          <t>The voice of the church : a forum on liturgical translation / Ad hoc Committee on the Forum on the Principles of Translation, National Conference of Catholic Bishops ; with contributions by Gilbert Ostdiek, et al.</t>
        </is>
      </c>
      <c r="F1045" t="inlineStr">
        <is>
          <t>No</t>
        </is>
      </c>
      <c r="G1045" t="inlineStr">
        <is>
          <t>1</t>
        </is>
      </c>
      <c r="H1045" t="inlineStr">
        <is>
          <t>No</t>
        </is>
      </c>
      <c r="I1045" t="inlineStr">
        <is>
          <t>No</t>
        </is>
      </c>
      <c r="J1045" t="inlineStr">
        <is>
          <t>0</t>
        </is>
      </c>
      <c r="L1045" t="inlineStr">
        <is>
          <t>Washington, D.C. : United States Catholic Conference, c2001.</t>
        </is>
      </c>
      <c r="M1045" t="inlineStr">
        <is>
          <t>2001</t>
        </is>
      </c>
      <c r="O1045" t="inlineStr">
        <is>
          <t>eng</t>
        </is>
      </c>
      <c r="P1045" t="inlineStr">
        <is>
          <t>dcu</t>
        </is>
      </c>
      <c r="Q1045" t="inlineStr">
        <is>
          <t>Publication / United States Catholic Conference ; no. 5-427</t>
        </is>
      </c>
      <c r="R1045" t="inlineStr">
        <is>
          <t xml:space="preserve">BX </t>
        </is>
      </c>
      <c r="S1045" t="n">
        <v>1</v>
      </c>
      <c r="T1045" t="n">
        <v>1</v>
      </c>
      <c r="U1045" t="inlineStr">
        <is>
          <t>2005-02-18</t>
        </is>
      </c>
      <c r="V1045" t="inlineStr">
        <is>
          <t>2005-02-18</t>
        </is>
      </c>
      <c r="W1045" t="inlineStr">
        <is>
          <t>2001-06-21</t>
        </is>
      </c>
      <c r="X1045" t="inlineStr">
        <is>
          <t>2001-06-21</t>
        </is>
      </c>
      <c r="Y1045" t="n">
        <v>133</v>
      </c>
      <c r="Z1045" t="n">
        <v>124</v>
      </c>
      <c r="AA1045" t="n">
        <v>129</v>
      </c>
      <c r="AB1045" t="n">
        <v>2</v>
      </c>
      <c r="AC1045" t="n">
        <v>2</v>
      </c>
      <c r="AD1045" t="n">
        <v>16</v>
      </c>
      <c r="AE1045" t="n">
        <v>16</v>
      </c>
      <c r="AF1045" t="n">
        <v>4</v>
      </c>
      <c r="AG1045" t="n">
        <v>4</v>
      </c>
      <c r="AH1045" t="n">
        <v>5</v>
      </c>
      <c r="AI1045" t="n">
        <v>5</v>
      </c>
      <c r="AJ1045" t="n">
        <v>12</v>
      </c>
      <c r="AK1045" t="n">
        <v>12</v>
      </c>
      <c r="AL1045" t="n">
        <v>0</v>
      </c>
      <c r="AM1045" t="n">
        <v>0</v>
      </c>
      <c r="AN1045" t="n">
        <v>0</v>
      </c>
      <c r="AO1045" t="n">
        <v>0</v>
      </c>
      <c r="AP1045" t="inlineStr">
        <is>
          <t>No</t>
        </is>
      </c>
      <c r="AQ1045" t="inlineStr">
        <is>
          <t>No</t>
        </is>
      </c>
      <c r="AS1045">
        <f>HYPERLINK("https://creighton-primo.hosted.exlibrisgroup.com/primo-explore/search?tab=default_tab&amp;search_scope=EVERYTHING&amp;vid=01CRU&amp;lang=en_US&amp;offset=0&amp;query=any,contains,991003561119702656","Catalog Record")</f>
        <v/>
      </c>
      <c r="AT1045">
        <f>HYPERLINK("http://www.worldcat.org/oclc/47122211","WorldCat Record")</f>
        <v/>
      </c>
      <c r="AU1045" t="inlineStr">
        <is>
          <t>3770062321:eng</t>
        </is>
      </c>
      <c r="AV1045" t="inlineStr">
        <is>
          <t>47122211</t>
        </is>
      </c>
      <c r="AW1045" t="inlineStr">
        <is>
          <t>991003561119702656</t>
        </is>
      </c>
      <c r="AX1045" t="inlineStr">
        <is>
          <t>991003561119702656</t>
        </is>
      </c>
      <c r="AY1045" t="inlineStr">
        <is>
          <t>2272402750002656</t>
        </is>
      </c>
      <c r="AZ1045" t="inlineStr">
        <is>
          <t>BOOK</t>
        </is>
      </c>
      <c r="BB1045" t="inlineStr">
        <is>
          <t>9781574554274</t>
        </is>
      </c>
      <c r="BC1045" t="inlineStr">
        <is>
          <t>32285004328935</t>
        </is>
      </c>
      <c r="BD1045" t="inlineStr">
        <is>
          <t>893705354</t>
        </is>
      </c>
    </row>
    <row r="1046">
      <c r="A1046" t="inlineStr">
        <is>
          <t>No</t>
        </is>
      </c>
      <c r="B1046" t="inlineStr">
        <is>
          <t>BX1970 .W57 1996</t>
        </is>
      </c>
      <c r="C1046" t="inlineStr">
        <is>
          <t>0                      BX 1970000W  57          1996</t>
        </is>
      </c>
      <c r="D1046" t="inlineStr">
        <is>
          <t>A liturgist's guide to inclusive language / Ronald D. Witherup.</t>
        </is>
      </c>
      <c r="F1046" t="inlineStr">
        <is>
          <t>No</t>
        </is>
      </c>
      <c r="G1046" t="inlineStr">
        <is>
          <t>1</t>
        </is>
      </c>
      <c r="H1046" t="inlineStr">
        <is>
          <t>No</t>
        </is>
      </c>
      <c r="I1046" t="inlineStr">
        <is>
          <t>No</t>
        </is>
      </c>
      <c r="J1046" t="inlineStr">
        <is>
          <t>0</t>
        </is>
      </c>
      <c r="K1046" t="inlineStr">
        <is>
          <t>Witherup, Ronald D., 1950-</t>
        </is>
      </c>
      <c r="L1046" t="inlineStr">
        <is>
          <t>Collegeville, Minn. : Liturgical Press, c1996.</t>
        </is>
      </c>
      <c r="M1046" t="inlineStr">
        <is>
          <t>1996</t>
        </is>
      </c>
      <c r="O1046" t="inlineStr">
        <is>
          <t>eng</t>
        </is>
      </c>
      <c r="P1046" t="inlineStr">
        <is>
          <t>mnu</t>
        </is>
      </c>
      <c r="R1046" t="inlineStr">
        <is>
          <t xml:space="preserve">BX </t>
        </is>
      </c>
      <c r="S1046" t="n">
        <v>7</v>
      </c>
      <c r="T1046" t="n">
        <v>7</v>
      </c>
      <c r="U1046" t="inlineStr">
        <is>
          <t>2005-08-18</t>
        </is>
      </c>
      <c r="V1046" t="inlineStr">
        <is>
          <t>2005-08-18</t>
        </is>
      </c>
      <c r="W1046" t="inlineStr">
        <is>
          <t>1996-10-01</t>
        </is>
      </c>
      <c r="X1046" t="inlineStr">
        <is>
          <t>1996-10-01</t>
        </is>
      </c>
      <c r="Y1046" t="n">
        <v>169</v>
      </c>
      <c r="Z1046" t="n">
        <v>139</v>
      </c>
      <c r="AA1046" t="n">
        <v>139</v>
      </c>
      <c r="AB1046" t="n">
        <v>1</v>
      </c>
      <c r="AC1046" t="n">
        <v>1</v>
      </c>
      <c r="AD1046" t="n">
        <v>11</v>
      </c>
      <c r="AE1046" t="n">
        <v>11</v>
      </c>
      <c r="AF1046" t="n">
        <v>1</v>
      </c>
      <c r="AG1046" t="n">
        <v>1</v>
      </c>
      <c r="AH1046" t="n">
        <v>3</v>
      </c>
      <c r="AI1046" t="n">
        <v>3</v>
      </c>
      <c r="AJ1046" t="n">
        <v>9</v>
      </c>
      <c r="AK1046" t="n">
        <v>9</v>
      </c>
      <c r="AL1046" t="n">
        <v>0</v>
      </c>
      <c r="AM1046" t="n">
        <v>0</v>
      </c>
      <c r="AN1046" t="n">
        <v>0</v>
      </c>
      <c r="AO1046" t="n">
        <v>0</v>
      </c>
      <c r="AP1046" t="inlineStr">
        <is>
          <t>No</t>
        </is>
      </c>
      <c r="AQ1046" t="inlineStr">
        <is>
          <t>No</t>
        </is>
      </c>
      <c r="AS1046">
        <f>HYPERLINK("https://creighton-primo.hosted.exlibrisgroup.com/primo-explore/search?tab=default_tab&amp;search_scope=EVERYTHING&amp;vid=01CRU&amp;lang=en_US&amp;offset=0&amp;query=any,contains,991002495279702656","Catalog Record")</f>
        <v/>
      </c>
      <c r="AT1046">
        <f>HYPERLINK("http://www.worldcat.org/oclc/32467282","WorldCat Record")</f>
        <v/>
      </c>
      <c r="AU1046" t="inlineStr">
        <is>
          <t>5083308503:eng</t>
        </is>
      </c>
      <c r="AV1046" t="inlineStr">
        <is>
          <t>32467282</t>
        </is>
      </c>
      <c r="AW1046" t="inlineStr">
        <is>
          <t>991002495279702656</t>
        </is>
      </c>
      <c r="AX1046" t="inlineStr">
        <is>
          <t>991002495279702656</t>
        </is>
      </c>
      <c r="AY1046" t="inlineStr">
        <is>
          <t>2262871300002656</t>
        </is>
      </c>
      <c r="AZ1046" t="inlineStr">
        <is>
          <t>BOOK</t>
        </is>
      </c>
      <c r="BB1046" t="inlineStr">
        <is>
          <t>9780814622575</t>
        </is>
      </c>
      <c r="BC1046" t="inlineStr">
        <is>
          <t>32285002321668</t>
        </is>
      </c>
      <c r="BD1046" t="inlineStr">
        <is>
          <t>893239127</t>
        </is>
      </c>
    </row>
    <row r="1047">
      <c r="A1047" t="inlineStr">
        <is>
          <t>No</t>
        </is>
      </c>
      <c r="B1047" t="inlineStr">
        <is>
          <t>BX1970.A1 A93 1992</t>
        </is>
      </c>
      <c r="C1047" t="inlineStr">
        <is>
          <t>0                      BX 1970000A  1                  A  93          1992</t>
        </is>
      </c>
      <c r="D1047" t="inlineStr">
        <is>
          <t>The Awakening church : 25 years of liturgical renewal / edited by Lawrence J. Madden.</t>
        </is>
      </c>
      <c r="F1047" t="inlineStr">
        <is>
          <t>No</t>
        </is>
      </c>
      <c r="G1047" t="inlineStr">
        <is>
          <t>1</t>
        </is>
      </c>
      <c r="H1047" t="inlineStr">
        <is>
          <t>No</t>
        </is>
      </c>
      <c r="I1047" t="inlineStr">
        <is>
          <t>No</t>
        </is>
      </c>
      <c r="J1047" t="inlineStr">
        <is>
          <t>0</t>
        </is>
      </c>
      <c r="L1047" t="inlineStr">
        <is>
          <t>Collegeville, Minn. : Liturgical Press, c1992.</t>
        </is>
      </c>
      <c r="M1047" t="inlineStr">
        <is>
          <t>1992</t>
        </is>
      </c>
      <c r="O1047" t="inlineStr">
        <is>
          <t>eng</t>
        </is>
      </c>
      <c r="P1047" t="inlineStr">
        <is>
          <t>mnu</t>
        </is>
      </c>
      <c r="R1047" t="inlineStr">
        <is>
          <t xml:space="preserve">BX </t>
        </is>
      </c>
      <c r="S1047" t="n">
        <v>4</v>
      </c>
      <c r="T1047" t="n">
        <v>4</v>
      </c>
      <c r="U1047" t="inlineStr">
        <is>
          <t>2001-07-01</t>
        </is>
      </c>
      <c r="V1047" t="inlineStr">
        <is>
          <t>2001-07-01</t>
        </is>
      </c>
      <c r="W1047" t="inlineStr">
        <is>
          <t>1994-06-28</t>
        </is>
      </c>
      <c r="X1047" t="inlineStr">
        <is>
          <t>1994-06-28</t>
        </is>
      </c>
      <c r="Y1047" t="n">
        <v>124</v>
      </c>
      <c r="Z1047" t="n">
        <v>98</v>
      </c>
      <c r="AA1047" t="n">
        <v>98</v>
      </c>
      <c r="AB1047" t="n">
        <v>1</v>
      </c>
      <c r="AC1047" t="n">
        <v>1</v>
      </c>
      <c r="AD1047" t="n">
        <v>12</v>
      </c>
      <c r="AE1047" t="n">
        <v>12</v>
      </c>
      <c r="AF1047" t="n">
        <v>3</v>
      </c>
      <c r="AG1047" t="n">
        <v>3</v>
      </c>
      <c r="AH1047" t="n">
        <v>1</v>
      </c>
      <c r="AI1047" t="n">
        <v>1</v>
      </c>
      <c r="AJ1047" t="n">
        <v>11</v>
      </c>
      <c r="AK1047" t="n">
        <v>11</v>
      </c>
      <c r="AL1047" t="n">
        <v>0</v>
      </c>
      <c r="AM1047" t="n">
        <v>0</v>
      </c>
      <c r="AN1047" t="n">
        <v>0</v>
      </c>
      <c r="AO1047" t="n">
        <v>0</v>
      </c>
      <c r="AP1047" t="inlineStr">
        <is>
          <t>No</t>
        </is>
      </c>
      <c r="AQ1047" t="inlineStr">
        <is>
          <t>No</t>
        </is>
      </c>
      <c r="AS1047">
        <f>HYPERLINK("https://creighton-primo.hosted.exlibrisgroup.com/primo-explore/search?tab=default_tab&amp;search_scope=EVERYTHING&amp;vid=01CRU&amp;lang=en_US&amp;offset=0&amp;query=any,contains,991001961749702656","Catalog Record")</f>
        <v/>
      </c>
      <c r="AT1047">
        <f>HYPERLINK("http://www.worldcat.org/oclc/24848469","WorldCat Record")</f>
        <v/>
      </c>
      <c r="AU1047" t="inlineStr">
        <is>
          <t>890053660:eng</t>
        </is>
      </c>
      <c r="AV1047" t="inlineStr">
        <is>
          <t>24848469</t>
        </is>
      </c>
      <c r="AW1047" t="inlineStr">
        <is>
          <t>991001961749702656</t>
        </is>
      </c>
      <c r="AX1047" t="inlineStr">
        <is>
          <t>991001961749702656</t>
        </is>
      </c>
      <c r="AY1047" t="inlineStr">
        <is>
          <t>2267226720002656</t>
        </is>
      </c>
      <c r="AZ1047" t="inlineStr">
        <is>
          <t>BOOK</t>
        </is>
      </c>
      <c r="BB1047" t="inlineStr">
        <is>
          <t>9780814620311</t>
        </is>
      </c>
      <c r="BC1047" t="inlineStr">
        <is>
          <t>32285001924793</t>
        </is>
      </c>
      <c r="BD1047" t="inlineStr">
        <is>
          <t>893334765</t>
        </is>
      </c>
    </row>
    <row r="1048">
      <c r="A1048" t="inlineStr">
        <is>
          <t>No</t>
        </is>
      </c>
      <c r="B1048" t="inlineStr">
        <is>
          <t>BX1970.A1 C34 1986</t>
        </is>
      </c>
      <c r="C1048" t="inlineStr">
        <is>
          <t>0                      BX 1970000A  1                  C  34          1986</t>
        </is>
      </c>
      <c r="D1048" t="inlineStr">
        <is>
          <t>Called to prayer : liturgical spirituality today / Gerard Austin ... [et al.]</t>
        </is>
      </c>
      <c r="F1048" t="inlineStr">
        <is>
          <t>No</t>
        </is>
      </c>
      <c r="G1048" t="inlineStr">
        <is>
          <t>1</t>
        </is>
      </c>
      <c r="H1048" t="inlineStr">
        <is>
          <t>No</t>
        </is>
      </c>
      <c r="I1048" t="inlineStr">
        <is>
          <t>No</t>
        </is>
      </c>
      <c r="J1048" t="inlineStr">
        <is>
          <t>0</t>
        </is>
      </c>
      <c r="L1048" t="inlineStr">
        <is>
          <t>Collegeville, MN : Liturgical Press, c1986.</t>
        </is>
      </c>
      <c r="M1048" t="inlineStr">
        <is>
          <t>1986</t>
        </is>
      </c>
      <c r="O1048" t="inlineStr">
        <is>
          <t>eng</t>
        </is>
      </c>
      <c r="P1048" t="inlineStr">
        <is>
          <t>mnu</t>
        </is>
      </c>
      <c r="R1048" t="inlineStr">
        <is>
          <t xml:space="preserve">BX </t>
        </is>
      </c>
      <c r="S1048" t="n">
        <v>6</v>
      </c>
      <c r="T1048" t="n">
        <v>6</v>
      </c>
      <c r="U1048" t="inlineStr">
        <is>
          <t>1999-07-30</t>
        </is>
      </c>
      <c r="V1048" t="inlineStr">
        <is>
          <t>1999-07-30</t>
        </is>
      </c>
      <c r="W1048" t="inlineStr">
        <is>
          <t>1991-07-03</t>
        </is>
      </c>
      <c r="X1048" t="inlineStr">
        <is>
          <t>1991-07-03</t>
        </is>
      </c>
      <c r="Y1048" t="n">
        <v>100</v>
      </c>
      <c r="Z1048" t="n">
        <v>84</v>
      </c>
      <c r="AA1048" t="n">
        <v>84</v>
      </c>
      <c r="AB1048" t="n">
        <v>1</v>
      </c>
      <c r="AC1048" t="n">
        <v>1</v>
      </c>
      <c r="AD1048" t="n">
        <v>13</v>
      </c>
      <c r="AE1048" t="n">
        <v>13</v>
      </c>
      <c r="AF1048" t="n">
        <v>3</v>
      </c>
      <c r="AG1048" t="n">
        <v>3</v>
      </c>
      <c r="AH1048" t="n">
        <v>5</v>
      </c>
      <c r="AI1048" t="n">
        <v>5</v>
      </c>
      <c r="AJ1048" t="n">
        <v>9</v>
      </c>
      <c r="AK1048" t="n">
        <v>9</v>
      </c>
      <c r="AL1048" t="n">
        <v>0</v>
      </c>
      <c r="AM1048" t="n">
        <v>0</v>
      </c>
      <c r="AN1048" t="n">
        <v>0</v>
      </c>
      <c r="AO1048" t="n">
        <v>0</v>
      </c>
      <c r="AP1048" t="inlineStr">
        <is>
          <t>No</t>
        </is>
      </c>
      <c r="AQ1048" t="inlineStr">
        <is>
          <t>No</t>
        </is>
      </c>
      <c r="AS1048">
        <f>HYPERLINK("https://creighton-primo.hosted.exlibrisgroup.com/primo-explore/search?tab=default_tab&amp;search_scope=EVERYTHING&amp;vid=01CRU&amp;lang=en_US&amp;offset=0&amp;query=any,contains,991000877559702656","Catalog Record")</f>
        <v/>
      </c>
      <c r="AT1048">
        <f>HYPERLINK("http://www.worldcat.org/oclc/13821195","WorldCat Record")</f>
        <v/>
      </c>
      <c r="AU1048" t="inlineStr">
        <is>
          <t>1809168200:eng</t>
        </is>
      </c>
      <c r="AV1048" t="inlineStr">
        <is>
          <t>13821195</t>
        </is>
      </c>
      <c r="AW1048" t="inlineStr">
        <is>
          <t>991000877559702656</t>
        </is>
      </c>
      <c r="AX1048" t="inlineStr">
        <is>
          <t>991000877559702656</t>
        </is>
      </c>
      <c r="AY1048" t="inlineStr">
        <is>
          <t>2266593640002656</t>
        </is>
      </c>
      <c r="AZ1048" t="inlineStr">
        <is>
          <t>BOOK</t>
        </is>
      </c>
      <c r="BB1048" t="inlineStr">
        <is>
          <t>9780814614884</t>
        </is>
      </c>
      <c r="BC1048" t="inlineStr">
        <is>
          <t>32285000669035</t>
        </is>
      </c>
      <c r="BD1048" t="inlineStr">
        <is>
          <t>893865763</t>
        </is>
      </c>
    </row>
    <row r="1049">
      <c r="A1049" t="inlineStr">
        <is>
          <t>No</t>
        </is>
      </c>
      <c r="B1049" t="inlineStr">
        <is>
          <t>BX1970.A1 D57 1993</t>
        </is>
      </c>
      <c r="C1049" t="inlineStr">
        <is>
          <t>0                      BX 1970000A  1                  D  57          1993</t>
        </is>
      </c>
      <c r="D1049" t="inlineStr">
        <is>
          <t>Disciples at the crossroads : perspectives on worship and church leadership / John F. Baldovin ... [et al.] ; Eleanor Bernstein, editor.</t>
        </is>
      </c>
      <c r="F1049" t="inlineStr">
        <is>
          <t>No</t>
        </is>
      </c>
      <c r="G1049" t="inlineStr">
        <is>
          <t>1</t>
        </is>
      </c>
      <c r="H1049" t="inlineStr">
        <is>
          <t>No</t>
        </is>
      </c>
      <c r="I1049" t="inlineStr">
        <is>
          <t>No</t>
        </is>
      </c>
      <c r="J1049" t="inlineStr">
        <is>
          <t>0</t>
        </is>
      </c>
      <c r="L1049" t="inlineStr">
        <is>
          <t>Collegeville, Minn. : Liturgical Press, c1993.</t>
        </is>
      </c>
      <c r="M1049" t="inlineStr">
        <is>
          <t>1993</t>
        </is>
      </c>
      <c r="O1049" t="inlineStr">
        <is>
          <t>eng</t>
        </is>
      </c>
      <c r="P1049" t="inlineStr">
        <is>
          <t>mnu</t>
        </is>
      </c>
      <c r="R1049" t="inlineStr">
        <is>
          <t xml:space="preserve">BX </t>
        </is>
      </c>
      <c r="S1049" t="n">
        <v>1</v>
      </c>
      <c r="T1049" t="n">
        <v>1</v>
      </c>
      <c r="U1049" t="inlineStr">
        <is>
          <t>1997-06-15</t>
        </is>
      </c>
      <c r="V1049" t="inlineStr">
        <is>
          <t>1997-06-15</t>
        </is>
      </c>
      <c r="W1049" t="inlineStr">
        <is>
          <t>1994-06-27</t>
        </is>
      </c>
      <c r="X1049" t="inlineStr">
        <is>
          <t>1994-06-27</t>
        </is>
      </c>
      <c r="Y1049" t="n">
        <v>120</v>
      </c>
      <c r="Z1049" t="n">
        <v>96</v>
      </c>
      <c r="AA1049" t="n">
        <v>96</v>
      </c>
      <c r="AB1049" t="n">
        <v>1</v>
      </c>
      <c r="AC1049" t="n">
        <v>1</v>
      </c>
      <c r="AD1049" t="n">
        <v>13</v>
      </c>
      <c r="AE1049" t="n">
        <v>13</v>
      </c>
      <c r="AF1049" t="n">
        <v>4</v>
      </c>
      <c r="AG1049" t="n">
        <v>4</v>
      </c>
      <c r="AH1049" t="n">
        <v>3</v>
      </c>
      <c r="AI1049" t="n">
        <v>3</v>
      </c>
      <c r="AJ1049" t="n">
        <v>10</v>
      </c>
      <c r="AK1049" t="n">
        <v>10</v>
      </c>
      <c r="AL1049" t="n">
        <v>0</v>
      </c>
      <c r="AM1049" t="n">
        <v>0</v>
      </c>
      <c r="AN1049" t="n">
        <v>0</v>
      </c>
      <c r="AO1049" t="n">
        <v>0</v>
      </c>
      <c r="AP1049" t="inlineStr">
        <is>
          <t>No</t>
        </is>
      </c>
      <c r="AQ1049" t="inlineStr">
        <is>
          <t>No</t>
        </is>
      </c>
      <c r="AS1049">
        <f>HYPERLINK("https://creighton-primo.hosted.exlibrisgroup.com/primo-explore/search?tab=default_tab&amp;search_scope=EVERYTHING&amp;vid=01CRU&amp;lang=en_US&amp;offset=0&amp;query=any,contains,991002150189702656","Catalog Record")</f>
        <v/>
      </c>
      <c r="AT1049">
        <f>HYPERLINK("http://www.worldcat.org/oclc/27725255","WorldCat Record")</f>
        <v/>
      </c>
      <c r="AU1049" t="inlineStr">
        <is>
          <t>354362:eng</t>
        </is>
      </c>
      <c r="AV1049" t="inlineStr">
        <is>
          <t>27725255</t>
        </is>
      </c>
      <c r="AW1049" t="inlineStr">
        <is>
          <t>991002150189702656</t>
        </is>
      </c>
      <c r="AX1049" t="inlineStr">
        <is>
          <t>991002150189702656</t>
        </is>
      </c>
      <c r="AY1049" t="inlineStr">
        <is>
          <t>2267576150002656</t>
        </is>
      </c>
      <c r="AZ1049" t="inlineStr">
        <is>
          <t>BOOK</t>
        </is>
      </c>
      <c r="BB1049" t="inlineStr">
        <is>
          <t>9780814621462</t>
        </is>
      </c>
      <c r="BC1049" t="inlineStr">
        <is>
          <t>32285001924405</t>
        </is>
      </c>
      <c r="BD1049" t="inlineStr">
        <is>
          <t>893785776</t>
        </is>
      </c>
    </row>
    <row r="1050">
      <c r="A1050" t="inlineStr">
        <is>
          <t>No</t>
        </is>
      </c>
      <c r="B1050" t="inlineStr">
        <is>
          <t>BX1971 .A3 1852</t>
        </is>
      </c>
      <c r="C1050" t="inlineStr">
        <is>
          <t>0                      BX 1971000A  3           1852</t>
        </is>
      </c>
      <c r="D1050" t="inlineStr">
        <is>
          <t>Ceremonial for the use of the Catholic churches in the United States of America / published by order of the first Council of Baltimore, with the approbation of the Holy see, to which is prefixed an explanation of the ceremonies, extracted from the works of the Late Right Rev. John England.</t>
        </is>
      </c>
      <c r="F1050" t="inlineStr">
        <is>
          <t>No</t>
        </is>
      </c>
      <c r="G1050" t="inlineStr">
        <is>
          <t>1</t>
        </is>
      </c>
      <c r="H1050" t="inlineStr">
        <is>
          <t>No</t>
        </is>
      </c>
      <c r="I1050" t="inlineStr">
        <is>
          <t>No</t>
        </is>
      </c>
      <c r="J1050" t="inlineStr">
        <is>
          <t>0</t>
        </is>
      </c>
      <c r="K1050" t="inlineStr">
        <is>
          <t>Catholic Church.</t>
        </is>
      </c>
      <c r="L1050" t="inlineStr">
        <is>
          <t>Baltimore : J. Murphy &amp; co., 1852.</t>
        </is>
      </c>
      <c r="M1050" t="inlineStr">
        <is>
          <t>1852</t>
        </is>
      </c>
      <c r="N1050" t="inlineStr">
        <is>
          <t>2d ed., rev.</t>
        </is>
      </c>
      <c r="O1050" t="inlineStr">
        <is>
          <t>eng</t>
        </is>
      </c>
      <c r="P1050" t="inlineStr">
        <is>
          <t>mdu</t>
        </is>
      </c>
      <c r="R1050" t="inlineStr">
        <is>
          <t xml:space="preserve">BX </t>
        </is>
      </c>
      <c r="S1050" t="n">
        <v>3</v>
      </c>
      <c r="T1050" t="n">
        <v>3</v>
      </c>
      <c r="U1050" t="inlineStr">
        <is>
          <t>2008-06-05</t>
        </is>
      </c>
      <c r="V1050" t="inlineStr">
        <is>
          <t>2008-06-05</t>
        </is>
      </c>
      <c r="W1050" t="inlineStr">
        <is>
          <t>1990-02-08</t>
        </is>
      </c>
      <c r="X1050" t="inlineStr">
        <is>
          <t>1990-02-08</t>
        </is>
      </c>
      <c r="Y1050" t="n">
        <v>32</v>
      </c>
      <c r="Z1050" t="n">
        <v>30</v>
      </c>
      <c r="AA1050" t="n">
        <v>145</v>
      </c>
      <c r="AB1050" t="n">
        <v>1</v>
      </c>
      <c r="AC1050" t="n">
        <v>3</v>
      </c>
      <c r="AD1050" t="n">
        <v>7</v>
      </c>
      <c r="AE1050" t="n">
        <v>14</v>
      </c>
      <c r="AF1050" t="n">
        <v>1</v>
      </c>
      <c r="AG1050" t="n">
        <v>3</v>
      </c>
      <c r="AH1050" t="n">
        <v>3</v>
      </c>
      <c r="AI1050" t="n">
        <v>4</v>
      </c>
      <c r="AJ1050" t="n">
        <v>5</v>
      </c>
      <c r="AK1050" t="n">
        <v>9</v>
      </c>
      <c r="AL1050" t="n">
        <v>0</v>
      </c>
      <c r="AM1050" t="n">
        <v>1</v>
      </c>
      <c r="AN1050" t="n">
        <v>0</v>
      </c>
      <c r="AO1050" t="n">
        <v>0</v>
      </c>
      <c r="AP1050" t="inlineStr">
        <is>
          <t>Yes</t>
        </is>
      </c>
      <c r="AQ1050" t="inlineStr">
        <is>
          <t>No</t>
        </is>
      </c>
      <c r="AR1050">
        <f>HYPERLINK("http://catalog.hathitrust.org/Record/011257767","HathiTrust Record")</f>
        <v/>
      </c>
      <c r="AS1050">
        <f>HYPERLINK("https://creighton-primo.hosted.exlibrisgroup.com/primo-explore/search?tab=default_tab&amp;search_scope=EVERYTHING&amp;vid=01CRU&amp;lang=en_US&amp;offset=0&amp;query=any,contains,991004575779702656","Catalog Record")</f>
        <v/>
      </c>
      <c r="AT1050">
        <f>HYPERLINK("http://www.worldcat.org/oclc/4037920","WorldCat Record")</f>
        <v/>
      </c>
      <c r="AU1050" t="inlineStr">
        <is>
          <t>3819613:eng</t>
        </is>
      </c>
      <c r="AV1050" t="inlineStr">
        <is>
          <t>4037920</t>
        </is>
      </c>
      <c r="AW1050" t="inlineStr">
        <is>
          <t>991004575779702656</t>
        </is>
      </c>
      <c r="AX1050" t="inlineStr">
        <is>
          <t>991004575779702656</t>
        </is>
      </c>
      <c r="AY1050" t="inlineStr">
        <is>
          <t>2268880220002656</t>
        </is>
      </c>
      <c r="AZ1050" t="inlineStr">
        <is>
          <t>BOOK</t>
        </is>
      </c>
      <c r="BC1050" t="inlineStr">
        <is>
          <t>32285000040633</t>
        </is>
      </c>
      <c r="BD1050" t="inlineStr">
        <is>
          <t>893628236</t>
        </is>
      </c>
    </row>
    <row r="1051">
      <c r="A1051" t="inlineStr">
        <is>
          <t>No</t>
        </is>
      </c>
      <c r="B1051" t="inlineStr">
        <is>
          <t>BX1971 .F7 1918</t>
        </is>
      </c>
      <c r="C1051" t="inlineStr">
        <is>
          <t>0                      BX 1971000F  7           1918</t>
        </is>
      </c>
      <c r="D1051" t="inlineStr">
        <is>
          <t>The ceremonies of the Roman rite / described by Adrian Fortescue, in accordance with the rubrics of liturgical books, the decrees of the congregation of sacred rites, the code of canon law, and approved authors...with plans and diagrams by the author and with a preface by His Eminence Cardinal Bourne.</t>
        </is>
      </c>
      <c r="F1051" t="inlineStr">
        <is>
          <t>No</t>
        </is>
      </c>
      <c r="G1051" t="inlineStr">
        <is>
          <t>1</t>
        </is>
      </c>
      <c r="H1051" t="inlineStr">
        <is>
          <t>No</t>
        </is>
      </c>
      <c r="I1051" t="inlineStr">
        <is>
          <t>No</t>
        </is>
      </c>
      <c r="J1051" t="inlineStr">
        <is>
          <t>0</t>
        </is>
      </c>
      <c r="K1051" t="inlineStr">
        <is>
          <t>Fortescue, Adrian, 1874-1923.</t>
        </is>
      </c>
      <c r="L1051" t="inlineStr">
        <is>
          <t>London : Burns &amp; Oates , 1918.</t>
        </is>
      </c>
      <c r="M1051" t="inlineStr">
        <is>
          <t>1918</t>
        </is>
      </c>
      <c r="O1051" t="inlineStr">
        <is>
          <t>eng</t>
        </is>
      </c>
      <c r="P1051" t="inlineStr">
        <is>
          <t>enk</t>
        </is>
      </c>
      <c r="R1051" t="inlineStr">
        <is>
          <t xml:space="preserve">BX </t>
        </is>
      </c>
      <c r="S1051" t="n">
        <v>4</v>
      </c>
      <c r="T1051" t="n">
        <v>4</v>
      </c>
      <c r="U1051" t="inlineStr">
        <is>
          <t>2010-06-21</t>
        </is>
      </c>
      <c r="V1051" t="inlineStr">
        <is>
          <t>2010-06-21</t>
        </is>
      </c>
      <c r="W1051" t="inlineStr">
        <is>
          <t>1991-09-12</t>
        </is>
      </c>
      <c r="X1051" t="inlineStr">
        <is>
          <t>1991-09-12</t>
        </is>
      </c>
      <c r="Y1051" t="n">
        <v>59</v>
      </c>
      <c r="Z1051" t="n">
        <v>32</v>
      </c>
      <c r="AA1051" t="n">
        <v>966</v>
      </c>
      <c r="AB1051" t="n">
        <v>1</v>
      </c>
      <c r="AC1051" t="n">
        <v>13</v>
      </c>
      <c r="AD1051" t="n">
        <v>3</v>
      </c>
      <c r="AE1051" t="n">
        <v>48</v>
      </c>
      <c r="AF1051" t="n">
        <v>0</v>
      </c>
      <c r="AG1051" t="n">
        <v>16</v>
      </c>
      <c r="AH1051" t="n">
        <v>2</v>
      </c>
      <c r="AI1051" t="n">
        <v>8</v>
      </c>
      <c r="AJ1051" t="n">
        <v>1</v>
      </c>
      <c r="AK1051" t="n">
        <v>24</v>
      </c>
      <c r="AL1051" t="n">
        <v>0</v>
      </c>
      <c r="AM1051" t="n">
        <v>10</v>
      </c>
      <c r="AN1051" t="n">
        <v>0</v>
      </c>
      <c r="AO1051" t="n">
        <v>1</v>
      </c>
      <c r="AP1051" t="inlineStr">
        <is>
          <t>Yes</t>
        </is>
      </c>
      <c r="AQ1051" t="inlineStr">
        <is>
          <t>No</t>
        </is>
      </c>
      <c r="AR1051">
        <f>HYPERLINK("http://catalog.hathitrust.org/Record/001416791","HathiTrust Record")</f>
        <v/>
      </c>
      <c r="AS1051">
        <f>HYPERLINK("https://creighton-primo.hosted.exlibrisgroup.com/primo-explore/search?tab=default_tab&amp;search_scope=EVERYTHING&amp;vid=01CRU&amp;lang=en_US&amp;offset=0&amp;query=any,contains,991004692509702656","Catalog Record")</f>
        <v/>
      </c>
      <c r="AT1051">
        <f>HYPERLINK("http://www.worldcat.org/oclc/4625790","WorldCat Record")</f>
        <v/>
      </c>
      <c r="AU1051" t="inlineStr">
        <is>
          <t>739732:eng</t>
        </is>
      </c>
      <c r="AV1051" t="inlineStr">
        <is>
          <t>4625790</t>
        </is>
      </c>
      <c r="AW1051" t="inlineStr">
        <is>
          <t>991004692509702656</t>
        </is>
      </c>
      <c r="AX1051" t="inlineStr">
        <is>
          <t>991004692509702656</t>
        </is>
      </c>
      <c r="AY1051" t="inlineStr">
        <is>
          <t>2254754050002656</t>
        </is>
      </c>
      <c r="AZ1051" t="inlineStr">
        <is>
          <t>BOOK</t>
        </is>
      </c>
      <c r="BC1051" t="inlineStr">
        <is>
          <t>32285000742352</t>
        </is>
      </c>
      <c r="BD1051" t="inlineStr">
        <is>
          <t>893338021</t>
        </is>
      </c>
    </row>
    <row r="1052">
      <c r="A1052" t="inlineStr">
        <is>
          <t>No</t>
        </is>
      </c>
      <c r="B1052" t="inlineStr">
        <is>
          <t>BX1971 .M3 1961</t>
        </is>
      </c>
      <c r="C1052" t="inlineStr">
        <is>
          <t>0                      BX 1971000M  3           1961</t>
        </is>
      </c>
      <c r="D1052" t="inlineStr">
        <is>
          <t>Handbook for the new rubrics / by Frederick R. McManus.</t>
        </is>
      </c>
      <c r="F1052" t="inlineStr">
        <is>
          <t>No</t>
        </is>
      </c>
      <c r="G1052" t="inlineStr">
        <is>
          <t>1</t>
        </is>
      </c>
      <c r="H1052" t="inlineStr">
        <is>
          <t>No</t>
        </is>
      </c>
      <c r="I1052" t="inlineStr">
        <is>
          <t>No</t>
        </is>
      </c>
      <c r="J1052" t="inlineStr">
        <is>
          <t>0</t>
        </is>
      </c>
      <c r="K1052" t="inlineStr">
        <is>
          <t>McManus, Frederick R. (Frederick Richard), 1923-2005.</t>
        </is>
      </c>
      <c r="L1052" t="inlineStr">
        <is>
          <t>Baltimore : Helicon Press, c1961.</t>
        </is>
      </c>
      <c r="M1052" t="inlineStr">
        <is>
          <t>1961</t>
        </is>
      </c>
      <c r="O1052" t="inlineStr">
        <is>
          <t>eng</t>
        </is>
      </c>
      <c r="P1052" t="inlineStr">
        <is>
          <t xml:space="preserve">xx </t>
        </is>
      </c>
      <c r="R1052" t="inlineStr">
        <is>
          <t xml:space="preserve">BX </t>
        </is>
      </c>
      <c r="S1052" t="n">
        <v>2</v>
      </c>
      <c r="T1052" t="n">
        <v>2</v>
      </c>
      <c r="U1052" t="inlineStr">
        <is>
          <t>1996-02-05</t>
        </is>
      </c>
      <c r="V1052" t="inlineStr">
        <is>
          <t>1996-02-05</t>
        </is>
      </c>
      <c r="W1052" t="inlineStr">
        <is>
          <t>1991-09-12</t>
        </is>
      </c>
      <c r="X1052" t="inlineStr">
        <is>
          <t>1991-09-12</t>
        </is>
      </c>
      <c r="Y1052" t="n">
        <v>134</v>
      </c>
      <c r="Z1052" t="n">
        <v>119</v>
      </c>
      <c r="AA1052" t="n">
        <v>121</v>
      </c>
      <c r="AB1052" t="n">
        <v>2</v>
      </c>
      <c r="AC1052" t="n">
        <v>2</v>
      </c>
      <c r="AD1052" t="n">
        <v>19</v>
      </c>
      <c r="AE1052" t="n">
        <v>19</v>
      </c>
      <c r="AF1052" t="n">
        <v>4</v>
      </c>
      <c r="AG1052" t="n">
        <v>4</v>
      </c>
      <c r="AH1052" t="n">
        <v>5</v>
      </c>
      <c r="AI1052" t="n">
        <v>5</v>
      </c>
      <c r="AJ1052" t="n">
        <v>14</v>
      </c>
      <c r="AK1052" t="n">
        <v>14</v>
      </c>
      <c r="AL1052" t="n">
        <v>0</v>
      </c>
      <c r="AM1052" t="n">
        <v>0</v>
      </c>
      <c r="AN1052" t="n">
        <v>0</v>
      </c>
      <c r="AO1052" t="n">
        <v>0</v>
      </c>
      <c r="AP1052" t="inlineStr">
        <is>
          <t>No</t>
        </is>
      </c>
      <c r="AQ1052" t="inlineStr">
        <is>
          <t>No</t>
        </is>
      </c>
      <c r="AS1052">
        <f>HYPERLINK("https://creighton-primo.hosted.exlibrisgroup.com/primo-explore/search?tab=default_tab&amp;search_scope=EVERYTHING&amp;vid=01CRU&amp;lang=en_US&amp;offset=0&amp;query=any,contains,991003954839702656","Catalog Record")</f>
        <v/>
      </c>
      <c r="AT1052">
        <f>HYPERLINK("http://www.worldcat.org/oclc/1962408","WorldCat Record")</f>
        <v/>
      </c>
      <c r="AU1052" t="inlineStr">
        <is>
          <t>375421428:eng</t>
        </is>
      </c>
      <c r="AV1052" t="inlineStr">
        <is>
          <t>1962408</t>
        </is>
      </c>
      <c r="AW1052" t="inlineStr">
        <is>
          <t>991003954839702656</t>
        </is>
      </c>
      <c r="AX1052" t="inlineStr">
        <is>
          <t>991003954839702656</t>
        </is>
      </c>
      <c r="AY1052" t="inlineStr">
        <is>
          <t>2267686020002656</t>
        </is>
      </c>
      <c r="AZ1052" t="inlineStr">
        <is>
          <t>BOOK</t>
        </is>
      </c>
      <c r="BC1052" t="inlineStr">
        <is>
          <t>32285000742378</t>
        </is>
      </c>
      <c r="BD1052" t="inlineStr">
        <is>
          <t>893800405</t>
        </is>
      </c>
    </row>
    <row r="1053">
      <c r="A1053" t="inlineStr">
        <is>
          <t>No</t>
        </is>
      </c>
      <c r="B1053" t="inlineStr">
        <is>
          <t>BX1973 .V63 1966</t>
        </is>
      </c>
      <c r="C1053" t="inlineStr">
        <is>
          <t>0                      BX 1973000V  63          1966</t>
        </is>
      </c>
      <c r="D1053" t="inlineStr">
        <is>
          <t>Introduction aux sources de l'histoire du culte chrétien au Moyen Age / Cyrille Vogel.</t>
        </is>
      </c>
      <c r="F1053" t="inlineStr">
        <is>
          <t>No</t>
        </is>
      </c>
      <c r="G1053" t="inlineStr">
        <is>
          <t>1</t>
        </is>
      </c>
      <c r="H1053" t="inlineStr">
        <is>
          <t>No</t>
        </is>
      </c>
      <c r="I1053" t="inlineStr">
        <is>
          <t>No</t>
        </is>
      </c>
      <c r="J1053" t="inlineStr">
        <is>
          <t>0</t>
        </is>
      </c>
      <c r="K1053" t="inlineStr">
        <is>
          <t>Vogel, Cyrille.</t>
        </is>
      </c>
      <c r="L1053" t="inlineStr">
        <is>
          <t>Spoleto : Centro italiano di studi sull'alto Medioevo, [1966?]</t>
        </is>
      </c>
      <c r="M1053" t="inlineStr">
        <is>
          <t>1966</t>
        </is>
      </c>
      <c r="O1053" t="inlineStr">
        <is>
          <t>fre</t>
        </is>
      </c>
      <c r="P1053" t="inlineStr">
        <is>
          <t>___</t>
        </is>
      </c>
      <c r="Q1053" t="inlineStr">
        <is>
          <t>Biblioteca degli "Studi medievali" ; 1</t>
        </is>
      </c>
      <c r="R1053" t="inlineStr">
        <is>
          <t xml:space="preserve">BX </t>
        </is>
      </c>
      <c r="S1053" t="n">
        <v>1</v>
      </c>
      <c r="T1053" t="n">
        <v>1</v>
      </c>
      <c r="U1053" t="inlineStr">
        <is>
          <t>2008-07-10</t>
        </is>
      </c>
      <c r="V1053" t="inlineStr">
        <is>
          <t>2008-07-10</t>
        </is>
      </c>
      <c r="W1053" t="inlineStr">
        <is>
          <t>1991-09-12</t>
        </is>
      </c>
      <c r="X1053" t="inlineStr">
        <is>
          <t>1991-09-12</t>
        </is>
      </c>
      <c r="Y1053" t="n">
        <v>154</v>
      </c>
      <c r="Z1053" t="n">
        <v>89</v>
      </c>
      <c r="AA1053" t="n">
        <v>134</v>
      </c>
      <c r="AB1053" t="n">
        <v>1</v>
      </c>
      <c r="AC1053" t="n">
        <v>1</v>
      </c>
      <c r="AD1053" t="n">
        <v>10</v>
      </c>
      <c r="AE1053" t="n">
        <v>13</v>
      </c>
      <c r="AF1053" t="n">
        <v>1</v>
      </c>
      <c r="AG1053" t="n">
        <v>1</v>
      </c>
      <c r="AH1053" t="n">
        <v>5</v>
      </c>
      <c r="AI1053" t="n">
        <v>6</v>
      </c>
      <c r="AJ1053" t="n">
        <v>6</v>
      </c>
      <c r="AK1053" t="n">
        <v>9</v>
      </c>
      <c r="AL1053" t="n">
        <v>0</v>
      </c>
      <c r="AM1053" t="n">
        <v>0</v>
      </c>
      <c r="AN1053" t="n">
        <v>0</v>
      </c>
      <c r="AO1053" t="n">
        <v>0</v>
      </c>
      <c r="AP1053" t="inlineStr">
        <is>
          <t>No</t>
        </is>
      </c>
      <c r="AQ1053" t="inlineStr">
        <is>
          <t>No</t>
        </is>
      </c>
      <c r="AS1053">
        <f>HYPERLINK("https://creighton-primo.hosted.exlibrisgroup.com/primo-explore/search?tab=default_tab&amp;search_scope=EVERYTHING&amp;vid=01CRU&amp;lang=en_US&amp;offset=0&amp;query=any,contains,991003193959702656","Catalog Record")</f>
        <v/>
      </c>
      <c r="AT1053">
        <f>HYPERLINK("http://www.worldcat.org/oclc/718707","WorldCat Record")</f>
        <v/>
      </c>
      <c r="AU1053" t="inlineStr">
        <is>
          <t>1695437:fre</t>
        </is>
      </c>
      <c r="AV1053" t="inlineStr">
        <is>
          <t>718707</t>
        </is>
      </c>
      <c r="AW1053" t="inlineStr">
        <is>
          <t>991003193959702656</t>
        </is>
      </c>
      <c r="AX1053" t="inlineStr">
        <is>
          <t>991003193959702656</t>
        </is>
      </c>
      <c r="AY1053" t="inlineStr">
        <is>
          <t>2256293390002656</t>
        </is>
      </c>
      <c r="AZ1053" t="inlineStr">
        <is>
          <t>BOOK</t>
        </is>
      </c>
      <c r="BC1053" t="inlineStr">
        <is>
          <t>32285000742410</t>
        </is>
      </c>
      <c r="BD1053" t="inlineStr">
        <is>
          <t>893623240</t>
        </is>
      </c>
    </row>
    <row r="1054">
      <c r="A1054" t="inlineStr">
        <is>
          <t>No</t>
        </is>
      </c>
      <c r="B1054" t="inlineStr">
        <is>
          <t>BX1973 .V64 1986</t>
        </is>
      </c>
      <c r="C1054" t="inlineStr">
        <is>
          <t>0                      BX 1973000V  64          1986</t>
        </is>
      </c>
      <c r="D1054" t="inlineStr">
        <is>
          <t>Medieval liturgy : an introduction to the sources / by Cyrille Vogel ; rev. and translated by William G. Storey and Niels Krogh Rasmussen ; with the assistance of John K. Brooks-Leonard.</t>
        </is>
      </c>
      <c r="F1054" t="inlineStr">
        <is>
          <t>No</t>
        </is>
      </c>
      <c r="G1054" t="inlineStr">
        <is>
          <t>1</t>
        </is>
      </c>
      <c r="H1054" t="inlineStr">
        <is>
          <t>No</t>
        </is>
      </c>
      <c r="I1054" t="inlineStr">
        <is>
          <t>No</t>
        </is>
      </c>
      <c r="J1054" t="inlineStr">
        <is>
          <t>0</t>
        </is>
      </c>
      <c r="K1054" t="inlineStr">
        <is>
          <t>Vogel, Cyrille.</t>
        </is>
      </c>
      <c r="L1054" t="inlineStr">
        <is>
          <t>Washington, D.C. : Pastoral Press, c1986.</t>
        </is>
      </c>
      <c r="M1054" t="inlineStr">
        <is>
          <t>1986</t>
        </is>
      </c>
      <c r="O1054" t="inlineStr">
        <is>
          <t>eng</t>
        </is>
      </c>
      <c r="P1054" t="inlineStr">
        <is>
          <t>dcu</t>
        </is>
      </c>
      <c r="R1054" t="inlineStr">
        <is>
          <t xml:space="preserve">BX </t>
        </is>
      </c>
      <c r="S1054" t="n">
        <v>6</v>
      </c>
      <c r="T1054" t="n">
        <v>6</v>
      </c>
      <c r="U1054" t="inlineStr">
        <is>
          <t>2005-02-24</t>
        </is>
      </c>
      <c r="V1054" t="inlineStr">
        <is>
          <t>2005-02-24</t>
        </is>
      </c>
      <c r="W1054" t="inlineStr">
        <is>
          <t>1991-09-12</t>
        </is>
      </c>
      <c r="X1054" t="inlineStr">
        <is>
          <t>1991-09-12</t>
        </is>
      </c>
      <c r="Y1054" t="n">
        <v>376</v>
      </c>
      <c r="Z1054" t="n">
        <v>280</v>
      </c>
      <c r="AA1054" t="n">
        <v>283</v>
      </c>
      <c r="AB1054" t="n">
        <v>2</v>
      </c>
      <c r="AC1054" t="n">
        <v>2</v>
      </c>
      <c r="AD1054" t="n">
        <v>27</v>
      </c>
      <c r="AE1054" t="n">
        <v>27</v>
      </c>
      <c r="AF1054" t="n">
        <v>11</v>
      </c>
      <c r="AG1054" t="n">
        <v>11</v>
      </c>
      <c r="AH1054" t="n">
        <v>5</v>
      </c>
      <c r="AI1054" t="n">
        <v>5</v>
      </c>
      <c r="AJ1054" t="n">
        <v>17</v>
      </c>
      <c r="AK1054" t="n">
        <v>17</v>
      </c>
      <c r="AL1054" t="n">
        <v>1</v>
      </c>
      <c r="AM1054" t="n">
        <v>1</v>
      </c>
      <c r="AN1054" t="n">
        <v>0</v>
      </c>
      <c r="AO1054" t="n">
        <v>0</v>
      </c>
      <c r="AP1054" t="inlineStr">
        <is>
          <t>No</t>
        </is>
      </c>
      <c r="AQ1054" t="inlineStr">
        <is>
          <t>Yes</t>
        </is>
      </c>
      <c r="AR1054">
        <f>HYPERLINK("http://catalog.hathitrust.org/Record/002797202","HathiTrust Record")</f>
        <v/>
      </c>
      <c r="AS1054">
        <f>HYPERLINK("https://creighton-primo.hosted.exlibrisgroup.com/primo-explore/search?tab=default_tab&amp;search_scope=EVERYTHING&amp;vid=01CRU&amp;lang=en_US&amp;offset=0&amp;query=any,contains,991000998839702656","Catalog Record")</f>
        <v/>
      </c>
      <c r="AT1054">
        <f>HYPERLINK("http://www.worldcat.org/oclc/15189038","WorldCat Record")</f>
        <v/>
      </c>
      <c r="AU1054" t="inlineStr">
        <is>
          <t>1695437:eng</t>
        </is>
      </c>
      <c r="AV1054" t="inlineStr">
        <is>
          <t>15189038</t>
        </is>
      </c>
      <c r="AW1054" t="inlineStr">
        <is>
          <t>991000998839702656</t>
        </is>
      </c>
      <c r="AX1054" t="inlineStr">
        <is>
          <t>991000998839702656</t>
        </is>
      </c>
      <c r="AY1054" t="inlineStr">
        <is>
          <t>2260213030002656</t>
        </is>
      </c>
      <c r="AZ1054" t="inlineStr">
        <is>
          <t>BOOK</t>
        </is>
      </c>
      <c r="BB1054" t="inlineStr">
        <is>
          <t>9780912405100</t>
        </is>
      </c>
      <c r="BC1054" t="inlineStr">
        <is>
          <t>32285000742428</t>
        </is>
      </c>
      <c r="BD1054" t="inlineStr">
        <is>
          <t>893620994</t>
        </is>
      </c>
    </row>
    <row r="1055">
      <c r="A1055" t="inlineStr">
        <is>
          <t>No</t>
        </is>
      </c>
      <c r="B1055" t="inlineStr">
        <is>
          <t>BX1975 .C3 1987</t>
        </is>
      </c>
      <c r="C1055" t="inlineStr">
        <is>
          <t>0                      BX 1975000C  3           1987</t>
        </is>
      </c>
      <c r="D1055" t="inlineStr">
        <is>
          <t>Thirty years of liturgical renewal : statements of the Bishops' Committee on the Liturgy / Secretariat, Bishops' Committee on the Liturgy, National Conference of Catholic Bishops ; edited with an introd. and commentaries by Frederick R. McManus.</t>
        </is>
      </c>
      <c r="F1055" t="inlineStr">
        <is>
          <t>No</t>
        </is>
      </c>
      <c r="G1055" t="inlineStr">
        <is>
          <t>1</t>
        </is>
      </c>
      <c r="H1055" t="inlineStr">
        <is>
          <t>No</t>
        </is>
      </c>
      <c r="I1055" t="inlineStr">
        <is>
          <t>No</t>
        </is>
      </c>
      <c r="J1055" t="inlineStr">
        <is>
          <t>0</t>
        </is>
      </c>
      <c r="K1055" t="inlineStr">
        <is>
          <t>Catholic Church. National Conference of Catholic Bishops. Bishops' Committee on the Liturgy. Secretariat.</t>
        </is>
      </c>
      <c r="L1055" t="inlineStr">
        <is>
          <t>Washington, D.C. : United States Catholic Conference, c1987.</t>
        </is>
      </c>
      <c r="M1055" t="inlineStr">
        <is>
          <t>1987</t>
        </is>
      </c>
      <c r="O1055" t="inlineStr">
        <is>
          <t>eng</t>
        </is>
      </c>
      <c r="P1055" t="inlineStr">
        <is>
          <t>dcu</t>
        </is>
      </c>
      <c r="Q1055" t="inlineStr">
        <is>
          <t>Publication / Office of Publishing and Promotion Services, United States Catholic Conference ; no. 154-7</t>
        </is>
      </c>
      <c r="R1055" t="inlineStr">
        <is>
          <t xml:space="preserve">BX </t>
        </is>
      </c>
      <c r="S1055" t="n">
        <v>8</v>
      </c>
      <c r="T1055" t="n">
        <v>8</v>
      </c>
      <c r="U1055" t="inlineStr">
        <is>
          <t>2008-03-10</t>
        </is>
      </c>
      <c r="V1055" t="inlineStr">
        <is>
          <t>2008-03-10</t>
        </is>
      </c>
      <c r="W1055" t="inlineStr">
        <is>
          <t>1990-05-24</t>
        </is>
      </c>
      <c r="X1055" t="inlineStr">
        <is>
          <t>1990-05-24</t>
        </is>
      </c>
      <c r="Y1055" t="n">
        <v>66</v>
      </c>
      <c r="Z1055" t="n">
        <v>64</v>
      </c>
      <c r="AA1055" t="n">
        <v>176</v>
      </c>
      <c r="AB1055" t="n">
        <v>1</v>
      </c>
      <c r="AC1055" t="n">
        <v>3</v>
      </c>
      <c r="AD1055" t="n">
        <v>10</v>
      </c>
      <c r="AE1055" t="n">
        <v>22</v>
      </c>
      <c r="AF1055" t="n">
        <v>2</v>
      </c>
      <c r="AG1055" t="n">
        <v>5</v>
      </c>
      <c r="AH1055" t="n">
        <v>2</v>
      </c>
      <c r="AI1055" t="n">
        <v>6</v>
      </c>
      <c r="AJ1055" t="n">
        <v>7</v>
      </c>
      <c r="AK1055" t="n">
        <v>17</v>
      </c>
      <c r="AL1055" t="n">
        <v>0</v>
      </c>
      <c r="AM1055" t="n">
        <v>0</v>
      </c>
      <c r="AN1055" t="n">
        <v>0</v>
      </c>
      <c r="AO1055" t="n">
        <v>0</v>
      </c>
      <c r="AP1055" t="inlineStr">
        <is>
          <t>No</t>
        </is>
      </c>
      <c r="AQ1055" t="inlineStr">
        <is>
          <t>No</t>
        </is>
      </c>
      <c r="AS1055">
        <f>HYPERLINK("https://creighton-primo.hosted.exlibrisgroup.com/primo-explore/search?tab=default_tab&amp;search_scope=EVERYTHING&amp;vid=01CRU&amp;lang=en_US&amp;offset=0&amp;query=any,contains,991001221329702656","Catalog Record")</f>
        <v/>
      </c>
      <c r="AT1055">
        <f>HYPERLINK("http://www.worldcat.org/oclc/17472662","WorldCat Record")</f>
        <v/>
      </c>
      <c r="AU1055" t="inlineStr">
        <is>
          <t>16559743:eng</t>
        </is>
      </c>
      <c r="AV1055" t="inlineStr">
        <is>
          <t>17472662</t>
        </is>
      </c>
      <c r="AW1055" t="inlineStr">
        <is>
          <t>991001221329702656</t>
        </is>
      </c>
      <c r="AX1055" t="inlineStr">
        <is>
          <t>991001221329702656</t>
        </is>
      </c>
      <c r="AY1055" t="inlineStr">
        <is>
          <t>2259405400002656</t>
        </is>
      </c>
      <c r="AZ1055" t="inlineStr">
        <is>
          <t>BOOK</t>
        </is>
      </c>
      <c r="BB1055" t="inlineStr">
        <is>
          <t>9781555861544</t>
        </is>
      </c>
      <c r="BC1055" t="inlineStr">
        <is>
          <t>32285000164664</t>
        </is>
      </c>
      <c r="BD1055" t="inlineStr">
        <is>
          <t>893590123</t>
        </is>
      </c>
    </row>
    <row r="1056">
      <c r="A1056" t="inlineStr">
        <is>
          <t>No</t>
        </is>
      </c>
      <c r="B1056" t="inlineStr">
        <is>
          <t>BX1975 .K553 1963</t>
        </is>
      </c>
      <c r="C1056" t="inlineStr">
        <is>
          <t>0                      BX 1975000K  553         1963</t>
        </is>
      </c>
      <c r="D1056" t="inlineStr">
        <is>
          <t>The Western liturgy to-day / Theodor Klauser. Translated by F. L. Cross.</t>
        </is>
      </c>
      <c r="F1056" t="inlineStr">
        <is>
          <t>No</t>
        </is>
      </c>
      <c r="G1056" t="inlineStr">
        <is>
          <t>1</t>
        </is>
      </c>
      <c r="H1056" t="inlineStr">
        <is>
          <t>No</t>
        </is>
      </c>
      <c r="I1056" t="inlineStr">
        <is>
          <t>No</t>
        </is>
      </c>
      <c r="J1056" t="inlineStr">
        <is>
          <t>0</t>
        </is>
      </c>
      <c r="K1056" t="inlineStr">
        <is>
          <t>Klauser, Theodor, 1894-1984.</t>
        </is>
      </c>
      <c r="L1056" t="inlineStr">
        <is>
          <t>London : Mowbray, [c1963]</t>
        </is>
      </c>
      <c r="M1056" t="inlineStr">
        <is>
          <t>1963</t>
        </is>
      </c>
      <c r="O1056" t="inlineStr">
        <is>
          <t>eng</t>
        </is>
      </c>
      <c r="P1056" t="inlineStr">
        <is>
          <t xml:space="preserve">xx </t>
        </is>
      </c>
      <c r="Q1056" t="inlineStr">
        <is>
          <t>Contemporary studies in theology ; 8</t>
        </is>
      </c>
      <c r="R1056" t="inlineStr">
        <is>
          <t xml:space="preserve">BX </t>
        </is>
      </c>
      <c r="S1056" t="n">
        <v>2</v>
      </c>
      <c r="T1056" t="n">
        <v>2</v>
      </c>
      <c r="U1056" t="inlineStr">
        <is>
          <t>2004-12-13</t>
        </is>
      </c>
      <c r="V1056" t="inlineStr">
        <is>
          <t>2004-12-13</t>
        </is>
      </c>
      <c r="W1056" t="inlineStr">
        <is>
          <t>1991-09-12</t>
        </is>
      </c>
      <c r="X1056" t="inlineStr">
        <is>
          <t>1991-09-12</t>
        </is>
      </c>
      <c r="Y1056" t="n">
        <v>67</v>
      </c>
      <c r="Z1056" t="n">
        <v>43</v>
      </c>
      <c r="AA1056" t="n">
        <v>70</v>
      </c>
      <c r="AB1056" t="n">
        <v>1</v>
      </c>
      <c r="AC1056" t="n">
        <v>1</v>
      </c>
      <c r="AD1056" t="n">
        <v>2</v>
      </c>
      <c r="AE1056" t="n">
        <v>4</v>
      </c>
      <c r="AF1056" t="n">
        <v>0</v>
      </c>
      <c r="AG1056" t="n">
        <v>0</v>
      </c>
      <c r="AH1056" t="n">
        <v>1</v>
      </c>
      <c r="AI1056" t="n">
        <v>1</v>
      </c>
      <c r="AJ1056" t="n">
        <v>1</v>
      </c>
      <c r="AK1056" t="n">
        <v>3</v>
      </c>
      <c r="AL1056" t="n">
        <v>0</v>
      </c>
      <c r="AM1056" t="n">
        <v>0</v>
      </c>
      <c r="AN1056" t="n">
        <v>0</v>
      </c>
      <c r="AO1056" t="n">
        <v>0</v>
      </c>
      <c r="AP1056" t="inlineStr">
        <is>
          <t>No</t>
        </is>
      </c>
      <c r="AQ1056" t="inlineStr">
        <is>
          <t>No</t>
        </is>
      </c>
      <c r="AS1056">
        <f>HYPERLINK("https://creighton-primo.hosted.exlibrisgroup.com/primo-explore/search?tab=default_tab&amp;search_scope=EVERYTHING&amp;vid=01CRU&amp;lang=en_US&amp;offset=0&amp;query=any,contains,991003617069702656","Catalog Record")</f>
        <v/>
      </c>
      <c r="AT1056">
        <f>HYPERLINK("http://www.worldcat.org/oclc/1202121","WorldCat Record")</f>
        <v/>
      </c>
      <c r="AU1056" t="inlineStr">
        <is>
          <t>4757650737:eng</t>
        </is>
      </c>
      <c r="AV1056" t="inlineStr">
        <is>
          <t>1202121</t>
        </is>
      </c>
      <c r="AW1056" t="inlineStr">
        <is>
          <t>991003617069702656</t>
        </is>
      </c>
      <c r="AX1056" t="inlineStr">
        <is>
          <t>991003617069702656</t>
        </is>
      </c>
      <c r="AY1056" t="inlineStr">
        <is>
          <t>2271196030002656</t>
        </is>
      </c>
      <c r="AZ1056" t="inlineStr">
        <is>
          <t>BOOK</t>
        </is>
      </c>
      <c r="BC1056" t="inlineStr">
        <is>
          <t>32285000742444</t>
        </is>
      </c>
      <c r="BD1056" t="inlineStr">
        <is>
          <t>893887679</t>
        </is>
      </c>
    </row>
    <row r="1057">
      <c r="A1057" t="inlineStr">
        <is>
          <t>No</t>
        </is>
      </c>
      <c r="B1057" t="inlineStr">
        <is>
          <t>BX1975 .K57 1963</t>
        </is>
      </c>
      <c r="C1057" t="inlineStr">
        <is>
          <t>0                      BX 1975000K  57          1963</t>
        </is>
      </c>
      <c r="D1057" t="inlineStr">
        <is>
          <t>Unto the altar : the practice of Catholic worship / edited by Alfons Kirchgaessner. [Translated by Rosaleen Brennan.</t>
        </is>
      </c>
      <c r="F1057" t="inlineStr">
        <is>
          <t>No</t>
        </is>
      </c>
      <c r="G1057" t="inlineStr">
        <is>
          <t>1</t>
        </is>
      </c>
      <c r="H1057" t="inlineStr">
        <is>
          <t>No</t>
        </is>
      </c>
      <c r="I1057" t="inlineStr">
        <is>
          <t>No</t>
        </is>
      </c>
      <c r="J1057" t="inlineStr">
        <is>
          <t>0</t>
        </is>
      </c>
      <c r="K1057" t="inlineStr">
        <is>
          <t>Kirchgässner, Alfons, 1909- editor.</t>
        </is>
      </c>
      <c r="L1057" t="inlineStr">
        <is>
          <t>New York] : Herder and Herder, [1963]</t>
        </is>
      </c>
      <c r="M1057" t="inlineStr">
        <is>
          <t>1963</t>
        </is>
      </c>
      <c r="O1057" t="inlineStr">
        <is>
          <t>eng</t>
        </is>
      </c>
      <c r="P1057" t="inlineStr">
        <is>
          <t>nyu</t>
        </is>
      </c>
      <c r="R1057" t="inlineStr">
        <is>
          <t xml:space="preserve">BX </t>
        </is>
      </c>
      <c r="S1057" t="n">
        <v>3</v>
      </c>
      <c r="T1057" t="n">
        <v>3</v>
      </c>
      <c r="U1057" t="inlineStr">
        <is>
          <t>1993-09-25</t>
        </is>
      </c>
      <c r="V1057" t="inlineStr">
        <is>
          <t>1993-09-25</t>
        </is>
      </c>
      <c r="W1057" t="inlineStr">
        <is>
          <t>1991-09-12</t>
        </is>
      </c>
      <c r="X1057" t="inlineStr">
        <is>
          <t>1991-09-12</t>
        </is>
      </c>
      <c r="Y1057" t="n">
        <v>117</v>
      </c>
      <c r="Z1057" t="n">
        <v>110</v>
      </c>
      <c r="AA1057" t="n">
        <v>130</v>
      </c>
      <c r="AB1057" t="n">
        <v>1</v>
      </c>
      <c r="AC1057" t="n">
        <v>2</v>
      </c>
      <c r="AD1057" t="n">
        <v>21</v>
      </c>
      <c r="AE1057" t="n">
        <v>22</v>
      </c>
      <c r="AF1057" t="n">
        <v>5</v>
      </c>
      <c r="AG1057" t="n">
        <v>5</v>
      </c>
      <c r="AH1057" t="n">
        <v>6</v>
      </c>
      <c r="AI1057" t="n">
        <v>7</v>
      </c>
      <c r="AJ1057" t="n">
        <v>17</v>
      </c>
      <c r="AK1057" t="n">
        <v>18</v>
      </c>
      <c r="AL1057" t="n">
        <v>0</v>
      </c>
      <c r="AM1057" t="n">
        <v>0</v>
      </c>
      <c r="AN1057" t="n">
        <v>0</v>
      </c>
      <c r="AO1057" t="n">
        <v>0</v>
      </c>
      <c r="AP1057" t="inlineStr">
        <is>
          <t>No</t>
        </is>
      </c>
      <c r="AQ1057" t="inlineStr">
        <is>
          <t>No</t>
        </is>
      </c>
      <c r="AS1057">
        <f>HYPERLINK("https://creighton-primo.hosted.exlibrisgroup.com/primo-explore/search?tab=default_tab&amp;search_scope=EVERYTHING&amp;vid=01CRU&amp;lang=en_US&amp;offset=0&amp;query=any,contains,991004255199702656","Catalog Record")</f>
        <v/>
      </c>
      <c r="AT1057">
        <f>HYPERLINK("http://www.worldcat.org/oclc/2821448","WorldCat Record")</f>
        <v/>
      </c>
      <c r="AU1057" t="inlineStr">
        <is>
          <t>4671176:eng</t>
        </is>
      </c>
      <c r="AV1057" t="inlineStr">
        <is>
          <t>2821448</t>
        </is>
      </c>
      <c r="AW1057" t="inlineStr">
        <is>
          <t>991004255199702656</t>
        </is>
      </c>
      <c r="AX1057" t="inlineStr">
        <is>
          <t>991004255199702656</t>
        </is>
      </c>
      <c r="AY1057" t="inlineStr">
        <is>
          <t>2263117190002656</t>
        </is>
      </c>
      <c r="AZ1057" t="inlineStr">
        <is>
          <t>BOOK</t>
        </is>
      </c>
      <c r="BC1057" t="inlineStr">
        <is>
          <t>32285000742451</t>
        </is>
      </c>
      <c r="BD1057" t="inlineStr">
        <is>
          <t>893263165</t>
        </is>
      </c>
    </row>
    <row r="1058">
      <c r="A1058" t="inlineStr">
        <is>
          <t>No</t>
        </is>
      </c>
      <c r="B1058" t="inlineStr">
        <is>
          <t>BX1975 .S4</t>
        </is>
      </c>
      <c r="C1058" t="inlineStr">
        <is>
          <t>0                      BX 1975000S  4</t>
        </is>
      </c>
      <c r="D1058" t="inlineStr">
        <is>
          <t>New liturgy, new laws / R. Kevin Seasoltz.</t>
        </is>
      </c>
      <c r="F1058" t="inlineStr">
        <is>
          <t>No</t>
        </is>
      </c>
      <c r="G1058" t="inlineStr">
        <is>
          <t>1</t>
        </is>
      </c>
      <c r="H1058" t="inlineStr">
        <is>
          <t>No</t>
        </is>
      </c>
      <c r="I1058" t="inlineStr">
        <is>
          <t>No</t>
        </is>
      </c>
      <c r="J1058" t="inlineStr">
        <is>
          <t>0</t>
        </is>
      </c>
      <c r="K1058" t="inlineStr">
        <is>
          <t>Seasoltz, R. Kevin.</t>
        </is>
      </c>
      <c r="L1058" t="inlineStr">
        <is>
          <t>Collegeville, Minn. : Liturgical Press, c1980.</t>
        </is>
      </c>
      <c r="M1058" t="inlineStr">
        <is>
          <t>1980</t>
        </is>
      </c>
      <c r="O1058" t="inlineStr">
        <is>
          <t>eng</t>
        </is>
      </c>
      <c r="P1058" t="inlineStr">
        <is>
          <t>mnu</t>
        </is>
      </c>
      <c r="R1058" t="inlineStr">
        <is>
          <t xml:space="preserve">BX </t>
        </is>
      </c>
      <c r="S1058" t="n">
        <v>5</v>
      </c>
      <c r="T1058" t="n">
        <v>5</v>
      </c>
      <c r="U1058" t="inlineStr">
        <is>
          <t>2005-12-03</t>
        </is>
      </c>
      <c r="V1058" t="inlineStr">
        <is>
          <t>2005-12-03</t>
        </is>
      </c>
      <c r="W1058" t="inlineStr">
        <is>
          <t>1991-09-12</t>
        </is>
      </c>
      <c r="X1058" t="inlineStr">
        <is>
          <t>1991-09-12</t>
        </is>
      </c>
      <c r="Y1058" t="n">
        <v>229</v>
      </c>
      <c r="Z1058" t="n">
        <v>177</v>
      </c>
      <c r="AA1058" t="n">
        <v>182</v>
      </c>
      <c r="AB1058" t="n">
        <v>2</v>
      </c>
      <c r="AC1058" t="n">
        <v>2</v>
      </c>
      <c r="AD1058" t="n">
        <v>21</v>
      </c>
      <c r="AE1058" t="n">
        <v>21</v>
      </c>
      <c r="AF1058" t="n">
        <v>6</v>
      </c>
      <c r="AG1058" t="n">
        <v>6</v>
      </c>
      <c r="AH1058" t="n">
        <v>6</v>
      </c>
      <c r="AI1058" t="n">
        <v>6</v>
      </c>
      <c r="AJ1058" t="n">
        <v>15</v>
      </c>
      <c r="AK1058" t="n">
        <v>15</v>
      </c>
      <c r="AL1058" t="n">
        <v>0</v>
      </c>
      <c r="AM1058" t="n">
        <v>0</v>
      </c>
      <c r="AN1058" t="n">
        <v>0</v>
      </c>
      <c r="AO1058" t="n">
        <v>0</v>
      </c>
      <c r="AP1058" t="inlineStr">
        <is>
          <t>No</t>
        </is>
      </c>
      <c r="AQ1058" t="inlineStr">
        <is>
          <t>No</t>
        </is>
      </c>
      <c r="AS1058">
        <f>HYPERLINK("https://creighton-primo.hosted.exlibrisgroup.com/primo-explore/search?tab=default_tab&amp;search_scope=EVERYTHING&amp;vid=01CRU&amp;lang=en_US&amp;offset=0&amp;query=any,contains,991004925419702656","Catalog Record")</f>
        <v/>
      </c>
      <c r="AT1058">
        <f>HYPERLINK("http://www.worldcat.org/oclc/6085547","WorldCat Record")</f>
        <v/>
      </c>
      <c r="AU1058" t="inlineStr">
        <is>
          <t>20993400:eng</t>
        </is>
      </c>
      <c r="AV1058" t="inlineStr">
        <is>
          <t>6085547</t>
        </is>
      </c>
      <c r="AW1058" t="inlineStr">
        <is>
          <t>991004925419702656</t>
        </is>
      </c>
      <c r="AX1058" t="inlineStr">
        <is>
          <t>991004925419702656</t>
        </is>
      </c>
      <c r="AY1058" t="inlineStr">
        <is>
          <t>2261044950002656</t>
        </is>
      </c>
      <c r="AZ1058" t="inlineStr">
        <is>
          <t>BOOK</t>
        </is>
      </c>
      <c r="BB1058" t="inlineStr">
        <is>
          <t>9780814610770</t>
        </is>
      </c>
      <c r="BC1058" t="inlineStr">
        <is>
          <t>32285000742485</t>
        </is>
      </c>
      <c r="BD1058" t="inlineStr">
        <is>
          <t>893795412</t>
        </is>
      </c>
    </row>
    <row r="1059">
      <c r="A1059" t="inlineStr">
        <is>
          <t>No</t>
        </is>
      </c>
      <c r="B1059" t="inlineStr">
        <is>
          <t>BX1977.I8 D58 1995</t>
        </is>
      </c>
      <c r="C1059" t="inlineStr">
        <is>
          <t>0                      BX 1977000I  8                  D  58          1995</t>
        </is>
      </c>
      <c r="D1059" t="inlineStr">
        <is>
          <t>Liturgy, sanctity, and history in Tridentine Italy : Pietro Maria Campi and the preservation of the particular / Simon Ditchfield.</t>
        </is>
      </c>
      <c r="F1059" t="inlineStr">
        <is>
          <t>No</t>
        </is>
      </c>
      <c r="G1059" t="inlineStr">
        <is>
          <t>1</t>
        </is>
      </c>
      <c r="H1059" t="inlineStr">
        <is>
          <t>No</t>
        </is>
      </c>
      <c r="I1059" t="inlineStr">
        <is>
          <t>No</t>
        </is>
      </c>
      <c r="J1059" t="inlineStr">
        <is>
          <t>0</t>
        </is>
      </c>
      <c r="K1059" t="inlineStr">
        <is>
          <t>Ditchfield, Simon.</t>
        </is>
      </c>
      <c r="L1059" t="inlineStr">
        <is>
          <t>Cambridge ; New York, NY : Cambridge University Press, 1995.</t>
        </is>
      </c>
      <c r="M1059" t="inlineStr">
        <is>
          <t>1995</t>
        </is>
      </c>
      <c r="O1059" t="inlineStr">
        <is>
          <t>eng</t>
        </is>
      </c>
      <c r="P1059" t="inlineStr">
        <is>
          <t>enk</t>
        </is>
      </c>
      <c r="Q1059" t="inlineStr">
        <is>
          <t>Cambridge studies in Italian history and culture</t>
        </is>
      </c>
      <c r="R1059" t="inlineStr">
        <is>
          <t xml:space="preserve">BX </t>
        </is>
      </c>
      <c r="S1059" t="n">
        <v>1</v>
      </c>
      <c r="T1059" t="n">
        <v>1</v>
      </c>
      <c r="U1059" t="inlineStr">
        <is>
          <t>2008-01-27</t>
        </is>
      </c>
      <c r="V1059" t="inlineStr">
        <is>
          <t>2008-01-27</t>
        </is>
      </c>
      <c r="W1059" t="inlineStr">
        <is>
          <t>1997-10-21</t>
        </is>
      </c>
      <c r="X1059" t="inlineStr">
        <is>
          <t>1997-10-21</t>
        </is>
      </c>
      <c r="Y1059" t="n">
        <v>257</v>
      </c>
      <c r="Z1059" t="n">
        <v>170</v>
      </c>
      <c r="AA1059" t="n">
        <v>176</v>
      </c>
      <c r="AB1059" t="n">
        <v>1</v>
      </c>
      <c r="AC1059" t="n">
        <v>1</v>
      </c>
      <c r="AD1059" t="n">
        <v>20</v>
      </c>
      <c r="AE1059" t="n">
        <v>21</v>
      </c>
      <c r="AF1059" t="n">
        <v>7</v>
      </c>
      <c r="AG1059" t="n">
        <v>8</v>
      </c>
      <c r="AH1059" t="n">
        <v>7</v>
      </c>
      <c r="AI1059" t="n">
        <v>7</v>
      </c>
      <c r="AJ1059" t="n">
        <v>13</v>
      </c>
      <c r="AK1059" t="n">
        <v>13</v>
      </c>
      <c r="AL1059" t="n">
        <v>0</v>
      </c>
      <c r="AM1059" t="n">
        <v>0</v>
      </c>
      <c r="AN1059" t="n">
        <v>0</v>
      </c>
      <c r="AO1059" t="n">
        <v>0</v>
      </c>
      <c r="AP1059" t="inlineStr">
        <is>
          <t>No</t>
        </is>
      </c>
      <c r="AQ1059" t="inlineStr">
        <is>
          <t>No</t>
        </is>
      </c>
      <c r="AS1059">
        <f>HYPERLINK("https://creighton-primo.hosted.exlibrisgroup.com/primo-explore/search?tab=default_tab&amp;search_scope=EVERYTHING&amp;vid=01CRU&amp;lang=en_US&amp;offset=0&amp;query=any,contains,991002595989702656","Catalog Record")</f>
        <v/>
      </c>
      <c r="AT1059">
        <f>HYPERLINK("http://www.worldcat.org/oclc/33989609","WorldCat Record")</f>
        <v/>
      </c>
      <c r="AU1059" t="inlineStr">
        <is>
          <t>807077247:eng</t>
        </is>
      </c>
      <c r="AV1059" t="inlineStr">
        <is>
          <t>33989609</t>
        </is>
      </c>
      <c r="AW1059" t="inlineStr">
        <is>
          <t>991002595989702656</t>
        </is>
      </c>
      <c r="AX1059" t="inlineStr">
        <is>
          <t>991002595989702656</t>
        </is>
      </c>
      <c r="AY1059" t="inlineStr">
        <is>
          <t>2264819960002656</t>
        </is>
      </c>
      <c r="AZ1059" t="inlineStr">
        <is>
          <t>BOOK</t>
        </is>
      </c>
      <c r="BB1059" t="inlineStr">
        <is>
          <t>9780521462204</t>
        </is>
      </c>
      <c r="BC1059" t="inlineStr">
        <is>
          <t>32285003257184</t>
        </is>
      </c>
      <c r="BD1059" t="inlineStr">
        <is>
          <t>893716653</t>
        </is>
      </c>
    </row>
    <row r="1060">
      <c r="A1060" t="inlineStr">
        <is>
          <t>No</t>
        </is>
      </c>
      <c r="B1060" t="inlineStr">
        <is>
          <t>BX1977.I8 W55 1994</t>
        </is>
      </c>
      <c r="C1060" t="inlineStr">
        <is>
          <t>0                      BX 1977000I  8                  W  55          1994</t>
        </is>
      </c>
      <c r="D1060" t="inlineStr">
        <is>
          <t>A history of early Roman liturgy : to the death of Pope Gregory the Great / G.G. Willis ; with a memoir of G.G. Willis by Michael Moreton.</t>
        </is>
      </c>
      <c r="F1060" t="inlineStr">
        <is>
          <t>No</t>
        </is>
      </c>
      <c r="G1060" t="inlineStr">
        <is>
          <t>1</t>
        </is>
      </c>
      <c r="H1060" t="inlineStr">
        <is>
          <t>No</t>
        </is>
      </c>
      <c r="I1060" t="inlineStr">
        <is>
          <t>No</t>
        </is>
      </c>
      <c r="J1060" t="inlineStr">
        <is>
          <t>0</t>
        </is>
      </c>
      <c r="K1060" t="inlineStr">
        <is>
          <t>Willis, Geoffrey Grimshaw.</t>
        </is>
      </c>
      <c r="L1060" t="inlineStr">
        <is>
          <t>London ; Rochester, N.Y., USA : published for the Henry Bradshaw Society, Boydell Press, 1994.</t>
        </is>
      </c>
      <c r="M1060" t="inlineStr">
        <is>
          <t>1994</t>
        </is>
      </c>
      <c r="O1060" t="inlineStr">
        <is>
          <t>eng</t>
        </is>
      </c>
      <c r="P1060" t="inlineStr">
        <is>
          <t>enk</t>
        </is>
      </c>
      <c r="Q1060" t="inlineStr">
        <is>
          <t>Subsidia, 1352-1047 ; 1</t>
        </is>
      </c>
      <c r="R1060" t="inlineStr">
        <is>
          <t xml:space="preserve">BX </t>
        </is>
      </c>
      <c r="S1060" t="n">
        <v>8</v>
      </c>
      <c r="T1060" t="n">
        <v>8</v>
      </c>
      <c r="U1060" t="inlineStr">
        <is>
          <t>2010-04-12</t>
        </is>
      </c>
      <c r="V1060" t="inlineStr">
        <is>
          <t>2010-04-12</t>
        </is>
      </c>
      <c r="W1060" t="inlineStr">
        <is>
          <t>1997-04-28</t>
        </is>
      </c>
      <c r="X1060" t="inlineStr">
        <is>
          <t>1997-04-28</t>
        </is>
      </c>
      <c r="Y1060" t="n">
        <v>248</v>
      </c>
      <c r="Z1060" t="n">
        <v>177</v>
      </c>
      <c r="AA1060" t="n">
        <v>181</v>
      </c>
      <c r="AB1060" t="n">
        <v>1</v>
      </c>
      <c r="AC1060" t="n">
        <v>1</v>
      </c>
      <c r="AD1060" t="n">
        <v>14</v>
      </c>
      <c r="AE1060" t="n">
        <v>15</v>
      </c>
      <c r="AF1060" t="n">
        <v>5</v>
      </c>
      <c r="AG1060" t="n">
        <v>5</v>
      </c>
      <c r="AH1060" t="n">
        <v>3</v>
      </c>
      <c r="AI1060" t="n">
        <v>4</v>
      </c>
      <c r="AJ1060" t="n">
        <v>11</v>
      </c>
      <c r="AK1060" t="n">
        <v>11</v>
      </c>
      <c r="AL1060" t="n">
        <v>0</v>
      </c>
      <c r="AM1060" t="n">
        <v>0</v>
      </c>
      <c r="AN1060" t="n">
        <v>0</v>
      </c>
      <c r="AO1060" t="n">
        <v>0</v>
      </c>
      <c r="AP1060" t="inlineStr">
        <is>
          <t>No</t>
        </is>
      </c>
      <c r="AQ1060" t="inlineStr">
        <is>
          <t>No</t>
        </is>
      </c>
      <c r="AS1060">
        <f>HYPERLINK("https://creighton-primo.hosted.exlibrisgroup.com/primo-explore/search?tab=default_tab&amp;search_scope=EVERYTHING&amp;vid=01CRU&amp;lang=en_US&amp;offset=0&amp;query=any,contains,991002257259702656","Catalog Record")</f>
        <v/>
      </c>
      <c r="AT1060">
        <f>HYPERLINK("http://www.worldcat.org/oclc/29255428","WorldCat Record")</f>
        <v/>
      </c>
      <c r="AU1060" t="inlineStr">
        <is>
          <t>31153959:eng</t>
        </is>
      </c>
      <c r="AV1060" t="inlineStr">
        <is>
          <t>29255428</t>
        </is>
      </c>
      <c r="AW1060" t="inlineStr">
        <is>
          <t>991002257259702656</t>
        </is>
      </c>
      <c r="AX1060" t="inlineStr">
        <is>
          <t>991002257259702656</t>
        </is>
      </c>
      <c r="AY1060" t="inlineStr">
        <is>
          <t>2264287450002656</t>
        </is>
      </c>
      <c r="AZ1060" t="inlineStr">
        <is>
          <t>BOOK</t>
        </is>
      </c>
      <c r="BB1060" t="inlineStr">
        <is>
          <t>9781870252065</t>
        </is>
      </c>
      <c r="BC1060" t="inlineStr">
        <is>
          <t>32285002541877</t>
        </is>
      </c>
      <c r="BD1060" t="inlineStr">
        <is>
          <t>893510511</t>
        </is>
      </c>
    </row>
    <row r="1061">
      <c r="A1061" t="inlineStr">
        <is>
          <t>No</t>
        </is>
      </c>
      <c r="B1061" t="inlineStr">
        <is>
          <t>BX1995.A1 K52 1957</t>
        </is>
      </c>
      <c r="C1061" t="inlineStr">
        <is>
          <t>0                      BX 1995000A  1                  K  52          1957</t>
        </is>
      </c>
      <c r="D1061" t="inlineStr">
        <is>
          <t>Liturgies of the primatial sees / Archdale A. King.</t>
        </is>
      </c>
      <c r="F1061" t="inlineStr">
        <is>
          <t>No</t>
        </is>
      </c>
      <c r="G1061" t="inlineStr">
        <is>
          <t>1</t>
        </is>
      </c>
      <c r="H1061" t="inlineStr">
        <is>
          <t>No</t>
        </is>
      </c>
      <c r="I1061" t="inlineStr">
        <is>
          <t>No</t>
        </is>
      </c>
      <c r="J1061" t="inlineStr">
        <is>
          <t>0</t>
        </is>
      </c>
      <c r="K1061" t="inlineStr">
        <is>
          <t>King, Archdale A. (Archdale Arthur), 1890-1972.</t>
        </is>
      </c>
      <c r="L1061" t="inlineStr">
        <is>
          <t>Milwaukee : Bruce Pub. Co., 1957.</t>
        </is>
      </c>
      <c r="M1061" t="inlineStr">
        <is>
          <t>1957</t>
        </is>
      </c>
      <c r="O1061" t="inlineStr">
        <is>
          <t>eng</t>
        </is>
      </c>
      <c r="P1061" t="inlineStr">
        <is>
          <t>wiu</t>
        </is>
      </c>
      <c r="Q1061" t="inlineStr">
        <is>
          <t>His Rites of Western Christendom ; 3</t>
        </is>
      </c>
      <c r="R1061" t="inlineStr">
        <is>
          <t xml:space="preserve">BX </t>
        </is>
      </c>
      <c r="S1061" t="n">
        <v>4</v>
      </c>
      <c r="T1061" t="n">
        <v>4</v>
      </c>
      <c r="U1061" t="inlineStr">
        <is>
          <t>1997-06-26</t>
        </is>
      </c>
      <c r="V1061" t="inlineStr">
        <is>
          <t>1997-06-26</t>
        </is>
      </c>
      <c r="W1061" t="inlineStr">
        <is>
          <t>1991-09-12</t>
        </is>
      </c>
      <c r="X1061" t="inlineStr">
        <is>
          <t>1991-09-12</t>
        </is>
      </c>
      <c r="Y1061" t="n">
        <v>59</v>
      </c>
      <c r="Z1061" t="n">
        <v>54</v>
      </c>
      <c r="AA1061" t="n">
        <v>141</v>
      </c>
      <c r="AB1061" t="n">
        <v>1</v>
      </c>
      <c r="AC1061" t="n">
        <v>2</v>
      </c>
      <c r="AD1061" t="n">
        <v>9</v>
      </c>
      <c r="AE1061" t="n">
        <v>16</v>
      </c>
      <c r="AF1061" t="n">
        <v>2</v>
      </c>
      <c r="AG1061" t="n">
        <v>4</v>
      </c>
      <c r="AH1061" t="n">
        <v>4</v>
      </c>
      <c r="AI1061" t="n">
        <v>5</v>
      </c>
      <c r="AJ1061" t="n">
        <v>5</v>
      </c>
      <c r="AK1061" t="n">
        <v>11</v>
      </c>
      <c r="AL1061" t="n">
        <v>0</v>
      </c>
      <c r="AM1061" t="n">
        <v>0</v>
      </c>
      <c r="AN1061" t="n">
        <v>0</v>
      </c>
      <c r="AO1061" t="n">
        <v>0</v>
      </c>
      <c r="AP1061" t="inlineStr">
        <is>
          <t>No</t>
        </is>
      </c>
      <c r="AQ1061" t="inlineStr">
        <is>
          <t>Yes</t>
        </is>
      </c>
      <c r="AR1061">
        <f>HYPERLINK("http://catalog.hathitrust.org/Record/101963997","HathiTrust Record")</f>
        <v/>
      </c>
      <c r="AS1061">
        <f>HYPERLINK("https://creighton-primo.hosted.exlibrisgroup.com/primo-explore/search?tab=default_tab&amp;search_scope=EVERYTHING&amp;vid=01CRU&amp;lang=en_US&amp;offset=0&amp;query=any,contains,991004828769702656","Catalog Record")</f>
        <v/>
      </c>
      <c r="AT1061">
        <f>HYPERLINK("http://www.worldcat.org/oclc/5383521","WorldCat Record")</f>
        <v/>
      </c>
      <c r="AU1061" t="inlineStr">
        <is>
          <t>7663599:eng</t>
        </is>
      </c>
      <c r="AV1061" t="inlineStr">
        <is>
          <t>5383521</t>
        </is>
      </c>
      <c r="AW1061" t="inlineStr">
        <is>
          <t>991004828769702656</t>
        </is>
      </c>
      <c r="AX1061" t="inlineStr">
        <is>
          <t>991004828769702656</t>
        </is>
      </c>
      <c r="AY1061" t="inlineStr">
        <is>
          <t>2269240790002656</t>
        </is>
      </c>
      <c r="AZ1061" t="inlineStr">
        <is>
          <t>BOOK</t>
        </is>
      </c>
      <c r="BC1061" t="inlineStr">
        <is>
          <t>32285000742501</t>
        </is>
      </c>
      <c r="BD1061" t="inlineStr">
        <is>
          <t>893325849</t>
        </is>
      </c>
    </row>
    <row r="1062">
      <c r="A1062" t="inlineStr">
        <is>
          <t>No</t>
        </is>
      </c>
      <c r="B1062" t="inlineStr">
        <is>
          <t>BX2000 .S283 1962</t>
        </is>
      </c>
      <c r="C1062" t="inlineStr">
        <is>
          <t>0                      BX 2000000S  283         1962</t>
        </is>
      </c>
      <c r="D1062" t="inlineStr">
        <is>
          <t>The breviary through the centuries / by Pierre Salmon. Translated by Sister David Mary.</t>
        </is>
      </c>
      <c r="F1062" t="inlineStr">
        <is>
          <t>No</t>
        </is>
      </c>
      <c r="G1062" t="inlineStr">
        <is>
          <t>1</t>
        </is>
      </c>
      <c r="H1062" t="inlineStr">
        <is>
          <t>No</t>
        </is>
      </c>
      <c r="I1062" t="inlineStr">
        <is>
          <t>No</t>
        </is>
      </c>
      <c r="J1062" t="inlineStr">
        <is>
          <t>0</t>
        </is>
      </c>
      <c r="K1062" t="inlineStr">
        <is>
          <t>Salmon, Pierre, 1896-1982.</t>
        </is>
      </c>
      <c r="L1062" t="inlineStr">
        <is>
          <t>Collegeville, Minn. : Liturgical Press, [1962]</t>
        </is>
      </c>
      <c r="M1062" t="inlineStr">
        <is>
          <t>1962</t>
        </is>
      </c>
      <c r="O1062" t="inlineStr">
        <is>
          <t>eng</t>
        </is>
      </c>
      <c r="P1062" t="inlineStr">
        <is>
          <t xml:space="preserve">xx </t>
        </is>
      </c>
      <c r="R1062" t="inlineStr">
        <is>
          <t xml:space="preserve">BX </t>
        </is>
      </c>
      <c r="S1062" t="n">
        <v>5</v>
      </c>
      <c r="T1062" t="n">
        <v>5</v>
      </c>
      <c r="U1062" t="inlineStr">
        <is>
          <t>2005-06-02</t>
        </is>
      </c>
      <c r="V1062" t="inlineStr">
        <is>
          <t>2005-06-02</t>
        </is>
      </c>
      <c r="W1062" t="inlineStr">
        <is>
          <t>1991-09-16</t>
        </is>
      </c>
      <c r="X1062" t="inlineStr">
        <is>
          <t>1991-09-16</t>
        </is>
      </c>
      <c r="Y1062" t="n">
        <v>225</v>
      </c>
      <c r="Z1062" t="n">
        <v>188</v>
      </c>
      <c r="AA1062" t="n">
        <v>195</v>
      </c>
      <c r="AB1062" t="n">
        <v>4</v>
      </c>
      <c r="AC1062" t="n">
        <v>4</v>
      </c>
      <c r="AD1062" t="n">
        <v>24</v>
      </c>
      <c r="AE1062" t="n">
        <v>24</v>
      </c>
      <c r="AF1062" t="n">
        <v>8</v>
      </c>
      <c r="AG1062" t="n">
        <v>8</v>
      </c>
      <c r="AH1062" t="n">
        <v>7</v>
      </c>
      <c r="AI1062" t="n">
        <v>7</v>
      </c>
      <c r="AJ1062" t="n">
        <v>16</v>
      </c>
      <c r="AK1062" t="n">
        <v>16</v>
      </c>
      <c r="AL1062" t="n">
        <v>2</v>
      </c>
      <c r="AM1062" t="n">
        <v>2</v>
      </c>
      <c r="AN1062" t="n">
        <v>0</v>
      </c>
      <c r="AO1062" t="n">
        <v>0</v>
      </c>
      <c r="AP1062" t="inlineStr">
        <is>
          <t>No</t>
        </is>
      </c>
      <c r="AQ1062" t="inlineStr">
        <is>
          <t>Yes</t>
        </is>
      </c>
      <c r="AR1062">
        <f>HYPERLINK("http://catalog.hathitrust.org/Record/009813139","HathiTrust Record")</f>
        <v/>
      </c>
      <c r="AS1062">
        <f>HYPERLINK("https://creighton-primo.hosted.exlibrisgroup.com/primo-explore/search?tab=default_tab&amp;search_scope=EVERYTHING&amp;vid=01CRU&amp;lang=en_US&amp;offset=0&amp;query=any,contains,991003513649702656","Catalog Record")</f>
        <v/>
      </c>
      <c r="AT1062">
        <f>HYPERLINK("http://www.worldcat.org/oclc/1069612","WorldCat Record")</f>
        <v/>
      </c>
      <c r="AU1062" t="inlineStr">
        <is>
          <t>809013687:eng</t>
        </is>
      </c>
      <c r="AV1062" t="inlineStr">
        <is>
          <t>1069612</t>
        </is>
      </c>
      <c r="AW1062" t="inlineStr">
        <is>
          <t>991003513649702656</t>
        </is>
      </c>
      <c r="AX1062" t="inlineStr">
        <is>
          <t>991003513649702656</t>
        </is>
      </c>
      <c r="AY1062" t="inlineStr">
        <is>
          <t>2272786770002656</t>
        </is>
      </c>
      <c r="AZ1062" t="inlineStr">
        <is>
          <t>BOOK</t>
        </is>
      </c>
      <c r="BC1062" t="inlineStr">
        <is>
          <t>32285000743046</t>
        </is>
      </c>
      <c r="BD1062" t="inlineStr">
        <is>
          <t>893410355</t>
        </is>
      </c>
    </row>
    <row r="1063">
      <c r="A1063" t="inlineStr">
        <is>
          <t>No</t>
        </is>
      </c>
      <c r="B1063" t="inlineStr">
        <is>
          <t>BX2000 .W3 1942</t>
        </is>
      </c>
      <c r="C1063" t="inlineStr">
        <is>
          <t>0                      BX 2000000W  3           1942</t>
        </is>
      </c>
      <c r="D1063" t="inlineStr">
        <is>
          <t>The praise of glory / by E. I. Watkin.</t>
        </is>
      </c>
      <c r="F1063" t="inlineStr">
        <is>
          <t>No</t>
        </is>
      </c>
      <c r="G1063" t="inlineStr">
        <is>
          <t>1</t>
        </is>
      </c>
      <c r="H1063" t="inlineStr">
        <is>
          <t>No</t>
        </is>
      </c>
      <c r="I1063" t="inlineStr">
        <is>
          <t>No</t>
        </is>
      </c>
      <c r="J1063" t="inlineStr">
        <is>
          <t>0</t>
        </is>
      </c>
      <c r="K1063" t="inlineStr">
        <is>
          <t>Watkin, E. I. (Edward Ingram), 1888-1981.</t>
        </is>
      </c>
      <c r="L1063" t="inlineStr">
        <is>
          <t>New York : Sheed &amp; Ward, 1942.</t>
        </is>
      </c>
      <c r="M1063" t="inlineStr">
        <is>
          <t>1942</t>
        </is>
      </c>
      <c r="O1063" t="inlineStr">
        <is>
          <t>eng</t>
        </is>
      </c>
      <c r="P1063" t="inlineStr">
        <is>
          <t xml:space="preserve">xx </t>
        </is>
      </c>
      <c r="R1063" t="inlineStr">
        <is>
          <t xml:space="preserve">BX </t>
        </is>
      </c>
      <c r="S1063" t="n">
        <v>1</v>
      </c>
      <c r="T1063" t="n">
        <v>1</v>
      </c>
      <c r="U1063" t="inlineStr">
        <is>
          <t>2001-02-07</t>
        </is>
      </c>
      <c r="V1063" t="inlineStr">
        <is>
          <t>2001-02-07</t>
        </is>
      </c>
      <c r="W1063" t="inlineStr">
        <is>
          <t>1991-09-16</t>
        </is>
      </c>
      <c r="X1063" t="inlineStr">
        <is>
          <t>1991-09-16</t>
        </is>
      </c>
      <c r="Y1063" t="n">
        <v>77</v>
      </c>
      <c r="Z1063" t="n">
        <v>74</v>
      </c>
      <c r="AA1063" t="n">
        <v>90</v>
      </c>
      <c r="AB1063" t="n">
        <v>2</v>
      </c>
      <c r="AC1063" t="n">
        <v>2</v>
      </c>
      <c r="AD1063" t="n">
        <v>20</v>
      </c>
      <c r="AE1063" t="n">
        <v>21</v>
      </c>
      <c r="AF1063" t="n">
        <v>7</v>
      </c>
      <c r="AG1063" t="n">
        <v>7</v>
      </c>
      <c r="AH1063" t="n">
        <v>5</v>
      </c>
      <c r="AI1063" t="n">
        <v>5</v>
      </c>
      <c r="AJ1063" t="n">
        <v>17</v>
      </c>
      <c r="AK1063" t="n">
        <v>18</v>
      </c>
      <c r="AL1063" t="n">
        <v>0</v>
      </c>
      <c r="AM1063" t="n">
        <v>0</v>
      </c>
      <c r="AN1063" t="n">
        <v>0</v>
      </c>
      <c r="AO1063" t="n">
        <v>0</v>
      </c>
      <c r="AP1063" t="inlineStr">
        <is>
          <t>No</t>
        </is>
      </c>
      <c r="AQ1063" t="inlineStr">
        <is>
          <t>Yes</t>
        </is>
      </c>
      <c r="AR1063">
        <f>HYPERLINK("http://catalog.hathitrust.org/Record/000319446","HathiTrust Record")</f>
        <v/>
      </c>
      <c r="AS1063">
        <f>HYPERLINK("https://creighton-primo.hosted.exlibrisgroup.com/primo-explore/search?tab=default_tab&amp;search_scope=EVERYTHING&amp;vid=01CRU&amp;lang=en_US&amp;offset=0&amp;query=any,contains,991003761369702656","Catalog Record")</f>
        <v/>
      </c>
      <c r="AT1063">
        <f>HYPERLINK("http://www.worldcat.org/oclc/1449538","WorldCat Record")</f>
        <v/>
      </c>
      <c r="AU1063" t="inlineStr">
        <is>
          <t>141194300:eng</t>
        </is>
      </c>
      <c r="AV1063" t="inlineStr">
        <is>
          <t>1449538</t>
        </is>
      </c>
      <c r="AW1063" t="inlineStr">
        <is>
          <t>991003761369702656</t>
        </is>
      </c>
      <c r="AX1063" t="inlineStr">
        <is>
          <t>991003761369702656</t>
        </is>
      </c>
      <c r="AY1063" t="inlineStr">
        <is>
          <t>2272771380002656</t>
        </is>
      </c>
      <c r="AZ1063" t="inlineStr">
        <is>
          <t>BOOK</t>
        </is>
      </c>
      <c r="BC1063" t="inlineStr">
        <is>
          <t>32285000743079</t>
        </is>
      </c>
      <c r="BD1063" t="inlineStr">
        <is>
          <t>893775135</t>
        </is>
      </c>
    </row>
    <row r="1064">
      <c r="A1064" t="inlineStr">
        <is>
          <t>No</t>
        </is>
      </c>
      <c r="B1064" t="inlineStr">
        <is>
          <t>BX2000.5 .Q8 1920</t>
        </is>
      </c>
      <c r="C1064" t="inlineStr">
        <is>
          <t>0                      BX 2000500Q  8           1920</t>
        </is>
      </c>
      <c r="D1064" t="inlineStr">
        <is>
          <t>The Divine Office : a study of the Roman breviary / by E.J. Quigley.</t>
        </is>
      </c>
      <c r="F1064" t="inlineStr">
        <is>
          <t>No</t>
        </is>
      </c>
      <c r="G1064" t="inlineStr">
        <is>
          <t>1</t>
        </is>
      </c>
      <c r="H1064" t="inlineStr">
        <is>
          <t>No</t>
        </is>
      </c>
      <c r="I1064" t="inlineStr">
        <is>
          <t>No</t>
        </is>
      </c>
      <c r="J1064" t="inlineStr">
        <is>
          <t>0</t>
        </is>
      </c>
      <c r="K1064" t="inlineStr">
        <is>
          <t>Quigley, E. J.</t>
        </is>
      </c>
      <c r="L1064" t="inlineStr">
        <is>
          <t>St. Louis : Herder Book Co., 1920.</t>
        </is>
      </c>
      <c r="M1064" t="inlineStr">
        <is>
          <t>1920</t>
        </is>
      </c>
      <c r="O1064" t="inlineStr">
        <is>
          <t>eng</t>
        </is>
      </c>
      <c r="P1064" t="inlineStr">
        <is>
          <t>mou</t>
        </is>
      </c>
      <c r="R1064" t="inlineStr">
        <is>
          <t xml:space="preserve">BX </t>
        </is>
      </c>
      <c r="S1064" t="n">
        <v>2</v>
      </c>
      <c r="T1064" t="n">
        <v>2</v>
      </c>
      <c r="U1064" t="inlineStr">
        <is>
          <t>1998-03-26</t>
        </is>
      </c>
      <c r="V1064" t="inlineStr">
        <is>
          <t>1998-03-26</t>
        </is>
      </c>
      <c r="W1064" t="inlineStr">
        <is>
          <t>1991-09-16</t>
        </is>
      </c>
      <c r="X1064" t="inlineStr">
        <is>
          <t>1991-09-16</t>
        </is>
      </c>
      <c r="Y1064" t="n">
        <v>21</v>
      </c>
      <c r="Z1064" t="n">
        <v>20</v>
      </c>
      <c r="AA1064" t="n">
        <v>65</v>
      </c>
      <c r="AB1064" t="n">
        <v>1</v>
      </c>
      <c r="AC1064" t="n">
        <v>3</v>
      </c>
      <c r="AD1064" t="n">
        <v>4</v>
      </c>
      <c r="AE1064" t="n">
        <v>7</v>
      </c>
      <c r="AF1064" t="n">
        <v>1</v>
      </c>
      <c r="AG1064" t="n">
        <v>2</v>
      </c>
      <c r="AH1064" t="n">
        <v>2</v>
      </c>
      <c r="AI1064" t="n">
        <v>4</v>
      </c>
      <c r="AJ1064" t="n">
        <v>2</v>
      </c>
      <c r="AK1064" t="n">
        <v>4</v>
      </c>
      <c r="AL1064" t="n">
        <v>0</v>
      </c>
      <c r="AM1064" t="n">
        <v>0</v>
      </c>
      <c r="AN1064" t="n">
        <v>0</v>
      </c>
      <c r="AO1064" t="n">
        <v>0</v>
      </c>
      <c r="AP1064" t="inlineStr">
        <is>
          <t>No</t>
        </is>
      </c>
      <c r="AQ1064" t="inlineStr">
        <is>
          <t>No</t>
        </is>
      </c>
      <c r="AS1064">
        <f>HYPERLINK("https://creighton-primo.hosted.exlibrisgroup.com/primo-explore/search?tab=default_tab&amp;search_scope=EVERYTHING&amp;vid=01CRU&amp;lang=en_US&amp;offset=0&amp;query=any,contains,991001155749702656","Catalog Record")</f>
        <v/>
      </c>
      <c r="AT1064">
        <f>HYPERLINK("http://www.worldcat.org/oclc/16849614","WorldCat Record")</f>
        <v/>
      </c>
      <c r="AU1064" t="inlineStr">
        <is>
          <t>14136827:eng</t>
        </is>
      </c>
      <c r="AV1064" t="inlineStr">
        <is>
          <t>16849614</t>
        </is>
      </c>
      <c r="AW1064" t="inlineStr">
        <is>
          <t>991001155749702656</t>
        </is>
      </c>
      <c r="AX1064" t="inlineStr">
        <is>
          <t>991001155749702656</t>
        </is>
      </c>
      <c r="AY1064" t="inlineStr">
        <is>
          <t>2263580360002656</t>
        </is>
      </c>
      <c r="AZ1064" t="inlineStr">
        <is>
          <t>BOOK</t>
        </is>
      </c>
      <c r="BC1064" t="inlineStr">
        <is>
          <t>32285000743095</t>
        </is>
      </c>
      <c r="BD1064" t="inlineStr">
        <is>
          <t>893231747</t>
        </is>
      </c>
    </row>
    <row r="1065">
      <c r="A1065" t="inlineStr">
        <is>
          <t>No</t>
        </is>
      </c>
      <c r="B1065" t="inlineStr">
        <is>
          <t>BX2000.68 .A4 1996</t>
        </is>
      </c>
      <c r="C1065" t="inlineStr">
        <is>
          <t>0                      BX 2000680A  4           1996</t>
        </is>
      </c>
      <c r="D1065" t="inlineStr">
        <is>
          <t>Night prayer : from the Liturgy of the hours / Bishops' Committee on the Liturgy, National Conference of Catholic Bishops.</t>
        </is>
      </c>
      <c r="F1065" t="inlineStr">
        <is>
          <t>No</t>
        </is>
      </c>
      <c r="G1065" t="inlineStr">
        <is>
          <t>1</t>
        </is>
      </c>
      <c r="H1065" t="inlineStr">
        <is>
          <t>No</t>
        </is>
      </c>
      <c r="I1065" t="inlineStr">
        <is>
          <t>No</t>
        </is>
      </c>
      <c r="J1065" t="inlineStr">
        <is>
          <t>0</t>
        </is>
      </c>
      <c r="K1065" t="inlineStr">
        <is>
          <t>Catholic Church.</t>
        </is>
      </c>
      <c r="L1065" t="inlineStr">
        <is>
          <t>Washington, D.C. : United States Catholic Conference, c1996.</t>
        </is>
      </c>
      <c r="M1065" t="inlineStr">
        <is>
          <t>1996</t>
        </is>
      </c>
      <c r="N1065" t="inlineStr">
        <is>
          <t>Rev. ed.</t>
        </is>
      </c>
      <c r="O1065" t="inlineStr">
        <is>
          <t>eng</t>
        </is>
      </c>
      <c r="P1065" t="inlineStr">
        <is>
          <t>dcu</t>
        </is>
      </c>
      <c r="Q1065" t="inlineStr">
        <is>
          <t>Publication (United States Catholic Conference) ; no. 5-148</t>
        </is>
      </c>
      <c r="R1065" t="inlineStr">
        <is>
          <t xml:space="preserve">BX </t>
        </is>
      </c>
      <c r="S1065" t="n">
        <v>7</v>
      </c>
      <c r="T1065" t="n">
        <v>7</v>
      </c>
      <c r="U1065" t="inlineStr">
        <is>
          <t>2000-07-16</t>
        </is>
      </c>
      <c r="V1065" t="inlineStr">
        <is>
          <t>2000-07-16</t>
        </is>
      </c>
      <c r="W1065" t="inlineStr">
        <is>
          <t>1997-03-21</t>
        </is>
      </c>
      <c r="X1065" t="inlineStr">
        <is>
          <t>1997-03-21</t>
        </is>
      </c>
      <c r="Y1065" t="n">
        <v>68</v>
      </c>
      <c r="Z1065" t="n">
        <v>66</v>
      </c>
      <c r="AA1065" t="n">
        <v>98</v>
      </c>
      <c r="AB1065" t="n">
        <v>1</v>
      </c>
      <c r="AC1065" t="n">
        <v>2</v>
      </c>
      <c r="AD1065" t="n">
        <v>7</v>
      </c>
      <c r="AE1065" t="n">
        <v>12</v>
      </c>
      <c r="AF1065" t="n">
        <v>2</v>
      </c>
      <c r="AG1065" t="n">
        <v>3</v>
      </c>
      <c r="AH1065" t="n">
        <v>2</v>
      </c>
      <c r="AI1065" t="n">
        <v>3</v>
      </c>
      <c r="AJ1065" t="n">
        <v>6</v>
      </c>
      <c r="AK1065" t="n">
        <v>10</v>
      </c>
      <c r="AL1065" t="n">
        <v>0</v>
      </c>
      <c r="AM1065" t="n">
        <v>1</v>
      </c>
      <c r="AN1065" t="n">
        <v>0</v>
      </c>
      <c r="AO1065" t="n">
        <v>0</v>
      </c>
      <c r="AP1065" t="inlineStr">
        <is>
          <t>No</t>
        </is>
      </c>
      <c r="AQ1065" t="inlineStr">
        <is>
          <t>No</t>
        </is>
      </c>
      <c r="AS1065">
        <f>HYPERLINK("https://creighton-primo.hosted.exlibrisgroup.com/primo-explore/search?tab=default_tab&amp;search_scope=EVERYTHING&amp;vid=01CRU&amp;lang=en_US&amp;offset=0&amp;query=any,contains,991002776429702656","Catalog Record")</f>
        <v/>
      </c>
      <c r="AT1065">
        <f>HYPERLINK("http://www.worldcat.org/oclc/36459941","WorldCat Record")</f>
        <v/>
      </c>
      <c r="AU1065" t="inlineStr">
        <is>
          <t>1817345317:eng</t>
        </is>
      </c>
      <c r="AV1065" t="inlineStr">
        <is>
          <t>36459941</t>
        </is>
      </c>
      <c r="AW1065" t="inlineStr">
        <is>
          <t>991002776429702656</t>
        </is>
      </c>
      <c r="AX1065" t="inlineStr">
        <is>
          <t>991002776429702656</t>
        </is>
      </c>
      <c r="AY1065" t="inlineStr">
        <is>
          <t>2271207300002656</t>
        </is>
      </c>
      <c r="AZ1065" t="inlineStr">
        <is>
          <t>BOOK</t>
        </is>
      </c>
      <c r="BB1065" t="inlineStr">
        <is>
          <t>9781574551488</t>
        </is>
      </c>
      <c r="BC1065" t="inlineStr">
        <is>
          <t>32285002475407</t>
        </is>
      </c>
      <c r="BD1065" t="inlineStr">
        <is>
          <t>893498519</t>
        </is>
      </c>
    </row>
    <row r="1066">
      <c r="A1066" t="inlineStr">
        <is>
          <t>No</t>
        </is>
      </c>
      <c r="B1066" t="inlineStr">
        <is>
          <t>BX2003 .A4 1982</t>
        </is>
      </c>
      <c r="C1066" t="inlineStr">
        <is>
          <t>0                      BX 2003000A  4           1982</t>
        </is>
      </c>
      <c r="D1066" t="inlineStr">
        <is>
          <t>Lectionary for mass, introduction / National Conference of Catholic Bishops.</t>
        </is>
      </c>
      <c r="F1066" t="inlineStr">
        <is>
          <t>No</t>
        </is>
      </c>
      <c r="G1066" t="inlineStr">
        <is>
          <t>1</t>
        </is>
      </c>
      <c r="H1066" t="inlineStr">
        <is>
          <t>No</t>
        </is>
      </c>
      <c r="I1066" t="inlineStr">
        <is>
          <t>No</t>
        </is>
      </c>
      <c r="J1066" t="inlineStr">
        <is>
          <t>0</t>
        </is>
      </c>
      <c r="K1066" t="inlineStr">
        <is>
          <t>Catholic Church. National Conference of Catholic Bishops. Bishops' Committee on the Liturgy.</t>
        </is>
      </c>
      <c r="L1066" t="inlineStr">
        <is>
          <t>Washington, D.C. : United States Catholic Conference, c1982.</t>
        </is>
      </c>
      <c r="M1066" t="inlineStr">
        <is>
          <t>1982</t>
        </is>
      </c>
      <c r="O1066" t="inlineStr">
        <is>
          <t>eng</t>
        </is>
      </c>
      <c r="P1066" t="inlineStr">
        <is>
          <t>dcu</t>
        </is>
      </c>
      <c r="Q1066" t="inlineStr">
        <is>
          <t>Liturgy documentary series ; 1</t>
        </is>
      </c>
      <c r="R1066" t="inlineStr">
        <is>
          <t xml:space="preserve">BX </t>
        </is>
      </c>
      <c r="S1066" t="n">
        <v>7</v>
      </c>
      <c r="T1066" t="n">
        <v>7</v>
      </c>
      <c r="U1066" t="inlineStr">
        <is>
          <t>1997-06-17</t>
        </is>
      </c>
      <c r="V1066" t="inlineStr">
        <is>
          <t>1997-06-17</t>
        </is>
      </c>
      <c r="W1066" t="inlineStr">
        <is>
          <t>1991-09-16</t>
        </is>
      </c>
      <c r="X1066" t="inlineStr">
        <is>
          <t>1991-09-16</t>
        </is>
      </c>
      <c r="Y1066" t="n">
        <v>75</v>
      </c>
      <c r="Z1066" t="n">
        <v>69</v>
      </c>
      <c r="AA1066" t="n">
        <v>103</v>
      </c>
      <c r="AB1066" t="n">
        <v>1</v>
      </c>
      <c r="AC1066" t="n">
        <v>1</v>
      </c>
      <c r="AD1066" t="n">
        <v>11</v>
      </c>
      <c r="AE1066" t="n">
        <v>16</v>
      </c>
      <c r="AF1066" t="n">
        <v>4</v>
      </c>
      <c r="AG1066" t="n">
        <v>4</v>
      </c>
      <c r="AH1066" t="n">
        <v>4</v>
      </c>
      <c r="AI1066" t="n">
        <v>6</v>
      </c>
      <c r="AJ1066" t="n">
        <v>8</v>
      </c>
      <c r="AK1066" t="n">
        <v>12</v>
      </c>
      <c r="AL1066" t="n">
        <v>0</v>
      </c>
      <c r="AM1066" t="n">
        <v>0</v>
      </c>
      <c r="AN1066" t="n">
        <v>0</v>
      </c>
      <c r="AO1066" t="n">
        <v>0</v>
      </c>
      <c r="AP1066" t="inlineStr">
        <is>
          <t>No</t>
        </is>
      </c>
      <c r="AQ1066" t="inlineStr">
        <is>
          <t>No</t>
        </is>
      </c>
      <c r="AS1066">
        <f>HYPERLINK("https://creighton-primo.hosted.exlibrisgroup.com/primo-explore/search?tab=default_tab&amp;search_scope=EVERYTHING&amp;vid=01CRU&amp;lang=en_US&amp;offset=0&amp;query=any,contains,991000069369702656","Catalog Record")</f>
        <v/>
      </c>
      <c r="AT1066">
        <f>HYPERLINK("http://www.worldcat.org/oclc/8771255","WorldCat Record")</f>
        <v/>
      </c>
      <c r="AU1066" t="inlineStr">
        <is>
          <t>5219036469:eng</t>
        </is>
      </c>
      <c r="AV1066" t="inlineStr">
        <is>
          <t>8771255</t>
        </is>
      </c>
      <c r="AW1066" t="inlineStr">
        <is>
          <t>991000069369702656</t>
        </is>
      </c>
      <c r="AX1066" t="inlineStr">
        <is>
          <t>991000069369702656</t>
        </is>
      </c>
      <c r="AY1066" t="inlineStr">
        <is>
          <t>2267260540002656</t>
        </is>
      </c>
      <c r="AZ1066" t="inlineStr">
        <is>
          <t>BOOK</t>
        </is>
      </c>
      <c r="BC1066" t="inlineStr">
        <is>
          <t>32285000743145</t>
        </is>
      </c>
      <c r="BD1066" t="inlineStr">
        <is>
          <t>893790210</t>
        </is>
      </c>
    </row>
    <row r="1067">
      <c r="A1067" t="inlineStr">
        <is>
          <t>No</t>
        </is>
      </c>
      <c r="B1067" t="inlineStr">
        <is>
          <t>BX2003 .A41 1972</t>
        </is>
      </c>
      <c r="C1067" t="inlineStr">
        <is>
          <t>0                      BX 2003000A  41          1972</t>
        </is>
      </c>
      <c r="D1067" t="inlineStr">
        <is>
          <t>Lectionary for Mass for Sundays of year B: arranged for readers : English translation [i.e. version] approved by the National Conference of Catholic Bishops and confirmed by the Apostolic See : New American Bible.</t>
        </is>
      </c>
      <c r="F1067" t="inlineStr">
        <is>
          <t>No</t>
        </is>
      </c>
      <c r="G1067" t="inlineStr">
        <is>
          <t>1</t>
        </is>
      </c>
      <c r="H1067" t="inlineStr">
        <is>
          <t>No</t>
        </is>
      </c>
      <c r="I1067" t="inlineStr">
        <is>
          <t>No</t>
        </is>
      </c>
      <c r="J1067" t="inlineStr">
        <is>
          <t>0</t>
        </is>
      </c>
      <c r="K1067" t="inlineStr">
        <is>
          <t>Catholic Church.</t>
        </is>
      </c>
      <c r="L1067" t="inlineStr">
        <is>
          <t>New York : Pueblo Pub. Co., 1972.</t>
        </is>
      </c>
      <c r="M1067" t="inlineStr">
        <is>
          <t>1972</t>
        </is>
      </c>
      <c r="O1067" t="inlineStr">
        <is>
          <t>eng</t>
        </is>
      </c>
      <c r="P1067" t="inlineStr">
        <is>
          <t>nyu</t>
        </is>
      </c>
      <c r="Q1067" t="inlineStr">
        <is>
          <t>The Roman missal, revised by decree of the Second Vatican Council and published by authority of Pope Paul VI</t>
        </is>
      </c>
      <c r="R1067" t="inlineStr">
        <is>
          <t xml:space="preserve">BX </t>
        </is>
      </c>
      <c r="S1067" t="n">
        <v>5</v>
      </c>
      <c r="T1067" t="n">
        <v>5</v>
      </c>
      <c r="U1067" t="inlineStr">
        <is>
          <t>2007-10-11</t>
        </is>
      </c>
      <c r="V1067" t="inlineStr">
        <is>
          <t>2007-10-11</t>
        </is>
      </c>
      <c r="W1067" t="inlineStr">
        <is>
          <t>1991-09-16</t>
        </is>
      </c>
      <c r="X1067" t="inlineStr">
        <is>
          <t>1991-09-16</t>
        </is>
      </c>
      <c r="Y1067" t="n">
        <v>27</v>
      </c>
      <c r="Z1067" t="n">
        <v>24</v>
      </c>
      <c r="AA1067" t="n">
        <v>38</v>
      </c>
      <c r="AB1067" t="n">
        <v>1</v>
      </c>
      <c r="AC1067" t="n">
        <v>1</v>
      </c>
      <c r="AD1067" t="n">
        <v>5</v>
      </c>
      <c r="AE1067" t="n">
        <v>5</v>
      </c>
      <c r="AF1067" t="n">
        <v>0</v>
      </c>
      <c r="AG1067" t="n">
        <v>0</v>
      </c>
      <c r="AH1067" t="n">
        <v>3</v>
      </c>
      <c r="AI1067" t="n">
        <v>3</v>
      </c>
      <c r="AJ1067" t="n">
        <v>2</v>
      </c>
      <c r="AK1067" t="n">
        <v>2</v>
      </c>
      <c r="AL1067" t="n">
        <v>0</v>
      </c>
      <c r="AM1067" t="n">
        <v>0</v>
      </c>
      <c r="AN1067" t="n">
        <v>0</v>
      </c>
      <c r="AO1067" t="n">
        <v>0</v>
      </c>
      <c r="AP1067" t="inlineStr">
        <is>
          <t>No</t>
        </is>
      </c>
      <c r="AQ1067" t="inlineStr">
        <is>
          <t>No</t>
        </is>
      </c>
      <c r="AS1067">
        <f>HYPERLINK("https://creighton-primo.hosted.exlibrisgroup.com/primo-explore/search?tab=default_tab&amp;search_scope=EVERYTHING&amp;vid=01CRU&amp;lang=en_US&amp;offset=0&amp;query=any,contains,991004141799702656","Catalog Record")</f>
        <v/>
      </c>
      <c r="AT1067">
        <f>HYPERLINK("http://www.worldcat.org/oclc/2500384","WorldCat Record")</f>
        <v/>
      </c>
      <c r="AU1067" t="inlineStr">
        <is>
          <t>2287588365:eng</t>
        </is>
      </c>
      <c r="AV1067" t="inlineStr">
        <is>
          <t>2500384</t>
        </is>
      </c>
      <c r="AW1067" t="inlineStr">
        <is>
          <t>991004141799702656</t>
        </is>
      </c>
      <c r="AX1067" t="inlineStr">
        <is>
          <t>991004141799702656</t>
        </is>
      </c>
      <c r="AY1067" t="inlineStr">
        <is>
          <t>2270094030002656</t>
        </is>
      </c>
      <c r="AZ1067" t="inlineStr">
        <is>
          <t>BOOK</t>
        </is>
      </c>
      <c r="BC1067" t="inlineStr">
        <is>
          <t>32285000743152</t>
        </is>
      </c>
      <c r="BD1067" t="inlineStr">
        <is>
          <t>893894610</t>
        </is>
      </c>
    </row>
    <row r="1068">
      <c r="A1068" t="inlineStr">
        <is>
          <t>No</t>
        </is>
      </c>
      <c r="B1068" t="inlineStr">
        <is>
          <t>BX2003 .A41 1973a</t>
        </is>
      </c>
      <c r="C1068" t="inlineStr">
        <is>
          <t>0                      BX 2003000A  41          1973a</t>
        </is>
      </c>
      <c r="D1068" t="inlineStr">
        <is>
          <t>Lectionary for Mass for Sundays of year C : arranged for readers : English translation [i.e. version] approved by the National Conference of Catholic Bishops and confirmed by the Apostolic See : New American Bible / [editor, Stephen J. Hartdegen].</t>
        </is>
      </c>
      <c r="F1068" t="inlineStr">
        <is>
          <t>No</t>
        </is>
      </c>
      <c r="G1068" t="inlineStr">
        <is>
          <t>1</t>
        </is>
      </c>
      <c r="H1068" t="inlineStr">
        <is>
          <t>No</t>
        </is>
      </c>
      <c r="I1068" t="inlineStr">
        <is>
          <t>No</t>
        </is>
      </c>
      <c r="J1068" t="inlineStr">
        <is>
          <t>0</t>
        </is>
      </c>
      <c r="K1068" t="inlineStr">
        <is>
          <t>Catholic Church.</t>
        </is>
      </c>
      <c r="L1068" t="inlineStr">
        <is>
          <t>New York : Pueblo Pub. Co., c1973.</t>
        </is>
      </c>
      <c r="M1068" t="inlineStr">
        <is>
          <t>1973</t>
        </is>
      </c>
      <c r="O1068" t="inlineStr">
        <is>
          <t>eng</t>
        </is>
      </c>
      <c r="P1068" t="inlineStr">
        <is>
          <t>nyu</t>
        </is>
      </c>
      <c r="Q1068" t="inlineStr">
        <is>
          <t>The Roman missal, revised by decree of the Second Vatican Council and published by authority of Pope Paul VI</t>
        </is>
      </c>
      <c r="R1068" t="inlineStr">
        <is>
          <t xml:space="preserve">BX </t>
        </is>
      </c>
      <c r="S1068" t="n">
        <v>4</v>
      </c>
      <c r="T1068" t="n">
        <v>4</v>
      </c>
      <c r="U1068" t="inlineStr">
        <is>
          <t>2009-09-01</t>
        </is>
      </c>
      <c r="V1068" t="inlineStr">
        <is>
          <t>2009-09-01</t>
        </is>
      </c>
      <c r="W1068" t="inlineStr">
        <is>
          <t>1991-09-16</t>
        </is>
      </c>
      <c r="X1068" t="inlineStr">
        <is>
          <t>1991-09-16</t>
        </is>
      </c>
      <c r="Y1068" t="n">
        <v>23</v>
      </c>
      <c r="Z1068" t="n">
        <v>23</v>
      </c>
      <c r="AA1068" t="n">
        <v>29</v>
      </c>
      <c r="AB1068" t="n">
        <v>1</v>
      </c>
      <c r="AC1068" t="n">
        <v>1</v>
      </c>
      <c r="AD1068" t="n">
        <v>5</v>
      </c>
      <c r="AE1068" t="n">
        <v>5</v>
      </c>
      <c r="AF1068" t="n">
        <v>0</v>
      </c>
      <c r="AG1068" t="n">
        <v>0</v>
      </c>
      <c r="AH1068" t="n">
        <v>3</v>
      </c>
      <c r="AI1068" t="n">
        <v>3</v>
      </c>
      <c r="AJ1068" t="n">
        <v>2</v>
      </c>
      <c r="AK1068" t="n">
        <v>2</v>
      </c>
      <c r="AL1068" t="n">
        <v>0</v>
      </c>
      <c r="AM1068" t="n">
        <v>0</v>
      </c>
      <c r="AN1068" t="n">
        <v>0</v>
      </c>
      <c r="AO1068" t="n">
        <v>0</v>
      </c>
      <c r="AP1068" t="inlineStr">
        <is>
          <t>No</t>
        </is>
      </c>
      <c r="AQ1068" t="inlineStr">
        <is>
          <t>No</t>
        </is>
      </c>
      <c r="AS1068">
        <f>HYPERLINK("https://creighton-primo.hosted.exlibrisgroup.com/primo-explore/search?tab=default_tab&amp;search_scope=EVERYTHING&amp;vid=01CRU&amp;lang=en_US&amp;offset=0&amp;query=any,contains,991004288119702656","Catalog Record")</f>
        <v/>
      </c>
      <c r="AT1068">
        <f>HYPERLINK("http://www.worldcat.org/oclc/2932300","WorldCat Record")</f>
        <v/>
      </c>
      <c r="AU1068" t="inlineStr">
        <is>
          <t>3980192915:eng</t>
        </is>
      </c>
      <c r="AV1068" t="inlineStr">
        <is>
          <t>2932300</t>
        </is>
      </c>
      <c r="AW1068" t="inlineStr">
        <is>
          <t>991004288119702656</t>
        </is>
      </c>
      <c r="AX1068" t="inlineStr">
        <is>
          <t>991004288119702656</t>
        </is>
      </c>
      <c r="AY1068" t="inlineStr">
        <is>
          <t>2268588670002656</t>
        </is>
      </c>
      <c r="AZ1068" t="inlineStr">
        <is>
          <t>BOOK</t>
        </is>
      </c>
      <c r="BC1068" t="inlineStr">
        <is>
          <t>32285000743160</t>
        </is>
      </c>
      <c r="BD1068" t="inlineStr">
        <is>
          <t>893259556</t>
        </is>
      </c>
    </row>
    <row r="1069">
      <c r="A1069" t="inlineStr">
        <is>
          <t>No</t>
        </is>
      </c>
      <c r="B1069" t="inlineStr">
        <is>
          <t>BX2003 .B58 1998</t>
        </is>
      </c>
      <c r="C1069" t="inlineStr">
        <is>
          <t>0                      BX 2003000B  58          1998</t>
        </is>
      </c>
      <c r="D1069" t="inlineStr">
        <is>
          <t>The Sunday lectionary : ritual word, Paschal shape / Normand Bonneau.</t>
        </is>
      </c>
      <c r="F1069" t="inlineStr">
        <is>
          <t>No</t>
        </is>
      </c>
      <c r="G1069" t="inlineStr">
        <is>
          <t>1</t>
        </is>
      </c>
      <c r="H1069" t="inlineStr">
        <is>
          <t>No</t>
        </is>
      </c>
      <c r="I1069" t="inlineStr">
        <is>
          <t>No</t>
        </is>
      </c>
      <c r="J1069" t="inlineStr">
        <is>
          <t>0</t>
        </is>
      </c>
      <c r="K1069" t="inlineStr">
        <is>
          <t>Bonneau, Normand, 1948-</t>
        </is>
      </c>
      <c r="L1069" t="inlineStr">
        <is>
          <t>Collegeville, Minn. : Liturgical Press, c1998.</t>
        </is>
      </c>
      <c r="M1069" t="inlineStr">
        <is>
          <t>1998</t>
        </is>
      </c>
      <c r="O1069" t="inlineStr">
        <is>
          <t>eng</t>
        </is>
      </c>
      <c r="P1069" t="inlineStr">
        <is>
          <t>mnu</t>
        </is>
      </c>
      <c r="R1069" t="inlineStr">
        <is>
          <t xml:space="preserve">BX </t>
        </is>
      </c>
      <c r="S1069" t="n">
        <v>4</v>
      </c>
      <c r="T1069" t="n">
        <v>4</v>
      </c>
      <c r="U1069" t="inlineStr">
        <is>
          <t>2010-06-25</t>
        </is>
      </c>
      <c r="V1069" t="inlineStr">
        <is>
          <t>2010-06-25</t>
        </is>
      </c>
      <c r="W1069" t="inlineStr">
        <is>
          <t>1998-12-01</t>
        </is>
      </c>
      <c r="X1069" t="inlineStr">
        <is>
          <t>1998-12-01</t>
        </is>
      </c>
      <c r="Y1069" t="n">
        <v>127</v>
      </c>
      <c r="Z1069" t="n">
        <v>106</v>
      </c>
      <c r="AA1069" t="n">
        <v>106</v>
      </c>
      <c r="AB1069" t="n">
        <v>2</v>
      </c>
      <c r="AC1069" t="n">
        <v>2</v>
      </c>
      <c r="AD1069" t="n">
        <v>14</v>
      </c>
      <c r="AE1069" t="n">
        <v>14</v>
      </c>
      <c r="AF1069" t="n">
        <v>4</v>
      </c>
      <c r="AG1069" t="n">
        <v>4</v>
      </c>
      <c r="AH1069" t="n">
        <v>3</v>
      </c>
      <c r="AI1069" t="n">
        <v>3</v>
      </c>
      <c r="AJ1069" t="n">
        <v>10</v>
      </c>
      <c r="AK1069" t="n">
        <v>10</v>
      </c>
      <c r="AL1069" t="n">
        <v>1</v>
      </c>
      <c r="AM1069" t="n">
        <v>1</v>
      </c>
      <c r="AN1069" t="n">
        <v>0</v>
      </c>
      <c r="AO1069" t="n">
        <v>0</v>
      </c>
      <c r="AP1069" t="inlineStr">
        <is>
          <t>No</t>
        </is>
      </c>
      <c r="AQ1069" t="inlineStr">
        <is>
          <t>No</t>
        </is>
      </c>
      <c r="AS1069">
        <f>HYPERLINK("https://creighton-primo.hosted.exlibrisgroup.com/primo-explore/search?tab=default_tab&amp;search_scope=EVERYTHING&amp;vid=01CRU&amp;lang=en_US&amp;offset=0&amp;query=any,contains,991002832229702656","Catalog Record")</f>
        <v/>
      </c>
      <c r="AT1069">
        <f>HYPERLINK("http://www.worldcat.org/oclc/37300682","WorldCat Record")</f>
        <v/>
      </c>
      <c r="AU1069" t="inlineStr">
        <is>
          <t>854636784:eng</t>
        </is>
      </c>
      <c r="AV1069" t="inlineStr">
        <is>
          <t>37300682</t>
        </is>
      </c>
      <c r="AW1069" t="inlineStr">
        <is>
          <t>991002832229702656</t>
        </is>
      </c>
      <c r="AX1069" t="inlineStr">
        <is>
          <t>991002832229702656</t>
        </is>
      </c>
      <c r="AY1069" t="inlineStr">
        <is>
          <t>2259531320002656</t>
        </is>
      </c>
      <c r="AZ1069" t="inlineStr">
        <is>
          <t>BOOK</t>
        </is>
      </c>
      <c r="BB1069" t="inlineStr">
        <is>
          <t>9780814624579</t>
        </is>
      </c>
      <c r="BC1069" t="inlineStr">
        <is>
          <t>32285003492260</t>
        </is>
      </c>
      <c r="BD1069" t="inlineStr">
        <is>
          <t>893341903</t>
        </is>
      </c>
    </row>
    <row r="1070">
      <c r="A1070" t="inlineStr">
        <is>
          <t>No</t>
        </is>
      </c>
      <c r="B1070" t="inlineStr">
        <is>
          <t>BX2003 .N3</t>
        </is>
      </c>
      <c r="C1070" t="inlineStr">
        <is>
          <t>0                      BX 2003000N  3</t>
        </is>
      </c>
      <c r="D1070" t="inlineStr">
        <is>
          <t>Proclaim the word : the lectionary for mass.</t>
        </is>
      </c>
      <c r="F1070" t="inlineStr">
        <is>
          <t>No</t>
        </is>
      </c>
      <c r="G1070" t="inlineStr">
        <is>
          <t>1</t>
        </is>
      </c>
      <c r="H1070" t="inlineStr">
        <is>
          <t>No</t>
        </is>
      </c>
      <c r="I1070" t="inlineStr">
        <is>
          <t>No</t>
        </is>
      </c>
      <c r="J1070" t="inlineStr">
        <is>
          <t>0</t>
        </is>
      </c>
      <c r="K1070" t="inlineStr">
        <is>
          <t>Catholic Church. National Conference of Catholic Bishops. Bishops' Committee on the Liturgy.</t>
        </is>
      </c>
      <c r="L1070" t="inlineStr">
        <is>
          <t>Washington, D.C. : United States Catholic Conference. Office of Publishing Services, 1982.</t>
        </is>
      </c>
      <c r="M1070" t="inlineStr">
        <is>
          <t>1982</t>
        </is>
      </c>
      <c r="O1070" t="inlineStr">
        <is>
          <t>eng</t>
        </is>
      </c>
      <c r="P1070" t="inlineStr">
        <is>
          <t>dcu</t>
        </is>
      </c>
      <c r="Q1070" t="inlineStr">
        <is>
          <t>Liturgy study text series, 8</t>
        </is>
      </c>
      <c r="R1070" t="inlineStr">
        <is>
          <t xml:space="preserve">BX </t>
        </is>
      </c>
      <c r="S1070" t="n">
        <v>5</v>
      </c>
      <c r="T1070" t="n">
        <v>5</v>
      </c>
      <c r="U1070" t="inlineStr">
        <is>
          <t>1997-06-17</t>
        </is>
      </c>
      <c r="V1070" t="inlineStr">
        <is>
          <t>1997-06-17</t>
        </is>
      </c>
      <c r="W1070" t="inlineStr">
        <is>
          <t>1991-09-16</t>
        </is>
      </c>
      <c r="X1070" t="inlineStr">
        <is>
          <t>1991-09-16</t>
        </is>
      </c>
      <c r="Y1070" t="n">
        <v>101</v>
      </c>
      <c r="Z1070" t="n">
        <v>89</v>
      </c>
      <c r="AA1070" t="n">
        <v>89</v>
      </c>
      <c r="AB1070" t="n">
        <v>1</v>
      </c>
      <c r="AC1070" t="n">
        <v>1</v>
      </c>
      <c r="AD1070" t="n">
        <v>13</v>
      </c>
      <c r="AE1070" t="n">
        <v>13</v>
      </c>
      <c r="AF1070" t="n">
        <v>4</v>
      </c>
      <c r="AG1070" t="n">
        <v>4</v>
      </c>
      <c r="AH1070" t="n">
        <v>4</v>
      </c>
      <c r="AI1070" t="n">
        <v>4</v>
      </c>
      <c r="AJ1070" t="n">
        <v>9</v>
      </c>
      <c r="AK1070" t="n">
        <v>9</v>
      </c>
      <c r="AL1070" t="n">
        <v>0</v>
      </c>
      <c r="AM1070" t="n">
        <v>0</v>
      </c>
      <c r="AN1070" t="n">
        <v>0</v>
      </c>
      <c r="AO1070" t="n">
        <v>0</v>
      </c>
      <c r="AP1070" t="inlineStr">
        <is>
          <t>No</t>
        </is>
      </c>
      <c r="AQ1070" t="inlineStr">
        <is>
          <t>No</t>
        </is>
      </c>
      <c r="AS1070">
        <f>HYPERLINK("https://creighton-primo.hosted.exlibrisgroup.com/primo-explore/search?tab=default_tab&amp;search_scope=EVERYTHING&amp;vid=01CRU&amp;lang=en_US&amp;offset=0&amp;query=any,contains,991000040539702656","Catalog Record")</f>
        <v/>
      </c>
      <c r="AT1070">
        <f>HYPERLINK("http://www.worldcat.org/oclc/9066165","WorldCat Record")</f>
        <v/>
      </c>
      <c r="AU1070" t="inlineStr">
        <is>
          <t>5623755956:eng</t>
        </is>
      </c>
      <c r="AV1070" t="inlineStr">
        <is>
          <t>9066165</t>
        </is>
      </c>
      <c r="AW1070" t="inlineStr">
        <is>
          <t>991000040539702656</t>
        </is>
      </c>
      <c r="AX1070" t="inlineStr">
        <is>
          <t>991000040539702656</t>
        </is>
      </c>
      <c r="AY1070" t="inlineStr">
        <is>
          <t>2264884040002656</t>
        </is>
      </c>
      <c r="AZ1070" t="inlineStr">
        <is>
          <t>BOOK</t>
        </is>
      </c>
      <c r="BC1070" t="inlineStr">
        <is>
          <t>32285000743186</t>
        </is>
      </c>
      <c r="BD1070" t="inlineStr">
        <is>
          <t>893237021</t>
        </is>
      </c>
    </row>
    <row r="1071">
      <c r="A1071" t="inlineStr">
        <is>
          <t>No</t>
        </is>
      </c>
      <c r="B1071" t="inlineStr">
        <is>
          <t>BX2003.A55 C37 1976</t>
        </is>
      </c>
      <c r="C1071" t="inlineStr">
        <is>
          <t>0                      BX 2003000A  55                 C  37          1976</t>
        </is>
      </c>
      <c r="D1071" t="inlineStr">
        <is>
          <t>Weekday lectionary for masses with children : arranged according to the seasons of the year / edited by Clement Tierney.</t>
        </is>
      </c>
      <c r="F1071" t="inlineStr">
        <is>
          <t>No</t>
        </is>
      </c>
      <c r="G1071" t="inlineStr">
        <is>
          <t>1</t>
        </is>
      </c>
      <c r="H1071" t="inlineStr">
        <is>
          <t>No</t>
        </is>
      </c>
      <c r="I1071" t="inlineStr">
        <is>
          <t>No</t>
        </is>
      </c>
      <c r="J1071" t="inlineStr">
        <is>
          <t>0</t>
        </is>
      </c>
      <c r="K1071" t="inlineStr">
        <is>
          <t>Catholic Church.</t>
        </is>
      </c>
      <c r="L1071" t="inlineStr">
        <is>
          <t>Sydney : E.J. Dwyer ; New York : distributed in the United States of America by Costello Pub. Co., 1976</t>
        </is>
      </c>
      <c r="M1071" t="inlineStr">
        <is>
          <t>1976</t>
        </is>
      </c>
      <c r="O1071" t="inlineStr">
        <is>
          <t>eng</t>
        </is>
      </c>
      <c r="P1071" t="inlineStr">
        <is>
          <t xml:space="preserve">at </t>
        </is>
      </c>
      <c r="R1071" t="inlineStr">
        <is>
          <t xml:space="preserve">BX </t>
        </is>
      </c>
      <c r="S1071" t="n">
        <v>2</v>
      </c>
      <c r="T1071" t="n">
        <v>2</v>
      </c>
      <c r="U1071" t="inlineStr">
        <is>
          <t>2007-10-11</t>
        </is>
      </c>
      <c r="V1071" t="inlineStr">
        <is>
          <t>2007-10-11</t>
        </is>
      </c>
      <c r="W1071" t="inlineStr">
        <is>
          <t>1991-09-16</t>
        </is>
      </c>
      <c r="X1071" t="inlineStr">
        <is>
          <t>1991-09-16</t>
        </is>
      </c>
      <c r="Y1071" t="n">
        <v>23</v>
      </c>
      <c r="Z1071" t="n">
        <v>19</v>
      </c>
      <c r="AA1071" t="n">
        <v>23</v>
      </c>
      <c r="AB1071" t="n">
        <v>1</v>
      </c>
      <c r="AC1071" t="n">
        <v>1</v>
      </c>
      <c r="AD1071" t="n">
        <v>3</v>
      </c>
      <c r="AE1071" t="n">
        <v>3</v>
      </c>
      <c r="AF1071" t="n">
        <v>0</v>
      </c>
      <c r="AG1071" t="n">
        <v>0</v>
      </c>
      <c r="AH1071" t="n">
        <v>1</v>
      </c>
      <c r="AI1071" t="n">
        <v>1</v>
      </c>
      <c r="AJ1071" t="n">
        <v>2</v>
      </c>
      <c r="AK1071" t="n">
        <v>2</v>
      </c>
      <c r="AL1071" t="n">
        <v>0</v>
      </c>
      <c r="AM1071" t="n">
        <v>0</v>
      </c>
      <c r="AN1071" t="n">
        <v>0</v>
      </c>
      <c r="AO1071" t="n">
        <v>0</v>
      </c>
      <c r="AP1071" t="inlineStr">
        <is>
          <t>No</t>
        </is>
      </c>
      <c r="AQ1071" t="inlineStr">
        <is>
          <t>No</t>
        </is>
      </c>
      <c r="AS1071">
        <f>HYPERLINK("https://creighton-primo.hosted.exlibrisgroup.com/primo-explore/search?tab=default_tab&amp;search_scope=EVERYTHING&amp;vid=01CRU&amp;lang=en_US&amp;offset=0&amp;query=any,contains,991000788809702656","Catalog Record")</f>
        <v/>
      </c>
      <c r="AT1071">
        <f>HYPERLINK("http://www.worldcat.org/oclc/13127444","WorldCat Record")</f>
        <v/>
      </c>
      <c r="AU1071" t="inlineStr">
        <is>
          <t>1806288765:eng</t>
        </is>
      </c>
      <c r="AV1071" t="inlineStr">
        <is>
          <t>13127444</t>
        </is>
      </c>
      <c r="AW1071" t="inlineStr">
        <is>
          <t>991000788809702656</t>
        </is>
      </c>
      <c r="AX1071" t="inlineStr">
        <is>
          <t>991000788809702656</t>
        </is>
      </c>
      <c r="AY1071" t="inlineStr">
        <is>
          <t>2256317570002656</t>
        </is>
      </c>
      <c r="AZ1071" t="inlineStr">
        <is>
          <t>BOOK</t>
        </is>
      </c>
      <c r="BB1071" t="inlineStr">
        <is>
          <t>9780855744175</t>
        </is>
      </c>
      <c r="BC1071" t="inlineStr">
        <is>
          <t>32285000743178</t>
        </is>
      </c>
      <c r="BD1071" t="inlineStr">
        <is>
          <t>893345977</t>
        </is>
      </c>
    </row>
    <row r="1072">
      <c r="A1072" t="inlineStr">
        <is>
          <t>No</t>
        </is>
      </c>
      <c r="B1072" t="inlineStr">
        <is>
          <t>BX2003.A55 D66 1993</t>
        </is>
      </c>
      <c r="C1072" t="inlineStr">
        <is>
          <t>0                      BX 2003000A  55                 D  66          1993</t>
        </is>
      </c>
      <c r="D1072" t="inlineStr">
        <is>
          <t>To listen and tell : introduction to the Lectionary for masses with children / with commentary by Kate Dooley.</t>
        </is>
      </c>
      <c r="F1072" t="inlineStr">
        <is>
          <t>No</t>
        </is>
      </c>
      <c r="G1072" t="inlineStr">
        <is>
          <t>1</t>
        </is>
      </c>
      <c r="H1072" t="inlineStr">
        <is>
          <t>No</t>
        </is>
      </c>
      <c r="I1072" t="inlineStr">
        <is>
          <t>No</t>
        </is>
      </c>
      <c r="J1072" t="inlineStr">
        <is>
          <t>0</t>
        </is>
      </c>
      <c r="K1072" t="inlineStr">
        <is>
          <t>Dooley, Kate.</t>
        </is>
      </c>
      <c r="L1072" t="inlineStr">
        <is>
          <t>Washington, DC : Pastoral Press, c1993.</t>
        </is>
      </c>
      <c r="M1072" t="inlineStr">
        <is>
          <t>1993</t>
        </is>
      </c>
      <c r="O1072" t="inlineStr">
        <is>
          <t>eng</t>
        </is>
      </c>
      <c r="P1072" t="inlineStr">
        <is>
          <t>dcu</t>
        </is>
      </c>
      <c r="R1072" t="inlineStr">
        <is>
          <t xml:space="preserve">BX </t>
        </is>
      </c>
      <c r="S1072" t="n">
        <v>2</v>
      </c>
      <c r="T1072" t="n">
        <v>2</v>
      </c>
      <c r="U1072" t="inlineStr">
        <is>
          <t>2007-10-11</t>
        </is>
      </c>
      <c r="V1072" t="inlineStr">
        <is>
          <t>2007-10-11</t>
        </is>
      </c>
      <c r="W1072" t="inlineStr">
        <is>
          <t>2004-05-05</t>
        </is>
      </c>
      <c r="X1072" t="inlineStr">
        <is>
          <t>2004-05-05</t>
        </is>
      </c>
      <c r="Y1072" t="n">
        <v>34</v>
      </c>
      <c r="Z1072" t="n">
        <v>24</v>
      </c>
      <c r="AA1072" t="n">
        <v>24</v>
      </c>
      <c r="AB1072" t="n">
        <v>1</v>
      </c>
      <c r="AC1072" t="n">
        <v>1</v>
      </c>
      <c r="AD1072" t="n">
        <v>2</v>
      </c>
      <c r="AE1072" t="n">
        <v>2</v>
      </c>
      <c r="AF1072" t="n">
        <v>0</v>
      </c>
      <c r="AG1072" t="n">
        <v>0</v>
      </c>
      <c r="AH1072" t="n">
        <v>1</v>
      </c>
      <c r="AI1072" t="n">
        <v>1</v>
      </c>
      <c r="AJ1072" t="n">
        <v>1</v>
      </c>
      <c r="AK1072" t="n">
        <v>1</v>
      </c>
      <c r="AL1072" t="n">
        <v>0</v>
      </c>
      <c r="AM1072" t="n">
        <v>0</v>
      </c>
      <c r="AN1072" t="n">
        <v>0</v>
      </c>
      <c r="AO1072" t="n">
        <v>0</v>
      </c>
      <c r="AP1072" t="inlineStr">
        <is>
          <t>No</t>
        </is>
      </c>
      <c r="AQ1072" t="inlineStr">
        <is>
          <t>No</t>
        </is>
      </c>
      <c r="AS1072">
        <f>HYPERLINK("https://creighton-primo.hosted.exlibrisgroup.com/primo-explore/search?tab=default_tab&amp;search_scope=EVERYTHING&amp;vid=01CRU&amp;lang=en_US&amp;offset=0&amp;query=any,contains,991004295589702656","Catalog Record")</f>
        <v/>
      </c>
      <c r="AT1072">
        <f>HYPERLINK("http://www.worldcat.org/oclc/31603397","WorldCat Record")</f>
        <v/>
      </c>
      <c r="AU1072" t="inlineStr">
        <is>
          <t>33232901:eng</t>
        </is>
      </c>
      <c r="AV1072" t="inlineStr">
        <is>
          <t>31603397</t>
        </is>
      </c>
      <c r="AW1072" t="inlineStr">
        <is>
          <t>991004295589702656</t>
        </is>
      </c>
      <c r="AX1072" t="inlineStr">
        <is>
          <t>991004295589702656</t>
        </is>
      </c>
      <c r="AY1072" t="inlineStr">
        <is>
          <t>2271729790002656</t>
        </is>
      </c>
      <c r="AZ1072" t="inlineStr">
        <is>
          <t>BOOK</t>
        </is>
      </c>
      <c r="BB1072" t="inlineStr">
        <is>
          <t>9781569290149</t>
        </is>
      </c>
      <c r="BC1072" t="inlineStr">
        <is>
          <t>32285004904107</t>
        </is>
      </c>
      <c r="BD1072" t="inlineStr">
        <is>
          <t>893423631</t>
        </is>
      </c>
    </row>
    <row r="1073">
      <c r="A1073" t="inlineStr">
        <is>
          <t>No</t>
        </is>
      </c>
      <c r="B1073" t="inlineStr">
        <is>
          <t>BX2010 .A2 1923</t>
        </is>
      </c>
      <c r="C1073" t="inlineStr">
        <is>
          <t>0                      BX 2010000A  2           1923</t>
        </is>
      </c>
      <c r="D1073" t="inlineStr">
        <is>
          <t>The office of Holy Week from the Roman breviary and missal / with the traditional chants in modern notation according to the latest version of the Vatican Press. Rev. and compiled by Leo P. Manzetti.</t>
        </is>
      </c>
      <c r="F1073" t="inlineStr">
        <is>
          <t>No</t>
        </is>
      </c>
      <c r="G1073" t="inlineStr">
        <is>
          <t>1</t>
        </is>
      </c>
      <c r="H1073" t="inlineStr">
        <is>
          <t>No</t>
        </is>
      </c>
      <c r="I1073" t="inlineStr">
        <is>
          <t>No</t>
        </is>
      </c>
      <c r="J1073" t="inlineStr">
        <is>
          <t>0</t>
        </is>
      </c>
      <c r="K1073" t="inlineStr">
        <is>
          <t>Catholic Church.</t>
        </is>
      </c>
      <c r="L1073" t="inlineStr">
        <is>
          <t>New York : P. J. Kenedy, [1923]</t>
        </is>
      </c>
      <c r="M1073" t="inlineStr">
        <is>
          <t>1923</t>
        </is>
      </c>
      <c r="N1073" t="inlineStr">
        <is>
          <t>Rev. ed.</t>
        </is>
      </c>
      <c r="O1073" t="inlineStr">
        <is>
          <t>eng</t>
        </is>
      </c>
      <c r="P1073" t="inlineStr">
        <is>
          <t>___</t>
        </is>
      </c>
      <c r="R1073" t="inlineStr">
        <is>
          <t xml:space="preserve">BX </t>
        </is>
      </c>
      <c r="S1073" t="n">
        <v>1</v>
      </c>
      <c r="T1073" t="n">
        <v>1</v>
      </c>
      <c r="U1073" t="inlineStr">
        <is>
          <t>2010-06-21</t>
        </is>
      </c>
      <c r="V1073" t="inlineStr">
        <is>
          <t>2010-06-21</t>
        </is>
      </c>
      <c r="W1073" t="inlineStr">
        <is>
          <t>1991-09-16</t>
        </is>
      </c>
      <c r="X1073" t="inlineStr">
        <is>
          <t>1991-09-16</t>
        </is>
      </c>
      <c r="Y1073" t="n">
        <v>37</v>
      </c>
      <c r="Z1073" t="n">
        <v>37</v>
      </c>
      <c r="AA1073" t="n">
        <v>37</v>
      </c>
      <c r="AB1073" t="n">
        <v>2</v>
      </c>
      <c r="AC1073" t="n">
        <v>2</v>
      </c>
      <c r="AD1073" t="n">
        <v>2</v>
      </c>
      <c r="AE1073" t="n">
        <v>2</v>
      </c>
      <c r="AF1073" t="n">
        <v>1</v>
      </c>
      <c r="AG1073" t="n">
        <v>1</v>
      </c>
      <c r="AH1073" t="n">
        <v>0</v>
      </c>
      <c r="AI1073" t="n">
        <v>0</v>
      </c>
      <c r="AJ1073" t="n">
        <v>2</v>
      </c>
      <c r="AK1073" t="n">
        <v>2</v>
      </c>
      <c r="AL1073" t="n">
        <v>0</v>
      </c>
      <c r="AM1073" t="n">
        <v>0</v>
      </c>
      <c r="AN1073" t="n">
        <v>0</v>
      </c>
      <c r="AO1073" t="n">
        <v>0</v>
      </c>
      <c r="AP1073" t="inlineStr">
        <is>
          <t>No</t>
        </is>
      </c>
      <c r="AQ1073" t="inlineStr">
        <is>
          <t>No</t>
        </is>
      </c>
      <c r="AS1073">
        <f>HYPERLINK("https://creighton-primo.hosted.exlibrisgroup.com/primo-explore/search?tab=default_tab&amp;search_scope=EVERYTHING&amp;vid=01CRU&amp;lang=en_US&amp;offset=0&amp;query=any,contains,991003358719702656","Catalog Record")</f>
        <v/>
      </c>
      <c r="AT1073">
        <f>HYPERLINK("http://www.worldcat.org/oclc/894029","WorldCat Record")</f>
        <v/>
      </c>
      <c r="AU1073" t="inlineStr">
        <is>
          <t>2960480791:eng</t>
        </is>
      </c>
      <c r="AV1073" t="inlineStr">
        <is>
          <t>894029</t>
        </is>
      </c>
      <c r="AW1073" t="inlineStr">
        <is>
          <t>991003358719702656</t>
        </is>
      </c>
      <c r="AX1073" t="inlineStr">
        <is>
          <t>991003358719702656</t>
        </is>
      </c>
      <c r="AY1073" t="inlineStr">
        <is>
          <t>2260390050002656</t>
        </is>
      </c>
      <c r="AZ1073" t="inlineStr">
        <is>
          <t>BOOK</t>
        </is>
      </c>
      <c r="BC1073" t="inlineStr">
        <is>
          <t>32285000743194</t>
        </is>
      </c>
      <c r="BD1073" t="inlineStr">
        <is>
          <t>893617280</t>
        </is>
      </c>
    </row>
    <row r="1074">
      <c r="A1074" t="inlineStr">
        <is>
          <t>No</t>
        </is>
      </c>
      <c r="B1074" t="inlineStr">
        <is>
          <t>BX2010 .W5 1852</t>
        </is>
      </c>
      <c r="C1074" t="inlineStr">
        <is>
          <t>0                      BX 2010000W  5           1852</t>
        </is>
      </c>
      <c r="D1074" t="inlineStr">
        <is>
          <t>Four lectures on the offices and ceremonies of Holy Week : as performed in the papal chapels : delivered in Rome in the Lent of MDCCCXXXVII / by Cardinal Wiseman.</t>
        </is>
      </c>
      <c r="F1074" t="inlineStr">
        <is>
          <t>No</t>
        </is>
      </c>
      <c r="G1074" t="inlineStr">
        <is>
          <t>1</t>
        </is>
      </c>
      <c r="H1074" t="inlineStr">
        <is>
          <t>No</t>
        </is>
      </c>
      <c r="I1074" t="inlineStr">
        <is>
          <t>No</t>
        </is>
      </c>
      <c r="J1074" t="inlineStr">
        <is>
          <t>0</t>
        </is>
      </c>
      <c r="K1074" t="inlineStr">
        <is>
          <t>Wiseman, Nicholas Patrick, 1802-1865.</t>
        </is>
      </c>
      <c r="L1074" t="inlineStr">
        <is>
          <t>Baltimore : J. Murphy &amp; co. ; Pittsburgh : G. Quigley, 1852.</t>
        </is>
      </c>
      <c r="M1074" t="inlineStr">
        <is>
          <t>1854</t>
        </is>
      </c>
      <c r="N1074" t="inlineStr">
        <is>
          <t>1st American, from the last London ed.</t>
        </is>
      </c>
      <c r="O1074" t="inlineStr">
        <is>
          <t>eng</t>
        </is>
      </c>
      <c r="P1074" t="inlineStr">
        <is>
          <t>mdu</t>
        </is>
      </c>
      <c r="R1074" t="inlineStr">
        <is>
          <t xml:space="preserve">BX </t>
        </is>
      </c>
      <c r="S1074" t="n">
        <v>1</v>
      </c>
      <c r="T1074" t="n">
        <v>1</v>
      </c>
      <c r="U1074" t="inlineStr">
        <is>
          <t>1994-07-20</t>
        </is>
      </c>
      <c r="V1074" t="inlineStr">
        <is>
          <t>1994-07-20</t>
        </is>
      </c>
      <c r="W1074" t="inlineStr">
        <is>
          <t>1991-09-16</t>
        </is>
      </c>
      <c r="X1074" t="inlineStr">
        <is>
          <t>1991-09-16</t>
        </is>
      </c>
      <c r="Y1074" t="n">
        <v>30</v>
      </c>
      <c r="Z1074" t="n">
        <v>26</v>
      </c>
      <c r="AA1074" t="n">
        <v>83</v>
      </c>
      <c r="AB1074" t="n">
        <v>1</v>
      </c>
      <c r="AC1074" t="n">
        <v>1</v>
      </c>
      <c r="AD1074" t="n">
        <v>6</v>
      </c>
      <c r="AE1074" t="n">
        <v>11</v>
      </c>
      <c r="AF1074" t="n">
        <v>1</v>
      </c>
      <c r="AG1074" t="n">
        <v>2</v>
      </c>
      <c r="AH1074" t="n">
        <v>2</v>
      </c>
      <c r="AI1074" t="n">
        <v>3</v>
      </c>
      <c r="AJ1074" t="n">
        <v>5</v>
      </c>
      <c r="AK1074" t="n">
        <v>8</v>
      </c>
      <c r="AL1074" t="n">
        <v>0</v>
      </c>
      <c r="AM1074" t="n">
        <v>0</v>
      </c>
      <c r="AN1074" t="n">
        <v>0</v>
      </c>
      <c r="AO1074" t="n">
        <v>0</v>
      </c>
      <c r="AP1074" t="inlineStr">
        <is>
          <t>Yes</t>
        </is>
      </c>
      <c r="AQ1074" t="inlineStr">
        <is>
          <t>No</t>
        </is>
      </c>
      <c r="AR1074">
        <f>HYPERLINK("http://catalog.hathitrust.org/Record/011621008","HathiTrust Record")</f>
        <v/>
      </c>
      <c r="AS1074">
        <f>HYPERLINK("https://creighton-primo.hosted.exlibrisgroup.com/primo-explore/search?tab=default_tab&amp;search_scope=EVERYTHING&amp;vid=01CRU&amp;lang=en_US&amp;offset=0&amp;query=any,contains,991005023879702656","Catalog Record")</f>
        <v/>
      </c>
      <c r="AT1074">
        <f>HYPERLINK("http://www.worldcat.org/oclc/6674182","WorldCat Record")</f>
        <v/>
      </c>
      <c r="AU1074" t="inlineStr">
        <is>
          <t>4159843943:eng</t>
        </is>
      </c>
      <c r="AV1074" t="inlineStr">
        <is>
          <t>6674182</t>
        </is>
      </c>
      <c r="AW1074" t="inlineStr">
        <is>
          <t>991005023879702656</t>
        </is>
      </c>
      <c r="AX1074" t="inlineStr">
        <is>
          <t>991005023879702656</t>
        </is>
      </c>
      <c r="AY1074" t="inlineStr">
        <is>
          <t>2256253500002656</t>
        </is>
      </c>
      <c r="AZ1074" t="inlineStr">
        <is>
          <t>BOOK</t>
        </is>
      </c>
      <c r="BC1074" t="inlineStr">
        <is>
          <t>32285000743228</t>
        </is>
      </c>
      <c r="BD1074" t="inlineStr">
        <is>
          <t>893870393</t>
        </is>
      </c>
    </row>
    <row r="1075">
      <c r="A1075" t="inlineStr">
        <is>
          <t>No</t>
        </is>
      </c>
      <c r="B1075" t="inlineStr">
        <is>
          <t>BX2010.A5 G3 1954</t>
        </is>
      </c>
      <c r="C1075" t="inlineStr">
        <is>
          <t>0                      BX 2010000A  5                  G  3           1954</t>
        </is>
      </c>
      <c r="D1075" t="inlineStr">
        <is>
          <t>Holy week and Easter : a liturgical commentary / William Busch, translator. With a forward [sic] by Peter W. Bartholome.</t>
        </is>
      </c>
      <c r="F1075" t="inlineStr">
        <is>
          <t>No</t>
        </is>
      </c>
      <c r="G1075" t="inlineStr">
        <is>
          <t>1</t>
        </is>
      </c>
      <c r="H1075" t="inlineStr">
        <is>
          <t>No</t>
        </is>
      </c>
      <c r="I1075" t="inlineStr">
        <is>
          <t>No</t>
        </is>
      </c>
      <c r="J1075" t="inlineStr">
        <is>
          <t>0</t>
        </is>
      </c>
      <c r="K1075" t="inlineStr">
        <is>
          <t>Gaillard, Jean, 1910-</t>
        </is>
      </c>
      <c r="L1075" t="inlineStr">
        <is>
          <t>[Collegeville, Minn.] : Liturgical Press, [1954]</t>
        </is>
      </c>
      <c r="M1075" t="inlineStr">
        <is>
          <t>1954</t>
        </is>
      </c>
      <c r="O1075" t="inlineStr">
        <is>
          <t>eng</t>
        </is>
      </c>
      <c r="P1075" t="inlineStr">
        <is>
          <t>mnu</t>
        </is>
      </c>
      <c r="Q1075" t="inlineStr">
        <is>
          <t>Popular liturgical library</t>
        </is>
      </c>
      <c r="R1075" t="inlineStr">
        <is>
          <t xml:space="preserve">BX </t>
        </is>
      </c>
      <c r="S1075" t="n">
        <v>1</v>
      </c>
      <c r="T1075" t="n">
        <v>1</v>
      </c>
      <c r="U1075" t="inlineStr">
        <is>
          <t>1994-07-20</t>
        </is>
      </c>
      <c r="V1075" t="inlineStr">
        <is>
          <t>1994-07-20</t>
        </is>
      </c>
      <c r="W1075" t="inlineStr">
        <is>
          <t>1991-09-16</t>
        </is>
      </c>
      <c r="X1075" t="inlineStr">
        <is>
          <t>1991-09-16</t>
        </is>
      </c>
      <c r="Y1075" t="n">
        <v>81</v>
      </c>
      <c r="Z1075" t="n">
        <v>70</v>
      </c>
      <c r="AA1075" t="n">
        <v>107</v>
      </c>
      <c r="AB1075" t="n">
        <v>2</v>
      </c>
      <c r="AC1075" t="n">
        <v>3</v>
      </c>
      <c r="AD1075" t="n">
        <v>14</v>
      </c>
      <c r="AE1075" t="n">
        <v>21</v>
      </c>
      <c r="AF1075" t="n">
        <v>5</v>
      </c>
      <c r="AG1075" t="n">
        <v>7</v>
      </c>
      <c r="AH1075" t="n">
        <v>2</v>
      </c>
      <c r="AI1075" t="n">
        <v>3</v>
      </c>
      <c r="AJ1075" t="n">
        <v>10</v>
      </c>
      <c r="AK1075" t="n">
        <v>14</v>
      </c>
      <c r="AL1075" t="n">
        <v>0</v>
      </c>
      <c r="AM1075" t="n">
        <v>1</v>
      </c>
      <c r="AN1075" t="n">
        <v>0</v>
      </c>
      <c r="AO1075" t="n">
        <v>0</v>
      </c>
      <c r="AP1075" t="inlineStr">
        <is>
          <t>No</t>
        </is>
      </c>
      <c r="AQ1075" t="inlineStr">
        <is>
          <t>No</t>
        </is>
      </c>
      <c r="AS1075">
        <f>HYPERLINK("https://creighton-primo.hosted.exlibrisgroup.com/primo-explore/search?tab=default_tab&amp;search_scope=EVERYTHING&amp;vid=01CRU&amp;lang=en_US&amp;offset=0&amp;query=any,contains,991004581469702656","Catalog Record")</f>
        <v/>
      </c>
      <c r="AT1075">
        <f>HYPERLINK("http://www.worldcat.org/oclc/4061470","WorldCat Record")</f>
        <v/>
      </c>
      <c r="AU1075" t="inlineStr">
        <is>
          <t>424551948:eng</t>
        </is>
      </c>
      <c r="AV1075" t="inlineStr">
        <is>
          <t>4061470</t>
        </is>
      </c>
      <c r="AW1075" t="inlineStr">
        <is>
          <t>991004581469702656</t>
        </is>
      </c>
      <c r="AX1075" t="inlineStr">
        <is>
          <t>991004581469702656</t>
        </is>
      </c>
      <c r="AY1075" t="inlineStr">
        <is>
          <t>2265028820002656</t>
        </is>
      </c>
      <c r="AZ1075" t="inlineStr">
        <is>
          <t>BOOK</t>
        </is>
      </c>
      <c r="BC1075" t="inlineStr">
        <is>
          <t>32285000743202</t>
        </is>
      </c>
      <c r="BD1075" t="inlineStr">
        <is>
          <t>893430230</t>
        </is>
      </c>
    </row>
    <row r="1076">
      <c r="A1076" t="inlineStr">
        <is>
          <t>No</t>
        </is>
      </c>
      <c r="B1076" t="inlineStr">
        <is>
          <t>BX2015 .E52 1948</t>
        </is>
      </c>
      <c r="C1076" t="inlineStr">
        <is>
          <t>0                      BX 2015000E  52          1948</t>
        </is>
      </c>
      <c r="D1076" t="inlineStr">
        <is>
          <t>The Mass of the future / Gerald Ellard.</t>
        </is>
      </c>
      <c r="F1076" t="inlineStr">
        <is>
          <t>No</t>
        </is>
      </c>
      <c r="G1076" t="inlineStr">
        <is>
          <t>1</t>
        </is>
      </c>
      <c r="H1076" t="inlineStr">
        <is>
          <t>No</t>
        </is>
      </c>
      <c r="I1076" t="inlineStr">
        <is>
          <t>No</t>
        </is>
      </c>
      <c r="J1076" t="inlineStr">
        <is>
          <t>0</t>
        </is>
      </c>
      <c r="K1076" t="inlineStr">
        <is>
          <t>Ellard, Gerald, 1894-1963.</t>
        </is>
      </c>
      <c r="L1076" t="inlineStr">
        <is>
          <t>Milwaukee : Bruce, [1948]</t>
        </is>
      </c>
      <c r="M1076" t="inlineStr">
        <is>
          <t>1948</t>
        </is>
      </c>
      <c r="O1076" t="inlineStr">
        <is>
          <t>eng</t>
        </is>
      </c>
      <c r="P1076" t="inlineStr">
        <is>
          <t xml:space="preserve">xx </t>
        </is>
      </c>
      <c r="R1076" t="inlineStr">
        <is>
          <t xml:space="preserve">BX </t>
        </is>
      </c>
      <c r="S1076" t="n">
        <v>3</v>
      </c>
      <c r="T1076" t="n">
        <v>3</v>
      </c>
      <c r="U1076" t="inlineStr">
        <is>
          <t>2009-05-29</t>
        </is>
      </c>
      <c r="V1076" t="inlineStr">
        <is>
          <t>2009-05-29</t>
        </is>
      </c>
      <c r="W1076" t="inlineStr">
        <is>
          <t>1991-09-16</t>
        </is>
      </c>
      <c r="X1076" t="inlineStr">
        <is>
          <t>1991-09-16</t>
        </is>
      </c>
      <c r="Y1076" t="n">
        <v>231</v>
      </c>
      <c r="Z1076" t="n">
        <v>190</v>
      </c>
      <c r="AA1076" t="n">
        <v>196</v>
      </c>
      <c r="AB1076" t="n">
        <v>4</v>
      </c>
      <c r="AC1076" t="n">
        <v>4</v>
      </c>
      <c r="AD1076" t="n">
        <v>30</v>
      </c>
      <c r="AE1076" t="n">
        <v>30</v>
      </c>
      <c r="AF1076" t="n">
        <v>10</v>
      </c>
      <c r="AG1076" t="n">
        <v>10</v>
      </c>
      <c r="AH1076" t="n">
        <v>6</v>
      </c>
      <c r="AI1076" t="n">
        <v>6</v>
      </c>
      <c r="AJ1076" t="n">
        <v>22</v>
      </c>
      <c r="AK1076" t="n">
        <v>22</v>
      </c>
      <c r="AL1076" t="n">
        <v>1</v>
      </c>
      <c r="AM1076" t="n">
        <v>1</v>
      </c>
      <c r="AN1076" t="n">
        <v>0</v>
      </c>
      <c r="AO1076" t="n">
        <v>0</v>
      </c>
      <c r="AP1076" t="inlineStr">
        <is>
          <t>No</t>
        </is>
      </c>
      <c r="AQ1076" t="inlineStr">
        <is>
          <t>Yes</t>
        </is>
      </c>
      <c r="AR1076">
        <f>HYPERLINK("http://catalog.hathitrust.org/Record/101693336","HathiTrust Record")</f>
        <v/>
      </c>
      <c r="AS1076">
        <f>HYPERLINK("https://creighton-primo.hosted.exlibrisgroup.com/primo-explore/search?tab=default_tab&amp;search_scope=EVERYTHING&amp;vid=01CRU&amp;lang=en_US&amp;offset=0&amp;query=any,contains,991003760279702656","Catalog Record")</f>
        <v/>
      </c>
      <c r="AT1076">
        <f>HYPERLINK("http://www.worldcat.org/oclc/1446318","WorldCat Record")</f>
        <v/>
      </c>
      <c r="AU1076" t="inlineStr">
        <is>
          <t>2362685:eng</t>
        </is>
      </c>
      <c r="AV1076" t="inlineStr">
        <is>
          <t>1446318</t>
        </is>
      </c>
      <c r="AW1076" t="inlineStr">
        <is>
          <t>991003760279702656</t>
        </is>
      </c>
      <c r="AX1076" t="inlineStr">
        <is>
          <t>991003760279702656</t>
        </is>
      </c>
      <c r="AY1076" t="inlineStr">
        <is>
          <t>2256821090002656</t>
        </is>
      </c>
      <c r="AZ1076" t="inlineStr">
        <is>
          <t>BOOK</t>
        </is>
      </c>
      <c r="BC1076" t="inlineStr">
        <is>
          <t>32285000743400</t>
        </is>
      </c>
      <c r="BD1076" t="inlineStr">
        <is>
          <t>893794003</t>
        </is>
      </c>
    </row>
    <row r="1077">
      <c r="A1077" t="inlineStr">
        <is>
          <t>No</t>
        </is>
      </c>
      <c r="B1077" t="inlineStr">
        <is>
          <t>BX2015 .G27 1949</t>
        </is>
      </c>
      <c r="C1077" t="inlineStr">
        <is>
          <t>0                      BX 2015000G  27          1949</t>
        </is>
      </c>
      <c r="D1077" t="inlineStr">
        <is>
          <t>The Canon of the Mass : its history, theology, and art / by Jerome Gassner.</t>
        </is>
      </c>
      <c r="F1077" t="inlineStr">
        <is>
          <t>No</t>
        </is>
      </c>
      <c r="G1077" t="inlineStr">
        <is>
          <t>1</t>
        </is>
      </c>
      <c r="H1077" t="inlineStr">
        <is>
          <t>No</t>
        </is>
      </c>
      <c r="I1077" t="inlineStr">
        <is>
          <t>No</t>
        </is>
      </c>
      <c r="J1077" t="inlineStr">
        <is>
          <t>0</t>
        </is>
      </c>
      <c r="K1077" t="inlineStr">
        <is>
          <t>Gassner, Jerome, 1901-</t>
        </is>
      </c>
      <c r="L1077" t="inlineStr">
        <is>
          <t>St. Louis : B. Herder Book Co., 1949.</t>
        </is>
      </c>
      <c r="M1077" t="inlineStr">
        <is>
          <t>1949</t>
        </is>
      </c>
      <c r="O1077" t="inlineStr">
        <is>
          <t>eng</t>
        </is>
      </c>
      <c r="P1077" t="inlineStr">
        <is>
          <t>mou</t>
        </is>
      </c>
      <c r="R1077" t="inlineStr">
        <is>
          <t xml:space="preserve">BX </t>
        </is>
      </c>
      <c r="S1077" t="n">
        <v>4</v>
      </c>
      <c r="T1077" t="n">
        <v>4</v>
      </c>
      <c r="U1077" t="inlineStr">
        <is>
          <t>1994-08-30</t>
        </is>
      </c>
      <c r="V1077" t="inlineStr">
        <is>
          <t>1994-08-30</t>
        </is>
      </c>
      <c r="W1077" t="inlineStr">
        <is>
          <t>1991-09-16</t>
        </is>
      </c>
      <c r="X1077" t="inlineStr">
        <is>
          <t>1991-09-16</t>
        </is>
      </c>
      <c r="Y1077" t="n">
        <v>212</v>
      </c>
      <c r="Z1077" t="n">
        <v>193</v>
      </c>
      <c r="AA1077" t="n">
        <v>211</v>
      </c>
      <c r="AB1077" t="n">
        <v>5</v>
      </c>
      <c r="AC1077" t="n">
        <v>5</v>
      </c>
      <c r="AD1077" t="n">
        <v>31</v>
      </c>
      <c r="AE1077" t="n">
        <v>32</v>
      </c>
      <c r="AF1077" t="n">
        <v>10</v>
      </c>
      <c r="AG1077" t="n">
        <v>11</v>
      </c>
      <c r="AH1077" t="n">
        <v>8</v>
      </c>
      <c r="AI1077" t="n">
        <v>8</v>
      </c>
      <c r="AJ1077" t="n">
        <v>21</v>
      </c>
      <c r="AK1077" t="n">
        <v>22</v>
      </c>
      <c r="AL1077" t="n">
        <v>2</v>
      </c>
      <c r="AM1077" t="n">
        <v>2</v>
      </c>
      <c r="AN1077" t="n">
        <v>0</v>
      </c>
      <c r="AO1077" t="n">
        <v>0</v>
      </c>
      <c r="AP1077" t="inlineStr">
        <is>
          <t>No</t>
        </is>
      </c>
      <c r="AQ1077" t="inlineStr">
        <is>
          <t>No</t>
        </is>
      </c>
      <c r="AS1077">
        <f>HYPERLINK("https://creighton-primo.hosted.exlibrisgroup.com/primo-explore/search?tab=default_tab&amp;search_scope=EVERYTHING&amp;vid=01CRU&amp;lang=en_US&amp;offset=0&amp;query=any,contains,991004039549702656","Catalog Record")</f>
        <v/>
      </c>
      <c r="AT1077">
        <f>HYPERLINK("http://www.worldcat.org/oclc/2183916","WorldCat Record")</f>
        <v/>
      </c>
      <c r="AU1077" t="inlineStr">
        <is>
          <t>4214779:eng</t>
        </is>
      </c>
      <c r="AV1077" t="inlineStr">
        <is>
          <t>2183916</t>
        </is>
      </c>
      <c r="AW1077" t="inlineStr">
        <is>
          <t>991004039549702656</t>
        </is>
      </c>
      <c r="AX1077" t="inlineStr">
        <is>
          <t>991004039549702656</t>
        </is>
      </c>
      <c r="AY1077" t="inlineStr">
        <is>
          <t>2260188330002656</t>
        </is>
      </c>
      <c r="AZ1077" t="inlineStr">
        <is>
          <t>BOOK</t>
        </is>
      </c>
      <c r="BC1077" t="inlineStr">
        <is>
          <t>32285000743418</t>
        </is>
      </c>
      <c r="BD1077" t="inlineStr">
        <is>
          <t>893259251</t>
        </is>
      </c>
    </row>
    <row r="1078">
      <c r="A1078" t="inlineStr">
        <is>
          <t>No</t>
        </is>
      </c>
      <c r="B1078" t="inlineStr">
        <is>
          <t>BX2015 .S66 2003</t>
        </is>
      </c>
      <c r="C1078" t="inlineStr">
        <is>
          <t>0                      BX 2015000S  66          2003</t>
        </is>
      </c>
      <c r="D1078" t="inlineStr">
        <is>
          <t>The general instruction of the Roman Missal, 1969-2002 : a commentary / Dennis C. Smolarski.</t>
        </is>
      </c>
      <c r="F1078" t="inlineStr">
        <is>
          <t>No</t>
        </is>
      </c>
      <c r="G1078" t="inlineStr">
        <is>
          <t>1</t>
        </is>
      </c>
      <c r="H1078" t="inlineStr">
        <is>
          <t>No</t>
        </is>
      </c>
      <c r="I1078" t="inlineStr">
        <is>
          <t>No</t>
        </is>
      </c>
      <c r="J1078" t="inlineStr">
        <is>
          <t>0</t>
        </is>
      </c>
      <c r="K1078" t="inlineStr">
        <is>
          <t>Smolarski, Dennis Chester, 1947-</t>
        </is>
      </c>
      <c r="L1078" t="inlineStr">
        <is>
          <t>Collegeville, Minn. : Liturgical Press, c2003.</t>
        </is>
      </c>
      <c r="M1078" t="inlineStr">
        <is>
          <t>2003</t>
        </is>
      </c>
      <c r="O1078" t="inlineStr">
        <is>
          <t>eng</t>
        </is>
      </c>
      <c r="P1078" t="inlineStr">
        <is>
          <t>mnu</t>
        </is>
      </c>
      <c r="R1078" t="inlineStr">
        <is>
          <t xml:space="preserve">BX </t>
        </is>
      </c>
      <c r="S1078" t="n">
        <v>5</v>
      </c>
      <c r="T1078" t="n">
        <v>5</v>
      </c>
      <c r="U1078" t="inlineStr">
        <is>
          <t>2010-02-24</t>
        </is>
      </c>
      <c r="V1078" t="inlineStr">
        <is>
          <t>2010-02-24</t>
        </is>
      </c>
      <c r="W1078" t="inlineStr">
        <is>
          <t>2003-11-12</t>
        </is>
      </c>
      <c r="X1078" t="inlineStr">
        <is>
          <t>2003-11-12</t>
        </is>
      </c>
      <c r="Y1078" t="n">
        <v>131</v>
      </c>
      <c r="Z1078" t="n">
        <v>106</v>
      </c>
      <c r="AA1078" t="n">
        <v>106</v>
      </c>
      <c r="AB1078" t="n">
        <v>1</v>
      </c>
      <c r="AC1078" t="n">
        <v>1</v>
      </c>
      <c r="AD1078" t="n">
        <v>17</v>
      </c>
      <c r="AE1078" t="n">
        <v>17</v>
      </c>
      <c r="AF1078" t="n">
        <v>5</v>
      </c>
      <c r="AG1078" t="n">
        <v>5</v>
      </c>
      <c r="AH1078" t="n">
        <v>5</v>
      </c>
      <c r="AI1078" t="n">
        <v>5</v>
      </c>
      <c r="AJ1078" t="n">
        <v>13</v>
      </c>
      <c r="AK1078" t="n">
        <v>13</v>
      </c>
      <c r="AL1078" t="n">
        <v>0</v>
      </c>
      <c r="AM1078" t="n">
        <v>0</v>
      </c>
      <c r="AN1078" t="n">
        <v>0</v>
      </c>
      <c r="AO1078" t="n">
        <v>0</v>
      </c>
      <c r="AP1078" t="inlineStr">
        <is>
          <t>No</t>
        </is>
      </c>
      <c r="AQ1078" t="inlineStr">
        <is>
          <t>No</t>
        </is>
      </c>
      <c r="AS1078">
        <f>HYPERLINK("https://creighton-primo.hosted.exlibrisgroup.com/primo-explore/search?tab=default_tab&amp;search_scope=EVERYTHING&amp;vid=01CRU&amp;lang=en_US&amp;offset=0&amp;query=any,contains,991004169219702656","Catalog Record")</f>
        <v/>
      </c>
      <c r="AT1078">
        <f>HYPERLINK("http://www.worldcat.org/oclc/51868183","WorldCat Record")</f>
        <v/>
      </c>
      <c r="AU1078" t="inlineStr">
        <is>
          <t>708021:eng</t>
        </is>
      </c>
      <c r="AV1078" t="inlineStr">
        <is>
          <t>51868183</t>
        </is>
      </c>
      <c r="AW1078" t="inlineStr">
        <is>
          <t>991004169219702656</t>
        </is>
      </c>
      <c r="AX1078" t="inlineStr">
        <is>
          <t>991004169219702656</t>
        </is>
      </c>
      <c r="AY1078" t="inlineStr">
        <is>
          <t>2272106510002656</t>
        </is>
      </c>
      <c r="AZ1078" t="inlineStr">
        <is>
          <t>BOOK</t>
        </is>
      </c>
      <c r="BB1078" t="inlineStr">
        <is>
          <t>9780814629369</t>
        </is>
      </c>
      <c r="BC1078" t="inlineStr">
        <is>
          <t>32285004796917</t>
        </is>
      </c>
      <c r="BD1078" t="inlineStr">
        <is>
          <t>893532064</t>
        </is>
      </c>
    </row>
    <row r="1079">
      <c r="A1079" t="inlineStr">
        <is>
          <t>No</t>
        </is>
      </c>
      <c r="B1079" t="inlineStr">
        <is>
          <t>BX2015.6 .M32 1997</t>
        </is>
      </c>
      <c r="C1079" t="inlineStr">
        <is>
          <t>0                      BX 2015600M  32          1997</t>
        </is>
      </c>
      <c r="D1079" t="inlineStr">
        <is>
          <t>The eucharistic prayer at Sunday mass / Richard McCarron.</t>
        </is>
      </c>
      <c r="F1079" t="inlineStr">
        <is>
          <t>No</t>
        </is>
      </c>
      <c r="G1079" t="inlineStr">
        <is>
          <t>1</t>
        </is>
      </c>
      <c r="H1079" t="inlineStr">
        <is>
          <t>No</t>
        </is>
      </c>
      <c r="I1079" t="inlineStr">
        <is>
          <t>No</t>
        </is>
      </c>
      <c r="J1079" t="inlineStr">
        <is>
          <t>0</t>
        </is>
      </c>
      <c r="K1079" t="inlineStr">
        <is>
          <t>McCarron, Richard.</t>
        </is>
      </c>
      <c r="L1079" t="inlineStr">
        <is>
          <t>Chicago, Ill. : Liturgy Training Pub., c1997.</t>
        </is>
      </c>
      <c r="M1079" t="inlineStr">
        <is>
          <t>1997</t>
        </is>
      </c>
      <c r="O1079" t="inlineStr">
        <is>
          <t>eng</t>
        </is>
      </c>
      <c r="P1079" t="inlineStr">
        <is>
          <t>ilu</t>
        </is>
      </c>
      <c r="R1079" t="inlineStr">
        <is>
          <t xml:space="preserve">BX </t>
        </is>
      </c>
      <c r="S1079" t="n">
        <v>5</v>
      </c>
      <c r="T1079" t="n">
        <v>5</v>
      </c>
      <c r="U1079" t="inlineStr">
        <is>
          <t>2009-04-15</t>
        </is>
      </c>
      <c r="V1079" t="inlineStr">
        <is>
          <t>2009-04-15</t>
        </is>
      </c>
      <c r="W1079" t="inlineStr">
        <is>
          <t>2000-11-06</t>
        </is>
      </c>
      <c r="X1079" t="inlineStr">
        <is>
          <t>2000-11-06</t>
        </is>
      </c>
      <c r="Y1079" t="n">
        <v>77</v>
      </c>
      <c r="Z1079" t="n">
        <v>64</v>
      </c>
      <c r="AA1079" t="n">
        <v>66</v>
      </c>
      <c r="AB1079" t="n">
        <v>1</v>
      </c>
      <c r="AC1079" t="n">
        <v>1</v>
      </c>
      <c r="AD1079" t="n">
        <v>9</v>
      </c>
      <c r="AE1079" t="n">
        <v>9</v>
      </c>
      <c r="AF1079" t="n">
        <v>0</v>
      </c>
      <c r="AG1079" t="n">
        <v>0</v>
      </c>
      <c r="AH1079" t="n">
        <v>1</v>
      </c>
      <c r="AI1079" t="n">
        <v>1</v>
      </c>
      <c r="AJ1079" t="n">
        <v>8</v>
      </c>
      <c r="AK1079" t="n">
        <v>8</v>
      </c>
      <c r="AL1079" t="n">
        <v>0</v>
      </c>
      <c r="AM1079" t="n">
        <v>0</v>
      </c>
      <c r="AN1079" t="n">
        <v>0</v>
      </c>
      <c r="AO1079" t="n">
        <v>0</v>
      </c>
      <c r="AP1079" t="inlineStr">
        <is>
          <t>No</t>
        </is>
      </c>
      <c r="AQ1079" t="inlineStr">
        <is>
          <t>No</t>
        </is>
      </c>
      <c r="AS1079">
        <f>HYPERLINK("https://creighton-primo.hosted.exlibrisgroup.com/primo-explore/search?tab=default_tab&amp;search_scope=EVERYTHING&amp;vid=01CRU&amp;lang=en_US&amp;offset=0&amp;query=any,contains,991003293539702656","Catalog Record")</f>
        <v/>
      </c>
      <c r="AT1079">
        <f>HYPERLINK("http://www.worldcat.org/oclc/38058152","WorldCat Record")</f>
        <v/>
      </c>
      <c r="AU1079" t="inlineStr">
        <is>
          <t>24108522:eng</t>
        </is>
      </c>
      <c r="AV1079" t="inlineStr">
        <is>
          <t>38058152</t>
        </is>
      </c>
      <c r="AW1079" t="inlineStr">
        <is>
          <t>991003293539702656</t>
        </is>
      </c>
      <c r="AX1079" t="inlineStr">
        <is>
          <t>991003293539702656</t>
        </is>
      </c>
      <c r="AY1079" t="inlineStr">
        <is>
          <t>2261672370002656</t>
        </is>
      </c>
      <c r="AZ1079" t="inlineStr">
        <is>
          <t>BOOK</t>
        </is>
      </c>
      <c r="BB1079" t="inlineStr">
        <is>
          <t>9781568540214</t>
        </is>
      </c>
      <c r="BC1079" t="inlineStr">
        <is>
          <t>32285004263298</t>
        </is>
      </c>
      <c r="BD1079" t="inlineStr">
        <is>
          <t>893240061</t>
        </is>
      </c>
    </row>
    <row r="1080">
      <c r="A1080" t="inlineStr">
        <is>
          <t>No</t>
        </is>
      </c>
      <c r="B1080" t="inlineStr">
        <is>
          <t>BX2015.6 .V313 1967</t>
        </is>
      </c>
      <c r="C1080" t="inlineStr">
        <is>
          <t>0                      BX 2015600V  313         1967</t>
        </is>
      </c>
      <c r="D1080" t="inlineStr">
        <is>
          <t>The canon of the Mass and liturgical reform / Cipriano Vagaggini. Translation editor: Peter Coughlan.</t>
        </is>
      </c>
      <c r="F1080" t="inlineStr">
        <is>
          <t>No</t>
        </is>
      </c>
      <c r="G1080" t="inlineStr">
        <is>
          <t>1</t>
        </is>
      </c>
      <c r="H1080" t="inlineStr">
        <is>
          <t>No</t>
        </is>
      </c>
      <c r="I1080" t="inlineStr">
        <is>
          <t>No</t>
        </is>
      </c>
      <c r="J1080" t="inlineStr">
        <is>
          <t>0</t>
        </is>
      </c>
      <c r="K1080" t="inlineStr">
        <is>
          <t>Vagaggini, Cipriano, 1909-1999.</t>
        </is>
      </c>
      <c r="L1080" t="inlineStr">
        <is>
          <t>Staten Island, N.Y. : Alba House, [1967]</t>
        </is>
      </c>
      <c r="M1080" t="inlineStr">
        <is>
          <t>1967</t>
        </is>
      </c>
      <c r="O1080" t="inlineStr">
        <is>
          <t>eng</t>
        </is>
      </c>
      <c r="P1080" t="inlineStr">
        <is>
          <t>nyu</t>
        </is>
      </c>
      <c r="R1080" t="inlineStr">
        <is>
          <t xml:space="preserve">BX </t>
        </is>
      </c>
      <c r="S1080" t="n">
        <v>8</v>
      </c>
      <c r="T1080" t="n">
        <v>8</v>
      </c>
      <c r="U1080" t="inlineStr">
        <is>
          <t>2009-04-15</t>
        </is>
      </c>
      <c r="V1080" t="inlineStr">
        <is>
          <t>2009-04-15</t>
        </is>
      </c>
      <c r="W1080" t="inlineStr">
        <is>
          <t>1991-09-16</t>
        </is>
      </c>
      <c r="X1080" t="inlineStr">
        <is>
          <t>1991-09-16</t>
        </is>
      </c>
      <c r="Y1080" t="n">
        <v>200</v>
      </c>
      <c r="Z1080" t="n">
        <v>176</v>
      </c>
      <c r="AA1080" t="n">
        <v>185</v>
      </c>
      <c r="AB1080" t="n">
        <v>4</v>
      </c>
      <c r="AC1080" t="n">
        <v>4</v>
      </c>
      <c r="AD1080" t="n">
        <v>24</v>
      </c>
      <c r="AE1080" t="n">
        <v>24</v>
      </c>
      <c r="AF1080" t="n">
        <v>7</v>
      </c>
      <c r="AG1080" t="n">
        <v>7</v>
      </c>
      <c r="AH1080" t="n">
        <v>8</v>
      </c>
      <c r="AI1080" t="n">
        <v>8</v>
      </c>
      <c r="AJ1080" t="n">
        <v>16</v>
      </c>
      <c r="AK1080" t="n">
        <v>16</v>
      </c>
      <c r="AL1080" t="n">
        <v>1</v>
      </c>
      <c r="AM1080" t="n">
        <v>1</v>
      </c>
      <c r="AN1080" t="n">
        <v>0</v>
      </c>
      <c r="AO1080" t="n">
        <v>0</v>
      </c>
      <c r="AP1080" t="inlineStr">
        <is>
          <t>No</t>
        </is>
      </c>
      <c r="AQ1080" t="inlineStr">
        <is>
          <t>Yes</t>
        </is>
      </c>
      <c r="AR1080">
        <f>HYPERLINK("http://catalog.hathitrust.org/Record/102155247","HathiTrust Record")</f>
        <v/>
      </c>
      <c r="AS1080">
        <f>HYPERLINK("https://creighton-primo.hosted.exlibrisgroup.com/primo-explore/search?tab=default_tab&amp;search_scope=EVERYTHING&amp;vid=01CRU&amp;lang=en_US&amp;offset=0&amp;query=any,contains,991003350239702656","Catalog Record")</f>
        <v/>
      </c>
      <c r="AT1080">
        <f>HYPERLINK("http://www.worldcat.org/oclc/883131","WorldCat Record")</f>
        <v/>
      </c>
      <c r="AU1080" t="inlineStr">
        <is>
          <t>1860397:eng</t>
        </is>
      </c>
      <c r="AV1080" t="inlineStr">
        <is>
          <t>883131</t>
        </is>
      </c>
      <c r="AW1080" t="inlineStr">
        <is>
          <t>991003350239702656</t>
        </is>
      </c>
      <c r="AX1080" t="inlineStr">
        <is>
          <t>991003350239702656</t>
        </is>
      </c>
      <c r="AY1080" t="inlineStr">
        <is>
          <t>2258668920002656</t>
        </is>
      </c>
      <c r="AZ1080" t="inlineStr">
        <is>
          <t>BOOK</t>
        </is>
      </c>
      <c r="BC1080" t="inlineStr">
        <is>
          <t>32285000743525</t>
        </is>
      </c>
      <c r="BD1080" t="inlineStr">
        <is>
          <t>893511876</t>
        </is>
      </c>
    </row>
    <row r="1081">
      <c r="A1081" t="inlineStr">
        <is>
          <t>No</t>
        </is>
      </c>
      <c r="B1081" t="inlineStr">
        <is>
          <t>BX2015.62 .A4 1977</t>
        </is>
      </c>
      <c r="C1081" t="inlineStr">
        <is>
          <t>0                      BX 2015620A  4           1977</t>
        </is>
      </c>
      <c r="D1081" t="inlineStr">
        <is>
          <t>The Prayer of the faithful : for the Sundays and solemnities of cycles A, B, and C.</t>
        </is>
      </c>
      <c r="F1081" t="inlineStr">
        <is>
          <t>No</t>
        </is>
      </c>
      <c r="G1081" t="inlineStr">
        <is>
          <t>1</t>
        </is>
      </c>
      <c r="H1081" t="inlineStr">
        <is>
          <t>No</t>
        </is>
      </c>
      <c r="I1081" t="inlineStr">
        <is>
          <t>No</t>
        </is>
      </c>
      <c r="J1081" t="inlineStr">
        <is>
          <t>0</t>
        </is>
      </c>
      <c r="L1081" t="inlineStr">
        <is>
          <t>New York : Pueblo Pub. Co., c1977.</t>
        </is>
      </c>
      <c r="M1081" t="inlineStr">
        <is>
          <t>1977</t>
        </is>
      </c>
      <c r="O1081" t="inlineStr">
        <is>
          <t>eng</t>
        </is>
      </c>
      <c r="P1081" t="inlineStr">
        <is>
          <t>nyu</t>
        </is>
      </c>
      <c r="R1081" t="inlineStr">
        <is>
          <t xml:space="preserve">BX </t>
        </is>
      </c>
      <c r="S1081" t="n">
        <v>6</v>
      </c>
      <c r="T1081" t="n">
        <v>6</v>
      </c>
      <c r="U1081" t="inlineStr">
        <is>
          <t>2005-07-12</t>
        </is>
      </c>
      <c r="V1081" t="inlineStr">
        <is>
          <t>2005-07-12</t>
        </is>
      </c>
      <c r="W1081" t="inlineStr">
        <is>
          <t>1991-09-16</t>
        </is>
      </c>
      <c r="X1081" t="inlineStr">
        <is>
          <t>1991-09-16</t>
        </is>
      </c>
      <c r="Y1081" t="n">
        <v>80</v>
      </c>
      <c r="Z1081" t="n">
        <v>63</v>
      </c>
      <c r="AA1081" t="n">
        <v>63</v>
      </c>
      <c r="AB1081" t="n">
        <v>2</v>
      </c>
      <c r="AC1081" t="n">
        <v>2</v>
      </c>
      <c r="AD1081" t="n">
        <v>6</v>
      </c>
      <c r="AE1081" t="n">
        <v>6</v>
      </c>
      <c r="AF1081" t="n">
        <v>0</v>
      </c>
      <c r="AG1081" t="n">
        <v>0</v>
      </c>
      <c r="AH1081" t="n">
        <v>3</v>
      </c>
      <c r="AI1081" t="n">
        <v>3</v>
      </c>
      <c r="AJ1081" t="n">
        <v>3</v>
      </c>
      <c r="AK1081" t="n">
        <v>3</v>
      </c>
      <c r="AL1081" t="n">
        <v>0</v>
      </c>
      <c r="AM1081" t="n">
        <v>0</v>
      </c>
      <c r="AN1081" t="n">
        <v>0</v>
      </c>
      <c r="AO1081" t="n">
        <v>0</v>
      </c>
      <c r="AP1081" t="inlineStr">
        <is>
          <t>No</t>
        </is>
      </c>
      <c r="AQ1081" t="inlineStr">
        <is>
          <t>No</t>
        </is>
      </c>
      <c r="AS1081">
        <f>HYPERLINK("https://creighton-primo.hosted.exlibrisgroup.com/primo-explore/search?tab=default_tab&amp;search_scope=EVERYTHING&amp;vid=01CRU&amp;lang=en_US&amp;offset=0&amp;query=any,contains,991004774619702656","Catalog Record")</f>
        <v/>
      </c>
      <c r="AT1081">
        <f>HYPERLINK("http://www.worldcat.org/oclc/5100719","WorldCat Record")</f>
        <v/>
      </c>
      <c r="AU1081" t="inlineStr">
        <is>
          <t>5604264662:eng</t>
        </is>
      </c>
      <c r="AV1081" t="inlineStr">
        <is>
          <t>5100719</t>
        </is>
      </c>
      <c r="AW1081" t="inlineStr">
        <is>
          <t>991004774619702656</t>
        </is>
      </c>
      <c r="AX1081" t="inlineStr">
        <is>
          <t>991004774619702656</t>
        </is>
      </c>
      <c r="AY1081" t="inlineStr">
        <is>
          <t>2258541830002656</t>
        </is>
      </c>
      <c r="AZ1081" t="inlineStr">
        <is>
          <t>BOOK</t>
        </is>
      </c>
      <c r="BC1081" t="inlineStr">
        <is>
          <t>32285000743533</t>
        </is>
      </c>
      <c r="BD1081" t="inlineStr">
        <is>
          <t>893594090</t>
        </is>
      </c>
    </row>
    <row r="1082">
      <c r="A1082" t="inlineStr">
        <is>
          <t>No</t>
        </is>
      </c>
      <c r="B1082" t="inlineStr">
        <is>
          <t>BX2015.77 .S66213 1971</t>
        </is>
      </c>
      <c r="C1082" t="inlineStr">
        <is>
          <t>0                      BX 2015770S  66213       1971</t>
        </is>
      </c>
      <c r="D1082" t="inlineStr">
        <is>
          <t>A commentary on the Prefaces and the Eucharistic prayers of the Roman missal / by Louis Soubigou. Translated by John A. Otto.</t>
        </is>
      </c>
      <c r="F1082" t="inlineStr">
        <is>
          <t>No</t>
        </is>
      </c>
      <c r="G1082" t="inlineStr">
        <is>
          <t>1</t>
        </is>
      </c>
      <c r="H1082" t="inlineStr">
        <is>
          <t>No</t>
        </is>
      </c>
      <c r="I1082" t="inlineStr">
        <is>
          <t>No</t>
        </is>
      </c>
      <c r="J1082" t="inlineStr">
        <is>
          <t>0</t>
        </is>
      </c>
      <c r="K1082" t="inlineStr">
        <is>
          <t>Soubigou, Louis.</t>
        </is>
      </c>
      <c r="L1082" t="inlineStr">
        <is>
          <t>Collegeville, Minn. : Liturgical Press, [c1971]</t>
        </is>
      </c>
      <c r="M1082" t="inlineStr">
        <is>
          <t>1971</t>
        </is>
      </c>
      <c r="O1082" t="inlineStr">
        <is>
          <t>eng</t>
        </is>
      </c>
      <c r="P1082" t="inlineStr">
        <is>
          <t>mnu</t>
        </is>
      </c>
      <c r="R1082" t="inlineStr">
        <is>
          <t xml:space="preserve">BX </t>
        </is>
      </c>
      <c r="S1082" t="n">
        <v>8</v>
      </c>
      <c r="T1082" t="n">
        <v>8</v>
      </c>
      <c r="U1082" t="inlineStr">
        <is>
          <t>1998-06-20</t>
        </is>
      </c>
      <c r="V1082" t="inlineStr">
        <is>
          <t>1998-06-20</t>
        </is>
      </c>
      <c r="W1082" t="inlineStr">
        <is>
          <t>1991-09-16</t>
        </is>
      </c>
      <c r="X1082" t="inlineStr">
        <is>
          <t>1991-09-16</t>
        </is>
      </c>
      <c r="Y1082" t="n">
        <v>150</v>
      </c>
      <c r="Z1082" t="n">
        <v>122</v>
      </c>
      <c r="AA1082" t="n">
        <v>125</v>
      </c>
      <c r="AB1082" t="n">
        <v>3</v>
      </c>
      <c r="AC1082" t="n">
        <v>3</v>
      </c>
      <c r="AD1082" t="n">
        <v>16</v>
      </c>
      <c r="AE1082" t="n">
        <v>17</v>
      </c>
      <c r="AF1082" t="n">
        <v>3</v>
      </c>
      <c r="AG1082" t="n">
        <v>3</v>
      </c>
      <c r="AH1082" t="n">
        <v>3</v>
      </c>
      <c r="AI1082" t="n">
        <v>3</v>
      </c>
      <c r="AJ1082" t="n">
        <v>12</v>
      </c>
      <c r="AK1082" t="n">
        <v>13</v>
      </c>
      <c r="AL1082" t="n">
        <v>1</v>
      </c>
      <c r="AM1082" t="n">
        <v>1</v>
      </c>
      <c r="AN1082" t="n">
        <v>0</v>
      </c>
      <c r="AO1082" t="n">
        <v>0</v>
      </c>
      <c r="AP1082" t="inlineStr">
        <is>
          <t>No</t>
        </is>
      </c>
      <c r="AQ1082" t="inlineStr">
        <is>
          <t>No</t>
        </is>
      </c>
      <c r="AS1082">
        <f>HYPERLINK("https://creighton-primo.hosted.exlibrisgroup.com/primo-explore/search?tab=default_tab&amp;search_scope=EVERYTHING&amp;vid=01CRU&amp;lang=en_US&amp;offset=0&amp;query=any,contains,991003648329702656","Catalog Record")</f>
        <v/>
      </c>
      <c r="AT1082">
        <f>HYPERLINK("http://www.worldcat.org/oclc/1251163","WorldCat Record")</f>
        <v/>
      </c>
      <c r="AU1082" t="inlineStr">
        <is>
          <t>2163438:eng</t>
        </is>
      </c>
      <c r="AV1082" t="inlineStr">
        <is>
          <t>1251163</t>
        </is>
      </c>
      <c r="AW1082" t="inlineStr">
        <is>
          <t>991003648329702656</t>
        </is>
      </c>
      <c r="AX1082" t="inlineStr">
        <is>
          <t>991003648329702656</t>
        </is>
      </c>
      <c r="AY1082" t="inlineStr">
        <is>
          <t>2260561290002656</t>
        </is>
      </c>
      <c r="AZ1082" t="inlineStr">
        <is>
          <t>BOOK</t>
        </is>
      </c>
      <c r="BC1082" t="inlineStr">
        <is>
          <t>32285000743558</t>
        </is>
      </c>
      <c r="BD1082" t="inlineStr">
        <is>
          <t>893611270</t>
        </is>
      </c>
    </row>
    <row r="1083">
      <c r="A1083" t="inlineStr">
        <is>
          <t>No</t>
        </is>
      </c>
      <c r="B1083" t="inlineStr">
        <is>
          <t>BX2015.A5 E5</t>
        </is>
      </c>
      <c r="C1083" t="inlineStr">
        <is>
          <t>0                      BX 2015000A  5                  E  5</t>
        </is>
      </c>
      <c r="D1083" t="inlineStr">
        <is>
          <t>General instruction of the Roman missal.</t>
        </is>
      </c>
      <c r="F1083" t="inlineStr">
        <is>
          <t>No</t>
        </is>
      </c>
      <c r="G1083" t="inlineStr">
        <is>
          <t>1</t>
        </is>
      </c>
      <c r="H1083" t="inlineStr">
        <is>
          <t>No</t>
        </is>
      </c>
      <c r="I1083" t="inlineStr">
        <is>
          <t>No</t>
        </is>
      </c>
      <c r="J1083" t="inlineStr">
        <is>
          <t>0</t>
        </is>
      </c>
      <c r="K1083" t="inlineStr">
        <is>
          <t>Catholic Church. Congregatio pro Cultu Divino.</t>
        </is>
      </c>
      <c r="L1083" t="inlineStr">
        <is>
          <t>Washington, D.C. : Office of Publishing Services, United States Catholic Conference, c1982.</t>
        </is>
      </c>
      <c r="M1083" t="inlineStr">
        <is>
          <t>1982</t>
        </is>
      </c>
      <c r="O1083" t="inlineStr">
        <is>
          <t>eng</t>
        </is>
      </c>
      <c r="P1083" t="inlineStr">
        <is>
          <t>dcu</t>
        </is>
      </c>
      <c r="Q1083" t="inlineStr">
        <is>
          <t>Liturgy documentary series ; 2</t>
        </is>
      </c>
      <c r="R1083" t="inlineStr">
        <is>
          <t xml:space="preserve">BX </t>
        </is>
      </c>
      <c r="S1083" t="n">
        <v>4</v>
      </c>
      <c r="T1083" t="n">
        <v>4</v>
      </c>
      <c r="U1083" t="inlineStr">
        <is>
          <t>2004-11-09</t>
        </is>
      </c>
      <c r="V1083" t="inlineStr">
        <is>
          <t>2004-11-09</t>
        </is>
      </c>
      <c r="W1083" t="inlineStr">
        <is>
          <t>1991-09-16</t>
        </is>
      </c>
      <c r="X1083" t="inlineStr">
        <is>
          <t>1991-09-16</t>
        </is>
      </c>
      <c r="Y1083" t="n">
        <v>128</v>
      </c>
      <c r="Z1083" t="n">
        <v>118</v>
      </c>
      <c r="AA1083" t="n">
        <v>129</v>
      </c>
      <c r="AB1083" t="n">
        <v>2</v>
      </c>
      <c r="AC1083" t="n">
        <v>2</v>
      </c>
      <c r="AD1083" t="n">
        <v>17</v>
      </c>
      <c r="AE1083" t="n">
        <v>19</v>
      </c>
      <c r="AF1083" t="n">
        <v>6</v>
      </c>
      <c r="AG1083" t="n">
        <v>8</v>
      </c>
      <c r="AH1083" t="n">
        <v>6</v>
      </c>
      <c r="AI1083" t="n">
        <v>6</v>
      </c>
      <c r="AJ1083" t="n">
        <v>12</v>
      </c>
      <c r="AK1083" t="n">
        <v>13</v>
      </c>
      <c r="AL1083" t="n">
        <v>0</v>
      </c>
      <c r="AM1083" t="n">
        <v>0</v>
      </c>
      <c r="AN1083" t="n">
        <v>0</v>
      </c>
      <c r="AO1083" t="n">
        <v>0</v>
      </c>
      <c r="AP1083" t="inlineStr">
        <is>
          <t>No</t>
        </is>
      </c>
      <c r="AQ1083" t="inlineStr">
        <is>
          <t>No</t>
        </is>
      </c>
      <c r="AS1083">
        <f>HYPERLINK("https://creighton-primo.hosted.exlibrisgroup.com/primo-explore/search?tab=default_tab&amp;search_scope=EVERYTHING&amp;vid=01CRU&amp;lang=en_US&amp;offset=0&amp;query=any,contains,991000111829702656","Catalog Record")</f>
        <v/>
      </c>
      <c r="AT1083">
        <f>HYPERLINK("http://www.worldcat.org/oclc/9013123","WorldCat Record")</f>
        <v/>
      </c>
      <c r="AU1083" t="inlineStr">
        <is>
          <t>784744:eng</t>
        </is>
      </c>
      <c r="AV1083" t="inlineStr">
        <is>
          <t>9013123</t>
        </is>
      </c>
      <c r="AW1083" t="inlineStr">
        <is>
          <t>991000111829702656</t>
        </is>
      </c>
      <c r="AX1083" t="inlineStr">
        <is>
          <t>991000111829702656</t>
        </is>
      </c>
      <c r="AY1083" t="inlineStr">
        <is>
          <t>2260632850002656</t>
        </is>
      </c>
      <c r="AZ1083" t="inlineStr">
        <is>
          <t>BOOK</t>
        </is>
      </c>
      <c r="BC1083" t="inlineStr">
        <is>
          <t>32285000743350</t>
        </is>
      </c>
      <c r="BD1083" t="inlineStr">
        <is>
          <t>893345393</t>
        </is>
      </c>
    </row>
    <row r="1084">
      <c r="A1084" t="inlineStr">
        <is>
          <t>No</t>
        </is>
      </c>
      <c r="B1084" t="inlineStr">
        <is>
          <t>BX2015.A5 E5 2003</t>
        </is>
      </c>
      <c r="C1084" t="inlineStr">
        <is>
          <t>0                      BX 2015000A  5                  E  5           2003</t>
        </is>
      </c>
      <c r="D1084" t="inlineStr">
        <is>
          <t>General instruction of the Roman missal.</t>
        </is>
      </c>
      <c r="F1084" t="inlineStr">
        <is>
          <t>No</t>
        </is>
      </c>
      <c r="G1084" t="inlineStr">
        <is>
          <t>1</t>
        </is>
      </c>
      <c r="H1084" t="inlineStr">
        <is>
          <t>No</t>
        </is>
      </c>
      <c r="I1084" t="inlineStr">
        <is>
          <t>No</t>
        </is>
      </c>
      <c r="J1084" t="inlineStr">
        <is>
          <t>0</t>
        </is>
      </c>
      <c r="K1084" t="inlineStr">
        <is>
          <t>Catholic Church. Congregatio pro Cultu Divino.</t>
        </is>
      </c>
      <c r="L1084" t="inlineStr">
        <is>
          <t>Washington, D.C. : Office of Pub. Services, United States Catholic Conference, c2003.</t>
        </is>
      </c>
      <c r="M1084" t="inlineStr">
        <is>
          <t>2003</t>
        </is>
      </c>
      <c r="O1084" t="inlineStr">
        <is>
          <t>eng</t>
        </is>
      </c>
      <c r="P1084" t="inlineStr">
        <is>
          <t>dcu</t>
        </is>
      </c>
      <c r="Q1084" t="inlineStr">
        <is>
          <t>Liturgy documentary series ; 2</t>
        </is>
      </c>
      <c r="R1084" t="inlineStr">
        <is>
          <t xml:space="preserve">BX </t>
        </is>
      </c>
      <c r="S1084" t="n">
        <v>7</v>
      </c>
      <c r="T1084" t="n">
        <v>7</v>
      </c>
      <c r="U1084" t="inlineStr">
        <is>
          <t>2008-11-19</t>
        </is>
      </c>
      <c r="V1084" t="inlineStr">
        <is>
          <t>2008-11-19</t>
        </is>
      </c>
      <c r="W1084" t="inlineStr">
        <is>
          <t>2003-07-01</t>
        </is>
      </c>
      <c r="X1084" t="inlineStr">
        <is>
          <t>2003-07-01</t>
        </is>
      </c>
      <c r="Y1084" t="n">
        <v>168</v>
      </c>
      <c r="Z1084" t="n">
        <v>156</v>
      </c>
      <c r="AA1084" t="n">
        <v>156</v>
      </c>
      <c r="AB1084" t="n">
        <v>3</v>
      </c>
      <c r="AC1084" t="n">
        <v>3</v>
      </c>
      <c r="AD1084" t="n">
        <v>19</v>
      </c>
      <c r="AE1084" t="n">
        <v>19</v>
      </c>
      <c r="AF1084" t="n">
        <v>6</v>
      </c>
      <c r="AG1084" t="n">
        <v>6</v>
      </c>
      <c r="AH1084" t="n">
        <v>4</v>
      </c>
      <c r="AI1084" t="n">
        <v>4</v>
      </c>
      <c r="AJ1084" t="n">
        <v>15</v>
      </c>
      <c r="AK1084" t="n">
        <v>15</v>
      </c>
      <c r="AL1084" t="n">
        <v>0</v>
      </c>
      <c r="AM1084" t="n">
        <v>0</v>
      </c>
      <c r="AN1084" t="n">
        <v>0</v>
      </c>
      <c r="AO1084" t="n">
        <v>0</v>
      </c>
      <c r="AP1084" t="inlineStr">
        <is>
          <t>No</t>
        </is>
      </c>
      <c r="AQ1084" t="inlineStr">
        <is>
          <t>No</t>
        </is>
      </c>
      <c r="AS1084">
        <f>HYPERLINK("https://creighton-primo.hosted.exlibrisgroup.com/primo-explore/search?tab=default_tab&amp;search_scope=EVERYTHING&amp;vid=01CRU&amp;lang=en_US&amp;offset=0&amp;query=any,contains,991004088699702656","Catalog Record")</f>
        <v/>
      </c>
      <c r="AT1084">
        <f>HYPERLINK("http://www.worldcat.org/oclc/52507913","WorldCat Record")</f>
        <v/>
      </c>
      <c r="AU1084" t="inlineStr">
        <is>
          <t>5091523825:eng</t>
        </is>
      </c>
      <c r="AV1084" t="inlineStr">
        <is>
          <t>52507913</t>
        </is>
      </c>
      <c r="AW1084" t="inlineStr">
        <is>
          <t>991004088699702656</t>
        </is>
      </c>
      <c r="AX1084" t="inlineStr">
        <is>
          <t>991004088699702656</t>
        </is>
      </c>
      <c r="AY1084" t="inlineStr">
        <is>
          <t>2268608370002656</t>
        </is>
      </c>
      <c r="AZ1084" t="inlineStr">
        <is>
          <t>BOOK</t>
        </is>
      </c>
      <c r="BB1084" t="inlineStr">
        <is>
          <t>9781574555431</t>
        </is>
      </c>
      <c r="BC1084" t="inlineStr">
        <is>
          <t>32285004754791</t>
        </is>
      </c>
      <c r="BD1084" t="inlineStr">
        <is>
          <t>893599416</t>
        </is>
      </c>
    </row>
    <row r="1085">
      <c r="A1085" t="inlineStr">
        <is>
          <t>No</t>
        </is>
      </c>
      <c r="B1085" t="inlineStr">
        <is>
          <t>BX2016 .A4 1966</t>
        </is>
      </c>
      <c r="C1085" t="inlineStr">
        <is>
          <t>0                      BX 2016000A  4           1966</t>
        </is>
      </c>
      <c r="D1085" t="inlineStr">
        <is>
          <t>The Maryknoll missal : formerly published as Daily missal of the Mystical Body / edited by the Maryknoll Fathers.</t>
        </is>
      </c>
      <c r="F1085" t="inlineStr">
        <is>
          <t>No</t>
        </is>
      </c>
      <c r="G1085" t="inlineStr">
        <is>
          <t>1</t>
        </is>
      </c>
      <c r="H1085" t="inlineStr">
        <is>
          <t>No</t>
        </is>
      </c>
      <c r="I1085" t="inlineStr">
        <is>
          <t>No</t>
        </is>
      </c>
      <c r="J1085" t="inlineStr">
        <is>
          <t>0</t>
        </is>
      </c>
      <c r="L1085" t="inlineStr">
        <is>
          <t>New York : P.J. Kenedy, [1966]</t>
        </is>
      </c>
      <c r="M1085" t="inlineStr">
        <is>
          <t>1966</t>
        </is>
      </c>
      <c r="N1085" t="inlineStr">
        <is>
          <t>[Rev. ed., Vatican II ed.].</t>
        </is>
      </c>
      <c r="O1085" t="inlineStr">
        <is>
          <t>eng</t>
        </is>
      </c>
      <c r="P1085" t="inlineStr">
        <is>
          <t>nyu</t>
        </is>
      </c>
      <c r="R1085" t="inlineStr">
        <is>
          <t xml:space="preserve">BX </t>
        </is>
      </c>
      <c r="S1085" t="n">
        <v>1</v>
      </c>
      <c r="T1085" t="n">
        <v>1</v>
      </c>
      <c r="U1085" t="inlineStr">
        <is>
          <t>2010-07-01</t>
        </is>
      </c>
      <c r="V1085" t="inlineStr">
        <is>
          <t>2010-07-01</t>
        </is>
      </c>
      <c r="W1085" t="inlineStr">
        <is>
          <t>2010-07-01</t>
        </is>
      </c>
      <c r="X1085" t="inlineStr">
        <is>
          <t>2010-07-01</t>
        </is>
      </c>
      <c r="Y1085" t="n">
        <v>114</v>
      </c>
      <c r="Z1085" t="n">
        <v>114</v>
      </c>
      <c r="AA1085" t="n">
        <v>115</v>
      </c>
      <c r="AB1085" t="n">
        <v>4</v>
      </c>
      <c r="AC1085" t="n">
        <v>4</v>
      </c>
      <c r="AD1085" t="n">
        <v>9</v>
      </c>
      <c r="AE1085" t="n">
        <v>9</v>
      </c>
      <c r="AF1085" t="n">
        <v>2</v>
      </c>
      <c r="AG1085" t="n">
        <v>2</v>
      </c>
      <c r="AH1085" t="n">
        <v>2</v>
      </c>
      <c r="AI1085" t="n">
        <v>2</v>
      </c>
      <c r="AJ1085" t="n">
        <v>5</v>
      </c>
      <c r="AK1085" t="n">
        <v>5</v>
      </c>
      <c r="AL1085" t="n">
        <v>2</v>
      </c>
      <c r="AM1085" t="n">
        <v>2</v>
      </c>
      <c r="AN1085" t="n">
        <v>0</v>
      </c>
      <c r="AO1085" t="n">
        <v>0</v>
      </c>
      <c r="AP1085" t="inlineStr">
        <is>
          <t>No</t>
        </is>
      </c>
      <c r="AQ1085" t="inlineStr">
        <is>
          <t>Yes</t>
        </is>
      </c>
      <c r="AR1085">
        <f>HYPERLINK("http://catalog.hathitrust.org/Record/000605363","HathiTrust Record")</f>
        <v/>
      </c>
      <c r="AS1085">
        <f>HYPERLINK("https://creighton-primo.hosted.exlibrisgroup.com/primo-explore/search?tab=default_tab&amp;search_scope=EVERYTHING&amp;vid=01CRU&amp;lang=en_US&amp;offset=0&amp;query=any,contains,991000017249702656","Catalog Record")</f>
        <v/>
      </c>
      <c r="AT1085">
        <f>HYPERLINK("http://www.worldcat.org/oclc/3050262","WorldCat Record")</f>
        <v/>
      </c>
      <c r="AU1085" t="inlineStr">
        <is>
          <t>6786628:eng</t>
        </is>
      </c>
      <c r="AV1085" t="inlineStr">
        <is>
          <t>3050262</t>
        </is>
      </c>
      <c r="AW1085" t="inlineStr">
        <is>
          <t>991000017249702656</t>
        </is>
      </c>
      <c r="AX1085" t="inlineStr">
        <is>
          <t>991000017249702656</t>
        </is>
      </c>
      <c r="AY1085" t="inlineStr">
        <is>
          <t>2264389340002656</t>
        </is>
      </c>
      <c r="AZ1085" t="inlineStr">
        <is>
          <t>BOOK</t>
        </is>
      </c>
      <c r="BC1085" t="inlineStr">
        <is>
          <t>32285005589394</t>
        </is>
      </c>
      <c r="BD1085" t="inlineStr">
        <is>
          <t>893601378</t>
        </is>
      </c>
    </row>
    <row r="1086">
      <c r="A1086" t="inlineStr">
        <is>
          <t>No</t>
        </is>
      </c>
      <c r="B1086" t="inlineStr">
        <is>
          <t>BX2017.A3 P36 1975</t>
        </is>
      </c>
      <c r="C1086" t="inlineStr">
        <is>
          <t>0                      BX 2017000A  3                  P  36          1975</t>
        </is>
      </c>
      <c r="D1086" t="inlineStr">
        <is>
          <t>The ordinal of the papal court from Innocent III to Boniface VIII and related documents / [text in Latin compiled by] Stephen J. P. van Dijk, completed by Joan Hazelden Walker.</t>
        </is>
      </c>
      <c r="F1086" t="inlineStr">
        <is>
          <t>No</t>
        </is>
      </c>
      <c r="G1086" t="inlineStr">
        <is>
          <t>1</t>
        </is>
      </c>
      <c r="H1086" t="inlineStr">
        <is>
          <t>No</t>
        </is>
      </c>
      <c r="I1086" t="inlineStr">
        <is>
          <t>No</t>
        </is>
      </c>
      <c r="J1086" t="inlineStr">
        <is>
          <t>0</t>
        </is>
      </c>
      <c r="K1086" t="inlineStr">
        <is>
          <t>Catholic Church.</t>
        </is>
      </c>
      <c r="L1086" t="inlineStr">
        <is>
          <t>Fribourg : University Press, 1975.</t>
        </is>
      </c>
      <c r="M1086" t="inlineStr">
        <is>
          <t>1975</t>
        </is>
      </c>
      <c r="O1086" t="inlineStr">
        <is>
          <t>lat</t>
        </is>
      </c>
      <c r="P1086" t="inlineStr">
        <is>
          <t xml:space="preserve">sz </t>
        </is>
      </c>
      <c r="Q1086" t="inlineStr">
        <is>
          <t>Spicilegium Friburgense ; v. 22</t>
        </is>
      </c>
      <c r="R1086" t="inlineStr">
        <is>
          <t xml:space="preserve">BX </t>
        </is>
      </c>
      <c r="S1086" t="n">
        <v>0</v>
      </c>
      <c r="T1086" t="n">
        <v>0</v>
      </c>
      <c r="U1086" t="inlineStr">
        <is>
          <t>2008-01-17</t>
        </is>
      </c>
      <c r="V1086" t="inlineStr">
        <is>
          <t>2008-01-17</t>
        </is>
      </c>
      <c r="W1086" t="inlineStr">
        <is>
          <t>1998-01-05</t>
        </is>
      </c>
      <c r="X1086" t="inlineStr">
        <is>
          <t>1998-01-05</t>
        </is>
      </c>
      <c r="Y1086" t="n">
        <v>114</v>
      </c>
      <c r="Z1086" t="n">
        <v>72</v>
      </c>
      <c r="AA1086" t="n">
        <v>74</v>
      </c>
      <c r="AB1086" t="n">
        <v>1</v>
      </c>
      <c r="AC1086" t="n">
        <v>1</v>
      </c>
      <c r="AD1086" t="n">
        <v>7</v>
      </c>
      <c r="AE1086" t="n">
        <v>7</v>
      </c>
      <c r="AF1086" t="n">
        <v>0</v>
      </c>
      <c r="AG1086" t="n">
        <v>0</v>
      </c>
      <c r="AH1086" t="n">
        <v>3</v>
      </c>
      <c r="AI1086" t="n">
        <v>3</v>
      </c>
      <c r="AJ1086" t="n">
        <v>5</v>
      </c>
      <c r="AK1086" t="n">
        <v>5</v>
      </c>
      <c r="AL1086" t="n">
        <v>0</v>
      </c>
      <c r="AM1086" t="n">
        <v>0</v>
      </c>
      <c r="AN1086" t="n">
        <v>0</v>
      </c>
      <c r="AO1086" t="n">
        <v>0</v>
      </c>
      <c r="AP1086" t="inlineStr">
        <is>
          <t>No</t>
        </is>
      </c>
      <c r="AQ1086" t="inlineStr">
        <is>
          <t>Yes</t>
        </is>
      </c>
      <c r="AR1086">
        <f>HYPERLINK("http://catalog.hathitrust.org/Record/000683326","HathiTrust Record")</f>
        <v/>
      </c>
      <c r="AS1086">
        <f>HYPERLINK("https://creighton-primo.hosted.exlibrisgroup.com/primo-explore/search?tab=default_tab&amp;search_scope=EVERYTHING&amp;vid=01CRU&amp;lang=en_US&amp;offset=0&amp;query=any,contains,991004175409702656","Catalog Record")</f>
        <v/>
      </c>
      <c r="AT1086">
        <f>HYPERLINK("http://www.worldcat.org/oclc/2596422","WorldCat Record")</f>
        <v/>
      </c>
      <c r="AU1086" t="inlineStr">
        <is>
          <t>352015653:lat</t>
        </is>
      </c>
      <c r="AV1086" t="inlineStr">
        <is>
          <t>2596422</t>
        </is>
      </c>
      <c r="AW1086" t="inlineStr">
        <is>
          <t>991004175409702656</t>
        </is>
      </c>
      <c r="AX1086" t="inlineStr">
        <is>
          <t>991004175409702656</t>
        </is>
      </c>
      <c r="AY1086" t="inlineStr">
        <is>
          <t>2268337700002656</t>
        </is>
      </c>
      <c r="AZ1086" t="inlineStr">
        <is>
          <t>BOOK</t>
        </is>
      </c>
      <c r="BB1086" t="inlineStr">
        <is>
          <t>9783727801273</t>
        </is>
      </c>
      <c r="BC1086" t="inlineStr">
        <is>
          <t>32285003300968</t>
        </is>
      </c>
      <c r="BD1086" t="inlineStr">
        <is>
          <t>893718583</t>
        </is>
      </c>
    </row>
    <row r="1087">
      <c r="A1087" t="inlineStr">
        <is>
          <t>No</t>
        </is>
      </c>
      <c r="B1087" t="inlineStr">
        <is>
          <t>BX2020 .A58 1939</t>
        </is>
      </c>
      <c r="C1087" t="inlineStr">
        <is>
          <t>0                      BX 2020000A  58          1939</t>
        </is>
      </c>
      <c r="D1087" t="inlineStr">
        <is>
          <t>Let us pray for our dead : an English translation of the Office of the dead / by Bernard A. Hausmann.</t>
        </is>
      </c>
      <c r="F1087" t="inlineStr">
        <is>
          <t>No</t>
        </is>
      </c>
      <c r="G1087" t="inlineStr">
        <is>
          <t>1</t>
        </is>
      </c>
      <c r="H1087" t="inlineStr">
        <is>
          <t>No</t>
        </is>
      </c>
      <c r="I1087" t="inlineStr">
        <is>
          <t>No</t>
        </is>
      </c>
      <c r="J1087" t="inlineStr">
        <is>
          <t>0</t>
        </is>
      </c>
      <c r="K1087" t="inlineStr">
        <is>
          <t>Catholic Church.</t>
        </is>
      </c>
      <c r="L1087" t="inlineStr">
        <is>
          <t>New York, N. Y. : Spiritual book associates, inc., [c1939]</t>
        </is>
      </c>
      <c r="M1087" t="inlineStr">
        <is>
          <t>1939</t>
        </is>
      </c>
      <c r="O1087" t="inlineStr">
        <is>
          <t>eng</t>
        </is>
      </c>
      <c r="P1087" t="inlineStr">
        <is>
          <t>nyu</t>
        </is>
      </c>
      <c r="R1087" t="inlineStr">
        <is>
          <t xml:space="preserve">BX </t>
        </is>
      </c>
      <c r="S1087" t="n">
        <v>1</v>
      </c>
      <c r="T1087" t="n">
        <v>1</v>
      </c>
      <c r="U1087" t="inlineStr">
        <is>
          <t>2003-04-16</t>
        </is>
      </c>
      <c r="V1087" t="inlineStr">
        <is>
          <t>2003-04-16</t>
        </is>
      </c>
      <c r="W1087" t="inlineStr">
        <is>
          <t>1991-09-16</t>
        </is>
      </c>
      <c r="X1087" t="inlineStr">
        <is>
          <t>1991-09-16</t>
        </is>
      </c>
      <c r="Y1087" t="n">
        <v>31</v>
      </c>
      <c r="Z1087" t="n">
        <v>31</v>
      </c>
      <c r="AA1087" t="n">
        <v>31</v>
      </c>
      <c r="AB1087" t="n">
        <v>1</v>
      </c>
      <c r="AC1087" t="n">
        <v>1</v>
      </c>
      <c r="AD1087" t="n">
        <v>13</v>
      </c>
      <c r="AE1087" t="n">
        <v>13</v>
      </c>
      <c r="AF1087" t="n">
        <v>2</v>
      </c>
      <c r="AG1087" t="n">
        <v>2</v>
      </c>
      <c r="AH1087" t="n">
        <v>3</v>
      </c>
      <c r="AI1087" t="n">
        <v>3</v>
      </c>
      <c r="AJ1087" t="n">
        <v>10</v>
      </c>
      <c r="AK1087" t="n">
        <v>10</v>
      </c>
      <c r="AL1087" t="n">
        <v>0</v>
      </c>
      <c r="AM1087" t="n">
        <v>0</v>
      </c>
      <c r="AN1087" t="n">
        <v>0</v>
      </c>
      <c r="AO1087" t="n">
        <v>0</v>
      </c>
      <c r="AP1087" t="inlineStr">
        <is>
          <t>No</t>
        </is>
      </c>
      <c r="AQ1087" t="inlineStr">
        <is>
          <t>No</t>
        </is>
      </c>
      <c r="AS1087">
        <f>HYPERLINK("https://creighton-primo.hosted.exlibrisgroup.com/primo-explore/search?tab=default_tab&amp;search_scope=EVERYTHING&amp;vid=01CRU&amp;lang=en_US&amp;offset=0&amp;query=any,contains,991004241439702656","Catalog Record")</f>
        <v/>
      </c>
      <c r="AT1087">
        <f>HYPERLINK("http://www.worldcat.org/oclc/2787081","WorldCat Record")</f>
        <v/>
      </c>
      <c r="AU1087" t="inlineStr">
        <is>
          <t>1808749932:eng</t>
        </is>
      </c>
      <c r="AV1087" t="inlineStr">
        <is>
          <t>2787081</t>
        </is>
      </c>
      <c r="AW1087" t="inlineStr">
        <is>
          <t>991004241439702656</t>
        </is>
      </c>
      <c r="AX1087" t="inlineStr">
        <is>
          <t>991004241439702656</t>
        </is>
      </c>
      <c r="AY1087" t="inlineStr">
        <is>
          <t>2271593060002656</t>
        </is>
      </c>
      <c r="AZ1087" t="inlineStr">
        <is>
          <t>BOOK</t>
        </is>
      </c>
      <c r="BC1087" t="inlineStr">
        <is>
          <t>32285000743574</t>
        </is>
      </c>
      <c r="BD1087" t="inlineStr">
        <is>
          <t>893904772</t>
        </is>
      </c>
    </row>
    <row r="1088">
      <c r="A1088" t="inlineStr">
        <is>
          <t>No</t>
        </is>
      </c>
      <c r="B1088" t="inlineStr">
        <is>
          <t>BX2025 .B46</t>
        </is>
      </c>
      <c r="C1088" t="inlineStr">
        <is>
          <t>0                      BX 2025000B  46</t>
        </is>
      </c>
      <c r="D1088" t="inlineStr">
        <is>
          <t>The post-tridentine English primer / J. M. Blom.</t>
        </is>
      </c>
      <c r="F1088" t="inlineStr">
        <is>
          <t>No</t>
        </is>
      </c>
      <c r="G1088" t="inlineStr">
        <is>
          <t>1</t>
        </is>
      </c>
      <c r="H1088" t="inlineStr">
        <is>
          <t>No</t>
        </is>
      </c>
      <c r="I1088" t="inlineStr">
        <is>
          <t>No</t>
        </is>
      </c>
      <c r="J1088" t="inlineStr">
        <is>
          <t>0</t>
        </is>
      </c>
      <c r="K1088" t="inlineStr">
        <is>
          <t>Blom, J. M., 1948-</t>
        </is>
      </c>
      <c r="L1088" t="inlineStr">
        <is>
          <t>[London] : Catholic Record Society, 1982.</t>
        </is>
      </c>
      <c r="M1088" t="inlineStr">
        <is>
          <t>1982</t>
        </is>
      </c>
      <c r="O1088" t="inlineStr">
        <is>
          <t>eng</t>
        </is>
      </c>
      <c r="P1088" t="inlineStr">
        <is>
          <t>enk</t>
        </is>
      </c>
      <c r="Q1088" t="inlineStr">
        <is>
          <t>Publications - monograph series / Catholic Record Society ; 3.</t>
        </is>
      </c>
      <c r="R1088" t="inlineStr">
        <is>
          <t xml:space="preserve">BX </t>
        </is>
      </c>
      <c r="S1088" t="n">
        <v>3</v>
      </c>
      <c r="T1088" t="n">
        <v>3</v>
      </c>
      <c r="U1088" t="inlineStr">
        <is>
          <t>1999-05-06</t>
        </is>
      </c>
      <c r="V1088" t="inlineStr">
        <is>
          <t>1999-05-06</t>
        </is>
      </c>
      <c r="W1088" t="inlineStr">
        <is>
          <t>1991-09-16</t>
        </is>
      </c>
      <c r="X1088" t="inlineStr">
        <is>
          <t>1991-09-16</t>
        </is>
      </c>
      <c r="Y1088" t="n">
        <v>156</v>
      </c>
      <c r="Z1088" t="n">
        <v>99</v>
      </c>
      <c r="AA1088" t="n">
        <v>101</v>
      </c>
      <c r="AB1088" t="n">
        <v>1</v>
      </c>
      <c r="AC1088" t="n">
        <v>1</v>
      </c>
      <c r="AD1088" t="n">
        <v>15</v>
      </c>
      <c r="AE1088" t="n">
        <v>15</v>
      </c>
      <c r="AF1088" t="n">
        <v>5</v>
      </c>
      <c r="AG1088" t="n">
        <v>5</v>
      </c>
      <c r="AH1088" t="n">
        <v>2</v>
      </c>
      <c r="AI1088" t="n">
        <v>2</v>
      </c>
      <c r="AJ1088" t="n">
        <v>14</v>
      </c>
      <c r="AK1088" t="n">
        <v>14</v>
      </c>
      <c r="AL1088" t="n">
        <v>0</v>
      </c>
      <c r="AM1088" t="n">
        <v>0</v>
      </c>
      <c r="AN1088" t="n">
        <v>0</v>
      </c>
      <c r="AO1088" t="n">
        <v>0</v>
      </c>
      <c r="AP1088" t="inlineStr">
        <is>
          <t>No</t>
        </is>
      </c>
      <c r="AQ1088" t="inlineStr">
        <is>
          <t>Yes</t>
        </is>
      </c>
      <c r="AR1088">
        <f>HYPERLINK("http://catalog.hathitrust.org/Record/000288486","HathiTrust Record")</f>
        <v/>
      </c>
      <c r="AS1088">
        <f>HYPERLINK("https://creighton-primo.hosted.exlibrisgroup.com/primo-explore/search?tab=default_tab&amp;search_scope=EVERYTHING&amp;vid=01CRU&amp;lang=en_US&amp;offset=0&amp;query=any,contains,991005215609702656","Catalog Record")</f>
        <v/>
      </c>
      <c r="AT1088">
        <f>HYPERLINK("http://www.worldcat.org/oclc/8191447","WorldCat Record")</f>
        <v/>
      </c>
      <c r="AU1088" t="inlineStr">
        <is>
          <t>31255061:eng</t>
        </is>
      </c>
      <c r="AV1088" t="inlineStr">
        <is>
          <t>8191447</t>
        </is>
      </c>
      <c r="AW1088" t="inlineStr">
        <is>
          <t>991005215609702656</t>
        </is>
      </c>
      <c r="AX1088" t="inlineStr">
        <is>
          <t>991005215609702656</t>
        </is>
      </c>
      <c r="AY1088" t="inlineStr">
        <is>
          <t>2265571900002656</t>
        </is>
      </c>
      <c r="AZ1088" t="inlineStr">
        <is>
          <t>BOOK</t>
        </is>
      </c>
      <c r="BC1088" t="inlineStr">
        <is>
          <t>32285000743590</t>
        </is>
      </c>
      <c r="BD1088" t="inlineStr">
        <is>
          <t>893326384</t>
        </is>
      </c>
    </row>
    <row r="1089">
      <c r="A1089" t="inlineStr">
        <is>
          <t>No</t>
        </is>
      </c>
      <c r="B1089" t="inlineStr">
        <is>
          <t>BX2025 .R9 1945</t>
        </is>
      </c>
      <c r="C1089" t="inlineStr">
        <is>
          <t>0                      BX 2025000R  9           1945</t>
        </is>
      </c>
      <c r="D1089" t="inlineStr">
        <is>
          <t>Our Lady's hours : an introduction to the Little office of Our Lady / by Mary Ryan. Preface by Very Rev. Fr. Hilary Carpenter.</t>
        </is>
      </c>
      <c r="F1089" t="inlineStr">
        <is>
          <t>No</t>
        </is>
      </c>
      <c r="G1089" t="inlineStr">
        <is>
          <t>1</t>
        </is>
      </c>
      <c r="H1089" t="inlineStr">
        <is>
          <t>No</t>
        </is>
      </c>
      <c r="I1089" t="inlineStr">
        <is>
          <t>No</t>
        </is>
      </c>
      <c r="J1089" t="inlineStr">
        <is>
          <t>0</t>
        </is>
      </c>
      <c r="K1089" t="inlineStr">
        <is>
          <t>Ryan, Mary Perkins, 1912-1993.</t>
        </is>
      </c>
      <c r="L1089" t="inlineStr">
        <is>
          <t>[New York] : The Spiritual book associates, [1945?]</t>
        </is>
      </c>
      <c r="M1089" t="inlineStr">
        <is>
          <t>1945</t>
        </is>
      </c>
      <c r="O1089" t="inlineStr">
        <is>
          <t>eng</t>
        </is>
      </c>
      <c r="P1089" t="inlineStr">
        <is>
          <t>nyu</t>
        </is>
      </c>
      <c r="R1089" t="inlineStr">
        <is>
          <t xml:space="preserve">BX </t>
        </is>
      </c>
      <c r="S1089" t="n">
        <v>5</v>
      </c>
      <c r="T1089" t="n">
        <v>5</v>
      </c>
      <c r="U1089" t="inlineStr">
        <is>
          <t>2010-09-03</t>
        </is>
      </c>
      <c r="V1089" t="inlineStr">
        <is>
          <t>2010-09-03</t>
        </is>
      </c>
      <c r="W1089" t="inlineStr">
        <is>
          <t>1991-09-16</t>
        </is>
      </c>
      <c r="X1089" t="inlineStr">
        <is>
          <t>1991-09-16</t>
        </is>
      </c>
      <c r="Y1089" t="n">
        <v>29</v>
      </c>
      <c r="Z1089" t="n">
        <v>29</v>
      </c>
      <c r="AA1089" t="n">
        <v>75</v>
      </c>
      <c r="AB1089" t="n">
        <v>1</v>
      </c>
      <c r="AC1089" t="n">
        <v>1</v>
      </c>
      <c r="AD1089" t="n">
        <v>7</v>
      </c>
      <c r="AE1089" t="n">
        <v>12</v>
      </c>
      <c r="AF1089" t="n">
        <v>2</v>
      </c>
      <c r="AG1089" t="n">
        <v>3</v>
      </c>
      <c r="AH1089" t="n">
        <v>3</v>
      </c>
      <c r="AI1089" t="n">
        <v>4</v>
      </c>
      <c r="AJ1089" t="n">
        <v>5</v>
      </c>
      <c r="AK1089" t="n">
        <v>9</v>
      </c>
      <c r="AL1089" t="n">
        <v>0</v>
      </c>
      <c r="AM1089" t="n">
        <v>0</v>
      </c>
      <c r="AN1089" t="n">
        <v>0</v>
      </c>
      <c r="AO1089" t="n">
        <v>0</v>
      </c>
      <c r="AP1089" t="inlineStr">
        <is>
          <t>No</t>
        </is>
      </c>
      <c r="AQ1089" t="inlineStr">
        <is>
          <t>No</t>
        </is>
      </c>
      <c r="AR1089">
        <f>HYPERLINK("http://catalog.hathitrust.org/Record/102132318","HathiTrust Record")</f>
        <v/>
      </c>
      <c r="AS1089">
        <f>HYPERLINK("https://creighton-primo.hosted.exlibrisgroup.com/primo-explore/search?tab=default_tab&amp;search_scope=EVERYTHING&amp;vid=01CRU&amp;lang=en_US&amp;offset=0&amp;query=any,contains,991004986799702656","Catalog Record")</f>
        <v/>
      </c>
      <c r="AT1089">
        <f>HYPERLINK("http://www.worldcat.org/oclc/6456801","WorldCat Record")</f>
        <v/>
      </c>
      <c r="AU1089" t="inlineStr">
        <is>
          <t>22055666:eng</t>
        </is>
      </c>
      <c r="AV1089" t="inlineStr">
        <is>
          <t>6456801</t>
        </is>
      </c>
      <c r="AW1089" t="inlineStr">
        <is>
          <t>991004986799702656</t>
        </is>
      </c>
      <c r="AX1089" t="inlineStr">
        <is>
          <t>991004986799702656</t>
        </is>
      </c>
      <c r="AY1089" t="inlineStr">
        <is>
          <t>2259107540002656</t>
        </is>
      </c>
      <c r="AZ1089" t="inlineStr">
        <is>
          <t>BOOK</t>
        </is>
      </c>
      <c r="BC1089" t="inlineStr">
        <is>
          <t>32285000743608</t>
        </is>
      </c>
      <c r="BD1089" t="inlineStr">
        <is>
          <t>893412162</t>
        </is>
      </c>
    </row>
    <row r="1090">
      <c r="A1090" t="inlineStr">
        <is>
          <t>No</t>
        </is>
      </c>
      <c r="B1090" t="inlineStr">
        <is>
          <t>BX2033 .A2 1923</t>
        </is>
      </c>
      <c r="C1090" t="inlineStr">
        <is>
          <t>0                      BX 2033000A  2           1923</t>
        </is>
      </c>
      <c r="D1090" t="inlineStr">
        <is>
          <t>The new psalter of the Roman breviary : text and translation / with succinct notes by L.C. Fillion.</t>
        </is>
      </c>
      <c r="F1090" t="inlineStr">
        <is>
          <t>No</t>
        </is>
      </c>
      <c r="G1090" t="inlineStr">
        <is>
          <t>1</t>
        </is>
      </c>
      <c r="H1090" t="inlineStr">
        <is>
          <t>No</t>
        </is>
      </c>
      <c r="I1090" t="inlineStr">
        <is>
          <t>No</t>
        </is>
      </c>
      <c r="J1090" t="inlineStr">
        <is>
          <t>0</t>
        </is>
      </c>
      <c r="K1090" t="inlineStr">
        <is>
          <t>Catholic Church.</t>
        </is>
      </c>
      <c r="L1090" t="inlineStr">
        <is>
          <t>St. Louis : B. Herder, 1923.</t>
        </is>
      </c>
      <c r="M1090" t="inlineStr">
        <is>
          <t>1923</t>
        </is>
      </c>
      <c r="N1090" t="inlineStr">
        <is>
          <t>3d ed.</t>
        </is>
      </c>
      <c r="O1090" t="inlineStr">
        <is>
          <t>eng</t>
        </is>
      </c>
      <c r="P1090" t="inlineStr">
        <is>
          <t>mou</t>
        </is>
      </c>
      <c r="R1090" t="inlineStr">
        <is>
          <t xml:space="preserve">BX </t>
        </is>
      </c>
      <c r="S1090" t="n">
        <v>2</v>
      </c>
      <c r="T1090" t="n">
        <v>2</v>
      </c>
      <c r="U1090" t="inlineStr">
        <is>
          <t>1998-03-19</t>
        </is>
      </c>
      <c r="V1090" t="inlineStr">
        <is>
          <t>1998-03-19</t>
        </is>
      </c>
      <c r="W1090" t="inlineStr">
        <is>
          <t>1991-09-16</t>
        </is>
      </c>
      <c r="X1090" t="inlineStr">
        <is>
          <t>1991-09-16</t>
        </is>
      </c>
      <c r="Y1090" t="n">
        <v>31</v>
      </c>
      <c r="Z1090" t="n">
        <v>23</v>
      </c>
      <c r="AA1090" t="n">
        <v>54</v>
      </c>
      <c r="AB1090" t="n">
        <v>2</v>
      </c>
      <c r="AC1090" t="n">
        <v>2</v>
      </c>
      <c r="AD1090" t="n">
        <v>4</v>
      </c>
      <c r="AE1090" t="n">
        <v>10</v>
      </c>
      <c r="AF1090" t="n">
        <v>1</v>
      </c>
      <c r="AG1090" t="n">
        <v>2</v>
      </c>
      <c r="AH1090" t="n">
        <v>1</v>
      </c>
      <c r="AI1090" t="n">
        <v>4</v>
      </c>
      <c r="AJ1090" t="n">
        <v>2</v>
      </c>
      <c r="AK1090" t="n">
        <v>6</v>
      </c>
      <c r="AL1090" t="n">
        <v>0</v>
      </c>
      <c r="AM1090" t="n">
        <v>0</v>
      </c>
      <c r="AN1090" t="n">
        <v>0</v>
      </c>
      <c r="AO1090" t="n">
        <v>0</v>
      </c>
      <c r="AP1090" t="inlineStr">
        <is>
          <t>No</t>
        </is>
      </c>
      <c r="AQ1090" t="inlineStr">
        <is>
          <t>No</t>
        </is>
      </c>
      <c r="AS1090">
        <f>HYPERLINK("https://creighton-primo.hosted.exlibrisgroup.com/primo-explore/search?tab=default_tab&amp;search_scope=EVERYTHING&amp;vid=01CRU&amp;lang=en_US&amp;offset=0&amp;query=any,contains,991005223049702656","Catalog Record")</f>
        <v/>
      </c>
      <c r="AT1090">
        <f>HYPERLINK("http://www.worldcat.org/oclc/8246882","WorldCat Record")</f>
        <v/>
      </c>
      <c r="AU1090" t="inlineStr">
        <is>
          <t>5219017228:eng</t>
        </is>
      </c>
      <c r="AV1090" t="inlineStr">
        <is>
          <t>8246882</t>
        </is>
      </c>
      <c r="AW1090" t="inlineStr">
        <is>
          <t>991005223049702656</t>
        </is>
      </c>
      <c r="AX1090" t="inlineStr">
        <is>
          <t>991005223049702656</t>
        </is>
      </c>
      <c r="AY1090" t="inlineStr">
        <is>
          <t>2263052260002656</t>
        </is>
      </c>
      <c r="AZ1090" t="inlineStr">
        <is>
          <t>BOOK</t>
        </is>
      </c>
      <c r="BC1090" t="inlineStr">
        <is>
          <t>32285000743640</t>
        </is>
      </c>
      <c r="BD1090" t="inlineStr">
        <is>
          <t>893263691</t>
        </is>
      </c>
    </row>
    <row r="1091">
      <c r="A1091" t="inlineStr">
        <is>
          <t>No</t>
        </is>
      </c>
      <c r="B1091" t="inlineStr">
        <is>
          <t>BX2035 .A2 1929</t>
        </is>
      </c>
      <c r="C1091" t="inlineStr">
        <is>
          <t>0                      BX 2035000A  2           1929</t>
        </is>
      </c>
      <c r="D1091" t="inlineStr">
        <is>
          <t>Rituale Romanum Pauli V Pontificis Maximi jussu editum aliorumque Pontificum cura recognitum atque auctoritate Ssmi D.N. Pii Papae XI ad normam Codicis juris canonici accommodatum.</t>
        </is>
      </c>
      <c r="F1091" t="inlineStr">
        <is>
          <t>No</t>
        </is>
      </c>
      <c r="G1091" t="inlineStr">
        <is>
          <t>1</t>
        </is>
      </c>
      <c r="H1091" t="inlineStr">
        <is>
          <t>No</t>
        </is>
      </c>
      <c r="I1091" t="inlineStr">
        <is>
          <t>No</t>
        </is>
      </c>
      <c r="J1091" t="inlineStr">
        <is>
          <t>0</t>
        </is>
      </c>
      <c r="K1091" t="inlineStr">
        <is>
          <t>Catholic Church.</t>
        </is>
      </c>
      <c r="L1091" t="inlineStr">
        <is>
          <t>Ratisbonae : F. Pustet, 1929.</t>
        </is>
      </c>
      <c r="M1091" t="inlineStr">
        <is>
          <t>1929</t>
        </is>
      </c>
      <c r="N1091" t="inlineStr">
        <is>
          <t>Editio altera juxta typicam.</t>
        </is>
      </c>
      <c r="O1091" t="inlineStr">
        <is>
          <t>lat</t>
        </is>
      </c>
      <c r="P1091" t="inlineStr">
        <is>
          <t xml:space="preserve">gw </t>
        </is>
      </c>
      <c r="R1091" t="inlineStr">
        <is>
          <t xml:space="preserve">BX </t>
        </is>
      </c>
      <c r="S1091" t="n">
        <v>4</v>
      </c>
      <c r="T1091" t="n">
        <v>4</v>
      </c>
      <c r="U1091" t="inlineStr">
        <is>
          <t>1996-12-11</t>
        </is>
      </c>
      <c r="V1091" t="inlineStr">
        <is>
          <t>1996-12-11</t>
        </is>
      </c>
      <c r="W1091" t="inlineStr">
        <is>
          <t>1991-09-16</t>
        </is>
      </c>
      <c r="X1091" t="inlineStr">
        <is>
          <t>1991-09-16</t>
        </is>
      </c>
      <c r="Y1091" t="n">
        <v>11</v>
      </c>
      <c r="Z1091" t="n">
        <v>11</v>
      </c>
      <c r="AA1091" t="n">
        <v>26</v>
      </c>
      <c r="AB1091" t="n">
        <v>1</v>
      </c>
      <c r="AC1091" t="n">
        <v>1</v>
      </c>
      <c r="AD1091" t="n">
        <v>1</v>
      </c>
      <c r="AE1091" t="n">
        <v>4</v>
      </c>
      <c r="AF1091" t="n">
        <v>0</v>
      </c>
      <c r="AG1091" t="n">
        <v>0</v>
      </c>
      <c r="AH1091" t="n">
        <v>1</v>
      </c>
      <c r="AI1091" t="n">
        <v>2</v>
      </c>
      <c r="AJ1091" t="n">
        <v>1</v>
      </c>
      <c r="AK1091" t="n">
        <v>3</v>
      </c>
      <c r="AL1091" t="n">
        <v>0</v>
      </c>
      <c r="AM1091" t="n">
        <v>0</v>
      </c>
      <c r="AN1091" t="n">
        <v>0</v>
      </c>
      <c r="AO1091" t="n">
        <v>0</v>
      </c>
      <c r="AP1091" t="inlineStr">
        <is>
          <t>No</t>
        </is>
      </c>
      <c r="AQ1091" t="inlineStr">
        <is>
          <t>No</t>
        </is>
      </c>
      <c r="AS1091">
        <f>HYPERLINK("https://creighton-primo.hosted.exlibrisgroup.com/primo-explore/search?tab=default_tab&amp;search_scope=EVERYTHING&amp;vid=01CRU&amp;lang=en_US&amp;offset=0&amp;query=any,contains,991000852079702656","Catalog Record")</f>
        <v/>
      </c>
      <c r="AT1091">
        <f>HYPERLINK("http://www.worldcat.org/oclc/13591945","WorldCat Record")</f>
        <v/>
      </c>
      <c r="AU1091" t="inlineStr">
        <is>
          <t>5314330909:lat</t>
        </is>
      </c>
      <c r="AV1091" t="inlineStr">
        <is>
          <t>13591945</t>
        </is>
      </c>
      <c r="AW1091" t="inlineStr">
        <is>
          <t>991000852079702656</t>
        </is>
      </c>
      <c r="AX1091" t="inlineStr">
        <is>
          <t>991000852079702656</t>
        </is>
      </c>
      <c r="AY1091" t="inlineStr">
        <is>
          <t>2269595480002656</t>
        </is>
      </c>
      <c r="AZ1091" t="inlineStr">
        <is>
          <t>BOOK</t>
        </is>
      </c>
      <c r="BC1091" t="inlineStr">
        <is>
          <t>32285000743681</t>
        </is>
      </c>
      <c r="BD1091" t="inlineStr">
        <is>
          <t>893502878</t>
        </is>
      </c>
    </row>
    <row r="1092">
      <c r="A1092" t="inlineStr">
        <is>
          <t>No</t>
        </is>
      </c>
      <c r="B1092" t="inlineStr">
        <is>
          <t>BX2035 .A3 1964</t>
        </is>
      </c>
      <c r="C1092" t="inlineStr">
        <is>
          <t>0                      BX 2035000A  3           1964</t>
        </is>
      </c>
      <c r="D1092" t="inlineStr">
        <is>
          <t>Collectio rituum : pro Dioecesibus Civitatum Foederatarum Americae Septentrionalis ; ritual approved by the National Conference of Bishops of the United States of America / prepared under the guidance of Walter J. Schmitz.</t>
        </is>
      </c>
      <c r="F1092" t="inlineStr">
        <is>
          <t>No</t>
        </is>
      </c>
      <c r="G1092" t="inlineStr">
        <is>
          <t>1</t>
        </is>
      </c>
      <c r="H1092" t="inlineStr">
        <is>
          <t>No</t>
        </is>
      </c>
      <c r="I1092" t="inlineStr">
        <is>
          <t>No</t>
        </is>
      </c>
      <c r="J1092" t="inlineStr">
        <is>
          <t>0</t>
        </is>
      </c>
      <c r="K1092" t="inlineStr">
        <is>
          <t>Catholic Church.</t>
        </is>
      </c>
      <c r="L1092" t="inlineStr">
        <is>
          <t>Milwaukee : Bruce Pub. Co., 1964.</t>
        </is>
      </c>
      <c r="M1092" t="inlineStr">
        <is>
          <t>1964</t>
        </is>
      </c>
      <c r="O1092" t="inlineStr">
        <is>
          <t>lat</t>
        </is>
      </c>
      <c r="P1092" t="inlineStr">
        <is>
          <t xml:space="preserve">xx </t>
        </is>
      </c>
      <c r="R1092" t="inlineStr">
        <is>
          <t xml:space="preserve">BX </t>
        </is>
      </c>
      <c r="S1092" t="n">
        <v>9</v>
      </c>
      <c r="T1092" t="n">
        <v>9</v>
      </c>
      <c r="U1092" t="inlineStr">
        <is>
          <t>2009-06-10</t>
        </is>
      </c>
      <c r="V1092" t="inlineStr">
        <is>
          <t>2009-06-10</t>
        </is>
      </c>
      <c r="W1092" t="inlineStr">
        <is>
          <t>1992-08-25</t>
        </is>
      </c>
      <c r="X1092" t="inlineStr">
        <is>
          <t>1992-08-25</t>
        </is>
      </c>
      <c r="Y1092" t="n">
        <v>70</v>
      </c>
      <c r="Z1092" t="n">
        <v>63</v>
      </c>
      <c r="AA1092" t="n">
        <v>71</v>
      </c>
      <c r="AB1092" t="n">
        <v>2</v>
      </c>
      <c r="AC1092" t="n">
        <v>3</v>
      </c>
      <c r="AD1092" t="n">
        <v>13</v>
      </c>
      <c r="AE1092" t="n">
        <v>13</v>
      </c>
      <c r="AF1092" t="n">
        <v>3</v>
      </c>
      <c r="AG1092" t="n">
        <v>3</v>
      </c>
      <c r="AH1092" t="n">
        <v>4</v>
      </c>
      <c r="AI1092" t="n">
        <v>4</v>
      </c>
      <c r="AJ1092" t="n">
        <v>11</v>
      </c>
      <c r="AK1092" t="n">
        <v>11</v>
      </c>
      <c r="AL1092" t="n">
        <v>0</v>
      </c>
      <c r="AM1092" t="n">
        <v>0</v>
      </c>
      <c r="AN1092" t="n">
        <v>0</v>
      </c>
      <c r="AO1092" t="n">
        <v>0</v>
      </c>
      <c r="AP1092" t="inlineStr">
        <is>
          <t>No</t>
        </is>
      </c>
      <c r="AQ1092" t="inlineStr">
        <is>
          <t>No</t>
        </is>
      </c>
      <c r="AS1092">
        <f>HYPERLINK("https://creighton-primo.hosted.exlibrisgroup.com/primo-explore/search?tab=default_tab&amp;search_scope=EVERYTHING&amp;vid=01CRU&amp;lang=en_US&amp;offset=0&amp;query=any,contains,991003688409702656","Catalog Record")</f>
        <v/>
      </c>
      <c r="AT1092">
        <f>HYPERLINK("http://www.worldcat.org/oclc/1317559","WorldCat Record")</f>
        <v/>
      </c>
      <c r="AU1092" t="inlineStr">
        <is>
          <t>1647547:lat</t>
        </is>
      </c>
      <c r="AV1092" t="inlineStr">
        <is>
          <t>1317559</t>
        </is>
      </c>
      <c r="AW1092" t="inlineStr">
        <is>
          <t>991003688409702656</t>
        </is>
      </c>
      <c r="AX1092" t="inlineStr">
        <is>
          <t>991003688409702656</t>
        </is>
      </c>
      <c r="AY1092" t="inlineStr">
        <is>
          <t>2269326350002656</t>
        </is>
      </c>
      <c r="AZ1092" t="inlineStr">
        <is>
          <t>BOOK</t>
        </is>
      </c>
      <c r="BC1092" t="inlineStr">
        <is>
          <t>32285001252674</t>
        </is>
      </c>
      <c r="BD1092" t="inlineStr">
        <is>
          <t>893781282</t>
        </is>
      </c>
    </row>
    <row r="1093">
      <c r="A1093" t="inlineStr">
        <is>
          <t>No</t>
        </is>
      </c>
      <c r="B1093" t="inlineStr">
        <is>
          <t>BX2035.6 .C62 2006</t>
        </is>
      </c>
      <c r="C1093" t="inlineStr">
        <is>
          <t>0                      BX 2035600C  62          2006</t>
        </is>
      </c>
      <c r="D1093" t="inlineStr">
        <is>
          <t>Rite of confirmation = Ritual para la confirmación : approved for use in the dioceses of the United States of America by the United States Conference of Catholic Bishops and confirmed by the Apostolic See / English translation prepared by the International Commission on English in the Liturgy ; la traducción al español fue elaborada por la Conferencia del Episcopado Mexicano.</t>
        </is>
      </c>
      <c r="F1093" t="inlineStr">
        <is>
          <t>No</t>
        </is>
      </c>
      <c r="G1093" t="inlineStr">
        <is>
          <t>1</t>
        </is>
      </c>
      <c r="H1093" t="inlineStr">
        <is>
          <t>No</t>
        </is>
      </c>
      <c r="I1093" t="inlineStr">
        <is>
          <t>Yes</t>
        </is>
      </c>
      <c r="J1093" t="inlineStr">
        <is>
          <t>0</t>
        </is>
      </c>
      <c r="K1093" t="inlineStr">
        <is>
          <t>Catholic Church.</t>
        </is>
      </c>
      <c r="L1093" t="inlineStr">
        <is>
          <t>Washington, D.C. : United States Conference of Catholic Bishops, 2006.</t>
        </is>
      </c>
      <c r="M1093" t="inlineStr">
        <is>
          <t>2006</t>
        </is>
      </c>
      <c r="O1093" t="inlineStr">
        <is>
          <t>eng</t>
        </is>
      </c>
      <c r="P1093" t="inlineStr">
        <is>
          <t>dcu</t>
        </is>
      </c>
      <c r="R1093" t="inlineStr">
        <is>
          <t xml:space="preserve">BX </t>
        </is>
      </c>
      <c r="S1093" t="n">
        <v>1</v>
      </c>
      <c r="T1093" t="n">
        <v>1</v>
      </c>
      <c r="U1093" t="inlineStr">
        <is>
          <t>2006-06-26</t>
        </is>
      </c>
      <c r="V1093" t="inlineStr">
        <is>
          <t>2006-06-26</t>
        </is>
      </c>
      <c r="W1093" t="inlineStr">
        <is>
          <t>2006-06-26</t>
        </is>
      </c>
      <c r="X1093" t="inlineStr">
        <is>
          <t>2006-06-26</t>
        </is>
      </c>
      <c r="Y1093" t="n">
        <v>63</v>
      </c>
      <c r="Z1093" t="n">
        <v>61</v>
      </c>
      <c r="AA1093" t="n">
        <v>111</v>
      </c>
      <c r="AB1093" t="n">
        <v>1</v>
      </c>
      <c r="AC1093" t="n">
        <v>2</v>
      </c>
      <c r="AD1093" t="n">
        <v>10</v>
      </c>
      <c r="AE1093" t="n">
        <v>18</v>
      </c>
      <c r="AF1093" t="n">
        <v>2</v>
      </c>
      <c r="AG1093" t="n">
        <v>4</v>
      </c>
      <c r="AH1093" t="n">
        <v>1</v>
      </c>
      <c r="AI1093" t="n">
        <v>6</v>
      </c>
      <c r="AJ1093" t="n">
        <v>8</v>
      </c>
      <c r="AK1093" t="n">
        <v>13</v>
      </c>
      <c r="AL1093" t="n">
        <v>0</v>
      </c>
      <c r="AM1093" t="n">
        <v>0</v>
      </c>
      <c r="AN1093" t="n">
        <v>0</v>
      </c>
      <c r="AO1093" t="n">
        <v>0</v>
      </c>
      <c r="AP1093" t="inlineStr">
        <is>
          <t>No</t>
        </is>
      </c>
      <c r="AQ1093" t="inlineStr">
        <is>
          <t>No</t>
        </is>
      </c>
      <c r="AS1093">
        <f>HYPERLINK("https://creighton-primo.hosted.exlibrisgroup.com/primo-explore/search?tab=default_tab&amp;search_scope=EVERYTHING&amp;vid=01CRU&amp;lang=en_US&amp;offset=0&amp;query=any,contains,991004836679702656","Catalog Record")</f>
        <v/>
      </c>
      <c r="AT1093">
        <f>HYPERLINK("http://www.worldcat.org/oclc/70172302","WorldCat Record")</f>
        <v/>
      </c>
      <c r="AU1093" t="inlineStr">
        <is>
          <t>3658450:eng</t>
        </is>
      </c>
      <c r="AV1093" t="inlineStr">
        <is>
          <t>70172302</t>
        </is>
      </c>
      <c r="AW1093" t="inlineStr">
        <is>
          <t>991004836679702656</t>
        </is>
      </c>
      <c r="AX1093" t="inlineStr">
        <is>
          <t>991004836679702656</t>
        </is>
      </c>
      <c r="AY1093" t="inlineStr">
        <is>
          <t>2262809280002656</t>
        </is>
      </c>
      <c r="AZ1093" t="inlineStr">
        <is>
          <t>BOOK</t>
        </is>
      </c>
      <c r="BC1093" t="inlineStr">
        <is>
          <t>32285005191969</t>
        </is>
      </c>
      <c r="BD1093" t="inlineStr">
        <is>
          <t>893248043</t>
        </is>
      </c>
    </row>
    <row r="1094">
      <c r="A1094" t="inlineStr">
        <is>
          <t>No</t>
        </is>
      </c>
      <c r="B1094" t="inlineStr">
        <is>
          <t>BX2035.6 .F8544 1990</t>
        </is>
      </c>
      <c r="C1094" t="inlineStr">
        <is>
          <t>0                      BX 2035600F  8544        1990</t>
        </is>
      </c>
      <c r="D1094" t="inlineStr">
        <is>
          <t>Order of Christian funerals : the Roman ritual revised by decree of the Second Vatican Ecumenical Council and published by authority of Pope Paul VI / prepared by the International Commission on English in the Liturgy.</t>
        </is>
      </c>
      <c r="F1094" t="inlineStr">
        <is>
          <t>No</t>
        </is>
      </c>
      <c r="G1094" t="inlineStr">
        <is>
          <t>1</t>
        </is>
      </c>
      <c r="H1094" t="inlineStr">
        <is>
          <t>No</t>
        </is>
      </c>
      <c r="I1094" t="inlineStr">
        <is>
          <t>No</t>
        </is>
      </c>
      <c r="J1094" t="inlineStr">
        <is>
          <t>0</t>
        </is>
      </c>
      <c r="K1094" t="inlineStr">
        <is>
          <t>Catholic Church.</t>
        </is>
      </c>
      <c r="L1094" t="inlineStr">
        <is>
          <t>Chicago : Liturgy Training Publications, 1990.</t>
        </is>
      </c>
      <c r="M1094" t="inlineStr">
        <is>
          <t>1990</t>
        </is>
      </c>
      <c r="N1094" t="inlineStr">
        <is>
          <t>Study ed.</t>
        </is>
      </c>
      <c r="O1094" t="inlineStr">
        <is>
          <t>eng</t>
        </is>
      </c>
      <c r="P1094" t="inlineStr">
        <is>
          <t>ilu</t>
        </is>
      </c>
      <c r="R1094" t="inlineStr">
        <is>
          <t xml:space="preserve">BX </t>
        </is>
      </c>
      <c r="S1094" t="n">
        <v>2</v>
      </c>
      <c r="T1094" t="n">
        <v>2</v>
      </c>
      <c r="U1094" t="inlineStr">
        <is>
          <t>2006-12-04</t>
        </is>
      </c>
      <c r="V1094" t="inlineStr">
        <is>
          <t>2006-12-04</t>
        </is>
      </c>
      <c r="W1094" t="inlineStr">
        <is>
          <t>2005-04-13</t>
        </is>
      </c>
      <c r="X1094" t="inlineStr">
        <is>
          <t>2005-04-13</t>
        </is>
      </c>
      <c r="Y1094" t="n">
        <v>53</v>
      </c>
      <c r="Z1094" t="n">
        <v>52</v>
      </c>
      <c r="AA1094" t="n">
        <v>116</v>
      </c>
      <c r="AB1094" t="n">
        <v>1</v>
      </c>
      <c r="AC1094" t="n">
        <v>1</v>
      </c>
      <c r="AD1094" t="n">
        <v>2</v>
      </c>
      <c r="AE1094" t="n">
        <v>10</v>
      </c>
      <c r="AF1094" t="n">
        <v>0</v>
      </c>
      <c r="AG1094" t="n">
        <v>1</v>
      </c>
      <c r="AH1094" t="n">
        <v>0</v>
      </c>
      <c r="AI1094" t="n">
        <v>3</v>
      </c>
      <c r="AJ1094" t="n">
        <v>2</v>
      </c>
      <c r="AK1094" t="n">
        <v>7</v>
      </c>
      <c r="AL1094" t="n">
        <v>0</v>
      </c>
      <c r="AM1094" t="n">
        <v>0</v>
      </c>
      <c r="AN1094" t="n">
        <v>0</v>
      </c>
      <c r="AO1094" t="n">
        <v>0</v>
      </c>
      <c r="AP1094" t="inlineStr">
        <is>
          <t>No</t>
        </is>
      </c>
      <c r="AQ1094" t="inlineStr">
        <is>
          <t>No</t>
        </is>
      </c>
      <c r="AS1094">
        <f>HYPERLINK("https://creighton-primo.hosted.exlibrisgroup.com/primo-explore/search?tab=default_tab&amp;search_scope=EVERYTHING&amp;vid=01CRU&amp;lang=en_US&amp;offset=0&amp;query=any,contains,991004529309702656","Catalog Record")</f>
        <v/>
      </c>
      <c r="AT1094">
        <f>HYPERLINK("http://www.worldcat.org/oclc/21327337","WorldCat Record")</f>
        <v/>
      </c>
      <c r="AU1094" t="inlineStr">
        <is>
          <t>395939:eng</t>
        </is>
      </c>
      <c r="AV1094" t="inlineStr">
        <is>
          <t>21327337</t>
        </is>
      </c>
      <c r="AW1094" t="inlineStr">
        <is>
          <t>991004529309702656</t>
        </is>
      </c>
      <c r="AX1094" t="inlineStr">
        <is>
          <t>991004529309702656</t>
        </is>
      </c>
      <c r="AY1094" t="inlineStr">
        <is>
          <t>2266655490002656</t>
        </is>
      </c>
      <c r="AZ1094" t="inlineStr">
        <is>
          <t>BOOK</t>
        </is>
      </c>
      <c r="BB1094" t="inlineStr">
        <is>
          <t>9780930467685</t>
        </is>
      </c>
      <c r="BC1094" t="inlineStr">
        <is>
          <t>32285005030530</t>
        </is>
      </c>
      <c r="BD1094" t="inlineStr">
        <is>
          <t>893241545</t>
        </is>
      </c>
    </row>
    <row r="1095">
      <c r="A1095" t="inlineStr">
        <is>
          <t>No</t>
        </is>
      </c>
      <c r="B1095" t="inlineStr">
        <is>
          <t>BX2035.A4 H6 1970</t>
        </is>
      </c>
      <c r="C1095" t="inlineStr">
        <is>
          <t>0                      BX 2035000A  4                  H  6           1970</t>
        </is>
      </c>
      <c r="D1095" t="inlineStr">
        <is>
          <t>Manual of celebration / by Robert W. Hovda.</t>
        </is>
      </c>
      <c r="F1095" t="inlineStr">
        <is>
          <t>No</t>
        </is>
      </c>
      <c r="G1095" t="inlineStr">
        <is>
          <t>1</t>
        </is>
      </c>
      <c r="H1095" t="inlineStr">
        <is>
          <t>No</t>
        </is>
      </c>
      <c r="I1095" t="inlineStr">
        <is>
          <t>No</t>
        </is>
      </c>
      <c r="J1095" t="inlineStr">
        <is>
          <t>0</t>
        </is>
      </c>
      <c r="K1095" t="inlineStr">
        <is>
          <t>Hovda, Robert W.</t>
        </is>
      </c>
      <c r="L1095" t="inlineStr">
        <is>
          <t>Washington : The Liturgical Conference, 1970.</t>
        </is>
      </c>
      <c r="M1095" t="inlineStr">
        <is>
          <t>1970</t>
        </is>
      </c>
      <c r="O1095" t="inlineStr">
        <is>
          <t>eng</t>
        </is>
      </c>
      <c r="P1095" t="inlineStr">
        <is>
          <t>dcu</t>
        </is>
      </c>
      <c r="R1095" t="inlineStr">
        <is>
          <t xml:space="preserve">BX </t>
        </is>
      </c>
      <c r="S1095" t="n">
        <v>4</v>
      </c>
      <c r="T1095" t="n">
        <v>4</v>
      </c>
      <c r="U1095" t="inlineStr">
        <is>
          <t>1993-10-05</t>
        </is>
      </c>
      <c r="V1095" t="inlineStr">
        <is>
          <t>1993-10-05</t>
        </is>
      </c>
      <c r="W1095" t="inlineStr">
        <is>
          <t>1991-09-16</t>
        </is>
      </c>
      <c r="X1095" t="inlineStr">
        <is>
          <t>1991-09-16</t>
        </is>
      </c>
      <c r="Y1095" t="n">
        <v>41</v>
      </c>
      <c r="Z1095" t="n">
        <v>38</v>
      </c>
      <c r="AA1095" t="n">
        <v>64</v>
      </c>
      <c r="AB1095" t="n">
        <v>1</v>
      </c>
      <c r="AC1095" t="n">
        <v>1</v>
      </c>
      <c r="AD1095" t="n">
        <v>3</v>
      </c>
      <c r="AE1095" t="n">
        <v>6</v>
      </c>
      <c r="AF1095" t="n">
        <v>0</v>
      </c>
      <c r="AG1095" t="n">
        <v>1</v>
      </c>
      <c r="AH1095" t="n">
        <v>2</v>
      </c>
      <c r="AI1095" t="n">
        <v>2</v>
      </c>
      <c r="AJ1095" t="n">
        <v>2</v>
      </c>
      <c r="AK1095" t="n">
        <v>5</v>
      </c>
      <c r="AL1095" t="n">
        <v>0</v>
      </c>
      <c r="AM1095" t="n">
        <v>0</v>
      </c>
      <c r="AN1095" t="n">
        <v>0</v>
      </c>
      <c r="AO1095" t="n">
        <v>0</v>
      </c>
      <c r="AP1095" t="inlineStr">
        <is>
          <t>No</t>
        </is>
      </c>
      <c r="AQ1095" t="inlineStr">
        <is>
          <t>No</t>
        </is>
      </c>
      <c r="AS1095">
        <f>HYPERLINK("https://creighton-primo.hosted.exlibrisgroup.com/primo-explore/search?tab=default_tab&amp;search_scope=EVERYTHING&amp;vid=01CRU&amp;lang=en_US&amp;offset=0&amp;query=any,contains,991000485779702656","Catalog Record")</f>
        <v/>
      </c>
      <c r="AT1095">
        <f>HYPERLINK("http://www.worldcat.org/oclc/11074286","WorldCat Record")</f>
        <v/>
      </c>
      <c r="AU1095" t="inlineStr">
        <is>
          <t>1384826:eng</t>
        </is>
      </c>
      <c r="AV1095" t="inlineStr">
        <is>
          <t>11074286</t>
        </is>
      </c>
      <c r="AW1095" t="inlineStr">
        <is>
          <t>991000485779702656</t>
        </is>
      </c>
      <c r="AX1095" t="inlineStr">
        <is>
          <t>991000485779702656</t>
        </is>
      </c>
      <c r="AY1095" t="inlineStr">
        <is>
          <t>2265088810002656</t>
        </is>
      </c>
      <c r="AZ1095" t="inlineStr">
        <is>
          <t>BOOK</t>
        </is>
      </c>
      <c r="BC1095" t="inlineStr">
        <is>
          <t>32285000743715</t>
        </is>
      </c>
      <c r="BD1095" t="inlineStr">
        <is>
          <t>893249388</t>
        </is>
      </c>
    </row>
    <row r="1096">
      <c r="A1096" t="inlineStr">
        <is>
          <t>No</t>
        </is>
      </c>
      <c r="B1096" t="inlineStr">
        <is>
          <t>BX2037 .S4 1924</t>
        </is>
      </c>
      <c r="C1096" t="inlineStr">
        <is>
          <t>0                      BX 2037000S  4           1924</t>
        </is>
      </c>
      <c r="D1096" t="inlineStr">
        <is>
          <t>The Sacramentary : (Liber Sacramentorum) Historical and liturgical notes on the Roman Missal / by Ildefonso Schuster. Trans-lated by Arthur Levelis-Marke.</t>
        </is>
      </c>
      <c r="E1096" t="inlineStr">
        <is>
          <t>V.3</t>
        </is>
      </c>
      <c r="F1096" t="inlineStr">
        <is>
          <t>Yes</t>
        </is>
      </c>
      <c r="G1096" t="inlineStr">
        <is>
          <t>1</t>
        </is>
      </c>
      <c r="H1096" t="inlineStr">
        <is>
          <t>No</t>
        </is>
      </c>
      <c r="I1096" t="inlineStr">
        <is>
          <t>No</t>
        </is>
      </c>
      <c r="J1096" t="inlineStr">
        <is>
          <t>0</t>
        </is>
      </c>
      <c r="K1096" t="inlineStr">
        <is>
          <t>Schuster, Ildefonso, 1880-1954.</t>
        </is>
      </c>
      <c r="L1096" t="inlineStr">
        <is>
          <t>London : Burns, Oates &amp; Washbourne, Ltd., 1924-30.</t>
        </is>
      </c>
      <c r="M1096" t="inlineStr">
        <is>
          <t>1924</t>
        </is>
      </c>
      <c r="O1096" t="inlineStr">
        <is>
          <t>eng</t>
        </is>
      </c>
      <c r="P1096" t="inlineStr">
        <is>
          <t xml:space="preserve">xx </t>
        </is>
      </c>
      <c r="R1096" t="inlineStr">
        <is>
          <t xml:space="preserve">BX </t>
        </is>
      </c>
      <c r="S1096" t="n">
        <v>0</v>
      </c>
      <c r="T1096" t="n">
        <v>2</v>
      </c>
      <c r="U1096" t="inlineStr">
        <is>
          <t>2001-10-01</t>
        </is>
      </c>
      <c r="V1096" t="inlineStr">
        <is>
          <t>2001-10-01</t>
        </is>
      </c>
      <c r="W1096" t="inlineStr">
        <is>
          <t>1991-09-16</t>
        </is>
      </c>
      <c r="X1096" t="inlineStr">
        <is>
          <t>1991-09-16</t>
        </is>
      </c>
      <c r="Y1096" t="n">
        <v>77</v>
      </c>
      <c r="Z1096" t="n">
        <v>66</v>
      </c>
      <c r="AA1096" t="n">
        <v>123</v>
      </c>
      <c r="AB1096" t="n">
        <v>1</v>
      </c>
      <c r="AC1096" t="n">
        <v>1</v>
      </c>
      <c r="AD1096" t="n">
        <v>11</v>
      </c>
      <c r="AE1096" t="n">
        <v>18</v>
      </c>
      <c r="AF1096" t="n">
        <v>3</v>
      </c>
      <c r="AG1096" t="n">
        <v>3</v>
      </c>
      <c r="AH1096" t="n">
        <v>2</v>
      </c>
      <c r="AI1096" t="n">
        <v>5</v>
      </c>
      <c r="AJ1096" t="n">
        <v>8</v>
      </c>
      <c r="AK1096" t="n">
        <v>14</v>
      </c>
      <c r="AL1096" t="n">
        <v>0</v>
      </c>
      <c r="AM1096" t="n">
        <v>0</v>
      </c>
      <c r="AN1096" t="n">
        <v>0</v>
      </c>
      <c r="AO1096" t="n">
        <v>0</v>
      </c>
      <c r="AP1096" t="inlineStr">
        <is>
          <t>Yes</t>
        </is>
      </c>
      <c r="AQ1096" t="inlineStr">
        <is>
          <t>No</t>
        </is>
      </c>
      <c r="AR1096">
        <f>HYPERLINK("http://catalog.hathitrust.org/Record/005779402","HathiTrust Record")</f>
        <v/>
      </c>
      <c r="AS1096">
        <f>HYPERLINK("https://creighton-primo.hosted.exlibrisgroup.com/primo-explore/search?tab=default_tab&amp;search_scope=EVERYTHING&amp;vid=01CRU&amp;lang=en_US&amp;offset=0&amp;query=any,contains,991004148419702656","Catalog Record")</f>
        <v/>
      </c>
      <c r="AT1096">
        <f>HYPERLINK("http://www.worldcat.org/oclc/2518573","WorldCat Record")</f>
        <v/>
      </c>
      <c r="AU1096" t="inlineStr">
        <is>
          <t>10178100505:eng</t>
        </is>
      </c>
      <c r="AV1096" t="inlineStr">
        <is>
          <t>2518573</t>
        </is>
      </c>
      <c r="AW1096" t="inlineStr">
        <is>
          <t>991004148419702656</t>
        </is>
      </c>
      <c r="AX1096" t="inlineStr">
        <is>
          <t>991004148419702656</t>
        </is>
      </c>
      <c r="AY1096" t="inlineStr">
        <is>
          <t>2259527260002656</t>
        </is>
      </c>
      <c r="AZ1096" t="inlineStr">
        <is>
          <t>BOOK</t>
        </is>
      </c>
      <c r="BC1096" t="inlineStr">
        <is>
          <t>32285000743798</t>
        </is>
      </c>
      <c r="BD1096" t="inlineStr">
        <is>
          <t>893894619</t>
        </is>
      </c>
    </row>
    <row r="1097">
      <c r="A1097" t="inlineStr">
        <is>
          <t>No</t>
        </is>
      </c>
      <c r="B1097" t="inlineStr">
        <is>
          <t>BX2037 .S4 1924</t>
        </is>
      </c>
      <c r="C1097" t="inlineStr">
        <is>
          <t>0                      BX 2037000S  4           1924</t>
        </is>
      </c>
      <c r="D1097" t="inlineStr">
        <is>
          <t>The Sacramentary : (Liber Sacramentorum) Historical and liturgical notes on the Roman Missal / by Ildefonso Schuster. Trans-lated by Arthur Levelis-Marke.</t>
        </is>
      </c>
      <c r="E1097" t="inlineStr">
        <is>
          <t>V.1</t>
        </is>
      </c>
      <c r="F1097" t="inlineStr">
        <is>
          <t>Yes</t>
        </is>
      </c>
      <c r="G1097" t="inlineStr">
        <is>
          <t>1</t>
        </is>
      </c>
      <c r="H1097" t="inlineStr">
        <is>
          <t>No</t>
        </is>
      </c>
      <c r="I1097" t="inlineStr">
        <is>
          <t>No</t>
        </is>
      </c>
      <c r="J1097" t="inlineStr">
        <is>
          <t>0</t>
        </is>
      </c>
      <c r="K1097" t="inlineStr">
        <is>
          <t>Schuster, Ildefonso, 1880-1954.</t>
        </is>
      </c>
      <c r="L1097" t="inlineStr">
        <is>
          <t>London : Burns, Oates &amp; Washbourne, Ltd., 1924-30.</t>
        </is>
      </c>
      <c r="M1097" t="inlineStr">
        <is>
          <t>1924</t>
        </is>
      </c>
      <c r="O1097" t="inlineStr">
        <is>
          <t>eng</t>
        </is>
      </c>
      <c r="P1097" t="inlineStr">
        <is>
          <t xml:space="preserve">xx </t>
        </is>
      </c>
      <c r="R1097" t="inlineStr">
        <is>
          <t xml:space="preserve">BX </t>
        </is>
      </c>
      <c r="S1097" t="n">
        <v>2</v>
      </c>
      <c r="T1097" t="n">
        <v>2</v>
      </c>
      <c r="U1097" t="inlineStr">
        <is>
          <t>2001-10-01</t>
        </is>
      </c>
      <c r="V1097" t="inlineStr">
        <is>
          <t>2001-10-01</t>
        </is>
      </c>
      <c r="W1097" t="inlineStr">
        <is>
          <t>1990-04-03</t>
        </is>
      </c>
      <c r="X1097" t="inlineStr">
        <is>
          <t>1991-09-16</t>
        </is>
      </c>
      <c r="Y1097" t="n">
        <v>77</v>
      </c>
      <c r="Z1097" t="n">
        <v>66</v>
      </c>
      <c r="AA1097" t="n">
        <v>123</v>
      </c>
      <c r="AB1097" t="n">
        <v>1</v>
      </c>
      <c r="AC1097" t="n">
        <v>1</v>
      </c>
      <c r="AD1097" t="n">
        <v>11</v>
      </c>
      <c r="AE1097" t="n">
        <v>18</v>
      </c>
      <c r="AF1097" t="n">
        <v>3</v>
      </c>
      <c r="AG1097" t="n">
        <v>3</v>
      </c>
      <c r="AH1097" t="n">
        <v>2</v>
      </c>
      <c r="AI1097" t="n">
        <v>5</v>
      </c>
      <c r="AJ1097" t="n">
        <v>8</v>
      </c>
      <c r="AK1097" t="n">
        <v>14</v>
      </c>
      <c r="AL1097" t="n">
        <v>0</v>
      </c>
      <c r="AM1097" t="n">
        <v>0</v>
      </c>
      <c r="AN1097" t="n">
        <v>0</v>
      </c>
      <c r="AO1097" t="n">
        <v>0</v>
      </c>
      <c r="AP1097" t="inlineStr">
        <is>
          <t>Yes</t>
        </is>
      </c>
      <c r="AQ1097" t="inlineStr">
        <is>
          <t>No</t>
        </is>
      </c>
      <c r="AR1097">
        <f>HYPERLINK("http://catalog.hathitrust.org/Record/005779402","HathiTrust Record")</f>
        <v/>
      </c>
      <c r="AS1097">
        <f>HYPERLINK("https://creighton-primo.hosted.exlibrisgroup.com/primo-explore/search?tab=default_tab&amp;search_scope=EVERYTHING&amp;vid=01CRU&amp;lang=en_US&amp;offset=0&amp;query=any,contains,991004148419702656","Catalog Record")</f>
        <v/>
      </c>
      <c r="AT1097">
        <f>HYPERLINK("http://www.worldcat.org/oclc/2518573","WorldCat Record")</f>
        <v/>
      </c>
      <c r="AU1097" t="inlineStr">
        <is>
          <t>10178100505:eng</t>
        </is>
      </c>
      <c r="AV1097" t="inlineStr">
        <is>
          <t>2518573</t>
        </is>
      </c>
      <c r="AW1097" t="inlineStr">
        <is>
          <t>991004148419702656</t>
        </is>
      </c>
      <c r="AX1097" t="inlineStr">
        <is>
          <t>991004148419702656</t>
        </is>
      </c>
      <c r="AY1097" t="inlineStr">
        <is>
          <t>2259527260002656</t>
        </is>
      </c>
      <c r="AZ1097" t="inlineStr">
        <is>
          <t>BOOK</t>
        </is>
      </c>
      <c r="BC1097" t="inlineStr">
        <is>
          <t>32285000109230</t>
        </is>
      </c>
      <c r="BD1097" t="inlineStr">
        <is>
          <t>893888349</t>
        </is>
      </c>
    </row>
    <row r="1098">
      <c r="A1098" t="inlineStr">
        <is>
          <t>No</t>
        </is>
      </c>
      <c r="B1098" t="inlineStr">
        <is>
          <t>BX2037 .S4 1924</t>
        </is>
      </c>
      <c r="C1098" t="inlineStr">
        <is>
          <t>0                      BX 2037000S  4           1924</t>
        </is>
      </c>
      <c r="D1098" t="inlineStr">
        <is>
          <t>The Sacramentary : (Liber Sacramentorum) Historical and liturgical notes on the Roman Missal / by Ildefonso Schuster. Trans-lated by Arthur Levelis-Marke.</t>
        </is>
      </c>
      <c r="E1098" t="inlineStr">
        <is>
          <t>V.2</t>
        </is>
      </c>
      <c r="F1098" t="inlineStr">
        <is>
          <t>Yes</t>
        </is>
      </c>
      <c r="G1098" t="inlineStr">
        <is>
          <t>1</t>
        </is>
      </c>
      <c r="H1098" t="inlineStr">
        <is>
          <t>No</t>
        </is>
      </c>
      <c r="I1098" t="inlineStr">
        <is>
          <t>No</t>
        </is>
      </c>
      <c r="J1098" t="inlineStr">
        <is>
          <t>0</t>
        </is>
      </c>
      <c r="K1098" t="inlineStr">
        <is>
          <t>Schuster, Ildefonso, 1880-1954.</t>
        </is>
      </c>
      <c r="L1098" t="inlineStr">
        <is>
          <t>London : Burns, Oates &amp; Washbourne, Ltd., 1924-30.</t>
        </is>
      </c>
      <c r="M1098" t="inlineStr">
        <is>
          <t>1924</t>
        </is>
      </c>
      <c r="O1098" t="inlineStr">
        <is>
          <t>eng</t>
        </is>
      </c>
      <c r="P1098" t="inlineStr">
        <is>
          <t xml:space="preserve">xx </t>
        </is>
      </c>
      <c r="R1098" t="inlineStr">
        <is>
          <t xml:space="preserve">BX </t>
        </is>
      </c>
      <c r="S1098" t="n">
        <v>0</v>
      </c>
      <c r="T1098" t="n">
        <v>2</v>
      </c>
      <c r="U1098" t="inlineStr">
        <is>
          <t>2001-10-01</t>
        </is>
      </c>
      <c r="V1098" t="inlineStr">
        <is>
          <t>2001-10-01</t>
        </is>
      </c>
      <c r="W1098" t="inlineStr">
        <is>
          <t>1991-09-16</t>
        </is>
      </c>
      <c r="X1098" t="inlineStr">
        <is>
          <t>1991-09-16</t>
        </is>
      </c>
      <c r="Y1098" t="n">
        <v>77</v>
      </c>
      <c r="Z1098" t="n">
        <v>66</v>
      </c>
      <c r="AA1098" t="n">
        <v>123</v>
      </c>
      <c r="AB1098" t="n">
        <v>1</v>
      </c>
      <c r="AC1098" t="n">
        <v>1</v>
      </c>
      <c r="AD1098" t="n">
        <v>11</v>
      </c>
      <c r="AE1098" t="n">
        <v>18</v>
      </c>
      <c r="AF1098" t="n">
        <v>3</v>
      </c>
      <c r="AG1098" t="n">
        <v>3</v>
      </c>
      <c r="AH1098" t="n">
        <v>2</v>
      </c>
      <c r="AI1098" t="n">
        <v>5</v>
      </c>
      <c r="AJ1098" t="n">
        <v>8</v>
      </c>
      <c r="AK1098" t="n">
        <v>14</v>
      </c>
      <c r="AL1098" t="n">
        <v>0</v>
      </c>
      <c r="AM1098" t="n">
        <v>0</v>
      </c>
      <c r="AN1098" t="n">
        <v>0</v>
      </c>
      <c r="AO1098" t="n">
        <v>0</v>
      </c>
      <c r="AP1098" t="inlineStr">
        <is>
          <t>Yes</t>
        </is>
      </c>
      <c r="AQ1098" t="inlineStr">
        <is>
          <t>No</t>
        </is>
      </c>
      <c r="AR1098">
        <f>HYPERLINK("http://catalog.hathitrust.org/Record/005779402","HathiTrust Record")</f>
        <v/>
      </c>
      <c r="AS1098">
        <f>HYPERLINK("https://creighton-primo.hosted.exlibrisgroup.com/primo-explore/search?tab=default_tab&amp;search_scope=EVERYTHING&amp;vid=01CRU&amp;lang=en_US&amp;offset=0&amp;query=any,contains,991004148419702656","Catalog Record")</f>
        <v/>
      </c>
      <c r="AT1098">
        <f>HYPERLINK("http://www.worldcat.org/oclc/2518573","WorldCat Record")</f>
        <v/>
      </c>
      <c r="AU1098" t="inlineStr">
        <is>
          <t>10178100505:eng</t>
        </is>
      </c>
      <c r="AV1098" t="inlineStr">
        <is>
          <t>2518573</t>
        </is>
      </c>
      <c r="AW1098" t="inlineStr">
        <is>
          <t>991004148419702656</t>
        </is>
      </c>
      <c r="AX1098" t="inlineStr">
        <is>
          <t>991004148419702656</t>
        </is>
      </c>
      <c r="AY1098" t="inlineStr">
        <is>
          <t>2259527260002656</t>
        </is>
      </c>
      <c r="AZ1098" t="inlineStr">
        <is>
          <t>BOOK</t>
        </is>
      </c>
      <c r="BC1098" t="inlineStr">
        <is>
          <t>32285000743780</t>
        </is>
      </c>
      <c r="BD1098" t="inlineStr">
        <is>
          <t>893875743</t>
        </is>
      </c>
    </row>
    <row r="1099">
      <c r="A1099" t="inlineStr">
        <is>
          <t>No</t>
        </is>
      </c>
      <c r="B1099" t="inlineStr">
        <is>
          <t>BX2037.A3 J64 1995</t>
        </is>
      </c>
      <c r="C1099" t="inlineStr">
        <is>
          <t>0                      BX 2037000A  3                  J  64          1995</t>
        </is>
      </c>
      <c r="D1099" t="inlineStr">
        <is>
          <t>The prayers of Sarapion of Thmuis : a literary, liturgical, and theological analysis / by Maxwell E. Johnson.</t>
        </is>
      </c>
      <c r="F1099" t="inlineStr">
        <is>
          <t>No</t>
        </is>
      </c>
      <c r="G1099" t="inlineStr">
        <is>
          <t>1</t>
        </is>
      </c>
      <c r="H1099" t="inlineStr">
        <is>
          <t>No</t>
        </is>
      </c>
      <c r="I1099" t="inlineStr">
        <is>
          <t>No</t>
        </is>
      </c>
      <c r="J1099" t="inlineStr">
        <is>
          <t>0</t>
        </is>
      </c>
      <c r="K1099" t="inlineStr">
        <is>
          <t>Johnson, Maxwell E., 1952-</t>
        </is>
      </c>
      <c r="L1099" t="inlineStr">
        <is>
          <t>Roma : Pontificio istituto orientale, 1995.</t>
        </is>
      </c>
      <c r="M1099" t="inlineStr">
        <is>
          <t>1995</t>
        </is>
      </c>
      <c r="O1099" t="inlineStr">
        <is>
          <t>eng</t>
        </is>
      </c>
      <c r="P1099" t="inlineStr">
        <is>
          <t xml:space="preserve">it </t>
        </is>
      </c>
      <c r="Q1099" t="inlineStr">
        <is>
          <t>Orientalia Christiana analecta ; 249</t>
        </is>
      </c>
      <c r="R1099" t="inlineStr">
        <is>
          <t xml:space="preserve">BX </t>
        </is>
      </c>
      <c r="S1099" t="n">
        <v>1</v>
      </c>
      <c r="T1099" t="n">
        <v>1</v>
      </c>
      <c r="U1099" t="inlineStr">
        <is>
          <t>2008-08-26</t>
        </is>
      </c>
      <c r="V1099" t="inlineStr">
        <is>
          <t>2008-08-26</t>
        </is>
      </c>
      <c r="W1099" t="inlineStr">
        <is>
          <t>2008-08-26</t>
        </is>
      </c>
      <c r="X1099" t="inlineStr">
        <is>
          <t>2008-08-26</t>
        </is>
      </c>
      <c r="Y1099" t="n">
        <v>121</v>
      </c>
      <c r="Z1099" t="n">
        <v>77</v>
      </c>
      <c r="AA1099" t="n">
        <v>79</v>
      </c>
      <c r="AB1099" t="n">
        <v>1</v>
      </c>
      <c r="AC1099" t="n">
        <v>1</v>
      </c>
      <c r="AD1099" t="n">
        <v>8</v>
      </c>
      <c r="AE1099" t="n">
        <v>8</v>
      </c>
      <c r="AF1099" t="n">
        <v>0</v>
      </c>
      <c r="AG1099" t="n">
        <v>0</v>
      </c>
      <c r="AH1099" t="n">
        <v>2</v>
      </c>
      <c r="AI1099" t="n">
        <v>2</v>
      </c>
      <c r="AJ1099" t="n">
        <v>7</v>
      </c>
      <c r="AK1099" t="n">
        <v>7</v>
      </c>
      <c r="AL1099" t="n">
        <v>0</v>
      </c>
      <c r="AM1099" t="n">
        <v>0</v>
      </c>
      <c r="AN1099" t="n">
        <v>0</v>
      </c>
      <c r="AO1099" t="n">
        <v>0</v>
      </c>
      <c r="AP1099" t="inlineStr">
        <is>
          <t>No</t>
        </is>
      </c>
      <c r="AQ1099" t="inlineStr">
        <is>
          <t>Yes</t>
        </is>
      </c>
      <c r="AR1099">
        <f>HYPERLINK("http://catalog.hathitrust.org/Record/003062531","HathiTrust Record")</f>
        <v/>
      </c>
      <c r="AS1099">
        <f>HYPERLINK("https://creighton-primo.hosted.exlibrisgroup.com/primo-explore/search?tab=default_tab&amp;search_scope=EVERYTHING&amp;vid=01CRU&amp;lang=en_US&amp;offset=0&amp;query=any,contains,991005126609702656","Catalog Record")</f>
        <v/>
      </c>
      <c r="AT1099">
        <f>HYPERLINK("http://www.worldcat.org/oclc/33902813","WorldCat Record")</f>
        <v/>
      </c>
      <c r="AU1099" t="inlineStr">
        <is>
          <t>143815508:eng</t>
        </is>
      </c>
      <c r="AV1099" t="inlineStr">
        <is>
          <t>33902813</t>
        </is>
      </c>
      <c r="AW1099" t="inlineStr">
        <is>
          <t>991005126609702656</t>
        </is>
      </c>
      <c r="AX1099" t="inlineStr">
        <is>
          <t>991005126609702656</t>
        </is>
      </c>
      <c r="AY1099" t="inlineStr">
        <is>
          <t>2270343020002656</t>
        </is>
      </c>
      <c r="AZ1099" t="inlineStr">
        <is>
          <t>BOOK</t>
        </is>
      </c>
      <c r="BB1099" t="inlineStr">
        <is>
          <t>9788872103074</t>
        </is>
      </c>
      <c r="BC1099" t="inlineStr">
        <is>
          <t>32285005455141</t>
        </is>
      </c>
      <c r="BD1099" t="inlineStr">
        <is>
          <t>893536397</t>
        </is>
      </c>
    </row>
    <row r="1100">
      <c r="A1100" t="inlineStr">
        <is>
          <t>No</t>
        </is>
      </c>
      <c r="B1100" t="inlineStr">
        <is>
          <t>BX2037.A3 S36 1999</t>
        </is>
      </c>
      <c r="C1100" t="inlineStr">
        <is>
          <t>0                      BX 2037000A  3                  S  36          1999</t>
        </is>
      </c>
      <c r="D1100" t="inlineStr">
        <is>
          <t>Masses for the holy year 2000 : Sacramentary supplement / Published by the authority of the Bishops' Committee on the Liturgy, National Conference of Catholic Bishops.</t>
        </is>
      </c>
      <c r="F1100" t="inlineStr">
        <is>
          <t>No</t>
        </is>
      </c>
      <c r="G1100" t="inlineStr">
        <is>
          <t>1</t>
        </is>
      </c>
      <c r="H1100" t="inlineStr">
        <is>
          <t>No</t>
        </is>
      </c>
      <c r="I1100" t="inlineStr">
        <is>
          <t>Yes</t>
        </is>
      </c>
      <c r="J1100" t="inlineStr">
        <is>
          <t>0</t>
        </is>
      </c>
      <c r="K1100" t="inlineStr">
        <is>
          <t>Catholic Church. National Conference of Catholic Bishops. Bishops' Committee on the Liturgy.</t>
        </is>
      </c>
      <c r="L1100" t="inlineStr">
        <is>
          <t>Washington, D.C. : United States Catholic Conference, c1999.</t>
        </is>
      </c>
      <c r="M1100" t="inlineStr">
        <is>
          <t>1999</t>
        </is>
      </c>
      <c r="O1100" t="inlineStr">
        <is>
          <t>eng</t>
        </is>
      </c>
      <c r="P1100" t="inlineStr">
        <is>
          <t>dcu</t>
        </is>
      </c>
      <c r="Q1100" t="inlineStr">
        <is>
          <t>[Publication / United States Catholic Conference] ; #5-330</t>
        </is>
      </c>
      <c r="R1100" t="inlineStr">
        <is>
          <t xml:space="preserve">BX </t>
        </is>
      </c>
      <c r="S1100" t="n">
        <v>2</v>
      </c>
      <c r="T1100" t="n">
        <v>2</v>
      </c>
      <c r="U1100" t="inlineStr">
        <is>
          <t>2001-04-08</t>
        </is>
      </c>
      <c r="V1100" t="inlineStr">
        <is>
          <t>2001-04-08</t>
        </is>
      </c>
      <c r="W1100" t="inlineStr">
        <is>
          <t>2000-02-02</t>
        </is>
      </c>
      <c r="X1100" t="inlineStr">
        <is>
          <t>2000-02-02</t>
        </is>
      </c>
      <c r="Y1100" t="n">
        <v>36</v>
      </c>
      <c r="Z1100" t="n">
        <v>36</v>
      </c>
      <c r="AA1100" t="n">
        <v>39</v>
      </c>
      <c r="AB1100" t="n">
        <v>1</v>
      </c>
      <c r="AC1100" t="n">
        <v>1</v>
      </c>
      <c r="AD1100" t="n">
        <v>4</v>
      </c>
      <c r="AE1100" t="n">
        <v>5</v>
      </c>
      <c r="AF1100" t="n">
        <v>0</v>
      </c>
      <c r="AG1100" t="n">
        <v>0</v>
      </c>
      <c r="AH1100" t="n">
        <v>1</v>
      </c>
      <c r="AI1100" t="n">
        <v>2</v>
      </c>
      <c r="AJ1100" t="n">
        <v>4</v>
      </c>
      <c r="AK1100" t="n">
        <v>4</v>
      </c>
      <c r="AL1100" t="n">
        <v>0</v>
      </c>
      <c r="AM1100" t="n">
        <v>0</v>
      </c>
      <c r="AN1100" t="n">
        <v>0</v>
      </c>
      <c r="AO1100" t="n">
        <v>0</v>
      </c>
      <c r="AP1100" t="inlineStr">
        <is>
          <t>No</t>
        </is>
      </c>
      <c r="AQ1100" t="inlineStr">
        <is>
          <t>No</t>
        </is>
      </c>
      <c r="AS1100">
        <f>HYPERLINK("https://creighton-primo.hosted.exlibrisgroup.com/primo-explore/search?tab=default_tab&amp;search_scope=EVERYTHING&amp;vid=01CRU&amp;lang=en_US&amp;offset=0&amp;query=any,contains,991003049219702656","Catalog Record")</f>
        <v/>
      </c>
      <c r="AT1100">
        <f>HYPERLINK("http://www.worldcat.org/oclc/42802854","WorldCat Record")</f>
        <v/>
      </c>
      <c r="AU1100" t="inlineStr">
        <is>
          <t>27521274:eng</t>
        </is>
      </c>
      <c r="AV1100" t="inlineStr">
        <is>
          <t>42802854</t>
        </is>
      </c>
      <c r="AW1100" t="inlineStr">
        <is>
          <t>991003049219702656</t>
        </is>
      </c>
      <c r="AX1100" t="inlineStr">
        <is>
          <t>991003049219702656</t>
        </is>
      </c>
      <c r="AY1100" t="inlineStr">
        <is>
          <t>2256295220002656</t>
        </is>
      </c>
      <c r="AZ1100" t="inlineStr">
        <is>
          <t>BOOK</t>
        </is>
      </c>
      <c r="BB1100" t="inlineStr">
        <is>
          <t>9781574553307</t>
        </is>
      </c>
      <c r="BC1100" t="inlineStr">
        <is>
          <t>32285003658027</t>
        </is>
      </c>
      <c r="BD1100" t="inlineStr">
        <is>
          <t>893323712</t>
        </is>
      </c>
    </row>
    <row r="1101">
      <c r="A1101" t="inlineStr">
        <is>
          <t>No</t>
        </is>
      </c>
      <c r="B1101" t="inlineStr">
        <is>
          <t>BX2045 .C3413 1984</t>
        </is>
      </c>
      <c r="C1101" t="inlineStr">
        <is>
          <t>0                      BX 2045000C  3413        1984</t>
        </is>
      </c>
      <c r="D1101" t="inlineStr">
        <is>
          <t>Norms governing liturgical calendars.</t>
        </is>
      </c>
      <c r="F1101" t="inlineStr">
        <is>
          <t>No</t>
        </is>
      </c>
      <c r="G1101" t="inlineStr">
        <is>
          <t>1</t>
        </is>
      </c>
      <c r="H1101" t="inlineStr">
        <is>
          <t>No</t>
        </is>
      </c>
      <c r="I1101" t="inlineStr">
        <is>
          <t>No</t>
        </is>
      </c>
      <c r="J1101" t="inlineStr">
        <is>
          <t>0</t>
        </is>
      </c>
      <c r="K1101" t="inlineStr">
        <is>
          <t>Catholic Church.</t>
        </is>
      </c>
      <c r="L1101" t="inlineStr">
        <is>
          <t>Washington, D.C. : United States Catholic Conference, c1984.</t>
        </is>
      </c>
      <c r="M1101" t="inlineStr">
        <is>
          <t>1984</t>
        </is>
      </c>
      <c r="O1101" t="inlineStr">
        <is>
          <t>eng</t>
        </is>
      </c>
      <c r="P1101" t="inlineStr">
        <is>
          <t>dcu</t>
        </is>
      </c>
      <c r="Q1101" t="inlineStr">
        <is>
          <t>Liturgy documentary series ; 6</t>
        </is>
      </c>
      <c r="R1101" t="inlineStr">
        <is>
          <t xml:space="preserve">BX </t>
        </is>
      </c>
      <c r="S1101" t="n">
        <v>6</v>
      </c>
      <c r="T1101" t="n">
        <v>6</v>
      </c>
      <c r="U1101" t="inlineStr">
        <is>
          <t>1998-03-26</t>
        </is>
      </c>
      <c r="V1101" t="inlineStr">
        <is>
          <t>1998-03-26</t>
        </is>
      </c>
      <c r="W1101" t="inlineStr">
        <is>
          <t>1990-06-12</t>
        </is>
      </c>
      <c r="X1101" t="inlineStr">
        <is>
          <t>1990-06-12</t>
        </is>
      </c>
      <c r="Y1101" t="n">
        <v>148</v>
      </c>
      <c r="Z1101" t="n">
        <v>132</v>
      </c>
      <c r="AA1101" t="n">
        <v>132</v>
      </c>
      <c r="AB1101" t="n">
        <v>2</v>
      </c>
      <c r="AC1101" t="n">
        <v>2</v>
      </c>
      <c r="AD1101" t="n">
        <v>21</v>
      </c>
      <c r="AE1101" t="n">
        <v>21</v>
      </c>
      <c r="AF1101" t="n">
        <v>9</v>
      </c>
      <c r="AG1101" t="n">
        <v>9</v>
      </c>
      <c r="AH1101" t="n">
        <v>4</v>
      </c>
      <c r="AI1101" t="n">
        <v>4</v>
      </c>
      <c r="AJ1101" t="n">
        <v>18</v>
      </c>
      <c r="AK1101" t="n">
        <v>18</v>
      </c>
      <c r="AL1101" t="n">
        <v>0</v>
      </c>
      <c r="AM1101" t="n">
        <v>0</v>
      </c>
      <c r="AN1101" t="n">
        <v>0</v>
      </c>
      <c r="AO1101" t="n">
        <v>0</v>
      </c>
      <c r="AP1101" t="inlineStr">
        <is>
          <t>No</t>
        </is>
      </c>
      <c r="AQ1101" t="inlineStr">
        <is>
          <t>No</t>
        </is>
      </c>
      <c r="AS1101">
        <f>HYPERLINK("https://creighton-primo.hosted.exlibrisgroup.com/primo-explore/search?tab=default_tab&amp;search_scope=EVERYTHING&amp;vid=01CRU&amp;lang=en_US&amp;offset=0&amp;query=any,contains,991000561019702656","Catalog Record")</f>
        <v/>
      </c>
      <c r="AT1101">
        <f>HYPERLINK("http://www.worldcat.org/oclc/12552302","WorldCat Record")</f>
        <v/>
      </c>
      <c r="AU1101" t="inlineStr">
        <is>
          <t>4864938:eng</t>
        </is>
      </c>
      <c r="AV1101" t="inlineStr">
        <is>
          <t>12552302</t>
        </is>
      </c>
      <c r="AW1101" t="inlineStr">
        <is>
          <t>991000561019702656</t>
        </is>
      </c>
      <c r="AX1101" t="inlineStr">
        <is>
          <t>991000561019702656</t>
        </is>
      </c>
      <c r="AY1101" t="inlineStr">
        <is>
          <t>2262573840002656</t>
        </is>
      </c>
      <c r="AZ1101" t="inlineStr">
        <is>
          <t>BOOK</t>
        </is>
      </c>
      <c r="BC1101" t="inlineStr">
        <is>
          <t>32285000190487</t>
        </is>
      </c>
      <c r="BD1101" t="inlineStr">
        <is>
          <t>893333583</t>
        </is>
      </c>
    </row>
    <row r="1102">
      <c r="A1102" t="inlineStr">
        <is>
          <t>No</t>
        </is>
      </c>
      <c r="B1102" t="inlineStr">
        <is>
          <t>BX2045.H7 S74 1988</t>
        </is>
      </c>
      <c r="C1102" t="inlineStr">
        <is>
          <t>0                      BX 2045000H  7                  S  74          1988</t>
        </is>
      </c>
      <c r="D1102" t="inlineStr">
        <is>
          <t>Jerusalem revisited : the liturgical meaning of Holy Week / Kenneth Stevenson.</t>
        </is>
      </c>
      <c r="F1102" t="inlineStr">
        <is>
          <t>No</t>
        </is>
      </c>
      <c r="G1102" t="inlineStr">
        <is>
          <t>1</t>
        </is>
      </c>
      <c r="H1102" t="inlineStr">
        <is>
          <t>No</t>
        </is>
      </c>
      <c r="I1102" t="inlineStr">
        <is>
          <t>No</t>
        </is>
      </c>
      <c r="J1102" t="inlineStr">
        <is>
          <t>0</t>
        </is>
      </c>
      <c r="K1102" t="inlineStr">
        <is>
          <t>Stevenson, Kenneth.</t>
        </is>
      </c>
      <c r="L1102" t="inlineStr">
        <is>
          <t>Washington, D.C. : Pastoral Press, c1988.</t>
        </is>
      </c>
      <c r="M1102" t="inlineStr">
        <is>
          <t>1988</t>
        </is>
      </c>
      <c r="O1102" t="inlineStr">
        <is>
          <t>eng</t>
        </is>
      </c>
      <c r="P1102" t="inlineStr">
        <is>
          <t>dcu</t>
        </is>
      </c>
      <c r="R1102" t="inlineStr">
        <is>
          <t xml:space="preserve">BX </t>
        </is>
      </c>
      <c r="S1102" t="n">
        <v>3</v>
      </c>
      <c r="T1102" t="n">
        <v>3</v>
      </c>
      <c r="U1102" t="inlineStr">
        <is>
          <t>2008-02-21</t>
        </is>
      </c>
      <c r="V1102" t="inlineStr">
        <is>
          <t>2008-02-21</t>
        </is>
      </c>
      <c r="W1102" t="inlineStr">
        <is>
          <t>1991-09-16</t>
        </is>
      </c>
      <c r="X1102" t="inlineStr">
        <is>
          <t>1991-09-16</t>
        </is>
      </c>
      <c r="Y1102" t="n">
        <v>121</v>
      </c>
      <c r="Z1102" t="n">
        <v>95</v>
      </c>
      <c r="AA1102" t="n">
        <v>97</v>
      </c>
      <c r="AB1102" t="n">
        <v>1</v>
      </c>
      <c r="AC1102" t="n">
        <v>1</v>
      </c>
      <c r="AD1102" t="n">
        <v>10</v>
      </c>
      <c r="AE1102" t="n">
        <v>10</v>
      </c>
      <c r="AF1102" t="n">
        <v>3</v>
      </c>
      <c r="AG1102" t="n">
        <v>3</v>
      </c>
      <c r="AH1102" t="n">
        <v>3</v>
      </c>
      <c r="AI1102" t="n">
        <v>3</v>
      </c>
      <c r="AJ1102" t="n">
        <v>6</v>
      </c>
      <c r="AK1102" t="n">
        <v>6</v>
      </c>
      <c r="AL1102" t="n">
        <v>0</v>
      </c>
      <c r="AM1102" t="n">
        <v>0</v>
      </c>
      <c r="AN1102" t="n">
        <v>0</v>
      </c>
      <c r="AO1102" t="n">
        <v>0</v>
      </c>
      <c r="AP1102" t="inlineStr">
        <is>
          <t>No</t>
        </is>
      </c>
      <c r="AQ1102" t="inlineStr">
        <is>
          <t>No</t>
        </is>
      </c>
      <c r="AS1102">
        <f>HYPERLINK("https://creighton-primo.hosted.exlibrisgroup.com/primo-explore/search?tab=default_tab&amp;search_scope=EVERYTHING&amp;vid=01CRU&amp;lang=en_US&amp;offset=0&amp;query=any,contains,991001430729702656","Catalog Record")</f>
        <v/>
      </c>
      <c r="AT1102">
        <f>HYPERLINK("http://www.worldcat.org/oclc/19103998","WorldCat Record")</f>
        <v/>
      </c>
      <c r="AU1102" t="inlineStr">
        <is>
          <t>378262187:eng</t>
        </is>
      </c>
      <c r="AV1102" t="inlineStr">
        <is>
          <t>19103998</t>
        </is>
      </c>
      <c r="AW1102" t="inlineStr">
        <is>
          <t>991001430729702656</t>
        </is>
      </c>
      <c r="AX1102" t="inlineStr">
        <is>
          <t>991001430729702656</t>
        </is>
      </c>
      <c r="AY1102" t="inlineStr">
        <is>
          <t>2259363830002656</t>
        </is>
      </c>
      <c r="AZ1102" t="inlineStr">
        <is>
          <t>BOOK</t>
        </is>
      </c>
      <c r="BB1102" t="inlineStr">
        <is>
          <t>9780912405537</t>
        </is>
      </c>
      <c r="BC1102" t="inlineStr">
        <is>
          <t>32285000743871</t>
        </is>
      </c>
      <c r="BD1102" t="inlineStr">
        <is>
          <t>893414236</t>
        </is>
      </c>
    </row>
    <row r="1103">
      <c r="A1103" t="inlineStr">
        <is>
          <t>No</t>
        </is>
      </c>
      <c r="B1103" t="inlineStr">
        <is>
          <t>BX2045.I553 M53 1989</t>
        </is>
      </c>
      <c r="C1103" t="inlineStr">
        <is>
          <t>0                      BX 2045000I  553                M  53          1989</t>
        </is>
      </c>
      <c r="D1103" t="inlineStr">
        <is>
          <t>RCIA : renewing the Church as an initiating assembly / Lawrence E. Mick.</t>
        </is>
      </c>
      <c r="F1103" t="inlineStr">
        <is>
          <t>No</t>
        </is>
      </c>
      <c r="G1103" t="inlineStr">
        <is>
          <t>1</t>
        </is>
      </c>
      <c r="H1103" t="inlineStr">
        <is>
          <t>No</t>
        </is>
      </c>
      <c r="I1103" t="inlineStr">
        <is>
          <t>No</t>
        </is>
      </c>
      <c r="J1103" t="inlineStr">
        <is>
          <t>0</t>
        </is>
      </c>
      <c r="K1103" t="inlineStr">
        <is>
          <t>Mick, Lawrence E., 1946-</t>
        </is>
      </c>
      <c r="L1103" t="inlineStr">
        <is>
          <t>Collegeville, Minn. : Liturgical Press, c1989.</t>
        </is>
      </c>
      <c r="M1103" t="inlineStr">
        <is>
          <t>1989</t>
        </is>
      </c>
      <c r="O1103" t="inlineStr">
        <is>
          <t>eng</t>
        </is>
      </c>
      <c r="P1103" t="inlineStr">
        <is>
          <t>mnu</t>
        </is>
      </c>
      <c r="R1103" t="inlineStr">
        <is>
          <t xml:space="preserve">BX </t>
        </is>
      </c>
      <c r="S1103" t="n">
        <v>1</v>
      </c>
      <c r="T1103" t="n">
        <v>1</v>
      </c>
      <c r="U1103" t="inlineStr">
        <is>
          <t>2005-04-13</t>
        </is>
      </c>
      <c r="V1103" t="inlineStr">
        <is>
          <t>2005-04-13</t>
        </is>
      </c>
      <c r="W1103" t="inlineStr">
        <is>
          <t>2005-04-13</t>
        </is>
      </c>
      <c r="X1103" t="inlineStr">
        <is>
          <t>2005-04-13</t>
        </is>
      </c>
      <c r="Y1103" t="n">
        <v>97</v>
      </c>
      <c r="Z1103" t="n">
        <v>81</v>
      </c>
      <c r="AA1103" t="n">
        <v>81</v>
      </c>
      <c r="AB1103" t="n">
        <v>1</v>
      </c>
      <c r="AC1103" t="n">
        <v>1</v>
      </c>
      <c r="AD1103" t="n">
        <v>12</v>
      </c>
      <c r="AE1103" t="n">
        <v>12</v>
      </c>
      <c r="AF1103" t="n">
        <v>3</v>
      </c>
      <c r="AG1103" t="n">
        <v>3</v>
      </c>
      <c r="AH1103" t="n">
        <v>2</v>
      </c>
      <c r="AI1103" t="n">
        <v>2</v>
      </c>
      <c r="AJ1103" t="n">
        <v>9</v>
      </c>
      <c r="AK1103" t="n">
        <v>9</v>
      </c>
      <c r="AL1103" t="n">
        <v>0</v>
      </c>
      <c r="AM1103" t="n">
        <v>0</v>
      </c>
      <c r="AN1103" t="n">
        <v>0</v>
      </c>
      <c r="AO1103" t="n">
        <v>0</v>
      </c>
      <c r="AP1103" t="inlineStr">
        <is>
          <t>No</t>
        </is>
      </c>
      <c r="AQ1103" t="inlineStr">
        <is>
          <t>No</t>
        </is>
      </c>
      <c r="AS1103">
        <f>HYPERLINK("https://creighton-primo.hosted.exlibrisgroup.com/primo-explore/search?tab=default_tab&amp;search_scope=EVERYTHING&amp;vid=01CRU&amp;lang=en_US&amp;offset=0&amp;query=any,contains,991004529129702656","Catalog Record")</f>
        <v/>
      </c>
      <c r="AT1103">
        <f>HYPERLINK("http://www.worldcat.org/oclc/19555739","WorldCat Record")</f>
        <v/>
      </c>
      <c r="AU1103" t="inlineStr">
        <is>
          <t>21193147:eng</t>
        </is>
      </c>
      <c r="AV1103" t="inlineStr">
        <is>
          <t>19555739</t>
        </is>
      </c>
      <c r="AW1103" t="inlineStr">
        <is>
          <t>991004529129702656</t>
        </is>
      </c>
      <c r="AX1103" t="inlineStr">
        <is>
          <t>991004529129702656</t>
        </is>
      </c>
      <c r="AY1103" t="inlineStr">
        <is>
          <t>2271560470002656</t>
        </is>
      </c>
      <c r="AZ1103" t="inlineStr">
        <is>
          <t>BOOK</t>
        </is>
      </c>
      <c r="BB1103" t="inlineStr">
        <is>
          <t>9780814617878</t>
        </is>
      </c>
      <c r="BC1103" t="inlineStr">
        <is>
          <t>32285005030332</t>
        </is>
      </c>
      <c r="BD1103" t="inlineStr">
        <is>
          <t>893888829</t>
        </is>
      </c>
    </row>
    <row r="1104">
      <c r="A1104" t="inlineStr">
        <is>
          <t>No</t>
        </is>
      </c>
      <c r="B1104" t="inlineStr">
        <is>
          <t>BX2045.R4 C37 1989</t>
        </is>
      </c>
      <c r="C1104" t="inlineStr">
        <is>
          <t>0                      BX 2045000R  4                  C  37          1989</t>
        </is>
      </c>
      <c r="D1104" t="inlineStr">
        <is>
          <t>Order of Christian funerals : general introduction and pastoral notes.</t>
        </is>
      </c>
      <c r="F1104" t="inlineStr">
        <is>
          <t>No</t>
        </is>
      </c>
      <c r="G1104" t="inlineStr">
        <is>
          <t>1</t>
        </is>
      </c>
      <c r="H1104" t="inlineStr">
        <is>
          <t>No</t>
        </is>
      </c>
      <c r="I1104" t="inlineStr">
        <is>
          <t>No</t>
        </is>
      </c>
      <c r="J1104" t="inlineStr">
        <is>
          <t>0</t>
        </is>
      </c>
      <c r="K1104" t="inlineStr">
        <is>
          <t>Catholic Church.</t>
        </is>
      </c>
      <c r="L1104" t="inlineStr">
        <is>
          <t>Washington, D.C. : United States Catholic Conference, c1989.</t>
        </is>
      </c>
      <c r="M1104" t="inlineStr">
        <is>
          <t>1989</t>
        </is>
      </c>
      <c r="O1104" t="inlineStr">
        <is>
          <t>eng</t>
        </is>
      </c>
      <c r="P1104" t="inlineStr">
        <is>
          <t>dcu</t>
        </is>
      </c>
      <c r="Q1104" t="inlineStr">
        <is>
          <t>Liturgy documentary series ; 8</t>
        </is>
      </c>
      <c r="R1104" t="inlineStr">
        <is>
          <t xml:space="preserve">BX </t>
        </is>
      </c>
      <c r="S1104" t="n">
        <v>8</v>
      </c>
      <c r="T1104" t="n">
        <v>8</v>
      </c>
      <c r="U1104" t="inlineStr">
        <is>
          <t>2006-12-05</t>
        </is>
      </c>
      <c r="V1104" t="inlineStr">
        <is>
          <t>2006-12-05</t>
        </is>
      </c>
      <c r="W1104" t="inlineStr">
        <is>
          <t>1990-02-02</t>
        </is>
      </c>
      <c r="X1104" t="inlineStr">
        <is>
          <t>1990-02-02</t>
        </is>
      </c>
      <c r="Y1104" t="n">
        <v>67</v>
      </c>
      <c r="Z1104" t="n">
        <v>60</v>
      </c>
      <c r="AA1104" t="n">
        <v>60</v>
      </c>
      <c r="AB1104" t="n">
        <v>1</v>
      </c>
      <c r="AC1104" t="n">
        <v>1</v>
      </c>
      <c r="AD1104" t="n">
        <v>5</v>
      </c>
      <c r="AE1104" t="n">
        <v>5</v>
      </c>
      <c r="AF1104" t="n">
        <v>2</v>
      </c>
      <c r="AG1104" t="n">
        <v>2</v>
      </c>
      <c r="AH1104" t="n">
        <v>1</v>
      </c>
      <c r="AI1104" t="n">
        <v>1</v>
      </c>
      <c r="AJ1104" t="n">
        <v>4</v>
      </c>
      <c r="AK1104" t="n">
        <v>4</v>
      </c>
      <c r="AL1104" t="n">
        <v>0</v>
      </c>
      <c r="AM1104" t="n">
        <v>0</v>
      </c>
      <c r="AN1104" t="n">
        <v>0</v>
      </c>
      <c r="AO1104" t="n">
        <v>0</v>
      </c>
      <c r="AP1104" t="inlineStr">
        <is>
          <t>No</t>
        </is>
      </c>
      <c r="AQ1104" t="inlineStr">
        <is>
          <t>No</t>
        </is>
      </c>
      <c r="AS1104">
        <f>HYPERLINK("https://creighton-primo.hosted.exlibrisgroup.com/primo-explore/search?tab=default_tab&amp;search_scope=EVERYTHING&amp;vid=01CRU&amp;lang=en_US&amp;offset=0&amp;query=any,contains,991001625209702656","Catalog Record")</f>
        <v/>
      </c>
      <c r="AT1104">
        <f>HYPERLINK("http://www.worldcat.org/oclc/20834571","WorldCat Record")</f>
        <v/>
      </c>
      <c r="AU1104" t="inlineStr">
        <is>
          <t>3768949734:eng</t>
        </is>
      </c>
      <c r="AV1104" t="inlineStr">
        <is>
          <t>20834571</t>
        </is>
      </c>
      <c r="AW1104" t="inlineStr">
        <is>
          <t>991001625209702656</t>
        </is>
      </c>
      <c r="AX1104" t="inlineStr">
        <is>
          <t>991001625209702656</t>
        </is>
      </c>
      <c r="AY1104" t="inlineStr">
        <is>
          <t>2255165570002656</t>
        </is>
      </c>
      <c r="AZ1104" t="inlineStr">
        <is>
          <t>BOOK</t>
        </is>
      </c>
      <c r="BC1104" t="inlineStr">
        <is>
          <t>32285000020932</t>
        </is>
      </c>
      <c r="BD1104" t="inlineStr">
        <is>
          <t>893703138</t>
        </is>
      </c>
    </row>
    <row r="1105">
      <c r="A1105" t="inlineStr">
        <is>
          <t>No</t>
        </is>
      </c>
      <c r="B1105" t="inlineStr">
        <is>
          <t>BX2048.B5 C375 1990</t>
        </is>
      </c>
      <c r="C1105" t="inlineStr">
        <is>
          <t>0                      BX 2048000B  5                  C  375         1990</t>
        </is>
      </c>
      <c r="D1105" t="inlineStr">
        <is>
          <t>Book of blessings : general introduction and introductions to each of the orders of blessing.</t>
        </is>
      </c>
      <c r="F1105" t="inlineStr">
        <is>
          <t>No</t>
        </is>
      </c>
      <c r="G1105" t="inlineStr">
        <is>
          <t>1</t>
        </is>
      </c>
      <c r="H1105" t="inlineStr">
        <is>
          <t>No</t>
        </is>
      </c>
      <c r="I1105" t="inlineStr">
        <is>
          <t>No</t>
        </is>
      </c>
      <c r="J1105" t="inlineStr">
        <is>
          <t>0</t>
        </is>
      </c>
      <c r="K1105" t="inlineStr">
        <is>
          <t>Catholic Church.</t>
        </is>
      </c>
      <c r="L1105" t="inlineStr">
        <is>
          <t>Washington, D.C. : United States Catholic Conference, c1990.</t>
        </is>
      </c>
      <c r="M1105" t="inlineStr">
        <is>
          <t>1990</t>
        </is>
      </c>
      <c r="O1105" t="inlineStr">
        <is>
          <t>eng</t>
        </is>
      </c>
      <c r="P1105" t="inlineStr">
        <is>
          <t>dcu</t>
        </is>
      </c>
      <c r="Q1105" t="inlineStr">
        <is>
          <t>Liturgy documentary series ; 9</t>
        </is>
      </c>
      <c r="R1105" t="inlineStr">
        <is>
          <t xml:space="preserve">BX </t>
        </is>
      </c>
      <c r="S1105" t="n">
        <v>1</v>
      </c>
      <c r="T1105" t="n">
        <v>1</v>
      </c>
      <c r="U1105" t="inlineStr">
        <is>
          <t>2003-09-18</t>
        </is>
      </c>
      <c r="V1105" t="inlineStr">
        <is>
          <t>2003-09-18</t>
        </is>
      </c>
      <c r="W1105" t="inlineStr">
        <is>
          <t>1990-08-22</t>
        </is>
      </c>
      <c r="X1105" t="inlineStr">
        <is>
          <t>1990-08-22</t>
        </is>
      </c>
      <c r="Y1105" t="n">
        <v>126</v>
      </c>
      <c r="Z1105" t="n">
        <v>116</v>
      </c>
      <c r="AA1105" t="n">
        <v>116</v>
      </c>
      <c r="AB1105" t="n">
        <v>1</v>
      </c>
      <c r="AC1105" t="n">
        <v>1</v>
      </c>
      <c r="AD1105" t="n">
        <v>20</v>
      </c>
      <c r="AE1105" t="n">
        <v>20</v>
      </c>
      <c r="AF1105" t="n">
        <v>7</v>
      </c>
      <c r="AG1105" t="n">
        <v>7</v>
      </c>
      <c r="AH1105" t="n">
        <v>5</v>
      </c>
      <c r="AI1105" t="n">
        <v>5</v>
      </c>
      <c r="AJ1105" t="n">
        <v>16</v>
      </c>
      <c r="AK1105" t="n">
        <v>16</v>
      </c>
      <c r="AL1105" t="n">
        <v>0</v>
      </c>
      <c r="AM1105" t="n">
        <v>0</v>
      </c>
      <c r="AN1105" t="n">
        <v>0</v>
      </c>
      <c r="AO1105" t="n">
        <v>0</v>
      </c>
      <c r="AP1105" t="inlineStr">
        <is>
          <t>No</t>
        </is>
      </c>
      <c r="AQ1105" t="inlineStr">
        <is>
          <t>No</t>
        </is>
      </c>
      <c r="AS1105">
        <f>HYPERLINK("https://creighton-primo.hosted.exlibrisgroup.com/primo-explore/search?tab=default_tab&amp;search_scope=EVERYTHING&amp;vid=01CRU&amp;lang=en_US&amp;offset=0&amp;query=any,contains,991001748479702656","Catalog Record")</f>
        <v/>
      </c>
      <c r="AT1105">
        <f>HYPERLINK("http://www.worldcat.org/oclc/23079987","WorldCat Record")</f>
        <v/>
      </c>
      <c r="AU1105" t="inlineStr">
        <is>
          <t>1151345543:eng</t>
        </is>
      </c>
      <c r="AV1105" t="inlineStr">
        <is>
          <t>23079987</t>
        </is>
      </c>
      <c r="AW1105" t="inlineStr">
        <is>
          <t>991001748479702656</t>
        </is>
      </c>
      <c r="AX1105" t="inlineStr">
        <is>
          <t>991001748479702656</t>
        </is>
      </c>
      <c r="AY1105" t="inlineStr">
        <is>
          <t>2271903280002656</t>
        </is>
      </c>
      <c r="AZ1105" t="inlineStr">
        <is>
          <t>BOOK</t>
        </is>
      </c>
      <c r="BB1105" t="inlineStr">
        <is>
          <t>9781555863463</t>
        </is>
      </c>
      <c r="BC1105" t="inlineStr">
        <is>
          <t>32285000024264</t>
        </is>
      </c>
      <c r="BD1105" t="inlineStr">
        <is>
          <t>893891799</t>
        </is>
      </c>
    </row>
    <row r="1106">
      <c r="A1106" t="inlineStr">
        <is>
          <t>No</t>
        </is>
      </c>
      <c r="B1106" t="inlineStr">
        <is>
          <t>BX2049.T73 P74 1981</t>
        </is>
      </c>
      <c r="C1106" t="inlineStr">
        <is>
          <t>0                      BX 2049000T  73                 P  74          1981</t>
        </is>
      </c>
      <c r="D1106" t="inlineStr">
        <is>
          <t>The abbey psalter : the book of Psalms used by the Trappist monks of Genesee Abbey.</t>
        </is>
      </c>
      <c r="F1106" t="inlineStr">
        <is>
          <t>No</t>
        </is>
      </c>
      <c r="G1106" t="inlineStr">
        <is>
          <t>1</t>
        </is>
      </c>
      <c r="H1106" t="inlineStr">
        <is>
          <t>No</t>
        </is>
      </c>
      <c r="I1106" t="inlineStr">
        <is>
          <t>No</t>
        </is>
      </c>
      <c r="J1106" t="inlineStr">
        <is>
          <t>0</t>
        </is>
      </c>
      <c r="K1106" t="inlineStr">
        <is>
          <t>Bible. Psalms. English. 1981.</t>
        </is>
      </c>
      <c r="L1106" t="inlineStr">
        <is>
          <t>Ramsey, N.J. : Paulist Press, c1981.</t>
        </is>
      </c>
      <c r="M1106" t="inlineStr">
        <is>
          <t>1981</t>
        </is>
      </c>
      <c r="O1106" t="inlineStr">
        <is>
          <t>eng</t>
        </is>
      </c>
      <c r="P1106" t="inlineStr">
        <is>
          <t>nju</t>
        </is>
      </c>
      <c r="R1106" t="inlineStr">
        <is>
          <t xml:space="preserve">BX </t>
        </is>
      </c>
      <c r="S1106" t="n">
        <v>2</v>
      </c>
      <c r="T1106" t="n">
        <v>2</v>
      </c>
      <c r="U1106" t="inlineStr">
        <is>
          <t>1994-04-11</t>
        </is>
      </c>
      <c r="V1106" t="inlineStr">
        <is>
          <t>1994-04-11</t>
        </is>
      </c>
      <c r="W1106" t="inlineStr">
        <is>
          <t>1991-09-18</t>
        </is>
      </c>
      <c r="X1106" t="inlineStr">
        <is>
          <t>1991-09-18</t>
        </is>
      </c>
      <c r="Y1106" t="n">
        <v>175</v>
      </c>
      <c r="Z1106" t="n">
        <v>162</v>
      </c>
      <c r="AA1106" t="n">
        <v>162</v>
      </c>
      <c r="AB1106" t="n">
        <v>3</v>
      </c>
      <c r="AC1106" t="n">
        <v>3</v>
      </c>
      <c r="AD1106" t="n">
        <v>15</v>
      </c>
      <c r="AE1106" t="n">
        <v>15</v>
      </c>
      <c r="AF1106" t="n">
        <v>5</v>
      </c>
      <c r="AG1106" t="n">
        <v>5</v>
      </c>
      <c r="AH1106" t="n">
        <v>6</v>
      </c>
      <c r="AI1106" t="n">
        <v>6</v>
      </c>
      <c r="AJ1106" t="n">
        <v>9</v>
      </c>
      <c r="AK1106" t="n">
        <v>9</v>
      </c>
      <c r="AL1106" t="n">
        <v>1</v>
      </c>
      <c r="AM1106" t="n">
        <v>1</v>
      </c>
      <c r="AN1106" t="n">
        <v>0</v>
      </c>
      <c r="AO1106" t="n">
        <v>0</v>
      </c>
      <c r="AP1106" t="inlineStr">
        <is>
          <t>No</t>
        </is>
      </c>
      <c r="AQ1106" t="inlineStr">
        <is>
          <t>No</t>
        </is>
      </c>
      <c r="AS1106">
        <f>HYPERLINK("https://creighton-primo.hosted.exlibrisgroup.com/primo-explore/search?tab=default_tab&amp;search_scope=EVERYTHING&amp;vid=01CRU&amp;lang=en_US&amp;offset=0&amp;query=any,contains,991005207229702656","Catalog Record")</f>
        <v/>
      </c>
      <c r="AT1106">
        <f>HYPERLINK("http://www.worldcat.org/oclc/8130582","WorldCat Record")</f>
        <v/>
      </c>
      <c r="AU1106" t="inlineStr">
        <is>
          <t>792958222:eng</t>
        </is>
      </c>
      <c r="AV1106" t="inlineStr">
        <is>
          <t>8130582</t>
        </is>
      </c>
      <c r="AW1106" t="inlineStr">
        <is>
          <t>991005207229702656</t>
        </is>
      </c>
      <c r="AX1106" t="inlineStr">
        <is>
          <t>991005207229702656</t>
        </is>
      </c>
      <c r="AY1106" t="inlineStr">
        <is>
          <t>2266955660002656</t>
        </is>
      </c>
      <c r="AZ1106" t="inlineStr">
        <is>
          <t>BOOK</t>
        </is>
      </c>
      <c r="BB1106" t="inlineStr">
        <is>
          <t>9780809103164</t>
        </is>
      </c>
      <c r="BC1106" t="inlineStr">
        <is>
          <t>32285000743996</t>
        </is>
      </c>
      <c r="BD1106" t="inlineStr">
        <is>
          <t>893694914</t>
        </is>
      </c>
    </row>
    <row r="1107">
      <c r="A1107" t="inlineStr">
        <is>
          <t>No</t>
        </is>
      </c>
      <c r="B1107" t="inlineStr">
        <is>
          <t>BX2080 .W54 1988</t>
        </is>
      </c>
      <c r="C1107" t="inlineStr">
        <is>
          <t>0                      BX 2080000W  54          1988</t>
        </is>
      </c>
      <c r="D1107" t="inlineStr">
        <is>
          <t>Time sanctified : the Book of hours in medieval art and life / Roger S. Wieck ; with essays by Lawrence R. Poos, Virginia Reinburg, John Plummer.</t>
        </is>
      </c>
      <c r="F1107" t="inlineStr">
        <is>
          <t>No</t>
        </is>
      </c>
      <c r="G1107" t="inlineStr">
        <is>
          <t>1</t>
        </is>
      </c>
      <c r="H1107" t="inlineStr">
        <is>
          <t>No</t>
        </is>
      </c>
      <c r="I1107" t="inlineStr">
        <is>
          <t>No</t>
        </is>
      </c>
      <c r="J1107" t="inlineStr">
        <is>
          <t>0</t>
        </is>
      </c>
      <c r="K1107" t="inlineStr">
        <is>
          <t>Wieck, Roger S.</t>
        </is>
      </c>
      <c r="L1107" t="inlineStr">
        <is>
          <t>New York : G. Braziller in association with the Walters Art Gallery, Baltimore, 1988.</t>
        </is>
      </c>
      <c r="M1107" t="inlineStr">
        <is>
          <t>1988</t>
        </is>
      </c>
      <c r="N1107" t="inlineStr">
        <is>
          <t>1st ed.</t>
        </is>
      </c>
      <c r="O1107" t="inlineStr">
        <is>
          <t>eng</t>
        </is>
      </c>
      <c r="P1107" t="inlineStr">
        <is>
          <t>nyu</t>
        </is>
      </c>
      <c r="R1107" t="inlineStr">
        <is>
          <t xml:space="preserve">BX </t>
        </is>
      </c>
      <c r="S1107" t="n">
        <v>6</v>
      </c>
      <c r="T1107" t="n">
        <v>6</v>
      </c>
      <c r="U1107" t="inlineStr">
        <is>
          <t>2010-09-03</t>
        </is>
      </c>
      <c r="V1107" t="inlineStr">
        <is>
          <t>2010-09-03</t>
        </is>
      </c>
      <c r="W1107" t="inlineStr">
        <is>
          <t>1990-01-04</t>
        </is>
      </c>
      <c r="X1107" t="inlineStr">
        <is>
          <t>1990-01-04</t>
        </is>
      </c>
      <c r="Y1107" t="n">
        <v>598</v>
      </c>
      <c r="Z1107" t="n">
        <v>507</v>
      </c>
      <c r="AA1107" t="n">
        <v>509</v>
      </c>
      <c r="AB1107" t="n">
        <v>2</v>
      </c>
      <c r="AC1107" t="n">
        <v>2</v>
      </c>
      <c r="AD1107" t="n">
        <v>20</v>
      </c>
      <c r="AE1107" t="n">
        <v>20</v>
      </c>
      <c r="AF1107" t="n">
        <v>6</v>
      </c>
      <c r="AG1107" t="n">
        <v>6</v>
      </c>
      <c r="AH1107" t="n">
        <v>8</v>
      </c>
      <c r="AI1107" t="n">
        <v>8</v>
      </c>
      <c r="AJ1107" t="n">
        <v>11</v>
      </c>
      <c r="AK1107" t="n">
        <v>11</v>
      </c>
      <c r="AL1107" t="n">
        <v>1</v>
      </c>
      <c r="AM1107" t="n">
        <v>1</v>
      </c>
      <c r="AN1107" t="n">
        <v>0</v>
      </c>
      <c r="AO1107" t="n">
        <v>0</v>
      </c>
      <c r="AP1107" t="inlineStr">
        <is>
          <t>No</t>
        </is>
      </c>
      <c r="AQ1107" t="inlineStr">
        <is>
          <t>Yes</t>
        </is>
      </c>
      <c r="AR1107">
        <f>HYPERLINK("http://catalog.hathitrust.org/Record/000912835","HathiTrust Record")</f>
        <v/>
      </c>
      <c r="AS1107">
        <f>HYPERLINK("https://creighton-primo.hosted.exlibrisgroup.com/primo-explore/search?tab=default_tab&amp;search_scope=EVERYTHING&amp;vid=01CRU&amp;lang=en_US&amp;offset=0&amp;query=any,contains,991001093819702656","Catalog Record")</f>
        <v/>
      </c>
      <c r="AT1107">
        <f>HYPERLINK("http://www.worldcat.org/oclc/16227223","WorldCat Record")</f>
        <v/>
      </c>
      <c r="AU1107" t="inlineStr">
        <is>
          <t>137587915:eng</t>
        </is>
      </c>
      <c r="AV1107" t="inlineStr">
        <is>
          <t>16227223</t>
        </is>
      </c>
      <c r="AW1107" t="inlineStr">
        <is>
          <t>991001093819702656</t>
        </is>
      </c>
      <c r="AX1107" t="inlineStr">
        <is>
          <t>991001093819702656</t>
        </is>
      </c>
      <c r="AY1107" t="inlineStr">
        <is>
          <t>2264781950002656</t>
        </is>
      </c>
      <c r="AZ1107" t="inlineStr">
        <is>
          <t>BOOK</t>
        </is>
      </c>
      <c r="BB1107" t="inlineStr">
        <is>
          <t>9780807611890</t>
        </is>
      </c>
      <c r="BC1107" t="inlineStr">
        <is>
          <t>32285000026442</t>
        </is>
      </c>
      <c r="BD1107" t="inlineStr">
        <is>
          <t>893791161</t>
        </is>
      </c>
    </row>
    <row r="1108">
      <c r="A1108" t="inlineStr">
        <is>
          <t>No</t>
        </is>
      </c>
      <c r="B1108" t="inlineStr">
        <is>
          <t>BX2110 .S87 1973</t>
        </is>
      </c>
      <c r="C1108" t="inlineStr">
        <is>
          <t>0                      BX 2110000S  87          1973</t>
        </is>
      </c>
      <c r="D1108" t="inlineStr">
        <is>
          <t>Praise him! : a prayerbook for today's Christian / edited by William G. Storey.</t>
        </is>
      </c>
      <c r="F1108" t="inlineStr">
        <is>
          <t>No</t>
        </is>
      </c>
      <c r="G1108" t="inlineStr">
        <is>
          <t>1</t>
        </is>
      </c>
      <c r="H1108" t="inlineStr">
        <is>
          <t>No</t>
        </is>
      </c>
      <c r="I1108" t="inlineStr">
        <is>
          <t>No</t>
        </is>
      </c>
      <c r="J1108" t="inlineStr">
        <is>
          <t>0</t>
        </is>
      </c>
      <c r="L1108" t="inlineStr">
        <is>
          <t>Notre Dame, Indiana : Ave Maria Press c1973.</t>
        </is>
      </c>
      <c r="M1108" t="inlineStr">
        <is>
          <t>1973</t>
        </is>
      </c>
      <c r="O1108" t="inlineStr">
        <is>
          <t>eng</t>
        </is>
      </c>
      <c r="P1108" t="inlineStr">
        <is>
          <t>inu</t>
        </is>
      </c>
      <c r="R1108" t="inlineStr">
        <is>
          <t xml:space="preserve">BX </t>
        </is>
      </c>
      <c r="S1108" t="n">
        <v>1</v>
      </c>
      <c r="T1108" t="n">
        <v>1</v>
      </c>
      <c r="U1108" t="inlineStr">
        <is>
          <t>2009-07-28</t>
        </is>
      </c>
      <c r="V1108" t="inlineStr">
        <is>
          <t>2009-07-28</t>
        </is>
      </c>
      <c r="W1108" t="inlineStr">
        <is>
          <t>2009-07-28</t>
        </is>
      </c>
      <c r="X1108" t="inlineStr">
        <is>
          <t>2009-07-28</t>
        </is>
      </c>
      <c r="Y1108" t="n">
        <v>92</v>
      </c>
      <c r="Z1108" t="n">
        <v>75</v>
      </c>
      <c r="AA1108" t="n">
        <v>82</v>
      </c>
      <c r="AB1108" t="n">
        <v>2</v>
      </c>
      <c r="AC1108" t="n">
        <v>2</v>
      </c>
      <c r="AD1108" t="n">
        <v>9</v>
      </c>
      <c r="AE1108" t="n">
        <v>9</v>
      </c>
      <c r="AF1108" t="n">
        <v>2</v>
      </c>
      <c r="AG1108" t="n">
        <v>2</v>
      </c>
      <c r="AH1108" t="n">
        <v>2</v>
      </c>
      <c r="AI1108" t="n">
        <v>2</v>
      </c>
      <c r="AJ1108" t="n">
        <v>6</v>
      </c>
      <c r="AK1108" t="n">
        <v>6</v>
      </c>
      <c r="AL1108" t="n">
        <v>0</v>
      </c>
      <c r="AM1108" t="n">
        <v>0</v>
      </c>
      <c r="AN1108" t="n">
        <v>0</v>
      </c>
      <c r="AO1108" t="n">
        <v>0</v>
      </c>
      <c r="AP1108" t="inlineStr">
        <is>
          <t>No</t>
        </is>
      </c>
      <c r="AQ1108" t="inlineStr">
        <is>
          <t>No</t>
        </is>
      </c>
      <c r="AS1108">
        <f>HYPERLINK("https://creighton-primo.hosted.exlibrisgroup.com/primo-explore/search?tab=default_tab&amp;search_scope=EVERYTHING&amp;vid=01CRU&amp;lang=en_US&amp;offset=0&amp;query=any,contains,991005328439702656","Catalog Record")</f>
        <v/>
      </c>
      <c r="AT1108">
        <f>HYPERLINK("http://www.worldcat.org/oclc/705977","WorldCat Record")</f>
        <v/>
      </c>
      <c r="AU1108" t="inlineStr">
        <is>
          <t>373351936:eng</t>
        </is>
      </c>
      <c r="AV1108" t="inlineStr">
        <is>
          <t>705977</t>
        </is>
      </c>
      <c r="AW1108" t="inlineStr">
        <is>
          <t>991005328439702656</t>
        </is>
      </c>
      <c r="AX1108" t="inlineStr">
        <is>
          <t>991005328439702656</t>
        </is>
      </c>
      <c r="AY1108" t="inlineStr">
        <is>
          <t>2258697260002656</t>
        </is>
      </c>
      <c r="AZ1108" t="inlineStr">
        <is>
          <t>BOOK</t>
        </is>
      </c>
      <c r="BC1108" t="inlineStr">
        <is>
          <t>32285005539647</t>
        </is>
      </c>
      <c r="BD1108" t="inlineStr">
        <is>
          <t>893722904</t>
        </is>
      </c>
    </row>
    <row r="1109">
      <c r="A1109" t="inlineStr">
        <is>
          <t>No</t>
        </is>
      </c>
      <c r="B1109" t="inlineStr">
        <is>
          <t>BX2120 .S8 1974</t>
        </is>
      </c>
      <c r="C1109" t="inlineStr">
        <is>
          <t>0                      BX 2120000S  8           1974</t>
        </is>
      </c>
      <c r="D1109" t="inlineStr">
        <is>
          <t>Bless the Lord! : a prayerbook for Advent, Christmas, Lent and Eastertide / edited by William G. Storey.</t>
        </is>
      </c>
      <c r="F1109" t="inlineStr">
        <is>
          <t>No</t>
        </is>
      </c>
      <c r="G1109" t="inlineStr">
        <is>
          <t>1</t>
        </is>
      </c>
      <c r="H1109" t="inlineStr">
        <is>
          <t>No</t>
        </is>
      </c>
      <c r="I1109" t="inlineStr">
        <is>
          <t>No</t>
        </is>
      </c>
      <c r="J1109" t="inlineStr">
        <is>
          <t>0</t>
        </is>
      </c>
      <c r="K1109" t="inlineStr">
        <is>
          <t>Storey, William G., 1923-2014.</t>
        </is>
      </c>
      <c r="L1109" t="inlineStr">
        <is>
          <t>Notre Dame, Ind. : Ave Maria Press, c1974.</t>
        </is>
      </c>
      <c r="M1109" t="inlineStr">
        <is>
          <t>1974</t>
        </is>
      </c>
      <c r="O1109" t="inlineStr">
        <is>
          <t>eng</t>
        </is>
      </c>
      <c r="P1109" t="inlineStr">
        <is>
          <t>inu</t>
        </is>
      </c>
      <c r="R1109" t="inlineStr">
        <is>
          <t xml:space="preserve">BX </t>
        </is>
      </c>
      <c r="S1109" t="n">
        <v>1</v>
      </c>
      <c r="T1109" t="n">
        <v>1</v>
      </c>
      <c r="U1109" t="inlineStr">
        <is>
          <t>2009-07-28</t>
        </is>
      </c>
      <c r="V1109" t="inlineStr">
        <is>
          <t>2009-07-28</t>
        </is>
      </c>
      <c r="W1109" t="inlineStr">
        <is>
          <t>2009-07-27</t>
        </is>
      </c>
      <c r="X1109" t="inlineStr">
        <is>
          <t>2009-07-27</t>
        </is>
      </c>
      <c r="Y1109" t="n">
        <v>71</v>
      </c>
      <c r="Z1109" t="n">
        <v>56</v>
      </c>
      <c r="AA1109" t="n">
        <v>61</v>
      </c>
      <c r="AB1109" t="n">
        <v>2</v>
      </c>
      <c r="AC1109" t="n">
        <v>2</v>
      </c>
      <c r="AD1109" t="n">
        <v>6</v>
      </c>
      <c r="AE1109" t="n">
        <v>6</v>
      </c>
      <c r="AF1109" t="n">
        <v>1</v>
      </c>
      <c r="AG1109" t="n">
        <v>1</v>
      </c>
      <c r="AH1109" t="n">
        <v>1</v>
      </c>
      <c r="AI1109" t="n">
        <v>1</v>
      </c>
      <c r="AJ1109" t="n">
        <v>4</v>
      </c>
      <c r="AK1109" t="n">
        <v>4</v>
      </c>
      <c r="AL1109" t="n">
        <v>0</v>
      </c>
      <c r="AM1109" t="n">
        <v>0</v>
      </c>
      <c r="AN1109" t="n">
        <v>0</v>
      </c>
      <c r="AO1109" t="n">
        <v>0</v>
      </c>
      <c r="AP1109" t="inlineStr">
        <is>
          <t>No</t>
        </is>
      </c>
      <c r="AQ1109" t="inlineStr">
        <is>
          <t>No</t>
        </is>
      </c>
      <c r="AS1109">
        <f>HYPERLINK("https://creighton-primo.hosted.exlibrisgroup.com/primo-explore/search?tab=default_tab&amp;search_scope=EVERYTHING&amp;vid=01CRU&amp;lang=en_US&amp;offset=0&amp;query=any,contains,991005328069702656","Catalog Record")</f>
        <v/>
      </c>
      <c r="AT1109">
        <f>HYPERLINK("http://www.worldcat.org/oclc/1996657","WorldCat Record")</f>
        <v/>
      </c>
      <c r="AU1109" t="inlineStr">
        <is>
          <t>373351984:eng</t>
        </is>
      </c>
      <c r="AV1109" t="inlineStr">
        <is>
          <t>1996657</t>
        </is>
      </c>
      <c r="AW1109" t="inlineStr">
        <is>
          <t>991005328069702656</t>
        </is>
      </c>
      <c r="AX1109" t="inlineStr">
        <is>
          <t>991005328069702656</t>
        </is>
      </c>
      <c r="AY1109" t="inlineStr">
        <is>
          <t>2260592530002656</t>
        </is>
      </c>
      <c r="AZ1109" t="inlineStr">
        <is>
          <t>BOOK</t>
        </is>
      </c>
      <c r="BB1109" t="inlineStr">
        <is>
          <t>9780877930761</t>
        </is>
      </c>
      <c r="BC1109" t="inlineStr">
        <is>
          <t>32285005539613</t>
        </is>
      </c>
      <c r="BD1109" t="inlineStr">
        <is>
          <t>893870896</t>
        </is>
      </c>
    </row>
    <row r="1110">
      <c r="A1110" t="inlineStr">
        <is>
          <t>No</t>
        </is>
      </c>
      <c r="B1110" t="inlineStr">
        <is>
          <t>BX2129 .O72 1994</t>
        </is>
      </c>
      <c r="C1110" t="inlineStr">
        <is>
          <t>0                      BX 2129000O  72          1994</t>
        </is>
      </c>
      <c r="D1110" t="inlineStr">
        <is>
          <t>Oracional Bilingüe : a prayer book for Spanish-English communities / Jorge Perales, editor.</t>
        </is>
      </c>
      <c r="F1110" t="inlineStr">
        <is>
          <t>No</t>
        </is>
      </c>
      <c r="G1110" t="inlineStr">
        <is>
          <t>1</t>
        </is>
      </c>
      <c r="H1110" t="inlineStr">
        <is>
          <t>No</t>
        </is>
      </c>
      <c r="I1110" t="inlineStr">
        <is>
          <t>No</t>
        </is>
      </c>
      <c r="J1110" t="inlineStr">
        <is>
          <t>0</t>
        </is>
      </c>
      <c r="L1110" t="inlineStr">
        <is>
          <t>Collegeville, Minn. : Liturgical Press, c1994.</t>
        </is>
      </c>
      <c r="M1110" t="inlineStr">
        <is>
          <t>1994</t>
        </is>
      </c>
      <c r="O1110" t="inlineStr">
        <is>
          <t>eng</t>
        </is>
      </c>
      <c r="P1110" t="inlineStr">
        <is>
          <t>mnu</t>
        </is>
      </c>
      <c r="R1110" t="inlineStr">
        <is>
          <t xml:space="preserve">BX </t>
        </is>
      </c>
      <c r="S1110" t="n">
        <v>6</v>
      </c>
      <c r="T1110" t="n">
        <v>6</v>
      </c>
      <c r="U1110" t="inlineStr">
        <is>
          <t>2001-10-30</t>
        </is>
      </c>
      <c r="V1110" t="inlineStr">
        <is>
          <t>2001-10-30</t>
        </is>
      </c>
      <c r="W1110" t="inlineStr">
        <is>
          <t>1998-02-25</t>
        </is>
      </c>
      <c r="X1110" t="inlineStr">
        <is>
          <t>1998-02-25</t>
        </is>
      </c>
      <c r="Y1110" t="n">
        <v>42</v>
      </c>
      <c r="Z1110" t="n">
        <v>40</v>
      </c>
      <c r="AA1110" t="n">
        <v>41</v>
      </c>
      <c r="AB1110" t="n">
        <v>1</v>
      </c>
      <c r="AC1110" t="n">
        <v>1</v>
      </c>
      <c r="AD1110" t="n">
        <v>3</v>
      </c>
      <c r="AE1110" t="n">
        <v>4</v>
      </c>
      <c r="AF1110" t="n">
        <v>1</v>
      </c>
      <c r="AG1110" t="n">
        <v>1</v>
      </c>
      <c r="AH1110" t="n">
        <v>0</v>
      </c>
      <c r="AI1110" t="n">
        <v>1</v>
      </c>
      <c r="AJ1110" t="n">
        <v>3</v>
      </c>
      <c r="AK1110" t="n">
        <v>3</v>
      </c>
      <c r="AL1110" t="n">
        <v>0</v>
      </c>
      <c r="AM1110" t="n">
        <v>0</v>
      </c>
      <c r="AN1110" t="n">
        <v>0</v>
      </c>
      <c r="AO1110" t="n">
        <v>0</v>
      </c>
      <c r="AP1110" t="inlineStr">
        <is>
          <t>No</t>
        </is>
      </c>
      <c r="AQ1110" t="inlineStr">
        <is>
          <t>No</t>
        </is>
      </c>
      <c r="AS1110">
        <f>HYPERLINK("https://creighton-primo.hosted.exlibrisgroup.com/primo-explore/search?tab=default_tab&amp;search_scope=EVERYTHING&amp;vid=01CRU&amp;lang=en_US&amp;offset=0&amp;query=any,contains,991005422889702656","Catalog Record")</f>
        <v/>
      </c>
      <c r="AT1110">
        <f>HYPERLINK("http://www.worldcat.org/oclc/33944601","WorldCat Record")</f>
        <v/>
      </c>
      <c r="AU1110" t="inlineStr">
        <is>
          <t>15097250:eng</t>
        </is>
      </c>
      <c r="AV1110" t="inlineStr">
        <is>
          <t>33944601</t>
        </is>
      </c>
      <c r="AW1110" t="inlineStr">
        <is>
          <t>991005422889702656</t>
        </is>
      </c>
      <c r="AX1110" t="inlineStr">
        <is>
          <t>991005422889702656</t>
        </is>
      </c>
      <c r="AY1110" t="inlineStr">
        <is>
          <t>2266962890002656</t>
        </is>
      </c>
      <c r="AZ1110" t="inlineStr">
        <is>
          <t>BOOK</t>
        </is>
      </c>
      <c r="BB1110" t="inlineStr">
        <is>
          <t>9780814620946</t>
        </is>
      </c>
      <c r="BC1110" t="inlineStr">
        <is>
          <t>32285003355343</t>
        </is>
      </c>
      <c r="BD1110" t="inlineStr">
        <is>
          <t>893902706</t>
        </is>
      </c>
    </row>
    <row r="1111">
      <c r="A1111" t="inlineStr">
        <is>
          <t>No</t>
        </is>
      </c>
      <c r="B1111" t="inlineStr">
        <is>
          <t>BX2130 .B66 2000</t>
        </is>
      </c>
      <c r="C1111" t="inlineStr">
        <is>
          <t>0                      BX 2130000B  66          2000</t>
        </is>
      </c>
      <c r="D1111" t="inlineStr">
        <is>
          <t>The book of Catholic prayer : prayers for every day and all occasions / compiled by Seán Finnegan.</t>
        </is>
      </c>
      <c r="F1111" t="inlineStr">
        <is>
          <t>No</t>
        </is>
      </c>
      <c r="G1111" t="inlineStr">
        <is>
          <t>2</t>
        </is>
      </c>
      <c r="H1111" t="inlineStr">
        <is>
          <t>No</t>
        </is>
      </c>
      <c r="I1111" t="inlineStr">
        <is>
          <t>No</t>
        </is>
      </c>
      <c r="J1111" t="inlineStr">
        <is>
          <t>0</t>
        </is>
      </c>
      <c r="L1111" t="inlineStr">
        <is>
          <t>Chicago, Ill. : Loyola Press, 2000.</t>
        </is>
      </c>
      <c r="M1111" t="inlineStr">
        <is>
          <t>2000</t>
        </is>
      </c>
      <c r="O1111" t="inlineStr">
        <is>
          <t>eng</t>
        </is>
      </c>
      <c r="P1111" t="inlineStr">
        <is>
          <t>ilu</t>
        </is>
      </c>
      <c r="R1111" t="inlineStr">
        <is>
          <t xml:space="preserve">BX </t>
        </is>
      </c>
      <c r="S1111" t="n">
        <v>6</v>
      </c>
      <c r="T1111" t="n">
        <v>6</v>
      </c>
      <c r="U1111" t="inlineStr">
        <is>
          <t>2010-01-25</t>
        </is>
      </c>
      <c r="V1111" t="inlineStr">
        <is>
          <t>2010-01-25</t>
        </is>
      </c>
      <c r="W1111" t="inlineStr">
        <is>
          <t>2001-08-07</t>
        </is>
      </c>
      <c r="X1111" t="inlineStr">
        <is>
          <t>2001-08-07</t>
        </is>
      </c>
      <c r="Y1111" t="n">
        <v>112</v>
      </c>
      <c r="Z1111" t="n">
        <v>103</v>
      </c>
      <c r="AA1111" t="n">
        <v>103</v>
      </c>
      <c r="AB1111" t="n">
        <v>2</v>
      </c>
      <c r="AC1111" t="n">
        <v>2</v>
      </c>
      <c r="AD1111" t="n">
        <v>7</v>
      </c>
      <c r="AE1111" t="n">
        <v>7</v>
      </c>
      <c r="AF1111" t="n">
        <v>1</v>
      </c>
      <c r="AG1111" t="n">
        <v>1</v>
      </c>
      <c r="AH1111" t="n">
        <v>1</v>
      </c>
      <c r="AI1111" t="n">
        <v>1</v>
      </c>
      <c r="AJ1111" t="n">
        <v>6</v>
      </c>
      <c r="AK1111" t="n">
        <v>6</v>
      </c>
      <c r="AL1111" t="n">
        <v>0</v>
      </c>
      <c r="AM1111" t="n">
        <v>0</v>
      </c>
      <c r="AN1111" t="n">
        <v>0</v>
      </c>
      <c r="AO1111" t="n">
        <v>0</v>
      </c>
      <c r="AP1111" t="inlineStr">
        <is>
          <t>No</t>
        </is>
      </c>
      <c r="AQ1111" t="inlineStr">
        <is>
          <t>No</t>
        </is>
      </c>
      <c r="AS1111">
        <f>HYPERLINK("https://creighton-primo.hosted.exlibrisgroup.com/primo-explore/search?tab=default_tab&amp;search_scope=EVERYTHING&amp;vid=01CRU&amp;lang=en_US&amp;offset=0&amp;query=any,contains,991003577099702656","Catalog Record")</f>
        <v/>
      </c>
      <c r="AT1111">
        <f>HYPERLINK("http://www.worldcat.org/oclc/41488637","WorldCat Record")</f>
        <v/>
      </c>
      <c r="AU1111" t="inlineStr">
        <is>
          <t>45147376:eng</t>
        </is>
      </c>
      <c r="AV1111" t="inlineStr">
        <is>
          <t>41488637</t>
        </is>
      </c>
      <c r="AW1111" t="inlineStr">
        <is>
          <t>991003577099702656</t>
        </is>
      </c>
      <c r="AX1111" t="inlineStr">
        <is>
          <t>991003577099702656</t>
        </is>
      </c>
      <c r="AY1111" t="inlineStr">
        <is>
          <t>2257623530002656</t>
        </is>
      </c>
      <c r="AZ1111" t="inlineStr">
        <is>
          <t>BOOK</t>
        </is>
      </c>
      <c r="BB1111" t="inlineStr">
        <is>
          <t>9780829413861</t>
        </is>
      </c>
      <c r="BC1111" t="inlineStr">
        <is>
          <t>32285004376462</t>
        </is>
      </c>
      <c r="BD1111" t="inlineStr">
        <is>
          <t>893512113</t>
        </is>
      </c>
    </row>
    <row r="1112">
      <c r="A1112" t="inlineStr">
        <is>
          <t>No</t>
        </is>
      </c>
      <c r="B1112" t="inlineStr">
        <is>
          <t>BX2130 .K47 1979</t>
        </is>
      </c>
      <c r="C1112" t="inlineStr">
        <is>
          <t>0                      BX 2130000K  47          1979</t>
        </is>
      </c>
      <c r="D1112" t="inlineStr">
        <is>
          <t>New liturgy and old devotions : explanations and prayers / Walter Kern.</t>
        </is>
      </c>
      <c r="F1112" t="inlineStr">
        <is>
          <t>No</t>
        </is>
      </c>
      <c r="G1112" t="inlineStr">
        <is>
          <t>1</t>
        </is>
      </c>
      <c r="H1112" t="inlineStr">
        <is>
          <t>No</t>
        </is>
      </c>
      <c r="I1112" t="inlineStr">
        <is>
          <t>No</t>
        </is>
      </c>
      <c r="J1112" t="inlineStr">
        <is>
          <t>0</t>
        </is>
      </c>
      <c r="K1112" t="inlineStr">
        <is>
          <t>Kern, Walter, 1922-</t>
        </is>
      </c>
      <c r="L1112" t="inlineStr">
        <is>
          <t>Canfield, Ohio : Alba Books, c1979.</t>
        </is>
      </c>
      <c r="M1112" t="inlineStr">
        <is>
          <t>1979</t>
        </is>
      </c>
      <c r="O1112" t="inlineStr">
        <is>
          <t>eng</t>
        </is>
      </c>
      <c r="P1112" t="inlineStr">
        <is>
          <t>ohu</t>
        </is>
      </c>
      <c r="R1112" t="inlineStr">
        <is>
          <t xml:space="preserve">BX </t>
        </is>
      </c>
      <c r="S1112" t="n">
        <v>8</v>
      </c>
      <c r="T1112" t="n">
        <v>8</v>
      </c>
      <c r="U1112" t="inlineStr">
        <is>
          <t>2002-07-24</t>
        </is>
      </c>
      <c r="V1112" t="inlineStr">
        <is>
          <t>2002-07-24</t>
        </is>
      </c>
      <c r="W1112" t="inlineStr">
        <is>
          <t>1991-09-18</t>
        </is>
      </c>
      <c r="X1112" t="inlineStr">
        <is>
          <t>1991-09-18</t>
        </is>
      </c>
      <c r="Y1112" t="n">
        <v>46</v>
      </c>
      <c r="Z1112" t="n">
        <v>38</v>
      </c>
      <c r="AA1112" t="n">
        <v>38</v>
      </c>
      <c r="AB1112" t="n">
        <v>1</v>
      </c>
      <c r="AC1112" t="n">
        <v>1</v>
      </c>
      <c r="AD1112" t="n">
        <v>6</v>
      </c>
      <c r="AE1112" t="n">
        <v>6</v>
      </c>
      <c r="AF1112" t="n">
        <v>1</v>
      </c>
      <c r="AG1112" t="n">
        <v>1</v>
      </c>
      <c r="AH1112" t="n">
        <v>3</v>
      </c>
      <c r="AI1112" t="n">
        <v>3</v>
      </c>
      <c r="AJ1112" t="n">
        <v>4</v>
      </c>
      <c r="AK1112" t="n">
        <v>4</v>
      </c>
      <c r="AL1112" t="n">
        <v>0</v>
      </c>
      <c r="AM1112" t="n">
        <v>0</v>
      </c>
      <c r="AN1112" t="n">
        <v>0</v>
      </c>
      <c r="AO1112" t="n">
        <v>0</v>
      </c>
      <c r="AP1112" t="inlineStr">
        <is>
          <t>No</t>
        </is>
      </c>
      <c r="AQ1112" t="inlineStr">
        <is>
          <t>No</t>
        </is>
      </c>
      <c r="AS1112">
        <f>HYPERLINK("https://creighton-primo.hosted.exlibrisgroup.com/primo-explore/search?tab=default_tab&amp;search_scope=EVERYTHING&amp;vid=01CRU&amp;lang=en_US&amp;offset=0&amp;query=any,contains,991005379819702656","Catalog Record")</f>
        <v/>
      </c>
      <c r="AT1112">
        <f>HYPERLINK("http://www.worldcat.org/oclc/5939518","WorldCat Record")</f>
        <v/>
      </c>
      <c r="AU1112" t="inlineStr">
        <is>
          <t>20943919:eng</t>
        </is>
      </c>
      <c r="AV1112" t="inlineStr">
        <is>
          <t>5939518</t>
        </is>
      </c>
      <c r="AW1112" t="inlineStr">
        <is>
          <t>991005379819702656</t>
        </is>
      </c>
      <c r="AX1112" t="inlineStr">
        <is>
          <t>991005379819702656</t>
        </is>
      </c>
      <c r="AY1112" t="inlineStr">
        <is>
          <t>2255557680002656</t>
        </is>
      </c>
      <c r="AZ1112" t="inlineStr">
        <is>
          <t>BOOK</t>
        </is>
      </c>
      <c r="BB1112" t="inlineStr">
        <is>
          <t>9780818911514</t>
        </is>
      </c>
      <c r="BC1112" t="inlineStr">
        <is>
          <t>32285000744036</t>
        </is>
      </c>
      <c r="BD1112" t="inlineStr">
        <is>
          <t>893254926</t>
        </is>
      </c>
    </row>
    <row r="1113">
      <c r="A1113" t="inlineStr">
        <is>
          <t>No</t>
        </is>
      </c>
      <c r="B1113" t="inlineStr">
        <is>
          <t>BX2130 .P74 2004</t>
        </is>
      </c>
      <c r="C1113" t="inlineStr">
        <is>
          <t>0                      BX 2130000P  74          2004</t>
        </is>
      </c>
      <c r="D1113" t="inlineStr">
        <is>
          <t>Prayer in all things : a Saint Benedict's, Saint John's prayer book / Kate E. Ritger, Michael Kwatera, editors.</t>
        </is>
      </c>
      <c r="F1113" t="inlineStr">
        <is>
          <t>No</t>
        </is>
      </c>
      <c r="G1113" t="inlineStr">
        <is>
          <t>1</t>
        </is>
      </c>
      <c r="H1113" t="inlineStr">
        <is>
          <t>No</t>
        </is>
      </c>
      <c r="I1113" t="inlineStr">
        <is>
          <t>No</t>
        </is>
      </c>
      <c r="J1113" t="inlineStr">
        <is>
          <t>0</t>
        </is>
      </c>
      <c r="L1113" t="inlineStr">
        <is>
          <t>Collegeville, Minn. : Liturgical Press, c2004.</t>
        </is>
      </c>
      <c r="M1113" t="inlineStr">
        <is>
          <t>2004</t>
        </is>
      </c>
      <c r="O1113" t="inlineStr">
        <is>
          <t>eng</t>
        </is>
      </c>
      <c r="P1113" t="inlineStr">
        <is>
          <t>mnu</t>
        </is>
      </c>
      <c r="R1113" t="inlineStr">
        <is>
          <t xml:space="preserve">BX </t>
        </is>
      </c>
      <c r="S1113" t="n">
        <v>4</v>
      </c>
      <c r="T1113" t="n">
        <v>4</v>
      </c>
      <c r="U1113" t="inlineStr">
        <is>
          <t>2010-01-25</t>
        </is>
      </c>
      <c r="V1113" t="inlineStr">
        <is>
          <t>2010-01-25</t>
        </is>
      </c>
      <c r="W1113" t="inlineStr">
        <is>
          <t>2006-03-02</t>
        </is>
      </c>
      <c r="X1113" t="inlineStr">
        <is>
          <t>2006-03-02</t>
        </is>
      </c>
      <c r="Y1113" t="n">
        <v>29</v>
      </c>
      <c r="Z1113" t="n">
        <v>26</v>
      </c>
      <c r="AA1113" t="n">
        <v>26</v>
      </c>
      <c r="AB1113" t="n">
        <v>1</v>
      </c>
      <c r="AC1113" t="n">
        <v>1</v>
      </c>
      <c r="AD1113" t="n">
        <v>3</v>
      </c>
      <c r="AE1113" t="n">
        <v>3</v>
      </c>
      <c r="AF1113" t="n">
        <v>0</v>
      </c>
      <c r="AG1113" t="n">
        <v>0</v>
      </c>
      <c r="AH1113" t="n">
        <v>1</v>
      </c>
      <c r="AI1113" t="n">
        <v>1</v>
      </c>
      <c r="AJ1113" t="n">
        <v>2</v>
      </c>
      <c r="AK1113" t="n">
        <v>2</v>
      </c>
      <c r="AL1113" t="n">
        <v>0</v>
      </c>
      <c r="AM1113" t="n">
        <v>0</v>
      </c>
      <c r="AN1113" t="n">
        <v>0</v>
      </c>
      <c r="AO1113" t="n">
        <v>0</v>
      </c>
      <c r="AP1113" t="inlineStr">
        <is>
          <t>No</t>
        </is>
      </c>
      <c r="AQ1113" t="inlineStr">
        <is>
          <t>No</t>
        </is>
      </c>
      <c r="AS1113">
        <f>HYPERLINK("https://creighton-primo.hosted.exlibrisgroup.com/primo-explore/search?tab=default_tab&amp;search_scope=EVERYTHING&amp;vid=01CRU&amp;lang=en_US&amp;offset=0&amp;query=any,contains,991004742009702656","Catalog Record")</f>
        <v/>
      </c>
      <c r="AT1113">
        <f>HYPERLINK("http://www.worldcat.org/oclc/53879351","WorldCat Record")</f>
        <v/>
      </c>
      <c r="AU1113" t="inlineStr">
        <is>
          <t>1076379:eng</t>
        </is>
      </c>
      <c r="AV1113" t="inlineStr">
        <is>
          <t>53879351</t>
        </is>
      </c>
      <c r="AW1113" t="inlineStr">
        <is>
          <t>991004742009702656</t>
        </is>
      </c>
      <c r="AX1113" t="inlineStr">
        <is>
          <t>991004742009702656</t>
        </is>
      </c>
      <c r="AY1113" t="inlineStr">
        <is>
          <t>2255447860002656</t>
        </is>
      </c>
      <c r="AZ1113" t="inlineStr">
        <is>
          <t>BOOK</t>
        </is>
      </c>
      <c r="BB1113" t="inlineStr">
        <is>
          <t>9780814629819</t>
        </is>
      </c>
      <c r="BC1113" t="inlineStr">
        <is>
          <t>32285005162077</t>
        </is>
      </c>
      <c r="BD1113" t="inlineStr">
        <is>
          <t>893594039</t>
        </is>
      </c>
    </row>
    <row r="1114">
      <c r="A1114" t="inlineStr">
        <is>
          <t>No</t>
        </is>
      </c>
      <c r="B1114" t="inlineStr">
        <is>
          <t>BX2157 .A7 1904</t>
        </is>
      </c>
      <c r="C1114" t="inlineStr">
        <is>
          <t>0                      BX 2157000A  7           1904</t>
        </is>
      </c>
      <c r="D1114" t="inlineStr">
        <is>
          <t>The imitation of the Sacred Heart of Jesus / By Peter J. Arnoudt, translated from the Latin by I. M. Fastre.</t>
        </is>
      </c>
      <c r="F1114" t="inlineStr">
        <is>
          <t>No</t>
        </is>
      </c>
      <c r="G1114" t="inlineStr">
        <is>
          <t>1</t>
        </is>
      </c>
      <c r="H1114" t="inlineStr">
        <is>
          <t>No</t>
        </is>
      </c>
      <c r="I1114" t="inlineStr">
        <is>
          <t>No</t>
        </is>
      </c>
      <c r="J1114" t="inlineStr">
        <is>
          <t>0</t>
        </is>
      </c>
      <c r="K1114" t="inlineStr">
        <is>
          <t>Arnoudt, Peter J. (Peter Joseph), 1811-1865.</t>
        </is>
      </c>
      <c r="L1114" t="inlineStr">
        <is>
          <t>New York : Benziger, 1904.</t>
        </is>
      </c>
      <c r="M1114" t="inlineStr">
        <is>
          <t>1904</t>
        </is>
      </c>
      <c r="N1114" t="inlineStr">
        <is>
          <t>New ed., with morning and evening prayers, devotions for mass, confession, communion, etc.</t>
        </is>
      </c>
      <c r="O1114" t="inlineStr">
        <is>
          <t>eng</t>
        </is>
      </c>
      <c r="P1114" t="inlineStr">
        <is>
          <t>nyu</t>
        </is>
      </c>
      <c r="R1114" t="inlineStr">
        <is>
          <t xml:space="preserve">BX </t>
        </is>
      </c>
      <c r="S1114" t="n">
        <v>5</v>
      </c>
      <c r="T1114" t="n">
        <v>5</v>
      </c>
      <c r="U1114" t="inlineStr">
        <is>
          <t>2004-01-14</t>
        </is>
      </c>
      <c r="V1114" t="inlineStr">
        <is>
          <t>2004-01-14</t>
        </is>
      </c>
      <c r="W1114" t="inlineStr">
        <is>
          <t>1991-09-18</t>
        </is>
      </c>
      <c r="X1114" t="inlineStr">
        <is>
          <t>1991-09-18</t>
        </is>
      </c>
      <c r="Y1114" t="n">
        <v>25</v>
      </c>
      <c r="Z1114" t="n">
        <v>25</v>
      </c>
      <c r="AA1114" t="n">
        <v>92</v>
      </c>
      <c r="AB1114" t="n">
        <v>1</v>
      </c>
      <c r="AC1114" t="n">
        <v>3</v>
      </c>
      <c r="AD1114" t="n">
        <v>8</v>
      </c>
      <c r="AE1114" t="n">
        <v>18</v>
      </c>
      <c r="AF1114" t="n">
        <v>2</v>
      </c>
      <c r="AG1114" t="n">
        <v>2</v>
      </c>
      <c r="AH1114" t="n">
        <v>2</v>
      </c>
      <c r="AI1114" t="n">
        <v>6</v>
      </c>
      <c r="AJ1114" t="n">
        <v>7</v>
      </c>
      <c r="AK1114" t="n">
        <v>15</v>
      </c>
      <c r="AL1114" t="n">
        <v>0</v>
      </c>
      <c r="AM1114" t="n">
        <v>1</v>
      </c>
      <c r="AN1114" t="n">
        <v>0</v>
      </c>
      <c r="AO1114" t="n">
        <v>0</v>
      </c>
      <c r="AP1114" t="inlineStr">
        <is>
          <t>No</t>
        </is>
      </c>
      <c r="AQ1114" t="inlineStr">
        <is>
          <t>No</t>
        </is>
      </c>
      <c r="AS1114">
        <f>HYPERLINK("https://creighton-primo.hosted.exlibrisgroup.com/primo-explore/search?tab=default_tab&amp;search_scope=EVERYTHING&amp;vid=01CRU&amp;lang=en_US&amp;offset=0&amp;query=any,contains,991005387449702656","Catalog Record")</f>
        <v/>
      </c>
      <c r="AT1114">
        <f>HYPERLINK("http://www.worldcat.org/oclc/7229507","WorldCat Record")</f>
        <v/>
      </c>
      <c r="AU1114" t="inlineStr">
        <is>
          <t>2452682953:eng</t>
        </is>
      </c>
      <c r="AV1114" t="inlineStr">
        <is>
          <t>7229507</t>
        </is>
      </c>
      <c r="AW1114" t="inlineStr">
        <is>
          <t>991005387449702656</t>
        </is>
      </c>
      <c r="AX1114" t="inlineStr">
        <is>
          <t>991005387449702656</t>
        </is>
      </c>
      <c r="AY1114" t="inlineStr">
        <is>
          <t>2261322210002656</t>
        </is>
      </c>
      <c r="AZ1114" t="inlineStr">
        <is>
          <t>BOOK</t>
        </is>
      </c>
      <c r="BC1114" t="inlineStr">
        <is>
          <t>32285000744093</t>
        </is>
      </c>
      <c r="BD1114" t="inlineStr">
        <is>
          <t>893230629</t>
        </is>
      </c>
    </row>
    <row r="1115">
      <c r="A1115" t="inlineStr">
        <is>
          <t>No</t>
        </is>
      </c>
      <c r="B1115" t="inlineStr">
        <is>
          <t>BX2157 .C543 1952</t>
        </is>
      </c>
      <c r="C1115" t="inlineStr">
        <is>
          <t>0                      BX 2157000C  543         1952</t>
        </is>
      </c>
      <c r="D1115" t="inlineStr">
        <is>
          <t>The Sacred Heart and modern life / by Francois Charmot ; translated by Kathryn Sullivan.</t>
        </is>
      </c>
      <c r="F1115" t="inlineStr">
        <is>
          <t>No</t>
        </is>
      </c>
      <c r="G1115" t="inlineStr">
        <is>
          <t>1</t>
        </is>
      </c>
      <c r="H1115" t="inlineStr">
        <is>
          <t>No</t>
        </is>
      </c>
      <c r="I1115" t="inlineStr">
        <is>
          <t>No</t>
        </is>
      </c>
      <c r="J1115" t="inlineStr">
        <is>
          <t>0</t>
        </is>
      </c>
      <c r="K1115" t="inlineStr">
        <is>
          <t>Charmot, François, 1881-</t>
        </is>
      </c>
      <c r="L1115" t="inlineStr">
        <is>
          <t>New York : P. J. Kenedy, [1952]</t>
        </is>
      </c>
      <c r="M1115" t="inlineStr">
        <is>
          <t>1952</t>
        </is>
      </c>
      <c r="O1115" t="inlineStr">
        <is>
          <t>eng</t>
        </is>
      </c>
      <c r="P1115" t="inlineStr">
        <is>
          <t>___</t>
        </is>
      </c>
      <c r="R1115" t="inlineStr">
        <is>
          <t xml:space="preserve">BX </t>
        </is>
      </c>
      <c r="S1115" t="n">
        <v>1</v>
      </c>
      <c r="T1115" t="n">
        <v>1</v>
      </c>
      <c r="U1115" t="inlineStr">
        <is>
          <t>2005-10-03</t>
        </is>
      </c>
      <c r="V1115" t="inlineStr">
        <is>
          <t>2005-10-03</t>
        </is>
      </c>
      <c r="W1115" t="inlineStr">
        <is>
          <t>1991-09-18</t>
        </is>
      </c>
      <c r="X1115" t="inlineStr">
        <is>
          <t>1991-09-18</t>
        </is>
      </c>
      <c r="Y1115" t="n">
        <v>105</v>
      </c>
      <c r="Z1115" t="n">
        <v>89</v>
      </c>
      <c r="AA1115" t="n">
        <v>89</v>
      </c>
      <c r="AB1115" t="n">
        <v>1</v>
      </c>
      <c r="AC1115" t="n">
        <v>1</v>
      </c>
      <c r="AD1115" t="n">
        <v>23</v>
      </c>
      <c r="AE1115" t="n">
        <v>23</v>
      </c>
      <c r="AF1115" t="n">
        <v>6</v>
      </c>
      <c r="AG1115" t="n">
        <v>6</v>
      </c>
      <c r="AH1115" t="n">
        <v>4</v>
      </c>
      <c r="AI1115" t="n">
        <v>4</v>
      </c>
      <c r="AJ1115" t="n">
        <v>22</v>
      </c>
      <c r="AK1115" t="n">
        <v>22</v>
      </c>
      <c r="AL1115" t="n">
        <v>0</v>
      </c>
      <c r="AM1115" t="n">
        <v>0</v>
      </c>
      <c r="AN1115" t="n">
        <v>0</v>
      </c>
      <c r="AO1115" t="n">
        <v>0</v>
      </c>
      <c r="AP1115" t="inlineStr">
        <is>
          <t>No</t>
        </is>
      </c>
      <c r="AQ1115" t="inlineStr">
        <is>
          <t>No</t>
        </is>
      </c>
      <c r="AS1115">
        <f>HYPERLINK("https://creighton-primo.hosted.exlibrisgroup.com/primo-explore/search?tab=default_tab&amp;search_scope=EVERYTHING&amp;vid=01CRU&amp;lang=en_US&amp;offset=0&amp;query=any,contains,991003173639702656","Catalog Record")</f>
        <v/>
      </c>
      <c r="AT1115">
        <f>HYPERLINK("http://www.worldcat.org/oclc/708976","WorldCat Record")</f>
        <v/>
      </c>
      <c r="AU1115" t="inlineStr">
        <is>
          <t>1647905:eng</t>
        </is>
      </c>
      <c r="AV1115" t="inlineStr">
        <is>
          <t>708976</t>
        </is>
      </c>
      <c r="AW1115" t="inlineStr">
        <is>
          <t>991003173639702656</t>
        </is>
      </c>
      <c r="AX1115" t="inlineStr">
        <is>
          <t>991003173639702656</t>
        </is>
      </c>
      <c r="AY1115" t="inlineStr">
        <is>
          <t>2269390400002656</t>
        </is>
      </c>
      <c r="AZ1115" t="inlineStr">
        <is>
          <t>BOOK</t>
        </is>
      </c>
      <c r="BC1115" t="inlineStr">
        <is>
          <t>32285000744127</t>
        </is>
      </c>
      <c r="BD1115" t="inlineStr">
        <is>
          <t>893422248</t>
        </is>
      </c>
    </row>
    <row r="1116">
      <c r="A1116" t="inlineStr">
        <is>
          <t>No</t>
        </is>
      </c>
      <c r="B1116" t="inlineStr">
        <is>
          <t>BX2157 .D62 1912</t>
        </is>
      </c>
      <c r="C1116" t="inlineStr">
        <is>
          <t>0                      BX 2157000D  62          1912</t>
        </is>
      </c>
      <c r="D1116" t="inlineStr">
        <is>
          <t>The heart of revelation : further traits of the Sacred heart / [by] Francis P. Donnelly.</t>
        </is>
      </c>
      <c r="F1116" t="inlineStr">
        <is>
          <t>No</t>
        </is>
      </c>
      <c r="G1116" t="inlineStr">
        <is>
          <t>1</t>
        </is>
      </c>
      <c r="H1116" t="inlineStr">
        <is>
          <t>No</t>
        </is>
      </c>
      <c r="I1116" t="inlineStr">
        <is>
          <t>No</t>
        </is>
      </c>
      <c r="J1116" t="inlineStr">
        <is>
          <t>0</t>
        </is>
      </c>
      <c r="K1116" t="inlineStr">
        <is>
          <t>Donnelly, Francis P. (Francis Patrick), 1869-1959.</t>
        </is>
      </c>
      <c r="L1116" t="inlineStr">
        <is>
          <t>New York : Apostleship of Prayer, 1912.</t>
        </is>
      </c>
      <c r="M1116" t="inlineStr">
        <is>
          <t>1912</t>
        </is>
      </c>
      <c r="O1116" t="inlineStr">
        <is>
          <t>eng</t>
        </is>
      </c>
      <c r="P1116" t="inlineStr">
        <is>
          <t>nyu</t>
        </is>
      </c>
      <c r="R1116" t="inlineStr">
        <is>
          <t xml:space="preserve">BX </t>
        </is>
      </c>
      <c r="S1116" t="n">
        <v>2</v>
      </c>
      <c r="T1116" t="n">
        <v>2</v>
      </c>
      <c r="U1116" t="inlineStr">
        <is>
          <t>1993-07-29</t>
        </is>
      </c>
      <c r="V1116" t="inlineStr">
        <is>
          <t>1993-07-29</t>
        </is>
      </c>
      <c r="W1116" t="inlineStr">
        <is>
          <t>1991-09-18</t>
        </is>
      </c>
      <c r="X1116" t="inlineStr">
        <is>
          <t>1991-09-18</t>
        </is>
      </c>
      <c r="Y1116" t="n">
        <v>15</v>
      </c>
      <c r="Z1116" t="n">
        <v>14</v>
      </c>
      <c r="AA1116" t="n">
        <v>52</v>
      </c>
      <c r="AB1116" t="n">
        <v>1</v>
      </c>
      <c r="AC1116" t="n">
        <v>1</v>
      </c>
      <c r="AD1116" t="n">
        <v>4</v>
      </c>
      <c r="AE1116" t="n">
        <v>13</v>
      </c>
      <c r="AF1116" t="n">
        <v>1</v>
      </c>
      <c r="AG1116" t="n">
        <v>1</v>
      </c>
      <c r="AH1116" t="n">
        <v>0</v>
      </c>
      <c r="AI1116" t="n">
        <v>5</v>
      </c>
      <c r="AJ1116" t="n">
        <v>3</v>
      </c>
      <c r="AK1116" t="n">
        <v>9</v>
      </c>
      <c r="AL1116" t="n">
        <v>0</v>
      </c>
      <c r="AM1116" t="n">
        <v>0</v>
      </c>
      <c r="AN1116" t="n">
        <v>0</v>
      </c>
      <c r="AO1116" t="n">
        <v>0</v>
      </c>
      <c r="AP1116" t="inlineStr">
        <is>
          <t>No</t>
        </is>
      </c>
      <c r="AQ1116" t="inlineStr">
        <is>
          <t>No</t>
        </is>
      </c>
      <c r="AS1116">
        <f>HYPERLINK("https://creighton-primo.hosted.exlibrisgroup.com/primo-explore/search?tab=default_tab&amp;search_scope=EVERYTHING&amp;vid=01CRU&amp;lang=en_US&amp;offset=0&amp;query=any,contains,991004591489702656","Catalog Record")</f>
        <v/>
      </c>
      <c r="AT1116">
        <f>HYPERLINK("http://www.worldcat.org/oclc/4125693","WorldCat Record")</f>
        <v/>
      </c>
      <c r="AU1116" t="inlineStr">
        <is>
          <t>2229713:eng</t>
        </is>
      </c>
      <c r="AV1116" t="inlineStr">
        <is>
          <t>4125693</t>
        </is>
      </c>
      <c r="AW1116" t="inlineStr">
        <is>
          <t>991004591489702656</t>
        </is>
      </c>
      <c r="AX1116" t="inlineStr">
        <is>
          <t>991004591489702656</t>
        </is>
      </c>
      <c r="AY1116" t="inlineStr">
        <is>
          <t>2256919560002656</t>
        </is>
      </c>
      <c r="AZ1116" t="inlineStr">
        <is>
          <t>BOOK</t>
        </is>
      </c>
      <c r="BC1116" t="inlineStr">
        <is>
          <t>32285000744168</t>
        </is>
      </c>
      <c r="BD1116" t="inlineStr">
        <is>
          <t>893536082</t>
        </is>
      </c>
    </row>
    <row r="1117">
      <c r="A1117" t="inlineStr">
        <is>
          <t>No</t>
        </is>
      </c>
      <c r="B1117" t="inlineStr">
        <is>
          <t>BX2157 .M23 1913</t>
        </is>
      </c>
      <c r="C1117" t="inlineStr">
        <is>
          <t>0                      BX 2157000M  23          1913</t>
        </is>
      </c>
      <c r="D1117" t="inlineStr">
        <is>
          <t>The promises of the Sacred Heart : commentary and meditations / by Joseph McDonnell.</t>
        </is>
      </c>
      <c r="F1117" t="inlineStr">
        <is>
          <t>No</t>
        </is>
      </c>
      <c r="G1117" t="inlineStr">
        <is>
          <t>1</t>
        </is>
      </c>
      <c r="H1117" t="inlineStr">
        <is>
          <t>No</t>
        </is>
      </c>
      <c r="I1117" t="inlineStr">
        <is>
          <t>No</t>
        </is>
      </c>
      <c r="J1117" t="inlineStr">
        <is>
          <t>0</t>
        </is>
      </c>
      <c r="K1117" t="inlineStr">
        <is>
          <t>McDonnell, Joseph.</t>
        </is>
      </c>
      <c r="L1117" t="inlineStr">
        <is>
          <t>New York : Benziger, 1913.</t>
        </is>
      </c>
      <c r="M1117" t="inlineStr">
        <is>
          <t>1913</t>
        </is>
      </c>
      <c r="O1117" t="inlineStr">
        <is>
          <t>eng</t>
        </is>
      </c>
      <c r="P1117" t="inlineStr">
        <is>
          <t>nyu</t>
        </is>
      </c>
      <c r="R1117" t="inlineStr">
        <is>
          <t xml:space="preserve">BX </t>
        </is>
      </c>
      <c r="S1117" t="n">
        <v>4</v>
      </c>
      <c r="T1117" t="n">
        <v>4</v>
      </c>
      <c r="U1117" t="inlineStr">
        <is>
          <t>2001-02-14</t>
        </is>
      </c>
      <c r="V1117" t="inlineStr">
        <is>
          <t>2001-02-14</t>
        </is>
      </c>
      <c r="W1117" t="inlineStr">
        <is>
          <t>1991-09-18</t>
        </is>
      </c>
      <c r="X1117" t="inlineStr">
        <is>
          <t>1991-09-18</t>
        </is>
      </c>
      <c r="Y1117" t="n">
        <v>13</v>
      </c>
      <c r="Z1117" t="n">
        <v>13</v>
      </c>
      <c r="AA1117" t="n">
        <v>19</v>
      </c>
      <c r="AB1117" t="n">
        <v>1</v>
      </c>
      <c r="AC1117" t="n">
        <v>1</v>
      </c>
      <c r="AD1117" t="n">
        <v>5</v>
      </c>
      <c r="AE1117" t="n">
        <v>10</v>
      </c>
      <c r="AF1117" t="n">
        <v>2</v>
      </c>
      <c r="AG1117" t="n">
        <v>2</v>
      </c>
      <c r="AH1117" t="n">
        <v>1</v>
      </c>
      <c r="AI1117" t="n">
        <v>3</v>
      </c>
      <c r="AJ1117" t="n">
        <v>4</v>
      </c>
      <c r="AK1117" t="n">
        <v>7</v>
      </c>
      <c r="AL1117" t="n">
        <v>0</v>
      </c>
      <c r="AM1117" t="n">
        <v>0</v>
      </c>
      <c r="AN1117" t="n">
        <v>0</v>
      </c>
      <c r="AO1117" t="n">
        <v>0</v>
      </c>
      <c r="AP1117" t="inlineStr">
        <is>
          <t>No</t>
        </is>
      </c>
      <c r="AQ1117" t="inlineStr">
        <is>
          <t>No</t>
        </is>
      </c>
      <c r="AS1117">
        <f>HYPERLINK("https://creighton-primo.hosted.exlibrisgroup.com/primo-explore/search?tab=default_tab&amp;search_scope=EVERYTHING&amp;vid=01CRU&amp;lang=en_US&amp;offset=0&amp;query=any,contains,991005371429702656","Catalog Record")</f>
        <v/>
      </c>
      <c r="AT1117">
        <f>HYPERLINK("http://www.worldcat.org/oclc/3698559","WorldCat Record")</f>
        <v/>
      </c>
      <c r="AU1117" t="inlineStr">
        <is>
          <t>3856255074:eng</t>
        </is>
      </c>
      <c r="AV1117" t="inlineStr">
        <is>
          <t>3698559</t>
        </is>
      </c>
      <c r="AW1117" t="inlineStr">
        <is>
          <t>991005371429702656</t>
        </is>
      </c>
      <c r="AX1117" t="inlineStr">
        <is>
          <t>991005371429702656</t>
        </is>
      </c>
      <c r="AY1117" t="inlineStr">
        <is>
          <t>2262483890002656</t>
        </is>
      </c>
      <c r="AZ1117" t="inlineStr">
        <is>
          <t>BOOK</t>
        </is>
      </c>
      <c r="BC1117" t="inlineStr">
        <is>
          <t>32285000744192</t>
        </is>
      </c>
      <c r="BD1117" t="inlineStr">
        <is>
          <t>893619895</t>
        </is>
      </c>
    </row>
    <row r="1118">
      <c r="A1118" t="inlineStr">
        <is>
          <t>No</t>
        </is>
      </c>
      <c r="B1118" t="inlineStr">
        <is>
          <t>BX2157 .V43 1955</t>
        </is>
      </c>
      <c r="C1118" t="inlineStr">
        <is>
          <t>0                      BX 2157000V  43          1955</t>
        </is>
      </c>
      <c r="D1118" t="inlineStr">
        <is>
          <t>Devotion to the Sacred Heart : object, ends, practice, motives / by Louis Verheylezoon, with foreword by the Rev. C. C. Martindale.</t>
        </is>
      </c>
      <c r="F1118" t="inlineStr">
        <is>
          <t>No</t>
        </is>
      </c>
      <c r="G1118" t="inlineStr">
        <is>
          <t>1</t>
        </is>
      </c>
      <c r="H1118" t="inlineStr">
        <is>
          <t>No</t>
        </is>
      </c>
      <c r="I1118" t="inlineStr">
        <is>
          <t>No</t>
        </is>
      </c>
      <c r="J1118" t="inlineStr">
        <is>
          <t>0</t>
        </is>
      </c>
      <c r="K1118" t="inlineStr">
        <is>
          <t>Verheylezoon, Louis.</t>
        </is>
      </c>
      <c r="L1118" t="inlineStr">
        <is>
          <t>Westminster, Md. : Newman Press, [1955]</t>
        </is>
      </c>
      <c r="M1118" t="inlineStr">
        <is>
          <t>1955</t>
        </is>
      </c>
      <c r="O1118" t="inlineStr">
        <is>
          <t>eng</t>
        </is>
      </c>
      <c r="P1118" t="inlineStr">
        <is>
          <t>___</t>
        </is>
      </c>
      <c r="R1118" t="inlineStr">
        <is>
          <t xml:space="preserve">BX </t>
        </is>
      </c>
      <c r="S1118" t="n">
        <v>2</v>
      </c>
      <c r="T1118" t="n">
        <v>2</v>
      </c>
      <c r="U1118" t="inlineStr">
        <is>
          <t>1997-06-12</t>
        </is>
      </c>
      <c r="V1118" t="inlineStr">
        <is>
          <t>1997-06-12</t>
        </is>
      </c>
      <c r="W1118" t="inlineStr">
        <is>
          <t>1991-09-18</t>
        </is>
      </c>
      <c r="X1118" t="inlineStr">
        <is>
          <t>1991-09-18</t>
        </is>
      </c>
      <c r="Y1118" t="n">
        <v>64</v>
      </c>
      <c r="Z1118" t="n">
        <v>57</v>
      </c>
      <c r="AA1118" t="n">
        <v>78</v>
      </c>
      <c r="AB1118" t="n">
        <v>2</v>
      </c>
      <c r="AC1118" t="n">
        <v>3</v>
      </c>
      <c r="AD1118" t="n">
        <v>14</v>
      </c>
      <c r="AE1118" t="n">
        <v>17</v>
      </c>
      <c r="AF1118" t="n">
        <v>2</v>
      </c>
      <c r="AG1118" t="n">
        <v>3</v>
      </c>
      <c r="AH1118" t="n">
        <v>4</v>
      </c>
      <c r="AI1118" t="n">
        <v>5</v>
      </c>
      <c r="AJ1118" t="n">
        <v>13</v>
      </c>
      <c r="AK1118" t="n">
        <v>15</v>
      </c>
      <c r="AL1118" t="n">
        <v>0</v>
      </c>
      <c r="AM1118" t="n">
        <v>0</v>
      </c>
      <c r="AN1118" t="n">
        <v>0</v>
      </c>
      <c r="AO1118" t="n">
        <v>0</v>
      </c>
      <c r="AP1118" t="inlineStr">
        <is>
          <t>No</t>
        </is>
      </c>
      <c r="AQ1118" t="inlineStr">
        <is>
          <t>No</t>
        </is>
      </c>
      <c r="AS1118">
        <f>HYPERLINK("https://creighton-primo.hosted.exlibrisgroup.com/primo-explore/search?tab=default_tab&amp;search_scope=EVERYTHING&amp;vid=01CRU&amp;lang=en_US&amp;offset=0&amp;query=any,contains,991003213069702656","Catalog Record")</f>
        <v/>
      </c>
      <c r="AT1118">
        <f>HYPERLINK("http://www.worldcat.org/oclc/739572","WorldCat Record")</f>
        <v/>
      </c>
      <c r="AU1118" t="inlineStr">
        <is>
          <t>1797330:eng</t>
        </is>
      </c>
      <c r="AV1118" t="inlineStr">
        <is>
          <t>739572</t>
        </is>
      </c>
      <c r="AW1118" t="inlineStr">
        <is>
          <t>991003213069702656</t>
        </is>
      </c>
      <c r="AX1118" t="inlineStr">
        <is>
          <t>991003213069702656</t>
        </is>
      </c>
      <c r="AY1118" t="inlineStr">
        <is>
          <t>2256071870002656</t>
        </is>
      </c>
      <c r="AZ1118" t="inlineStr">
        <is>
          <t>BOOK</t>
        </is>
      </c>
      <c r="BC1118" t="inlineStr">
        <is>
          <t>32285000744259</t>
        </is>
      </c>
      <c r="BD1118" t="inlineStr">
        <is>
          <t>893434751</t>
        </is>
      </c>
    </row>
    <row r="1119">
      <c r="A1119" t="inlineStr">
        <is>
          <t>No</t>
        </is>
      </c>
      <c r="B1119" t="inlineStr">
        <is>
          <t>BX2157 .V46 1909</t>
        </is>
      </c>
      <c r="C1119" t="inlineStr">
        <is>
          <t>0                      BX 2157000V  46          1909</t>
        </is>
      </c>
      <c r="D1119" t="inlineStr">
        <is>
          <t>Practical devotion to the Sacred Heart : for the use of the clergy and faithful / by A. Vermeersch.</t>
        </is>
      </c>
      <c r="F1119" t="inlineStr">
        <is>
          <t>No</t>
        </is>
      </c>
      <c r="G1119" t="inlineStr">
        <is>
          <t>1</t>
        </is>
      </c>
      <c r="H1119" t="inlineStr">
        <is>
          <t>No</t>
        </is>
      </c>
      <c r="I1119" t="inlineStr">
        <is>
          <t>No</t>
        </is>
      </c>
      <c r="J1119" t="inlineStr">
        <is>
          <t>0</t>
        </is>
      </c>
      <c r="K1119" t="inlineStr">
        <is>
          <t>Vermeersch, Arthur, S.J.</t>
        </is>
      </c>
      <c r="L1119" t="inlineStr">
        <is>
          <t>New York ; Cincinnati [etc.] : Benziger Brothers, 1909.</t>
        </is>
      </c>
      <c r="M1119" t="inlineStr">
        <is>
          <t>1909</t>
        </is>
      </c>
      <c r="O1119" t="inlineStr">
        <is>
          <t>eng</t>
        </is>
      </c>
      <c r="P1119" t="inlineStr">
        <is>
          <t xml:space="preserve">xx </t>
        </is>
      </c>
      <c r="R1119" t="inlineStr">
        <is>
          <t xml:space="preserve">BX </t>
        </is>
      </c>
      <c r="S1119" t="n">
        <v>5</v>
      </c>
      <c r="T1119" t="n">
        <v>5</v>
      </c>
      <c r="U1119" t="inlineStr">
        <is>
          <t>2001-02-14</t>
        </is>
      </c>
      <c r="V1119" t="inlineStr">
        <is>
          <t>2001-02-14</t>
        </is>
      </c>
      <c r="W1119" t="inlineStr">
        <is>
          <t>1991-09-18</t>
        </is>
      </c>
      <c r="X1119" t="inlineStr">
        <is>
          <t>1991-09-18</t>
        </is>
      </c>
      <c r="Y1119" t="n">
        <v>9</v>
      </c>
      <c r="Z1119" t="n">
        <v>8</v>
      </c>
      <c r="AA1119" t="n">
        <v>16</v>
      </c>
      <c r="AB1119" t="n">
        <v>1</v>
      </c>
      <c r="AC1119" t="n">
        <v>1</v>
      </c>
      <c r="AD1119" t="n">
        <v>5</v>
      </c>
      <c r="AE1119" t="n">
        <v>8</v>
      </c>
      <c r="AF1119" t="n">
        <v>0</v>
      </c>
      <c r="AG1119" t="n">
        <v>0</v>
      </c>
      <c r="AH1119" t="n">
        <v>1</v>
      </c>
      <c r="AI1119" t="n">
        <v>2</v>
      </c>
      <c r="AJ1119" t="n">
        <v>5</v>
      </c>
      <c r="AK1119" t="n">
        <v>8</v>
      </c>
      <c r="AL1119" t="n">
        <v>0</v>
      </c>
      <c r="AM1119" t="n">
        <v>0</v>
      </c>
      <c r="AN1119" t="n">
        <v>0</v>
      </c>
      <c r="AO1119" t="n">
        <v>0</v>
      </c>
      <c r="AP1119" t="inlineStr">
        <is>
          <t>No</t>
        </is>
      </c>
      <c r="AQ1119" t="inlineStr">
        <is>
          <t>No</t>
        </is>
      </c>
      <c r="AS1119">
        <f>HYPERLINK("https://creighton-primo.hosted.exlibrisgroup.com/primo-explore/search?tab=default_tab&amp;search_scope=EVERYTHING&amp;vid=01CRU&amp;lang=en_US&amp;offset=0&amp;query=any,contains,991005406869702656","Catalog Record")</f>
        <v/>
      </c>
      <c r="AT1119">
        <f>HYPERLINK("http://www.worldcat.org/oclc/13894982","WorldCat Record")</f>
        <v/>
      </c>
      <c r="AU1119" t="inlineStr">
        <is>
          <t>43570877:eng</t>
        </is>
      </c>
      <c r="AV1119" t="inlineStr">
        <is>
          <t>13894982</t>
        </is>
      </c>
      <c r="AW1119" t="inlineStr">
        <is>
          <t>991005406869702656</t>
        </is>
      </c>
      <c r="AX1119" t="inlineStr">
        <is>
          <t>991005406869702656</t>
        </is>
      </c>
      <c r="AY1119" t="inlineStr">
        <is>
          <t>2266199840002656</t>
        </is>
      </c>
      <c r="AZ1119" t="inlineStr">
        <is>
          <t>BOOK</t>
        </is>
      </c>
      <c r="BC1119" t="inlineStr">
        <is>
          <t>32285000744267</t>
        </is>
      </c>
      <c r="BD1119" t="inlineStr">
        <is>
          <t>893625971</t>
        </is>
      </c>
    </row>
    <row r="1120">
      <c r="A1120" t="inlineStr">
        <is>
          <t>No</t>
        </is>
      </c>
      <c r="B1120" t="inlineStr">
        <is>
          <t>BX2157 .W5</t>
        </is>
      </c>
      <c r="C1120" t="inlineStr">
        <is>
          <t>0                      BX 2157000W  5</t>
        </is>
      </c>
      <c r="D1120" t="inlineStr">
        <is>
          <t>The Sacred Heart in the life of the church / Margaret Williams.</t>
        </is>
      </c>
      <c r="F1120" t="inlineStr">
        <is>
          <t>No</t>
        </is>
      </c>
      <c r="G1120" t="inlineStr">
        <is>
          <t>1</t>
        </is>
      </c>
      <c r="H1120" t="inlineStr">
        <is>
          <t>No</t>
        </is>
      </c>
      <c r="I1120" t="inlineStr">
        <is>
          <t>No</t>
        </is>
      </c>
      <c r="J1120" t="inlineStr">
        <is>
          <t>0</t>
        </is>
      </c>
      <c r="K1120" t="inlineStr">
        <is>
          <t>Williams, Margaret, 1902-1996.</t>
        </is>
      </c>
      <c r="L1120" t="inlineStr">
        <is>
          <t>New York : Sheed and Ward, [1957]</t>
        </is>
      </c>
      <c r="M1120" t="inlineStr">
        <is>
          <t>1957</t>
        </is>
      </c>
      <c r="O1120" t="inlineStr">
        <is>
          <t>eng</t>
        </is>
      </c>
      <c r="P1120" t="inlineStr">
        <is>
          <t>nyu</t>
        </is>
      </c>
      <c r="R1120" t="inlineStr">
        <is>
          <t xml:space="preserve">BX </t>
        </is>
      </c>
      <c r="S1120" t="n">
        <v>4</v>
      </c>
      <c r="T1120" t="n">
        <v>4</v>
      </c>
      <c r="U1120" t="inlineStr">
        <is>
          <t>1999-06-11</t>
        </is>
      </c>
      <c r="V1120" t="inlineStr">
        <is>
          <t>1999-06-11</t>
        </is>
      </c>
      <c r="W1120" t="inlineStr">
        <is>
          <t>1991-09-18</t>
        </is>
      </c>
      <c r="X1120" t="inlineStr">
        <is>
          <t>1991-09-18</t>
        </is>
      </c>
      <c r="Y1120" t="n">
        <v>127</v>
      </c>
      <c r="Z1120" t="n">
        <v>109</v>
      </c>
      <c r="AA1120" t="n">
        <v>114</v>
      </c>
      <c r="AB1120" t="n">
        <v>3</v>
      </c>
      <c r="AC1120" t="n">
        <v>3</v>
      </c>
      <c r="AD1120" t="n">
        <v>21</v>
      </c>
      <c r="AE1120" t="n">
        <v>21</v>
      </c>
      <c r="AF1120" t="n">
        <v>3</v>
      </c>
      <c r="AG1120" t="n">
        <v>3</v>
      </c>
      <c r="AH1120" t="n">
        <v>7</v>
      </c>
      <c r="AI1120" t="n">
        <v>7</v>
      </c>
      <c r="AJ1120" t="n">
        <v>18</v>
      </c>
      <c r="AK1120" t="n">
        <v>18</v>
      </c>
      <c r="AL1120" t="n">
        <v>0</v>
      </c>
      <c r="AM1120" t="n">
        <v>0</v>
      </c>
      <c r="AN1120" t="n">
        <v>0</v>
      </c>
      <c r="AO1120" t="n">
        <v>0</v>
      </c>
      <c r="AP1120" t="inlineStr">
        <is>
          <t>No</t>
        </is>
      </c>
      <c r="AQ1120" t="inlineStr">
        <is>
          <t>No</t>
        </is>
      </c>
      <c r="AS1120">
        <f>HYPERLINK("https://creighton-primo.hosted.exlibrisgroup.com/primo-explore/search?tab=default_tab&amp;search_scope=EVERYTHING&amp;vid=01CRU&amp;lang=en_US&amp;offset=0&amp;query=any,contains,991003945069702656","Catalog Record")</f>
        <v/>
      </c>
      <c r="AT1120">
        <f>HYPERLINK("http://www.worldcat.org/oclc/1944998","WorldCat Record")</f>
        <v/>
      </c>
      <c r="AU1120" t="inlineStr">
        <is>
          <t>294306190:eng</t>
        </is>
      </c>
      <c r="AV1120" t="inlineStr">
        <is>
          <t>1944998</t>
        </is>
      </c>
      <c r="AW1120" t="inlineStr">
        <is>
          <t>991003945069702656</t>
        </is>
      </c>
      <c r="AX1120" t="inlineStr">
        <is>
          <t>991003945069702656</t>
        </is>
      </c>
      <c r="AY1120" t="inlineStr">
        <is>
          <t>2266252680002656</t>
        </is>
      </c>
      <c r="AZ1120" t="inlineStr">
        <is>
          <t>BOOK</t>
        </is>
      </c>
      <c r="BC1120" t="inlineStr">
        <is>
          <t>32285000744283</t>
        </is>
      </c>
      <c r="BD1120" t="inlineStr">
        <is>
          <t>893904631</t>
        </is>
      </c>
    </row>
    <row r="1121">
      <c r="A1121" t="inlineStr">
        <is>
          <t>No</t>
        </is>
      </c>
      <c r="B1121" t="inlineStr">
        <is>
          <t>BX2158 .C5313 1948</t>
        </is>
      </c>
      <c r="C1121" t="inlineStr">
        <is>
          <t>0                      BX 2158000C  5313        1948</t>
        </is>
      </c>
      <c r="D1121" t="inlineStr">
        <is>
          <t>The Sacred Heart and the priesthood / by Mother Louise Margaret Claret de la Touche.</t>
        </is>
      </c>
      <c r="F1121" t="inlineStr">
        <is>
          <t>No</t>
        </is>
      </c>
      <c r="G1121" t="inlineStr">
        <is>
          <t>1</t>
        </is>
      </c>
      <c r="H1121" t="inlineStr">
        <is>
          <t>No</t>
        </is>
      </c>
      <c r="I1121" t="inlineStr">
        <is>
          <t>No</t>
        </is>
      </c>
      <c r="J1121" t="inlineStr">
        <is>
          <t>0</t>
        </is>
      </c>
      <c r="K1121" t="inlineStr">
        <is>
          <t>Claret de la Touche, Louise Margaret, 1868-1915.</t>
        </is>
      </c>
      <c r="L1121" t="inlineStr">
        <is>
          <t>[Wexford, Ire.] : Published by the Irish members of "The Priests' Universal Union of the Friends of the Sacred Heart," 1948.</t>
        </is>
      </c>
      <c r="M1121" t="inlineStr">
        <is>
          <t>1948</t>
        </is>
      </c>
      <c r="O1121" t="inlineStr">
        <is>
          <t>eng</t>
        </is>
      </c>
      <c r="P1121" t="inlineStr">
        <is>
          <t xml:space="preserve">ie </t>
        </is>
      </c>
      <c r="R1121" t="inlineStr">
        <is>
          <t xml:space="preserve">BX </t>
        </is>
      </c>
      <c r="S1121" t="n">
        <v>1</v>
      </c>
      <c r="T1121" t="n">
        <v>1</v>
      </c>
      <c r="U1121" t="inlineStr">
        <is>
          <t>1993-07-29</t>
        </is>
      </c>
      <c r="V1121" t="inlineStr">
        <is>
          <t>1993-07-29</t>
        </is>
      </c>
      <c r="W1121" t="inlineStr">
        <is>
          <t>1991-09-18</t>
        </is>
      </c>
      <c r="X1121" t="inlineStr">
        <is>
          <t>1991-09-18</t>
        </is>
      </c>
      <c r="Y1121" t="n">
        <v>29</v>
      </c>
      <c r="Z1121" t="n">
        <v>26</v>
      </c>
      <c r="AA1121" t="n">
        <v>79</v>
      </c>
      <c r="AB1121" t="n">
        <v>2</v>
      </c>
      <c r="AC1121" t="n">
        <v>3</v>
      </c>
      <c r="AD1121" t="n">
        <v>5</v>
      </c>
      <c r="AE1121" t="n">
        <v>13</v>
      </c>
      <c r="AF1121" t="n">
        <v>0</v>
      </c>
      <c r="AG1121" t="n">
        <v>1</v>
      </c>
      <c r="AH1121" t="n">
        <v>1</v>
      </c>
      <c r="AI1121" t="n">
        <v>7</v>
      </c>
      <c r="AJ1121" t="n">
        <v>4</v>
      </c>
      <c r="AK1121" t="n">
        <v>8</v>
      </c>
      <c r="AL1121" t="n">
        <v>0</v>
      </c>
      <c r="AM1121" t="n">
        <v>0</v>
      </c>
      <c r="AN1121" t="n">
        <v>0</v>
      </c>
      <c r="AO1121" t="n">
        <v>0</v>
      </c>
      <c r="AP1121" t="inlineStr">
        <is>
          <t>No</t>
        </is>
      </c>
      <c r="AQ1121" t="inlineStr">
        <is>
          <t>No</t>
        </is>
      </c>
      <c r="AS1121">
        <f>HYPERLINK("https://creighton-primo.hosted.exlibrisgroup.com/primo-explore/search?tab=default_tab&amp;search_scope=EVERYTHING&amp;vid=01CRU&amp;lang=en_US&amp;offset=0&amp;query=any,contains,991004449479702656","Catalog Record")</f>
        <v/>
      </c>
      <c r="AT1121">
        <f>HYPERLINK("http://www.worldcat.org/oclc/3502035","WorldCat Record")</f>
        <v/>
      </c>
      <c r="AU1121" t="inlineStr">
        <is>
          <t>2070264155:eng</t>
        </is>
      </c>
      <c r="AV1121" t="inlineStr">
        <is>
          <t>3502035</t>
        </is>
      </c>
      <c r="AW1121" t="inlineStr">
        <is>
          <t>991004449479702656</t>
        </is>
      </c>
      <c r="AX1121" t="inlineStr">
        <is>
          <t>991004449479702656</t>
        </is>
      </c>
      <c r="AY1121" t="inlineStr">
        <is>
          <t>2269868850002656</t>
        </is>
      </c>
      <c r="AZ1121" t="inlineStr">
        <is>
          <t>BOOK</t>
        </is>
      </c>
      <c r="BC1121" t="inlineStr">
        <is>
          <t>32285000744317</t>
        </is>
      </c>
      <c r="BD1121" t="inlineStr">
        <is>
          <t>893331592</t>
        </is>
      </c>
    </row>
    <row r="1122">
      <c r="A1122" t="inlineStr">
        <is>
          <t>No</t>
        </is>
      </c>
      <c r="B1122" t="inlineStr">
        <is>
          <t>BX2158 .K6 1936</t>
        </is>
      </c>
      <c r="C1122" t="inlineStr">
        <is>
          <t>0                      BX 2158000K  6           1936</t>
        </is>
      </c>
      <c r="D1122" t="inlineStr">
        <is>
          <t>The Sacred heart of Christ : spiritual readings / by Rev. F. Konz, O. M. I.</t>
        </is>
      </c>
      <c r="F1122" t="inlineStr">
        <is>
          <t>No</t>
        </is>
      </c>
      <c r="G1122" t="inlineStr">
        <is>
          <t>1</t>
        </is>
      </c>
      <c r="H1122" t="inlineStr">
        <is>
          <t>No</t>
        </is>
      </c>
      <c r="I1122" t="inlineStr">
        <is>
          <t>No</t>
        </is>
      </c>
      <c r="J1122" t="inlineStr">
        <is>
          <t>0</t>
        </is>
      </c>
      <c r="K1122" t="inlineStr">
        <is>
          <t>Konz, F.</t>
        </is>
      </c>
      <c r="L1122" t="inlineStr">
        <is>
          <t>New York ; Chicago : Benziger brothers, 1936.</t>
        </is>
      </c>
      <c r="M1122" t="inlineStr">
        <is>
          <t>1936</t>
        </is>
      </c>
      <c r="O1122" t="inlineStr">
        <is>
          <t>eng</t>
        </is>
      </c>
      <c r="P1122" t="inlineStr">
        <is>
          <t xml:space="preserve">xx </t>
        </is>
      </c>
      <c r="R1122" t="inlineStr">
        <is>
          <t xml:space="preserve">BX </t>
        </is>
      </c>
      <c r="S1122" t="n">
        <v>2</v>
      </c>
      <c r="T1122" t="n">
        <v>2</v>
      </c>
      <c r="U1122" t="inlineStr">
        <is>
          <t>2006-05-01</t>
        </is>
      </c>
      <c r="V1122" t="inlineStr">
        <is>
          <t>2006-05-01</t>
        </is>
      </c>
      <c r="W1122" t="inlineStr">
        <is>
          <t>1991-09-18</t>
        </is>
      </c>
      <c r="X1122" t="inlineStr">
        <is>
          <t>1991-09-18</t>
        </is>
      </c>
      <c r="Y1122" t="n">
        <v>52</v>
      </c>
      <c r="Z1122" t="n">
        <v>48</v>
      </c>
      <c r="AA1122" t="n">
        <v>48</v>
      </c>
      <c r="AB1122" t="n">
        <v>2</v>
      </c>
      <c r="AC1122" t="n">
        <v>2</v>
      </c>
      <c r="AD1122" t="n">
        <v>15</v>
      </c>
      <c r="AE1122" t="n">
        <v>15</v>
      </c>
      <c r="AF1122" t="n">
        <v>1</v>
      </c>
      <c r="AG1122" t="n">
        <v>1</v>
      </c>
      <c r="AH1122" t="n">
        <v>6</v>
      </c>
      <c r="AI1122" t="n">
        <v>6</v>
      </c>
      <c r="AJ1122" t="n">
        <v>12</v>
      </c>
      <c r="AK1122" t="n">
        <v>12</v>
      </c>
      <c r="AL1122" t="n">
        <v>0</v>
      </c>
      <c r="AM1122" t="n">
        <v>0</v>
      </c>
      <c r="AN1122" t="n">
        <v>0</v>
      </c>
      <c r="AO1122" t="n">
        <v>0</v>
      </c>
      <c r="AP1122" t="inlineStr">
        <is>
          <t>No</t>
        </is>
      </c>
      <c r="AQ1122" t="inlineStr">
        <is>
          <t>No</t>
        </is>
      </c>
      <c r="AS1122">
        <f>HYPERLINK("https://creighton-primo.hosted.exlibrisgroup.com/primo-explore/search?tab=default_tab&amp;search_scope=EVERYTHING&amp;vid=01CRU&amp;lang=en_US&amp;offset=0&amp;query=any,contains,991004380829702656","Catalog Record")</f>
        <v/>
      </c>
      <c r="AT1122">
        <f>HYPERLINK("http://www.worldcat.org/oclc/3221992","WorldCat Record")</f>
        <v/>
      </c>
      <c r="AU1122" t="inlineStr">
        <is>
          <t>4152820472:eng</t>
        </is>
      </c>
      <c r="AV1122" t="inlineStr">
        <is>
          <t>3221992</t>
        </is>
      </c>
      <c r="AW1122" t="inlineStr">
        <is>
          <t>991004380829702656</t>
        </is>
      </c>
      <c r="AX1122" t="inlineStr">
        <is>
          <t>991004380829702656</t>
        </is>
      </c>
      <c r="AY1122" t="inlineStr">
        <is>
          <t>2257753280002656</t>
        </is>
      </c>
      <c r="AZ1122" t="inlineStr">
        <is>
          <t>BOOK</t>
        </is>
      </c>
      <c r="BC1122" t="inlineStr">
        <is>
          <t>32285000744325</t>
        </is>
      </c>
      <c r="BD1122" t="inlineStr">
        <is>
          <t>893506783</t>
        </is>
      </c>
    </row>
    <row r="1123">
      <c r="A1123" t="inlineStr">
        <is>
          <t>No</t>
        </is>
      </c>
      <c r="B1123" t="inlineStr">
        <is>
          <t>BX2158 .M23 1912</t>
        </is>
      </c>
      <c r="C1123" t="inlineStr">
        <is>
          <t>0                      BX 2158000M  23          1912</t>
        </is>
      </c>
      <c r="D1123" t="inlineStr">
        <is>
          <t>The Litany of the Sacred Heart : commentary and meditations / by Joseph McDonnell.</t>
        </is>
      </c>
      <c r="F1123" t="inlineStr">
        <is>
          <t>No</t>
        </is>
      </c>
      <c r="G1123" t="inlineStr">
        <is>
          <t>1</t>
        </is>
      </c>
      <c r="H1123" t="inlineStr">
        <is>
          <t>No</t>
        </is>
      </c>
      <c r="I1123" t="inlineStr">
        <is>
          <t>No</t>
        </is>
      </c>
      <c r="J1123" t="inlineStr">
        <is>
          <t>0</t>
        </is>
      </c>
      <c r="K1123" t="inlineStr">
        <is>
          <t>McDonnell, Joseph.</t>
        </is>
      </c>
      <c r="L1123" t="inlineStr">
        <is>
          <t>New York : Benziger Brothers, [1912]</t>
        </is>
      </c>
      <c r="M1123" t="inlineStr">
        <is>
          <t>1912</t>
        </is>
      </c>
      <c r="O1123" t="inlineStr">
        <is>
          <t>eng</t>
        </is>
      </c>
      <c r="P1123" t="inlineStr">
        <is>
          <t>nyu</t>
        </is>
      </c>
      <c r="R1123" t="inlineStr">
        <is>
          <t xml:space="preserve">BX </t>
        </is>
      </c>
      <c r="S1123" t="n">
        <v>0</v>
      </c>
      <c r="T1123" t="n">
        <v>0</v>
      </c>
      <c r="U1123" t="inlineStr">
        <is>
          <t>2008-05-05</t>
        </is>
      </c>
      <c r="V1123" t="inlineStr">
        <is>
          <t>2008-05-05</t>
        </is>
      </c>
      <c r="W1123" t="inlineStr">
        <is>
          <t>1991-09-18</t>
        </is>
      </c>
      <c r="X1123" t="inlineStr">
        <is>
          <t>1991-09-18</t>
        </is>
      </c>
      <c r="Y1123" t="n">
        <v>14</v>
      </c>
      <c r="Z1123" t="n">
        <v>13</v>
      </c>
      <c r="AA1123" t="n">
        <v>41</v>
      </c>
      <c r="AB1123" t="n">
        <v>1</v>
      </c>
      <c r="AC1123" t="n">
        <v>1</v>
      </c>
      <c r="AD1123" t="n">
        <v>4</v>
      </c>
      <c r="AE1123" t="n">
        <v>8</v>
      </c>
      <c r="AF1123" t="n">
        <v>2</v>
      </c>
      <c r="AG1123" t="n">
        <v>2</v>
      </c>
      <c r="AH1123" t="n">
        <v>2</v>
      </c>
      <c r="AI1123" t="n">
        <v>3</v>
      </c>
      <c r="AJ1123" t="n">
        <v>1</v>
      </c>
      <c r="AK1123" t="n">
        <v>5</v>
      </c>
      <c r="AL1123" t="n">
        <v>0</v>
      </c>
      <c r="AM1123" t="n">
        <v>0</v>
      </c>
      <c r="AN1123" t="n">
        <v>0</v>
      </c>
      <c r="AO1123" t="n">
        <v>0</v>
      </c>
      <c r="AP1123" t="inlineStr">
        <is>
          <t>No</t>
        </is>
      </c>
      <c r="AQ1123" t="inlineStr">
        <is>
          <t>No</t>
        </is>
      </c>
      <c r="AS1123">
        <f>HYPERLINK("https://creighton-primo.hosted.exlibrisgroup.com/primo-explore/search?tab=default_tab&amp;search_scope=EVERYTHING&amp;vid=01CRU&amp;lang=en_US&amp;offset=0&amp;query=any,contains,991005170279702656","Catalog Record")</f>
        <v/>
      </c>
      <c r="AT1123">
        <f>HYPERLINK("http://www.worldcat.org/oclc/7856164","WorldCat Record")</f>
        <v/>
      </c>
      <c r="AU1123" t="inlineStr">
        <is>
          <t>17937101:eng</t>
        </is>
      </c>
      <c r="AV1123" t="inlineStr">
        <is>
          <t>7856164</t>
        </is>
      </c>
      <c r="AW1123" t="inlineStr">
        <is>
          <t>991005170279702656</t>
        </is>
      </c>
      <c r="AX1123" t="inlineStr">
        <is>
          <t>991005170279702656</t>
        </is>
      </c>
      <c r="AY1123" t="inlineStr">
        <is>
          <t>2272776720002656</t>
        </is>
      </c>
      <c r="AZ1123" t="inlineStr">
        <is>
          <t>BOOK</t>
        </is>
      </c>
      <c r="BC1123" t="inlineStr">
        <is>
          <t>32285000744333</t>
        </is>
      </c>
      <c r="BD1123" t="inlineStr">
        <is>
          <t>893870641</t>
        </is>
      </c>
    </row>
    <row r="1124">
      <c r="A1124" t="inlineStr">
        <is>
          <t>No</t>
        </is>
      </c>
      <c r="B1124" t="inlineStr">
        <is>
          <t>BX2159.P3 S54 1915</t>
        </is>
      </c>
      <c r="C1124" t="inlineStr">
        <is>
          <t>0                      BX 2159000P  3                  S  54          1915</t>
        </is>
      </c>
      <c r="D1124" t="inlineStr">
        <is>
          <t>Meditations on the passion of our Lord / by the Right Reverend Joseph Oswald Smith.</t>
        </is>
      </c>
      <c r="F1124" t="inlineStr">
        <is>
          <t>No</t>
        </is>
      </c>
      <c r="G1124" t="inlineStr">
        <is>
          <t>1</t>
        </is>
      </c>
      <c r="H1124" t="inlineStr">
        <is>
          <t>No</t>
        </is>
      </c>
      <c r="I1124" t="inlineStr">
        <is>
          <t>No</t>
        </is>
      </c>
      <c r="J1124" t="inlineStr">
        <is>
          <t>0</t>
        </is>
      </c>
      <c r="K1124" t="inlineStr">
        <is>
          <t>Smith, Joseph Oswald, 1854-1924.</t>
        </is>
      </c>
      <c r="L1124" t="inlineStr">
        <is>
          <t>New York : Benziger Bros., [1915]</t>
        </is>
      </c>
      <c r="M1124" t="inlineStr">
        <is>
          <t>1915</t>
        </is>
      </c>
      <c r="O1124" t="inlineStr">
        <is>
          <t>eng</t>
        </is>
      </c>
      <c r="P1124" t="inlineStr">
        <is>
          <t>nyu</t>
        </is>
      </c>
      <c r="R1124" t="inlineStr">
        <is>
          <t xml:space="preserve">BX </t>
        </is>
      </c>
      <c r="S1124" t="n">
        <v>2</v>
      </c>
      <c r="T1124" t="n">
        <v>2</v>
      </c>
      <c r="U1124" t="inlineStr">
        <is>
          <t>1993-04-20</t>
        </is>
      </c>
      <c r="V1124" t="inlineStr">
        <is>
          <t>1993-04-20</t>
        </is>
      </c>
      <c r="W1124" t="inlineStr">
        <is>
          <t>1990-02-26</t>
        </is>
      </c>
      <c r="X1124" t="inlineStr">
        <is>
          <t>1990-02-26</t>
        </is>
      </c>
      <c r="Y1124" t="n">
        <v>6</v>
      </c>
      <c r="Z1124" t="n">
        <v>5</v>
      </c>
      <c r="AA1124" t="n">
        <v>29</v>
      </c>
      <c r="AB1124" t="n">
        <v>1</v>
      </c>
      <c r="AC1124" t="n">
        <v>1</v>
      </c>
      <c r="AD1124" t="n">
        <v>2</v>
      </c>
      <c r="AE1124" t="n">
        <v>5</v>
      </c>
      <c r="AF1124" t="n">
        <v>1</v>
      </c>
      <c r="AG1124" t="n">
        <v>1</v>
      </c>
      <c r="AH1124" t="n">
        <v>0</v>
      </c>
      <c r="AI1124" t="n">
        <v>1</v>
      </c>
      <c r="AJ1124" t="n">
        <v>1</v>
      </c>
      <c r="AK1124" t="n">
        <v>3</v>
      </c>
      <c r="AL1124" t="n">
        <v>0</v>
      </c>
      <c r="AM1124" t="n">
        <v>0</v>
      </c>
      <c r="AN1124" t="n">
        <v>0</v>
      </c>
      <c r="AO1124" t="n">
        <v>0</v>
      </c>
      <c r="AP1124" t="inlineStr">
        <is>
          <t>No</t>
        </is>
      </c>
      <c r="AQ1124" t="inlineStr">
        <is>
          <t>No</t>
        </is>
      </c>
      <c r="AS1124">
        <f>HYPERLINK("https://creighton-primo.hosted.exlibrisgroup.com/primo-explore/search?tab=default_tab&amp;search_scope=EVERYTHING&amp;vid=01CRU&amp;lang=en_US&amp;offset=0&amp;query=any,contains,991004621329702656","Catalog Record")</f>
        <v/>
      </c>
      <c r="AT1124">
        <f>HYPERLINK("http://www.worldcat.org/oclc/4299537","WorldCat Record")</f>
        <v/>
      </c>
      <c r="AU1124" t="inlineStr">
        <is>
          <t>9980224:eng</t>
        </is>
      </c>
      <c r="AV1124" t="inlineStr">
        <is>
          <t>4299537</t>
        </is>
      </c>
      <c r="AW1124" t="inlineStr">
        <is>
          <t>991004621329702656</t>
        </is>
      </c>
      <c r="AX1124" t="inlineStr">
        <is>
          <t>991004621329702656</t>
        </is>
      </c>
      <c r="AY1124" t="inlineStr">
        <is>
          <t>2255272510002656</t>
        </is>
      </c>
      <c r="AZ1124" t="inlineStr">
        <is>
          <t>BOOK</t>
        </is>
      </c>
      <c r="BC1124" t="inlineStr">
        <is>
          <t>32285000070515</t>
        </is>
      </c>
      <c r="BD1124" t="inlineStr">
        <is>
          <t>893519856</t>
        </is>
      </c>
    </row>
    <row r="1125">
      <c r="A1125" t="inlineStr">
        <is>
          <t>No</t>
        </is>
      </c>
      <c r="B1125" t="inlineStr">
        <is>
          <t>BX2160.2 .R313 1961</t>
        </is>
      </c>
      <c r="C1125" t="inlineStr">
        <is>
          <t>0                      BX 2160200R  313         1961</t>
        </is>
      </c>
      <c r="D1125" t="inlineStr">
        <is>
          <t>Our Lady and the church / Hugo Rahner. Translated by Sebastian Bullough.</t>
        </is>
      </c>
      <c r="F1125" t="inlineStr">
        <is>
          <t>No</t>
        </is>
      </c>
      <c r="G1125" t="inlineStr">
        <is>
          <t>1</t>
        </is>
      </c>
      <c r="H1125" t="inlineStr">
        <is>
          <t>No</t>
        </is>
      </c>
      <c r="I1125" t="inlineStr">
        <is>
          <t>Yes</t>
        </is>
      </c>
      <c r="J1125" t="inlineStr">
        <is>
          <t>0</t>
        </is>
      </c>
      <c r="K1125" t="inlineStr">
        <is>
          <t>Rahner, Hugo, 1900-1968.</t>
        </is>
      </c>
      <c r="L1125" t="inlineStr">
        <is>
          <t>[New York] : Pantheon Books, [1961]</t>
        </is>
      </c>
      <c r="M1125" t="inlineStr">
        <is>
          <t>1961</t>
        </is>
      </c>
      <c r="O1125" t="inlineStr">
        <is>
          <t>eng</t>
        </is>
      </c>
      <c r="P1125" t="inlineStr">
        <is>
          <t>___</t>
        </is>
      </c>
      <c r="R1125" t="inlineStr">
        <is>
          <t xml:space="preserve">BX </t>
        </is>
      </c>
      <c r="S1125" t="n">
        <v>1</v>
      </c>
      <c r="T1125" t="n">
        <v>1</v>
      </c>
      <c r="U1125" t="inlineStr">
        <is>
          <t>2006-01-13</t>
        </is>
      </c>
      <c r="V1125" t="inlineStr">
        <is>
          <t>2006-01-13</t>
        </is>
      </c>
      <c r="W1125" t="inlineStr">
        <is>
          <t>1991-09-18</t>
        </is>
      </c>
      <c r="X1125" t="inlineStr">
        <is>
          <t>1991-09-18</t>
        </is>
      </c>
      <c r="Y1125" t="n">
        <v>177</v>
      </c>
      <c r="Z1125" t="n">
        <v>162</v>
      </c>
      <c r="AA1125" t="n">
        <v>235</v>
      </c>
      <c r="AB1125" t="n">
        <v>2</v>
      </c>
      <c r="AC1125" t="n">
        <v>2</v>
      </c>
      <c r="AD1125" t="n">
        <v>29</v>
      </c>
      <c r="AE1125" t="n">
        <v>33</v>
      </c>
      <c r="AF1125" t="n">
        <v>9</v>
      </c>
      <c r="AG1125" t="n">
        <v>12</v>
      </c>
      <c r="AH1125" t="n">
        <v>8</v>
      </c>
      <c r="AI1125" t="n">
        <v>10</v>
      </c>
      <c r="AJ1125" t="n">
        <v>23</v>
      </c>
      <c r="AK1125" t="n">
        <v>24</v>
      </c>
      <c r="AL1125" t="n">
        <v>0</v>
      </c>
      <c r="AM1125" t="n">
        <v>0</v>
      </c>
      <c r="AN1125" t="n">
        <v>0</v>
      </c>
      <c r="AO1125" t="n">
        <v>0</v>
      </c>
      <c r="AP1125" t="inlineStr">
        <is>
          <t>No</t>
        </is>
      </c>
      <c r="AQ1125" t="inlineStr">
        <is>
          <t>No</t>
        </is>
      </c>
      <c r="AS1125">
        <f>HYPERLINK("https://creighton-primo.hosted.exlibrisgroup.com/primo-explore/search?tab=default_tab&amp;search_scope=EVERYTHING&amp;vid=01CRU&amp;lang=en_US&amp;offset=0&amp;query=any,contains,991003841159702656","Catalog Record")</f>
        <v/>
      </c>
      <c r="AT1125">
        <f>HYPERLINK("http://www.worldcat.org/oclc/1617952","WorldCat Record")</f>
        <v/>
      </c>
      <c r="AU1125" t="inlineStr">
        <is>
          <t>5454017371:eng</t>
        </is>
      </c>
      <c r="AV1125" t="inlineStr">
        <is>
          <t>1617952</t>
        </is>
      </c>
      <c r="AW1125" t="inlineStr">
        <is>
          <t>991003841159702656</t>
        </is>
      </c>
      <c r="AX1125" t="inlineStr">
        <is>
          <t>991003841159702656</t>
        </is>
      </c>
      <c r="AY1125" t="inlineStr">
        <is>
          <t>2262650080002656</t>
        </is>
      </c>
      <c r="AZ1125" t="inlineStr">
        <is>
          <t>BOOK</t>
        </is>
      </c>
      <c r="BC1125" t="inlineStr">
        <is>
          <t>32285000765098</t>
        </is>
      </c>
      <c r="BD1125" t="inlineStr">
        <is>
          <t>893525297</t>
        </is>
      </c>
    </row>
    <row r="1126">
      <c r="A1126" t="inlineStr">
        <is>
          <t>No</t>
        </is>
      </c>
      <c r="B1126" t="inlineStr">
        <is>
          <t>BX2160.3 .M8 1951</t>
        </is>
      </c>
      <c r="C1126" t="inlineStr">
        <is>
          <t>0                      BX 2160300M  8           1951</t>
        </is>
      </c>
      <c r="D1126" t="inlineStr">
        <is>
          <t>Mary's Immaculate Heart : the meaning of the devotion to the Immaculate Heart of Mary / John F. Murphy.</t>
        </is>
      </c>
      <c r="F1126" t="inlineStr">
        <is>
          <t>No</t>
        </is>
      </c>
      <c r="G1126" t="inlineStr">
        <is>
          <t>1</t>
        </is>
      </c>
      <c r="H1126" t="inlineStr">
        <is>
          <t>No</t>
        </is>
      </c>
      <c r="I1126" t="inlineStr">
        <is>
          <t>No</t>
        </is>
      </c>
      <c r="J1126" t="inlineStr">
        <is>
          <t>0</t>
        </is>
      </c>
      <c r="K1126" t="inlineStr">
        <is>
          <t>Murphy, John F., 1922-</t>
        </is>
      </c>
      <c r="L1126" t="inlineStr">
        <is>
          <t>Milwaukee : Bruce, [1951]</t>
        </is>
      </c>
      <c r="M1126" t="inlineStr">
        <is>
          <t>1951</t>
        </is>
      </c>
      <c r="O1126" t="inlineStr">
        <is>
          <t>eng</t>
        </is>
      </c>
      <c r="P1126" t="inlineStr">
        <is>
          <t>wiu</t>
        </is>
      </c>
      <c r="R1126" t="inlineStr">
        <is>
          <t xml:space="preserve">BX </t>
        </is>
      </c>
      <c r="S1126" t="n">
        <v>1</v>
      </c>
      <c r="T1126" t="n">
        <v>1</v>
      </c>
      <c r="U1126" t="inlineStr">
        <is>
          <t>2006-01-13</t>
        </is>
      </c>
      <c r="V1126" t="inlineStr">
        <is>
          <t>2006-01-13</t>
        </is>
      </c>
      <c r="W1126" t="inlineStr">
        <is>
          <t>1991-09-18</t>
        </is>
      </c>
      <c r="X1126" t="inlineStr">
        <is>
          <t>1991-09-18</t>
        </is>
      </c>
      <c r="Y1126" t="n">
        <v>98</v>
      </c>
      <c r="Z1126" t="n">
        <v>91</v>
      </c>
      <c r="AA1126" t="n">
        <v>96</v>
      </c>
      <c r="AB1126" t="n">
        <v>3</v>
      </c>
      <c r="AC1126" t="n">
        <v>3</v>
      </c>
      <c r="AD1126" t="n">
        <v>17</v>
      </c>
      <c r="AE1126" t="n">
        <v>17</v>
      </c>
      <c r="AF1126" t="n">
        <v>3</v>
      </c>
      <c r="AG1126" t="n">
        <v>3</v>
      </c>
      <c r="AH1126" t="n">
        <v>5</v>
      </c>
      <c r="AI1126" t="n">
        <v>5</v>
      </c>
      <c r="AJ1126" t="n">
        <v>14</v>
      </c>
      <c r="AK1126" t="n">
        <v>14</v>
      </c>
      <c r="AL1126" t="n">
        <v>0</v>
      </c>
      <c r="AM1126" t="n">
        <v>0</v>
      </c>
      <c r="AN1126" t="n">
        <v>0</v>
      </c>
      <c r="AO1126" t="n">
        <v>0</v>
      </c>
      <c r="AP1126" t="inlineStr">
        <is>
          <t>No</t>
        </is>
      </c>
      <c r="AQ1126" t="inlineStr">
        <is>
          <t>No</t>
        </is>
      </c>
      <c r="AS1126">
        <f>HYPERLINK("https://creighton-primo.hosted.exlibrisgroup.com/primo-explore/search?tab=default_tab&amp;search_scope=EVERYTHING&amp;vid=01CRU&amp;lang=en_US&amp;offset=0&amp;query=any,contains,991005091799702656","Catalog Record")</f>
        <v/>
      </c>
      <c r="AT1126">
        <f>HYPERLINK("http://www.worldcat.org/oclc/7229956","WorldCat Record")</f>
        <v/>
      </c>
      <c r="AU1126" t="inlineStr">
        <is>
          <t>26224416:eng</t>
        </is>
      </c>
      <c r="AV1126" t="inlineStr">
        <is>
          <t>7229956</t>
        </is>
      </c>
      <c r="AW1126" t="inlineStr">
        <is>
          <t>991005091799702656</t>
        </is>
      </c>
      <c r="AX1126" t="inlineStr">
        <is>
          <t>991005091799702656</t>
        </is>
      </c>
      <c r="AY1126" t="inlineStr">
        <is>
          <t>2261274100002656</t>
        </is>
      </c>
      <c r="AZ1126" t="inlineStr">
        <is>
          <t>BOOK</t>
        </is>
      </c>
      <c r="BC1126" t="inlineStr">
        <is>
          <t>32285000765122</t>
        </is>
      </c>
      <c r="BD1126" t="inlineStr">
        <is>
          <t>893260530</t>
        </is>
      </c>
    </row>
    <row r="1127">
      <c r="A1127" t="inlineStr">
        <is>
          <t>No</t>
        </is>
      </c>
      <c r="B1127" t="inlineStr">
        <is>
          <t>BX2161.5.S6 C823</t>
        </is>
      </c>
      <c r="C1127" t="inlineStr">
        <is>
          <t>0                      BX 2161500S  6                  C  823</t>
        </is>
      </c>
      <c r="D1127" t="inlineStr">
        <is>
          <t>The seven sorrows / Gerard M. Corr. The seven words / by St. Robert Cardinal Bellarmine.</t>
        </is>
      </c>
      <c r="F1127" t="inlineStr">
        <is>
          <t>No</t>
        </is>
      </c>
      <c r="G1127" t="inlineStr">
        <is>
          <t>1</t>
        </is>
      </c>
      <c r="H1127" t="inlineStr">
        <is>
          <t>No</t>
        </is>
      </c>
      <c r="I1127" t="inlineStr">
        <is>
          <t>No</t>
        </is>
      </c>
      <c r="J1127" t="inlineStr">
        <is>
          <t>0</t>
        </is>
      </c>
      <c r="K1127" t="inlineStr">
        <is>
          <t>Corr, Gerard M.</t>
        </is>
      </c>
      <c r="L1127" t="inlineStr">
        <is>
          <t>New York : Spiritual Book Associates, [194-?].</t>
        </is>
      </c>
      <c r="M1127" t="inlineStr">
        <is>
          <t>1945</t>
        </is>
      </c>
      <c r="O1127" t="inlineStr">
        <is>
          <t>eng</t>
        </is>
      </c>
      <c r="P1127" t="inlineStr">
        <is>
          <t>nyu</t>
        </is>
      </c>
      <c r="R1127" t="inlineStr">
        <is>
          <t xml:space="preserve">BX </t>
        </is>
      </c>
      <c r="S1127" t="n">
        <v>1</v>
      </c>
      <c r="T1127" t="n">
        <v>1</v>
      </c>
      <c r="U1127" t="inlineStr">
        <is>
          <t>2006-10-24</t>
        </is>
      </c>
      <c r="V1127" t="inlineStr">
        <is>
          <t>2006-10-24</t>
        </is>
      </c>
      <c r="W1127" t="inlineStr">
        <is>
          <t>1991-09-18</t>
        </is>
      </c>
      <c r="X1127" t="inlineStr">
        <is>
          <t>1991-09-18</t>
        </is>
      </c>
      <c r="Y1127" t="n">
        <v>32</v>
      </c>
      <c r="Z1127" t="n">
        <v>32</v>
      </c>
      <c r="AA1127" t="n">
        <v>32</v>
      </c>
      <c r="AB1127" t="n">
        <v>2</v>
      </c>
      <c r="AC1127" t="n">
        <v>2</v>
      </c>
      <c r="AD1127" t="n">
        <v>9</v>
      </c>
      <c r="AE1127" t="n">
        <v>9</v>
      </c>
      <c r="AF1127" t="n">
        <v>1</v>
      </c>
      <c r="AG1127" t="n">
        <v>1</v>
      </c>
      <c r="AH1127" t="n">
        <v>2</v>
      </c>
      <c r="AI1127" t="n">
        <v>2</v>
      </c>
      <c r="AJ1127" t="n">
        <v>8</v>
      </c>
      <c r="AK1127" t="n">
        <v>8</v>
      </c>
      <c r="AL1127" t="n">
        <v>0</v>
      </c>
      <c r="AM1127" t="n">
        <v>0</v>
      </c>
      <c r="AN1127" t="n">
        <v>0</v>
      </c>
      <c r="AO1127" t="n">
        <v>0</v>
      </c>
      <c r="AP1127" t="inlineStr">
        <is>
          <t>No</t>
        </is>
      </c>
      <c r="AQ1127" t="inlineStr">
        <is>
          <t>No</t>
        </is>
      </c>
      <c r="AS1127">
        <f>HYPERLINK("https://creighton-primo.hosted.exlibrisgroup.com/primo-explore/search?tab=default_tab&amp;search_scope=EVERYTHING&amp;vid=01CRU&amp;lang=en_US&amp;offset=0&amp;query=any,contains,991000050109702656","Catalog Record")</f>
        <v/>
      </c>
      <c r="AT1127">
        <f>HYPERLINK("http://www.worldcat.org/oclc/8683318","WorldCat Record")</f>
        <v/>
      </c>
      <c r="AU1127" t="inlineStr">
        <is>
          <t>32693973:eng</t>
        </is>
      </c>
      <c r="AV1127" t="inlineStr">
        <is>
          <t>8683318</t>
        </is>
      </c>
      <c r="AW1127" t="inlineStr">
        <is>
          <t>991000050109702656</t>
        </is>
      </c>
      <c r="AX1127" t="inlineStr">
        <is>
          <t>991000050109702656</t>
        </is>
      </c>
      <c r="AY1127" t="inlineStr">
        <is>
          <t>2269468900002656</t>
        </is>
      </c>
      <c r="AZ1127" t="inlineStr">
        <is>
          <t>BOOK</t>
        </is>
      </c>
      <c r="BC1127" t="inlineStr">
        <is>
          <t>32285000765155</t>
        </is>
      </c>
      <c r="BD1127" t="inlineStr">
        <is>
          <t>893320763</t>
        </is>
      </c>
    </row>
    <row r="1128">
      <c r="A1128" t="inlineStr">
        <is>
          <t>No</t>
        </is>
      </c>
      <c r="B1128" t="inlineStr">
        <is>
          <t>BX2161.5.S6 D6 1943</t>
        </is>
      </c>
      <c r="C1128" t="inlineStr">
        <is>
          <t>0                      BX 2161500S  6                  D  6           1943</t>
        </is>
      </c>
      <c r="D1128" t="inlineStr">
        <is>
          <t>Splendor of sorrow : for sinners only / by Eddie Doherty.</t>
        </is>
      </c>
      <c r="F1128" t="inlineStr">
        <is>
          <t>No</t>
        </is>
      </c>
      <c r="G1128" t="inlineStr">
        <is>
          <t>1</t>
        </is>
      </c>
      <c r="H1128" t="inlineStr">
        <is>
          <t>No</t>
        </is>
      </c>
      <c r="I1128" t="inlineStr">
        <is>
          <t>No</t>
        </is>
      </c>
      <c r="J1128" t="inlineStr">
        <is>
          <t>0</t>
        </is>
      </c>
      <c r="K1128" t="inlineStr">
        <is>
          <t>Doherty, Eddie, 1890-1975.</t>
        </is>
      </c>
      <c r="L1128" t="inlineStr">
        <is>
          <t>New York : Sheed &amp; Ward, 1943.</t>
        </is>
      </c>
      <c r="M1128" t="inlineStr">
        <is>
          <t>1943</t>
        </is>
      </c>
      <c r="O1128" t="inlineStr">
        <is>
          <t>eng</t>
        </is>
      </c>
      <c r="P1128" t="inlineStr">
        <is>
          <t>nyu</t>
        </is>
      </c>
      <c r="R1128" t="inlineStr">
        <is>
          <t xml:space="preserve">BX </t>
        </is>
      </c>
      <c r="S1128" t="n">
        <v>2</v>
      </c>
      <c r="T1128" t="n">
        <v>2</v>
      </c>
      <c r="U1128" t="inlineStr">
        <is>
          <t>2002-04-23</t>
        </is>
      </c>
      <c r="V1128" t="inlineStr">
        <is>
          <t>2002-04-23</t>
        </is>
      </c>
      <c r="W1128" t="inlineStr">
        <is>
          <t>1991-09-18</t>
        </is>
      </c>
      <c r="X1128" t="inlineStr">
        <is>
          <t>1991-09-18</t>
        </is>
      </c>
      <c r="Y1128" t="n">
        <v>72</v>
      </c>
      <c r="Z1128" t="n">
        <v>71</v>
      </c>
      <c r="AA1128" t="n">
        <v>82</v>
      </c>
      <c r="AB1128" t="n">
        <v>2</v>
      </c>
      <c r="AC1128" t="n">
        <v>2</v>
      </c>
      <c r="AD1128" t="n">
        <v>16</v>
      </c>
      <c r="AE1128" t="n">
        <v>17</v>
      </c>
      <c r="AF1128" t="n">
        <v>3</v>
      </c>
      <c r="AG1128" t="n">
        <v>4</v>
      </c>
      <c r="AH1128" t="n">
        <v>7</v>
      </c>
      <c r="AI1128" t="n">
        <v>7</v>
      </c>
      <c r="AJ1128" t="n">
        <v>11</v>
      </c>
      <c r="AK1128" t="n">
        <v>11</v>
      </c>
      <c r="AL1128" t="n">
        <v>0</v>
      </c>
      <c r="AM1128" t="n">
        <v>0</v>
      </c>
      <c r="AN1128" t="n">
        <v>0</v>
      </c>
      <c r="AO1128" t="n">
        <v>0</v>
      </c>
      <c r="AP1128" t="inlineStr">
        <is>
          <t>No</t>
        </is>
      </c>
      <c r="AQ1128" t="inlineStr">
        <is>
          <t>No</t>
        </is>
      </c>
      <c r="AS1128">
        <f>HYPERLINK("https://creighton-primo.hosted.exlibrisgroup.com/primo-explore/search?tab=default_tab&amp;search_scope=EVERYTHING&amp;vid=01CRU&amp;lang=en_US&amp;offset=0&amp;query=any,contains,991004199879702656","Catalog Record")</f>
        <v/>
      </c>
      <c r="AT1128">
        <f>HYPERLINK("http://www.worldcat.org/oclc/2648973","WorldCat Record")</f>
        <v/>
      </c>
      <c r="AU1128" t="inlineStr">
        <is>
          <t>2287201665:eng</t>
        </is>
      </c>
      <c r="AV1128" t="inlineStr">
        <is>
          <t>2648973</t>
        </is>
      </c>
      <c r="AW1128" t="inlineStr">
        <is>
          <t>991004199879702656</t>
        </is>
      </c>
      <c r="AX1128" t="inlineStr">
        <is>
          <t>991004199879702656</t>
        </is>
      </c>
      <c r="AY1128" t="inlineStr">
        <is>
          <t>2271062790002656</t>
        </is>
      </c>
      <c r="AZ1128" t="inlineStr">
        <is>
          <t>BOOK</t>
        </is>
      </c>
      <c r="BC1128" t="inlineStr">
        <is>
          <t>32285000765163</t>
        </is>
      </c>
      <c r="BD1128" t="inlineStr">
        <is>
          <t>893442336</t>
        </is>
      </c>
    </row>
    <row r="1129">
      <c r="A1129" t="inlineStr">
        <is>
          <t>No</t>
        </is>
      </c>
      <c r="B1129" t="inlineStr">
        <is>
          <t>BX2163 .A44 2005</t>
        </is>
      </c>
      <c r="C1129" t="inlineStr">
        <is>
          <t>0                      BX 2163000A  44          2005</t>
        </is>
      </c>
      <c r="D1129" t="inlineStr">
        <is>
          <t>Rosary for the church in need : twenty mysteries : joyful, luminous, sorrowful, glorius / text, Joaquín Alliende-Luco.</t>
        </is>
      </c>
      <c r="F1129" t="inlineStr">
        <is>
          <t>No</t>
        </is>
      </c>
      <c r="G1129" t="inlineStr">
        <is>
          <t>1</t>
        </is>
      </c>
      <c r="H1129" t="inlineStr">
        <is>
          <t>No</t>
        </is>
      </c>
      <c r="I1129" t="inlineStr">
        <is>
          <t>No</t>
        </is>
      </c>
      <c r="J1129" t="inlineStr">
        <is>
          <t>0</t>
        </is>
      </c>
      <c r="K1129" t="inlineStr">
        <is>
          <t>Alliende Luco, Joaquín.</t>
        </is>
      </c>
      <c r="L1129" t="inlineStr">
        <is>
          <t>Washington, DC : United States Conference of Catholic Bishops, 2005.</t>
        </is>
      </c>
      <c r="M1129" t="inlineStr">
        <is>
          <t>2005</t>
        </is>
      </c>
      <c r="O1129" t="inlineStr">
        <is>
          <t>eng</t>
        </is>
      </c>
      <c r="P1129" t="inlineStr">
        <is>
          <t>dcu</t>
        </is>
      </c>
      <c r="R1129" t="inlineStr">
        <is>
          <t xml:space="preserve">BX </t>
        </is>
      </c>
      <c r="S1129" t="n">
        <v>3</v>
      </c>
      <c r="T1129" t="n">
        <v>3</v>
      </c>
      <c r="U1129" t="inlineStr">
        <is>
          <t>2007-12-05</t>
        </is>
      </c>
      <c r="V1129" t="inlineStr">
        <is>
          <t>2007-12-05</t>
        </is>
      </c>
      <c r="W1129" t="inlineStr">
        <is>
          <t>2005-03-17</t>
        </is>
      </c>
      <c r="X1129" t="inlineStr">
        <is>
          <t>2005-03-17</t>
        </is>
      </c>
      <c r="Y1129" t="n">
        <v>54</v>
      </c>
      <c r="Z1129" t="n">
        <v>52</v>
      </c>
      <c r="AA1129" t="n">
        <v>52</v>
      </c>
      <c r="AB1129" t="n">
        <v>1</v>
      </c>
      <c r="AC1129" t="n">
        <v>1</v>
      </c>
      <c r="AD1129" t="n">
        <v>6</v>
      </c>
      <c r="AE1129" t="n">
        <v>6</v>
      </c>
      <c r="AF1129" t="n">
        <v>0</v>
      </c>
      <c r="AG1129" t="n">
        <v>0</v>
      </c>
      <c r="AH1129" t="n">
        <v>2</v>
      </c>
      <c r="AI1129" t="n">
        <v>2</v>
      </c>
      <c r="AJ1129" t="n">
        <v>5</v>
      </c>
      <c r="AK1129" t="n">
        <v>5</v>
      </c>
      <c r="AL1129" t="n">
        <v>0</v>
      </c>
      <c r="AM1129" t="n">
        <v>0</v>
      </c>
      <c r="AN1129" t="n">
        <v>0</v>
      </c>
      <c r="AO1129" t="n">
        <v>0</v>
      </c>
      <c r="AP1129" t="inlineStr">
        <is>
          <t>No</t>
        </is>
      </c>
      <c r="AQ1129" t="inlineStr">
        <is>
          <t>No</t>
        </is>
      </c>
      <c r="AS1129">
        <f>HYPERLINK("https://creighton-primo.hosted.exlibrisgroup.com/primo-explore/search?tab=default_tab&amp;search_scope=EVERYTHING&amp;vid=01CRU&amp;lang=en_US&amp;offset=0&amp;query=any,contains,991004503639702656","Catalog Record")</f>
        <v/>
      </c>
      <c r="AT1129">
        <f>HYPERLINK("http://www.worldcat.org/oclc/57968528","WorldCat Record")</f>
        <v/>
      </c>
      <c r="AU1129" t="inlineStr">
        <is>
          <t>18834209:eng</t>
        </is>
      </c>
      <c r="AV1129" t="inlineStr">
        <is>
          <t>57968528</t>
        </is>
      </c>
      <c r="AW1129" t="inlineStr">
        <is>
          <t>991004503639702656</t>
        </is>
      </c>
      <c r="AX1129" t="inlineStr">
        <is>
          <t>991004503639702656</t>
        </is>
      </c>
      <c r="AY1129" t="inlineStr">
        <is>
          <t>2268614630002656</t>
        </is>
      </c>
      <c r="AZ1129" t="inlineStr">
        <is>
          <t>BOOK</t>
        </is>
      </c>
      <c r="BB1129" t="inlineStr">
        <is>
          <t>9781574556391</t>
        </is>
      </c>
      <c r="BC1129" t="inlineStr">
        <is>
          <t>32285005043137</t>
        </is>
      </c>
      <c r="BD1129" t="inlineStr">
        <is>
          <t>893417702</t>
        </is>
      </c>
    </row>
    <row r="1130">
      <c r="A1130" t="inlineStr">
        <is>
          <t>No</t>
        </is>
      </c>
      <c r="B1130" t="inlineStr">
        <is>
          <t>BX2163 .B5 1939</t>
        </is>
      </c>
      <c r="C1130" t="inlineStr">
        <is>
          <t>0                      BX 2163000B  5           1939</t>
        </is>
      </c>
      <c r="D1130" t="inlineStr">
        <is>
          <t>Mary's garden of roses / by the Rev. Hugh F. Blunt.</t>
        </is>
      </c>
      <c r="F1130" t="inlineStr">
        <is>
          <t>No</t>
        </is>
      </c>
      <c r="G1130" t="inlineStr">
        <is>
          <t>1</t>
        </is>
      </c>
      <c r="H1130" t="inlineStr">
        <is>
          <t>No</t>
        </is>
      </c>
      <c r="I1130" t="inlineStr">
        <is>
          <t>No</t>
        </is>
      </c>
      <c r="J1130" t="inlineStr">
        <is>
          <t>0</t>
        </is>
      </c>
      <c r="K1130" t="inlineStr">
        <is>
          <t>Blunt, Hugh Francis, 1877-1957.</t>
        </is>
      </c>
      <c r="L1130" t="inlineStr">
        <is>
          <t>New York : P. J. Kennedy &amp; sons, [c1939]</t>
        </is>
      </c>
      <c r="M1130" t="inlineStr">
        <is>
          <t>1939</t>
        </is>
      </c>
      <c r="O1130" t="inlineStr">
        <is>
          <t>eng</t>
        </is>
      </c>
      <c r="P1130" t="inlineStr">
        <is>
          <t>nyu</t>
        </is>
      </c>
      <c r="R1130" t="inlineStr">
        <is>
          <t xml:space="preserve">BX </t>
        </is>
      </c>
      <c r="S1130" t="n">
        <v>2</v>
      </c>
      <c r="T1130" t="n">
        <v>2</v>
      </c>
      <c r="U1130" t="inlineStr">
        <is>
          <t>1998-03-15</t>
        </is>
      </c>
      <c r="V1130" t="inlineStr">
        <is>
          <t>1998-03-15</t>
        </is>
      </c>
      <c r="W1130" t="inlineStr">
        <is>
          <t>1991-09-18</t>
        </is>
      </c>
      <c r="X1130" t="inlineStr">
        <is>
          <t>1991-09-18</t>
        </is>
      </c>
      <c r="Y1130" t="n">
        <v>55</v>
      </c>
      <c r="Z1130" t="n">
        <v>55</v>
      </c>
      <c r="AA1130" t="n">
        <v>56</v>
      </c>
      <c r="AB1130" t="n">
        <v>3</v>
      </c>
      <c r="AC1130" t="n">
        <v>3</v>
      </c>
      <c r="AD1130" t="n">
        <v>12</v>
      </c>
      <c r="AE1130" t="n">
        <v>12</v>
      </c>
      <c r="AF1130" t="n">
        <v>2</v>
      </c>
      <c r="AG1130" t="n">
        <v>2</v>
      </c>
      <c r="AH1130" t="n">
        <v>5</v>
      </c>
      <c r="AI1130" t="n">
        <v>5</v>
      </c>
      <c r="AJ1130" t="n">
        <v>9</v>
      </c>
      <c r="AK1130" t="n">
        <v>9</v>
      </c>
      <c r="AL1130" t="n">
        <v>0</v>
      </c>
      <c r="AM1130" t="n">
        <v>0</v>
      </c>
      <c r="AN1130" t="n">
        <v>0</v>
      </c>
      <c r="AO1130" t="n">
        <v>0</v>
      </c>
      <c r="AP1130" t="inlineStr">
        <is>
          <t>No</t>
        </is>
      </c>
      <c r="AQ1130" t="inlineStr">
        <is>
          <t>No</t>
        </is>
      </c>
      <c r="AS1130">
        <f>HYPERLINK("https://creighton-primo.hosted.exlibrisgroup.com/primo-explore/search?tab=default_tab&amp;search_scope=EVERYTHING&amp;vid=01CRU&amp;lang=en_US&amp;offset=0&amp;query=any,contains,991005001469702656","Catalog Record")</f>
        <v/>
      </c>
      <c r="AT1130">
        <f>HYPERLINK("http://www.worldcat.org/oclc/6550867","WorldCat Record")</f>
        <v/>
      </c>
      <c r="AU1130" t="inlineStr">
        <is>
          <t>4130941538:eng</t>
        </is>
      </c>
      <c r="AV1130" t="inlineStr">
        <is>
          <t>6550867</t>
        </is>
      </c>
      <c r="AW1130" t="inlineStr">
        <is>
          <t>991005001469702656</t>
        </is>
      </c>
      <c r="AX1130" t="inlineStr">
        <is>
          <t>991005001469702656</t>
        </is>
      </c>
      <c r="AY1130" t="inlineStr">
        <is>
          <t>2269739190002656</t>
        </is>
      </c>
      <c r="AZ1130" t="inlineStr">
        <is>
          <t>BOOK</t>
        </is>
      </c>
      <c r="BC1130" t="inlineStr">
        <is>
          <t>32285000765213</t>
        </is>
      </c>
      <c r="BD1130" t="inlineStr">
        <is>
          <t>893533019</t>
        </is>
      </c>
    </row>
    <row r="1131">
      <c r="A1131" t="inlineStr">
        <is>
          <t>No</t>
        </is>
      </c>
      <c r="B1131" t="inlineStr">
        <is>
          <t>BX2163 .C36 1944</t>
        </is>
      </c>
      <c r="C1131" t="inlineStr">
        <is>
          <t>0                      BX 2163000C  36          1944</t>
        </is>
      </c>
      <c r="D1131" t="inlineStr">
        <is>
          <t>The rosary of Mary : translations of the encyclical and apostolic letters of Pope Leo XIII / collected by William Raymond Lawler.</t>
        </is>
      </c>
      <c r="F1131" t="inlineStr">
        <is>
          <t>No</t>
        </is>
      </c>
      <c r="G1131" t="inlineStr">
        <is>
          <t>1</t>
        </is>
      </c>
      <c r="H1131" t="inlineStr">
        <is>
          <t>No</t>
        </is>
      </c>
      <c r="I1131" t="inlineStr">
        <is>
          <t>No</t>
        </is>
      </c>
      <c r="J1131" t="inlineStr">
        <is>
          <t>0</t>
        </is>
      </c>
      <c r="K1131" t="inlineStr">
        <is>
          <t>Catholic Church. Pope (1878-1903 : Leo XIII)</t>
        </is>
      </c>
      <c r="L1131" t="inlineStr">
        <is>
          <t>Paterson, N. J. : St. Anthony guild press, 1944.</t>
        </is>
      </c>
      <c r="M1131" t="inlineStr">
        <is>
          <t>1944</t>
        </is>
      </c>
      <c r="O1131" t="inlineStr">
        <is>
          <t>eng</t>
        </is>
      </c>
      <c r="P1131" t="inlineStr">
        <is>
          <t>nju</t>
        </is>
      </c>
      <c r="R1131" t="inlineStr">
        <is>
          <t xml:space="preserve">BX </t>
        </is>
      </c>
      <c r="S1131" t="n">
        <v>5</v>
      </c>
      <c r="T1131" t="n">
        <v>5</v>
      </c>
      <c r="U1131" t="inlineStr">
        <is>
          <t>1997-08-03</t>
        </is>
      </c>
      <c r="V1131" t="inlineStr">
        <is>
          <t>1997-08-03</t>
        </is>
      </c>
      <c r="W1131" t="inlineStr">
        <is>
          <t>1991-09-18</t>
        </is>
      </c>
      <c r="X1131" t="inlineStr">
        <is>
          <t>1991-09-18</t>
        </is>
      </c>
      <c r="Y1131" t="n">
        <v>128</v>
      </c>
      <c r="Z1131" t="n">
        <v>115</v>
      </c>
      <c r="AA1131" t="n">
        <v>127</v>
      </c>
      <c r="AB1131" t="n">
        <v>2</v>
      </c>
      <c r="AC1131" t="n">
        <v>2</v>
      </c>
      <c r="AD1131" t="n">
        <v>19</v>
      </c>
      <c r="AE1131" t="n">
        <v>20</v>
      </c>
      <c r="AF1131" t="n">
        <v>6</v>
      </c>
      <c r="AG1131" t="n">
        <v>7</v>
      </c>
      <c r="AH1131" t="n">
        <v>5</v>
      </c>
      <c r="AI1131" t="n">
        <v>5</v>
      </c>
      <c r="AJ1131" t="n">
        <v>14</v>
      </c>
      <c r="AK1131" t="n">
        <v>15</v>
      </c>
      <c r="AL1131" t="n">
        <v>0</v>
      </c>
      <c r="AM1131" t="n">
        <v>0</v>
      </c>
      <c r="AN1131" t="n">
        <v>0</v>
      </c>
      <c r="AO1131" t="n">
        <v>0</v>
      </c>
      <c r="AP1131" t="inlineStr">
        <is>
          <t>No</t>
        </is>
      </c>
      <c r="AQ1131" t="inlineStr">
        <is>
          <t>No</t>
        </is>
      </c>
      <c r="AS1131">
        <f>HYPERLINK("https://creighton-primo.hosted.exlibrisgroup.com/primo-explore/search?tab=default_tab&amp;search_scope=EVERYTHING&amp;vid=01CRU&amp;lang=en_US&amp;offset=0&amp;query=any,contains,991004624749702656","Catalog Record")</f>
        <v/>
      </c>
      <c r="AT1131">
        <f>HYPERLINK("http://www.worldcat.org/oclc/4329662","WorldCat Record")</f>
        <v/>
      </c>
      <c r="AU1131" t="inlineStr">
        <is>
          <t>18842508:eng</t>
        </is>
      </c>
      <c r="AV1131" t="inlineStr">
        <is>
          <t>4329662</t>
        </is>
      </c>
      <c r="AW1131" t="inlineStr">
        <is>
          <t>991004624749702656</t>
        </is>
      </c>
      <c r="AX1131" t="inlineStr">
        <is>
          <t>991004624749702656</t>
        </is>
      </c>
      <c r="AY1131" t="inlineStr">
        <is>
          <t>2262137710002656</t>
        </is>
      </c>
      <c r="AZ1131" t="inlineStr">
        <is>
          <t>BOOK</t>
        </is>
      </c>
      <c r="BC1131" t="inlineStr">
        <is>
          <t>32285000765221</t>
        </is>
      </c>
      <c r="BD1131" t="inlineStr">
        <is>
          <t>893722518</t>
        </is>
      </c>
    </row>
    <row r="1132">
      <c r="A1132" t="inlineStr">
        <is>
          <t>No</t>
        </is>
      </c>
      <c r="B1132" t="inlineStr">
        <is>
          <t>BX2163 .C367 1998</t>
        </is>
      </c>
      <c r="C1132" t="inlineStr">
        <is>
          <t>0                      BX 2163000C  367         1998</t>
        </is>
      </c>
      <c r="D1132" t="inlineStr">
        <is>
          <t>A scriptural rosary for Justice and Peace / United States Catholic Conference.</t>
        </is>
      </c>
      <c r="F1132" t="inlineStr">
        <is>
          <t>No</t>
        </is>
      </c>
      <c r="G1132" t="inlineStr">
        <is>
          <t>1</t>
        </is>
      </c>
      <c r="H1132" t="inlineStr">
        <is>
          <t>No</t>
        </is>
      </c>
      <c r="I1132" t="inlineStr">
        <is>
          <t>Yes</t>
        </is>
      </c>
      <c r="J1132" t="inlineStr">
        <is>
          <t>0</t>
        </is>
      </c>
      <c r="K1132" t="inlineStr">
        <is>
          <t>Campaign for Human Development.</t>
        </is>
      </c>
      <c r="L1132" t="inlineStr">
        <is>
          <t>Washington, D.C.: United States Catholic Conference, 1998.</t>
        </is>
      </c>
      <c r="M1132" t="inlineStr">
        <is>
          <t>1998</t>
        </is>
      </c>
      <c r="O1132" t="inlineStr">
        <is>
          <t>eng</t>
        </is>
      </c>
      <c r="P1132" t="inlineStr">
        <is>
          <t>xxu</t>
        </is>
      </c>
      <c r="Q1132" t="inlineStr">
        <is>
          <t>Publication (United States Catholic Conference) ; no. 5-233</t>
        </is>
      </c>
      <c r="R1132" t="inlineStr">
        <is>
          <t xml:space="preserve">BX </t>
        </is>
      </c>
      <c r="S1132" t="n">
        <v>6</v>
      </c>
      <c r="T1132" t="n">
        <v>6</v>
      </c>
      <c r="U1132" t="inlineStr">
        <is>
          <t>1999-11-28</t>
        </is>
      </c>
      <c r="V1132" t="inlineStr">
        <is>
          <t>1999-11-28</t>
        </is>
      </c>
      <c r="W1132" t="inlineStr">
        <is>
          <t>1998-06-22</t>
        </is>
      </c>
      <c r="X1132" t="inlineStr">
        <is>
          <t>1998-06-22</t>
        </is>
      </c>
      <c r="Y1132" t="n">
        <v>32</v>
      </c>
      <c r="Z1132" t="n">
        <v>31</v>
      </c>
      <c r="AA1132" t="n">
        <v>72</v>
      </c>
      <c r="AB1132" t="n">
        <v>1</v>
      </c>
      <c r="AC1132" t="n">
        <v>1</v>
      </c>
      <c r="AD1132" t="n">
        <v>3</v>
      </c>
      <c r="AE1132" t="n">
        <v>9</v>
      </c>
      <c r="AF1132" t="n">
        <v>0</v>
      </c>
      <c r="AG1132" t="n">
        <v>2</v>
      </c>
      <c r="AH1132" t="n">
        <v>1</v>
      </c>
      <c r="AI1132" t="n">
        <v>2</v>
      </c>
      <c r="AJ1132" t="n">
        <v>3</v>
      </c>
      <c r="AK1132" t="n">
        <v>7</v>
      </c>
      <c r="AL1132" t="n">
        <v>0</v>
      </c>
      <c r="AM1132" t="n">
        <v>0</v>
      </c>
      <c r="AN1132" t="n">
        <v>0</v>
      </c>
      <c r="AO1132" t="n">
        <v>0</v>
      </c>
      <c r="AP1132" t="inlineStr">
        <is>
          <t>No</t>
        </is>
      </c>
      <c r="AQ1132" t="inlineStr">
        <is>
          <t>No</t>
        </is>
      </c>
      <c r="AS1132">
        <f>HYPERLINK("https://creighton-primo.hosted.exlibrisgroup.com/primo-explore/search?tab=default_tab&amp;search_scope=EVERYTHING&amp;vid=01CRU&amp;lang=en_US&amp;offset=0&amp;query=any,contains,991002949279702656","Catalog Record")</f>
        <v/>
      </c>
      <c r="AT1132">
        <f>HYPERLINK("http://www.worldcat.org/oclc/39297650","WorldCat Record")</f>
        <v/>
      </c>
      <c r="AU1132" t="inlineStr">
        <is>
          <t>56332665:eng</t>
        </is>
      </c>
      <c r="AV1132" t="inlineStr">
        <is>
          <t>39297650</t>
        </is>
      </c>
      <c r="AW1132" t="inlineStr">
        <is>
          <t>991002949279702656</t>
        </is>
      </c>
      <c r="AX1132" t="inlineStr">
        <is>
          <t>991002949279702656</t>
        </is>
      </c>
      <c r="AY1132" t="inlineStr">
        <is>
          <t>2262716880002656</t>
        </is>
      </c>
      <c r="AZ1132" t="inlineStr">
        <is>
          <t>BOOK</t>
        </is>
      </c>
      <c r="BB1132" t="inlineStr">
        <is>
          <t>9781574552331</t>
        </is>
      </c>
      <c r="BC1132" t="inlineStr">
        <is>
          <t>32285003422812</t>
        </is>
      </c>
      <c r="BD1132" t="inlineStr">
        <is>
          <t>893227486</t>
        </is>
      </c>
    </row>
    <row r="1133">
      <c r="A1133" t="inlineStr">
        <is>
          <t>No</t>
        </is>
      </c>
      <c r="B1133" t="inlineStr">
        <is>
          <t>BX2163 .C37 2002</t>
        </is>
      </c>
      <c r="C1133" t="inlineStr">
        <is>
          <t>0                      BX 2163000C  37          2002</t>
        </is>
      </c>
      <c r="D1133" t="inlineStr">
        <is>
          <t>A rosary for peace : includes the joyful, sorrowful &amp; glorious mysteries / [developed ... by the Committee on the Liturgy of the United States Conference of Catholic Bishops].</t>
        </is>
      </c>
      <c r="F1133" t="inlineStr">
        <is>
          <t>No</t>
        </is>
      </c>
      <c r="G1133" t="inlineStr">
        <is>
          <t>1</t>
        </is>
      </c>
      <c r="H1133" t="inlineStr">
        <is>
          <t>No</t>
        </is>
      </c>
      <c r="I1133" t="inlineStr">
        <is>
          <t>Yes</t>
        </is>
      </c>
      <c r="J1133" t="inlineStr">
        <is>
          <t>0</t>
        </is>
      </c>
      <c r="K1133" t="inlineStr">
        <is>
          <t>Catholic Church. United States Conference of Catholic Bishops. Bishops' Committee on the Liturgy.</t>
        </is>
      </c>
      <c r="L1133" t="inlineStr">
        <is>
          <t>Washington, D.C. : The Conference, c2002.</t>
        </is>
      </c>
      <c r="M1133" t="inlineStr">
        <is>
          <t>2002</t>
        </is>
      </c>
      <c r="O1133" t="inlineStr">
        <is>
          <t>eng</t>
        </is>
      </c>
      <c r="P1133" t="inlineStr">
        <is>
          <t>dcu</t>
        </is>
      </c>
      <c r="Q1133" t="inlineStr">
        <is>
          <t>Publication / USCCB Publishing ; no. 5-419</t>
        </is>
      </c>
      <c r="R1133" t="inlineStr">
        <is>
          <t xml:space="preserve">BX </t>
        </is>
      </c>
      <c r="S1133" t="n">
        <v>1</v>
      </c>
      <c r="T1133" t="n">
        <v>1</v>
      </c>
      <c r="U1133" t="inlineStr">
        <is>
          <t>2002-06-28</t>
        </is>
      </c>
      <c r="V1133" t="inlineStr">
        <is>
          <t>2002-06-28</t>
        </is>
      </c>
      <c r="W1133" t="inlineStr">
        <is>
          <t>2002-06-25</t>
        </is>
      </c>
      <c r="X1133" t="inlineStr">
        <is>
          <t>2002-06-25</t>
        </is>
      </c>
      <c r="Y1133" t="n">
        <v>29</v>
      </c>
      <c r="Z1133" t="n">
        <v>29</v>
      </c>
      <c r="AA1133" t="n">
        <v>58</v>
      </c>
      <c r="AB1133" t="n">
        <v>1</v>
      </c>
      <c r="AC1133" t="n">
        <v>1</v>
      </c>
      <c r="AD1133" t="n">
        <v>6</v>
      </c>
      <c r="AE1133" t="n">
        <v>8</v>
      </c>
      <c r="AF1133" t="n">
        <v>0</v>
      </c>
      <c r="AG1133" t="n">
        <v>1</v>
      </c>
      <c r="AH1133" t="n">
        <v>2</v>
      </c>
      <c r="AI1133" t="n">
        <v>2</v>
      </c>
      <c r="AJ1133" t="n">
        <v>5</v>
      </c>
      <c r="AK1133" t="n">
        <v>6</v>
      </c>
      <c r="AL1133" t="n">
        <v>0</v>
      </c>
      <c r="AM1133" t="n">
        <v>0</v>
      </c>
      <c r="AN1133" t="n">
        <v>0</v>
      </c>
      <c r="AO1133" t="n">
        <v>0</v>
      </c>
      <c r="AP1133" t="inlineStr">
        <is>
          <t>No</t>
        </is>
      </c>
      <c r="AQ1133" t="inlineStr">
        <is>
          <t>No</t>
        </is>
      </c>
      <c r="AS1133">
        <f>HYPERLINK("https://creighton-primo.hosted.exlibrisgroup.com/primo-explore/search?tab=default_tab&amp;search_scope=EVERYTHING&amp;vid=01CRU&amp;lang=en_US&amp;offset=0&amp;query=any,contains,991003832309702656","Catalog Record")</f>
        <v/>
      </c>
      <c r="AT1133">
        <f>HYPERLINK("http://www.worldcat.org/oclc/49857399","WorldCat Record")</f>
        <v/>
      </c>
      <c r="AU1133" t="inlineStr">
        <is>
          <t>2234556765:eng</t>
        </is>
      </c>
      <c r="AV1133" t="inlineStr">
        <is>
          <t>49857399</t>
        </is>
      </c>
      <c r="AW1133" t="inlineStr">
        <is>
          <t>991003832309702656</t>
        </is>
      </c>
      <c r="AX1133" t="inlineStr">
        <is>
          <t>991003832309702656</t>
        </is>
      </c>
      <c r="AY1133" t="inlineStr">
        <is>
          <t>2263578320002656</t>
        </is>
      </c>
      <c r="AZ1133" t="inlineStr">
        <is>
          <t>BOOK</t>
        </is>
      </c>
      <c r="BB1133" t="inlineStr">
        <is>
          <t>9781574554199</t>
        </is>
      </c>
      <c r="BC1133" t="inlineStr">
        <is>
          <t>32285004495668</t>
        </is>
      </c>
      <c r="BD1133" t="inlineStr">
        <is>
          <t>893592953</t>
        </is>
      </c>
    </row>
    <row r="1134">
      <c r="A1134" t="inlineStr">
        <is>
          <t>No</t>
        </is>
      </c>
      <c r="B1134" t="inlineStr">
        <is>
          <t>BX2163 .C37 2003</t>
        </is>
      </c>
      <c r="C1134" t="inlineStr">
        <is>
          <t>0                      BX 2163000C  37          2003</t>
        </is>
      </c>
      <c r="D1134" t="inlineStr">
        <is>
          <t>A rosary for peace : includes the joyful, luminous, sorrowful &amp; glorious mysteries.</t>
        </is>
      </c>
      <c r="F1134" t="inlineStr">
        <is>
          <t>No</t>
        </is>
      </c>
      <c r="G1134" t="inlineStr">
        <is>
          <t>1</t>
        </is>
      </c>
      <c r="H1134" t="inlineStr">
        <is>
          <t>No</t>
        </is>
      </c>
      <c r="I1134" t="inlineStr">
        <is>
          <t>Yes</t>
        </is>
      </c>
      <c r="J1134" t="inlineStr">
        <is>
          <t>0</t>
        </is>
      </c>
      <c r="K1134" t="inlineStr">
        <is>
          <t>Catholic Church. United States Conference of Catholic Bishops. Bishops' Committee on the Liturgy.</t>
        </is>
      </c>
      <c r="L1134" t="inlineStr">
        <is>
          <t>Washington, D.C. : United States Conference of Catholic Bishops, c2003.</t>
        </is>
      </c>
      <c r="M1134" t="inlineStr">
        <is>
          <t>2003</t>
        </is>
      </c>
      <c r="N1134" t="inlineStr">
        <is>
          <t>Rev. ed.</t>
        </is>
      </c>
      <c r="O1134" t="inlineStr">
        <is>
          <t>eng</t>
        </is>
      </c>
      <c r="P1134" t="inlineStr">
        <is>
          <t>dcu</t>
        </is>
      </c>
      <c r="Q1134" t="inlineStr">
        <is>
          <t>USCCB Publication ; no. 5-571</t>
        </is>
      </c>
      <c r="R1134" t="inlineStr">
        <is>
          <t xml:space="preserve">BX </t>
        </is>
      </c>
      <c r="S1134" t="n">
        <v>1</v>
      </c>
      <c r="T1134" t="n">
        <v>1</v>
      </c>
      <c r="U1134" t="inlineStr">
        <is>
          <t>2003-11-13</t>
        </is>
      </c>
      <c r="V1134" t="inlineStr">
        <is>
          <t>2003-11-13</t>
        </is>
      </c>
      <c r="W1134" t="inlineStr">
        <is>
          <t>2003-11-13</t>
        </is>
      </c>
      <c r="X1134" t="inlineStr">
        <is>
          <t>2003-11-13</t>
        </is>
      </c>
      <c r="Y1134" t="n">
        <v>53</v>
      </c>
      <c r="Z1134" t="n">
        <v>51</v>
      </c>
      <c r="AA1134" t="n">
        <v>58</v>
      </c>
      <c r="AB1134" t="n">
        <v>1</v>
      </c>
      <c r="AC1134" t="n">
        <v>1</v>
      </c>
      <c r="AD1134" t="n">
        <v>8</v>
      </c>
      <c r="AE1134" t="n">
        <v>8</v>
      </c>
      <c r="AF1134" t="n">
        <v>1</v>
      </c>
      <c r="AG1134" t="n">
        <v>1</v>
      </c>
      <c r="AH1134" t="n">
        <v>2</v>
      </c>
      <c r="AI1134" t="n">
        <v>2</v>
      </c>
      <c r="AJ1134" t="n">
        <v>6</v>
      </c>
      <c r="AK1134" t="n">
        <v>6</v>
      </c>
      <c r="AL1134" t="n">
        <v>0</v>
      </c>
      <c r="AM1134" t="n">
        <v>0</v>
      </c>
      <c r="AN1134" t="n">
        <v>0</v>
      </c>
      <c r="AO1134" t="n">
        <v>0</v>
      </c>
      <c r="AP1134" t="inlineStr">
        <is>
          <t>No</t>
        </is>
      </c>
      <c r="AQ1134" t="inlineStr">
        <is>
          <t>No</t>
        </is>
      </c>
      <c r="AS1134">
        <f>HYPERLINK("https://creighton-primo.hosted.exlibrisgroup.com/primo-explore/search?tab=default_tab&amp;search_scope=EVERYTHING&amp;vid=01CRU&amp;lang=en_US&amp;offset=0&amp;query=any,contains,991004182089702656","Catalog Record")</f>
        <v/>
      </c>
      <c r="AT1134">
        <f>HYPERLINK("http://www.worldcat.org/oclc/53387371","WorldCat Record")</f>
        <v/>
      </c>
      <c r="AU1134" t="inlineStr">
        <is>
          <t>2234556765:eng</t>
        </is>
      </c>
      <c r="AV1134" t="inlineStr">
        <is>
          <t>53387371</t>
        </is>
      </c>
      <c r="AW1134" t="inlineStr">
        <is>
          <t>991004182089702656</t>
        </is>
      </c>
      <c r="AX1134" t="inlineStr">
        <is>
          <t>991004182089702656</t>
        </is>
      </c>
      <c r="AY1134" t="inlineStr">
        <is>
          <t>2272772200002656</t>
        </is>
      </c>
      <c r="AZ1134" t="inlineStr">
        <is>
          <t>BOOK</t>
        </is>
      </c>
      <c r="BB1134" t="inlineStr">
        <is>
          <t>9781574555714</t>
        </is>
      </c>
      <c r="BC1134" t="inlineStr">
        <is>
          <t>32285004797394</t>
        </is>
      </c>
      <c r="BD1134" t="inlineStr">
        <is>
          <t>893442315</t>
        </is>
      </c>
    </row>
    <row r="1135">
      <c r="A1135" t="inlineStr">
        <is>
          <t>No</t>
        </is>
      </c>
      <c r="B1135" t="inlineStr">
        <is>
          <t>BX2163 .C374 2002</t>
        </is>
      </c>
      <c r="C1135" t="inlineStr">
        <is>
          <t>0                      BX 2163000C  374         2002</t>
        </is>
      </c>
      <c r="D1135" t="inlineStr">
        <is>
          <t>Apostolic letter Rosarium Virginis Mariae of the Supreme Pontiff John Paul II to the bishops, clergy and faithful on the most holy rosary.</t>
        </is>
      </c>
      <c r="F1135" t="inlineStr">
        <is>
          <t>No</t>
        </is>
      </c>
      <c r="G1135" t="inlineStr">
        <is>
          <t>1</t>
        </is>
      </c>
      <c r="H1135" t="inlineStr">
        <is>
          <t>No</t>
        </is>
      </c>
      <c r="I1135" t="inlineStr">
        <is>
          <t>No</t>
        </is>
      </c>
      <c r="J1135" t="inlineStr">
        <is>
          <t>0</t>
        </is>
      </c>
      <c r="K1135" t="inlineStr">
        <is>
          <t>Catholic Church. Pope (1978-2005 : John Paul II).</t>
        </is>
      </c>
      <c r="L1135" t="inlineStr">
        <is>
          <t>Washington, D.C. : United States Conference of Catholic Bishops, 2002.</t>
        </is>
      </c>
      <c r="M1135" t="inlineStr">
        <is>
          <t>2002</t>
        </is>
      </c>
      <c r="O1135" t="inlineStr">
        <is>
          <t>eng</t>
        </is>
      </c>
      <c r="P1135" t="inlineStr">
        <is>
          <t>dcu</t>
        </is>
      </c>
      <c r="Q1135" t="inlineStr">
        <is>
          <t>Publication / USCCB Publishing ; no. 5-538</t>
        </is>
      </c>
      <c r="R1135" t="inlineStr">
        <is>
          <t xml:space="preserve">BX </t>
        </is>
      </c>
      <c r="S1135" t="n">
        <v>7</v>
      </c>
      <c r="T1135" t="n">
        <v>7</v>
      </c>
      <c r="U1135" t="inlineStr">
        <is>
          <t>2009-06-05</t>
        </is>
      </c>
      <c r="V1135" t="inlineStr">
        <is>
          <t>2009-06-05</t>
        </is>
      </c>
      <c r="W1135" t="inlineStr">
        <is>
          <t>2003-01-13</t>
        </is>
      </c>
      <c r="X1135" t="inlineStr">
        <is>
          <t>2003-01-13</t>
        </is>
      </c>
      <c r="Y1135" t="n">
        <v>78</v>
      </c>
      <c r="Z1135" t="n">
        <v>74</v>
      </c>
      <c r="AA1135" t="n">
        <v>81</v>
      </c>
      <c r="AB1135" t="n">
        <v>2</v>
      </c>
      <c r="AC1135" t="n">
        <v>2</v>
      </c>
      <c r="AD1135" t="n">
        <v>12</v>
      </c>
      <c r="AE1135" t="n">
        <v>13</v>
      </c>
      <c r="AF1135" t="n">
        <v>1</v>
      </c>
      <c r="AG1135" t="n">
        <v>1</v>
      </c>
      <c r="AH1135" t="n">
        <v>4</v>
      </c>
      <c r="AI1135" t="n">
        <v>5</v>
      </c>
      <c r="AJ1135" t="n">
        <v>9</v>
      </c>
      <c r="AK1135" t="n">
        <v>9</v>
      </c>
      <c r="AL1135" t="n">
        <v>1</v>
      </c>
      <c r="AM1135" t="n">
        <v>1</v>
      </c>
      <c r="AN1135" t="n">
        <v>0</v>
      </c>
      <c r="AO1135" t="n">
        <v>0</v>
      </c>
      <c r="AP1135" t="inlineStr">
        <is>
          <t>No</t>
        </is>
      </c>
      <c r="AQ1135" t="inlineStr">
        <is>
          <t>No</t>
        </is>
      </c>
      <c r="AS1135">
        <f>HYPERLINK("https://creighton-primo.hosted.exlibrisgroup.com/primo-explore/search?tab=default_tab&amp;search_scope=EVERYTHING&amp;vid=01CRU&amp;lang=en_US&amp;offset=0&amp;query=any,contains,991003971199702656","Catalog Record")</f>
        <v/>
      </c>
      <c r="AT1135">
        <f>HYPERLINK("http://www.worldcat.org/oclc/51303490","WorldCat Record")</f>
        <v/>
      </c>
      <c r="AU1135" t="inlineStr">
        <is>
          <t>2976700705:eng</t>
        </is>
      </c>
      <c r="AV1135" t="inlineStr">
        <is>
          <t>51303490</t>
        </is>
      </c>
      <c r="AW1135" t="inlineStr">
        <is>
          <t>991003971199702656</t>
        </is>
      </c>
      <c r="AX1135" t="inlineStr">
        <is>
          <t>991003971199702656</t>
        </is>
      </c>
      <c r="AY1135" t="inlineStr">
        <is>
          <t>2255401570002656</t>
        </is>
      </c>
      <c r="AZ1135" t="inlineStr">
        <is>
          <t>BOOK</t>
        </is>
      </c>
      <c r="BB1135" t="inlineStr">
        <is>
          <t>9781574555387</t>
        </is>
      </c>
      <c r="BC1135" t="inlineStr">
        <is>
          <t>32285004693494</t>
        </is>
      </c>
      <c r="BD1135" t="inlineStr">
        <is>
          <t>893881896</t>
        </is>
      </c>
    </row>
    <row r="1136">
      <c r="A1136" t="inlineStr">
        <is>
          <t>No</t>
        </is>
      </c>
      <c r="B1136" t="inlineStr">
        <is>
          <t>BX2163 .G8 1955</t>
        </is>
      </c>
      <c r="C1136" t="inlineStr">
        <is>
          <t>0                      BX 2163000G  8           1955</t>
        </is>
      </c>
      <c r="D1136" t="inlineStr">
        <is>
          <t>The rosary of Our Lady / by Romano Guardini ; translated by H. von Schuecking.</t>
        </is>
      </c>
      <c r="F1136" t="inlineStr">
        <is>
          <t>No</t>
        </is>
      </c>
      <c r="G1136" t="inlineStr">
        <is>
          <t>1</t>
        </is>
      </c>
      <c r="H1136" t="inlineStr">
        <is>
          <t>No</t>
        </is>
      </c>
      <c r="I1136" t="inlineStr">
        <is>
          <t>No</t>
        </is>
      </c>
      <c r="J1136" t="inlineStr">
        <is>
          <t>0</t>
        </is>
      </c>
      <c r="K1136" t="inlineStr">
        <is>
          <t>Guardini, Romano, 1885-1968.</t>
        </is>
      </c>
      <c r="L1136" t="inlineStr">
        <is>
          <t>New York : Kenedy, 1955.</t>
        </is>
      </c>
      <c r="M1136" t="inlineStr">
        <is>
          <t>1955</t>
        </is>
      </c>
      <c r="O1136" t="inlineStr">
        <is>
          <t>eng</t>
        </is>
      </c>
      <c r="P1136" t="inlineStr">
        <is>
          <t>nyu</t>
        </is>
      </c>
      <c r="R1136" t="inlineStr">
        <is>
          <t xml:space="preserve">BX </t>
        </is>
      </c>
      <c r="S1136" t="n">
        <v>8</v>
      </c>
      <c r="T1136" t="n">
        <v>8</v>
      </c>
      <c r="U1136" t="inlineStr">
        <is>
          <t>2004-12-13</t>
        </is>
      </c>
      <c r="V1136" t="inlineStr">
        <is>
          <t>2004-12-13</t>
        </is>
      </c>
      <c r="W1136" t="inlineStr">
        <is>
          <t>1991-09-18</t>
        </is>
      </c>
      <c r="X1136" t="inlineStr">
        <is>
          <t>1991-09-18</t>
        </is>
      </c>
      <c r="Y1136" t="n">
        <v>180</v>
      </c>
      <c r="Z1136" t="n">
        <v>164</v>
      </c>
      <c r="AA1136" t="n">
        <v>228</v>
      </c>
      <c r="AB1136" t="n">
        <v>3</v>
      </c>
      <c r="AC1136" t="n">
        <v>3</v>
      </c>
      <c r="AD1136" t="n">
        <v>24</v>
      </c>
      <c r="AE1136" t="n">
        <v>26</v>
      </c>
      <c r="AF1136" t="n">
        <v>7</v>
      </c>
      <c r="AG1136" t="n">
        <v>8</v>
      </c>
      <c r="AH1136" t="n">
        <v>6</v>
      </c>
      <c r="AI1136" t="n">
        <v>6</v>
      </c>
      <c r="AJ1136" t="n">
        <v>19</v>
      </c>
      <c r="AK1136" t="n">
        <v>21</v>
      </c>
      <c r="AL1136" t="n">
        <v>0</v>
      </c>
      <c r="AM1136" t="n">
        <v>0</v>
      </c>
      <c r="AN1136" t="n">
        <v>0</v>
      </c>
      <c r="AO1136" t="n">
        <v>0</v>
      </c>
      <c r="AP1136" t="inlineStr">
        <is>
          <t>No</t>
        </is>
      </c>
      <c r="AQ1136" t="inlineStr">
        <is>
          <t>Yes</t>
        </is>
      </c>
      <c r="AR1136">
        <f>HYPERLINK("http://catalog.hathitrust.org/Record/102580675","HathiTrust Record")</f>
        <v/>
      </c>
      <c r="AS1136">
        <f>HYPERLINK("https://creighton-primo.hosted.exlibrisgroup.com/primo-explore/search?tab=default_tab&amp;search_scope=EVERYTHING&amp;vid=01CRU&amp;lang=en_US&amp;offset=0&amp;query=any,contains,991003641859702656","Catalog Record")</f>
        <v/>
      </c>
      <c r="AT1136">
        <f>HYPERLINK("http://www.worldcat.org/oclc/1239955","WorldCat Record")</f>
        <v/>
      </c>
      <c r="AU1136" t="inlineStr">
        <is>
          <t>4202589495:eng</t>
        </is>
      </c>
      <c r="AV1136" t="inlineStr">
        <is>
          <t>1239955</t>
        </is>
      </c>
      <c r="AW1136" t="inlineStr">
        <is>
          <t>991003641859702656</t>
        </is>
      </c>
      <c r="AX1136" t="inlineStr">
        <is>
          <t>991003641859702656</t>
        </is>
      </c>
      <c r="AY1136" t="inlineStr">
        <is>
          <t>2266335640002656</t>
        </is>
      </c>
      <c r="AZ1136" t="inlineStr">
        <is>
          <t>BOOK</t>
        </is>
      </c>
      <c r="BC1136" t="inlineStr">
        <is>
          <t>32285000765247</t>
        </is>
      </c>
      <c r="BD1136" t="inlineStr">
        <is>
          <t>893793852</t>
        </is>
      </c>
    </row>
    <row r="1137">
      <c r="A1137" t="inlineStr">
        <is>
          <t>No</t>
        </is>
      </c>
      <c r="B1137" t="inlineStr">
        <is>
          <t>BX2163 .M34 2001</t>
        </is>
      </c>
      <c r="C1137" t="inlineStr">
        <is>
          <t>0                      BX 2163000M  34          2001</t>
        </is>
      </c>
      <c r="D1137" t="inlineStr">
        <is>
          <t>Ordinary mysteries : rediscovering the rosary / Teresa Rhodes McGee.</t>
        </is>
      </c>
      <c r="F1137" t="inlineStr">
        <is>
          <t>No</t>
        </is>
      </c>
      <c r="G1137" t="inlineStr">
        <is>
          <t>1</t>
        </is>
      </c>
      <c r="H1137" t="inlineStr">
        <is>
          <t>No</t>
        </is>
      </c>
      <c r="I1137" t="inlineStr">
        <is>
          <t>No</t>
        </is>
      </c>
      <c r="J1137" t="inlineStr">
        <is>
          <t>0</t>
        </is>
      </c>
      <c r="K1137" t="inlineStr">
        <is>
          <t>McGee, Teresa Rhodes.</t>
        </is>
      </c>
      <c r="L1137" t="inlineStr">
        <is>
          <t>Maryknoll, N.Y. : Orbis Books c2001.</t>
        </is>
      </c>
      <c r="M1137" t="inlineStr">
        <is>
          <t>2001</t>
        </is>
      </c>
      <c r="O1137" t="inlineStr">
        <is>
          <t>eng</t>
        </is>
      </c>
      <c r="P1137" t="inlineStr">
        <is>
          <t>nyu</t>
        </is>
      </c>
      <c r="R1137" t="inlineStr">
        <is>
          <t xml:space="preserve">BX </t>
        </is>
      </c>
      <c r="S1137" t="n">
        <v>6</v>
      </c>
      <c r="T1137" t="n">
        <v>6</v>
      </c>
      <c r="U1137" t="inlineStr">
        <is>
          <t>2009-06-05</t>
        </is>
      </c>
      <c r="V1137" t="inlineStr">
        <is>
          <t>2009-06-05</t>
        </is>
      </c>
      <c r="W1137" t="inlineStr">
        <is>
          <t>2001-05-15</t>
        </is>
      </c>
      <c r="X1137" t="inlineStr">
        <is>
          <t>2001-05-15</t>
        </is>
      </c>
      <c r="Y1137" t="n">
        <v>57</v>
      </c>
      <c r="Z1137" t="n">
        <v>50</v>
      </c>
      <c r="AA1137" t="n">
        <v>50</v>
      </c>
      <c r="AB1137" t="n">
        <v>1</v>
      </c>
      <c r="AC1137" t="n">
        <v>1</v>
      </c>
      <c r="AD1137" t="n">
        <v>5</v>
      </c>
      <c r="AE1137" t="n">
        <v>5</v>
      </c>
      <c r="AF1137" t="n">
        <v>0</v>
      </c>
      <c r="AG1137" t="n">
        <v>0</v>
      </c>
      <c r="AH1137" t="n">
        <v>1</v>
      </c>
      <c r="AI1137" t="n">
        <v>1</v>
      </c>
      <c r="AJ1137" t="n">
        <v>4</v>
      </c>
      <c r="AK1137" t="n">
        <v>4</v>
      </c>
      <c r="AL1137" t="n">
        <v>0</v>
      </c>
      <c r="AM1137" t="n">
        <v>0</v>
      </c>
      <c r="AN1137" t="n">
        <v>0</v>
      </c>
      <c r="AO1137" t="n">
        <v>0</v>
      </c>
      <c r="AP1137" t="inlineStr">
        <is>
          <t>No</t>
        </is>
      </c>
      <c r="AQ1137" t="inlineStr">
        <is>
          <t>No</t>
        </is>
      </c>
      <c r="AS1137">
        <f>HYPERLINK("https://creighton-primo.hosted.exlibrisgroup.com/primo-explore/search?tab=default_tab&amp;search_scope=EVERYTHING&amp;vid=01CRU&amp;lang=en_US&amp;offset=0&amp;query=any,contains,991003532729702656","Catalog Record")</f>
        <v/>
      </c>
      <c r="AT1137">
        <f>HYPERLINK("http://www.worldcat.org/oclc/45446101","WorldCat Record")</f>
        <v/>
      </c>
      <c r="AU1137" t="inlineStr">
        <is>
          <t>34878806:eng</t>
        </is>
      </c>
      <c r="AV1137" t="inlineStr">
        <is>
          <t>45446101</t>
        </is>
      </c>
      <c r="AW1137" t="inlineStr">
        <is>
          <t>991003532729702656</t>
        </is>
      </c>
      <c r="AX1137" t="inlineStr">
        <is>
          <t>991003532729702656</t>
        </is>
      </c>
      <c r="AY1137" t="inlineStr">
        <is>
          <t>2262283980002656</t>
        </is>
      </c>
      <c r="AZ1137" t="inlineStr">
        <is>
          <t>BOOK</t>
        </is>
      </c>
      <c r="BB1137" t="inlineStr">
        <is>
          <t>9781570753633</t>
        </is>
      </c>
      <c r="BC1137" t="inlineStr">
        <is>
          <t>32285004317565</t>
        </is>
      </c>
      <c r="BD1137" t="inlineStr">
        <is>
          <t>893781105</t>
        </is>
      </c>
    </row>
    <row r="1138">
      <c r="A1138" t="inlineStr">
        <is>
          <t>No</t>
        </is>
      </c>
      <c r="B1138" t="inlineStr">
        <is>
          <t>BX2163 .M66 1885</t>
        </is>
      </c>
      <c r="C1138" t="inlineStr">
        <is>
          <t>0                      BX 2163000M  66          1885</t>
        </is>
      </c>
      <c r="D1138" t="inlineStr">
        <is>
          <t>Meditations on the mysteries of the Holy Rosary from the French of Father Monsabré, O.P. / by Very Rev. Stephen Byrne, O.P.</t>
        </is>
      </c>
      <c r="F1138" t="inlineStr">
        <is>
          <t>No</t>
        </is>
      </c>
      <c r="G1138" t="inlineStr">
        <is>
          <t>1</t>
        </is>
      </c>
      <c r="H1138" t="inlineStr">
        <is>
          <t>No</t>
        </is>
      </c>
      <c r="I1138" t="inlineStr">
        <is>
          <t>No</t>
        </is>
      </c>
      <c r="J1138" t="inlineStr">
        <is>
          <t>0</t>
        </is>
      </c>
      <c r="K1138" t="inlineStr">
        <is>
          <t>Monsabré, J.-M. L. (Jacques-Marie Louis), 1827-1907.</t>
        </is>
      </c>
      <c r="L1138" t="inlineStr">
        <is>
          <t>New York : The Catholic Publication Society Co., [c1885].</t>
        </is>
      </c>
      <c r="M1138" t="inlineStr">
        <is>
          <t>1886</t>
        </is>
      </c>
      <c r="O1138" t="inlineStr">
        <is>
          <t>eng</t>
        </is>
      </c>
      <c r="P1138" t="inlineStr">
        <is>
          <t xml:space="preserve">xx </t>
        </is>
      </c>
      <c r="R1138" t="inlineStr">
        <is>
          <t xml:space="preserve">BX </t>
        </is>
      </c>
      <c r="S1138" t="n">
        <v>3</v>
      </c>
      <c r="T1138" t="n">
        <v>3</v>
      </c>
      <c r="U1138" t="inlineStr">
        <is>
          <t>2001-11-08</t>
        </is>
      </c>
      <c r="V1138" t="inlineStr">
        <is>
          <t>2001-11-08</t>
        </is>
      </c>
      <c r="W1138" t="inlineStr">
        <is>
          <t>1991-09-18</t>
        </is>
      </c>
      <c r="X1138" t="inlineStr">
        <is>
          <t>1991-09-18</t>
        </is>
      </c>
      <c r="Y1138" t="n">
        <v>17</v>
      </c>
      <c r="Z1138" t="n">
        <v>17</v>
      </c>
      <c r="AA1138" t="n">
        <v>26</v>
      </c>
      <c r="AB1138" t="n">
        <v>1</v>
      </c>
      <c r="AC1138" t="n">
        <v>1</v>
      </c>
      <c r="AD1138" t="n">
        <v>7</v>
      </c>
      <c r="AE1138" t="n">
        <v>10</v>
      </c>
      <c r="AF1138" t="n">
        <v>2</v>
      </c>
      <c r="AG1138" t="n">
        <v>2</v>
      </c>
      <c r="AH1138" t="n">
        <v>3</v>
      </c>
      <c r="AI1138" t="n">
        <v>5</v>
      </c>
      <c r="AJ1138" t="n">
        <v>3</v>
      </c>
      <c r="AK1138" t="n">
        <v>5</v>
      </c>
      <c r="AL1138" t="n">
        <v>0</v>
      </c>
      <c r="AM1138" t="n">
        <v>0</v>
      </c>
      <c r="AN1138" t="n">
        <v>0</v>
      </c>
      <c r="AO1138" t="n">
        <v>0</v>
      </c>
      <c r="AP1138" t="inlineStr">
        <is>
          <t>No</t>
        </is>
      </c>
      <c r="AQ1138" t="inlineStr">
        <is>
          <t>No</t>
        </is>
      </c>
      <c r="AS1138">
        <f>HYPERLINK("https://creighton-primo.hosted.exlibrisgroup.com/primo-explore/search?tab=default_tab&amp;search_scope=EVERYTHING&amp;vid=01CRU&amp;lang=en_US&amp;offset=0&amp;query=any,contains,991000998289702656","Catalog Record")</f>
        <v/>
      </c>
      <c r="AT1138">
        <f>HYPERLINK("http://www.worldcat.org/oclc/15174719","WorldCat Record")</f>
        <v/>
      </c>
      <c r="AU1138" t="inlineStr">
        <is>
          <t>430693999:eng</t>
        </is>
      </c>
      <c r="AV1138" t="inlineStr">
        <is>
          <t>15174719</t>
        </is>
      </c>
      <c r="AW1138" t="inlineStr">
        <is>
          <t>991000998289702656</t>
        </is>
      </c>
      <c r="AX1138" t="inlineStr">
        <is>
          <t>991000998289702656</t>
        </is>
      </c>
      <c r="AY1138" t="inlineStr">
        <is>
          <t>2260178120002656</t>
        </is>
      </c>
      <c r="AZ1138" t="inlineStr">
        <is>
          <t>BOOK</t>
        </is>
      </c>
      <c r="BC1138" t="inlineStr">
        <is>
          <t>32285000765254</t>
        </is>
      </c>
      <c r="BD1138" t="inlineStr">
        <is>
          <t>893346159</t>
        </is>
      </c>
    </row>
    <row r="1139">
      <c r="A1139" t="inlineStr">
        <is>
          <t>No</t>
        </is>
      </c>
      <c r="B1139" t="inlineStr">
        <is>
          <t>BX2163 .S37 2004</t>
        </is>
      </c>
      <c r="C1139" t="inlineStr">
        <is>
          <t>0                      BX 2163000S  37          2004</t>
        </is>
      </c>
      <c r="D1139" t="inlineStr">
        <is>
          <t>A scriptural rosary for justice and peace / [developed by the Catholic Campaign for Human Development of the United States Conference of Catholic Bishops].</t>
        </is>
      </c>
      <c r="F1139" t="inlineStr">
        <is>
          <t>No</t>
        </is>
      </c>
      <c r="G1139" t="inlineStr">
        <is>
          <t>1</t>
        </is>
      </c>
      <c r="H1139" t="inlineStr">
        <is>
          <t>No</t>
        </is>
      </c>
      <c r="I1139" t="inlineStr">
        <is>
          <t>Yes</t>
        </is>
      </c>
      <c r="J1139" t="inlineStr">
        <is>
          <t>0</t>
        </is>
      </c>
      <c r="L1139" t="inlineStr">
        <is>
          <t>Washington, D.C. : United States Conference of Catholic Bishops, 2004.</t>
        </is>
      </c>
      <c r="M1139" t="inlineStr">
        <is>
          <t>2004</t>
        </is>
      </c>
      <c r="O1139" t="inlineStr">
        <is>
          <t>eng</t>
        </is>
      </c>
      <c r="P1139" t="inlineStr">
        <is>
          <t>dcu</t>
        </is>
      </c>
      <c r="Q1139" t="inlineStr">
        <is>
          <t>Publication (United States Conference of Catholic Bishops) ; no. 5-635</t>
        </is>
      </c>
      <c r="R1139" t="inlineStr">
        <is>
          <t xml:space="preserve">BX </t>
        </is>
      </c>
      <c r="S1139" t="n">
        <v>1</v>
      </c>
      <c r="T1139" t="n">
        <v>1</v>
      </c>
      <c r="U1139" t="inlineStr">
        <is>
          <t>2004-09-13</t>
        </is>
      </c>
      <c r="V1139" t="inlineStr">
        <is>
          <t>2004-09-13</t>
        </is>
      </c>
      <c r="W1139" t="inlineStr">
        <is>
          <t>2004-09-13</t>
        </is>
      </c>
      <c r="X1139" t="inlineStr">
        <is>
          <t>2004-09-13</t>
        </is>
      </c>
      <c r="Y1139" t="n">
        <v>30</v>
      </c>
      <c r="Z1139" t="n">
        <v>29</v>
      </c>
      <c r="AA1139" t="n">
        <v>72</v>
      </c>
      <c r="AB1139" t="n">
        <v>1</v>
      </c>
      <c r="AC1139" t="n">
        <v>1</v>
      </c>
      <c r="AD1139" t="n">
        <v>7</v>
      </c>
      <c r="AE1139" t="n">
        <v>9</v>
      </c>
      <c r="AF1139" t="n">
        <v>1</v>
      </c>
      <c r="AG1139" t="n">
        <v>2</v>
      </c>
      <c r="AH1139" t="n">
        <v>2</v>
      </c>
      <c r="AI1139" t="n">
        <v>2</v>
      </c>
      <c r="AJ1139" t="n">
        <v>5</v>
      </c>
      <c r="AK1139" t="n">
        <v>7</v>
      </c>
      <c r="AL1139" t="n">
        <v>0</v>
      </c>
      <c r="AM1139" t="n">
        <v>0</v>
      </c>
      <c r="AN1139" t="n">
        <v>0</v>
      </c>
      <c r="AO1139" t="n">
        <v>0</v>
      </c>
      <c r="AP1139" t="inlineStr">
        <is>
          <t>No</t>
        </is>
      </c>
      <c r="AQ1139" t="inlineStr">
        <is>
          <t>No</t>
        </is>
      </c>
      <c r="AS1139">
        <f>HYPERLINK("https://creighton-primo.hosted.exlibrisgroup.com/primo-explore/search?tab=default_tab&amp;search_scope=EVERYTHING&amp;vid=01CRU&amp;lang=en_US&amp;offset=0&amp;query=any,contains,991004369799702656","Catalog Record")</f>
        <v/>
      </c>
      <c r="AT1139">
        <f>HYPERLINK("http://www.worldcat.org/oclc/56472332","WorldCat Record")</f>
        <v/>
      </c>
      <c r="AU1139" t="inlineStr">
        <is>
          <t>56332665:eng</t>
        </is>
      </c>
      <c r="AV1139" t="inlineStr">
        <is>
          <t>56472332</t>
        </is>
      </c>
      <c r="AW1139" t="inlineStr">
        <is>
          <t>991004369799702656</t>
        </is>
      </c>
      <c r="AX1139" t="inlineStr">
        <is>
          <t>991004369799702656</t>
        </is>
      </c>
      <c r="AY1139" t="inlineStr">
        <is>
          <t>2260779160002656</t>
        </is>
      </c>
      <c r="AZ1139" t="inlineStr">
        <is>
          <t>BOOK</t>
        </is>
      </c>
      <c r="BB1139" t="inlineStr">
        <is>
          <t>9781574556353</t>
        </is>
      </c>
      <c r="BC1139" t="inlineStr">
        <is>
          <t>32285004986708</t>
        </is>
      </c>
      <c r="BD1139" t="inlineStr">
        <is>
          <t>893325297</t>
        </is>
      </c>
    </row>
    <row r="1140">
      <c r="A1140" t="inlineStr">
        <is>
          <t>No</t>
        </is>
      </c>
      <c r="B1140" t="inlineStr">
        <is>
          <t>BX2163 .W5312 1953</t>
        </is>
      </c>
      <c r="C1140" t="inlineStr">
        <is>
          <t>0                      BX 2163000W  5312        1953</t>
        </is>
      </c>
      <c r="D1140" t="inlineStr">
        <is>
          <t>The Rosary in daily life / translated by Edwin Kaiser.</t>
        </is>
      </c>
      <c r="F1140" t="inlineStr">
        <is>
          <t>No</t>
        </is>
      </c>
      <c r="G1140" t="inlineStr">
        <is>
          <t>1</t>
        </is>
      </c>
      <c r="H1140" t="inlineStr">
        <is>
          <t>No</t>
        </is>
      </c>
      <c r="I1140" t="inlineStr">
        <is>
          <t>No</t>
        </is>
      </c>
      <c r="J1140" t="inlineStr">
        <is>
          <t>0</t>
        </is>
      </c>
      <c r="K1140" t="inlineStr">
        <is>
          <t>Willam, Franz Michel, 1894-</t>
        </is>
      </c>
      <c r="L1140" t="inlineStr">
        <is>
          <t>New York : Benziger Bros., [1953]</t>
        </is>
      </c>
      <c r="M1140" t="inlineStr">
        <is>
          <t>1953</t>
        </is>
      </c>
      <c r="O1140" t="inlineStr">
        <is>
          <t>eng</t>
        </is>
      </c>
      <c r="P1140" t="inlineStr">
        <is>
          <t>nyu</t>
        </is>
      </c>
      <c r="R1140" t="inlineStr">
        <is>
          <t xml:space="preserve">BX </t>
        </is>
      </c>
      <c r="S1140" t="n">
        <v>7</v>
      </c>
      <c r="T1140" t="n">
        <v>7</v>
      </c>
      <c r="U1140" t="inlineStr">
        <is>
          <t>2008-11-07</t>
        </is>
      </c>
      <c r="V1140" t="inlineStr">
        <is>
          <t>2008-11-07</t>
        </is>
      </c>
      <c r="W1140" t="inlineStr">
        <is>
          <t>1990-05-07</t>
        </is>
      </c>
      <c r="X1140" t="inlineStr">
        <is>
          <t>1990-05-07</t>
        </is>
      </c>
      <c r="Y1140" t="n">
        <v>54</v>
      </c>
      <c r="Z1140" t="n">
        <v>47</v>
      </c>
      <c r="AA1140" t="n">
        <v>47</v>
      </c>
      <c r="AB1140" t="n">
        <v>3</v>
      </c>
      <c r="AC1140" t="n">
        <v>3</v>
      </c>
      <c r="AD1140" t="n">
        <v>9</v>
      </c>
      <c r="AE1140" t="n">
        <v>9</v>
      </c>
      <c r="AF1140" t="n">
        <v>2</v>
      </c>
      <c r="AG1140" t="n">
        <v>2</v>
      </c>
      <c r="AH1140" t="n">
        <v>2</v>
      </c>
      <c r="AI1140" t="n">
        <v>2</v>
      </c>
      <c r="AJ1140" t="n">
        <v>8</v>
      </c>
      <c r="AK1140" t="n">
        <v>8</v>
      </c>
      <c r="AL1140" t="n">
        <v>0</v>
      </c>
      <c r="AM1140" t="n">
        <v>0</v>
      </c>
      <c r="AN1140" t="n">
        <v>0</v>
      </c>
      <c r="AO1140" t="n">
        <v>0</v>
      </c>
      <c r="AP1140" t="inlineStr">
        <is>
          <t>No</t>
        </is>
      </c>
      <c r="AQ1140" t="inlineStr">
        <is>
          <t>No</t>
        </is>
      </c>
      <c r="AS1140">
        <f>HYPERLINK("https://creighton-primo.hosted.exlibrisgroup.com/primo-explore/search?tab=default_tab&amp;search_scope=EVERYTHING&amp;vid=01CRU&amp;lang=en_US&amp;offset=0&amp;query=any,contains,991005024319702656","Catalog Record")</f>
        <v/>
      </c>
      <c r="AT1140">
        <f>HYPERLINK("http://www.worldcat.org/oclc/6677811","WorldCat Record")</f>
        <v/>
      </c>
      <c r="AU1140" t="inlineStr">
        <is>
          <t>1151810124:eng</t>
        </is>
      </c>
      <c r="AV1140" t="inlineStr">
        <is>
          <t>6677811</t>
        </is>
      </c>
      <c r="AW1140" t="inlineStr">
        <is>
          <t>991005024319702656</t>
        </is>
      </c>
      <c r="AX1140" t="inlineStr">
        <is>
          <t>991005024319702656</t>
        </is>
      </c>
      <c r="AY1140" t="inlineStr">
        <is>
          <t>2257614960002656</t>
        </is>
      </c>
      <c r="AZ1140" t="inlineStr">
        <is>
          <t>BOOK</t>
        </is>
      </c>
      <c r="BC1140" t="inlineStr">
        <is>
          <t>32285000149475</t>
        </is>
      </c>
      <c r="BD1140" t="inlineStr">
        <is>
          <t>893700935</t>
        </is>
      </c>
    </row>
    <row r="1141">
      <c r="A1141" t="inlineStr">
        <is>
          <t>No</t>
        </is>
      </c>
      <c r="B1141" t="inlineStr">
        <is>
          <t>BX2163.5 .M6 1939</t>
        </is>
      </c>
      <c r="C1141" t="inlineStr">
        <is>
          <t>0                      BX 2163500M  6           1939</t>
        </is>
      </c>
      <c r="D1141" t="inlineStr">
        <is>
          <t>Miraculous medal novena sermons : second series / by Kieran P. Moran.</t>
        </is>
      </c>
      <c r="F1141" t="inlineStr">
        <is>
          <t>No</t>
        </is>
      </c>
      <c r="G1141" t="inlineStr">
        <is>
          <t>1</t>
        </is>
      </c>
      <c r="H1141" t="inlineStr">
        <is>
          <t>No</t>
        </is>
      </c>
      <c r="I1141" t="inlineStr">
        <is>
          <t>No</t>
        </is>
      </c>
      <c r="J1141" t="inlineStr">
        <is>
          <t>0</t>
        </is>
      </c>
      <c r="K1141" t="inlineStr">
        <is>
          <t>Moran, Kieran Philip, 1879-</t>
        </is>
      </c>
      <c r="L1141" t="inlineStr">
        <is>
          <t>Philadelphia : Jefferies &amp; Manz Press, [c1939]</t>
        </is>
      </c>
      <c r="M1141" t="inlineStr">
        <is>
          <t>1939</t>
        </is>
      </c>
      <c r="O1141" t="inlineStr">
        <is>
          <t>eng</t>
        </is>
      </c>
      <c r="P1141" t="inlineStr">
        <is>
          <t>pau</t>
        </is>
      </c>
      <c r="R1141" t="inlineStr">
        <is>
          <t xml:space="preserve">BX </t>
        </is>
      </c>
      <c r="S1141" t="n">
        <v>5</v>
      </c>
      <c r="T1141" t="n">
        <v>5</v>
      </c>
      <c r="U1141" t="inlineStr">
        <is>
          <t>2009-06-05</t>
        </is>
      </c>
      <c r="V1141" t="inlineStr">
        <is>
          <t>2009-06-05</t>
        </is>
      </c>
      <c r="W1141" t="inlineStr">
        <is>
          <t>1991-09-18</t>
        </is>
      </c>
      <c r="X1141" t="inlineStr">
        <is>
          <t>1991-09-18</t>
        </is>
      </c>
      <c r="Y1141" t="n">
        <v>10</v>
      </c>
      <c r="Z1141" t="n">
        <v>10</v>
      </c>
      <c r="AA1141" t="n">
        <v>32</v>
      </c>
      <c r="AB1141" t="n">
        <v>1</v>
      </c>
      <c r="AC1141" t="n">
        <v>2</v>
      </c>
      <c r="AD1141" t="n">
        <v>1</v>
      </c>
      <c r="AE1141" t="n">
        <v>5</v>
      </c>
      <c r="AF1141" t="n">
        <v>0</v>
      </c>
      <c r="AG1141" t="n">
        <v>0</v>
      </c>
      <c r="AH1141" t="n">
        <v>0</v>
      </c>
      <c r="AI1141" t="n">
        <v>2</v>
      </c>
      <c r="AJ1141" t="n">
        <v>1</v>
      </c>
      <c r="AK1141" t="n">
        <v>3</v>
      </c>
      <c r="AL1141" t="n">
        <v>0</v>
      </c>
      <c r="AM1141" t="n">
        <v>0</v>
      </c>
      <c r="AN1141" t="n">
        <v>0</v>
      </c>
      <c r="AO1141" t="n">
        <v>0</v>
      </c>
      <c r="AP1141" t="inlineStr">
        <is>
          <t>No</t>
        </is>
      </c>
      <c r="AQ1141" t="inlineStr">
        <is>
          <t>No</t>
        </is>
      </c>
      <c r="AS1141">
        <f>HYPERLINK("https://creighton-primo.hosted.exlibrisgroup.com/primo-explore/search?tab=default_tab&amp;search_scope=EVERYTHING&amp;vid=01CRU&amp;lang=en_US&amp;offset=0&amp;query=any,contains,991000011359702656","Catalog Record")</f>
        <v/>
      </c>
      <c r="AT1141">
        <f>HYPERLINK("http://www.worldcat.org/oclc/8538189","WorldCat Record")</f>
        <v/>
      </c>
      <c r="AU1141" t="inlineStr">
        <is>
          <t>4051387:eng</t>
        </is>
      </c>
      <c r="AV1141" t="inlineStr">
        <is>
          <t>8538189</t>
        </is>
      </c>
      <c r="AW1141" t="inlineStr">
        <is>
          <t>991000011359702656</t>
        </is>
      </c>
      <c r="AX1141" t="inlineStr">
        <is>
          <t>991000011359702656</t>
        </is>
      </c>
      <c r="AY1141" t="inlineStr">
        <is>
          <t>2269824600002656</t>
        </is>
      </c>
      <c r="AZ1141" t="inlineStr">
        <is>
          <t>BOOK</t>
        </is>
      </c>
      <c r="BC1141" t="inlineStr">
        <is>
          <t>32285000765270</t>
        </is>
      </c>
      <c r="BD1141" t="inlineStr">
        <is>
          <t>893695502</t>
        </is>
      </c>
    </row>
    <row r="1142">
      <c r="A1142" t="inlineStr">
        <is>
          <t>No</t>
        </is>
      </c>
      <c r="B1142" t="inlineStr">
        <is>
          <t>BX2167.A5 L4 1958</t>
        </is>
      </c>
      <c r="C1142" t="inlineStr">
        <is>
          <t>0                      BX 2167000A  5                  L  4           1958</t>
        </is>
      </c>
      <c r="D1142" t="inlineStr">
        <is>
          <t>A land of miracles for three hundred years (1658-1958) / Eugène Lefebvre. With a pref. by Maurice Roy.</t>
        </is>
      </c>
      <c r="F1142" t="inlineStr">
        <is>
          <t>No</t>
        </is>
      </c>
      <c r="G1142" t="inlineStr">
        <is>
          <t>1</t>
        </is>
      </c>
      <c r="H1142" t="inlineStr">
        <is>
          <t>No</t>
        </is>
      </c>
      <c r="I1142" t="inlineStr">
        <is>
          <t>No</t>
        </is>
      </c>
      <c r="J1142" t="inlineStr">
        <is>
          <t>0</t>
        </is>
      </c>
      <c r="K1142" t="inlineStr">
        <is>
          <t>Lefebvre, Eugène, 1877-</t>
        </is>
      </c>
      <c r="L1142" t="inlineStr">
        <is>
          <t>Ste. Anne de Beaupré : St. Anne's Bookshop, 1958.</t>
        </is>
      </c>
      <c r="M1142" t="inlineStr">
        <is>
          <t>1958</t>
        </is>
      </c>
      <c r="O1142" t="inlineStr">
        <is>
          <t>eng</t>
        </is>
      </c>
      <c r="P1142" t="inlineStr">
        <is>
          <t xml:space="preserve">xx </t>
        </is>
      </c>
      <c r="R1142" t="inlineStr">
        <is>
          <t xml:space="preserve">BX </t>
        </is>
      </c>
      <c r="S1142" t="n">
        <v>2</v>
      </c>
      <c r="T1142" t="n">
        <v>2</v>
      </c>
      <c r="U1142" t="inlineStr">
        <is>
          <t>2009-06-05</t>
        </is>
      </c>
      <c r="V1142" t="inlineStr">
        <is>
          <t>2009-06-05</t>
        </is>
      </c>
      <c r="W1142" t="inlineStr">
        <is>
          <t>1991-09-18</t>
        </is>
      </c>
      <c r="X1142" t="inlineStr">
        <is>
          <t>1991-09-18</t>
        </is>
      </c>
      <c r="Y1142" t="n">
        <v>71</v>
      </c>
      <c r="Z1142" t="n">
        <v>57</v>
      </c>
      <c r="AA1142" t="n">
        <v>63</v>
      </c>
      <c r="AB1142" t="n">
        <v>2</v>
      </c>
      <c r="AC1142" t="n">
        <v>2</v>
      </c>
      <c r="AD1142" t="n">
        <v>8</v>
      </c>
      <c r="AE1142" t="n">
        <v>8</v>
      </c>
      <c r="AF1142" t="n">
        <v>1</v>
      </c>
      <c r="AG1142" t="n">
        <v>1</v>
      </c>
      <c r="AH1142" t="n">
        <v>2</v>
      </c>
      <c r="AI1142" t="n">
        <v>2</v>
      </c>
      <c r="AJ1142" t="n">
        <v>6</v>
      </c>
      <c r="AK1142" t="n">
        <v>6</v>
      </c>
      <c r="AL1142" t="n">
        <v>0</v>
      </c>
      <c r="AM1142" t="n">
        <v>0</v>
      </c>
      <c r="AN1142" t="n">
        <v>0</v>
      </c>
      <c r="AO1142" t="n">
        <v>0</v>
      </c>
      <c r="AP1142" t="inlineStr">
        <is>
          <t>No</t>
        </is>
      </c>
      <c r="AQ1142" t="inlineStr">
        <is>
          <t>Yes</t>
        </is>
      </c>
      <c r="AR1142">
        <f>HYPERLINK("http://catalog.hathitrust.org/Record/005921999","HathiTrust Record")</f>
        <v/>
      </c>
      <c r="AS1142">
        <f>HYPERLINK("https://creighton-primo.hosted.exlibrisgroup.com/primo-explore/search?tab=default_tab&amp;search_scope=EVERYTHING&amp;vid=01CRU&amp;lang=en_US&amp;offset=0&amp;query=any,contains,991003853809702656","Catalog Record")</f>
        <v/>
      </c>
      <c r="AT1142">
        <f>HYPERLINK("http://www.worldcat.org/oclc/1650585","WorldCat Record")</f>
        <v/>
      </c>
      <c r="AU1142" t="inlineStr">
        <is>
          <t>774099019:eng</t>
        </is>
      </c>
      <c r="AV1142" t="inlineStr">
        <is>
          <t>1650585</t>
        </is>
      </c>
      <c r="AW1142" t="inlineStr">
        <is>
          <t>991003853809702656</t>
        </is>
      </c>
      <c r="AX1142" t="inlineStr">
        <is>
          <t>991003853809702656</t>
        </is>
      </c>
      <c r="AY1142" t="inlineStr">
        <is>
          <t>2271857320002656</t>
        </is>
      </c>
      <c r="AZ1142" t="inlineStr">
        <is>
          <t>BOOK</t>
        </is>
      </c>
      <c r="BC1142" t="inlineStr">
        <is>
          <t>32285000765288</t>
        </is>
      </c>
      <c r="BD1142" t="inlineStr">
        <is>
          <t>893252885</t>
        </is>
      </c>
    </row>
    <row r="1143">
      <c r="A1143" t="inlineStr">
        <is>
          <t>No</t>
        </is>
      </c>
      <c r="B1143" t="inlineStr">
        <is>
          <t>BX2169 .B375 1977</t>
        </is>
      </c>
      <c r="C1143" t="inlineStr">
        <is>
          <t>0                      BX 2169000B  375         1977</t>
        </is>
      </c>
      <c r="D1143" t="inlineStr">
        <is>
          <t>The Eucharist and the Trinity / M. V. Bernadot, O.P.</t>
        </is>
      </c>
      <c r="F1143" t="inlineStr">
        <is>
          <t>No</t>
        </is>
      </c>
      <c r="G1143" t="inlineStr">
        <is>
          <t>1</t>
        </is>
      </c>
      <c r="H1143" t="inlineStr">
        <is>
          <t>No</t>
        </is>
      </c>
      <c r="I1143" t="inlineStr">
        <is>
          <t>No</t>
        </is>
      </c>
      <c r="J1143" t="inlineStr">
        <is>
          <t>0</t>
        </is>
      </c>
      <c r="K1143" t="inlineStr">
        <is>
          <t>Bernadot, M. V. (Marie Vincent), 1883-1941.</t>
        </is>
      </c>
      <c r="L1143" t="inlineStr">
        <is>
          <t>Wilmington, De. : Michael Glazier, Inc, 1977.</t>
        </is>
      </c>
      <c r="M1143" t="inlineStr">
        <is>
          <t>1977</t>
        </is>
      </c>
      <c r="O1143" t="inlineStr">
        <is>
          <t>eng</t>
        </is>
      </c>
      <c r="P1143" t="inlineStr">
        <is>
          <t>deu</t>
        </is>
      </c>
      <c r="R1143" t="inlineStr">
        <is>
          <t xml:space="preserve">BX </t>
        </is>
      </c>
      <c r="S1143" t="n">
        <v>3</v>
      </c>
      <c r="T1143" t="n">
        <v>3</v>
      </c>
      <c r="U1143" t="inlineStr">
        <is>
          <t>1997-04-14</t>
        </is>
      </c>
      <c r="V1143" t="inlineStr">
        <is>
          <t>1997-04-14</t>
        </is>
      </c>
      <c r="W1143" t="inlineStr">
        <is>
          <t>1991-09-18</t>
        </is>
      </c>
      <c r="X1143" t="inlineStr">
        <is>
          <t>1991-09-18</t>
        </is>
      </c>
      <c r="Y1143" t="n">
        <v>56</v>
      </c>
      <c r="Z1143" t="n">
        <v>41</v>
      </c>
      <c r="AA1143" t="n">
        <v>42</v>
      </c>
      <c r="AB1143" t="n">
        <v>2</v>
      </c>
      <c r="AC1143" t="n">
        <v>2</v>
      </c>
      <c r="AD1143" t="n">
        <v>5</v>
      </c>
      <c r="AE1143" t="n">
        <v>5</v>
      </c>
      <c r="AF1143" t="n">
        <v>1</v>
      </c>
      <c r="AG1143" t="n">
        <v>1</v>
      </c>
      <c r="AH1143" t="n">
        <v>2</v>
      </c>
      <c r="AI1143" t="n">
        <v>2</v>
      </c>
      <c r="AJ1143" t="n">
        <v>4</v>
      </c>
      <c r="AK1143" t="n">
        <v>4</v>
      </c>
      <c r="AL1143" t="n">
        <v>0</v>
      </c>
      <c r="AM1143" t="n">
        <v>0</v>
      </c>
      <c r="AN1143" t="n">
        <v>0</v>
      </c>
      <c r="AO1143" t="n">
        <v>0</v>
      </c>
      <c r="AP1143" t="inlineStr">
        <is>
          <t>No</t>
        </is>
      </c>
      <c r="AQ1143" t="inlineStr">
        <is>
          <t>No</t>
        </is>
      </c>
      <c r="AS1143">
        <f>HYPERLINK("https://creighton-primo.hosted.exlibrisgroup.com/primo-explore/search?tab=default_tab&amp;search_scope=EVERYTHING&amp;vid=01CRU&amp;lang=en_US&amp;offset=0&amp;query=any,contains,991004521769702656","Catalog Record")</f>
        <v/>
      </c>
      <c r="AT1143">
        <f>HYPERLINK("http://www.worldcat.org/oclc/3823438","WorldCat Record")</f>
        <v/>
      </c>
      <c r="AU1143" t="inlineStr">
        <is>
          <t>351181820:eng</t>
        </is>
      </c>
      <c r="AV1143" t="inlineStr">
        <is>
          <t>3823438</t>
        </is>
      </c>
      <c r="AW1143" t="inlineStr">
        <is>
          <t>991004521769702656</t>
        </is>
      </c>
      <c r="AX1143" t="inlineStr">
        <is>
          <t>991004521769702656</t>
        </is>
      </c>
      <c r="AY1143" t="inlineStr">
        <is>
          <t>2259588640002656</t>
        </is>
      </c>
      <c r="AZ1143" t="inlineStr">
        <is>
          <t>BOOK</t>
        </is>
      </c>
      <c r="BB1143" t="inlineStr">
        <is>
          <t>9780894530722</t>
        </is>
      </c>
      <c r="BC1143" t="inlineStr">
        <is>
          <t>32285000765296</t>
        </is>
      </c>
      <c r="BD1143" t="inlineStr">
        <is>
          <t>893618762</t>
        </is>
      </c>
    </row>
    <row r="1144">
      <c r="A1144" t="inlineStr">
        <is>
          <t>No</t>
        </is>
      </c>
      <c r="B1144" t="inlineStr">
        <is>
          <t>BX2169 .B64 1981</t>
        </is>
      </c>
      <c r="C1144" t="inlineStr">
        <is>
          <t>0                      BX 2169000B  64          1981</t>
        </is>
      </c>
      <c r="D1144" t="inlineStr">
        <is>
          <t>From freedom to formula : the evolution of the eucharistic prayer from oral improvisation to written texts / by Allan Bouley.</t>
        </is>
      </c>
      <c r="F1144" t="inlineStr">
        <is>
          <t>No</t>
        </is>
      </c>
      <c r="G1144" t="inlineStr">
        <is>
          <t>1</t>
        </is>
      </c>
      <c r="H1144" t="inlineStr">
        <is>
          <t>No</t>
        </is>
      </c>
      <c r="I1144" t="inlineStr">
        <is>
          <t>No</t>
        </is>
      </c>
      <c r="J1144" t="inlineStr">
        <is>
          <t>0</t>
        </is>
      </c>
      <c r="K1144" t="inlineStr">
        <is>
          <t>Bouley, Allan, 1936-</t>
        </is>
      </c>
      <c r="L1144" t="inlineStr">
        <is>
          <t>Washington, D.C. : Catholic University of America Press, c1981.</t>
        </is>
      </c>
      <c r="M1144" t="inlineStr">
        <is>
          <t>1981</t>
        </is>
      </c>
      <c r="O1144" t="inlineStr">
        <is>
          <t>eng</t>
        </is>
      </c>
      <c r="P1144" t="inlineStr">
        <is>
          <t>dcu</t>
        </is>
      </c>
      <c r="Q1144" t="inlineStr">
        <is>
          <t>Studies in Christian antiquity ; no. 21</t>
        </is>
      </c>
      <c r="R1144" t="inlineStr">
        <is>
          <t xml:space="preserve">BX </t>
        </is>
      </c>
      <c r="S1144" t="n">
        <v>6</v>
      </c>
      <c r="T1144" t="n">
        <v>6</v>
      </c>
      <c r="U1144" t="inlineStr">
        <is>
          <t>1997-12-23</t>
        </is>
      </c>
      <c r="V1144" t="inlineStr">
        <is>
          <t>1997-12-23</t>
        </is>
      </c>
      <c r="W1144" t="inlineStr">
        <is>
          <t>1991-09-18</t>
        </is>
      </c>
      <c r="X1144" t="inlineStr">
        <is>
          <t>1991-09-18</t>
        </is>
      </c>
      <c r="Y1144" t="n">
        <v>204</v>
      </c>
      <c r="Z1144" t="n">
        <v>155</v>
      </c>
      <c r="AA1144" t="n">
        <v>157</v>
      </c>
      <c r="AB1144" t="n">
        <v>1</v>
      </c>
      <c r="AC1144" t="n">
        <v>1</v>
      </c>
      <c r="AD1144" t="n">
        <v>20</v>
      </c>
      <c r="AE1144" t="n">
        <v>21</v>
      </c>
      <c r="AF1144" t="n">
        <v>6</v>
      </c>
      <c r="AG1144" t="n">
        <v>6</v>
      </c>
      <c r="AH1144" t="n">
        <v>7</v>
      </c>
      <c r="AI1144" t="n">
        <v>7</v>
      </c>
      <c r="AJ1144" t="n">
        <v>14</v>
      </c>
      <c r="AK1144" t="n">
        <v>15</v>
      </c>
      <c r="AL1144" t="n">
        <v>0</v>
      </c>
      <c r="AM1144" t="n">
        <v>0</v>
      </c>
      <c r="AN1144" t="n">
        <v>0</v>
      </c>
      <c r="AO1144" t="n">
        <v>0</v>
      </c>
      <c r="AP1144" t="inlineStr">
        <is>
          <t>No</t>
        </is>
      </c>
      <c r="AQ1144" t="inlineStr">
        <is>
          <t>No</t>
        </is>
      </c>
      <c r="AS1144">
        <f>HYPERLINK("https://creighton-primo.hosted.exlibrisgroup.com/primo-explore/search?tab=default_tab&amp;search_scope=EVERYTHING&amp;vid=01CRU&amp;lang=en_US&amp;offset=0&amp;query=any,contains,991005003639702656","Catalog Record")</f>
        <v/>
      </c>
      <c r="AT1144">
        <f>HYPERLINK("http://www.worldcat.org/oclc/6555326","WorldCat Record")</f>
        <v/>
      </c>
      <c r="AU1144" t="inlineStr">
        <is>
          <t>890344007:eng</t>
        </is>
      </c>
      <c r="AV1144" t="inlineStr">
        <is>
          <t>6555326</t>
        </is>
      </c>
      <c r="AW1144" t="inlineStr">
        <is>
          <t>991005003639702656</t>
        </is>
      </c>
      <c r="AX1144" t="inlineStr">
        <is>
          <t>991005003639702656</t>
        </is>
      </c>
      <c r="AY1144" t="inlineStr">
        <is>
          <t>2255061820002656</t>
        </is>
      </c>
      <c r="AZ1144" t="inlineStr">
        <is>
          <t>BOOK</t>
        </is>
      </c>
      <c r="BB1144" t="inlineStr">
        <is>
          <t>9780813205540</t>
        </is>
      </c>
      <c r="BC1144" t="inlineStr">
        <is>
          <t>32285000765304</t>
        </is>
      </c>
      <c r="BD1144" t="inlineStr">
        <is>
          <t>893600478</t>
        </is>
      </c>
    </row>
    <row r="1145">
      <c r="A1145" t="inlineStr">
        <is>
          <t>No</t>
        </is>
      </c>
      <c r="B1145" t="inlineStr">
        <is>
          <t>BX2169 .E8 1987</t>
        </is>
      </c>
      <c r="C1145" t="inlineStr">
        <is>
          <t>0                      BX 2169000E  8           1987</t>
        </is>
      </c>
      <c r="D1145" t="inlineStr">
        <is>
          <t>Eucharistic worship and devotion outside Mass / Secretariat, Bishops' Committee on the Liturgy, National Council of Catholic Bishops.</t>
        </is>
      </c>
      <c r="F1145" t="inlineStr">
        <is>
          <t>No</t>
        </is>
      </c>
      <c r="G1145" t="inlineStr">
        <is>
          <t>1</t>
        </is>
      </c>
      <c r="H1145" t="inlineStr">
        <is>
          <t>No</t>
        </is>
      </c>
      <c r="I1145" t="inlineStr">
        <is>
          <t>No</t>
        </is>
      </c>
      <c r="J1145" t="inlineStr">
        <is>
          <t>0</t>
        </is>
      </c>
      <c r="L1145" t="inlineStr">
        <is>
          <t>Washington, D.C. : United States Catholic Conference, Office of Publishing and Promotion Services, c1987.</t>
        </is>
      </c>
      <c r="M1145" t="inlineStr">
        <is>
          <t>1987</t>
        </is>
      </c>
      <c r="O1145" t="inlineStr">
        <is>
          <t>eng</t>
        </is>
      </c>
      <c r="P1145" t="inlineStr">
        <is>
          <t>dcu</t>
        </is>
      </c>
      <c r="Q1145" t="inlineStr">
        <is>
          <t>Study text ; 11</t>
        </is>
      </c>
      <c r="R1145" t="inlineStr">
        <is>
          <t xml:space="preserve">BX </t>
        </is>
      </c>
      <c r="S1145" t="n">
        <v>1</v>
      </c>
      <c r="T1145" t="n">
        <v>1</v>
      </c>
      <c r="U1145" t="inlineStr">
        <is>
          <t>2005-05-23</t>
        </is>
      </c>
      <c r="V1145" t="inlineStr">
        <is>
          <t>2005-05-23</t>
        </is>
      </c>
      <c r="W1145" t="inlineStr">
        <is>
          <t>1991-09-18</t>
        </is>
      </c>
      <c r="X1145" t="inlineStr">
        <is>
          <t>1991-09-18</t>
        </is>
      </c>
      <c r="Y1145" t="n">
        <v>106</v>
      </c>
      <c r="Z1145" t="n">
        <v>94</v>
      </c>
      <c r="AA1145" t="n">
        <v>94</v>
      </c>
      <c r="AB1145" t="n">
        <v>1</v>
      </c>
      <c r="AC1145" t="n">
        <v>1</v>
      </c>
      <c r="AD1145" t="n">
        <v>16</v>
      </c>
      <c r="AE1145" t="n">
        <v>16</v>
      </c>
      <c r="AF1145" t="n">
        <v>4</v>
      </c>
      <c r="AG1145" t="n">
        <v>4</v>
      </c>
      <c r="AH1145" t="n">
        <v>4</v>
      </c>
      <c r="AI1145" t="n">
        <v>4</v>
      </c>
      <c r="AJ1145" t="n">
        <v>13</v>
      </c>
      <c r="AK1145" t="n">
        <v>13</v>
      </c>
      <c r="AL1145" t="n">
        <v>0</v>
      </c>
      <c r="AM1145" t="n">
        <v>0</v>
      </c>
      <c r="AN1145" t="n">
        <v>0</v>
      </c>
      <c r="AO1145" t="n">
        <v>0</v>
      </c>
      <c r="AP1145" t="inlineStr">
        <is>
          <t>No</t>
        </is>
      </c>
      <c r="AQ1145" t="inlineStr">
        <is>
          <t>No</t>
        </is>
      </c>
      <c r="AS1145">
        <f>HYPERLINK("https://creighton-primo.hosted.exlibrisgroup.com/primo-explore/search?tab=default_tab&amp;search_scope=EVERYTHING&amp;vid=01CRU&amp;lang=en_US&amp;offset=0&amp;query=any,contains,991001190419702656","Catalog Record")</f>
        <v/>
      </c>
      <c r="AT1145">
        <f>HYPERLINK("http://www.worldcat.org/oclc/18982199","WorldCat Record")</f>
        <v/>
      </c>
      <c r="AU1145" t="inlineStr">
        <is>
          <t>18977743:eng</t>
        </is>
      </c>
      <c r="AV1145" t="inlineStr">
        <is>
          <t>18982199</t>
        </is>
      </c>
      <c r="AW1145" t="inlineStr">
        <is>
          <t>991001190419702656</t>
        </is>
      </c>
      <c r="AX1145" t="inlineStr">
        <is>
          <t>991001190419702656</t>
        </is>
      </c>
      <c r="AY1145" t="inlineStr">
        <is>
          <t>2261031660002656</t>
        </is>
      </c>
      <c r="AZ1145" t="inlineStr">
        <is>
          <t>BOOK</t>
        </is>
      </c>
      <c r="BB1145" t="inlineStr">
        <is>
          <t>9781555861780</t>
        </is>
      </c>
      <c r="BC1145" t="inlineStr">
        <is>
          <t>32285000765312</t>
        </is>
      </c>
      <c r="BD1145" t="inlineStr">
        <is>
          <t>893438954</t>
        </is>
      </c>
    </row>
    <row r="1146">
      <c r="A1146" t="inlineStr">
        <is>
          <t>No</t>
        </is>
      </c>
      <c r="B1146" t="inlineStr">
        <is>
          <t>BX2169 .I79 1985</t>
        </is>
      </c>
      <c r="C1146" t="inlineStr">
        <is>
          <t>0                      BX 2169000I  79          1985</t>
        </is>
      </c>
      <c r="D1146" t="inlineStr">
        <is>
          <t>Lent, a guide to the eucharist and hours / Kevin W. Irwin.</t>
        </is>
      </c>
      <c r="F1146" t="inlineStr">
        <is>
          <t>No</t>
        </is>
      </c>
      <c r="G1146" t="inlineStr">
        <is>
          <t>1</t>
        </is>
      </c>
      <c r="H1146" t="inlineStr">
        <is>
          <t>No</t>
        </is>
      </c>
      <c r="I1146" t="inlineStr">
        <is>
          <t>No</t>
        </is>
      </c>
      <c r="J1146" t="inlineStr">
        <is>
          <t>0</t>
        </is>
      </c>
      <c r="K1146" t="inlineStr">
        <is>
          <t>Irwin, Kevin W.</t>
        </is>
      </c>
      <c r="L1146" t="inlineStr">
        <is>
          <t>New York : Pueblo Publishing Company, 1985.</t>
        </is>
      </c>
      <c r="M1146" t="inlineStr">
        <is>
          <t>1985</t>
        </is>
      </c>
      <c r="O1146" t="inlineStr">
        <is>
          <t>eng</t>
        </is>
      </c>
      <c r="P1146" t="inlineStr">
        <is>
          <t>nyu</t>
        </is>
      </c>
      <c r="Q1146" t="inlineStr">
        <is>
          <t>Liturgical seasons</t>
        </is>
      </c>
      <c r="R1146" t="inlineStr">
        <is>
          <t xml:space="preserve">BX </t>
        </is>
      </c>
      <c r="S1146" t="n">
        <v>7</v>
      </c>
      <c r="T1146" t="n">
        <v>7</v>
      </c>
      <c r="U1146" t="inlineStr">
        <is>
          <t>1997-06-16</t>
        </is>
      </c>
      <c r="V1146" t="inlineStr">
        <is>
          <t>1997-06-16</t>
        </is>
      </c>
      <c r="W1146" t="inlineStr">
        <is>
          <t>1991-09-18</t>
        </is>
      </c>
      <c r="X1146" t="inlineStr">
        <is>
          <t>1991-09-18</t>
        </is>
      </c>
      <c r="Y1146" t="n">
        <v>110</v>
      </c>
      <c r="Z1146" t="n">
        <v>90</v>
      </c>
      <c r="AA1146" t="n">
        <v>104</v>
      </c>
      <c r="AB1146" t="n">
        <v>1</v>
      </c>
      <c r="AC1146" t="n">
        <v>1</v>
      </c>
      <c r="AD1146" t="n">
        <v>13</v>
      </c>
      <c r="AE1146" t="n">
        <v>17</v>
      </c>
      <c r="AF1146" t="n">
        <v>3</v>
      </c>
      <c r="AG1146" t="n">
        <v>5</v>
      </c>
      <c r="AH1146" t="n">
        <v>4</v>
      </c>
      <c r="AI1146" t="n">
        <v>4</v>
      </c>
      <c r="AJ1146" t="n">
        <v>7</v>
      </c>
      <c r="AK1146" t="n">
        <v>11</v>
      </c>
      <c r="AL1146" t="n">
        <v>0</v>
      </c>
      <c r="AM1146" t="n">
        <v>0</v>
      </c>
      <c r="AN1146" t="n">
        <v>0</v>
      </c>
      <c r="AO1146" t="n">
        <v>0</v>
      </c>
      <c r="AP1146" t="inlineStr">
        <is>
          <t>No</t>
        </is>
      </c>
      <c r="AQ1146" t="inlineStr">
        <is>
          <t>No</t>
        </is>
      </c>
      <c r="AS1146">
        <f>HYPERLINK("https://creighton-primo.hosted.exlibrisgroup.com/primo-explore/search?tab=default_tab&amp;search_scope=EVERYTHING&amp;vid=01CRU&amp;lang=en_US&amp;offset=0&amp;query=any,contains,991000747519702656","Catalog Record")</f>
        <v/>
      </c>
      <c r="AT1146">
        <f>HYPERLINK("http://www.worldcat.org/oclc/12879755","WorldCat Record")</f>
        <v/>
      </c>
      <c r="AU1146" t="inlineStr">
        <is>
          <t>289080208:eng</t>
        </is>
      </c>
      <c r="AV1146" t="inlineStr">
        <is>
          <t>12879755</t>
        </is>
      </c>
      <c r="AW1146" t="inlineStr">
        <is>
          <t>991000747519702656</t>
        </is>
      </c>
      <c r="AX1146" t="inlineStr">
        <is>
          <t>991000747519702656</t>
        </is>
      </c>
      <c r="AY1146" t="inlineStr">
        <is>
          <t>2255150720002656</t>
        </is>
      </c>
      <c r="AZ1146" t="inlineStr">
        <is>
          <t>BOOK</t>
        </is>
      </c>
      <c r="BB1146" t="inlineStr">
        <is>
          <t>9780916134686</t>
        </is>
      </c>
      <c r="BC1146" t="inlineStr">
        <is>
          <t>32285000765338</t>
        </is>
      </c>
      <c r="BD1146" t="inlineStr">
        <is>
          <t>893790818</t>
        </is>
      </c>
    </row>
    <row r="1147">
      <c r="A1147" t="inlineStr">
        <is>
          <t>No</t>
        </is>
      </c>
      <c r="B1147" t="inlineStr">
        <is>
          <t>BX2169 .M39 1986</t>
        </is>
      </c>
      <c r="C1147" t="inlineStr">
        <is>
          <t>0                      BX 2169000M  39          1986</t>
        </is>
      </c>
      <c r="D1147" t="inlineStr">
        <is>
          <t>The Eucharistic prayers of the Roman rite / Enrico Mazza ; translated by Matthew J. O'Connell.</t>
        </is>
      </c>
      <c r="F1147" t="inlineStr">
        <is>
          <t>No</t>
        </is>
      </c>
      <c r="G1147" t="inlineStr">
        <is>
          <t>1</t>
        </is>
      </c>
      <c r="H1147" t="inlineStr">
        <is>
          <t>No</t>
        </is>
      </c>
      <c r="I1147" t="inlineStr">
        <is>
          <t>No</t>
        </is>
      </c>
      <c r="J1147" t="inlineStr">
        <is>
          <t>0</t>
        </is>
      </c>
      <c r="K1147" t="inlineStr">
        <is>
          <t>Mazza, Enrico.</t>
        </is>
      </c>
      <c r="L1147" t="inlineStr">
        <is>
          <t>New York : Pueblo, c1986.</t>
        </is>
      </c>
      <c r="M1147" t="inlineStr">
        <is>
          <t>1986</t>
        </is>
      </c>
      <c r="O1147" t="inlineStr">
        <is>
          <t>eng</t>
        </is>
      </c>
      <c r="P1147" t="inlineStr">
        <is>
          <t>nyu</t>
        </is>
      </c>
      <c r="R1147" t="inlineStr">
        <is>
          <t xml:space="preserve">BX </t>
        </is>
      </c>
      <c r="S1147" t="n">
        <v>4</v>
      </c>
      <c r="T1147" t="n">
        <v>4</v>
      </c>
      <c r="U1147" t="inlineStr">
        <is>
          <t>1995-07-10</t>
        </is>
      </c>
      <c r="V1147" t="inlineStr">
        <is>
          <t>1995-07-10</t>
        </is>
      </c>
      <c r="W1147" t="inlineStr">
        <is>
          <t>1991-09-18</t>
        </is>
      </c>
      <c r="X1147" t="inlineStr">
        <is>
          <t>1991-09-18</t>
        </is>
      </c>
      <c r="Y1147" t="n">
        <v>208</v>
      </c>
      <c r="Z1147" t="n">
        <v>164</v>
      </c>
      <c r="AA1147" t="n">
        <v>164</v>
      </c>
      <c r="AB1147" t="n">
        <v>2</v>
      </c>
      <c r="AC1147" t="n">
        <v>2</v>
      </c>
      <c r="AD1147" t="n">
        <v>25</v>
      </c>
      <c r="AE1147" t="n">
        <v>25</v>
      </c>
      <c r="AF1147" t="n">
        <v>7</v>
      </c>
      <c r="AG1147" t="n">
        <v>7</v>
      </c>
      <c r="AH1147" t="n">
        <v>6</v>
      </c>
      <c r="AI1147" t="n">
        <v>6</v>
      </c>
      <c r="AJ1147" t="n">
        <v>19</v>
      </c>
      <c r="AK1147" t="n">
        <v>19</v>
      </c>
      <c r="AL1147" t="n">
        <v>0</v>
      </c>
      <c r="AM1147" t="n">
        <v>0</v>
      </c>
      <c r="AN1147" t="n">
        <v>0</v>
      </c>
      <c r="AO1147" t="n">
        <v>0</v>
      </c>
      <c r="AP1147" t="inlineStr">
        <is>
          <t>No</t>
        </is>
      </c>
      <c r="AQ1147" t="inlineStr">
        <is>
          <t>No</t>
        </is>
      </c>
      <c r="AS1147">
        <f>HYPERLINK("https://creighton-primo.hosted.exlibrisgroup.com/primo-explore/search?tab=default_tab&amp;search_scope=EVERYTHING&amp;vid=01CRU&amp;lang=en_US&amp;offset=0&amp;query=any,contains,991000985409702656","Catalog Record")</f>
        <v/>
      </c>
      <c r="AT1147">
        <f>HYPERLINK("http://www.worldcat.org/oclc/16469698","WorldCat Record")</f>
        <v/>
      </c>
      <c r="AU1147" t="inlineStr">
        <is>
          <t>5583752829:eng</t>
        </is>
      </c>
      <c r="AV1147" t="inlineStr">
        <is>
          <t>16469698</t>
        </is>
      </c>
      <c r="AW1147" t="inlineStr">
        <is>
          <t>991000985409702656</t>
        </is>
      </c>
      <c r="AX1147" t="inlineStr">
        <is>
          <t>991000985409702656</t>
        </is>
      </c>
      <c r="AY1147" t="inlineStr">
        <is>
          <t>2256556930002656</t>
        </is>
      </c>
      <c r="AZ1147" t="inlineStr">
        <is>
          <t>BOOK</t>
        </is>
      </c>
      <c r="BB1147" t="inlineStr">
        <is>
          <t>9780916134785</t>
        </is>
      </c>
      <c r="BC1147" t="inlineStr">
        <is>
          <t>32285000765379</t>
        </is>
      </c>
      <c r="BD1147" t="inlineStr">
        <is>
          <t>893438770</t>
        </is>
      </c>
    </row>
    <row r="1148">
      <c r="A1148" t="inlineStr">
        <is>
          <t>No</t>
        </is>
      </c>
      <c r="B1148" t="inlineStr">
        <is>
          <t>BX2169 .R313 1962a</t>
        </is>
      </c>
      <c r="C1148" t="inlineStr">
        <is>
          <t>0                      BX 2169000R  313         1962a</t>
        </is>
      </c>
      <c r="D1148" t="inlineStr">
        <is>
          <t>Prayers for meditation / [by] Hugo Rahner [and] Karl Rahner. [Translated by Rosaleen Brennan]</t>
        </is>
      </c>
      <c r="F1148" t="inlineStr">
        <is>
          <t>No</t>
        </is>
      </c>
      <c r="G1148" t="inlineStr">
        <is>
          <t>1</t>
        </is>
      </c>
      <c r="H1148" t="inlineStr">
        <is>
          <t>No</t>
        </is>
      </c>
      <c r="I1148" t="inlineStr">
        <is>
          <t>No</t>
        </is>
      </c>
      <c r="J1148" t="inlineStr">
        <is>
          <t>0</t>
        </is>
      </c>
      <c r="K1148" t="inlineStr">
        <is>
          <t>Rahner, Hugo, 1900-1968.</t>
        </is>
      </c>
      <c r="L1148" t="inlineStr">
        <is>
          <t>New York : Herder and Herder, [1962]</t>
        </is>
      </c>
      <c r="M1148" t="inlineStr">
        <is>
          <t>1962</t>
        </is>
      </c>
      <c r="O1148" t="inlineStr">
        <is>
          <t>eng</t>
        </is>
      </c>
      <c r="P1148" t="inlineStr">
        <is>
          <t>___</t>
        </is>
      </c>
      <c r="R1148" t="inlineStr">
        <is>
          <t xml:space="preserve">BX </t>
        </is>
      </c>
      <c r="S1148" t="n">
        <v>3</v>
      </c>
      <c r="T1148" t="n">
        <v>3</v>
      </c>
      <c r="U1148" t="inlineStr">
        <is>
          <t>1996-03-05</t>
        </is>
      </c>
      <c r="V1148" t="inlineStr">
        <is>
          <t>1996-03-05</t>
        </is>
      </c>
      <c r="W1148" t="inlineStr">
        <is>
          <t>1991-09-18</t>
        </is>
      </c>
      <c r="X1148" t="inlineStr">
        <is>
          <t>1991-09-18</t>
        </is>
      </c>
      <c r="Y1148" t="n">
        <v>169</v>
      </c>
      <c r="Z1148" t="n">
        <v>150</v>
      </c>
      <c r="AA1148" t="n">
        <v>171</v>
      </c>
      <c r="AB1148" t="n">
        <v>2</v>
      </c>
      <c r="AC1148" t="n">
        <v>2</v>
      </c>
      <c r="AD1148" t="n">
        <v>25</v>
      </c>
      <c r="AE1148" t="n">
        <v>26</v>
      </c>
      <c r="AF1148" t="n">
        <v>9</v>
      </c>
      <c r="AG1148" t="n">
        <v>9</v>
      </c>
      <c r="AH1148" t="n">
        <v>5</v>
      </c>
      <c r="AI1148" t="n">
        <v>5</v>
      </c>
      <c r="AJ1148" t="n">
        <v>20</v>
      </c>
      <c r="AK1148" t="n">
        <v>21</v>
      </c>
      <c r="AL1148" t="n">
        <v>0</v>
      </c>
      <c r="AM1148" t="n">
        <v>0</v>
      </c>
      <c r="AN1148" t="n">
        <v>0</v>
      </c>
      <c r="AO1148" t="n">
        <v>0</v>
      </c>
      <c r="AP1148" t="inlineStr">
        <is>
          <t>No</t>
        </is>
      </c>
      <c r="AQ1148" t="inlineStr">
        <is>
          <t>No</t>
        </is>
      </c>
      <c r="AS1148">
        <f>HYPERLINK("https://creighton-primo.hosted.exlibrisgroup.com/primo-explore/search?tab=default_tab&amp;search_scope=EVERYTHING&amp;vid=01CRU&amp;lang=en_US&amp;offset=0&amp;query=any,contains,991003729569702656","Catalog Record")</f>
        <v/>
      </c>
      <c r="AT1148">
        <f>HYPERLINK("http://www.worldcat.org/oclc/1379960","WorldCat Record")</f>
        <v/>
      </c>
      <c r="AU1148" t="inlineStr">
        <is>
          <t>2218762275:eng</t>
        </is>
      </c>
      <c r="AV1148" t="inlineStr">
        <is>
          <t>1379960</t>
        </is>
      </c>
      <c r="AW1148" t="inlineStr">
        <is>
          <t>991003729569702656</t>
        </is>
      </c>
      <c r="AX1148" t="inlineStr">
        <is>
          <t>991003729569702656</t>
        </is>
      </c>
      <c r="AY1148" t="inlineStr">
        <is>
          <t>2256612530002656</t>
        </is>
      </c>
      <c r="AZ1148" t="inlineStr">
        <is>
          <t>BOOK</t>
        </is>
      </c>
      <c r="BC1148" t="inlineStr">
        <is>
          <t>32285000765403</t>
        </is>
      </c>
      <c r="BD1148" t="inlineStr">
        <is>
          <t>893806140</t>
        </is>
      </c>
    </row>
    <row r="1149">
      <c r="A1149" t="inlineStr">
        <is>
          <t>No</t>
        </is>
      </c>
      <c r="B1149" t="inlineStr">
        <is>
          <t>BX2169 .V32 1937</t>
        </is>
      </c>
      <c r="C1149" t="inlineStr">
        <is>
          <t>0                      BX 2169000V  32          1937</t>
        </is>
      </c>
      <c r="D1149" t="inlineStr">
        <is>
          <t>The holy sacrifice of the mass : ladder of sanctity / meditations translated from the French of Dom Eugène Vandeur by Clara Morris Rumball.</t>
        </is>
      </c>
      <c r="F1149" t="inlineStr">
        <is>
          <t>No</t>
        </is>
      </c>
      <c r="G1149" t="inlineStr">
        <is>
          <t>1</t>
        </is>
      </c>
      <c r="H1149" t="inlineStr">
        <is>
          <t>No</t>
        </is>
      </c>
      <c r="I1149" t="inlineStr">
        <is>
          <t>No</t>
        </is>
      </c>
      <c r="J1149" t="inlineStr">
        <is>
          <t>0</t>
        </is>
      </c>
      <c r="K1149" t="inlineStr">
        <is>
          <t>Vandeur, Eugène, 1875-</t>
        </is>
      </c>
      <c r="L1149" t="inlineStr">
        <is>
          <t>New York ; Chicago [etc.] : Benziger Brothers, 1937.</t>
        </is>
      </c>
      <c r="M1149" t="inlineStr">
        <is>
          <t>1937</t>
        </is>
      </c>
      <c r="O1149" t="inlineStr">
        <is>
          <t>eng</t>
        </is>
      </c>
      <c r="P1149" t="inlineStr">
        <is>
          <t>nyu</t>
        </is>
      </c>
      <c r="R1149" t="inlineStr">
        <is>
          <t xml:space="preserve">BX </t>
        </is>
      </c>
      <c r="S1149" t="n">
        <v>1</v>
      </c>
      <c r="T1149" t="n">
        <v>1</v>
      </c>
      <c r="U1149" t="inlineStr">
        <is>
          <t>2010-10-05</t>
        </is>
      </c>
      <c r="V1149" t="inlineStr">
        <is>
          <t>2010-10-05</t>
        </is>
      </c>
      <c r="W1149" t="inlineStr">
        <is>
          <t>1991-09-18</t>
        </is>
      </c>
      <c r="X1149" t="inlineStr">
        <is>
          <t>1991-09-18</t>
        </is>
      </c>
      <c r="Y1149" t="n">
        <v>81</v>
      </c>
      <c r="Z1149" t="n">
        <v>77</v>
      </c>
      <c r="AA1149" t="n">
        <v>77</v>
      </c>
      <c r="AB1149" t="n">
        <v>2</v>
      </c>
      <c r="AC1149" t="n">
        <v>2</v>
      </c>
      <c r="AD1149" t="n">
        <v>17</v>
      </c>
      <c r="AE1149" t="n">
        <v>17</v>
      </c>
      <c r="AF1149" t="n">
        <v>3</v>
      </c>
      <c r="AG1149" t="n">
        <v>3</v>
      </c>
      <c r="AH1149" t="n">
        <v>7</v>
      </c>
      <c r="AI1149" t="n">
        <v>7</v>
      </c>
      <c r="AJ1149" t="n">
        <v>13</v>
      </c>
      <c r="AK1149" t="n">
        <v>13</v>
      </c>
      <c r="AL1149" t="n">
        <v>0</v>
      </c>
      <c r="AM1149" t="n">
        <v>0</v>
      </c>
      <c r="AN1149" t="n">
        <v>0</v>
      </c>
      <c r="AO1149" t="n">
        <v>0</v>
      </c>
      <c r="AP1149" t="inlineStr">
        <is>
          <t>No</t>
        </is>
      </c>
      <c r="AQ1149" t="inlineStr">
        <is>
          <t>No</t>
        </is>
      </c>
      <c r="AS1149">
        <f>HYPERLINK("https://creighton-primo.hosted.exlibrisgroup.com/primo-explore/search?tab=default_tab&amp;search_scope=EVERYTHING&amp;vid=01CRU&amp;lang=en_US&amp;offset=0&amp;query=any,contains,991004248599702656","Catalog Record")</f>
        <v/>
      </c>
      <c r="AT1149">
        <f>HYPERLINK("http://www.worldcat.org/oclc/2800586","WorldCat Record")</f>
        <v/>
      </c>
      <c r="AU1149" t="inlineStr">
        <is>
          <t>2544933961:eng</t>
        </is>
      </c>
      <c r="AV1149" t="inlineStr">
        <is>
          <t>2800586</t>
        </is>
      </c>
      <c r="AW1149" t="inlineStr">
        <is>
          <t>991004248599702656</t>
        </is>
      </c>
      <c r="AX1149" t="inlineStr">
        <is>
          <t>991004248599702656</t>
        </is>
      </c>
      <c r="AY1149" t="inlineStr">
        <is>
          <t>2260086540002656</t>
        </is>
      </c>
      <c r="AZ1149" t="inlineStr">
        <is>
          <t>BOOK</t>
        </is>
      </c>
      <c r="BC1149" t="inlineStr">
        <is>
          <t>32285000765437</t>
        </is>
      </c>
      <c r="BD1149" t="inlineStr">
        <is>
          <t>893706150</t>
        </is>
      </c>
    </row>
    <row r="1150">
      <c r="A1150" t="inlineStr">
        <is>
          <t>No</t>
        </is>
      </c>
      <c r="B1150" t="inlineStr">
        <is>
          <t>BX2170.A4 D6513 1991a</t>
        </is>
      </c>
      <c r="C1150" t="inlineStr">
        <is>
          <t>0                      BX 2170000A  4                  D  6513        1991a</t>
        </is>
      </c>
      <c r="D1150" t="inlineStr">
        <is>
          <t>Open heavens : meditations for Advent and Christmas / Eugen Drewermann ; translated by David J. Krieger ; edited by Joan Marie Laflamme and Bernd Marz.</t>
        </is>
      </c>
      <c r="F1150" t="inlineStr">
        <is>
          <t>No</t>
        </is>
      </c>
      <c r="G1150" t="inlineStr">
        <is>
          <t>1</t>
        </is>
      </c>
      <c r="H1150" t="inlineStr">
        <is>
          <t>No</t>
        </is>
      </c>
      <c r="I1150" t="inlineStr">
        <is>
          <t>No</t>
        </is>
      </c>
      <c r="J1150" t="inlineStr">
        <is>
          <t>0</t>
        </is>
      </c>
      <c r="K1150" t="inlineStr">
        <is>
          <t>Drewermann, Eugen.</t>
        </is>
      </c>
      <c r="L1150" t="inlineStr">
        <is>
          <t>Maryknoll, N.Y. : Orbis Books, c1991.</t>
        </is>
      </c>
      <c r="M1150" t="inlineStr">
        <is>
          <t>1991</t>
        </is>
      </c>
      <c r="O1150" t="inlineStr">
        <is>
          <t>eng</t>
        </is>
      </c>
      <c r="P1150" t="inlineStr">
        <is>
          <t>nyu</t>
        </is>
      </c>
      <c r="R1150" t="inlineStr">
        <is>
          <t xml:space="preserve">BX </t>
        </is>
      </c>
      <c r="S1150" t="n">
        <v>3</v>
      </c>
      <c r="T1150" t="n">
        <v>3</v>
      </c>
      <c r="U1150" t="inlineStr">
        <is>
          <t>2008-11-19</t>
        </is>
      </c>
      <c r="V1150" t="inlineStr">
        <is>
          <t>2008-11-19</t>
        </is>
      </c>
      <c r="W1150" t="inlineStr">
        <is>
          <t>2001-08-14</t>
        </is>
      </c>
      <c r="X1150" t="inlineStr">
        <is>
          <t>2001-08-14</t>
        </is>
      </c>
      <c r="Y1150" t="n">
        <v>2</v>
      </c>
      <c r="Z1150" t="n">
        <v>2</v>
      </c>
      <c r="AA1150" t="n">
        <v>67</v>
      </c>
      <c r="AB1150" t="n">
        <v>1</v>
      </c>
      <c r="AC1150" t="n">
        <v>2</v>
      </c>
      <c r="AD1150" t="n">
        <v>0</v>
      </c>
      <c r="AE1150" t="n">
        <v>3</v>
      </c>
      <c r="AF1150" t="n">
        <v>0</v>
      </c>
      <c r="AG1150" t="n">
        <v>0</v>
      </c>
      <c r="AH1150" t="n">
        <v>0</v>
      </c>
      <c r="AI1150" t="n">
        <v>0</v>
      </c>
      <c r="AJ1150" t="n">
        <v>0</v>
      </c>
      <c r="AK1150" t="n">
        <v>2</v>
      </c>
      <c r="AL1150" t="n">
        <v>0</v>
      </c>
      <c r="AM1150" t="n">
        <v>1</v>
      </c>
      <c r="AN1150" t="n">
        <v>0</v>
      </c>
      <c r="AO1150" t="n">
        <v>0</v>
      </c>
      <c r="AP1150" t="inlineStr">
        <is>
          <t>No</t>
        </is>
      </c>
      <c r="AQ1150" t="inlineStr">
        <is>
          <t>No</t>
        </is>
      </c>
      <c r="AS1150">
        <f>HYPERLINK("https://creighton-primo.hosted.exlibrisgroup.com/primo-explore/search?tab=default_tab&amp;search_scope=EVERYTHING&amp;vid=01CRU&amp;lang=en_US&amp;offset=0&amp;query=any,contains,991003563919702656","Catalog Record")</f>
        <v/>
      </c>
      <c r="AT1150">
        <f>HYPERLINK("http://www.worldcat.org/oclc/43791974","WorldCat Record")</f>
        <v/>
      </c>
      <c r="AU1150" t="inlineStr">
        <is>
          <t>1151382438:eng</t>
        </is>
      </c>
      <c r="AV1150" t="inlineStr">
        <is>
          <t>43791974</t>
        </is>
      </c>
      <c r="AW1150" t="inlineStr">
        <is>
          <t>991003563919702656</t>
        </is>
      </c>
      <c r="AX1150" t="inlineStr">
        <is>
          <t>991003563919702656</t>
        </is>
      </c>
      <c r="AY1150" t="inlineStr">
        <is>
          <t>2263264000002656</t>
        </is>
      </c>
      <c r="AZ1150" t="inlineStr">
        <is>
          <t>BOOK</t>
        </is>
      </c>
      <c r="BC1150" t="inlineStr">
        <is>
          <t>32285004377940</t>
        </is>
      </c>
      <c r="BD1150" t="inlineStr">
        <is>
          <t>893416516</t>
        </is>
      </c>
    </row>
    <row r="1151">
      <c r="A1151" t="inlineStr">
        <is>
          <t>No</t>
        </is>
      </c>
      <c r="B1151" t="inlineStr">
        <is>
          <t>BX2170.A4 G75 2001</t>
        </is>
      </c>
      <c r="C1151" t="inlineStr">
        <is>
          <t>0                      BX 2170000A  4                  G  75          2001</t>
        </is>
      </c>
      <c r="D1151" t="inlineStr">
        <is>
          <t>Advent 2001 : celebrate Christ's coming by building bridges / [prepared for the Catholic Campaign for Human Development by Donna Toliver Grimes].</t>
        </is>
      </c>
      <c r="F1151" t="inlineStr">
        <is>
          <t>No</t>
        </is>
      </c>
      <c r="G1151" t="inlineStr">
        <is>
          <t>1</t>
        </is>
      </c>
      <c r="H1151" t="inlineStr">
        <is>
          <t>No</t>
        </is>
      </c>
      <c r="I1151" t="inlineStr">
        <is>
          <t>No</t>
        </is>
      </c>
      <c r="J1151" t="inlineStr">
        <is>
          <t>0</t>
        </is>
      </c>
      <c r="K1151" t="inlineStr">
        <is>
          <t>Grimes, Donna Toliver.</t>
        </is>
      </c>
      <c r="L1151" t="inlineStr">
        <is>
          <t>Washington, D.C. : United States Conference of Catholic Bishops, c2001.</t>
        </is>
      </c>
      <c r="M1151" t="inlineStr">
        <is>
          <t>2001</t>
        </is>
      </c>
      <c r="O1151" t="inlineStr">
        <is>
          <t>eng</t>
        </is>
      </c>
      <c r="P1151" t="inlineStr">
        <is>
          <t>dcu</t>
        </is>
      </c>
      <c r="Q1151" t="inlineStr">
        <is>
          <t>Publication (United States Conference of Catholic Bishops) ; no. 5-439</t>
        </is>
      </c>
      <c r="R1151" t="inlineStr">
        <is>
          <t xml:space="preserve">BX </t>
        </is>
      </c>
      <c r="S1151" t="n">
        <v>1</v>
      </c>
      <c r="T1151" t="n">
        <v>1</v>
      </c>
      <c r="U1151" t="inlineStr">
        <is>
          <t>2001-09-13</t>
        </is>
      </c>
      <c r="V1151" t="inlineStr">
        <is>
          <t>2001-09-13</t>
        </is>
      </c>
      <c r="W1151" t="inlineStr">
        <is>
          <t>2001-09-13</t>
        </is>
      </c>
      <c r="X1151" t="inlineStr">
        <is>
          <t>2001-09-13</t>
        </is>
      </c>
      <c r="Y1151" t="n">
        <v>19</v>
      </c>
      <c r="Z1151" t="n">
        <v>19</v>
      </c>
      <c r="AA1151" t="n">
        <v>19</v>
      </c>
      <c r="AB1151" t="n">
        <v>1</v>
      </c>
      <c r="AC1151" t="n">
        <v>1</v>
      </c>
      <c r="AD1151" t="n">
        <v>5</v>
      </c>
      <c r="AE1151" t="n">
        <v>5</v>
      </c>
      <c r="AF1151" t="n">
        <v>0</v>
      </c>
      <c r="AG1151" t="n">
        <v>0</v>
      </c>
      <c r="AH1151" t="n">
        <v>3</v>
      </c>
      <c r="AI1151" t="n">
        <v>3</v>
      </c>
      <c r="AJ1151" t="n">
        <v>3</v>
      </c>
      <c r="AK1151" t="n">
        <v>3</v>
      </c>
      <c r="AL1151" t="n">
        <v>0</v>
      </c>
      <c r="AM1151" t="n">
        <v>0</v>
      </c>
      <c r="AN1151" t="n">
        <v>0</v>
      </c>
      <c r="AO1151" t="n">
        <v>0</v>
      </c>
      <c r="AP1151" t="inlineStr">
        <is>
          <t>No</t>
        </is>
      </c>
      <c r="AQ1151" t="inlineStr">
        <is>
          <t>No</t>
        </is>
      </c>
      <c r="AS1151">
        <f>HYPERLINK("https://creighton-primo.hosted.exlibrisgroup.com/primo-explore/search?tab=default_tab&amp;search_scope=EVERYTHING&amp;vid=01CRU&amp;lang=en_US&amp;offset=0&amp;query=any,contains,991003627699702656","Catalog Record")</f>
        <v/>
      </c>
      <c r="AT1151">
        <f>HYPERLINK("http://www.worldcat.org/oclc/47866271","WorldCat Record")</f>
        <v/>
      </c>
      <c r="AU1151" t="inlineStr">
        <is>
          <t>36795729:eng</t>
        </is>
      </c>
      <c r="AV1151" t="inlineStr">
        <is>
          <t>47866271</t>
        </is>
      </c>
      <c r="AW1151" t="inlineStr">
        <is>
          <t>991003627699702656</t>
        </is>
      </c>
      <c r="AX1151" t="inlineStr">
        <is>
          <t>991003627699702656</t>
        </is>
      </c>
      <c r="AY1151" t="inlineStr">
        <is>
          <t>2270087760002656</t>
        </is>
      </c>
      <c r="AZ1151" t="inlineStr">
        <is>
          <t>BOOK</t>
        </is>
      </c>
      <c r="BB1151" t="inlineStr">
        <is>
          <t>9781574554397</t>
        </is>
      </c>
      <c r="BC1151" t="inlineStr">
        <is>
          <t>32285004391644</t>
        </is>
      </c>
      <c r="BD1151" t="inlineStr">
        <is>
          <t>893512159</t>
        </is>
      </c>
    </row>
    <row r="1152">
      <c r="A1152" t="inlineStr">
        <is>
          <t>No</t>
        </is>
      </c>
      <c r="B1152" t="inlineStr">
        <is>
          <t>BX2170.C55 B315 1958</t>
        </is>
      </c>
      <c r="C1152" t="inlineStr">
        <is>
          <t>0                      BX 2170000C  55                 B  315         1958</t>
        </is>
      </c>
      <c r="D1152" t="inlineStr">
        <is>
          <t>The light of the world : Liturgical meditations for the weekdaysand Sundays of the ecclesiastical year / Benedict Baur ; translated by Edward Malone, O.S.B.</t>
        </is>
      </c>
      <c r="E1152" t="inlineStr">
        <is>
          <t>V.3</t>
        </is>
      </c>
      <c r="F1152" t="inlineStr">
        <is>
          <t>Yes</t>
        </is>
      </c>
      <c r="G1152" t="inlineStr">
        <is>
          <t>1</t>
        </is>
      </c>
      <c r="H1152" t="inlineStr">
        <is>
          <t>No</t>
        </is>
      </c>
      <c r="I1152" t="inlineStr">
        <is>
          <t>No</t>
        </is>
      </c>
      <c r="J1152" t="inlineStr">
        <is>
          <t>0</t>
        </is>
      </c>
      <c r="K1152" t="inlineStr">
        <is>
          <t>Baur, Benedikt, 1877-</t>
        </is>
      </c>
      <c r="L1152" t="inlineStr">
        <is>
          <t>St. Louis : B. Herder Book Co., 1958.</t>
        </is>
      </c>
      <c r="M1152" t="inlineStr">
        <is>
          <t>1958</t>
        </is>
      </c>
      <c r="N1152" t="inlineStr">
        <is>
          <t>Revised Edition.</t>
        </is>
      </c>
      <c r="O1152" t="inlineStr">
        <is>
          <t>eng</t>
        </is>
      </c>
      <c r="P1152" t="inlineStr">
        <is>
          <t xml:space="preserve">xx </t>
        </is>
      </c>
      <c r="R1152" t="inlineStr">
        <is>
          <t xml:space="preserve">BX </t>
        </is>
      </c>
      <c r="S1152" t="n">
        <v>0</v>
      </c>
      <c r="T1152" t="n">
        <v>3</v>
      </c>
      <c r="V1152" t="inlineStr">
        <is>
          <t>1994-07-29</t>
        </is>
      </c>
      <c r="W1152" t="inlineStr">
        <is>
          <t>1991-09-18</t>
        </is>
      </c>
      <c r="X1152" t="inlineStr">
        <is>
          <t>1991-09-18</t>
        </is>
      </c>
      <c r="Y1152" t="n">
        <v>65</v>
      </c>
      <c r="Z1152" t="n">
        <v>60</v>
      </c>
      <c r="AA1152" t="n">
        <v>102</v>
      </c>
      <c r="AB1152" t="n">
        <v>3</v>
      </c>
      <c r="AC1152" t="n">
        <v>3</v>
      </c>
      <c r="AD1152" t="n">
        <v>8</v>
      </c>
      <c r="AE1152" t="n">
        <v>20</v>
      </c>
      <c r="AF1152" t="n">
        <v>1</v>
      </c>
      <c r="AG1152" t="n">
        <v>4</v>
      </c>
      <c r="AH1152" t="n">
        <v>2</v>
      </c>
      <c r="AI1152" t="n">
        <v>5</v>
      </c>
      <c r="AJ1152" t="n">
        <v>6</v>
      </c>
      <c r="AK1152" t="n">
        <v>16</v>
      </c>
      <c r="AL1152" t="n">
        <v>0</v>
      </c>
      <c r="AM1152" t="n">
        <v>0</v>
      </c>
      <c r="AN1152" t="n">
        <v>0</v>
      </c>
      <c r="AO1152" t="n">
        <v>0</v>
      </c>
      <c r="AP1152" t="inlineStr">
        <is>
          <t>No</t>
        </is>
      </c>
      <c r="AQ1152" t="inlineStr">
        <is>
          <t>No</t>
        </is>
      </c>
      <c r="AS1152">
        <f>HYPERLINK("https://creighton-primo.hosted.exlibrisgroup.com/primo-explore/search?tab=default_tab&amp;search_scope=EVERYTHING&amp;vid=01CRU&amp;lang=en_US&amp;offset=0&amp;query=any,contains,991004173389702656","Catalog Record")</f>
        <v/>
      </c>
      <c r="AT1152">
        <f>HYPERLINK("http://www.worldcat.org/oclc/2589160","WorldCat Record")</f>
        <v/>
      </c>
      <c r="AU1152" t="inlineStr">
        <is>
          <t>5609823:eng</t>
        </is>
      </c>
      <c r="AV1152" t="inlineStr">
        <is>
          <t>2589160</t>
        </is>
      </c>
      <c r="AW1152" t="inlineStr">
        <is>
          <t>991004173389702656</t>
        </is>
      </c>
      <c r="AX1152" t="inlineStr">
        <is>
          <t>991004173389702656</t>
        </is>
      </c>
      <c r="AY1152" t="inlineStr">
        <is>
          <t>2256489460002656</t>
        </is>
      </c>
      <c r="AZ1152" t="inlineStr">
        <is>
          <t>BOOK</t>
        </is>
      </c>
      <c r="BC1152" t="inlineStr">
        <is>
          <t>32285000765478</t>
        </is>
      </c>
      <c r="BD1152" t="inlineStr">
        <is>
          <t>893775718</t>
        </is>
      </c>
    </row>
    <row r="1153">
      <c r="A1153" t="inlineStr">
        <is>
          <t>No</t>
        </is>
      </c>
      <c r="B1153" t="inlineStr">
        <is>
          <t>BX2170.C55 B315 1958</t>
        </is>
      </c>
      <c r="C1153" t="inlineStr">
        <is>
          <t>0                      BX 2170000C  55                 B  315         1958</t>
        </is>
      </c>
      <c r="D1153" t="inlineStr">
        <is>
          <t>The light of the world : Liturgical meditations for the weekdaysand Sundays of the ecclesiastical year / Benedict Baur ; translated by Edward Malone, O.S.B.</t>
        </is>
      </c>
      <c r="E1153" t="inlineStr">
        <is>
          <t>V.1</t>
        </is>
      </c>
      <c r="F1153" t="inlineStr">
        <is>
          <t>Yes</t>
        </is>
      </c>
      <c r="G1153" t="inlineStr">
        <is>
          <t>1</t>
        </is>
      </c>
      <c r="H1153" t="inlineStr">
        <is>
          <t>No</t>
        </is>
      </c>
      <c r="I1153" t="inlineStr">
        <is>
          <t>No</t>
        </is>
      </c>
      <c r="J1153" t="inlineStr">
        <is>
          <t>0</t>
        </is>
      </c>
      <c r="K1153" t="inlineStr">
        <is>
          <t>Baur, Benedikt, 1877-</t>
        </is>
      </c>
      <c r="L1153" t="inlineStr">
        <is>
          <t>St. Louis : B. Herder Book Co., 1958.</t>
        </is>
      </c>
      <c r="M1153" t="inlineStr">
        <is>
          <t>1958</t>
        </is>
      </c>
      <c r="N1153" t="inlineStr">
        <is>
          <t>Revised Edition.</t>
        </is>
      </c>
      <c r="O1153" t="inlineStr">
        <is>
          <t>eng</t>
        </is>
      </c>
      <c r="P1153" t="inlineStr">
        <is>
          <t xml:space="preserve">xx </t>
        </is>
      </c>
      <c r="R1153" t="inlineStr">
        <is>
          <t xml:space="preserve">BX </t>
        </is>
      </c>
      <c r="S1153" t="n">
        <v>3</v>
      </c>
      <c r="T1153" t="n">
        <v>3</v>
      </c>
      <c r="U1153" t="inlineStr">
        <is>
          <t>1994-07-29</t>
        </is>
      </c>
      <c r="V1153" t="inlineStr">
        <is>
          <t>1994-07-29</t>
        </is>
      </c>
      <c r="W1153" t="inlineStr">
        <is>
          <t>1991-09-18</t>
        </is>
      </c>
      <c r="X1153" t="inlineStr">
        <is>
          <t>1991-09-18</t>
        </is>
      </c>
      <c r="Y1153" t="n">
        <v>65</v>
      </c>
      <c r="Z1153" t="n">
        <v>60</v>
      </c>
      <c r="AA1153" t="n">
        <v>102</v>
      </c>
      <c r="AB1153" t="n">
        <v>3</v>
      </c>
      <c r="AC1153" t="n">
        <v>3</v>
      </c>
      <c r="AD1153" t="n">
        <v>8</v>
      </c>
      <c r="AE1153" t="n">
        <v>20</v>
      </c>
      <c r="AF1153" t="n">
        <v>1</v>
      </c>
      <c r="AG1153" t="n">
        <v>4</v>
      </c>
      <c r="AH1153" t="n">
        <v>2</v>
      </c>
      <c r="AI1153" t="n">
        <v>5</v>
      </c>
      <c r="AJ1153" t="n">
        <v>6</v>
      </c>
      <c r="AK1153" t="n">
        <v>16</v>
      </c>
      <c r="AL1153" t="n">
        <v>0</v>
      </c>
      <c r="AM1153" t="n">
        <v>0</v>
      </c>
      <c r="AN1153" t="n">
        <v>0</v>
      </c>
      <c r="AO1153" t="n">
        <v>0</v>
      </c>
      <c r="AP1153" t="inlineStr">
        <is>
          <t>No</t>
        </is>
      </c>
      <c r="AQ1153" t="inlineStr">
        <is>
          <t>No</t>
        </is>
      </c>
      <c r="AS1153">
        <f>HYPERLINK("https://creighton-primo.hosted.exlibrisgroup.com/primo-explore/search?tab=default_tab&amp;search_scope=EVERYTHING&amp;vid=01CRU&amp;lang=en_US&amp;offset=0&amp;query=any,contains,991004173389702656","Catalog Record")</f>
        <v/>
      </c>
      <c r="AT1153">
        <f>HYPERLINK("http://www.worldcat.org/oclc/2589160","WorldCat Record")</f>
        <v/>
      </c>
      <c r="AU1153" t="inlineStr">
        <is>
          <t>5609823:eng</t>
        </is>
      </c>
      <c r="AV1153" t="inlineStr">
        <is>
          <t>2589160</t>
        </is>
      </c>
      <c r="AW1153" t="inlineStr">
        <is>
          <t>991004173389702656</t>
        </is>
      </c>
      <c r="AX1153" t="inlineStr">
        <is>
          <t>991004173389702656</t>
        </is>
      </c>
      <c r="AY1153" t="inlineStr">
        <is>
          <t>2256489460002656</t>
        </is>
      </c>
      <c r="AZ1153" t="inlineStr">
        <is>
          <t>BOOK</t>
        </is>
      </c>
      <c r="BC1153" t="inlineStr">
        <is>
          <t>32285000765452</t>
        </is>
      </c>
      <c r="BD1153" t="inlineStr">
        <is>
          <t>893810385</t>
        </is>
      </c>
    </row>
    <row r="1154">
      <c r="A1154" t="inlineStr">
        <is>
          <t>No</t>
        </is>
      </c>
      <c r="B1154" t="inlineStr">
        <is>
          <t>BX2170.C55 B315 1958</t>
        </is>
      </c>
      <c r="C1154" t="inlineStr">
        <is>
          <t>0                      BX 2170000C  55                 B  315         1958</t>
        </is>
      </c>
      <c r="D1154" t="inlineStr">
        <is>
          <t>The light of the world : Liturgical meditations for the weekdaysand Sundays of the ecclesiastical year / Benedict Baur ; translated by Edward Malone, O.S.B.</t>
        </is>
      </c>
      <c r="E1154" t="inlineStr">
        <is>
          <t>V.2</t>
        </is>
      </c>
      <c r="F1154" t="inlineStr">
        <is>
          <t>Yes</t>
        </is>
      </c>
      <c r="G1154" t="inlineStr">
        <is>
          <t>1</t>
        </is>
      </c>
      <c r="H1154" t="inlineStr">
        <is>
          <t>No</t>
        </is>
      </c>
      <c r="I1154" t="inlineStr">
        <is>
          <t>No</t>
        </is>
      </c>
      <c r="J1154" t="inlineStr">
        <is>
          <t>0</t>
        </is>
      </c>
      <c r="K1154" t="inlineStr">
        <is>
          <t>Baur, Benedikt, 1877-</t>
        </is>
      </c>
      <c r="L1154" t="inlineStr">
        <is>
          <t>St. Louis : B. Herder Book Co., 1958.</t>
        </is>
      </c>
      <c r="M1154" t="inlineStr">
        <is>
          <t>1958</t>
        </is>
      </c>
      <c r="N1154" t="inlineStr">
        <is>
          <t>Revised Edition.</t>
        </is>
      </c>
      <c r="O1154" t="inlineStr">
        <is>
          <t>eng</t>
        </is>
      </c>
      <c r="P1154" t="inlineStr">
        <is>
          <t xml:space="preserve">xx </t>
        </is>
      </c>
      <c r="R1154" t="inlineStr">
        <is>
          <t xml:space="preserve">BX </t>
        </is>
      </c>
      <c r="S1154" t="n">
        <v>0</v>
      </c>
      <c r="T1154" t="n">
        <v>3</v>
      </c>
      <c r="V1154" t="inlineStr">
        <is>
          <t>1994-07-29</t>
        </is>
      </c>
      <c r="W1154" t="inlineStr">
        <is>
          <t>1991-09-18</t>
        </is>
      </c>
      <c r="X1154" t="inlineStr">
        <is>
          <t>1991-09-18</t>
        </is>
      </c>
      <c r="Y1154" t="n">
        <v>65</v>
      </c>
      <c r="Z1154" t="n">
        <v>60</v>
      </c>
      <c r="AA1154" t="n">
        <v>102</v>
      </c>
      <c r="AB1154" t="n">
        <v>3</v>
      </c>
      <c r="AC1154" t="n">
        <v>3</v>
      </c>
      <c r="AD1154" t="n">
        <v>8</v>
      </c>
      <c r="AE1154" t="n">
        <v>20</v>
      </c>
      <c r="AF1154" t="n">
        <v>1</v>
      </c>
      <c r="AG1154" t="n">
        <v>4</v>
      </c>
      <c r="AH1154" t="n">
        <v>2</v>
      </c>
      <c r="AI1154" t="n">
        <v>5</v>
      </c>
      <c r="AJ1154" t="n">
        <v>6</v>
      </c>
      <c r="AK1154" t="n">
        <v>16</v>
      </c>
      <c r="AL1154" t="n">
        <v>0</v>
      </c>
      <c r="AM1154" t="n">
        <v>0</v>
      </c>
      <c r="AN1154" t="n">
        <v>0</v>
      </c>
      <c r="AO1154" t="n">
        <v>0</v>
      </c>
      <c r="AP1154" t="inlineStr">
        <is>
          <t>No</t>
        </is>
      </c>
      <c r="AQ1154" t="inlineStr">
        <is>
          <t>No</t>
        </is>
      </c>
      <c r="AS1154">
        <f>HYPERLINK("https://creighton-primo.hosted.exlibrisgroup.com/primo-explore/search?tab=default_tab&amp;search_scope=EVERYTHING&amp;vid=01CRU&amp;lang=en_US&amp;offset=0&amp;query=any,contains,991004173389702656","Catalog Record")</f>
        <v/>
      </c>
      <c r="AT1154">
        <f>HYPERLINK("http://www.worldcat.org/oclc/2589160","WorldCat Record")</f>
        <v/>
      </c>
      <c r="AU1154" t="inlineStr">
        <is>
          <t>5609823:eng</t>
        </is>
      </c>
      <c r="AV1154" t="inlineStr">
        <is>
          <t>2589160</t>
        </is>
      </c>
      <c r="AW1154" t="inlineStr">
        <is>
          <t>991004173389702656</t>
        </is>
      </c>
      <c r="AX1154" t="inlineStr">
        <is>
          <t>991004173389702656</t>
        </is>
      </c>
      <c r="AY1154" t="inlineStr">
        <is>
          <t>2256489460002656</t>
        </is>
      </c>
      <c r="AZ1154" t="inlineStr">
        <is>
          <t>BOOK</t>
        </is>
      </c>
      <c r="BC1154" t="inlineStr">
        <is>
          <t>32285000765460</t>
        </is>
      </c>
      <c r="BD1154" t="inlineStr">
        <is>
          <t>893781930</t>
        </is>
      </c>
    </row>
    <row r="1155">
      <c r="A1155" t="inlineStr">
        <is>
          <t>No</t>
        </is>
      </c>
      <c r="B1155" t="inlineStr">
        <is>
          <t>BX2170.C55 C34 1978</t>
        </is>
      </c>
      <c r="C1155" t="inlineStr">
        <is>
          <t>0                      BX 2170000C  55                 C  34          1978</t>
        </is>
      </c>
      <c r="D1155" t="inlineStr">
        <is>
          <t>Celebrating the saints : readings and prayers in honor of the saints and the solemnities of our Lord and our Lady / adapted from the Liturgy of the hours.</t>
        </is>
      </c>
      <c r="F1155" t="inlineStr">
        <is>
          <t>No</t>
        </is>
      </c>
      <c r="G1155" t="inlineStr">
        <is>
          <t>1</t>
        </is>
      </c>
      <c r="H1155" t="inlineStr">
        <is>
          <t>No</t>
        </is>
      </c>
      <c r="I1155" t="inlineStr">
        <is>
          <t>No</t>
        </is>
      </c>
      <c r="J1155" t="inlineStr">
        <is>
          <t>0</t>
        </is>
      </c>
      <c r="K1155" t="inlineStr">
        <is>
          <t>Catholic Church.</t>
        </is>
      </c>
      <c r="L1155" t="inlineStr">
        <is>
          <t>New York : Pueblo Pub. Co., c1978.</t>
        </is>
      </c>
      <c r="M1155" t="inlineStr">
        <is>
          <t>1978</t>
        </is>
      </c>
      <c r="O1155" t="inlineStr">
        <is>
          <t>eng</t>
        </is>
      </c>
      <c r="P1155" t="inlineStr">
        <is>
          <t>nyu</t>
        </is>
      </c>
      <c r="R1155" t="inlineStr">
        <is>
          <t xml:space="preserve">BX </t>
        </is>
      </c>
      <c r="S1155" t="n">
        <v>4</v>
      </c>
      <c r="T1155" t="n">
        <v>4</v>
      </c>
      <c r="U1155" t="inlineStr">
        <is>
          <t>1994-07-22</t>
        </is>
      </c>
      <c r="V1155" t="inlineStr">
        <is>
          <t>1994-07-22</t>
        </is>
      </c>
      <c r="W1155" t="inlineStr">
        <is>
          <t>1990-11-05</t>
        </is>
      </c>
      <c r="X1155" t="inlineStr">
        <is>
          <t>1990-11-05</t>
        </is>
      </c>
      <c r="Y1155" t="n">
        <v>87</v>
      </c>
      <c r="Z1155" t="n">
        <v>74</v>
      </c>
      <c r="AA1155" t="n">
        <v>79</v>
      </c>
      <c r="AB1155" t="n">
        <v>2</v>
      </c>
      <c r="AC1155" t="n">
        <v>2</v>
      </c>
      <c r="AD1155" t="n">
        <v>8</v>
      </c>
      <c r="AE1155" t="n">
        <v>8</v>
      </c>
      <c r="AF1155" t="n">
        <v>2</v>
      </c>
      <c r="AG1155" t="n">
        <v>2</v>
      </c>
      <c r="AH1155" t="n">
        <v>3</v>
      </c>
      <c r="AI1155" t="n">
        <v>3</v>
      </c>
      <c r="AJ1155" t="n">
        <v>5</v>
      </c>
      <c r="AK1155" t="n">
        <v>5</v>
      </c>
      <c r="AL1155" t="n">
        <v>0</v>
      </c>
      <c r="AM1155" t="n">
        <v>0</v>
      </c>
      <c r="AN1155" t="n">
        <v>0</v>
      </c>
      <c r="AO1155" t="n">
        <v>0</v>
      </c>
      <c r="AP1155" t="inlineStr">
        <is>
          <t>No</t>
        </is>
      </c>
      <c r="AQ1155" t="inlineStr">
        <is>
          <t>No</t>
        </is>
      </c>
      <c r="AS1155">
        <f>HYPERLINK("https://creighton-primo.hosted.exlibrisgroup.com/primo-explore/search?tab=default_tab&amp;search_scope=EVERYTHING&amp;vid=01CRU&amp;lang=en_US&amp;offset=0&amp;query=any,contains,991004835009702656","Catalog Record")</f>
        <v/>
      </c>
      <c r="AT1155">
        <f>HYPERLINK("http://www.worldcat.org/oclc/5446615","WorldCat Record")</f>
        <v/>
      </c>
      <c r="AU1155" t="inlineStr">
        <is>
          <t>10488050127:eng</t>
        </is>
      </c>
      <c r="AV1155" t="inlineStr">
        <is>
          <t>5446615</t>
        </is>
      </c>
      <c r="AW1155" t="inlineStr">
        <is>
          <t>991004835009702656</t>
        </is>
      </c>
      <c r="AX1155" t="inlineStr">
        <is>
          <t>991004835009702656</t>
        </is>
      </c>
      <c r="AY1155" t="inlineStr">
        <is>
          <t>2257373560002656</t>
        </is>
      </c>
      <c r="AZ1155" t="inlineStr">
        <is>
          <t>BOOK</t>
        </is>
      </c>
      <c r="BB1155" t="inlineStr">
        <is>
          <t>9780916134303</t>
        </is>
      </c>
      <c r="BC1155" t="inlineStr">
        <is>
          <t>32285000296680</t>
        </is>
      </c>
      <c r="BD1155" t="inlineStr">
        <is>
          <t>893889352</t>
        </is>
      </c>
    </row>
    <row r="1156">
      <c r="A1156" t="inlineStr">
        <is>
          <t>No</t>
        </is>
      </c>
      <c r="B1156" t="inlineStr">
        <is>
          <t>BX2170.C55 D3 1966</t>
        </is>
      </c>
      <c r="C1156" t="inlineStr">
        <is>
          <t>0                      BX 2170000C  55                 D  3           1966</t>
        </is>
      </c>
      <c r="D1156" t="inlineStr">
        <is>
          <t>Meditations from Advent to Lent / by Lowrie J. Daly and Mary Virgene Daly. With an introd. by Cardinal Ritter.</t>
        </is>
      </c>
      <c r="F1156" t="inlineStr">
        <is>
          <t>No</t>
        </is>
      </c>
      <c r="G1156" t="inlineStr">
        <is>
          <t>1</t>
        </is>
      </c>
      <c r="H1156" t="inlineStr">
        <is>
          <t>No</t>
        </is>
      </c>
      <c r="I1156" t="inlineStr">
        <is>
          <t>No</t>
        </is>
      </c>
      <c r="J1156" t="inlineStr">
        <is>
          <t>0</t>
        </is>
      </c>
      <c r="K1156" t="inlineStr">
        <is>
          <t>Daly, Lowrie J., 1914-2000.</t>
        </is>
      </c>
      <c r="L1156" t="inlineStr">
        <is>
          <t>New York : Sheed and Ward, [1966]</t>
        </is>
      </c>
      <c r="M1156" t="inlineStr">
        <is>
          <t>1966</t>
        </is>
      </c>
      <c r="O1156" t="inlineStr">
        <is>
          <t>eng</t>
        </is>
      </c>
      <c r="P1156" t="inlineStr">
        <is>
          <t>nyu</t>
        </is>
      </c>
      <c r="R1156" t="inlineStr">
        <is>
          <t xml:space="preserve">BX </t>
        </is>
      </c>
      <c r="S1156" t="n">
        <v>3</v>
      </c>
      <c r="T1156" t="n">
        <v>3</v>
      </c>
      <c r="U1156" t="inlineStr">
        <is>
          <t>2005-11-13</t>
        </is>
      </c>
      <c r="V1156" t="inlineStr">
        <is>
          <t>2005-11-13</t>
        </is>
      </c>
      <c r="W1156" t="inlineStr">
        <is>
          <t>1991-09-18</t>
        </is>
      </c>
      <c r="X1156" t="inlineStr">
        <is>
          <t>1991-09-18</t>
        </is>
      </c>
      <c r="Y1156" t="n">
        <v>90</v>
      </c>
      <c r="Z1156" t="n">
        <v>78</v>
      </c>
      <c r="AA1156" t="n">
        <v>78</v>
      </c>
      <c r="AB1156" t="n">
        <v>4</v>
      </c>
      <c r="AC1156" t="n">
        <v>4</v>
      </c>
      <c r="AD1156" t="n">
        <v>16</v>
      </c>
      <c r="AE1156" t="n">
        <v>16</v>
      </c>
      <c r="AF1156" t="n">
        <v>1</v>
      </c>
      <c r="AG1156" t="n">
        <v>1</v>
      </c>
      <c r="AH1156" t="n">
        <v>4</v>
      </c>
      <c r="AI1156" t="n">
        <v>4</v>
      </c>
      <c r="AJ1156" t="n">
        <v>12</v>
      </c>
      <c r="AK1156" t="n">
        <v>12</v>
      </c>
      <c r="AL1156" t="n">
        <v>1</v>
      </c>
      <c r="AM1156" t="n">
        <v>1</v>
      </c>
      <c r="AN1156" t="n">
        <v>0</v>
      </c>
      <c r="AO1156" t="n">
        <v>0</v>
      </c>
      <c r="AP1156" t="inlineStr">
        <is>
          <t>No</t>
        </is>
      </c>
      <c r="AQ1156" t="inlineStr">
        <is>
          <t>No</t>
        </is>
      </c>
      <c r="AS1156">
        <f>HYPERLINK("https://creighton-primo.hosted.exlibrisgroup.com/primo-explore/search?tab=default_tab&amp;search_scope=EVERYTHING&amp;vid=01CRU&amp;lang=en_US&amp;offset=0&amp;query=any,contains,991003365929702656","Catalog Record")</f>
        <v/>
      </c>
      <c r="AT1156">
        <f>HYPERLINK("http://www.worldcat.org/oclc/901986","WorldCat Record")</f>
        <v/>
      </c>
      <c r="AU1156" t="inlineStr">
        <is>
          <t>1836151:eng</t>
        </is>
      </c>
      <c r="AV1156" t="inlineStr">
        <is>
          <t>901986</t>
        </is>
      </c>
      <c r="AW1156" t="inlineStr">
        <is>
          <t>991003365929702656</t>
        </is>
      </c>
      <c r="AX1156" t="inlineStr">
        <is>
          <t>991003365929702656</t>
        </is>
      </c>
      <c r="AY1156" t="inlineStr">
        <is>
          <t>2265739380002656</t>
        </is>
      </c>
      <c r="AZ1156" t="inlineStr">
        <is>
          <t>BOOK</t>
        </is>
      </c>
      <c r="BC1156" t="inlineStr">
        <is>
          <t>32285000765601</t>
        </is>
      </c>
      <c r="BD1156" t="inlineStr">
        <is>
          <t>893692667</t>
        </is>
      </c>
    </row>
    <row r="1157">
      <c r="A1157" t="inlineStr">
        <is>
          <t>No</t>
        </is>
      </c>
      <c r="B1157" t="inlineStr">
        <is>
          <t>BX2170.C55 G36 1991</t>
        </is>
      </c>
      <c r="C1157" t="inlineStr">
        <is>
          <t>0                      BX 2170000C  55                 G  36          1991</t>
        </is>
      </c>
      <c r="D1157" t="inlineStr">
        <is>
          <t>Honey from the rock : reflections on the Eucharist and the liturgical year / Michele Gallagher.</t>
        </is>
      </c>
      <c r="F1157" t="inlineStr">
        <is>
          <t>No</t>
        </is>
      </c>
      <c r="G1157" t="inlineStr">
        <is>
          <t>1</t>
        </is>
      </c>
      <c r="H1157" t="inlineStr">
        <is>
          <t>No</t>
        </is>
      </c>
      <c r="I1157" t="inlineStr">
        <is>
          <t>No</t>
        </is>
      </c>
      <c r="J1157" t="inlineStr">
        <is>
          <t>0</t>
        </is>
      </c>
      <c r="K1157" t="inlineStr">
        <is>
          <t>Gallagher, Michele, 1943-</t>
        </is>
      </c>
      <c r="L1157" t="inlineStr">
        <is>
          <t>New York : Alba House, c1991.</t>
        </is>
      </c>
      <c r="M1157" t="inlineStr">
        <is>
          <t>1991</t>
        </is>
      </c>
      <c r="O1157" t="inlineStr">
        <is>
          <t>eng</t>
        </is>
      </c>
      <c r="P1157" t="inlineStr">
        <is>
          <t>nyu</t>
        </is>
      </c>
      <c r="R1157" t="inlineStr">
        <is>
          <t xml:space="preserve">BX </t>
        </is>
      </c>
      <c r="S1157" t="n">
        <v>1</v>
      </c>
      <c r="T1157" t="n">
        <v>1</v>
      </c>
      <c r="U1157" t="inlineStr">
        <is>
          <t>2002-08-06</t>
        </is>
      </c>
      <c r="V1157" t="inlineStr">
        <is>
          <t>2002-08-06</t>
        </is>
      </c>
      <c r="W1157" t="inlineStr">
        <is>
          <t>2002-08-06</t>
        </is>
      </c>
      <c r="X1157" t="inlineStr">
        <is>
          <t>2002-08-06</t>
        </is>
      </c>
      <c r="Y1157" t="n">
        <v>27</v>
      </c>
      <c r="Z1157" t="n">
        <v>27</v>
      </c>
      <c r="AA1157" t="n">
        <v>27</v>
      </c>
      <c r="AB1157" t="n">
        <v>1</v>
      </c>
      <c r="AC1157" t="n">
        <v>1</v>
      </c>
      <c r="AD1157" t="n">
        <v>1</v>
      </c>
      <c r="AE1157" t="n">
        <v>1</v>
      </c>
      <c r="AF1157" t="n">
        <v>0</v>
      </c>
      <c r="AG1157" t="n">
        <v>0</v>
      </c>
      <c r="AH1157" t="n">
        <v>0</v>
      </c>
      <c r="AI1157" t="n">
        <v>0</v>
      </c>
      <c r="AJ1157" t="n">
        <v>1</v>
      </c>
      <c r="AK1157" t="n">
        <v>1</v>
      </c>
      <c r="AL1157" t="n">
        <v>0</v>
      </c>
      <c r="AM1157" t="n">
        <v>0</v>
      </c>
      <c r="AN1157" t="n">
        <v>0</v>
      </c>
      <c r="AO1157" t="n">
        <v>0</v>
      </c>
      <c r="AP1157" t="inlineStr">
        <is>
          <t>No</t>
        </is>
      </c>
      <c r="AQ1157" t="inlineStr">
        <is>
          <t>No</t>
        </is>
      </c>
      <c r="AS1157">
        <f>HYPERLINK("https://creighton-primo.hosted.exlibrisgroup.com/primo-explore/search?tab=default_tab&amp;search_scope=EVERYTHING&amp;vid=01CRU&amp;lang=en_US&amp;offset=0&amp;query=any,contains,991003852589702656","Catalog Record")</f>
        <v/>
      </c>
      <c r="AT1157">
        <f>HYPERLINK("http://www.worldcat.org/oclc/22732652","WorldCat Record")</f>
        <v/>
      </c>
      <c r="AU1157" t="inlineStr">
        <is>
          <t>24491872:eng</t>
        </is>
      </c>
      <c r="AV1157" t="inlineStr">
        <is>
          <t>22732652</t>
        </is>
      </c>
      <c r="AW1157" t="inlineStr">
        <is>
          <t>991003852589702656</t>
        </is>
      </c>
      <c r="AX1157" t="inlineStr">
        <is>
          <t>991003852589702656</t>
        </is>
      </c>
      <c r="AY1157" t="inlineStr">
        <is>
          <t>2270067580002656</t>
        </is>
      </c>
      <c r="AZ1157" t="inlineStr">
        <is>
          <t>BOOK</t>
        </is>
      </c>
      <c r="BB1157" t="inlineStr">
        <is>
          <t>9780818906022</t>
        </is>
      </c>
      <c r="BC1157" t="inlineStr">
        <is>
          <t>32285004642210</t>
        </is>
      </c>
      <c r="BD1157" t="inlineStr">
        <is>
          <t>893881628</t>
        </is>
      </c>
    </row>
    <row r="1158">
      <c r="A1158" t="inlineStr">
        <is>
          <t>No</t>
        </is>
      </c>
      <c r="B1158" t="inlineStr">
        <is>
          <t>BX2170.C55 M3 1957</t>
        </is>
      </c>
      <c r="C1158" t="inlineStr">
        <is>
          <t>0                      BX 2170000C  55                 M  3           1957</t>
        </is>
      </c>
      <c r="D1158" t="inlineStr">
        <is>
          <t>And cleanse my lips / by Vincent P. McCorry.</t>
        </is>
      </c>
      <c r="F1158" t="inlineStr">
        <is>
          <t>No</t>
        </is>
      </c>
      <c r="G1158" t="inlineStr">
        <is>
          <t>1</t>
        </is>
      </c>
      <c r="H1158" t="inlineStr">
        <is>
          <t>No</t>
        </is>
      </c>
      <c r="I1158" t="inlineStr">
        <is>
          <t>No</t>
        </is>
      </c>
      <c r="J1158" t="inlineStr">
        <is>
          <t>0</t>
        </is>
      </c>
      <c r="K1158" t="inlineStr">
        <is>
          <t>McCorry, Vincent P., 1909-1990.</t>
        </is>
      </c>
      <c r="L1158" t="inlineStr">
        <is>
          <t>Garden City, N.Y. : McMullen Books, [1957]</t>
        </is>
      </c>
      <c r="M1158" t="inlineStr">
        <is>
          <t>1957</t>
        </is>
      </c>
      <c r="O1158" t="inlineStr">
        <is>
          <t>eng</t>
        </is>
      </c>
      <c r="P1158" t="inlineStr">
        <is>
          <t>___</t>
        </is>
      </c>
      <c r="R1158" t="inlineStr">
        <is>
          <t xml:space="preserve">BX </t>
        </is>
      </c>
      <c r="S1158" t="n">
        <v>3</v>
      </c>
      <c r="T1158" t="n">
        <v>3</v>
      </c>
      <c r="U1158" t="inlineStr">
        <is>
          <t>1999-02-02</t>
        </is>
      </c>
      <c r="V1158" t="inlineStr">
        <is>
          <t>1999-02-02</t>
        </is>
      </c>
      <c r="W1158" t="inlineStr">
        <is>
          <t>1991-09-18</t>
        </is>
      </c>
      <c r="X1158" t="inlineStr">
        <is>
          <t>1991-09-18</t>
        </is>
      </c>
      <c r="Y1158" t="n">
        <v>44</v>
      </c>
      <c r="Z1158" t="n">
        <v>39</v>
      </c>
      <c r="AA1158" t="n">
        <v>39</v>
      </c>
      <c r="AB1158" t="n">
        <v>1</v>
      </c>
      <c r="AC1158" t="n">
        <v>1</v>
      </c>
      <c r="AD1158" t="n">
        <v>7</v>
      </c>
      <c r="AE1158" t="n">
        <v>7</v>
      </c>
      <c r="AF1158" t="n">
        <v>3</v>
      </c>
      <c r="AG1158" t="n">
        <v>3</v>
      </c>
      <c r="AH1158" t="n">
        <v>1</v>
      </c>
      <c r="AI1158" t="n">
        <v>1</v>
      </c>
      <c r="AJ1158" t="n">
        <v>6</v>
      </c>
      <c r="AK1158" t="n">
        <v>6</v>
      </c>
      <c r="AL1158" t="n">
        <v>0</v>
      </c>
      <c r="AM1158" t="n">
        <v>0</v>
      </c>
      <c r="AN1158" t="n">
        <v>0</v>
      </c>
      <c r="AO1158" t="n">
        <v>0</v>
      </c>
      <c r="AP1158" t="inlineStr">
        <is>
          <t>No</t>
        </is>
      </c>
      <c r="AQ1158" t="inlineStr">
        <is>
          <t>No</t>
        </is>
      </c>
      <c r="AS1158">
        <f>HYPERLINK("https://creighton-primo.hosted.exlibrisgroup.com/primo-explore/search?tab=default_tab&amp;search_scope=EVERYTHING&amp;vid=01CRU&amp;lang=en_US&amp;offset=0&amp;query=any,contains,991003825249702656","Catalog Record")</f>
        <v/>
      </c>
      <c r="AT1158">
        <f>HYPERLINK("http://www.worldcat.org/oclc/1574318","WorldCat Record")</f>
        <v/>
      </c>
      <c r="AU1158" t="inlineStr">
        <is>
          <t>2434744:eng</t>
        </is>
      </c>
      <c r="AV1158" t="inlineStr">
        <is>
          <t>1574318</t>
        </is>
      </c>
      <c r="AW1158" t="inlineStr">
        <is>
          <t>991003825249702656</t>
        </is>
      </c>
      <c r="AX1158" t="inlineStr">
        <is>
          <t>991003825249702656</t>
        </is>
      </c>
      <c r="AY1158" t="inlineStr">
        <is>
          <t>2266265870002656</t>
        </is>
      </c>
      <c r="AZ1158" t="inlineStr">
        <is>
          <t>BOOK</t>
        </is>
      </c>
      <c r="BC1158" t="inlineStr">
        <is>
          <t>32285000765684</t>
        </is>
      </c>
      <c r="BD1158" t="inlineStr">
        <is>
          <t>893718116</t>
        </is>
      </c>
    </row>
    <row r="1159">
      <c r="A1159" t="inlineStr">
        <is>
          <t>No</t>
        </is>
      </c>
      <c r="B1159" t="inlineStr">
        <is>
          <t>BX2170.C55 R33 1964</t>
        </is>
      </c>
      <c r="C1159" t="inlineStr">
        <is>
          <t>0                      BX 2170000C  55                 R  33          1964</t>
        </is>
      </c>
      <c r="D1159" t="inlineStr">
        <is>
          <t>The eternal year / Translated by John Shea.</t>
        </is>
      </c>
      <c r="F1159" t="inlineStr">
        <is>
          <t>No</t>
        </is>
      </c>
      <c r="G1159" t="inlineStr">
        <is>
          <t>1</t>
        </is>
      </c>
      <c r="H1159" t="inlineStr">
        <is>
          <t>No</t>
        </is>
      </c>
      <c r="I1159" t="inlineStr">
        <is>
          <t>No</t>
        </is>
      </c>
      <c r="J1159" t="inlineStr">
        <is>
          <t>0</t>
        </is>
      </c>
      <c r="K1159" t="inlineStr">
        <is>
          <t>Rahner, Karl, 1904-1984.</t>
        </is>
      </c>
      <c r="L1159" t="inlineStr">
        <is>
          <t>Baltimore : Helicon, [1964]</t>
        </is>
      </c>
      <c r="M1159" t="inlineStr">
        <is>
          <t>1964</t>
        </is>
      </c>
      <c r="O1159" t="inlineStr">
        <is>
          <t>eng</t>
        </is>
      </c>
      <c r="P1159" t="inlineStr">
        <is>
          <t>mdu</t>
        </is>
      </c>
      <c r="R1159" t="inlineStr">
        <is>
          <t xml:space="preserve">BX </t>
        </is>
      </c>
      <c r="S1159" t="n">
        <v>2</v>
      </c>
      <c r="T1159" t="n">
        <v>2</v>
      </c>
      <c r="U1159" t="inlineStr">
        <is>
          <t>1994-07-27</t>
        </is>
      </c>
      <c r="V1159" t="inlineStr">
        <is>
          <t>1994-07-27</t>
        </is>
      </c>
      <c r="W1159" t="inlineStr">
        <is>
          <t>1991-09-18</t>
        </is>
      </c>
      <c r="X1159" t="inlineStr">
        <is>
          <t>1991-09-18</t>
        </is>
      </c>
      <c r="Y1159" t="n">
        <v>299</v>
      </c>
      <c r="Z1159" t="n">
        <v>282</v>
      </c>
      <c r="AA1159" t="n">
        <v>303</v>
      </c>
      <c r="AB1159" t="n">
        <v>4</v>
      </c>
      <c r="AC1159" t="n">
        <v>4</v>
      </c>
      <c r="AD1159" t="n">
        <v>35</v>
      </c>
      <c r="AE1159" t="n">
        <v>35</v>
      </c>
      <c r="AF1159" t="n">
        <v>12</v>
      </c>
      <c r="AG1159" t="n">
        <v>12</v>
      </c>
      <c r="AH1159" t="n">
        <v>7</v>
      </c>
      <c r="AI1159" t="n">
        <v>7</v>
      </c>
      <c r="AJ1159" t="n">
        <v>26</v>
      </c>
      <c r="AK1159" t="n">
        <v>26</v>
      </c>
      <c r="AL1159" t="n">
        <v>1</v>
      </c>
      <c r="AM1159" t="n">
        <v>1</v>
      </c>
      <c r="AN1159" t="n">
        <v>0</v>
      </c>
      <c r="AO1159" t="n">
        <v>0</v>
      </c>
      <c r="AP1159" t="inlineStr">
        <is>
          <t>No</t>
        </is>
      </c>
      <c r="AQ1159" t="inlineStr">
        <is>
          <t>No</t>
        </is>
      </c>
      <c r="AS1159">
        <f>HYPERLINK("https://creighton-primo.hosted.exlibrisgroup.com/primo-explore/search?tab=default_tab&amp;search_scope=EVERYTHING&amp;vid=01CRU&amp;lang=en_US&amp;offset=0&amp;query=any,contains,991003754289702656","Catalog Record")</f>
        <v/>
      </c>
      <c r="AT1159">
        <f>HYPERLINK("http://www.worldcat.org/oclc/1433505","WorldCat Record")</f>
        <v/>
      </c>
      <c r="AU1159" t="inlineStr">
        <is>
          <t>148410602:eng</t>
        </is>
      </c>
      <c r="AV1159" t="inlineStr">
        <is>
          <t>1433505</t>
        </is>
      </c>
      <c r="AW1159" t="inlineStr">
        <is>
          <t>991003754289702656</t>
        </is>
      </c>
      <c r="AX1159" t="inlineStr">
        <is>
          <t>991003754289702656</t>
        </is>
      </c>
      <c r="AY1159" t="inlineStr">
        <is>
          <t>2269554310002656</t>
        </is>
      </c>
      <c r="AZ1159" t="inlineStr">
        <is>
          <t>BOOK</t>
        </is>
      </c>
      <c r="BC1159" t="inlineStr">
        <is>
          <t>32285000765726</t>
        </is>
      </c>
      <c r="BD1159" t="inlineStr">
        <is>
          <t>893617702</t>
        </is>
      </c>
    </row>
    <row r="1160">
      <c r="A1160" t="inlineStr">
        <is>
          <t>No</t>
        </is>
      </c>
      <c r="B1160" t="inlineStr">
        <is>
          <t>BX2170.C55 S69 1984</t>
        </is>
      </c>
      <c r="C1160" t="inlineStr">
        <is>
          <t>0                      BX 2170000C  55                 S  69          1984</t>
        </is>
      </c>
      <c r="D1160" t="inlineStr">
        <is>
          <t>Praying the daily Gospels : a guide to meditation / Philip A. St. Romain.</t>
        </is>
      </c>
      <c r="F1160" t="inlineStr">
        <is>
          <t>No</t>
        </is>
      </c>
      <c r="G1160" t="inlineStr">
        <is>
          <t>1</t>
        </is>
      </c>
      <c r="H1160" t="inlineStr">
        <is>
          <t>No</t>
        </is>
      </c>
      <c r="I1160" t="inlineStr">
        <is>
          <t>No</t>
        </is>
      </c>
      <c r="J1160" t="inlineStr">
        <is>
          <t>0</t>
        </is>
      </c>
      <c r="K1160" t="inlineStr">
        <is>
          <t>St. Romain, Philip A.</t>
        </is>
      </c>
      <c r="L1160" t="inlineStr">
        <is>
          <t>Notre Dame, Ind. : Ave Maria Press, c1984.</t>
        </is>
      </c>
      <c r="M1160" t="inlineStr">
        <is>
          <t>1984</t>
        </is>
      </c>
      <c r="O1160" t="inlineStr">
        <is>
          <t>eng</t>
        </is>
      </c>
      <c r="P1160" t="inlineStr">
        <is>
          <t>inu</t>
        </is>
      </c>
      <c r="R1160" t="inlineStr">
        <is>
          <t xml:space="preserve">BX </t>
        </is>
      </c>
      <c r="S1160" t="n">
        <v>1</v>
      </c>
      <c r="T1160" t="n">
        <v>1</v>
      </c>
      <c r="U1160" t="inlineStr">
        <is>
          <t>2007-06-11</t>
        </is>
      </c>
      <c r="V1160" t="inlineStr">
        <is>
          <t>2007-06-11</t>
        </is>
      </c>
      <c r="W1160" t="inlineStr">
        <is>
          <t>2007-06-11</t>
        </is>
      </c>
      <c r="X1160" t="inlineStr">
        <is>
          <t>2007-06-11</t>
        </is>
      </c>
      <c r="Y1160" t="n">
        <v>48</v>
      </c>
      <c r="Z1160" t="n">
        <v>45</v>
      </c>
      <c r="AA1160" t="n">
        <v>119</v>
      </c>
      <c r="AB1160" t="n">
        <v>2</v>
      </c>
      <c r="AC1160" t="n">
        <v>2</v>
      </c>
      <c r="AD1160" t="n">
        <v>4</v>
      </c>
      <c r="AE1160" t="n">
        <v>4</v>
      </c>
      <c r="AF1160" t="n">
        <v>0</v>
      </c>
      <c r="AG1160" t="n">
        <v>0</v>
      </c>
      <c r="AH1160" t="n">
        <v>0</v>
      </c>
      <c r="AI1160" t="n">
        <v>0</v>
      </c>
      <c r="AJ1160" t="n">
        <v>4</v>
      </c>
      <c r="AK1160" t="n">
        <v>4</v>
      </c>
      <c r="AL1160" t="n">
        <v>0</v>
      </c>
      <c r="AM1160" t="n">
        <v>0</v>
      </c>
      <c r="AN1160" t="n">
        <v>0</v>
      </c>
      <c r="AO1160" t="n">
        <v>0</v>
      </c>
      <c r="AP1160" t="inlineStr">
        <is>
          <t>No</t>
        </is>
      </c>
      <c r="AQ1160" t="inlineStr">
        <is>
          <t>No</t>
        </is>
      </c>
      <c r="AS1160">
        <f>HYPERLINK("https://creighton-primo.hosted.exlibrisgroup.com/primo-explore/search?tab=default_tab&amp;search_scope=EVERYTHING&amp;vid=01CRU&amp;lang=en_US&amp;offset=0&amp;query=any,contains,991005090659702656","Catalog Record")</f>
        <v/>
      </c>
      <c r="AT1160">
        <f>HYPERLINK("http://www.worldcat.org/oclc/11785856","WorldCat Record")</f>
        <v/>
      </c>
      <c r="AU1160" t="inlineStr">
        <is>
          <t>4640417:eng</t>
        </is>
      </c>
      <c r="AV1160" t="inlineStr">
        <is>
          <t>11785856</t>
        </is>
      </c>
      <c r="AW1160" t="inlineStr">
        <is>
          <t>991005090659702656</t>
        </is>
      </c>
      <c r="AX1160" t="inlineStr">
        <is>
          <t>991005090659702656</t>
        </is>
      </c>
      <c r="AY1160" t="inlineStr">
        <is>
          <t>2255747290002656</t>
        </is>
      </c>
      <c r="AZ1160" t="inlineStr">
        <is>
          <t>BOOK</t>
        </is>
      </c>
      <c r="BB1160" t="inlineStr">
        <is>
          <t>9780877933144</t>
        </is>
      </c>
      <c r="BC1160" t="inlineStr">
        <is>
          <t>32285005316376</t>
        </is>
      </c>
      <c r="BD1160" t="inlineStr">
        <is>
          <t>893533144</t>
        </is>
      </c>
    </row>
    <row r="1161">
      <c r="A1161" t="inlineStr">
        <is>
          <t>No</t>
        </is>
      </c>
      <c r="B1161" t="inlineStr">
        <is>
          <t>BX2170.C55 S79 2004</t>
        </is>
      </c>
      <c r="C1161" t="inlineStr">
        <is>
          <t>0                      BX 2170000C  55                 S  79          2004</t>
        </is>
      </c>
      <c r="D1161" t="inlineStr">
        <is>
          <t>A prayer book of Catholic devotions : praying the seasons and feasts of the church year / William G. Storey.</t>
        </is>
      </c>
      <c r="F1161" t="inlineStr">
        <is>
          <t>No</t>
        </is>
      </c>
      <c r="G1161" t="inlineStr">
        <is>
          <t>1</t>
        </is>
      </c>
      <c r="H1161" t="inlineStr">
        <is>
          <t>No</t>
        </is>
      </c>
      <c r="I1161" t="inlineStr">
        <is>
          <t>No</t>
        </is>
      </c>
      <c r="J1161" t="inlineStr">
        <is>
          <t>0</t>
        </is>
      </c>
      <c r="K1161" t="inlineStr">
        <is>
          <t>Storey, William G., 1923-2014.</t>
        </is>
      </c>
      <c r="L1161" t="inlineStr">
        <is>
          <t>Chicago, Ill. : Loyola Press, c2004.</t>
        </is>
      </c>
      <c r="M1161" t="inlineStr">
        <is>
          <t>2004</t>
        </is>
      </c>
      <c r="O1161" t="inlineStr">
        <is>
          <t>eng</t>
        </is>
      </c>
      <c r="P1161" t="inlineStr">
        <is>
          <t>ilu</t>
        </is>
      </c>
      <c r="R1161" t="inlineStr">
        <is>
          <t xml:space="preserve">BX </t>
        </is>
      </c>
      <c r="S1161" t="n">
        <v>1</v>
      </c>
      <c r="T1161" t="n">
        <v>1</v>
      </c>
      <c r="U1161" t="inlineStr">
        <is>
          <t>2010-08-30</t>
        </is>
      </c>
      <c r="V1161" t="inlineStr">
        <is>
          <t>2010-08-30</t>
        </is>
      </c>
      <c r="W1161" t="inlineStr">
        <is>
          <t>2010-08-30</t>
        </is>
      </c>
      <c r="X1161" t="inlineStr">
        <is>
          <t>2010-08-30</t>
        </is>
      </c>
      <c r="Y1161" t="n">
        <v>33</v>
      </c>
      <c r="Z1161" t="n">
        <v>28</v>
      </c>
      <c r="AA1161" t="n">
        <v>28</v>
      </c>
      <c r="AB1161" t="n">
        <v>1</v>
      </c>
      <c r="AC1161" t="n">
        <v>1</v>
      </c>
      <c r="AD1161" t="n">
        <v>4</v>
      </c>
      <c r="AE1161" t="n">
        <v>4</v>
      </c>
      <c r="AF1161" t="n">
        <v>0</v>
      </c>
      <c r="AG1161" t="n">
        <v>0</v>
      </c>
      <c r="AH1161" t="n">
        <v>1</v>
      </c>
      <c r="AI1161" t="n">
        <v>1</v>
      </c>
      <c r="AJ1161" t="n">
        <v>4</v>
      </c>
      <c r="AK1161" t="n">
        <v>4</v>
      </c>
      <c r="AL1161" t="n">
        <v>0</v>
      </c>
      <c r="AM1161" t="n">
        <v>0</v>
      </c>
      <c r="AN1161" t="n">
        <v>0</v>
      </c>
      <c r="AO1161" t="n">
        <v>0</v>
      </c>
      <c r="AP1161" t="inlineStr">
        <is>
          <t>No</t>
        </is>
      </c>
      <c r="AQ1161" t="inlineStr">
        <is>
          <t>No</t>
        </is>
      </c>
      <c r="AS1161">
        <f>HYPERLINK("https://creighton-primo.hosted.exlibrisgroup.com/primo-explore/search?tab=default_tab&amp;search_scope=EVERYTHING&amp;vid=01CRU&amp;lang=en_US&amp;offset=0&amp;query=any,contains,991000049999702656","Catalog Record")</f>
        <v/>
      </c>
      <c r="AT1161">
        <f>HYPERLINK("http://www.worldcat.org/oclc/52858361","WorldCat Record")</f>
        <v/>
      </c>
      <c r="AU1161" t="inlineStr">
        <is>
          <t>720655:eng</t>
        </is>
      </c>
      <c r="AV1161" t="inlineStr">
        <is>
          <t>52858361</t>
        </is>
      </c>
      <c r="AW1161" t="inlineStr">
        <is>
          <t>991000049999702656</t>
        </is>
      </c>
      <c r="AX1161" t="inlineStr">
        <is>
          <t>991000049999702656</t>
        </is>
      </c>
      <c r="AY1161" t="inlineStr">
        <is>
          <t>2260828220002656</t>
        </is>
      </c>
      <c r="AZ1161" t="inlineStr">
        <is>
          <t>BOOK</t>
        </is>
      </c>
      <c r="BB1161" t="inlineStr">
        <is>
          <t>9780829420302</t>
        </is>
      </c>
      <c r="BC1161" t="inlineStr">
        <is>
          <t>32285005593453</t>
        </is>
      </c>
      <c r="BD1161" t="inlineStr">
        <is>
          <t>893242931</t>
        </is>
      </c>
    </row>
    <row r="1162">
      <c r="A1162" t="inlineStr">
        <is>
          <t>No</t>
        </is>
      </c>
      <c r="B1162" t="inlineStr">
        <is>
          <t>BX2170.F3 H3 1979</t>
        </is>
      </c>
      <c r="C1162" t="inlineStr">
        <is>
          <t>0                      BX 2170000F  3                  H  3           1979</t>
        </is>
      </c>
      <c r="D1162" t="inlineStr">
        <is>
          <t>Prayers for the domestic church : a handbook for worship in the home / by Edward Hays.</t>
        </is>
      </c>
      <c r="F1162" t="inlineStr">
        <is>
          <t>No</t>
        </is>
      </c>
      <c r="G1162" t="inlineStr">
        <is>
          <t>1</t>
        </is>
      </c>
      <c r="H1162" t="inlineStr">
        <is>
          <t>No</t>
        </is>
      </c>
      <c r="I1162" t="inlineStr">
        <is>
          <t>No</t>
        </is>
      </c>
      <c r="J1162" t="inlineStr">
        <is>
          <t>0</t>
        </is>
      </c>
      <c r="K1162" t="inlineStr">
        <is>
          <t>Hays, Edward M.</t>
        </is>
      </c>
      <c r="L1162" t="inlineStr">
        <is>
          <t>Notre Dame, IN : Forest of Peace Books, 1979.</t>
        </is>
      </c>
      <c r="M1162" t="inlineStr">
        <is>
          <t>1979</t>
        </is>
      </c>
      <c r="O1162" t="inlineStr">
        <is>
          <t>eng</t>
        </is>
      </c>
      <c r="P1162" t="inlineStr">
        <is>
          <t>inu</t>
        </is>
      </c>
      <c r="R1162" t="inlineStr">
        <is>
          <t xml:space="preserve">BX </t>
        </is>
      </c>
      <c r="S1162" t="n">
        <v>2</v>
      </c>
      <c r="T1162" t="n">
        <v>2</v>
      </c>
      <c r="U1162" t="inlineStr">
        <is>
          <t>2010-07-21</t>
        </is>
      </c>
      <c r="V1162" t="inlineStr">
        <is>
          <t>2010-07-21</t>
        </is>
      </c>
      <c r="W1162" t="inlineStr">
        <is>
          <t>2006-05-31</t>
        </is>
      </c>
      <c r="X1162" t="inlineStr">
        <is>
          <t>2006-05-31</t>
        </is>
      </c>
      <c r="Y1162" t="n">
        <v>32</v>
      </c>
      <c r="Z1162" t="n">
        <v>28</v>
      </c>
      <c r="AA1162" t="n">
        <v>154</v>
      </c>
      <c r="AB1162" t="n">
        <v>1</v>
      </c>
      <c r="AC1162" t="n">
        <v>3</v>
      </c>
      <c r="AD1162" t="n">
        <v>3</v>
      </c>
      <c r="AE1162" t="n">
        <v>13</v>
      </c>
      <c r="AF1162" t="n">
        <v>0</v>
      </c>
      <c r="AG1162" t="n">
        <v>2</v>
      </c>
      <c r="AH1162" t="n">
        <v>1</v>
      </c>
      <c r="AI1162" t="n">
        <v>3</v>
      </c>
      <c r="AJ1162" t="n">
        <v>1</v>
      </c>
      <c r="AK1162" t="n">
        <v>8</v>
      </c>
      <c r="AL1162" t="n">
        <v>1</v>
      </c>
      <c r="AM1162" t="n">
        <v>1</v>
      </c>
      <c r="AN1162" t="n">
        <v>0</v>
      </c>
      <c r="AO1162" t="n">
        <v>0</v>
      </c>
      <c r="AP1162" t="inlineStr">
        <is>
          <t>No</t>
        </is>
      </c>
      <c r="AQ1162" t="inlineStr">
        <is>
          <t>No</t>
        </is>
      </c>
      <c r="AS1162">
        <f>HYPERLINK("https://creighton-primo.hosted.exlibrisgroup.com/primo-explore/search?tab=default_tab&amp;search_scope=EVERYTHING&amp;vid=01CRU&amp;lang=en_US&amp;offset=0&amp;query=any,contains,991004824319702656","Catalog Record")</f>
        <v/>
      </c>
      <c r="AT1162">
        <f>HYPERLINK("http://www.worldcat.org/oclc/5782182","WorldCat Record")</f>
        <v/>
      </c>
      <c r="AU1162" t="inlineStr">
        <is>
          <t>383291:eng</t>
        </is>
      </c>
      <c r="AV1162" t="inlineStr">
        <is>
          <t>5782182</t>
        </is>
      </c>
      <c r="AW1162" t="inlineStr">
        <is>
          <t>991004824319702656</t>
        </is>
      </c>
      <c r="AX1162" t="inlineStr">
        <is>
          <t>991004824319702656</t>
        </is>
      </c>
      <c r="AY1162" t="inlineStr">
        <is>
          <t>2267721670002656</t>
        </is>
      </c>
      <c r="AZ1162" t="inlineStr">
        <is>
          <t>BOOK</t>
        </is>
      </c>
      <c r="BB1162" t="inlineStr">
        <is>
          <t>9781939516114</t>
        </is>
      </c>
      <c r="BC1162" t="inlineStr">
        <is>
          <t>32285005190045</t>
        </is>
      </c>
      <c r="BD1162" t="inlineStr">
        <is>
          <t>893319678</t>
        </is>
      </c>
    </row>
    <row r="1163">
      <c r="A1163" t="inlineStr">
        <is>
          <t>No</t>
        </is>
      </c>
      <c r="B1163" t="inlineStr">
        <is>
          <t>BX2170.F3 M68</t>
        </is>
      </c>
      <c r="C1163" t="inlineStr">
        <is>
          <t>0                      BX 2170000F  3                  M  68</t>
        </is>
      </c>
      <c r="D1163" t="inlineStr">
        <is>
          <t>Home celebrations; studies in American pastoral liturgy / by Lawrence E. Moser.</t>
        </is>
      </c>
      <c r="F1163" t="inlineStr">
        <is>
          <t>No</t>
        </is>
      </c>
      <c r="G1163" t="inlineStr">
        <is>
          <t>1</t>
        </is>
      </c>
      <c r="H1163" t="inlineStr">
        <is>
          <t>No</t>
        </is>
      </c>
      <c r="I1163" t="inlineStr">
        <is>
          <t>No</t>
        </is>
      </c>
      <c r="J1163" t="inlineStr">
        <is>
          <t>0</t>
        </is>
      </c>
      <c r="K1163" t="inlineStr">
        <is>
          <t>Moser, Lawrence E., 1939-</t>
        </is>
      </c>
      <c r="L1163" t="inlineStr">
        <is>
          <t>Paramus, N.J. : Newman Press, c1970.</t>
        </is>
      </c>
      <c r="M1163" t="inlineStr">
        <is>
          <t>1970</t>
        </is>
      </c>
      <c r="O1163" t="inlineStr">
        <is>
          <t>eng</t>
        </is>
      </c>
      <c r="P1163" t="inlineStr">
        <is>
          <t>nju</t>
        </is>
      </c>
      <c r="R1163" t="inlineStr">
        <is>
          <t xml:space="preserve">BX </t>
        </is>
      </c>
      <c r="S1163" t="n">
        <v>5</v>
      </c>
      <c r="T1163" t="n">
        <v>5</v>
      </c>
      <c r="U1163" t="inlineStr">
        <is>
          <t>1996-01-15</t>
        </is>
      </c>
      <c r="V1163" t="inlineStr">
        <is>
          <t>1996-01-15</t>
        </is>
      </c>
      <c r="W1163" t="inlineStr">
        <is>
          <t>1990-08-14</t>
        </is>
      </c>
      <c r="X1163" t="inlineStr">
        <is>
          <t>1990-08-14</t>
        </is>
      </c>
      <c r="Y1163" t="n">
        <v>151</v>
      </c>
      <c r="Z1163" t="n">
        <v>132</v>
      </c>
      <c r="AA1163" t="n">
        <v>150</v>
      </c>
      <c r="AB1163" t="n">
        <v>3</v>
      </c>
      <c r="AC1163" t="n">
        <v>3</v>
      </c>
      <c r="AD1163" t="n">
        <v>16</v>
      </c>
      <c r="AE1163" t="n">
        <v>18</v>
      </c>
      <c r="AF1163" t="n">
        <v>5</v>
      </c>
      <c r="AG1163" t="n">
        <v>6</v>
      </c>
      <c r="AH1163" t="n">
        <v>3</v>
      </c>
      <c r="AI1163" t="n">
        <v>3</v>
      </c>
      <c r="AJ1163" t="n">
        <v>12</v>
      </c>
      <c r="AK1163" t="n">
        <v>14</v>
      </c>
      <c r="AL1163" t="n">
        <v>1</v>
      </c>
      <c r="AM1163" t="n">
        <v>1</v>
      </c>
      <c r="AN1163" t="n">
        <v>0</v>
      </c>
      <c r="AO1163" t="n">
        <v>0</v>
      </c>
      <c r="AP1163" t="inlineStr">
        <is>
          <t>No</t>
        </is>
      </c>
      <c r="AQ1163" t="inlineStr">
        <is>
          <t>No</t>
        </is>
      </c>
      <c r="AS1163">
        <f>HYPERLINK("https://creighton-primo.hosted.exlibrisgroup.com/primo-explore/search?tab=default_tab&amp;search_scope=EVERYTHING&amp;vid=01CRU&amp;lang=en_US&amp;offset=0&amp;query=any,contains,991000622299702656","Catalog Record")</f>
        <v/>
      </c>
      <c r="AT1163">
        <f>HYPERLINK("http://www.worldcat.org/oclc/102852","WorldCat Record")</f>
        <v/>
      </c>
      <c r="AU1163" t="inlineStr">
        <is>
          <t>1176611:eng</t>
        </is>
      </c>
      <c r="AV1163" t="inlineStr">
        <is>
          <t>102852</t>
        </is>
      </c>
      <c r="AW1163" t="inlineStr">
        <is>
          <t>991000622299702656</t>
        </is>
      </c>
      <c r="AX1163" t="inlineStr">
        <is>
          <t>991000622299702656</t>
        </is>
      </c>
      <c r="AY1163" t="inlineStr">
        <is>
          <t>2259748950002656</t>
        </is>
      </c>
      <c r="AZ1163" t="inlineStr">
        <is>
          <t>BOOK</t>
        </is>
      </c>
      <c r="BC1163" t="inlineStr">
        <is>
          <t>32285000268457</t>
        </is>
      </c>
      <c r="BD1163" t="inlineStr">
        <is>
          <t>893438439</t>
        </is>
      </c>
    </row>
    <row r="1164">
      <c r="A1164" t="inlineStr">
        <is>
          <t>No</t>
        </is>
      </c>
      <c r="B1164" t="inlineStr">
        <is>
          <t>BX2170.L4 B8 1936</t>
        </is>
      </c>
      <c r="C1164" t="inlineStr">
        <is>
          <t>0                      BX 2170000L  4                  B  8           1936</t>
        </is>
      </c>
      <c r="D1164" t="inlineStr">
        <is>
          <t>Lent and the mass / by John J. Burke.</t>
        </is>
      </c>
      <c r="F1164" t="inlineStr">
        <is>
          <t>No</t>
        </is>
      </c>
      <c r="G1164" t="inlineStr">
        <is>
          <t>1</t>
        </is>
      </c>
      <c r="H1164" t="inlineStr">
        <is>
          <t>No</t>
        </is>
      </c>
      <c r="I1164" t="inlineStr">
        <is>
          <t>No</t>
        </is>
      </c>
      <c r="J1164" t="inlineStr">
        <is>
          <t>0</t>
        </is>
      </c>
      <c r="K1164" t="inlineStr">
        <is>
          <t>Burke, John J. (John James), 1857-1945.</t>
        </is>
      </c>
      <c r="L1164" t="inlineStr">
        <is>
          <t>New York : Benziger, 1936.</t>
        </is>
      </c>
      <c r="M1164" t="inlineStr">
        <is>
          <t>1936</t>
        </is>
      </c>
      <c r="O1164" t="inlineStr">
        <is>
          <t>eng</t>
        </is>
      </c>
      <c r="P1164" t="inlineStr">
        <is>
          <t xml:space="preserve">xx </t>
        </is>
      </c>
      <c r="R1164" t="inlineStr">
        <is>
          <t xml:space="preserve">BX </t>
        </is>
      </c>
      <c r="S1164" t="n">
        <v>4</v>
      </c>
      <c r="T1164" t="n">
        <v>4</v>
      </c>
      <c r="U1164" t="inlineStr">
        <is>
          <t>1999-02-02</t>
        </is>
      </c>
      <c r="V1164" t="inlineStr">
        <is>
          <t>1999-02-02</t>
        </is>
      </c>
      <c r="W1164" t="inlineStr">
        <is>
          <t>1991-09-18</t>
        </is>
      </c>
      <c r="X1164" t="inlineStr">
        <is>
          <t>1991-09-18</t>
        </is>
      </c>
      <c r="Y1164" t="n">
        <v>56</v>
      </c>
      <c r="Z1164" t="n">
        <v>54</v>
      </c>
      <c r="AA1164" t="n">
        <v>54</v>
      </c>
      <c r="AB1164" t="n">
        <v>2</v>
      </c>
      <c r="AC1164" t="n">
        <v>2</v>
      </c>
      <c r="AD1164" t="n">
        <v>11</v>
      </c>
      <c r="AE1164" t="n">
        <v>11</v>
      </c>
      <c r="AF1164" t="n">
        <v>0</v>
      </c>
      <c r="AG1164" t="n">
        <v>0</v>
      </c>
      <c r="AH1164" t="n">
        <v>5</v>
      </c>
      <c r="AI1164" t="n">
        <v>5</v>
      </c>
      <c r="AJ1164" t="n">
        <v>8</v>
      </c>
      <c r="AK1164" t="n">
        <v>8</v>
      </c>
      <c r="AL1164" t="n">
        <v>0</v>
      </c>
      <c r="AM1164" t="n">
        <v>0</v>
      </c>
      <c r="AN1164" t="n">
        <v>0</v>
      </c>
      <c r="AO1164" t="n">
        <v>0</v>
      </c>
      <c r="AP1164" t="inlineStr">
        <is>
          <t>No</t>
        </is>
      </c>
      <c r="AQ1164" t="inlineStr">
        <is>
          <t>No</t>
        </is>
      </c>
      <c r="AS1164">
        <f>HYPERLINK("https://creighton-primo.hosted.exlibrisgroup.com/primo-explore/search?tab=default_tab&amp;search_scope=EVERYTHING&amp;vid=01CRU&amp;lang=en_US&amp;offset=0&amp;query=any,contains,991003749389702656","Catalog Record")</f>
        <v/>
      </c>
      <c r="AT1164">
        <f>HYPERLINK("http://www.worldcat.org/oclc/1423450","WorldCat Record")</f>
        <v/>
      </c>
      <c r="AU1164" t="inlineStr">
        <is>
          <t>2292931:eng</t>
        </is>
      </c>
      <c r="AV1164" t="inlineStr">
        <is>
          <t>1423450</t>
        </is>
      </c>
      <c r="AW1164" t="inlineStr">
        <is>
          <t>991003749389702656</t>
        </is>
      </c>
      <c r="AX1164" t="inlineStr">
        <is>
          <t>991003749389702656</t>
        </is>
      </c>
      <c r="AY1164" t="inlineStr">
        <is>
          <t>2269629420002656</t>
        </is>
      </c>
      <c r="AZ1164" t="inlineStr">
        <is>
          <t>BOOK</t>
        </is>
      </c>
      <c r="BC1164" t="inlineStr">
        <is>
          <t>32285000765791</t>
        </is>
      </c>
      <c r="BD1164" t="inlineStr">
        <is>
          <t>893234525</t>
        </is>
      </c>
    </row>
    <row r="1165">
      <c r="A1165" t="inlineStr">
        <is>
          <t>No</t>
        </is>
      </c>
      <c r="B1165" t="inlineStr">
        <is>
          <t>BX2170.L4 C37 1989</t>
        </is>
      </c>
      <c r="C1165" t="inlineStr">
        <is>
          <t>0                      BX 2170000L  4                  C  37          1989</t>
        </is>
      </c>
      <c r="D1165" t="inlineStr">
        <is>
          <t>Prayers of the Lenten and Easter seasons / National Conference of Catholic Bishops.</t>
        </is>
      </c>
      <c r="F1165" t="inlineStr">
        <is>
          <t>No</t>
        </is>
      </c>
      <c r="G1165" t="inlineStr">
        <is>
          <t>1</t>
        </is>
      </c>
      <c r="H1165" t="inlineStr">
        <is>
          <t>No</t>
        </is>
      </c>
      <c r="I1165" t="inlineStr">
        <is>
          <t>No</t>
        </is>
      </c>
      <c r="J1165" t="inlineStr">
        <is>
          <t>0</t>
        </is>
      </c>
      <c r="K1165" t="inlineStr">
        <is>
          <t>Catholic Church. National Conference of Catholic Bishops. Bishops' Committee on the Liturgy.</t>
        </is>
      </c>
      <c r="L1165" t="inlineStr">
        <is>
          <t>Washington, D.C. United States Catholic Conference, 1989.</t>
        </is>
      </c>
      <c r="M1165" t="inlineStr">
        <is>
          <t>1989</t>
        </is>
      </c>
      <c r="O1165" t="inlineStr">
        <is>
          <t>eng</t>
        </is>
      </c>
      <c r="P1165" t="inlineStr">
        <is>
          <t>dcu</t>
        </is>
      </c>
      <c r="Q1165" t="inlineStr">
        <is>
          <t>Publication / Office for Publishing and Promotion Services, United States Catholic Conference ; no. 301-9</t>
        </is>
      </c>
      <c r="R1165" t="inlineStr">
        <is>
          <t xml:space="preserve">BX </t>
        </is>
      </c>
      <c r="S1165" t="n">
        <v>1</v>
      </c>
      <c r="T1165" t="n">
        <v>1</v>
      </c>
      <c r="U1165" t="inlineStr">
        <is>
          <t>1994-07-20</t>
        </is>
      </c>
      <c r="V1165" t="inlineStr">
        <is>
          <t>1994-07-20</t>
        </is>
      </c>
      <c r="W1165" t="inlineStr">
        <is>
          <t>1990-04-20</t>
        </is>
      </c>
      <c r="X1165" t="inlineStr">
        <is>
          <t>1990-04-20</t>
        </is>
      </c>
      <c r="Y1165" t="n">
        <v>77</v>
      </c>
      <c r="Z1165" t="n">
        <v>72</v>
      </c>
      <c r="AA1165" t="n">
        <v>72</v>
      </c>
      <c r="AB1165" t="n">
        <v>1</v>
      </c>
      <c r="AC1165" t="n">
        <v>1</v>
      </c>
      <c r="AD1165" t="n">
        <v>9</v>
      </c>
      <c r="AE1165" t="n">
        <v>9</v>
      </c>
      <c r="AF1165" t="n">
        <v>3</v>
      </c>
      <c r="AG1165" t="n">
        <v>3</v>
      </c>
      <c r="AH1165" t="n">
        <v>1</v>
      </c>
      <c r="AI1165" t="n">
        <v>1</v>
      </c>
      <c r="AJ1165" t="n">
        <v>8</v>
      </c>
      <c r="AK1165" t="n">
        <v>8</v>
      </c>
      <c r="AL1165" t="n">
        <v>0</v>
      </c>
      <c r="AM1165" t="n">
        <v>0</v>
      </c>
      <c r="AN1165" t="n">
        <v>0</v>
      </c>
      <c r="AO1165" t="n">
        <v>0</v>
      </c>
      <c r="AP1165" t="inlineStr">
        <is>
          <t>No</t>
        </is>
      </c>
      <c r="AQ1165" t="inlineStr">
        <is>
          <t>No</t>
        </is>
      </c>
      <c r="AS1165">
        <f>HYPERLINK("https://creighton-primo.hosted.exlibrisgroup.com/primo-explore/search?tab=default_tab&amp;search_scope=EVERYTHING&amp;vid=01CRU&amp;lang=en_US&amp;offset=0&amp;query=any,contains,991001670639702656","Catalog Record")</f>
        <v/>
      </c>
      <c r="AT1165">
        <f>HYPERLINK("http://www.worldcat.org/oclc/21288591","WorldCat Record")</f>
        <v/>
      </c>
      <c r="AU1165" t="inlineStr">
        <is>
          <t>23535366:eng</t>
        </is>
      </c>
      <c r="AV1165" t="inlineStr">
        <is>
          <t>21288591</t>
        </is>
      </c>
      <c r="AW1165" t="inlineStr">
        <is>
          <t>991001670639702656</t>
        </is>
      </c>
      <c r="AX1165" t="inlineStr">
        <is>
          <t>991001670639702656</t>
        </is>
      </c>
      <c r="AY1165" t="inlineStr">
        <is>
          <t>2259214100002656</t>
        </is>
      </c>
      <c r="AZ1165" t="inlineStr">
        <is>
          <t>BOOK</t>
        </is>
      </c>
      <c r="BB1165" t="inlineStr">
        <is>
          <t>9781555863012</t>
        </is>
      </c>
      <c r="BC1165" t="inlineStr">
        <is>
          <t>32285000022128</t>
        </is>
      </c>
      <c r="BD1165" t="inlineStr">
        <is>
          <t>893696923</t>
        </is>
      </c>
    </row>
    <row r="1166">
      <c r="A1166" t="inlineStr">
        <is>
          <t>No</t>
        </is>
      </c>
      <c r="B1166" t="inlineStr">
        <is>
          <t>BX2170.L4 C6 1952</t>
        </is>
      </c>
      <c r="C1166" t="inlineStr">
        <is>
          <t>0                      BX 2170000L  4                  C  6           1952</t>
        </is>
      </c>
      <c r="D1166" t="inlineStr">
        <is>
          <t>Forty steps to Easter / Aloysius F. Coogan ; with a pref. by Francis Cardinal Spellman.</t>
        </is>
      </c>
      <c r="F1166" t="inlineStr">
        <is>
          <t>No</t>
        </is>
      </c>
      <c r="G1166" t="inlineStr">
        <is>
          <t>1</t>
        </is>
      </c>
      <c r="H1166" t="inlineStr">
        <is>
          <t>No</t>
        </is>
      </c>
      <c r="I1166" t="inlineStr">
        <is>
          <t>No</t>
        </is>
      </c>
      <c r="J1166" t="inlineStr">
        <is>
          <t>0</t>
        </is>
      </c>
      <c r="K1166" t="inlineStr">
        <is>
          <t>Coogan, Aloysius F.</t>
        </is>
      </c>
      <c r="L1166" t="inlineStr">
        <is>
          <t>Milwaukee : Bruce Pub. Co., [1952]</t>
        </is>
      </c>
      <c r="M1166" t="inlineStr">
        <is>
          <t>1952</t>
        </is>
      </c>
      <c r="O1166" t="inlineStr">
        <is>
          <t>eng</t>
        </is>
      </c>
      <c r="P1166" t="inlineStr">
        <is>
          <t>wiu</t>
        </is>
      </c>
      <c r="R1166" t="inlineStr">
        <is>
          <t xml:space="preserve">BX </t>
        </is>
      </c>
      <c r="S1166" t="n">
        <v>3</v>
      </c>
      <c r="T1166" t="n">
        <v>3</v>
      </c>
      <c r="U1166" t="inlineStr">
        <is>
          <t>1999-02-02</t>
        </is>
      </c>
      <c r="V1166" t="inlineStr">
        <is>
          <t>1999-02-02</t>
        </is>
      </c>
      <c r="W1166" t="inlineStr">
        <is>
          <t>1991-09-18</t>
        </is>
      </c>
      <c r="X1166" t="inlineStr">
        <is>
          <t>1991-09-18</t>
        </is>
      </c>
      <c r="Y1166" t="n">
        <v>101</v>
      </c>
      <c r="Z1166" t="n">
        <v>97</v>
      </c>
      <c r="AA1166" t="n">
        <v>97</v>
      </c>
      <c r="AB1166" t="n">
        <v>3</v>
      </c>
      <c r="AC1166" t="n">
        <v>3</v>
      </c>
      <c r="AD1166" t="n">
        <v>17</v>
      </c>
      <c r="AE1166" t="n">
        <v>17</v>
      </c>
      <c r="AF1166" t="n">
        <v>4</v>
      </c>
      <c r="AG1166" t="n">
        <v>4</v>
      </c>
      <c r="AH1166" t="n">
        <v>4</v>
      </c>
      <c r="AI1166" t="n">
        <v>4</v>
      </c>
      <c r="AJ1166" t="n">
        <v>13</v>
      </c>
      <c r="AK1166" t="n">
        <v>13</v>
      </c>
      <c r="AL1166" t="n">
        <v>0</v>
      </c>
      <c r="AM1166" t="n">
        <v>0</v>
      </c>
      <c r="AN1166" t="n">
        <v>0</v>
      </c>
      <c r="AO1166" t="n">
        <v>0</v>
      </c>
      <c r="AP1166" t="inlineStr">
        <is>
          <t>No</t>
        </is>
      </c>
      <c r="AQ1166" t="inlineStr">
        <is>
          <t>No</t>
        </is>
      </c>
      <c r="AS1166">
        <f>HYPERLINK("https://creighton-primo.hosted.exlibrisgroup.com/primo-explore/search?tab=default_tab&amp;search_scope=EVERYTHING&amp;vid=01CRU&amp;lang=en_US&amp;offset=0&amp;query=any,contains,991004014169702656","Catalog Record")</f>
        <v/>
      </c>
      <c r="AT1166">
        <f>HYPERLINK("http://www.worldcat.org/oclc/2101464","WorldCat Record")</f>
        <v/>
      </c>
      <c r="AU1166" t="inlineStr">
        <is>
          <t>3464017:eng</t>
        </is>
      </c>
      <c r="AV1166" t="inlineStr">
        <is>
          <t>2101464</t>
        </is>
      </c>
      <c r="AW1166" t="inlineStr">
        <is>
          <t>991004014169702656</t>
        </is>
      </c>
      <c r="AX1166" t="inlineStr">
        <is>
          <t>991004014169702656</t>
        </is>
      </c>
      <c r="AY1166" t="inlineStr">
        <is>
          <t>2272001520002656</t>
        </is>
      </c>
      <c r="AZ1166" t="inlineStr">
        <is>
          <t>BOOK</t>
        </is>
      </c>
      <c r="BC1166" t="inlineStr">
        <is>
          <t>32285000765809</t>
        </is>
      </c>
      <c r="BD1166" t="inlineStr">
        <is>
          <t>893234950</t>
        </is>
      </c>
    </row>
    <row r="1167">
      <c r="A1167" t="inlineStr">
        <is>
          <t>No</t>
        </is>
      </c>
      <c r="B1167" t="inlineStr">
        <is>
          <t>BX2170.M3 R57 1972</t>
        </is>
      </c>
      <c r="C1167" t="inlineStr">
        <is>
          <t>0                      BX 2170000M  3                  R  57          1972</t>
        </is>
      </c>
      <c r="D1167" t="inlineStr">
        <is>
          <t>Ordo celebrandi matrimonium.</t>
        </is>
      </c>
      <c r="F1167" t="inlineStr">
        <is>
          <t>No</t>
        </is>
      </c>
      <c r="G1167" t="inlineStr">
        <is>
          <t>1</t>
        </is>
      </c>
      <c r="H1167" t="inlineStr">
        <is>
          <t>No</t>
        </is>
      </c>
      <c r="I1167" t="inlineStr">
        <is>
          <t>No</t>
        </is>
      </c>
      <c r="J1167" t="inlineStr">
        <is>
          <t>0</t>
        </is>
      </c>
      <c r="K1167" t="inlineStr">
        <is>
          <t>Catholic Church.</t>
        </is>
      </c>
      <c r="L1167" t="inlineStr">
        <is>
          <t>[Roma] : Typis Polyglottis Vaticanis, 1972.</t>
        </is>
      </c>
      <c r="M1167" t="inlineStr">
        <is>
          <t>1969</t>
        </is>
      </c>
      <c r="N1167" t="inlineStr">
        <is>
          <t>Editio typica</t>
        </is>
      </c>
      <c r="O1167" t="inlineStr">
        <is>
          <t>eng</t>
        </is>
      </c>
      <c r="P1167" t="inlineStr">
        <is>
          <t xml:space="preserve">xx </t>
        </is>
      </c>
      <c r="R1167" t="inlineStr">
        <is>
          <t xml:space="preserve">BX </t>
        </is>
      </c>
      <c r="S1167" t="n">
        <v>1</v>
      </c>
      <c r="T1167" t="n">
        <v>1</v>
      </c>
      <c r="U1167" t="inlineStr">
        <is>
          <t>2003-09-18</t>
        </is>
      </c>
      <c r="V1167" t="inlineStr">
        <is>
          <t>2003-09-18</t>
        </is>
      </c>
      <c r="W1167" t="inlineStr">
        <is>
          <t>1991-09-18</t>
        </is>
      </c>
      <c r="X1167" t="inlineStr">
        <is>
          <t>1991-09-18</t>
        </is>
      </c>
      <c r="Y1167" t="n">
        <v>33</v>
      </c>
      <c r="Z1167" t="n">
        <v>31</v>
      </c>
      <c r="AA1167" t="n">
        <v>31</v>
      </c>
      <c r="AB1167" t="n">
        <v>2</v>
      </c>
      <c r="AC1167" t="n">
        <v>2</v>
      </c>
      <c r="AD1167" t="n">
        <v>5</v>
      </c>
      <c r="AE1167" t="n">
        <v>5</v>
      </c>
      <c r="AF1167" t="n">
        <v>1</v>
      </c>
      <c r="AG1167" t="n">
        <v>1</v>
      </c>
      <c r="AH1167" t="n">
        <v>1</v>
      </c>
      <c r="AI1167" t="n">
        <v>1</v>
      </c>
      <c r="AJ1167" t="n">
        <v>4</v>
      </c>
      <c r="AK1167" t="n">
        <v>4</v>
      </c>
      <c r="AL1167" t="n">
        <v>0</v>
      </c>
      <c r="AM1167" t="n">
        <v>0</v>
      </c>
      <c r="AN1167" t="n">
        <v>0</v>
      </c>
      <c r="AO1167" t="n">
        <v>0</v>
      </c>
      <c r="AP1167" t="inlineStr">
        <is>
          <t>No</t>
        </is>
      </c>
      <c r="AQ1167" t="inlineStr">
        <is>
          <t>No</t>
        </is>
      </c>
      <c r="AS1167">
        <f>HYPERLINK("https://creighton-primo.hosted.exlibrisgroup.com/primo-explore/search?tab=default_tab&amp;search_scope=EVERYTHING&amp;vid=01CRU&amp;lang=en_US&amp;offset=0&amp;query=any,contains,991002971729702656","Catalog Record")</f>
        <v/>
      </c>
      <c r="AT1167">
        <f>HYPERLINK("http://www.worldcat.org/oclc/549566","WorldCat Record")</f>
        <v/>
      </c>
      <c r="AU1167" t="inlineStr">
        <is>
          <t>102880382:eng</t>
        </is>
      </c>
      <c r="AV1167" t="inlineStr">
        <is>
          <t>549566</t>
        </is>
      </c>
      <c r="AW1167" t="inlineStr">
        <is>
          <t>991002971729702656</t>
        </is>
      </c>
      <c r="AX1167" t="inlineStr">
        <is>
          <t>991002971729702656</t>
        </is>
      </c>
      <c r="AY1167" t="inlineStr">
        <is>
          <t>2265736360002656</t>
        </is>
      </c>
      <c r="AZ1167" t="inlineStr">
        <is>
          <t>BOOK</t>
        </is>
      </c>
      <c r="BC1167" t="inlineStr">
        <is>
          <t>32285000765825</t>
        </is>
      </c>
      <c r="BD1167" t="inlineStr">
        <is>
          <t>893227517</t>
        </is>
      </c>
    </row>
    <row r="1168">
      <c r="A1168" t="inlineStr">
        <is>
          <t>No</t>
        </is>
      </c>
      <c r="B1168" t="inlineStr">
        <is>
          <t>BX2170.S3 F65 2002</t>
        </is>
      </c>
      <c r="C1168" t="inlineStr">
        <is>
          <t>0                      BX 2170000S  3                  F  65          2002</t>
        </is>
      </c>
      <c r="D1168" t="inlineStr">
        <is>
          <t>Daily prayer in the classroom : interactive daily prayer / Kathleen Foley and Peggy O'Leary.</t>
        </is>
      </c>
      <c r="F1168" t="inlineStr">
        <is>
          <t>No</t>
        </is>
      </c>
      <c r="G1168" t="inlineStr">
        <is>
          <t>1</t>
        </is>
      </c>
      <c r="H1168" t="inlineStr">
        <is>
          <t>No</t>
        </is>
      </c>
      <c r="I1168" t="inlineStr">
        <is>
          <t>No</t>
        </is>
      </c>
      <c r="J1168" t="inlineStr">
        <is>
          <t>0</t>
        </is>
      </c>
      <c r="K1168" t="inlineStr">
        <is>
          <t>Foley, Kathleen.</t>
        </is>
      </c>
      <c r="L1168" t="inlineStr">
        <is>
          <t>Collegeville, Minn. : Liturgical Press, c2002.</t>
        </is>
      </c>
      <c r="M1168" t="inlineStr">
        <is>
          <t>2002</t>
        </is>
      </c>
      <c r="O1168" t="inlineStr">
        <is>
          <t>eng</t>
        </is>
      </c>
      <c r="P1168" t="inlineStr">
        <is>
          <t>mnu</t>
        </is>
      </c>
      <c r="R1168" t="inlineStr">
        <is>
          <t xml:space="preserve">BX </t>
        </is>
      </c>
      <c r="S1168" t="n">
        <v>3</v>
      </c>
      <c r="T1168" t="n">
        <v>3</v>
      </c>
      <c r="U1168" t="inlineStr">
        <is>
          <t>2008-09-04</t>
        </is>
      </c>
      <c r="V1168" t="inlineStr">
        <is>
          <t>2008-09-04</t>
        </is>
      </c>
      <c r="W1168" t="inlineStr">
        <is>
          <t>2007-09-20</t>
        </is>
      </c>
      <c r="X1168" t="inlineStr">
        <is>
          <t>2007-09-20</t>
        </is>
      </c>
      <c r="Y1168" t="n">
        <v>23</v>
      </c>
      <c r="Z1168" t="n">
        <v>22</v>
      </c>
      <c r="AA1168" t="n">
        <v>22</v>
      </c>
      <c r="AB1168" t="n">
        <v>1</v>
      </c>
      <c r="AC1168" t="n">
        <v>1</v>
      </c>
      <c r="AD1168" t="n">
        <v>6</v>
      </c>
      <c r="AE1168" t="n">
        <v>6</v>
      </c>
      <c r="AF1168" t="n">
        <v>1</v>
      </c>
      <c r="AG1168" t="n">
        <v>1</v>
      </c>
      <c r="AH1168" t="n">
        <v>3</v>
      </c>
      <c r="AI1168" t="n">
        <v>3</v>
      </c>
      <c r="AJ1168" t="n">
        <v>5</v>
      </c>
      <c r="AK1168" t="n">
        <v>5</v>
      </c>
      <c r="AL1168" t="n">
        <v>0</v>
      </c>
      <c r="AM1168" t="n">
        <v>0</v>
      </c>
      <c r="AN1168" t="n">
        <v>0</v>
      </c>
      <c r="AO1168" t="n">
        <v>0</v>
      </c>
      <c r="AP1168" t="inlineStr">
        <is>
          <t>No</t>
        </is>
      </c>
      <c r="AQ1168" t="inlineStr">
        <is>
          <t>No</t>
        </is>
      </c>
      <c r="AS1168">
        <f>HYPERLINK("https://creighton-primo.hosted.exlibrisgroup.com/primo-explore/search?tab=default_tab&amp;search_scope=EVERYTHING&amp;vid=01CRU&amp;lang=en_US&amp;offset=0&amp;query=any,contains,991005117609702656","Catalog Record")</f>
        <v/>
      </c>
      <c r="AT1168">
        <f>HYPERLINK("http://www.worldcat.org/oclc/50253168","WorldCat Record")</f>
        <v/>
      </c>
      <c r="AU1168" t="inlineStr">
        <is>
          <t>5964469:eng</t>
        </is>
      </c>
      <c r="AV1168" t="inlineStr">
        <is>
          <t>50253168</t>
        </is>
      </c>
      <c r="AW1168" t="inlineStr">
        <is>
          <t>991005117609702656</t>
        </is>
      </c>
      <c r="AX1168" t="inlineStr">
        <is>
          <t>991005117609702656</t>
        </is>
      </c>
      <c r="AY1168" t="inlineStr">
        <is>
          <t>2268838300002656</t>
        </is>
      </c>
      <c r="AZ1168" t="inlineStr">
        <is>
          <t>BOOK</t>
        </is>
      </c>
      <c r="BB1168" t="inlineStr">
        <is>
          <t>9780814627532</t>
        </is>
      </c>
      <c r="BC1168" t="inlineStr">
        <is>
          <t>32285005326227</t>
        </is>
      </c>
      <c r="BD1168" t="inlineStr">
        <is>
          <t>893248395</t>
        </is>
      </c>
    </row>
    <row r="1169">
      <c r="A1169" t="inlineStr">
        <is>
          <t>No</t>
        </is>
      </c>
      <c r="B1169" t="inlineStr">
        <is>
          <t>BX2170.W7 V36 1951</t>
        </is>
      </c>
      <c r="C1169" t="inlineStr">
        <is>
          <t>0                      BX 2170000W  7                  V  36          1951</t>
        </is>
      </c>
      <c r="D1169" t="inlineStr">
        <is>
          <t>Praying while you work : devotions for the use of Martha rather than Mary / by Hubert van Zeller.</t>
        </is>
      </c>
      <c r="F1169" t="inlineStr">
        <is>
          <t>No</t>
        </is>
      </c>
      <c r="G1169" t="inlineStr">
        <is>
          <t>1</t>
        </is>
      </c>
      <c r="H1169" t="inlineStr">
        <is>
          <t>No</t>
        </is>
      </c>
      <c r="I1169" t="inlineStr">
        <is>
          <t>No</t>
        </is>
      </c>
      <c r="J1169" t="inlineStr">
        <is>
          <t>0</t>
        </is>
      </c>
      <c r="K1169" t="inlineStr">
        <is>
          <t>Van Zeller, Hubert, 1905-1984.</t>
        </is>
      </c>
      <c r="L1169" t="inlineStr">
        <is>
          <t>Springfield, Ill. : Templegate ; London : Burns Oates, [1951].</t>
        </is>
      </c>
      <c r="M1169" t="inlineStr">
        <is>
          <t>1951</t>
        </is>
      </c>
      <c r="O1169" t="inlineStr">
        <is>
          <t>eng</t>
        </is>
      </c>
      <c r="P1169" t="inlineStr">
        <is>
          <t>ilu</t>
        </is>
      </c>
      <c r="R1169" t="inlineStr">
        <is>
          <t xml:space="preserve">BX </t>
        </is>
      </c>
      <c r="S1169" t="n">
        <v>2</v>
      </c>
      <c r="T1169" t="n">
        <v>2</v>
      </c>
      <c r="U1169" t="inlineStr">
        <is>
          <t>1993-01-19</t>
        </is>
      </c>
      <c r="V1169" t="inlineStr">
        <is>
          <t>1993-01-19</t>
        </is>
      </c>
      <c r="W1169" t="inlineStr">
        <is>
          <t>1991-09-18</t>
        </is>
      </c>
      <c r="X1169" t="inlineStr">
        <is>
          <t>1991-09-18</t>
        </is>
      </c>
      <c r="Y1169" t="n">
        <v>50</v>
      </c>
      <c r="Z1169" t="n">
        <v>47</v>
      </c>
      <c r="AA1169" t="n">
        <v>95</v>
      </c>
      <c r="AB1169" t="n">
        <v>1</v>
      </c>
      <c r="AC1169" t="n">
        <v>1</v>
      </c>
      <c r="AD1169" t="n">
        <v>8</v>
      </c>
      <c r="AE1169" t="n">
        <v>15</v>
      </c>
      <c r="AF1169" t="n">
        <v>1</v>
      </c>
      <c r="AG1169" t="n">
        <v>4</v>
      </c>
      <c r="AH1169" t="n">
        <v>1</v>
      </c>
      <c r="AI1169" t="n">
        <v>2</v>
      </c>
      <c r="AJ1169" t="n">
        <v>7</v>
      </c>
      <c r="AK1169" t="n">
        <v>14</v>
      </c>
      <c r="AL1169" t="n">
        <v>0</v>
      </c>
      <c r="AM1169" t="n">
        <v>0</v>
      </c>
      <c r="AN1169" t="n">
        <v>0</v>
      </c>
      <c r="AO1169" t="n">
        <v>0</v>
      </c>
      <c r="AP1169" t="inlineStr">
        <is>
          <t>No</t>
        </is>
      </c>
      <c r="AQ1169" t="inlineStr">
        <is>
          <t>No</t>
        </is>
      </c>
      <c r="AS1169">
        <f>HYPERLINK("https://creighton-primo.hosted.exlibrisgroup.com/primo-explore/search?tab=default_tab&amp;search_scope=EVERYTHING&amp;vid=01CRU&amp;lang=en_US&amp;offset=0&amp;query=any,contains,991005121639702656","Catalog Record")</f>
        <v/>
      </c>
      <c r="AT1169">
        <f>HYPERLINK("http://www.worldcat.org/oclc/7524613","WorldCat Record")</f>
        <v/>
      </c>
      <c r="AU1169" t="inlineStr">
        <is>
          <t>198941139:eng</t>
        </is>
      </c>
      <c r="AV1169" t="inlineStr">
        <is>
          <t>7524613</t>
        </is>
      </c>
      <c r="AW1169" t="inlineStr">
        <is>
          <t>991005121639702656</t>
        </is>
      </c>
      <c r="AX1169" t="inlineStr">
        <is>
          <t>991005121639702656</t>
        </is>
      </c>
      <c r="AY1169" t="inlineStr">
        <is>
          <t>2260326120002656</t>
        </is>
      </c>
      <c r="AZ1169" t="inlineStr">
        <is>
          <t>BOOK</t>
        </is>
      </c>
      <c r="BC1169" t="inlineStr">
        <is>
          <t>32285000765841</t>
        </is>
      </c>
      <c r="BD1169" t="inlineStr">
        <is>
          <t>893418406</t>
        </is>
      </c>
    </row>
    <row r="1170">
      <c r="A1170" t="inlineStr">
        <is>
          <t>No</t>
        </is>
      </c>
      <c r="B1170" t="inlineStr">
        <is>
          <t>BX2175.A8 A96 1994</t>
        </is>
      </c>
      <c r="C1170" t="inlineStr">
        <is>
          <t>0                      BX 2175000A  8                  A  96          1994</t>
        </is>
      </c>
      <c r="D1170" t="inlineStr">
        <is>
          <t>The Hail Mary : a verbal icon of Mary / by Nicholas Ayo.</t>
        </is>
      </c>
      <c r="F1170" t="inlineStr">
        <is>
          <t>No</t>
        </is>
      </c>
      <c r="G1170" t="inlineStr">
        <is>
          <t>1</t>
        </is>
      </c>
      <c r="H1170" t="inlineStr">
        <is>
          <t>No</t>
        </is>
      </c>
      <c r="I1170" t="inlineStr">
        <is>
          <t>No</t>
        </is>
      </c>
      <c r="J1170" t="inlineStr">
        <is>
          <t>0</t>
        </is>
      </c>
      <c r="K1170" t="inlineStr">
        <is>
          <t>Ayo, Nicholas.</t>
        </is>
      </c>
      <c r="L1170" t="inlineStr">
        <is>
          <t>Notre Dame : University of Notre Dame Press, c1994.</t>
        </is>
      </c>
      <c r="M1170" t="inlineStr">
        <is>
          <t>1994</t>
        </is>
      </c>
      <c r="O1170" t="inlineStr">
        <is>
          <t>eng</t>
        </is>
      </c>
      <c r="P1170" t="inlineStr">
        <is>
          <t>inu</t>
        </is>
      </c>
      <c r="R1170" t="inlineStr">
        <is>
          <t xml:space="preserve">BX </t>
        </is>
      </c>
      <c r="S1170" t="n">
        <v>5</v>
      </c>
      <c r="T1170" t="n">
        <v>5</v>
      </c>
      <c r="U1170" t="inlineStr">
        <is>
          <t>2003-12-11</t>
        </is>
      </c>
      <c r="V1170" t="inlineStr">
        <is>
          <t>2003-12-11</t>
        </is>
      </c>
      <c r="W1170" t="inlineStr">
        <is>
          <t>1994-09-21</t>
        </is>
      </c>
      <c r="X1170" t="inlineStr">
        <is>
          <t>1994-09-21</t>
        </is>
      </c>
      <c r="Y1170" t="n">
        <v>339</v>
      </c>
      <c r="Z1170" t="n">
        <v>299</v>
      </c>
      <c r="AA1170" t="n">
        <v>731</v>
      </c>
      <c r="AB1170" t="n">
        <v>3</v>
      </c>
      <c r="AC1170" t="n">
        <v>3</v>
      </c>
      <c r="AD1170" t="n">
        <v>25</v>
      </c>
      <c r="AE1170" t="n">
        <v>32</v>
      </c>
      <c r="AF1170" t="n">
        <v>9</v>
      </c>
      <c r="AG1170" t="n">
        <v>14</v>
      </c>
      <c r="AH1170" t="n">
        <v>6</v>
      </c>
      <c r="AI1170" t="n">
        <v>8</v>
      </c>
      <c r="AJ1170" t="n">
        <v>16</v>
      </c>
      <c r="AK1170" t="n">
        <v>18</v>
      </c>
      <c r="AL1170" t="n">
        <v>2</v>
      </c>
      <c r="AM1170" t="n">
        <v>2</v>
      </c>
      <c r="AN1170" t="n">
        <v>0</v>
      </c>
      <c r="AO1170" t="n">
        <v>0</v>
      </c>
      <c r="AP1170" t="inlineStr">
        <is>
          <t>No</t>
        </is>
      </c>
      <c r="AQ1170" t="inlineStr">
        <is>
          <t>Yes</t>
        </is>
      </c>
      <c r="AR1170">
        <f>HYPERLINK("http://catalog.hathitrust.org/Record/002886147","HathiTrust Record")</f>
        <v/>
      </c>
      <c r="AS1170">
        <f>HYPERLINK("https://creighton-primo.hosted.exlibrisgroup.com/primo-explore/search?tab=default_tab&amp;search_scope=EVERYTHING&amp;vid=01CRU&amp;lang=en_US&amp;offset=0&amp;query=any,contains,991002189269702656","Catalog Record")</f>
        <v/>
      </c>
      <c r="AT1170">
        <f>HYPERLINK("http://www.worldcat.org/oclc/28180830","WorldCat Record")</f>
        <v/>
      </c>
      <c r="AU1170" t="inlineStr">
        <is>
          <t>836761186:eng</t>
        </is>
      </c>
      <c r="AV1170" t="inlineStr">
        <is>
          <t>28180830</t>
        </is>
      </c>
      <c r="AW1170" t="inlineStr">
        <is>
          <t>991002189269702656</t>
        </is>
      </c>
      <c r="AX1170" t="inlineStr">
        <is>
          <t>991002189269702656</t>
        </is>
      </c>
      <c r="AY1170" t="inlineStr">
        <is>
          <t>2271525660002656</t>
        </is>
      </c>
      <c r="AZ1170" t="inlineStr">
        <is>
          <t>BOOK</t>
        </is>
      </c>
      <c r="BB1170" t="inlineStr">
        <is>
          <t>9780268011017</t>
        </is>
      </c>
      <c r="BC1170" t="inlineStr">
        <is>
          <t>32285001946911</t>
        </is>
      </c>
      <c r="BD1170" t="inlineStr">
        <is>
          <t>893597129</t>
        </is>
      </c>
    </row>
    <row r="1171">
      <c r="A1171" t="inlineStr">
        <is>
          <t>No</t>
        </is>
      </c>
      <c r="B1171" t="inlineStr">
        <is>
          <t>BX2175.A8 V34 1954</t>
        </is>
      </c>
      <c r="C1171" t="inlineStr">
        <is>
          <t>0                      BX 2175000A  8                  V  34          1954</t>
        </is>
      </c>
      <c r="D1171" t="inlineStr">
        <is>
          <t>Hail Mary / by Eugene Vandeur ; translated by John H. Collins.</t>
        </is>
      </c>
      <c r="F1171" t="inlineStr">
        <is>
          <t>No</t>
        </is>
      </c>
      <c r="G1171" t="inlineStr">
        <is>
          <t>1</t>
        </is>
      </c>
      <c r="H1171" t="inlineStr">
        <is>
          <t>No</t>
        </is>
      </c>
      <c r="I1171" t="inlineStr">
        <is>
          <t>No</t>
        </is>
      </c>
      <c r="J1171" t="inlineStr">
        <is>
          <t>0</t>
        </is>
      </c>
      <c r="K1171" t="inlineStr">
        <is>
          <t>Vandeur, Eugène, 1875-</t>
        </is>
      </c>
      <c r="L1171" t="inlineStr">
        <is>
          <t>Westminster, Md. : Newman Press, 1954.</t>
        </is>
      </c>
      <c r="M1171" t="inlineStr">
        <is>
          <t>1954</t>
        </is>
      </c>
      <c r="O1171" t="inlineStr">
        <is>
          <t>eng</t>
        </is>
      </c>
      <c r="P1171" t="inlineStr">
        <is>
          <t>mdu</t>
        </is>
      </c>
      <c r="R1171" t="inlineStr">
        <is>
          <t xml:space="preserve">BX </t>
        </is>
      </c>
      <c r="S1171" t="n">
        <v>4</v>
      </c>
      <c r="T1171" t="n">
        <v>4</v>
      </c>
      <c r="U1171" t="inlineStr">
        <is>
          <t>2003-12-11</t>
        </is>
      </c>
      <c r="V1171" t="inlineStr">
        <is>
          <t>2003-12-11</t>
        </is>
      </c>
      <c r="W1171" t="inlineStr">
        <is>
          <t>1991-09-18</t>
        </is>
      </c>
      <c r="X1171" t="inlineStr">
        <is>
          <t>1991-09-18</t>
        </is>
      </c>
      <c r="Y1171" t="n">
        <v>91</v>
      </c>
      <c r="Z1171" t="n">
        <v>82</v>
      </c>
      <c r="AA1171" t="n">
        <v>84</v>
      </c>
      <c r="AB1171" t="n">
        <v>3</v>
      </c>
      <c r="AC1171" t="n">
        <v>3</v>
      </c>
      <c r="AD1171" t="n">
        <v>14</v>
      </c>
      <c r="AE1171" t="n">
        <v>14</v>
      </c>
      <c r="AF1171" t="n">
        <v>3</v>
      </c>
      <c r="AG1171" t="n">
        <v>3</v>
      </c>
      <c r="AH1171" t="n">
        <v>3</v>
      </c>
      <c r="AI1171" t="n">
        <v>3</v>
      </c>
      <c r="AJ1171" t="n">
        <v>11</v>
      </c>
      <c r="AK1171" t="n">
        <v>11</v>
      </c>
      <c r="AL1171" t="n">
        <v>0</v>
      </c>
      <c r="AM1171" t="n">
        <v>0</v>
      </c>
      <c r="AN1171" t="n">
        <v>0</v>
      </c>
      <c r="AO1171" t="n">
        <v>0</v>
      </c>
      <c r="AP1171" t="inlineStr">
        <is>
          <t>No</t>
        </is>
      </c>
      <c r="AQ1171" t="inlineStr">
        <is>
          <t>No</t>
        </is>
      </c>
      <c r="AS1171">
        <f>HYPERLINK("https://creighton-primo.hosted.exlibrisgroup.com/primo-explore/search?tab=default_tab&amp;search_scope=EVERYTHING&amp;vid=01CRU&amp;lang=en_US&amp;offset=0&amp;query=any,contains,991004180739702656","Catalog Record")</f>
        <v/>
      </c>
      <c r="AT1171">
        <f>HYPERLINK("http://www.worldcat.org/oclc/2603377","WorldCat Record")</f>
        <v/>
      </c>
      <c r="AU1171" t="inlineStr">
        <is>
          <t>5412726:eng</t>
        </is>
      </c>
      <c r="AV1171" t="inlineStr">
        <is>
          <t>2603377</t>
        </is>
      </c>
      <c r="AW1171" t="inlineStr">
        <is>
          <t>991004180739702656</t>
        </is>
      </c>
      <c r="AX1171" t="inlineStr">
        <is>
          <t>991004180739702656</t>
        </is>
      </c>
      <c r="AY1171" t="inlineStr">
        <is>
          <t>2269295640002656</t>
        </is>
      </c>
      <c r="AZ1171" t="inlineStr">
        <is>
          <t>BOOK</t>
        </is>
      </c>
      <c r="BC1171" t="inlineStr">
        <is>
          <t>32285000765858</t>
        </is>
      </c>
      <c r="BD1171" t="inlineStr">
        <is>
          <t>893605723</t>
        </is>
      </c>
    </row>
    <row r="1172">
      <c r="A1172" t="inlineStr">
        <is>
          <t>No</t>
        </is>
      </c>
      <c r="B1172" t="inlineStr">
        <is>
          <t>BX2177 .B2514 1989</t>
        </is>
      </c>
      <c r="C1172" t="inlineStr">
        <is>
          <t>0                      BX 2177000B  2514        1989</t>
        </is>
      </c>
      <c r="D1172" t="inlineStr">
        <is>
          <t>Christian meditation / Hans Urs von Balthasar ; translated by Mary Theresilde Skerry.</t>
        </is>
      </c>
      <c r="F1172" t="inlineStr">
        <is>
          <t>No</t>
        </is>
      </c>
      <c r="G1172" t="inlineStr">
        <is>
          <t>1</t>
        </is>
      </c>
      <c r="H1172" t="inlineStr">
        <is>
          <t>No</t>
        </is>
      </c>
      <c r="I1172" t="inlineStr">
        <is>
          <t>No</t>
        </is>
      </c>
      <c r="J1172" t="inlineStr">
        <is>
          <t>0</t>
        </is>
      </c>
      <c r="K1172" t="inlineStr">
        <is>
          <t>Balthasar, Hans Urs von, 1905-1988.</t>
        </is>
      </c>
      <c r="L1172" t="inlineStr">
        <is>
          <t>San Francisco : Ignatius Press, c1989.</t>
        </is>
      </c>
      <c r="M1172" t="inlineStr">
        <is>
          <t>1989</t>
        </is>
      </c>
      <c r="O1172" t="inlineStr">
        <is>
          <t>eng</t>
        </is>
      </c>
      <c r="P1172" t="inlineStr">
        <is>
          <t>cau</t>
        </is>
      </c>
      <c r="R1172" t="inlineStr">
        <is>
          <t xml:space="preserve">BX </t>
        </is>
      </c>
      <c r="S1172" t="n">
        <v>5</v>
      </c>
      <c r="T1172" t="n">
        <v>5</v>
      </c>
      <c r="U1172" t="inlineStr">
        <is>
          <t>2009-08-25</t>
        </is>
      </c>
      <c r="V1172" t="inlineStr">
        <is>
          <t>2009-08-25</t>
        </is>
      </c>
      <c r="W1172" t="inlineStr">
        <is>
          <t>1989-11-29</t>
        </is>
      </c>
      <c r="X1172" t="inlineStr">
        <is>
          <t>1989-11-29</t>
        </is>
      </c>
      <c r="Y1172" t="n">
        <v>179</v>
      </c>
      <c r="Z1172" t="n">
        <v>147</v>
      </c>
      <c r="AA1172" t="n">
        <v>158</v>
      </c>
      <c r="AB1172" t="n">
        <v>1</v>
      </c>
      <c r="AC1172" t="n">
        <v>1</v>
      </c>
      <c r="AD1172" t="n">
        <v>19</v>
      </c>
      <c r="AE1172" t="n">
        <v>19</v>
      </c>
      <c r="AF1172" t="n">
        <v>5</v>
      </c>
      <c r="AG1172" t="n">
        <v>5</v>
      </c>
      <c r="AH1172" t="n">
        <v>5</v>
      </c>
      <c r="AI1172" t="n">
        <v>5</v>
      </c>
      <c r="AJ1172" t="n">
        <v>13</v>
      </c>
      <c r="AK1172" t="n">
        <v>13</v>
      </c>
      <c r="AL1172" t="n">
        <v>0</v>
      </c>
      <c r="AM1172" t="n">
        <v>0</v>
      </c>
      <c r="AN1172" t="n">
        <v>0</v>
      </c>
      <c r="AO1172" t="n">
        <v>0</v>
      </c>
      <c r="AP1172" t="inlineStr">
        <is>
          <t>No</t>
        </is>
      </c>
      <c r="AQ1172" t="inlineStr">
        <is>
          <t>No</t>
        </is>
      </c>
      <c r="AS1172">
        <f>HYPERLINK("https://creighton-primo.hosted.exlibrisgroup.com/primo-explore/search?tab=default_tab&amp;search_scope=EVERYTHING&amp;vid=01CRU&amp;lang=en_US&amp;offset=0&amp;query=any,contains,991001586239702656","Catalog Record")</f>
        <v/>
      </c>
      <c r="AT1172">
        <f>HYPERLINK("http://www.worldcat.org/oclc/20533508","WorldCat Record")</f>
        <v/>
      </c>
      <c r="AU1172" t="inlineStr">
        <is>
          <t>38592514:eng</t>
        </is>
      </c>
      <c r="AV1172" t="inlineStr">
        <is>
          <t>20533508</t>
        </is>
      </c>
      <c r="AW1172" t="inlineStr">
        <is>
          <t>991001586239702656</t>
        </is>
      </c>
      <c r="AX1172" t="inlineStr">
        <is>
          <t>991001586239702656</t>
        </is>
      </c>
      <c r="AY1172" t="inlineStr">
        <is>
          <t>2269974760002656</t>
        </is>
      </c>
      <c r="AZ1172" t="inlineStr">
        <is>
          <t>BOOK</t>
        </is>
      </c>
      <c r="BB1172" t="inlineStr">
        <is>
          <t>9780898702354</t>
        </is>
      </c>
      <c r="BC1172" t="inlineStr">
        <is>
          <t>32285000016047</t>
        </is>
      </c>
      <c r="BD1172" t="inlineStr">
        <is>
          <t>893414334</t>
        </is>
      </c>
    </row>
    <row r="1173">
      <c r="A1173" t="inlineStr">
        <is>
          <t>No</t>
        </is>
      </c>
      <c r="B1173" t="inlineStr">
        <is>
          <t>BX2177 .B45 t.12</t>
        </is>
      </c>
      <c r="C1173" t="inlineStr">
        <is>
          <t>0                      BX 2177000B  45                                                      t.12</t>
        </is>
      </c>
      <c r="D1173" t="inlineStr">
        <is>
          <t>Opuscula Sancti Patris Francisci Assisiensis / denuo edidit iuxta codices mss. Caietanus Esser, O.F.M.</t>
        </is>
      </c>
      <c r="E1173" t="inlineStr">
        <is>
          <t>t.12*</t>
        </is>
      </c>
      <c r="F1173" t="inlineStr">
        <is>
          <t>No</t>
        </is>
      </c>
      <c r="G1173" t="inlineStr">
        <is>
          <t>1</t>
        </is>
      </c>
      <c r="H1173" t="inlineStr">
        <is>
          <t>No</t>
        </is>
      </c>
      <c r="I1173" t="inlineStr">
        <is>
          <t>No</t>
        </is>
      </c>
      <c r="J1173" t="inlineStr">
        <is>
          <t>0</t>
        </is>
      </c>
      <c r="K1173" t="inlineStr">
        <is>
          <t>Francis, of Assisi, Saint, 1182-1226.</t>
        </is>
      </c>
      <c r="L1173" t="inlineStr">
        <is>
          <t>Grottaferrata : Editiones Collegii S. Bonaventurae ad Claras Aquas, 1978.</t>
        </is>
      </c>
      <c r="M1173" t="inlineStr">
        <is>
          <t>1978</t>
        </is>
      </c>
      <c r="O1173" t="inlineStr">
        <is>
          <t>lat</t>
        </is>
      </c>
      <c r="P1173" t="inlineStr">
        <is>
          <t xml:space="preserve">xx </t>
        </is>
      </c>
      <c r="Q1173" t="inlineStr">
        <is>
          <t>Bibliotheca Franciscana ascetica Medii Aevi ; t. 12</t>
        </is>
      </c>
      <c r="R1173" t="inlineStr">
        <is>
          <t xml:space="preserve">BX </t>
        </is>
      </c>
      <c r="S1173" t="n">
        <v>0</v>
      </c>
      <c r="T1173" t="n">
        <v>0</v>
      </c>
      <c r="U1173" t="inlineStr">
        <is>
          <t>2003-09-04</t>
        </is>
      </c>
      <c r="V1173" t="inlineStr">
        <is>
          <t>2003-09-04</t>
        </is>
      </c>
      <c r="W1173" t="inlineStr">
        <is>
          <t>1991-09-18</t>
        </is>
      </c>
      <c r="X1173" t="inlineStr">
        <is>
          <t>1991-09-18</t>
        </is>
      </c>
      <c r="Y1173" t="n">
        <v>44</v>
      </c>
      <c r="Z1173" t="n">
        <v>30</v>
      </c>
      <c r="AA1173" t="n">
        <v>37</v>
      </c>
      <c r="AB1173" t="n">
        <v>1</v>
      </c>
      <c r="AC1173" t="n">
        <v>1</v>
      </c>
      <c r="AD1173" t="n">
        <v>4</v>
      </c>
      <c r="AE1173" t="n">
        <v>5</v>
      </c>
      <c r="AF1173" t="n">
        <v>0</v>
      </c>
      <c r="AG1173" t="n">
        <v>0</v>
      </c>
      <c r="AH1173" t="n">
        <v>3</v>
      </c>
      <c r="AI1173" t="n">
        <v>3</v>
      </c>
      <c r="AJ1173" t="n">
        <v>2</v>
      </c>
      <c r="AK1173" t="n">
        <v>3</v>
      </c>
      <c r="AL1173" t="n">
        <v>0</v>
      </c>
      <c r="AM1173" t="n">
        <v>0</v>
      </c>
      <c r="AN1173" t="n">
        <v>0</v>
      </c>
      <c r="AO1173" t="n">
        <v>0</v>
      </c>
      <c r="AP1173" t="inlineStr">
        <is>
          <t>No</t>
        </is>
      </c>
      <c r="AQ1173" t="inlineStr">
        <is>
          <t>Yes</t>
        </is>
      </c>
      <c r="AR1173">
        <f>HYPERLINK("http://catalog.hathitrust.org/Record/003324391","HathiTrust Record")</f>
        <v/>
      </c>
      <c r="AS1173">
        <f>HYPERLINK("https://creighton-primo.hosted.exlibrisgroup.com/primo-explore/search?tab=default_tab&amp;search_scope=EVERYTHING&amp;vid=01CRU&amp;lang=en_US&amp;offset=0&amp;query=any,contains,991004539339702656","Catalog Record")</f>
        <v/>
      </c>
      <c r="AT1173">
        <f>HYPERLINK("http://www.worldcat.org/oclc/3891073","WorldCat Record")</f>
        <v/>
      </c>
      <c r="AU1173" t="inlineStr">
        <is>
          <t>5377682582:lat</t>
        </is>
      </c>
      <c r="AV1173" t="inlineStr">
        <is>
          <t>3891073</t>
        </is>
      </c>
      <c r="AW1173" t="inlineStr">
        <is>
          <t>991004539339702656</t>
        </is>
      </c>
      <c r="AX1173" t="inlineStr">
        <is>
          <t>991004539339702656</t>
        </is>
      </c>
      <c r="AY1173" t="inlineStr">
        <is>
          <t>2265116720002656</t>
        </is>
      </c>
      <c r="AZ1173" t="inlineStr">
        <is>
          <t>BOOK</t>
        </is>
      </c>
      <c r="BC1173" t="inlineStr">
        <is>
          <t>32285000765866</t>
        </is>
      </c>
      <c r="BD1173" t="inlineStr">
        <is>
          <t>893532514</t>
        </is>
      </c>
    </row>
    <row r="1174">
      <c r="A1174" t="inlineStr">
        <is>
          <t>No</t>
        </is>
      </c>
      <c r="B1174" t="inlineStr">
        <is>
          <t>BX2177 .D35 1992</t>
        </is>
      </c>
      <c r="C1174" t="inlineStr">
        <is>
          <t>0                      BX 2177000D  35          1992</t>
        </is>
      </c>
      <c r="D1174" t="inlineStr">
        <is>
          <t>Daily readings in Catholic classics / compiled by Rawley Myers.</t>
        </is>
      </c>
      <c r="F1174" t="inlineStr">
        <is>
          <t>No</t>
        </is>
      </c>
      <c r="G1174" t="inlineStr">
        <is>
          <t>1</t>
        </is>
      </c>
      <c r="H1174" t="inlineStr">
        <is>
          <t>No</t>
        </is>
      </c>
      <c r="I1174" t="inlineStr">
        <is>
          <t>No</t>
        </is>
      </c>
      <c r="J1174" t="inlineStr">
        <is>
          <t>0</t>
        </is>
      </c>
      <c r="L1174" t="inlineStr">
        <is>
          <t>San Francisco : Ignatius Press, c1992.</t>
        </is>
      </c>
      <c r="M1174" t="inlineStr">
        <is>
          <t>1992</t>
        </is>
      </c>
      <c r="O1174" t="inlineStr">
        <is>
          <t>eng</t>
        </is>
      </c>
      <c r="P1174" t="inlineStr">
        <is>
          <t>cau</t>
        </is>
      </c>
      <c r="R1174" t="inlineStr">
        <is>
          <t xml:space="preserve">BX </t>
        </is>
      </c>
      <c r="S1174" t="n">
        <v>6</v>
      </c>
      <c r="T1174" t="n">
        <v>6</v>
      </c>
      <c r="U1174" t="inlineStr">
        <is>
          <t>1997-06-14</t>
        </is>
      </c>
      <c r="V1174" t="inlineStr">
        <is>
          <t>1997-06-14</t>
        </is>
      </c>
      <c r="W1174" t="inlineStr">
        <is>
          <t>1993-09-21</t>
        </is>
      </c>
      <c r="X1174" t="inlineStr">
        <is>
          <t>1993-09-21</t>
        </is>
      </c>
      <c r="Y1174" t="n">
        <v>59</v>
      </c>
      <c r="Z1174" t="n">
        <v>50</v>
      </c>
      <c r="AA1174" t="n">
        <v>50</v>
      </c>
      <c r="AB1174" t="n">
        <v>2</v>
      </c>
      <c r="AC1174" t="n">
        <v>2</v>
      </c>
      <c r="AD1174" t="n">
        <v>3</v>
      </c>
      <c r="AE1174" t="n">
        <v>3</v>
      </c>
      <c r="AF1174" t="n">
        <v>0</v>
      </c>
      <c r="AG1174" t="n">
        <v>0</v>
      </c>
      <c r="AH1174" t="n">
        <v>1</v>
      </c>
      <c r="AI1174" t="n">
        <v>1</v>
      </c>
      <c r="AJ1174" t="n">
        <v>2</v>
      </c>
      <c r="AK1174" t="n">
        <v>2</v>
      </c>
      <c r="AL1174" t="n">
        <v>0</v>
      </c>
      <c r="AM1174" t="n">
        <v>0</v>
      </c>
      <c r="AN1174" t="n">
        <v>0</v>
      </c>
      <c r="AO1174" t="n">
        <v>0</v>
      </c>
      <c r="AP1174" t="inlineStr">
        <is>
          <t>No</t>
        </is>
      </c>
      <c r="AQ1174" t="inlineStr">
        <is>
          <t>No</t>
        </is>
      </c>
      <c r="AS1174">
        <f>HYPERLINK("https://creighton-primo.hosted.exlibrisgroup.com/primo-explore/search?tab=default_tab&amp;search_scope=EVERYTHING&amp;vid=01CRU&amp;lang=en_US&amp;offset=0&amp;query=any,contains,991002143479702656","Catalog Record")</f>
        <v/>
      </c>
      <c r="AT1174">
        <f>HYPERLINK("http://www.worldcat.org/oclc/27476891","WorldCat Record")</f>
        <v/>
      </c>
      <c r="AU1174" t="inlineStr">
        <is>
          <t>380092:eng</t>
        </is>
      </c>
      <c r="AV1174" t="inlineStr">
        <is>
          <t>27476891</t>
        </is>
      </c>
      <c r="AW1174" t="inlineStr">
        <is>
          <t>991002143479702656</t>
        </is>
      </c>
      <c r="AX1174" t="inlineStr">
        <is>
          <t>991002143479702656</t>
        </is>
      </c>
      <c r="AY1174" t="inlineStr">
        <is>
          <t>2265893200002656</t>
        </is>
      </c>
      <c r="AZ1174" t="inlineStr">
        <is>
          <t>BOOK</t>
        </is>
      </c>
      <c r="BB1174" t="inlineStr">
        <is>
          <t>9780898703894</t>
        </is>
      </c>
      <c r="BC1174" t="inlineStr">
        <is>
          <t>32285001766962</t>
        </is>
      </c>
      <c r="BD1174" t="inlineStr">
        <is>
          <t>893250864</t>
        </is>
      </c>
    </row>
    <row r="1175">
      <c r="A1175" t="inlineStr">
        <is>
          <t>No</t>
        </is>
      </c>
      <c r="B1175" t="inlineStr">
        <is>
          <t>BX2177 .F7 1953</t>
        </is>
      </c>
      <c r="C1175" t="inlineStr">
        <is>
          <t>0                      BX 2177000F  7           1953</t>
        </is>
      </c>
      <c r="D1175" t="inlineStr">
        <is>
          <t>Christian conversation : Catholic thought for every day of the year / edited by Anne Fremantle.</t>
        </is>
      </c>
      <c r="F1175" t="inlineStr">
        <is>
          <t>No</t>
        </is>
      </c>
      <c r="G1175" t="inlineStr">
        <is>
          <t>1</t>
        </is>
      </c>
      <c r="H1175" t="inlineStr">
        <is>
          <t>No</t>
        </is>
      </c>
      <c r="I1175" t="inlineStr">
        <is>
          <t>No</t>
        </is>
      </c>
      <c r="J1175" t="inlineStr">
        <is>
          <t>0</t>
        </is>
      </c>
      <c r="K1175" t="inlineStr">
        <is>
          <t>Fremantle, Anne, 1909-2002 editor.</t>
        </is>
      </c>
      <c r="L1175" t="inlineStr">
        <is>
          <t>New York : Stephen Daye Press, [1953]</t>
        </is>
      </c>
      <c r="M1175" t="inlineStr">
        <is>
          <t>1953</t>
        </is>
      </c>
      <c r="O1175" t="inlineStr">
        <is>
          <t>eng</t>
        </is>
      </c>
      <c r="P1175" t="inlineStr">
        <is>
          <t xml:space="preserve">xx </t>
        </is>
      </c>
      <c r="R1175" t="inlineStr">
        <is>
          <t xml:space="preserve">BX </t>
        </is>
      </c>
      <c r="S1175" t="n">
        <v>2</v>
      </c>
      <c r="T1175" t="n">
        <v>2</v>
      </c>
      <c r="U1175" t="inlineStr">
        <is>
          <t>1997-06-14</t>
        </is>
      </c>
      <c r="V1175" t="inlineStr">
        <is>
          <t>1997-06-14</t>
        </is>
      </c>
      <c r="W1175" t="inlineStr">
        <is>
          <t>1991-09-18</t>
        </is>
      </c>
      <c r="X1175" t="inlineStr">
        <is>
          <t>1991-09-18</t>
        </is>
      </c>
      <c r="Y1175" t="n">
        <v>122</v>
      </c>
      <c r="Z1175" t="n">
        <v>117</v>
      </c>
      <c r="AA1175" t="n">
        <v>122</v>
      </c>
      <c r="AB1175" t="n">
        <v>3</v>
      </c>
      <c r="AC1175" t="n">
        <v>3</v>
      </c>
      <c r="AD1175" t="n">
        <v>22</v>
      </c>
      <c r="AE1175" t="n">
        <v>22</v>
      </c>
      <c r="AF1175" t="n">
        <v>6</v>
      </c>
      <c r="AG1175" t="n">
        <v>6</v>
      </c>
      <c r="AH1175" t="n">
        <v>4</v>
      </c>
      <c r="AI1175" t="n">
        <v>4</v>
      </c>
      <c r="AJ1175" t="n">
        <v>16</v>
      </c>
      <c r="AK1175" t="n">
        <v>16</v>
      </c>
      <c r="AL1175" t="n">
        <v>2</v>
      </c>
      <c r="AM1175" t="n">
        <v>2</v>
      </c>
      <c r="AN1175" t="n">
        <v>0</v>
      </c>
      <c r="AO1175" t="n">
        <v>0</v>
      </c>
      <c r="AP1175" t="inlineStr">
        <is>
          <t>No</t>
        </is>
      </c>
      <c r="AQ1175" t="inlineStr">
        <is>
          <t>No</t>
        </is>
      </c>
      <c r="AS1175">
        <f>HYPERLINK("https://creighton-primo.hosted.exlibrisgroup.com/primo-explore/search?tab=default_tab&amp;search_scope=EVERYTHING&amp;vid=01CRU&amp;lang=en_US&amp;offset=0&amp;query=any,contains,991004097199702656","Catalog Record")</f>
        <v/>
      </c>
      <c r="AT1175">
        <f>HYPERLINK("http://www.worldcat.org/oclc/2361729","WorldCat Record")</f>
        <v/>
      </c>
      <c r="AU1175" t="inlineStr">
        <is>
          <t>4598067:eng</t>
        </is>
      </c>
      <c r="AV1175" t="inlineStr">
        <is>
          <t>2361729</t>
        </is>
      </c>
      <c r="AW1175" t="inlineStr">
        <is>
          <t>991004097199702656</t>
        </is>
      </c>
      <c r="AX1175" t="inlineStr">
        <is>
          <t>991004097199702656</t>
        </is>
      </c>
      <c r="AY1175" t="inlineStr">
        <is>
          <t>2272162640002656</t>
        </is>
      </c>
      <c r="AZ1175" t="inlineStr">
        <is>
          <t>BOOK</t>
        </is>
      </c>
      <c r="BC1175" t="inlineStr">
        <is>
          <t>32285000765874</t>
        </is>
      </c>
      <c r="BD1175" t="inlineStr">
        <is>
          <t>893259318</t>
        </is>
      </c>
    </row>
    <row r="1176">
      <c r="A1176" t="inlineStr">
        <is>
          <t>No</t>
        </is>
      </c>
      <c r="B1176" t="inlineStr">
        <is>
          <t>BX2177 .P6</t>
        </is>
      </c>
      <c r="C1176" t="inlineStr">
        <is>
          <t>0                      BX 2177000P  6</t>
        </is>
      </c>
      <c r="D1176" t="inlineStr">
        <is>
          <t>God's way to be human: meditations on following Christ through scripture and sacrament. / Geoffrey Preston.</t>
        </is>
      </c>
      <c r="F1176" t="inlineStr">
        <is>
          <t>No</t>
        </is>
      </c>
      <c r="G1176" t="inlineStr">
        <is>
          <t>1</t>
        </is>
      </c>
      <c r="H1176" t="inlineStr">
        <is>
          <t>No</t>
        </is>
      </c>
      <c r="I1176" t="inlineStr">
        <is>
          <t>No</t>
        </is>
      </c>
      <c r="J1176" t="inlineStr">
        <is>
          <t>0</t>
        </is>
      </c>
      <c r="K1176" t="inlineStr">
        <is>
          <t>Preston, Geoffrey, 1936-1977.</t>
        </is>
      </c>
      <c r="L1176" t="inlineStr">
        <is>
          <t>New York : Paulist Press, [c1978]</t>
        </is>
      </c>
      <c r="M1176" t="inlineStr">
        <is>
          <t>1978</t>
        </is>
      </c>
      <c r="O1176" t="inlineStr">
        <is>
          <t>eng</t>
        </is>
      </c>
      <c r="P1176" t="inlineStr">
        <is>
          <t>nyu</t>
        </is>
      </c>
      <c r="R1176" t="inlineStr">
        <is>
          <t xml:space="preserve">BX </t>
        </is>
      </c>
      <c r="S1176" t="n">
        <v>2</v>
      </c>
      <c r="T1176" t="n">
        <v>2</v>
      </c>
      <c r="U1176" t="inlineStr">
        <is>
          <t>1996-11-22</t>
        </is>
      </c>
      <c r="V1176" t="inlineStr">
        <is>
          <t>1996-11-22</t>
        </is>
      </c>
      <c r="W1176" t="inlineStr">
        <is>
          <t>1991-09-20</t>
        </is>
      </c>
      <c r="X1176" t="inlineStr">
        <is>
          <t>1991-09-20</t>
        </is>
      </c>
      <c r="Y1176" t="n">
        <v>107</v>
      </c>
      <c r="Z1176" t="n">
        <v>95</v>
      </c>
      <c r="AA1176" t="n">
        <v>99</v>
      </c>
      <c r="AB1176" t="n">
        <v>3</v>
      </c>
      <c r="AC1176" t="n">
        <v>3</v>
      </c>
      <c r="AD1176" t="n">
        <v>11</v>
      </c>
      <c r="AE1176" t="n">
        <v>11</v>
      </c>
      <c r="AF1176" t="n">
        <v>3</v>
      </c>
      <c r="AG1176" t="n">
        <v>3</v>
      </c>
      <c r="AH1176" t="n">
        <v>1</v>
      </c>
      <c r="AI1176" t="n">
        <v>1</v>
      </c>
      <c r="AJ1176" t="n">
        <v>9</v>
      </c>
      <c r="AK1176" t="n">
        <v>9</v>
      </c>
      <c r="AL1176" t="n">
        <v>1</v>
      </c>
      <c r="AM1176" t="n">
        <v>1</v>
      </c>
      <c r="AN1176" t="n">
        <v>0</v>
      </c>
      <c r="AO1176" t="n">
        <v>0</v>
      </c>
      <c r="AP1176" t="inlineStr">
        <is>
          <t>No</t>
        </is>
      </c>
      <c r="AQ1176" t="inlineStr">
        <is>
          <t>No</t>
        </is>
      </c>
      <c r="AS1176">
        <f>HYPERLINK("https://creighton-primo.hosted.exlibrisgroup.com/primo-explore/search?tab=default_tab&amp;search_scope=EVERYTHING&amp;vid=01CRU&amp;lang=en_US&amp;offset=0&amp;query=any,contains,991004752959702656","Catalog Record")</f>
        <v/>
      </c>
      <c r="AT1176">
        <f>HYPERLINK("http://www.worldcat.org/oclc/5220706","WorldCat Record")</f>
        <v/>
      </c>
      <c r="AU1176" t="inlineStr">
        <is>
          <t>16443895:eng</t>
        </is>
      </c>
      <c r="AV1176" t="inlineStr">
        <is>
          <t>5220706</t>
        </is>
      </c>
      <c r="AW1176" t="inlineStr">
        <is>
          <t>991004752959702656</t>
        </is>
      </c>
      <c r="AX1176" t="inlineStr">
        <is>
          <t>991004752959702656</t>
        </is>
      </c>
      <c r="AY1176" t="inlineStr">
        <is>
          <t>2272054070002656</t>
        </is>
      </c>
      <c r="AZ1176" t="inlineStr">
        <is>
          <t>BOOK</t>
        </is>
      </c>
      <c r="BC1176" t="inlineStr">
        <is>
          <t>32285000765940</t>
        </is>
      </c>
      <c r="BD1176" t="inlineStr">
        <is>
          <t>893254053</t>
        </is>
      </c>
    </row>
    <row r="1177">
      <c r="A1177" t="inlineStr">
        <is>
          <t>No</t>
        </is>
      </c>
      <c r="B1177" t="inlineStr">
        <is>
          <t>BX2177 .S25 1980</t>
        </is>
      </c>
      <c r="C1177" t="inlineStr">
        <is>
          <t>0                      BX 2177000S  25          1980</t>
        </is>
      </c>
      <c r="D1177" t="inlineStr">
        <is>
          <t>Saint and thought for every day / profiles of saints by the Daughters of St. Paul ; thoughts by James Alberione.</t>
        </is>
      </c>
      <c r="F1177" t="inlineStr">
        <is>
          <t>No</t>
        </is>
      </c>
      <c r="G1177" t="inlineStr">
        <is>
          <t>1</t>
        </is>
      </c>
      <c r="H1177" t="inlineStr">
        <is>
          <t>No</t>
        </is>
      </c>
      <c r="I1177" t="inlineStr">
        <is>
          <t>No</t>
        </is>
      </c>
      <c r="J1177" t="inlineStr">
        <is>
          <t>0</t>
        </is>
      </c>
      <c r="L1177" t="inlineStr">
        <is>
          <t>Boston, Mass. : St. Paul Editions, c1980.</t>
        </is>
      </c>
      <c r="M1177" t="inlineStr">
        <is>
          <t>1980</t>
        </is>
      </c>
      <c r="O1177" t="inlineStr">
        <is>
          <t>eng</t>
        </is>
      </c>
      <c r="P1177" t="inlineStr">
        <is>
          <t>mau</t>
        </is>
      </c>
      <c r="R1177" t="inlineStr">
        <is>
          <t xml:space="preserve">BX </t>
        </is>
      </c>
      <c r="S1177" t="n">
        <v>9</v>
      </c>
      <c r="T1177" t="n">
        <v>9</v>
      </c>
      <c r="U1177" t="inlineStr">
        <is>
          <t>2007-07-24</t>
        </is>
      </c>
      <c r="V1177" t="inlineStr">
        <is>
          <t>2007-07-24</t>
        </is>
      </c>
      <c r="W1177" t="inlineStr">
        <is>
          <t>1991-09-20</t>
        </is>
      </c>
      <c r="X1177" t="inlineStr">
        <is>
          <t>1991-09-20</t>
        </is>
      </c>
      <c r="Y1177" t="n">
        <v>16</v>
      </c>
      <c r="Z1177" t="n">
        <v>15</v>
      </c>
      <c r="AA1177" t="n">
        <v>32</v>
      </c>
      <c r="AB1177" t="n">
        <v>1</v>
      </c>
      <c r="AC1177" t="n">
        <v>2</v>
      </c>
      <c r="AD1177" t="n">
        <v>1</v>
      </c>
      <c r="AE1177" t="n">
        <v>4</v>
      </c>
      <c r="AF1177" t="n">
        <v>0</v>
      </c>
      <c r="AG1177" t="n">
        <v>0</v>
      </c>
      <c r="AH1177" t="n">
        <v>0</v>
      </c>
      <c r="AI1177" t="n">
        <v>1</v>
      </c>
      <c r="AJ1177" t="n">
        <v>1</v>
      </c>
      <c r="AK1177" t="n">
        <v>3</v>
      </c>
      <c r="AL1177" t="n">
        <v>0</v>
      </c>
      <c r="AM1177" t="n">
        <v>0</v>
      </c>
      <c r="AN1177" t="n">
        <v>0</v>
      </c>
      <c r="AO1177" t="n">
        <v>0</v>
      </c>
      <c r="AP1177" t="inlineStr">
        <is>
          <t>No</t>
        </is>
      </c>
      <c r="AQ1177" t="inlineStr">
        <is>
          <t>No</t>
        </is>
      </c>
      <c r="AS1177">
        <f>HYPERLINK("https://creighton-primo.hosted.exlibrisgroup.com/primo-explore/search?tab=default_tab&amp;search_scope=EVERYTHING&amp;vid=01CRU&amp;lang=en_US&amp;offset=0&amp;query=any,contains,991000453279702656","Catalog Record")</f>
        <v/>
      </c>
      <c r="AT1177">
        <f>HYPERLINK("http://www.worldcat.org/oclc/2597296","WorldCat Record")</f>
        <v/>
      </c>
      <c r="AU1177" t="inlineStr">
        <is>
          <t>424147752:eng</t>
        </is>
      </c>
      <c r="AV1177" t="inlineStr">
        <is>
          <t>2597296</t>
        </is>
      </c>
      <c r="AW1177" t="inlineStr">
        <is>
          <t>991000453279702656</t>
        </is>
      </c>
      <c r="AX1177" t="inlineStr">
        <is>
          <t>991000453279702656</t>
        </is>
      </c>
      <c r="AY1177" t="inlineStr">
        <is>
          <t>2257516120002656</t>
        </is>
      </c>
      <c r="AZ1177" t="inlineStr">
        <is>
          <t>BOOK</t>
        </is>
      </c>
      <c r="BB1177" t="inlineStr">
        <is>
          <t>9780819868008</t>
        </is>
      </c>
      <c r="BC1177" t="inlineStr">
        <is>
          <t>32285000765965</t>
        </is>
      </c>
      <c r="BD1177" t="inlineStr">
        <is>
          <t>893890689</t>
        </is>
      </c>
    </row>
    <row r="1178">
      <c r="A1178" t="inlineStr">
        <is>
          <t>No</t>
        </is>
      </c>
      <c r="B1178" t="inlineStr">
        <is>
          <t>BX2177 .T83 1985</t>
        </is>
      </c>
      <c r="C1178" t="inlineStr">
        <is>
          <t>0                      BX 2177000T  83          1985</t>
        </is>
      </c>
      <c r="D1178" t="inlineStr">
        <is>
          <t>Ways of imperfection : an exploration of Christian Spirituality / Simon Tugwell.</t>
        </is>
      </c>
      <c r="F1178" t="inlineStr">
        <is>
          <t>No</t>
        </is>
      </c>
      <c r="G1178" t="inlineStr">
        <is>
          <t>1</t>
        </is>
      </c>
      <c r="H1178" t="inlineStr">
        <is>
          <t>No</t>
        </is>
      </c>
      <c r="I1178" t="inlineStr">
        <is>
          <t>No</t>
        </is>
      </c>
      <c r="J1178" t="inlineStr">
        <is>
          <t>0</t>
        </is>
      </c>
      <c r="K1178" t="inlineStr">
        <is>
          <t>Tugwell, Simon.</t>
        </is>
      </c>
      <c r="L1178" t="inlineStr">
        <is>
          <t>Springfield, Ill. : Templegate, 1985.</t>
        </is>
      </c>
      <c r="M1178" t="inlineStr">
        <is>
          <t>1985</t>
        </is>
      </c>
      <c r="O1178" t="inlineStr">
        <is>
          <t>eng</t>
        </is>
      </c>
      <c r="P1178" t="inlineStr">
        <is>
          <t>ilu</t>
        </is>
      </c>
      <c r="R1178" t="inlineStr">
        <is>
          <t xml:space="preserve">BX </t>
        </is>
      </c>
      <c r="S1178" t="n">
        <v>5</v>
      </c>
      <c r="T1178" t="n">
        <v>5</v>
      </c>
      <c r="U1178" t="inlineStr">
        <is>
          <t>2005-02-04</t>
        </is>
      </c>
      <c r="V1178" t="inlineStr">
        <is>
          <t>2005-02-04</t>
        </is>
      </c>
      <c r="W1178" t="inlineStr">
        <is>
          <t>1991-09-20</t>
        </is>
      </c>
      <c r="X1178" t="inlineStr">
        <is>
          <t>1991-09-20</t>
        </is>
      </c>
      <c r="Y1178" t="n">
        <v>228</v>
      </c>
      <c r="Z1178" t="n">
        <v>201</v>
      </c>
      <c r="AA1178" t="n">
        <v>258</v>
      </c>
      <c r="AB1178" t="n">
        <v>3</v>
      </c>
      <c r="AC1178" t="n">
        <v>3</v>
      </c>
      <c r="AD1178" t="n">
        <v>21</v>
      </c>
      <c r="AE1178" t="n">
        <v>21</v>
      </c>
      <c r="AF1178" t="n">
        <v>6</v>
      </c>
      <c r="AG1178" t="n">
        <v>6</v>
      </c>
      <c r="AH1178" t="n">
        <v>4</v>
      </c>
      <c r="AI1178" t="n">
        <v>4</v>
      </c>
      <c r="AJ1178" t="n">
        <v>14</v>
      </c>
      <c r="AK1178" t="n">
        <v>14</v>
      </c>
      <c r="AL1178" t="n">
        <v>1</v>
      </c>
      <c r="AM1178" t="n">
        <v>1</v>
      </c>
      <c r="AN1178" t="n">
        <v>0</v>
      </c>
      <c r="AO1178" t="n">
        <v>0</v>
      </c>
      <c r="AP1178" t="inlineStr">
        <is>
          <t>No</t>
        </is>
      </c>
      <c r="AQ1178" t="inlineStr">
        <is>
          <t>No</t>
        </is>
      </c>
      <c r="AS1178">
        <f>HYPERLINK("https://creighton-primo.hosted.exlibrisgroup.com/primo-explore/search?tab=default_tab&amp;search_scope=EVERYTHING&amp;vid=01CRU&amp;lang=en_US&amp;offset=0&amp;query=any,contains,991000604719702656","Catalog Record")</f>
        <v/>
      </c>
      <c r="AT1178">
        <f>HYPERLINK("http://www.worldcat.org/oclc/11860610","WorldCat Record")</f>
        <v/>
      </c>
      <c r="AU1178" t="inlineStr">
        <is>
          <t>836671813:eng</t>
        </is>
      </c>
      <c r="AV1178" t="inlineStr">
        <is>
          <t>11860610</t>
        </is>
      </c>
      <c r="AW1178" t="inlineStr">
        <is>
          <t>991000604719702656</t>
        </is>
      </c>
      <c r="AX1178" t="inlineStr">
        <is>
          <t>991000604719702656</t>
        </is>
      </c>
      <c r="AY1178" t="inlineStr">
        <is>
          <t>2262266330002656</t>
        </is>
      </c>
      <c r="AZ1178" t="inlineStr">
        <is>
          <t>BOOK</t>
        </is>
      </c>
      <c r="BB1178" t="inlineStr">
        <is>
          <t>9780872431362</t>
        </is>
      </c>
      <c r="BC1178" t="inlineStr">
        <is>
          <t>32285000765981</t>
        </is>
      </c>
      <c r="BD1178" t="inlineStr">
        <is>
          <t>893702263</t>
        </is>
      </c>
    </row>
    <row r="1179">
      <c r="A1179" t="inlineStr">
        <is>
          <t>No</t>
        </is>
      </c>
      <c r="B1179" t="inlineStr">
        <is>
          <t>BX2177.5 .T38 1986</t>
        </is>
      </c>
      <c r="C1179" t="inlineStr">
        <is>
          <t>0                      BX 2177500T  38          1986</t>
        </is>
      </c>
      <c r="D1179" t="inlineStr">
        <is>
          <t>The household of faith : Roman Catholic devotions in mid-nineteenth-century America / Ann Taves.</t>
        </is>
      </c>
      <c r="F1179" t="inlineStr">
        <is>
          <t>No</t>
        </is>
      </c>
      <c r="G1179" t="inlineStr">
        <is>
          <t>1</t>
        </is>
      </c>
      <c r="H1179" t="inlineStr">
        <is>
          <t>No</t>
        </is>
      </c>
      <c r="I1179" t="inlineStr">
        <is>
          <t>No</t>
        </is>
      </c>
      <c r="J1179" t="inlineStr">
        <is>
          <t>0</t>
        </is>
      </c>
      <c r="K1179" t="inlineStr">
        <is>
          <t>Taves, Ann, 1952-</t>
        </is>
      </c>
      <c r="L1179" t="inlineStr">
        <is>
          <t>Notre Dame, Ind. : University of Notre Dame Press, c1986.</t>
        </is>
      </c>
      <c r="M1179" t="inlineStr">
        <is>
          <t>1986</t>
        </is>
      </c>
      <c r="O1179" t="inlineStr">
        <is>
          <t>eng</t>
        </is>
      </c>
      <c r="P1179" t="inlineStr">
        <is>
          <t>inu</t>
        </is>
      </c>
      <c r="R1179" t="inlineStr">
        <is>
          <t xml:space="preserve">BX </t>
        </is>
      </c>
      <c r="S1179" t="n">
        <v>9</v>
      </c>
      <c r="T1179" t="n">
        <v>9</v>
      </c>
      <c r="U1179" t="inlineStr">
        <is>
          <t>2002-08-30</t>
        </is>
      </c>
      <c r="V1179" t="inlineStr">
        <is>
          <t>2002-08-30</t>
        </is>
      </c>
      <c r="W1179" t="inlineStr">
        <is>
          <t>1991-09-20</t>
        </is>
      </c>
      <c r="X1179" t="inlineStr">
        <is>
          <t>1991-09-20</t>
        </is>
      </c>
      <c r="Y1179" t="n">
        <v>388</v>
      </c>
      <c r="Z1179" t="n">
        <v>350</v>
      </c>
      <c r="AA1179" t="n">
        <v>357</v>
      </c>
      <c r="AB1179" t="n">
        <v>4</v>
      </c>
      <c r="AC1179" t="n">
        <v>4</v>
      </c>
      <c r="AD1179" t="n">
        <v>33</v>
      </c>
      <c r="AE1179" t="n">
        <v>33</v>
      </c>
      <c r="AF1179" t="n">
        <v>13</v>
      </c>
      <c r="AG1179" t="n">
        <v>13</v>
      </c>
      <c r="AH1179" t="n">
        <v>8</v>
      </c>
      <c r="AI1179" t="n">
        <v>8</v>
      </c>
      <c r="AJ1179" t="n">
        <v>22</v>
      </c>
      <c r="AK1179" t="n">
        <v>22</v>
      </c>
      <c r="AL1179" t="n">
        <v>2</v>
      </c>
      <c r="AM1179" t="n">
        <v>2</v>
      </c>
      <c r="AN1179" t="n">
        <v>0</v>
      </c>
      <c r="AO1179" t="n">
        <v>0</v>
      </c>
      <c r="AP1179" t="inlineStr">
        <is>
          <t>No</t>
        </is>
      </c>
      <c r="AQ1179" t="inlineStr">
        <is>
          <t>Yes</t>
        </is>
      </c>
      <c r="AR1179">
        <f>HYPERLINK("http://catalog.hathitrust.org/Record/000435672","HathiTrust Record")</f>
        <v/>
      </c>
      <c r="AS1179">
        <f>HYPERLINK("https://creighton-primo.hosted.exlibrisgroup.com/primo-explore/search?tab=default_tab&amp;search_scope=EVERYTHING&amp;vid=01CRU&amp;lang=en_US&amp;offset=0&amp;query=any,contains,991005406159702656","Catalog Record")</f>
        <v/>
      </c>
      <c r="AT1179">
        <f>HYPERLINK("http://www.worldcat.org/oclc/13011053","WorldCat Record")</f>
        <v/>
      </c>
      <c r="AU1179" t="inlineStr">
        <is>
          <t>141351112:eng</t>
        </is>
      </c>
      <c r="AV1179" t="inlineStr">
        <is>
          <t>13011053</t>
        </is>
      </c>
      <c r="AW1179" t="inlineStr">
        <is>
          <t>991005406159702656</t>
        </is>
      </c>
      <c r="AX1179" t="inlineStr">
        <is>
          <t>991005406159702656</t>
        </is>
      </c>
      <c r="AY1179" t="inlineStr">
        <is>
          <t>2261829510002656</t>
        </is>
      </c>
      <c r="AZ1179" t="inlineStr">
        <is>
          <t>BOOK</t>
        </is>
      </c>
      <c r="BB1179" t="inlineStr">
        <is>
          <t>9780268010829</t>
        </is>
      </c>
      <c r="BC1179" t="inlineStr">
        <is>
          <t>32285000765999</t>
        </is>
      </c>
      <c r="BD1179" t="inlineStr">
        <is>
          <t>893514675</t>
        </is>
      </c>
    </row>
    <row r="1180">
      <c r="A1180" t="inlineStr">
        <is>
          <t>No</t>
        </is>
      </c>
      <c r="B1180" t="inlineStr">
        <is>
          <t>BX2178 .F7 1957</t>
        </is>
      </c>
      <c r="C1180" t="inlineStr">
        <is>
          <t>0                      BX 2178000F  7           1957</t>
        </is>
      </c>
      <c r="D1180" t="inlineStr">
        <is>
          <t>A diary of meditations / St. Francis de Sales. Cuthbert Smith, editor.</t>
        </is>
      </c>
      <c r="F1180" t="inlineStr">
        <is>
          <t>No</t>
        </is>
      </c>
      <c r="G1180" t="inlineStr">
        <is>
          <t>1</t>
        </is>
      </c>
      <c r="H1180" t="inlineStr">
        <is>
          <t>No</t>
        </is>
      </c>
      <c r="I1180" t="inlineStr">
        <is>
          <t>No</t>
        </is>
      </c>
      <c r="J1180" t="inlineStr">
        <is>
          <t>0</t>
        </is>
      </c>
      <c r="K1180" t="inlineStr">
        <is>
          <t>Francis, de Sales, Saint, 1567-1622.</t>
        </is>
      </c>
      <c r="L1180" t="inlineStr">
        <is>
          <t>Chicago : H. Regnery Co., 1957.</t>
        </is>
      </c>
      <c r="M1180" t="inlineStr">
        <is>
          <t>1957</t>
        </is>
      </c>
      <c r="O1180" t="inlineStr">
        <is>
          <t>eng</t>
        </is>
      </c>
      <c r="P1180" t="inlineStr">
        <is>
          <t>___</t>
        </is>
      </c>
      <c r="R1180" t="inlineStr">
        <is>
          <t xml:space="preserve">BX </t>
        </is>
      </c>
      <c r="S1180" t="n">
        <v>2</v>
      </c>
      <c r="T1180" t="n">
        <v>2</v>
      </c>
      <c r="U1180" t="inlineStr">
        <is>
          <t>1999-07-17</t>
        </is>
      </c>
      <c r="V1180" t="inlineStr">
        <is>
          <t>1999-07-17</t>
        </is>
      </c>
      <c r="W1180" t="inlineStr">
        <is>
          <t>1991-09-20</t>
        </is>
      </c>
      <c r="X1180" t="inlineStr">
        <is>
          <t>1991-09-20</t>
        </is>
      </c>
      <c r="Y1180" t="n">
        <v>111</v>
      </c>
      <c r="Z1180" t="n">
        <v>103</v>
      </c>
      <c r="AA1180" t="n">
        <v>110</v>
      </c>
      <c r="AB1180" t="n">
        <v>3</v>
      </c>
      <c r="AC1180" t="n">
        <v>3</v>
      </c>
      <c r="AD1180" t="n">
        <v>10</v>
      </c>
      <c r="AE1180" t="n">
        <v>10</v>
      </c>
      <c r="AF1180" t="n">
        <v>1</v>
      </c>
      <c r="AG1180" t="n">
        <v>1</v>
      </c>
      <c r="AH1180" t="n">
        <v>3</v>
      </c>
      <c r="AI1180" t="n">
        <v>3</v>
      </c>
      <c r="AJ1180" t="n">
        <v>8</v>
      </c>
      <c r="AK1180" t="n">
        <v>8</v>
      </c>
      <c r="AL1180" t="n">
        <v>1</v>
      </c>
      <c r="AM1180" t="n">
        <v>1</v>
      </c>
      <c r="AN1180" t="n">
        <v>0</v>
      </c>
      <c r="AO1180" t="n">
        <v>0</v>
      </c>
      <c r="AP1180" t="inlineStr">
        <is>
          <t>Yes</t>
        </is>
      </c>
      <c r="AQ1180" t="inlineStr">
        <is>
          <t>No</t>
        </is>
      </c>
      <c r="AR1180">
        <f>HYPERLINK("http://catalog.hathitrust.org/Record/001416828","HathiTrust Record")</f>
        <v/>
      </c>
      <c r="AS1180">
        <f>HYPERLINK("https://creighton-primo.hosted.exlibrisgroup.com/primo-explore/search?tab=default_tab&amp;search_scope=EVERYTHING&amp;vid=01CRU&amp;lang=en_US&amp;offset=0&amp;query=any,contains,991003754009702656","Catalog Record")</f>
        <v/>
      </c>
      <c r="AT1180">
        <f>HYPERLINK("http://www.worldcat.org/oclc/1433129","WorldCat Record")</f>
        <v/>
      </c>
      <c r="AU1180" t="inlineStr">
        <is>
          <t>2320645:eng</t>
        </is>
      </c>
      <c r="AV1180" t="inlineStr">
        <is>
          <t>1433129</t>
        </is>
      </c>
      <c r="AW1180" t="inlineStr">
        <is>
          <t>991003754009702656</t>
        </is>
      </c>
      <c r="AX1180" t="inlineStr">
        <is>
          <t>991003754009702656</t>
        </is>
      </c>
      <c r="AY1180" t="inlineStr">
        <is>
          <t>2270611110002656</t>
        </is>
      </c>
      <c r="AZ1180" t="inlineStr">
        <is>
          <t>BOOK</t>
        </is>
      </c>
      <c r="BC1180" t="inlineStr">
        <is>
          <t>32285000766005</t>
        </is>
      </c>
      <c r="BD1180" t="inlineStr">
        <is>
          <t>893787710</t>
        </is>
      </c>
    </row>
    <row r="1181">
      <c r="A1181" t="inlineStr">
        <is>
          <t>No</t>
        </is>
      </c>
      <c r="B1181" t="inlineStr">
        <is>
          <t>BX2179.F8 L5 1909</t>
        </is>
      </c>
      <c r="C1181" t="inlineStr">
        <is>
          <t>0                      BX 2179000F  8                  L  5           1909</t>
        </is>
      </c>
      <c r="D1181" t="inlineStr">
        <is>
          <t>Letters to persons in religion / St. Francis de Sales ; translated into English by the Very Rev. Canon Mackey ; with introduction by Bishop Hedley ; and facsimile of the saint's handwriting.</t>
        </is>
      </c>
      <c r="F1181" t="inlineStr">
        <is>
          <t>No</t>
        </is>
      </c>
      <c r="G1181" t="inlineStr">
        <is>
          <t>1</t>
        </is>
      </c>
      <c r="H1181" t="inlineStr">
        <is>
          <t>No</t>
        </is>
      </c>
      <c r="I1181" t="inlineStr">
        <is>
          <t>No</t>
        </is>
      </c>
      <c r="J1181" t="inlineStr">
        <is>
          <t>0</t>
        </is>
      </c>
      <c r="K1181" t="inlineStr">
        <is>
          <t>Francis, de Sales, Saint, 1567-1622.</t>
        </is>
      </c>
      <c r="L1181" t="inlineStr">
        <is>
          <t>London : Burns &amp; Oates, 1909.</t>
        </is>
      </c>
      <c r="M1181" t="inlineStr">
        <is>
          <t>1909</t>
        </is>
      </c>
      <c r="N1181" t="inlineStr">
        <is>
          <t>4th ed.</t>
        </is>
      </c>
      <c r="O1181" t="inlineStr">
        <is>
          <t>eng</t>
        </is>
      </c>
      <c r="P1181" t="inlineStr">
        <is>
          <t>enk</t>
        </is>
      </c>
      <c r="Q1181" t="inlineStr">
        <is>
          <t>Library of St. Francis de Sales ; IV</t>
        </is>
      </c>
      <c r="R1181" t="inlineStr">
        <is>
          <t xml:space="preserve">BX </t>
        </is>
      </c>
      <c r="S1181" t="n">
        <v>2</v>
      </c>
      <c r="T1181" t="n">
        <v>2</v>
      </c>
      <c r="U1181" t="inlineStr">
        <is>
          <t>1999-07-17</t>
        </is>
      </c>
      <c r="V1181" t="inlineStr">
        <is>
          <t>1999-07-17</t>
        </is>
      </c>
      <c r="W1181" t="inlineStr">
        <is>
          <t>1991-09-20</t>
        </is>
      </c>
      <c r="X1181" t="inlineStr">
        <is>
          <t>1991-09-20</t>
        </is>
      </c>
      <c r="Y1181" t="n">
        <v>27</v>
      </c>
      <c r="Z1181" t="n">
        <v>22</v>
      </c>
      <c r="AA1181" t="n">
        <v>125</v>
      </c>
      <c r="AB1181" t="n">
        <v>1</v>
      </c>
      <c r="AC1181" t="n">
        <v>2</v>
      </c>
      <c r="AD1181" t="n">
        <v>5</v>
      </c>
      <c r="AE1181" t="n">
        <v>19</v>
      </c>
      <c r="AF1181" t="n">
        <v>2</v>
      </c>
      <c r="AG1181" t="n">
        <v>5</v>
      </c>
      <c r="AH1181" t="n">
        <v>0</v>
      </c>
      <c r="AI1181" t="n">
        <v>4</v>
      </c>
      <c r="AJ1181" t="n">
        <v>4</v>
      </c>
      <c r="AK1181" t="n">
        <v>15</v>
      </c>
      <c r="AL1181" t="n">
        <v>0</v>
      </c>
      <c r="AM1181" t="n">
        <v>0</v>
      </c>
      <c r="AN1181" t="n">
        <v>0</v>
      </c>
      <c r="AO1181" t="n">
        <v>0</v>
      </c>
      <c r="AP1181" t="inlineStr">
        <is>
          <t>No</t>
        </is>
      </c>
      <c r="AQ1181" t="inlineStr">
        <is>
          <t>No</t>
        </is>
      </c>
      <c r="AS1181">
        <f>HYPERLINK("https://creighton-primo.hosted.exlibrisgroup.com/primo-explore/search?tab=default_tab&amp;search_scope=EVERYTHING&amp;vid=01CRU&amp;lang=en_US&amp;offset=0&amp;query=any,contains,991004449739702656","Catalog Record")</f>
        <v/>
      </c>
      <c r="AT1181">
        <f>HYPERLINK("http://www.worldcat.org/oclc/3503461","WorldCat Record")</f>
        <v/>
      </c>
      <c r="AU1181" t="inlineStr">
        <is>
          <t>10364449:eng</t>
        </is>
      </c>
      <c r="AV1181" t="inlineStr">
        <is>
          <t>3503461</t>
        </is>
      </c>
      <c r="AW1181" t="inlineStr">
        <is>
          <t>991004449739702656</t>
        </is>
      </c>
      <c r="AX1181" t="inlineStr">
        <is>
          <t>991004449739702656</t>
        </is>
      </c>
      <c r="AY1181" t="inlineStr">
        <is>
          <t>2272087100002656</t>
        </is>
      </c>
      <c r="AZ1181" t="inlineStr">
        <is>
          <t>BOOK</t>
        </is>
      </c>
      <c r="BC1181" t="inlineStr">
        <is>
          <t>32285000766047</t>
        </is>
      </c>
      <c r="BD1181" t="inlineStr">
        <is>
          <t>893876126</t>
        </is>
      </c>
    </row>
    <row r="1182">
      <c r="A1182" t="inlineStr">
        <is>
          <t>No</t>
        </is>
      </c>
      <c r="B1182" t="inlineStr">
        <is>
          <t>BX2179.F8 S74 1909</t>
        </is>
      </c>
      <c r="C1182" t="inlineStr">
        <is>
          <t>0                      BX 2179000F  8                  S  74          1909</t>
        </is>
      </c>
      <c r="D1182" t="inlineStr">
        <is>
          <t>The spiritual conferences : translated from the Annecy text of 1895 / under the supervision of Abbot Gasquet and the late Canon Mackey, O. S. B.</t>
        </is>
      </c>
      <c r="F1182" t="inlineStr">
        <is>
          <t>No</t>
        </is>
      </c>
      <c r="G1182" t="inlineStr">
        <is>
          <t>1</t>
        </is>
      </c>
      <c r="H1182" t="inlineStr">
        <is>
          <t>No</t>
        </is>
      </c>
      <c r="I1182" t="inlineStr">
        <is>
          <t>No</t>
        </is>
      </c>
      <c r="J1182" t="inlineStr">
        <is>
          <t>0</t>
        </is>
      </c>
      <c r="K1182" t="inlineStr">
        <is>
          <t>Francis, de Sales, Saint, 1567-1622.</t>
        </is>
      </c>
      <c r="L1182" t="inlineStr">
        <is>
          <t>London : Burns &amp; Oates, limited ; New York; Cincinnati, [etc.] : Benziger brothers, 1909.</t>
        </is>
      </c>
      <c r="M1182" t="inlineStr">
        <is>
          <t>1906</t>
        </is>
      </c>
      <c r="O1182" t="inlineStr">
        <is>
          <t>eng</t>
        </is>
      </c>
      <c r="P1182" t="inlineStr">
        <is>
          <t>___</t>
        </is>
      </c>
      <c r="R1182" t="inlineStr">
        <is>
          <t xml:space="preserve">BX </t>
        </is>
      </c>
      <c r="S1182" t="n">
        <v>6</v>
      </c>
      <c r="T1182" t="n">
        <v>6</v>
      </c>
      <c r="U1182" t="inlineStr">
        <is>
          <t>2006-03-10</t>
        </is>
      </c>
      <c r="V1182" t="inlineStr">
        <is>
          <t>2006-03-10</t>
        </is>
      </c>
      <c r="W1182" t="inlineStr">
        <is>
          <t>1991-09-20</t>
        </is>
      </c>
      <c r="X1182" t="inlineStr">
        <is>
          <t>1991-09-20</t>
        </is>
      </c>
      <c r="Y1182" t="n">
        <v>40</v>
      </c>
      <c r="Z1182" t="n">
        <v>37</v>
      </c>
      <c r="AA1182" t="n">
        <v>136</v>
      </c>
      <c r="AB1182" t="n">
        <v>1</v>
      </c>
      <c r="AC1182" t="n">
        <v>1</v>
      </c>
      <c r="AD1182" t="n">
        <v>4</v>
      </c>
      <c r="AE1182" t="n">
        <v>10</v>
      </c>
      <c r="AF1182" t="n">
        <v>2</v>
      </c>
      <c r="AG1182" t="n">
        <v>2</v>
      </c>
      <c r="AH1182" t="n">
        <v>1</v>
      </c>
      <c r="AI1182" t="n">
        <v>3</v>
      </c>
      <c r="AJ1182" t="n">
        <v>2</v>
      </c>
      <c r="AK1182" t="n">
        <v>6</v>
      </c>
      <c r="AL1182" t="n">
        <v>0</v>
      </c>
      <c r="AM1182" t="n">
        <v>0</v>
      </c>
      <c r="AN1182" t="n">
        <v>0</v>
      </c>
      <c r="AO1182" t="n">
        <v>0</v>
      </c>
      <c r="AP1182" t="inlineStr">
        <is>
          <t>No</t>
        </is>
      </c>
      <c r="AQ1182" t="inlineStr">
        <is>
          <t>No</t>
        </is>
      </c>
      <c r="AS1182">
        <f>HYPERLINK("https://creighton-primo.hosted.exlibrisgroup.com/primo-explore/search?tab=default_tab&amp;search_scope=EVERYTHING&amp;vid=01CRU&amp;lang=en_US&amp;offset=0&amp;query=any,contains,991001126929702656","Catalog Record")</f>
        <v/>
      </c>
      <c r="AT1182">
        <f>HYPERLINK("http://www.worldcat.org/oclc/184489","WorldCat Record")</f>
        <v/>
      </c>
      <c r="AU1182" t="inlineStr">
        <is>
          <t>2908462801:eng</t>
        </is>
      </c>
      <c r="AV1182" t="inlineStr">
        <is>
          <t>184489</t>
        </is>
      </c>
      <c r="AW1182" t="inlineStr">
        <is>
          <t>991001126929702656</t>
        </is>
      </c>
      <c r="AX1182" t="inlineStr">
        <is>
          <t>991001126929702656</t>
        </is>
      </c>
      <c r="AY1182" t="inlineStr">
        <is>
          <t>2270451100002656</t>
        </is>
      </c>
      <c r="AZ1182" t="inlineStr">
        <is>
          <t>BOOK</t>
        </is>
      </c>
      <c r="BC1182" t="inlineStr">
        <is>
          <t>32285000766088</t>
        </is>
      </c>
      <c r="BD1182" t="inlineStr">
        <is>
          <t>893407870</t>
        </is>
      </c>
    </row>
    <row r="1183">
      <c r="A1183" t="inlineStr">
        <is>
          <t>No</t>
        </is>
      </c>
      <c r="B1183" t="inlineStr">
        <is>
          <t>BX2179.L8 M325 1974</t>
        </is>
      </c>
      <c r="C1183" t="inlineStr">
        <is>
          <t>0                      BX 2179000L  8                  M  325         1974</t>
        </is>
      </c>
      <c r="D1183" t="inlineStr">
        <is>
          <t>A strategy for liberation : notes for orienting the Exercises toward Utopia / by José Magaña ; translated from the Spanish by Mary Angela Roduit.</t>
        </is>
      </c>
      <c r="F1183" t="inlineStr">
        <is>
          <t>No</t>
        </is>
      </c>
      <c r="G1183" t="inlineStr">
        <is>
          <t>1</t>
        </is>
      </c>
      <c r="H1183" t="inlineStr">
        <is>
          <t>No</t>
        </is>
      </c>
      <c r="I1183" t="inlineStr">
        <is>
          <t>No</t>
        </is>
      </c>
      <c r="J1183" t="inlineStr">
        <is>
          <t>0</t>
        </is>
      </c>
      <c r="K1183" t="inlineStr">
        <is>
          <t>Magaña, José.</t>
        </is>
      </c>
      <c r="L1183" t="inlineStr">
        <is>
          <t>Jersey City, N.J. : Program to Adapt the Spiritual Exercises, [1974]</t>
        </is>
      </c>
      <c r="M1183" t="inlineStr">
        <is>
          <t>1974</t>
        </is>
      </c>
      <c r="N1183" t="inlineStr">
        <is>
          <t>1st ed.</t>
        </is>
      </c>
      <c r="O1183" t="inlineStr">
        <is>
          <t>eng</t>
        </is>
      </c>
      <c r="P1183" t="inlineStr">
        <is>
          <t>nju</t>
        </is>
      </c>
      <c r="R1183" t="inlineStr">
        <is>
          <t xml:space="preserve">BX </t>
        </is>
      </c>
      <c r="S1183" t="n">
        <v>7</v>
      </c>
      <c r="T1183" t="n">
        <v>7</v>
      </c>
      <c r="U1183" t="inlineStr">
        <is>
          <t>2008-02-19</t>
        </is>
      </c>
      <c r="V1183" t="inlineStr">
        <is>
          <t>2008-02-19</t>
        </is>
      </c>
      <c r="W1183" t="inlineStr">
        <is>
          <t>1991-09-26</t>
        </is>
      </c>
      <c r="X1183" t="inlineStr">
        <is>
          <t>1991-09-26</t>
        </is>
      </c>
      <c r="Y1183" t="n">
        <v>41</v>
      </c>
      <c r="Z1183" t="n">
        <v>35</v>
      </c>
      <c r="AA1183" t="n">
        <v>35</v>
      </c>
      <c r="AB1183" t="n">
        <v>2</v>
      </c>
      <c r="AC1183" t="n">
        <v>2</v>
      </c>
      <c r="AD1183" t="n">
        <v>11</v>
      </c>
      <c r="AE1183" t="n">
        <v>11</v>
      </c>
      <c r="AF1183" t="n">
        <v>3</v>
      </c>
      <c r="AG1183" t="n">
        <v>3</v>
      </c>
      <c r="AH1183" t="n">
        <v>1</v>
      </c>
      <c r="AI1183" t="n">
        <v>1</v>
      </c>
      <c r="AJ1183" t="n">
        <v>10</v>
      </c>
      <c r="AK1183" t="n">
        <v>10</v>
      </c>
      <c r="AL1183" t="n">
        <v>0</v>
      </c>
      <c r="AM1183" t="n">
        <v>0</v>
      </c>
      <c r="AN1183" t="n">
        <v>0</v>
      </c>
      <c r="AO1183" t="n">
        <v>0</v>
      </c>
      <c r="AP1183" t="inlineStr">
        <is>
          <t>No</t>
        </is>
      </c>
      <c r="AQ1183" t="inlineStr">
        <is>
          <t>No</t>
        </is>
      </c>
      <c r="AS1183">
        <f>HYPERLINK("https://creighton-primo.hosted.exlibrisgroup.com/primo-explore/search?tab=default_tab&amp;search_scope=EVERYTHING&amp;vid=01CRU&amp;lang=en_US&amp;offset=0&amp;query=any,contains,991003612859702656","Catalog Record")</f>
        <v/>
      </c>
      <c r="AT1183">
        <f>HYPERLINK("http://www.worldcat.org/oclc/1195624","WorldCat Record")</f>
        <v/>
      </c>
      <c r="AU1183" t="inlineStr">
        <is>
          <t>2155687:eng</t>
        </is>
      </c>
      <c r="AV1183" t="inlineStr">
        <is>
          <t>1195624</t>
        </is>
      </c>
      <c r="AW1183" t="inlineStr">
        <is>
          <t>991003612859702656</t>
        </is>
      </c>
      <c r="AX1183" t="inlineStr">
        <is>
          <t>991003612859702656</t>
        </is>
      </c>
      <c r="AY1183" t="inlineStr">
        <is>
          <t>2260249760002656</t>
        </is>
      </c>
      <c r="AZ1183" t="inlineStr">
        <is>
          <t>BOOK</t>
        </is>
      </c>
      <c r="BC1183" t="inlineStr">
        <is>
          <t>32285000766625</t>
        </is>
      </c>
      <c r="BD1183" t="inlineStr">
        <is>
          <t>893711565</t>
        </is>
      </c>
    </row>
    <row r="1184">
      <c r="A1184" t="inlineStr">
        <is>
          <t>No</t>
        </is>
      </c>
      <c r="B1184" t="inlineStr">
        <is>
          <t>BX2180 .R613 1972</t>
        </is>
      </c>
      <c r="C1184" t="inlineStr">
        <is>
          <t>0                      BX 2180000R  613         1972</t>
        </is>
      </c>
      <c r="D1184" t="inlineStr">
        <is>
          <t>The fire of love / Richard Rolle ; translated [from the Latin] into modern English with an introduction by Clifton Wolters.</t>
        </is>
      </c>
      <c r="F1184" t="inlineStr">
        <is>
          <t>No</t>
        </is>
      </c>
      <c r="G1184" t="inlineStr">
        <is>
          <t>1</t>
        </is>
      </c>
      <c r="H1184" t="inlineStr">
        <is>
          <t>No</t>
        </is>
      </c>
      <c r="I1184" t="inlineStr">
        <is>
          <t>No</t>
        </is>
      </c>
      <c r="J1184" t="inlineStr">
        <is>
          <t>0</t>
        </is>
      </c>
      <c r="K1184" t="inlineStr">
        <is>
          <t>Rolle, Richard, 1290?-1349.</t>
        </is>
      </c>
      <c r="L1184" t="inlineStr">
        <is>
          <t>Harmondsworth : Penguin, 1972.</t>
        </is>
      </c>
      <c r="M1184" t="inlineStr">
        <is>
          <t>1972</t>
        </is>
      </c>
      <c r="O1184" t="inlineStr">
        <is>
          <t>eng</t>
        </is>
      </c>
      <c r="P1184" t="inlineStr">
        <is>
          <t>enk</t>
        </is>
      </c>
      <c r="Q1184" t="inlineStr">
        <is>
          <t>The Penguin classics</t>
        </is>
      </c>
      <c r="R1184" t="inlineStr">
        <is>
          <t xml:space="preserve">BX </t>
        </is>
      </c>
      <c r="S1184" t="n">
        <v>5</v>
      </c>
      <c r="T1184" t="n">
        <v>5</v>
      </c>
      <c r="U1184" t="inlineStr">
        <is>
          <t>2003-03-18</t>
        </is>
      </c>
      <c r="V1184" t="inlineStr">
        <is>
          <t>2003-03-18</t>
        </is>
      </c>
      <c r="W1184" t="inlineStr">
        <is>
          <t>1991-10-07</t>
        </is>
      </c>
      <c r="X1184" t="inlineStr">
        <is>
          <t>1991-10-07</t>
        </is>
      </c>
      <c r="Y1184" t="n">
        <v>416</v>
      </c>
      <c r="Z1184" t="n">
        <v>306</v>
      </c>
      <c r="AA1184" t="n">
        <v>566</v>
      </c>
      <c r="AB1184" t="n">
        <v>2</v>
      </c>
      <c r="AC1184" t="n">
        <v>4</v>
      </c>
      <c r="AD1184" t="n">
        <v>17</v>
      </c>
      <c r="AE1184" t="n">
        <v>31</v>
      </c>
      <c r="AF1184" t="n">
        <v>10</v>
      </c>
      <c r="AG1184" t="n">
        <v>12</v>
      </c>
      <c r="AH1184" t="n">
        <v>2</v>
      </c>
      <c r="AI1184" t="n">
        <v>6</v>
      </c>
      <c r="AJ1184" t="n">
        <v>11</v>
      </c>
      <c r="AK1184" t="n">
        <v>20</v>
      </c>
      <c r="AL1184" t="n">
        <v>1</v>
      </c>
      <c r="AM1184" t="n">
        <v>3</v>
      </c>
      <c r="AN1184" t="n">
        <v>0</v>
      </c>
      <c r="AO1184" t="n">
        <v>0</v>
      </c>
      <c r="AP1184" t="inlineStr">
        <is>
          <t>No</t>
        </is>
      </c>
      <c r="AQ1184" t="inlineStr">
        <is>
          <t>Yes</t>
        </is>
      </c>
      <c r="AR1184">
        <f>HYPERLINK("http://catalog.hathitrust.org/Record/102071787","HathiTrust Record")</f>
        <v/>
      </c>
      <c r="AS1184">
        <f>HYPERLINK("https://creighton-primo.hosted.exlibrisgroup.com/primo-explore/search?tab=default_tab&amp;search_scope=EVERYTHING&amp;vid=01CRU&amp;lang=en_US&amp;offset=0&amp;query=any,contains,991002730329702656","Catalog Record")</f>
        <v/>
      </c>
      <c r="AT1184">
        <f>HYPERLINK("http://www.worldcat.org/oclc/416032","WorldCat Record")</f>
        <v/>
      </c>
      <c r="AU1184" t="inlineStr">
        <is>
          <t>5495211:eng</t>
        </is>
      </c>
      <c r="AV1184" t="inlineStr">
        <is>
          <t>416032</t>
        </is>
      </c>
      <c r="AW1184" t="inlineStr">
        <is>
          <t>991002730329702656</t>
        </is>
      </c>
      <c r="AX1184" t="inlineStr">
        <is>
          <t>991002730329702656</t>
        </is>
      </c>
      <c r="AY1184" t="inlineStr">
        <is>
          <t>2266634350002656</t>
        </is>
      </c>
      <c r="AZ1184" t="inlineStr">
        <is>
          <t>BOOK</t>
        </is>
      </c>
      <c r="BB1184" t="inlineStr">
        <is>
          <t>9780140442564</t>
        </is>
      </c>
      <c r="BC1184" t="inlineStr">
        <is>
          <t>32285000785724</t>
        </is>
      </c>
      <c r="BD1184" t="inlineStr">
        <is>
          <t>893798938</t>
        </is>
      </c>
    </row>
    <row r="1185">
      <c r="A1185" t="inlineStr">
        <is>
          <t>No</t>
        </is>
      </c>
      <c r="B1185" t="inlineStr">
        <is>
          <t>BX2182 .B82 1954</t>
        </is>
      </c>
      <c r="C1185" t="inlineStr">
        <is>
          <t>0                      BX 2182000B  82          1954</t>
        </is>
      </c>
      <c r="D1185" t="inlineStr">
        <is>
          <t>Through Him and with Him and in Him : thoughts and suggestions on the Priest and Victim of our Eucharistic Sacrifice, the center and source of life and holiness for priests and religious and all deout souls / by Venantius Buessing. Foreword by James L. Connolly.</t>
        </is>
      </c>
      <c r="F1185" t="inlineStr">
        <is>
          <t>No</t>
        </is>
      </c>
      <c r="G1185" t="inlineStr">
        <is>
          <t>1</t>
        </is>
      </c>
      <c r="H1185" t="inlineStr">
        <is>
          <t>No</t>
        </is>
      </c>
      <c r="I1185" t="inlineStr">
        <is>
          <t>No</t>
        </is>
      </c>
      <c r="J1185" t="inlineStr">
        <is>
          <t>0</t>
        </is>
      </c>
      <c r="K1185" t="inlineStr">
        <is>
          <t>Buessing, Venantius, 1879-</t>
        </is>
      </c>
      <c r="L1185" t="inlineStr">
        <is>
          <t>New York : J.F. Wagner, [1954]</t>
        </is>
      </c>
      <c r="M1185" t="inlineStr">
        <is>
          <t>1954</t>
        </is>
      </c>
      <c r="O1185" t="inlineStr">
        <is>
          <t>eng</t>
        </is>
      </c>
      <c r="P1185" t="inlineStr">
        <is>
          <t>___</t>
        </is>
      </c>
      <c r="R1185" t="inlineStr">
        <is>
          <t xml:space="preserve">BX </t>
        </is>
      </c>
      <c r="S1185" t="n">
        <v>3</v>
      </c>
      <c r="T1185" t="n">
        <v>3</v>
      </c>
      <c r="U1185" t="inlineStr">
        <is>
          <t>1998-06-16</t>
        </is>
      </c>
      <c r="V1185" t="inlineStr">
        <is>
          <t>1998-06-16</t>
        </is>
      </c>
      <c r="W1185" t="inlineStr">
        <is>
          <t>1991-10-07</t>
        </is>
      </c>
      <c r="X1185" t="inlineStr">
        <is>
          <t>1991-10-07</t>
        </is>
      </c>
      <c r="Y1185" t="n">
        <v>66</v>
      </c>
      <c r="Z1185" t="n">
        <v>54</v>
      </c>
      <c r="AA1185" t="n">
        <v>54</v>
      </c>
      <c r="AB1185" t="n">
        <v>2</v>
      </c>
      <c r="AC1185" t="n">
        <v>2</v>
      </c>
      <c r="AD1185" t="n">
        <v>10</v>
      </c>
      <c r="AE1185" t="n">
        <v>10</v>
      </c>
      <c r="AF1185" t="n">
        <v>2</v>
      </c>
      <c r="AG1185" t="n">
        <v>2</v>
      </c>
      <c r="AH1185" t="n">
        <v>4</v>
      </c>
      <c r="AI1185" t="n">
        <v>4</v>
      </c>
      <c r="AJ1185" t="n">
        <v>7</v>
      </c>
      <c r="AK1185" t="n">
        <v>7</v>
      </c>
      <c r="AL1185" t="n">
        <v>0</v>
      </c>
      <c r="AM1185" t="n">
        <v>0</v>
      </c>
      <c r="AN1185" t="n">
        <v>0</v>
      </c>
      <c r="AO1185" t="n">
        <v>0</v>
      </c>
      <c r="AP1185" t="inlineStr">
        <is>
          <t>No</t>
        </is>
      </c>
      <c r="AQ1185" t="inlineStr">
        <is>
          <t>No</t>
        </is>
      </c>
      <c r="AS1185">
        <f>HYPERLINK("https://creighton-primo.hosted.exlibrisgroup.com/primo-explore/search?tab=default_tab&amp;search_scope=EVERYTHING&amp;vid=01CRU&amp;lang=en_US&amp;offset=0&amp;query=any,contains,991003549119702656","Catalog Record")</f>
        <v/>
      </c>
      <c r="AT1185">
        <f>HYPERLINK("http://www.worldcat.org/oclc/1116965","WorldCat Record")</f>
        <v/>
      </c>
      <c r="AU1185" t="inlineStr">
        <is>
          <t>3943281905:eng</t>
        </is>
      </c>
      <c r="AV1185" t="inlineStr">
        <is>
          <t>1116965</t>
        </is>
      </c>
      <c r="AW1185" t="inlineStr">
        <is>
          <t>991003549119702656</t>
        </is>
      </c>
      <c r="AX1185" t="inlineStr">
        <is>
          <t>991003549119702656</t>
        </is>
      </c>
      <c r="AY1185" t="inlineStr">
        <is>
          <t>2269190560002656</t>
        </is>
      </c>
      <c r="AZ1185" t="inlineStr">
        <is>
          <t>BOOK</t>
        </is>
      </c>
      <c r="BC1185" t="inlineStr">
        <is>
          <t>32285000785740</t>
        </is>
      </c>
      <c r="BD1185" t="inlineStr">
        <is>
          <t>893435129</t>
        </is>
      </c>
    </row>
    <row r="1186">
      <c r="A1186" t="inlineStr">
        <is>
          <t>No</t>
        </is>
      </c>
      <c r="B1186" t="inlineStr">
        <is>
          <t>BX2182 .D6 1917</t>
        </is>
      </c>
      <c r="C1186" t="inlineStr">
        <is>
          <t>0                      BX 2182000D  6           1917</t>
        </is>
      </c>
      <c r="D1186" t="inlineStr">
        <is>
          <t>The holy hour in Gethsemane : meditations on the Anima Christi / [by] Francis P. Donnelly.</t>
        </is>
      </c>
      <c r="F1186" t="inlineStr">
        <is>
          <t>No</t>
        </is>
      </c>
      <c r="G1186" t="inlineStr">
        <is>
          <t>1</t>
        </is>
      </c>
      <c r="H1186" t="inlineStr">
        <is>
          <t>No</t>
        </is>
      </c>
      <c r="I1186" t="inlineStr">
        <is>
          <t>No</t>
        </is>
      </c>
      <c r="J1186" t="inlineStr">
        <is>
          <t>0</t>
        </is>
      </c>
      <c r="K1186" t="inlineStr">
        <is>
          <t>Donnelly, Francis P. (Francis Patrick), 1869-1959.</t>
        </is>
      </c>
      <c r="L1186" t="inlineStr">
        <is>
          <t>New York : P. J. Kenedy &amp; sons, 1917.</t>
        </is>
      </c>
      <c r="M1186" t="inlineStr">
        <is>
          <t>1917</t>
        </is>
      </c>
      <c r="O1186" t="inlineStr">
        <is>
          <t>eng</t>
        </is>
      </c>
      <c r="P1186" t="inlineStr">
        <is>
          <t>nyu</t>
        </is>
      </c>
      <c r="R1186" t="inlineStr">
        <is>
          <t xml:space="preserve">BX </t>
        </is>
      </c>
      <c r="S1186" t="n">
        <v>2</v>
      </c>
      <c r="T1186" t="n">
        <v>2</v>
      </c>
      <c r="U1186" t="inlineStr">
        <is>
          <t>2002-08-28</t>
        </is>
      </c>
      <c r="V1186" t="inlineStr">
        <is>
          <t>2002-08-28</t>
        </is>
      </c>
      <c r="W1186" t="inlineStr">
        <is>
          <t>1991-10-07</t>
        </is>
      </c>
      <c r="X1186" t="inlineStr">
        <is>
          <t>1991-10-07</t>
        </is>
      </c>
      <c r="Y1186" t="n">
        <v>51</v>
      </c>
      <c r="Z1186" t="n">
        <v>47</v>
      </c>
      <c r="AA1186" t="n">
        <v>64</v>
      </c>
      <c r="AB1186" t="n">
        <v>1</v>
      </c>
      <c r="AC1186" t="n">
        <v>2</v>
      </c>
      <c r="AD1186" t="n">
        <v>15</v>
      </c>
      <c r="AE1186" t="n">
        <v>16</v>
      </c>
      <c r="AF1186" t="n">
        <v>2</v>
      </c>
      <c r="AG1186" t="n">
        <v>2</v>
      </c>
      <c r="AH1186" t="n">
        <v>7</v>
      </c>
      <c r="AI1186" t="n">
        <v>7</v>
      </c>
      <c r="AJ1186" t="n">
        <v>11</v>
      </c>
      <c r="AK1186" t="n">
        <v>11</v>
      </c>
      <c r="AL1186" t="n">
        <v>0</v>
      </c>
      <c r="AM1186" t="n">
        <v>1</v>
      </c>
      <c r="AN1186" t="n">
        <v>0</v>
      </c>
      <c r="AO1186" t="n">
        <v>0</v>
      </c>
      <c r="AP1186" t="inlineStr">
        <is>
          <t>Yes</t>
        </is>
      </c>
      <c r="AQ1186" t="inlineStr">
        <is>
          <t>No</t>
        </is>
      </c>
      <c r="AR1186">
        <f>HYPERLINK("http://catalog.hathitrust.org/Record/011206081","HathiTrust Record")</f>
        <v/>
      </c>
      <c r="AS1186">
        <f>HYPERLINK("https://creighton-primo.hosted.exlibrisgroup.com/primo-explore/search?tab=default_tab&amp;search_scope=EVERYTHING&amp;vid=01CRU&amp;lang=en_US&amp;offset=0&amp;query=any,contains,991004616349702656","Catalog Record")</f>
        <v/>
      </c>
      <c r="AT1186">
        <f>HYPERLINK("http://www.worldcat.org/oclc/4259105","WorldCat Record")</f>
        <v/>
      </c>
      <c r="AU1186" t="inlineStr">
        <is>
          <t>14504938:eng</t>
        </is>
      </c>
      <c r="AV1186" t="inlineStr">
        <is>
          <t>4259105</t>
        </is>
      </c>
      <c r="AW1186" t="inlineStr">
        <is>
          <t>991004616349702656</t>
        </is>
      </c>
      <c r="AX1186" t="inlineStr">
        <is>
          <t>991004616349702656</t>
        </is>
      </c>
      <c r="AY1186" t="inlineStr">
        <is>
          <t>2268409750002656</t>
        </is>
      </c>
      <c r="AZ1186" t="inlineStr">
        <is>
          <t>BOOK</t>
        </is>
      </c>
      <c r="BC1186" t="inlineStr">
        <is>
          <t>32285000785781</t>
        </is>
      </c>
      <c r="BD1186" t="inlineStr">
        <is>
          <t>893500773</t>
        </is>
      </c>
    </row>
    <row r="1187">
      <c r="A1187" t="inlineStr">
        <is>
          <t>No</t>
        </is>
      </c>
      <c r="B1187" t="inlineStr">
        <is>
          <t>BX2182 .G46 1958</t>
        </is>
      </c>
      <c r="C1187" t="inlineStr">
        <is>
          <t>0                      BX 2182000G  46          1958</t>
        </is>
      </c>
      <c r="D1187" t="inlineStr">
        <is>
          <t>My last book / by James M. Gillis.</t>
        </is>
      </c>
      <c r="F1187" t="inlineStr">
        <is>
          <t>No</t>
        </is>
      </c>
      <c r="G1187" t="inlineStr">
        <is>
          <t>1</t>
        </is>
      </c>
      <c r="H1187" t="inlineStr">
        <is>
          <t>No</t>
        </is>
      </c>
      <c r="I1187" t="inlineStr">
        <is>
          <t>No</t>
        </is>
      </c>
      <c r="J1187" t="inlineStr">
        <is>
          <t>0</t>
        </is>
      </c>
      <c r="K1187" t="inlineStr">
        <is>
          <t>Gillis, James M. (James Martin), 1876-1957.</t>
        </is>
      </c>
      <c r="L1187" t="inlineStr">
        <is>
          <t>New York : P. J. Kenedy, [1958]</t>
        </is>
      </c>
      <c r="M1187" t="inlineStr">
        <is>
          <t>1958</t>
        </is>
      </c>
      <c r="O1187" t="inlineStr">
        <is>
          <t>eng</t>
        </is>
      </c>
      <c r="P1187" t="inlineStr">
        <is>
          <t>___</t>
        </is>
      </c>
      <c r="R1187" t="inlineStr">
        <is>
          <t xml:space="preserve">BX </t>
        </is>
      </c>
      <c r="S1187" t="n">
        <v>5</v>
      </c>
      <c r="T1187" t="n">
        <v>5</v>
      </c>
      <c r="U1187" t="inlineStr">
        <is>
          <t>2000-03-08</t>
        </is>
      </c>
      <c r="V1187" t="inlineStr">
        <is>
          <t>2000-03-08</t>
        </is>
      </c>
      <c r="W1187" t="inlineStr">
        <is>
          <t>1991-10-07</t>
        </is>
      </c>
      <c r="X1187" t="inlineStr">
        <is>
          <t>1991-10-07</t>
        </is>
      </c>
      <c r="Y1187" t="n">
        <v>127</v>
      </c>
      <c r="Z1187" t="n">
        <v>124</v>
      </c>
      <c r="AA1187" t="n">
        <v>133</v>
      </c>
      <c r="AB1187" t="n">
        <v>3</v>
      </c>
      <c r="AC1187" t="n">
        <v>3</v>
      </c>
      <c r="AD1187" t="n">
        <v>20</v>
      </c>
      <c r="AE1187" t="n">
        <v>20</v>
      </c>
      <c r="AF1187" t="n">
        <v>5</v>
      </c>
      <c r="AG1187" t="n">
        <v>5</v>
      </c>
      <c r="AH1187" t="n">
        <v>6</v>
      </c>
      <c r="AI1187" t="n">
        <v>6</v>
      </c>
      <c r="AJ1187" t="n">
        <v>17</v>
      </c>
      <c r="AK1187" t="n">
        <v>17</v>
      </c>
      <c r="AL1187" t="n">
        <v>0</v>
      </c>
      <c r="AM1187" t="n">
        <v>0</v>
      </c>
      <c r="AN1187" t="n">
        <v>0</v>
      </c>
      <c r="AO1187" t="n">
        <v>0</v>
      </c>
      <c r="AP1187" t="inlineStr">
        <is>
          <t>No</t>
        </is>
      </c>
      <c r="AQ1187" t="inlineStr">
        <is>
          <t>No</t>
        </is>
      </c>
      <c r="AS1187">
        <f>HYPERLINK("https://creighton-primo.hosted.exlibrisgroup.com/primo-explore/search?tab=default_tab&amp;search_scope=EVERYTHING&amp;vid=01CRU&amp;lang=en_US&amp;offset=0&amp;query=any,contains,991003306819702656","Catalog Record")</f>
        <v/>
      </c>
      <c r="AT1187">
        <f>HYPERLINK("http://www.worldcat.org/oclc/830374","WorldCat Record")</f>
        <v/>
      </c>
      <c r="AU1187" t="inlineStr">
        <is>
          <t>1739462:eng</t>
        </is>
      </c>
      <c r="AV1187" t="inlineStr">
        <is>
          <t>830374</t>
        </is>
      </c>
      <c r="AW1187" t="inlineStr">
        <is>
          <t>991003306819702656</t>
        </is>
      </c>
      <c r="AX1187" t="inlineStr">
        <is>
          <t>991003306819702656</t>
        </is>
      </c>
      <c r="AY1187" t="inlineStr">
        <is>
          <t>2269679440002656</t>
        </is>
      </c>
      <c r="AZ1187" t="inlineStr">
        <is>
          <t>BOOK</t>
        </is>
      </c>
      <c r="BC1187" t="inlineStr">
        <is>
          <t>32285000785807</t>
        </is>
      </c>
      <c r="BD1187" t="inlineStr">
        <is>
          <t>893787196</t>
        </is>
      </c>
    </row>
    <row r="1188">
      <c r="A1188" t="inlineStr">
        <is>
          <t>No</t>
        </is>
      </c>
      <c r="B1188" t="inlineStr">
        <is>
          <t>BX2182 .K395 1955</t>
        </is>
      </c>
      <c r="C1188" t="inlineStr">
        <is>
          <t>0                      BX 2182000K  395         1955</t>
        </is>
      </c>
      <c r="D1188" t="inlineStr">
        <is>
          <t>Make each day count : a Christopher thought for every day of the year / by James Keller.</t>
        </is>
      </c>
      <c r="F1188" t="inlineStr">
        <is>
          <t>No</t>
        </is>
      </c>
      <c r="G1188" t="inlineStr">
        <is>
          <t>1</t>
        </is>
      </c>
      <c r="H1188" t="inlineStr">
        <is>
          <t>No</t>
        </is>
      </c>
      <c r="I1188" t="inlineStr">
        <is>
          <t>No</t>
        </is>
      </c>
      <c r="J1188" t="inlineStr">
        <is>
          <t>0</t>
        </is>
      </c>
      <c r="K1188" t="inlineStr">
        <is>
          <t>Keller, James, 1900-1977.</t>
        </is>
      </c>
      <c r="L1188" t="inlineStr">
        <is>
          <t>Garden City, N. Y. : Hanover House, 1955.</t>
        </is>
      </c>
      <c r="M1188" t="inlineStr">
        <is>
          <t>1955</t>
        </is>
      </c>
      <c r="O1188" t="inlineStr">
        <is>
          <t>eng</t>
        </is>
      </c>
      <c r="P1188" t="inlineStr">
        <is>
          <t>nyu</t>
        </is>
      </c>
      <c r="R1188" t="inlineStr">
        <is>
          <t xml:space="preserve">BX </t>
        </is>
      </c>
      <c r="S1188" t="n">
        <v>3</v>
      </c>
      <c r="T1188" t="n">
        <v>3</v>
      </c>
      <c r="U1188" t="inlineStr">
        <is>
          <t>1999-03-29</t>
        </is>
      </c>
      <c r="V1188" t="inlineStr">
        <is>
          <t>1999-03-29</t>
        </is>
      </c>
      <c r="W1188" t="inlineStr">
        <is>
          <t>1991-10-07</t>
        </is>
      </c>
      <c r="X1188" t="inlineStr">
        <is>
          <t>1991-10-07</t>
        </is>
      </c>
      <c r="Y1188" t="n">
        <v>104</v>
      </c>
      <c r="Z1188" t="n">
        <v>95</v>
      </c>
      <c r="AA1188" t="n">
        <v>104</v>
      </c>
      <c r="AB1188" t="n">
        <v>1</v>
      </c>
      <c r="AC1188" t="n">
        <v>1</v>
      </c>
      <c r="AD1188" t="n">
        <v>12</v>
      </c>
      <c r="AE1188" t="n">
        <v>12</v>
      </c>
      <c r="AF1188" t="n">
        <v>3</v>
      </c>
      <c r="AG1188" t="n">
        <v>3</v>
      </c>
      <c r="AH1188" t="n">
        <v>3</v>
      </c>
      <c r="AI1188" t="n">
        <v>3</v>
      </c>
      <c r="AJ1188" t="n">
        <v>8</v>
      </c>
      <c r="AK1188" t="n">
        <v>8</v>
      </c>
      <c r="AL1188" t="n">
        <v>0</v>
      </c>
      <c r="AM1188" t="n">
        <v>0</v>
      </c>
      <c r="AN1188" t="n">
        <v>0</v>
      </c>
      <c r="AO1188" t="n">
        <v>0</v>
      </c>
      <c r="AP1188" t="inlineStr">
        <is>
          <t>No</t>
        </is>
      </c>
      <c r="AQ1188" t="inlineStr">
        <is>
          <t>No</t>
        </is>
      </c>
      <c r="AS1188">
        <f>HYPERLINK("https://creighton-primo.hosted.exlibrisgroup.com/primo-explore/search?tab=default_tab&amp;search_scope=EVERYTHING&amp;vid=01CRU&amp;lang=en_US&amp;offset=0&amp;query=any,contains,991004180619702656","Catalog Record")</f>
        <v/>
      </c>
      <c r="AT1188">
        <f>HYPERLINK("http://www.worldcat.org/oclc/2603284","WorldCat Record")</f>
        <v/>
      </c>
      <c r="AU1188" t="inlineStr">
        <is>
          <t>5411562:eng</t>
        </is>
      </c>
      <c r="AV1188" t="inlineStr">
        <is>
          <t>2603284</t>
        </is>
      </c>
      <c r="AW1188" t="inlineStr">
        <is>
          <t>991004180619702656</t>
        </is>
      </c>
      <c r="AX1188" t="inlineStr">
        <is>
          <t>991004180619702656</t>
        </is>
      </c>
      <c r="AY1188" t="inlineStr">
        <is>
          <t>2269309170002656</t>
        </is>
      </c>
      <c r="AZ1188" t="inlineStr">
        <is>
          <t>BOOK</t>
        </is>
      </c>
      <c r="BC1188" t="inlineStr">
        <is>
          <t>32285000785872</t>
        </is>
      </c>
      <c r="BD1188" t="inlineStr">
        <is>
          <t>893325035</t>
        </is>
      </c>
    </row>
    <row r="1189">
      <c r="A1189" t="inlineStr">
        <is>
          <t>No</t>
        </is>
      </c>
      <c r="B1189" t="inlineStr">
        <is>
          <t>BX2182 .L362 1949</t>
        </is>
      </c>
      <c r="C1189" t="inlineStr">
        <is>
          <t>0                      BX 2182000L  362         1949</t>
        </is>
      </c>
      <c r="D1189" t="inlineStr">
        <is>
          <t>My changeless Friend / by Francis P. Le Buffe. Arr. for daily meditations throughout the liturgical year.</t>
        </is>
      </c>
      <c r="E1189" t="inlineStr">
        <is>
          <t>V. 1</t>
        </is>
      </c>
      <c r="F1189" t="inlineStr">
        <is>
          <t>Yes</t>
        </is>
      </c>
      <c r="G1189" t="inlineStr">
        <is>
          <t>1</t>
        </is>
      </c>
      <c r="H1189" t="inlineStr">
        <is>
          <t>No</t>
        </is>
      </c>
      <c r="I1189" t="inlineStr">
        <is>
          <t>No</t>
        </is>
      </c>
      <c r="J1189" t="inlineStr">
        <is>
          <t>0</t>
        </is>
      </c>
      <c r="K1189" t="inlineStr">
        <is>
          <t>LeBuffe, Francis P. (Francis Peter), 1885-1954.</t>
        </is>
      </c>
      <c r="L1189" t="inlineStr">
        <is>
          <t>New York : Apostleship of Prayer, [1949]</t>
        </is>
      </c>
      <c r="M1189" t="inlineStr">
        <is>
          <t>1949</t>
        </is>
      </c>
      <c r="O1189" t="inlineStr">
        <is>
          <t>eng</t>
        </is>
      </c>
      <c r="P1189" t="inlineStr">
        <is>
          <t>___</t>
        </is>
      </c>
      <c r="R1189" t="inlineStr">
        <is>
          <t xml:space="preserve">BX </t>
        </is>
      </c>
      <c r="S1189" t="n">
        <v>1</v>
      </c>
      <c r="T1189" t="n">
        <v>2</v>
      </c>
      <c r="U1189" t="inlineStr">
        <is>
          <t>1992-02-10</t>
        </is>
      </c>
      <c r="V1189" t="inlineStr">
        <is>
          <t>1992-02-10</t>
        </is>
      </c>
      <c r="W1189" t="inlineStr">
        <is>
          <t>1991-10-07</t>
        </is>
      </c>
      <c r="X1189" t="inlineStr">
        <is>
          <t>1991-10-07</t>
        </is>
      </c>
      <c r="Y1189" t="n">
        <v>46</v>
      </c>
      <c r="Z1189" t="n">
        <v>41</v>
      </c>
      <c r="AA1189" t="n">
        <v>47</v>
      </c>
      <c r="AB1189" t="n">
        <v>1</v>
      </c>
      <c r="AC1189" t="n">
        <v>1</v>
      </c>
      <c r="AD1189" t="n">
        <v>10</v>
      </c>
      <c r="AE1189" t="n">
        <v>11</v>
      </c>
      <c r="AF1189" t="n">
        <v>1</v>
      </c>
      <c r="AG1189" t="n">
        <v>1</v>
      </c>
      <c r="AH1189" t="n">
        <v>2</v>
      </c>
      <c r="AI1189" t="n">
        <v>2</v>
      </c>
      <c r="AJ1189" t="n">
        <v>9</v>
      </c>
      <c r="AK1189" t="n">
        <v>10</v>
      </c>
      <c r="AL1189" t="n">
        <v>0</v>
      </c>
      <c r="AM1189" t="n">
        <v>0</v>
      </c>
      <c r="AN1189" t="n">
        <v>0</v>
      </c>
      <c r="AO1189" t="n">
        <v>0</v>
      </c>
      <c r="AP1189" t="inlineStr">
        <is>
          <t>No</t>
        </is>
      </c>
      <c r="AQ1189" t="inlineStr">
        <is>
          <t>No</t>
        </is>
      </c>
      <c r="AS1189">
        <f>HYPERLINK("https://creighton-primo.hosted.exlibrisgroup.com/primo-explore/search?tab=default_tab&amp;search_scope=EVERYTHING&amp;vid=01CRU&amp;lang=en_US&amp;offset=0&amp;query=any,contains,991003657969702656","Catalog Record")</f>
        <v/>
      </c>
      <c r="AT1189">
        <f>HYPERLINK("http://www.worldcat.org/oclc/1264170","WorldCat Record")</f>
        <v/>
      </c>
      <c r="AU1189" t="inlineStr">
        <is>
          <t>9566145720:eng</t>
        </is>
      </c>
      <c r="AV1189" t="inlineStr">
        <is>
          <t>1264170</t>
        </is>
      </c>
      <c r="AW1189" t="inlineStr">
        <is>
          <t>991003657969702656</t>
        </is>
      </c>
      <c r="AX1189" t="inlineStr">
        <is>
          <t>991003657969702656</t>
        </is>
      </c>
      <c r="AY1189" t="inlineStr">
        <is>
          <t>2264229720002656</t>
        </is>
      </c>
      <c r="AZ1189" t="inlineStr">
        <is>
          <t>BOOK</t>
        </is>
      </c>
      <c r="BC1189" t="inlineStr">
        <is>
          <t>32285000785898</t>
        </is>
      </c>
      <c r="BD1189" t="inlineStr">
        <is>
          <t>893435250</t>
        </is>
      </c>
    </row>
    <row r="1190">
      <c r="A1190" t="inlineStr">
        <is>
          <t>No</t>
        </is>
      </c>
      <c r="B1190" t="inlineStr">
        <is>
          <t>BX2182 .L362 1949</t>
        </is>
      </c>
      <c r="C1190" t="inlineStr">
        <is>
          <t>0                      BX 2182000L  362         1949</t>
        </is>
      </c>
      <c r="D1190" t="inlineStr">
        <is>
          <t>My changeless Friend / by Francis P. Le Buffe. Arr. for daily meditations throughout the liturgical year.</t>
        </is>
      </c>
      <c r="E1190" t="inlineStr">
        <is>
          <t>V. 2</t>
        </is>
      </c>
      <c r="F1190" t="inlineStr">
        <is>
          <t>Yes</t>
        </is>
      </c>
      <c r="G1190" t="inlineStr">
        <is>
          <t>1</t>
        </is>
      </c>
      <c r="H1190" t="inlineStr">
        <is>
          <t>No</t>
        </is>
      </c>
      <c r="I1190" t="inlineStr">
        <is>
          <t>No</t>
        </is>
      </c>
      <c r="J1190" t="inlineStr">
        <is>
          <t>0</t>
        </is>
      </c>
      <c r="K1190" t="inlineStr">
        <is>
          <t>LeBuffe, Francis P. (Francis Peter), 1885-1954.</t>
        </is>
      </c>
      <c r="L1190" t="inlineStr">
        <is>
          <t>New York : Apostleship of Prayer, [1949]</t>
        </is>
      </c>
      <c r="M1190" t="inlineStr">
        <is>
          <t>1949</t>
        </is>
      </c>
      <c r="O1190" t="inlineStr">
        <is>
          <t>eng</t>
        </is>
      </c>
      <c r="P1190" t="inlineStr">
        <is>
          <t>___</t>
        </is>
      </c>
      <c r="R1190" t="inlineStr">
        <is>
          <t xml:space="preserve">BX </t>
        </is>
      </c>
      <c r="S1190" t="n">
        <v>1</v>
      </c>
      <c r="T1190" t="n">
        <v>2</v>
      </c>
      <c r="U1190" t="inlineStr">
        <is>
          <t>1992-02-10</t>
        </is>
      </c>
      <c r="V1190" t="inlineStr">
        <is>
          <t>1992-02-10</t>
        </is>
      </c>
      <c r="W1190" t="inlineStr">
        <is>
          <t>1991-10-07</t>
        </is>
      </c>
      <c r="X1190" t="inlineStr">
        <is>
          <t>1991-10-07</t>
        </is>
      </c>
      <c r="Y1190" t="n">
        <v>46</v>
      </c>
      <c r="Z1190" t="n">
        <v>41</v>
      </c>
      <c r="AA1190" t="n">
        <v>47</v>
      </c>
      <c r="AB1190" t="n">
        <v>1</v>
      </c>
      <c r="AC1190" t="n">
        <v>1</v>
      </c>
      <c r="AD1190" t="n">
        <v>10</v>
      </c>
      <c r="AE1190" t="n">
        <v>11</v>
      </c>
      <c r="AF1190" t="n">
        <v>1</v>
      </c>
      <c r="AG1190" t="n">
        <v>1</v>
      </c>
      <c r="AH1190" t="n">
        <v>2</v>
      </c>
      <c r="AI1190" t="n">
        <v>2</v>
      </c>
      <c r="AJ1190" t="n">
        <v>9</v>
      </c>
      <c r="AK1190" t="n">
        <v>10</v>
      </c>
      <c r="AL1190" t="n">
        <v>0</v>
      </c>
      <c r="AM1190" t="n">
        <v>0</v>
      </c>
      <c r="AN1190" t="n">
        <v>0</v>
      </c>
      <c r="AO1190" t="n">
        <v>0</v>
      </c>
      <c r="AP1190" t="inlineStr">
        <is>
          <t>No</t>
        </is>
      </c>
      <c r="AQ1190" t="inlineStr">
        <is>
          <t>No</t>
        </is>
      </c>
      <c r="AS1190">
        <f>HYPERLINK("https://creighton-primo.hosted.exlibrisgroup.com/primo-explore/search?tab=default_tab&amp;search_scope=EVERYTHING&amp;vid=01CRU&amp;lang=en_US&amp;offset=0&amp;query=any,contains,991003657969702656","Catalog Record")</f>
        <v/>
      </c>
      <c r="AT1190">
        <f>HYPERLINK("http://www.worldcat.org/oclc/1264170","WorldCat Record")</f>
        <v/>
      </c>
      <c r="AU1190" t="inlineStr">
        <is>
          <t>9566145720:eng</t>
        </is>
      </c>
      <c r="AV1190" t="inlineStr">
        <is>
          <t>1264170</t>
        </is>
      </c>
      <c r="AW1190" t="inlineStr">
        <is>
          <t>991003657969702656</t>
        </is>
      </c>
      <c r="AX1190" t="inlineStr">
        <is>
          <t>991003657969702656</t>
        </is>
      </c>
      <c r="AY1190" t="inlineStr">
        <is>
          <t>2264229720002656</t>
        </is>
      </c>
      <c r="AZ1190" t="inlineStr">
        <is>
          <t>BOOK</t>
        </is>
      </c>
      <c r="BC1190" t="inlineStr">
        <is>
          <t>32285000785906</t>
        </is>
      </c>
      <c r="BD1190" t="inlineStr">
        <is>
          <t>893429046</t>
        </is>
      </c>
    </row>
    <row r="1191">
      <c r="A1191" t="inlineStr">
        <is>
          <t>No</t>
        </is>
      </c>
      <c r="B1191" t="inlineStr">
        <is>
          <t>BX2182 .L38 1946</t>
        </is>
      </c>
      <c r="C1191" t="inlineStr">
        <is>
          <t>0                      BX 2182000L  38          1946</t>
        </is>
      </c>
      <c r="D1191" t="inlineStr">
        <is>
          <t>Thinking with God : series I / by Francis P. Le Buffe, S. J.</t>
        </is>
      </c>
      <c r="F1191" t="inlineStr">
        <is>
          <t>No</t>
        </is>
      </c>
      <c r="G1191" t="inlineStr">
        <is>
          <t>1</t>
        </is>
      </c>
      <c r="H1191" t="inlineStr">
        <is>
          <t>No</t>
        </is>
      </c>
      <c r="I1191" t="inlineStr">
        <is>
          <t>No</t>
        </is>
      </c>
      <c r="J1191" t="inlineStr">
        <is>
          <t>0</t>
        </is>
      </c>
      <c r="K1191" t="inlineStr">
        <is>
          <t>LeBuffe, Francis P. (Francis Peter), 1885-1954.</t>
        </is>
      </c>
      <c r="L1191" t="inlineStr">
        <is>
          <t>Saint Louis, Mo. : The Queen's work, [1946]</t>
        </is>
      </c>
      <c r="M1191" t="inlineStr">
        <is>
          <t>1946</t>
        </is>
      </c>
      <c r="O1191" t="inlineStr">
        <is>
          <t>eng</t>
        </is>
      </c>
      <c r="P1191" t="inlineStr">
        <is>
          <t>mou</t>
        </is>
      </c>
      <c r="R1191" t="inlineStr">
        <is>
          <t xml:space="preserve">BX </t>
        </is>
      </c>
      <c r="S1191" t="n">
        <v>1</v>
      </c>
      <c r="T1191" t="n">
        <v>1</v>
      </c>
      <c r="U1191" t="inlineStr">
        <is>
          <t>1992-06-17</t>
        </is>
      </c>
      <c r="V1191" t="inlineStr">
        <is>
          <t>1992-06-17</t>
        </is>
      </c>
      <c r="W1191" t="inlineStr">
        <is>
          <t>1991-10-08</t>
        </is>
      </c>
      <c r="X1191" t="inlineStr">
        <is>
          <t>1991-10-08</t>
        </is>
      </c>
      <c r="Y1191" t="n">
        <v>20</v>
      </c>
      <c r="Z1191" t="n">
        <v>19</v>
      </c>
      <c r="AA1191" t="n">
        <v>19</v>
      </c>
      <c r="AB1191" t="n">
        <v>1</v>
      </c>
      <c r="AC1191" t="n">
        <v>1</v>
      </c>
      <c r="AD1191" t="n">
        <v>5</v>
      </c>
      <c r="AE1191" t="n">
        <v>5</v>
      </c>
      <c r="AF1191" t="n">
        <v>1</v>
      </c>
      <c r="AG1191" t="n">
        <v>1</v>
      </c>
      <c r="AH1191" t="n">
        <v>3</v>
      </c>
      <c r="AI1191" t="n">
        <v>3</v>
      </c>
      <c r="AJ1191" t="n">
        <v>3</v>
      </c>
      <c r="AK1191" t="n">
        <v>3</v>
      </c>
      <c r="AL1191" t="n">
        <v>0</v>
      </c>
      <c r="AM1191" t="n">
        <v>0</v>
      </c>
      <c r="AN1191" t="n">
        <v>0</v>
      </c>
      <c r="AO1191" t="n">
        <v>0</v>
      </c>
      <c r="AP1191" t="inlineStr">
        <is>
          <t>No</t>
        </is>
      </c>
      <c r="AQ1191" t="inlineStr">
        <is>
          <t>No</t>
        </is>
      </c>
      <c r="AS1191">
        <f>HYPERLINK("https://creighton-primo.hosted.exlibrisgroup.com/primo-explore/search?tab=default_tab&amp;search_scope=EVERYTHING&amp;vid=01CRU&amp;lang=en_US&amp;offset=0&amp;query=any,contains,991005024799702656","Catalog Record")</f>
        <v/>
      </c>
      <c r="AT1191">
        <f>HYPERLINK("http://www.worldcat.org/oclc/6681797","WorldCat Record")</f>
        <v/>
      </c>
      <c r="AU1191" t="inlineStr">
        <is>
          <t>2290303541:eng</t>
        </is>
      </c>
      <c r="AV1191" t="inlineStr">
        <is>
          <t>6681797</t>
        </is>
      </c>
      <c r="AW1191" t="inlineStr">
        <is>
          <t>991005024799702656</t>
        </is>
      </c>
      <c r="AX1191" t="inlineStr">
        <is>
          <t>991005024799702656</t>
        </is>
      </c>
      <c r="AY1191" t="inlineStr">
        <is>
          <t>2264998520002656</t>
        </is>
      </c>
      <c r="AZ1191" t="inlineStr">
        <is>
          <t>BOOK</t>
        </is>
      </c>
      <c r="BC1191" t="inlineStr">
        <is>
          <t>32285000785914</t>
        </is>
      </c>
      <c r="BD1191" t="inlineStr">
        <is>
          <t>893533045</t>
        </is>
      </c>
    </row>
    <row r="1192">
      <c r="A1192" t="inlineStr">
        <is>
          <t>No</t>
        </is>
      </c>
      <c r="B1192" t="inlineStr">
        <is>
          <t>BX2182 .M323 1936</t>
        </is>
      </c>
      <c r="C1192" t="inlineStr">
        <is>
          <t>0                      BX 2182000M  323         1936</t>
        </is>
      </c>
      <c r="D1192" t="inlineStr">
        <is>
          <t>Think and pray : prayers for use during retreat or holy hour or private devotions / by Joseph McSorley.</t>
        </is>
      </c>
      <c r="F1192" t="inlineStr">
        <is>
          <t>No</t>
        </is>
      </c>
      <c r="G1192" t="inlineStr">
        <is>
          <t>1</t>
        </is>
      </c>
      <c r="H1192" t="inlineStr">
        <is>
          <t>No</t>
        </is>
      </c>
      <c r="I1192" t="inlineStr">
        <is>
          <t>No</t>
        </is>
      </c>
      <c r="J1192" t="inlineStr">
        <is>
          <t>0</t>
        </is>
      </c>
      <c r="K1192" t="inlineStr">
        <is>
          <t>McSorley, Joseph, 1874-1963.</t>
        </is>
      </c>
      <c r="L1192" t="inlineStr">
        <is>
          <t>New York ; Toronto : Longmans, Green and co., 1936.</t>
        </is>
      </c>
      <c r="M1192" t="inlineStr">
        <is>
          <t>1936</t>
        </is>
      </c>
      <c r="O1192" t="inlineStr">
        <is>
          <t>eng</t>
        </is>
      </c>
      <c r="P1192" t="inlineStr">
        <is>
          <t>nyu</t>
        </is>
      </c>
      <c r="R1192" t="inlineStr">
        <is>
          <t xml:space="preserve">BX </t>
        </is>
      </c>
      <c r="S1192" t="n">
        <v>2</v>
      </c>
      <c r="T1192" t="n">
        <v>2</v>
      </c>
      <c r="U1192" t="inlineStr">
        <is>
          <t>2002-02-06</t>
        </is>
      </c>
      <c r="V1192" t="inlineStr">
        <is>
          <t>2002-02-06</t>
        </is>
      </c>
      <c r="W1192" t="inlineStr">
        <is>
          <t>1991-10-08</t>
        </is>
      </c>
      <c r="X1192" t="inlineStr">
        <is>
          <t>1991-10-08</t>
        </is>
      </c>
      <c r="Y1192" t="n">
        <v>67</v>
      </c>
      <c r="Z1192" t="n">
        <v>61</v>
      </c>
      <c r="AA1192" t="n">
        <v>73</v>
      </c>
      <c r="AB1192" t="n">
        <v>1</v>
      </c>
      <c r="AC1192" t="n">
        <v>2</v>
      </c>
      <c r="AD1192" t="n">
        <v>13</v>
      </c>
      <c r="AE1192" t="n">
        <v>13</v>
      </c>
      <c r="AF1192" t="n">
        <v>5</v>
      </c>
      <c r="AG1192" t="n">
        <v>5</v>
      </c>
      <c r="AH1192" t="n">
        <v>3</v>
      </c>
      <c r="AI1192" t="n">
        <v>3</v>
      </c>
      <c r="AJ1192" t="n">
        <v>10</v>
      </c>
      <c r="AK1192" t="n">
        <v>10</v>
      </c>
      <c r="AL1192" t="n">
        <v>0</v>
      </c>
      <c r="AM1192" t="n">
        <v>0</v>
      </c>
      <c r="AN1192" t="n">
        <v>0</v>
      </c>
      <c r="AO1192" t="n">
        <v>0</v>
      </c>
      <c r="AP1192" t="inlineStr">
        <is>
          <t>No</t>
        </is>
      </c>
      <c r="AQ1192" t="inlineStr">
        <is>
          <t>No</t>
        </is>
      </c>
      <c r="AS1192">
        <f>HYPERLINK("https://creighton-primo.hosted.exlibrisgroup.com/primo-explore/search?tab=default_tab&amp;search_scope=EVERYTHING&amp;vid=01CRU&amp;lang=en_US&amp;offset=0&amp;query=any,contains,991004359169702656","Catalog Record")</f>
        <v/>
      </c>
      <c r="AT1192">
        <f>HYPERLINK("http://www.worldcat.org/oclc/3157444","WorldCat Record")</f>
        <v/>
      </c>
      <c r="AU1192" t="inlineStr">
        <is>
          <t>433285635:eng</t>
        </is>
      </c>
      <c r="AV1192" t="inlineStr">
        <is>
          <t>3157444</t>
        </is>
      </c>
      <c r="AW1192" t="inlineStr">
        <is>
          <t>991004359169702656</t>
        </is>
      </c>
      <c r="AX1192" t="inlineStr">
        <is>
          <t>991004359169702656</t>
        </is>
      </c>
      <c r="AY1192" t="inlineStr">
        <is>
          <t>2254941870002656</t>
        </is>
      </c>
      <c r="AZ1192" t="inlineStr">
        <is>
          <t>BOOK</t>
        </is>
      </c>
      <c r="BC1192" t="inlineStr">
        <is>
          <t>32285000785930</t>
        </is>
      </c>
      <c r="BD1192" t="inlineStr">
        <is>
          <t>893526004</t>
        </is>
      </c>
    </row>
    <row r="1193">
      <c r="A1193" t="inlineStr">
        <is>
          <t>No</t>
        </is>
      </c>
      <c r="B1193" t="inlineStr">
        <is>
          <t>BX2182 .M5 1904</t>
        </is>
      </c>
      <c r="C1193" t="inlineStr">
        <is>
          <t>0                      BX 2182000M  5           1904</t>
        </is>
      </c>
      <c r="D1193" t="inlineStr">
        <is>
          <t>Spiritual despondency and temptations / by P. J. Michel ; translated from the French by F. P. Garesché.</t>
        </is>
      </c>
      <c r="F1193" t="inlineStr">
        <is>
          <t>No</t>
        </is>
      </c>
      <c r="G1193" t="inlineStr">
        <is>
          <t>1</t>
        </is>
      </c>
      <c r="H1193" t="inlineStr">
        <is>
          <t>No</t>
        </is>
      </c>
      <c r="I1193" t="inlineStr">
        <is>
          <t>No</t>
        </is>
      </c>
      <c r="J1193" t="inlineStr">
        <is>
          <t>0</t>
        </is>
      </c>
      <c r="K1193" t="inlineStr">
        <is>
          <t>Michel, Jacques, 1712-</t>
        </is>
      </c>
      <c r="L1193" t="inlineStr">
        <is>
          <t>New York : Benziger, 1904.</t>
        </is>
      </c>
      <c r="M1193" t="inlineStr">
        <is>
          <t>1904</t>
        </is>
      </c>
      <c r="N1193" t="inlineStr">
        <is>
          <t>Rev. and cor.</t>
        </is>
      </c>
      <c r="O1193" t="inlineStr">
        <is>
          <t>eng</t>
        </is>
      </c>
      <c r="P1193" t="inlineStr">
        <is>
          <t>nyu</t>
        </is>
      </c>
      <c r="R1193" t="inlineStr">
        <is>
          <t xml:space="preserve">BX </t>
        </is>
      </c>
      <c r="S1193" t="n">
        <v>7</v>
      </c>
      <c r="T1193" t="n">
        <v>7</v>
      </c>
      <c r="U1193" t="inlineStr">
        <is>
          <t>2004-02-10</t>
        </is>
      </c>
      <c r="V1193" t="inlineStr">
        <is>
          <t>2004-02-10</t>
        </is>
      </c>
      <c r="W1193" t="inlineStr">
        <is>
          <t>1991-10-08</t>
        </is>
      </c>
      <c r="X1193" t="inlineStr">
        <is>
          <t>1991-10-08</t>
        </is>
      </c>
      <c r="Y1193" t="n">
        <v>45</v>
      </c>
      <c r="Z1193" t="n">
        <v>38</v>
      </c>
      <c r="AA1193" t="n">
        <v>55</v>
      </c>
      <c r="AB1193" t="n">
        <v>1</v>
      </c>
      <c r="AC1193" t="n">
        <v>1</v>
      </c>
      <c r="AD1193" t="n">
        <v>10</v>
      </c>
      <c r="AE1193" t="n">
        <v>11</v>
      </c>
      <c r="AF1193" t="n">
        <v>0</v>
      </c>
      <c r="AG1193" t="n">
        <v>1</v>
      </c>
      <c r="AH1193" t="n">
        <v>3</v>
      </c>
      <c r="AI1193" t="n">
        <v>3</v>
      </c>
      <c r="AJ1193" t="n">
        <v>9</v>
      </c>
      <c r="AK1193" t="n">
        <v>10</v>
      </c>
      <c r="AL1193" t="n">
        <v>0</v>
      </c>
      <c r="AM1193" t="n">
        <v>0</v>
      </c>
      <c r="AN1193" t="n">
        <v>0</v>
      </c>
      <c r="AO1193" t="n">
        <v>0</v>
      </c>
      <c r="AP1193" t="inlineStr">
        <is>
          <t>No</t>
        </is>
      </c>
      <c r="AQ1193" t="inlineStr">
        <is>
          <t>No</t>
        </is>
      </c>
      <c r="AS1193">
        <f>HYPERLINK("https://creighton-primo.hosted.exlibrisgroup.com/primo-explore/search?tab=default_tab&amp;search_scope=EVERYTHING&amp;vid=01CRU&amp;lang=en_US&amp;offset=0&amp;query=any,contains,991005111729702656","Catalog Record")</f>
        <v/>
      </c>
      <c r="AT1193">
        <f>HYPERLINK("http://www.worldcat.org/oclc/7445708","WorldCat Record")</f>
        <v/>
      </c>
      <c r="AU1193" t="inlineStr">
        <is>
          <t>194498956:eng</t>
        </is>
      </c>
      <c r="AV1193" t="inlineStr">
        <is>
          <t>7445708</t>
        </is>
      </c>
      <c r="AW1193" t="inlineStr">
        <is>
          <t>991005111729702656</t>
        </is>
      </c>
      <c r="AX1193" t="inlineStr">
        <is>
          <t>991005111729702656</t>
        </is>
      </c>
      <c r="AY1193" t="inlineStr">
        <is>
          <t>2255634880002656</t>
        </is>
      </c>
      <c r="AZ1193" t="inlineStr">
        <is>
          <t>BOOK</t>
        </is>
      </c>
      <c r="BC1193" t="inlineStr">
        <is>
          <t>32285000785955</t>
        </is>
      </c>
      <c r="BD1193" t="inlineStr">
        <is>
          <t>893594485</t>
        </is>
      </c>
    </row>
    <row r="1194">
      <c r="A1194" t="inlineStr">
        <is>
          <t>No</t>
        </is>
      </c>
      <c r="B1194" t="inlineStr">
        <is>
          <t>BX2182 .M64 1946</t>
        </is>
      </c>
      <c r="C1194" t="inlineStr">
        <is>
          <t>0                      BX 2182000M  64          1946</t>
        </is>
      </c>
      <c r="D1194" t="inlineStr">
        <is>
          <t>The darkness is passed / by Thomas H. Moore, S. J.</t>
        </is>
      </c>
      <c r="F1194" t="inlineStr">
        <is>
          <t>No</t>
        </is>
      </c>
      <c r="G1194" t="inlineStr">
        <is>
          <t>1</t>
        </is>
      </c>
      <c r="H1194" t="inlineStr">
        <is>
          <t>No</t>
        </is>
      </c>
      <c r="I1194" t="inlineStr">
        <is>
          <t>No</t>
        </is>
      </c>
      <c r="J1194" t="inlineStr">
        <is>
          <t>0</t>
        </is>
      </c>
      <c r="K1194" t="inlineStr">
        <is>
          <t>Moore, Thomas H. (Thomas Hendrick), 1898-</t>
        </is>
      </c>
      <c r="L1194" t="inlineStr">
        <is>
          <t>New York : The Declan X. McMullen Co., [1946]</t>
        </is>
      </c>
      <c r="M1194" t="inlineStr">
        <is>
          <t>1946</t>
        </is>
      </c>
      <c r="O1194" t="inlineStr">
        <is>
          <t>eng</t>
        </is>
      </c>
      <c r="P1194" t="inlineStr">
        <is>
          <t>nyu</t>
        </is>
      </c>
      <c r="R1194" t="inlineStr">
        <is>
          <t xml:space="preserve">BX </t>
        </is>
      </c>
      <c r="S1194" t="n">
        <v>3</v>
      </c>
      <c r="T1194" t="n">
        <v>3</v>
      </c>
      <c r="U1194" t="inlineStr">
        <is>
          <t>2001-10-30</t>
        </is>
      </c>
      <c r="V1194" t="inlineStr">
        <is>
          <t>2001-10-30</t>
        </is>
      </c>
      <c r="W1194" t="inlineStr">
        <is>
          <t>1991-10-08</t>
        </is>
      </c>
      <c r="X1194" t="inlineStr">
        <is>
          <t>1991-10-08</t>
        </is>
      </c>
      <c r="Y1194" t="n">
        <v>82</v>
      </c>
      <c r="Z1194" t="n">
        <v>70</v>
      </c>
      <c r="AA1194" t="n">
        <v>71</v>
      </c>
      <c r="AB1194" t="n">
        <v>3</v>
      </c>
      <c r="AC1194" t="n">
        <v>3</v>
      </c>
      <c r="AD1194" t="n">
        <v>14</v>
      </c>
      <c r="AE1194" t="n">
        <v>14</v>
      </c>
      <c r="AF1194" t="n">
        <v>4</v>
      </c>
      <c r="AG1194" t="n">
        <v>4</v>
      </c>
      <c r="AH1194" t="n">
        <v>5</v>
      </c>
      <c r="AI1194" t="n">
        <v>5</v>
      </c>
      <c r="AJ1194" t="n">
        <v>10</v>
      </c>
      <c r="AK1194" t="n">
        <v>10</v>
      </c>
      <c r="AL1194" t="n">
        <v>0</v>
      </c>
      <c r="AM1194" t="n">
        <v>0</v>
      </c>
      <c r="AN1194" t="n">
        <v>0</v>
      </c>
      <c r="AO1194" t="n">
        <v>0</v>
      </c>
      <c r="AP1194" t="inlineStr">
        <is>
          <t>No</t>
        </is>
      </c>
      <c r="AQ1194" t="inlineStr">
        <is>
          <t>Yes</t>
        </is>
      </c>
      <c r="AR1194">
        <f>HYPERLINK("http://catalog.hathitrust.org/Record/012271100","HathiTrust Record")</f>
        <v/>
      </c>
      <c r="AS1194">
        <f>HYPERLINK("https://creighton-primo.hosted.exlibrisgroup.com/primo-explore/search?tab=default_tab&amp;search_scope=EVERYTHING&amp;vid=01CRU&amp;lang=en_US&amp;offset=0&amp;query=any,contains,991004388109702656","Catalog Record")</f>
        <v/>
      </c>
      <c r="AT1194">
        <f>HYPERLINK("http://www.worldcat.org/oclc/3250425","WorldCat Record")</f>
        <v/>
      </c>
      <c r="AU1194" t="inlineStr">
        <is>
          <t>193159325:eng</t>
        </is>
      </c>
      <c r="AV1194" t="inlineStr">
        <is>
          <t>3250425</t>
        </is>
      </c>
      <c r="AW1194" t="inlineStr">
        <is>
          <t>991004388109702656</t>
        </is>
      </c>
      <c r="AX1194" t="inlineStr">
        <is>
          <t>991004388109702656</t>
        </is>
      </c>
      <c r="AY1194" t="inlineStr">
        <is>
          <t>2255858990002656</t>
        </is>
      </c>
      <c r="AZ1194" t="inlineStr">
        <is>
          <t>BOOK</t>
        </is>
      </c>
      <c r="BC1194" t="inlineStr">
        <is>
          <t>32285000785971</t>
        </is>
      </c>
      <c r="BD1194" t="inlineStr">
        <is>
          <t>893599785</t>
        </is>
      </c>
    </row>
    <row r="1195">
      <c r="A1195" t="inlineStr">
        <is>
          <t>No</t>
        </is>
      </c>
      <c r="B1195" t="inlineStr">
        <is>
          <t>BX2182 .M65 1945</t>
        </is>
      </c>
      <c r="C1195" t="inlineStr">
        <is>
          <t>0                      BX 2182000M  65          1945</t>
        </is>
      </c>
      <c r="D1195" t="inlineStr">
        <is>
          <t>Prayer / by Dom Thomas Verner Moore.</t>
        </is>
      </c>
      <c r="F1195" t="inlineStr">
        <is>
          <t>No</t>
        </is>
      </c>
      <c r="G1195" t="inlineStr">
        <is>
          <t>1</t>
        </is>
      </c>
      <c r="H1195" t="inlineStr">
        <is>
          <t>No</t>
        </is>
      </c>
      <c r="I1195" t="inlineStr">
        <is>
          <t>No</t>
        </is>
      </c>
      <c r="J1195" t="inlineStr">
        <is>
          <t>0</t>
        </is>
      </c>
      <c r="K1195" t="inlineStr">
        <is>
          <t>Moore, Thomas Verner, 1877-1969.</t>
        </is>
      </c>
      <c r="L1195" t="inlineStr">
        <is>
          <t>Westminster, Md. : Newman Book Shop, 1945, c1931.</t>
        </is>
      </c>
      <c r="M1195" t="inlineStr">
        <is>
          <t>1945</t>
        </is>
      </c>
      <c r="O1195" t="inlineStr">
        <is>
          <t>eng</t>
        </is>
      </c>
      <c r="P1195" t="inlineStr">
        <is>
          <t>___</t>
        </is>
      </c>
      <c r="R1195" t="inlineStr">
        <is>
          <t xml:space="preserve">BX </t>
        </is>
      </c>
      <c r="S1195" t="n">
        <v>2</v>
      </c>
      <c r="T1195" t="n">
        <v>2</v>
      </c>
      <c r="U1195" t="inlineStr">
        <is>
          <t>2001-10-30</t>
        </is>
      </c>
      <c r="V1195" t="inlineStr">
        <is>
          <t>2001-10-30</t>
        </is>
      </c>
      <c r="W1195" t="inlineStr">
        <is>
          <t>1991-10-08</t>
        </is>
      </c>
      <c r="X1195" t="inlineStr">
        <is>
          <t>1991-10-08</t>
        </is>
      </c>
      <c r="Y1195" t="n">
        <v>30</v>
      </c>
      <c r="Z1195" t="n">
        <v>28</v>
      </c>
      <c r="AA1195" t="n">
        <v>129</v>
      </c>
      <c r="AB1195" t="n">
        <v>3</v>
      </c>
      <c r="AC1195" t="n">
        <v>3</v>
      </c>
      <c r="AD1195" t="n">
        <v>5</v>
      </c>
      <c r="AE1195" t="n">
        <v>24</v>
      </c>
      <c r="AF1195" t="n">
        <v>2</v>
      </c>
      <c r="AG1195" t="n">
        <v>8</v>
      </c>
      <c r="AH1195" t="n">
        <v>2</v>
      </c>
      <c r="AI1195" t="n">
        <v>7</v>
      </c>
      <c r="AJ1195" t="n">
        <v>3</v>
      </c>
      <c r="AK1195" t="n">
        <v>19</v>
      </c>
      <c r="AL1195" t="n">
        <v>0</v>
      </c>
      <c r="AM1195" t="n">
        <v>0</v>
      </c>
      <c r="AN1195" t="n">
        <v>0</v>
      </c>
      <c r="AO1195" t="n">
        <v>0</v>
      </c>
      <c r="AP1195" t="inlineStr">
        <is>
          <t>No</t>
        </is>
      </c>
      <c r="AQ1195" t="inlineStr">
        <is>
          <t>No</t>
        </is>
      </c>
      <c r="AS1195">
        <f>HYPERLINK("https://creighton-primo.hosted.exlibrisgroup.com/primo-explore/search?tab=default_tab&amp;search_scope=EVERYTHING&amp;vid=01CRU&amp;lang=en_US&amp;offset=0&amp;query=any,contains,991003120469702656","Catalog Record")</f>
        <v/>
      </c>
      <c r="AT1195">
        <f>HYPERLINK("http://www.worldcat.org/oclc/666197","WorldCat Record")</f>
        <v/>
      </c>
      <c r="AU1195" t="inlineStr">
        <is>
          <t>1674455:eng</t>
        </is>
      </c>
      <c r="AV1195" t="inlineStr">
        <is>
          <t>666197</t>
        </is>
      </c>
      <c r="AW1195" t="inlineStr">
        <is>
          <t>991003120469702656</t>
        </is>
      </c>
      <c r="AX1195" t="inlineStr">
        <is>
          <t>991003120469702656</t>
        </is>
      </c>
      <c r="AY1195" t="inlineStr">
        <is>
          <t>2271040810002656</t>
        </is>
      </c>
      <c r="AZ1195" t="inlineStr">
        <is>
          <t>BOOK</t>
        </is>
      </c>
      <c r="BC1195" t="inlineStr">
        <is>
          <t>32285000785989</t>
        </is>
      </c>
      <c r="BD1195" t="inlineStr">
        <is>
          <t>893805446</t>
        </is>
      </c>
    </row>
    <row r="1196">
      <c r="A1196" t="inlineStr">
        <is>
          <t>No</t>
        </is>
      </c>
      <c r="B1196" t="inlineStr">
        <is>
          <t>BX2182 .W9 1900</t>
        </is>
      </c>
      <c r="C1196" t="inlineStr">
        <is>
          <t>0                      BX 2182000W  9           1900</t>
        </is>
      </c>
      <c r="D1196" t="inlineStr">
        <is>
          <t>A month's meditations / by cardinal Wiseman.</t>
        </is>
      </c>
      <c r="F1196" t="inlineStr">
        <is>
          <t>No</t>
        </is>
      </c>
      <c r="G1196" t="inlineStr">
        <is>
          <t>1</t>
        </is>
      </c>
      <c r="H1196" t="inlineStr">
        <is>
          <t>No</t>
        </is>
      </c>
      <c r="I1196" t="inlineStr">
        <is>
          <t>No</t>
        </is>
      </c>
      <c r="J1196" t="inlineStr">
        <is>
          <t>0</t>
        </is>
      </c>
      <c r="K1196" t="inlineStr">
        <is>
          <t>Wiseman, Nicholas Patrick, 1802-1865.</t>
        </is>
      </c>
      <c r="L1196" t="inlineStr">
        <is>
          <t>London : Burns and Oates, 1900.</t>
        </is>
      </c>
      <c r="M1196" t="inlineStr">
        <is>
          <t>1900</t>
        </is>
      </c>
      <c r="O1196" t="inlineStr">
        <is>
          <t>eng</t>
        </is>
      </c>
      <c r="P1196" t="inlineStr">
        <is>
          <t>enk</t>
        </is>
      </c>
      <c r="R1196" t="inlineStr">
        <is>
          <t xml:space="preserve">BX </t>
        </is>
      </c>
      <c r="S1196" t="n">
        <v>1</v>
      </c>
      <c r="T1196" t="n">
        <v>1</v>
      </c>
      <c r="U1196" t="inlineStr">
        <is>
          <t>1995-07-10</t>
        </is>
      </c>
      <c r="V1196" t="inlineStr">
        <is>
          <t>1995-07-10</t>
        </is>
      </c>
      <c r="W1196" t="inlineStr">
        <is>
          <t>1991-10-08</t>
        </is>
      </c>
      <c r="X1196" t="inlineStr">
        <is>
          <t>1991-10-08</t>
        </is>
      </c>
      <c r="Y1196" t="n">
        <v>30</v>
      </c>
      <c r="Z1196" t="n">
        <v>15</v>
      </c>
      <c r="AA1196" t="n">
        <v>24</v>
      </c>
      <c r="AB1196" t="n">
        <v>1</v>
      </c>
      <c r="AC1196" t="n">
        <v>1</v>
      </c>
      <c r="AD1196" t="n">
        <v>3</v>
      </c>
      <c r="AE1196" t="n">
        <v>3</v>
      </c>
      <c r="AF1196" t="n">
        <v>0</v>
      </c>
      <c r="AG1196" t="n">
        <v>0</v>
      </c>
      <c r="AH1196" t="n">
        <v>0</v>
      </c>
      <c r="AI1196" t="n">
        <v>0</v>
      </c>
      <c r="AJ1196" t="n">
        <v>3</v>
      </c>
      <c r="AK1196" t="n">
        <v>3</v>
      </c>
      <c r="AL1196" t="n">
        <v>0</v>
      </c>
      <c r="AM1196" t="n">
        <v>0</v>
      </c>
      <c r="AN1196" t="n">
        <v>0</v>
      </c>
      <c r="AO1196" t="n">
        <v>0</v>
      </c>
      <c r="AP1196" t="inlineStr">
        <is>
          <t>No</t>
        </is>
      </c>
      <c r="AQ1196" t="inlineStr">
        <is>
          <t>No</t>
        </is>
      </c>
      <c r="AS1196">
        <f>HYPERLINK("https://creighton-primo.hosted.exlibrisgroup.com/primo-explore/search?tab=default_tab&amp;search_scope=EVERYTHING&amp;vid=01CRU&amp;lang=en_US&amp;offset=0&amp;query=any,contains,991005170419702656","Catalog Record")</f>
        <v/>
      </c>
      <c r="AT1196">
        <f>HYPERLINK("http://www.worldcat.org/oclc/7856621","WorldCat Record")</f>
        <v/>
      </c>
      <c r="AU1196" t="inlineStr">
        <is>
          <t>9538980:eng</t>
        </is>
      </c>
      <c r="AV1196" t="inlineStr">
        <is>
          <t>7856621</t>
        </is>
      </c>
      <c r="AW1196" t="inlineStr">
        <is>
          <t>991005170419702656</t>
        </is>
      </c>
      <c r="AX1196" t="inlineStr">
        <is>
          <t>991005170419702656</t>
        </is>
      </c>
      <c r="AY1196" t="inlineStr">
        <is>
          <t>2270920090002656</t>
        </is>
      </c>
      <c r="AZ1196" t="inlineStr">
        <is>
          <t>BOOK</t>
        </is>
      </c>
      <c r="BC1196" t="inlineStr">
        <is>
          <t>32285000786086</t>
        </is>
      </c>
      <c r="BD1196" t="inlineStr">
        <is>
          <t>893527031</t>
        </is>
      </c>
    </row>
    <row r="1197">
      <c r="A1197" t="inlineStr">
        <is>
          <t>No</t>
        </is>
      </c>
      <c r="B1197" t="inlineStr">
        <is>
          <t>BX2182.2 .A76 1998</t>
        </is>
      </c>
      <c r="C1197" t="inlineStr">
        <is>
          <t>0                      BX 2182200A  76          1998</t>
        </is>
      </c>
      <c r="D1197" t="inlineStr">
        <is>
          <t>The little way of Saint Thérèse of Lisieux : readings for prayer and meditation / compiled and introduced by John Nelson.</t>
        </is>
      </c>
      <c r="F1197" t="inlineStr">
        <is>
          <t>No</t>
        </is>
      </c>
      <c r="G1197" t="inlineStr">
        <is>
          <t>1</t>
        </is>
      </c>
      <c r="H1197" t="inlineStr">
        <is>
          <t>No</t>
        </is>
      </c>
      <c r="I1197" t="inlineStr">
        <is>
          <t>No</t>
        </is>
      </c>
      <c r="J1197" t="inlineStr">
        <is>
          <t>0</t>
        </is>
      </c>
      <c r="K1197" t="inlineStr">
        <is>
          <t>Arms of love with St. Thérèse of Lisieux.</t>
        </is>
      </c>
      <c r="L1197" t="inlineStr">
        <is>
          <t>Liguori, Mo. : Liguori, 1998.</t>
        </is>
      </c>
      <c r="M1197" t="inlineStr">
        <is>
          <t>1998</t>
        </is>
      </c>
      <c r="N1197" t="inlineStr">
        <is>
          <t>1st U.S. ed.</t>
        </is>
      </c>
      <c r="O1197" t="inlineStr">
        <is>
          <t>eng</t>
        </is>
      </c>
      <c r="P1197" t="inlineStr">
        <is>
          <t>mou</t>
        </is>
      </c>
      <c r="Q1197" t="inlineStr">
        <is>
          <t>A Liguori classic</t>
        </is>
      </c>
      <c r="R1197" t="inlineStr">
        <is>
          <t xml:space="preserve">BX </t>
        </is>
      </c>
      <c r="S1197" t="n">
        <v>5</v>
      </c>
      <c r="T1197" t="n">
        <v>5</v>
      </c>
      <c r="U1197" t="inlineStr">
        <is>
          <t>2009-07-24</t>
        </is>
      </c>
      <c r="V1197" t="inlineStr">
        <is>
          <t>2009-07-24</t>
        </is>
      </c>
      <c r="W1197" t="inlineStr">
        <is>
          <t>1998-05-19</t>
        </is>
      </c>
      <c r="X1197" t="inlineStr">
        <is>
          <t>1998-05-19</t>
        </is>
      </c>
      <c r="Y1197" t="n">
        <v>94</v>
      </c>
      <c r="Z1197" t="n">
        <v>84</v>
      </c>
      <c r="AA1197" t="n">
        <v>147</v>
      </c>
      <c r="AB1197" t="n">
        <v>2</v>
      </c>
      <c r="AC1197" t="n">
        <v>2</v>
      </c>
      <c r="AD1197" t="n">
        <v>5</v>
      </c>
      <c r="AE1197" t="n">
        <v>5</v>
      </c>
      <c r="AF1197" t="n">
        <v>1</v>
      </c>
      <c r="AG1197" t="n">
        <v>1</v>
      </c>
      <c r="AH1197" t="n">
        <v>1</v>
      </c>
      <c r="AI1197" t="n">
        <v>1</v>
      </c>
      <c r="AJ1197" t="n">
        <v>5</v>
      </c>
      <c r="AK1197" t="n">
        <v>5</v>
      </c>
      <c r="AL1197" t="n">
        <v>0</v>
      </c>
      <c r="AM1197" t="n">
        <v>0</v>
      </c>
      <c r="AN1197" t="n">
        <v>0</v>
      </c>
      <c r="AO1197" t="n">
        <v>0</v>
      </c>
      <c r="AP1197" t="inlineStr">
        <is>
          <t>No</t>
        </is>
      </c>
      <c r="AQ1197" t="inlineStr">
        <is>
          <t>No</t>
        </is>
      </c>
      <c r="AS1197">
        <f>HYPERLINK("https://creighton-primo.hosted.exlibrisgroup.com/primo-explore/search?tab=default_tab&amp;search_scope=EVERYTHING&amp;vid=01CRU&amp;lang=en_US&amp;offset=0&amp;query=any,contains,991002868359702656","Catalog Record")</f>
        <v/>
      </c>
      <c r="AT1197">
        <f>HYPERLINK("http://www.worldcat.org/oclc/37813465","WorldCat Record")</f>
        <v/>
      </c>
      <c r="AU1197" t="inlineStr">
        <is>
          <t>594573:eng</t>
        </is>
      </c>
      <c r="AV1197" t="inlineStr">
        <is>
          <t>37813465</t>
        </is>
      </c>
      <c r="AW1197" t="inlineStr">
        <is>
          <t>991002868359702656</t>
        </is>
      </c>
      <c r="AX1197" t="inlineStr">
        <is>
          <t>991002868359702656</t>
        </is>
      </c>
      <c r="AY1197" t="inlineStr">
        <is>
          <t>2255309390002656</t>
        </is>
      </c>
      <c r="AZ1197" t="inlineStr">
        <is>
          <t>BOOK</t>
        </is>
      </c>
      <c r="BB1197" t="inlineStr">
        <is>
          <t>9780764801990</t>
        </is>
      </c>
      <c r="BC1197" t="inlineStr">
        <is>
          <t>32285003410015</t>
        </is>
      </c>
      <c r="BD1197" t="inlineStr">
        <is>
          <t>893352560</t>
        </is>
      </c>
    </row>
    <row r="1198">
      <c r="A1198" t="inlineStr">
        <is>
          <t>No</t>
        </is>
      </c>
      <c r="B1198" t="inlineStr">
        <is>
          <t>BX2182.2 .C34 1970</t>
        </is>
      </c>
      <c r="C1198" t="inlineStr">
        <is>
          <t>0                      BX 2182200C  34          1970</t>
        </is>
      </c>
      <c r="D1198" t="inlineStr">
        <is>
          <t>Wonder and worship / James Carroll.</t>
        </is>
      </c>
      <c r="F1198" t="inlineStr">
        <is>
          <t>No</t>
        </is>
      </c>
      <c r="G1198" t="inlineStr">
        <is>
          <t>1</t>
        </is>
      </c>
      <c r="H1198" t="inlineStr">
        <is>
          <t>No</t>
        </is>
      </c>
      <c r="I1198" t="inlineStr">
        <is>
          <t>No</t>
        </is>
      </c>
      <c r="J1198" t="inlineStr">
        <is>
          <t>0</t>
        </is>
      </c>
      <c r="K1198" t="inlineStr">
        <is>
          <t>Carroll, James, 1943-</t>
        </is>
      </c>
      <c r="L1198" t="inlineStr">
        <is>
          <t>New York : Paulist Press, 1970.</t>
        </is>
      </c>
      <c r="M1198" t="inlineStr">
        <is>
          <t>1970</t>
        </is>
      </c>
      <c r="O1198" t="inlineStr">
        <is>
          <t>eng</t>
        </is>
      </c>
      <c r="P1198" t="inlineStr">
        <is>
          <t>nyu</t>
        </is>
      </c>
      <c r="R1198" t="inlineStr">
        <is>
          <t xml:space="preserve">BX </t>
        </is>
      </c>
      <c r="S1198" t="n">
        <v>1</v>
      </c>
      <c r="T1198" t="n">
        <v>1</v>
      </c>
      <c r="U1198" t="inlineStr">
        <is>
          <t>1995-06-26</t>
        </is>
      </c>
      <c r="V1198" t="inlineStr">
        <is>
          <t>1995-06-26</t>
        </is>
      </c>
      <c r="W1198" t="inlineStr">
        <is>
          <t>1991-03-11</t>
        </is>
      </c>
      <c r="X1198" t="inlineStr">
        <is>
          <t>1991-03-11</t>
        </is>
      </c>
      <c r="Y1198" t="n">
        <v>21</v>
      </c>
      <c r="Z1198" t="n">
        <v>12</v>
      </c>
      <c r="AA1198" t="n">
        <v>119</v>
      </c>
      <c r="AB1198" t="n">
        <v>1</v>
      </c>
      <c r="AC1198" t="n">
        <v>3</v>
      </c>
      <c r="AD1198" t="n">
        <v>0</v>
      </c>
      <c r="AE1198" t="n">
        <v>16</v>
      </c>
      <c r="AF1198" t="n">
        <v>0</v>
      </c>
      <c r="AG1198" t="n">
        <v>3</v>
      </c>
      <c r="AH1198" t="n">
        <v>0</v>
      </c>
      <c r="AI1198" t="n">
        <v>4</v>
      </c>
      <c r="AJ1198" t="n">
        <v>0</v>
      </c>
      <c r="AK1198" t="n">
        <v>11</v>
      </c>
      <c r="AL1198" t="n">
        <v>0</v>
      </c>
      <c r="AM1198" t="n">
        <v>1</v>
      </c>
      <c r="AN1198" t="n">
        <v>0</v>
      </c>
      <c r="AO1198" t="n">
        <v>0</v>
      </c>
      <c r="AP1198" t="inlineStr">
        <is>
          <t>No</t>
        </is>
      </c>
      <c r="AQ1198" t="inlineStr">
        <is>
          <t>No</t>
        </is>
      </c>
      <c r="AS1198">
        <f>HYPERLINK("https://creighton-primo.hosted.exlibrisgroup.com/primo-explore/search?tab=default_tab&amp;search_scope=EVERYTHING&amp;vid=01CRU&amp;lang=en_US&amp;offset=0&amp;query=any,contains,991001287039702656","Catalog Record")</f>
        <v/>
      </c>
      <c r="AT1198">
        <f>HYPERLINK("http://www.worldcat.org/oclc/17959664","WorldCat Record")</f>
        <v/>
      </c>
      <c r="AU1198" t="inlineStr">
        <is>
          <t>1317062:eng</t>
        </is>
      </c>
      <c r="AV1198" t="inlineStr">
        <is>
          <t>17959664</t>
        </is>
      </c>
      <c r="AW1198" t="inlineStr">
        <is>
          <t>991001287039702656</t>
        </is>
      </c>
      <c r="AX1198" t="inlineStr">
        <is>
          <t>991001287039702656</t>
        </is>
      </c>
      <c r="AY1198" t="inlineStr">
        <is>
          <t>2268276620002656</t>
        </is>
      </c>
      <c r="AZ1198" t="inlineStr">
        <is>
          <t>BOOK</t>
        </is>
      </c>
      <c r="BB1198" t="inlineStr">
        <is>
          <t>9780809118717</t>
        </is>
      </c>
      <c r="BC1198" t="inlineStr">
        <is>
          <t>32285000535418</t>
        </is>
      </c>
      <c r="BD1198" t="inlineStr">
        <is>
          <t>893809024</t>
        </is>
      </c>
    </row>
    <row r="1199">
      <c r="A1199" t="inlineStr">
        <is>
          <t>No</t>
        </is>
      </c>
      <c r="B1199" t="inlineStr">
        <is>
          <t>BX2182.2 .D43 1992</t>
        </is>
      </c>
      <c r="C1199" t="inlineStr">
        <is>
          <t>0                      BX 2182200D  43          1992</t>
        </is>
      </c>
      <c r="D1199" t="inlineStr">
        <is>
          <t>Discovering my experience of God : awareness and witness / Frank DeSiano and Kenneth Boyack.</t>
        </is>
      </c>
      <c r="F1199" t="inlineStr">
        <is>
          <t>No</t>
        </is>
      </c>
      <c r="G1199" t="inlineStr">
        <is>
          <t>1</t>
        </is>
      </c>
      <c r="H1199" t="inlineStr">
        <is>
          <t>No</t>
        </is>
      </c>
      <c r="I1199" t="inlineStr">
        <is>
          <t>No</t>
        </is>
      </c>
      <c r="J1199" t="inlineStr">
        <is>
          <t>0</t>
        </is>
      </c>
      <c r="K1199" t="inlineStr">
        <is>
          <t>DeSiano, Frank P.</t>
        </is>
      </c>
      <c r="L1199" t="inlineStr">
        <is>
          <t>New York : Paulist Press, c1992.</t>
        </is>
      </c>
      <c r="M1199" t="inlineStr">
        <is>
          <t>1992</t>
        </is>
      </c>
      <c r="O1199" t="inlineStr">
        <is>
          <t>eng</t>
        </is>
      </c>
      <c r="P1199" t="inlineStr">
        <is>
          <t>nju</t>
        </is>
      </c>
      <c r="R1199" t="inlineStr">
        <is>
          <t xml:space="preserve">BX </t>
        </is>
      </c>
      <c r="S1199" t="n">
        <v>2</v>
      </c>
      <c r="T1199" t="n">
        <v>2</v>
      </c>
      <c r="U1199" t="inlineStr">
        <is>
          <t>2002-08-13</t>
        </is>
      </c>
      <c r="V1199" t="inlineStr">
        <is>
          <t>2002-08-13</t>
        </is>
      </c>
      <c r="W1199" t="inlineStr">
        <is>
          <t>2002-08-13</t>
        </is>
      </c>
      <c r="X1199" t="inlineStr">
        <is>
          <t>2002-08-13</t>
        </is>
      </c>
      <c r="Y1199" t="n">
        <v>52</v>
      </c>
      <c r="Z1199" t="n">
        <v>47</v>
      </c>
      <c r="AA1199" t="n">
        <v>50</v>
      </c>
      <c r="AB1199" t="n">
        <v>1</v>
      </c>
      <c r="AC1199" t="n">
        <v>1</v>
      </c>
      <c r="AD1199" t="n">
        <v>5</v>
      </c>
      <c r="AE1199" t="n">
        <v>7</v>
      </c>
      <c r="AF1199" t="n">
        <v>0</v>
      </c>
      <c r="AG1199" t="n">
        <v>0</v>
      </c>
      <c r="AH1199" t="n">
        <v>2</v>
      </c>
      <c r="AI1199" t="n">
        <v>4</v>
      </c>
      <c r="AJ1199" t="n">
        <v>3</v>
      </c>
      <c r="AK1199" t="n">
        <v>4</v>
      </c>
      <c r="AL1199" t="n">
        <v>0</v>
      </c>
      <c r="AM1199" t="n">
        <v>0</v>
      </c>
      <c r="AN1199" t="n">
        <v>0</v>
      </c>
      <c r="AO1199" t="n">
        <v>0</v>
      </c>
      <c r="AP1199" t="inlineStr">
        <is>
          <t>No</t>
        </is>
      </c>
      <c r="AQ1199" t="inlineStr">
        <is>
          <t>No</t>
        </is>
      </c>
      <c r="AS1199">
        <f>HYPERLINK("https://creighton-primo.hosted.exlibrisgroup.com/primo-explore/search?tab=default_tab&amp;search_scope=EVERYTHING&amp;vid=01CRU&amp;lang=en_US&amp;offset=0&amp;query=any,contains,991003858879702656","Catalog Record")</f>
        <v/>
      </c>
      <c r="AT1199">
        <f>HYPERLINK("http://www.worldcat.org/oclc/26884480","WorldCat Record")</f>
        <v/>
      </c>
      <c r="AU1199" t="inlineStr">
        <is>
          <t>435029581:eng</t>
        </is>
      </c>
      <c r="AV1199" t="inlineStr">
        <is>
          <t>26884480</t>
        </is>
      </c>
      <c r="AW1199" t="inlineStr">
        <is>
          <t>991003858879702656</t>
        </is>
      </c>
      <c r="AX1199" t="inlineStr">
        <is>
          <t>991003858879702656</t>
        </is>
      </c>
      <c r="AY1199" t="inlineStr">
        <is>
          <t>2263911830002656</t>
        </is>
      </c>
      <c r="AZ1199" t="inlineStr">
        <is>
          <t>BOOK</t>
        </is>
      </c>
      <c r="BB1199" t="inlineStr">
        <is>
          <t>9780809133000</t>
        </is>
      </c>
      <c r="BC1199" t="inlineStr">
        <is>
          <t>32285004642368</t>
        </is>
      </c>
      <c r="BD1199" t="inlineStr">
        <is>
          <t>893599071</t>
        </is>
      </c>
    </row>
    <row r="1200">
      <c r="A1200" t="inlineStr">
        <is>
          <t>No</t>
        </is>
      </c>
      <c r="B1200" t="inlineStr">
        <is>
          <t>BX2182.2 .F68 1981</t>
        </is>
      </c>
      <c r="C1200" t="inlineStr">
        <is>
          <t>0                      BX 2182200F  68          1981</t>
        </is>
      </c>
      <c r="D1200" t="inlineStr">
        <is>
          <t>Meditations of a hermit / by Charles de Foucauld ; translation by Charlotte Balfour ; preface by René Bazin ; introduction by Algar Thorold.</t>
        </is>
      </c>
      <c r="F1200" t="inlineStr">
        <is>
          <t>No</t>
        </is>
      </c>
      <c r="G1200" t="inlineStr">
        <is>
          <t>1</t>
        </is>
      </c>
      <c r="H1200" t="inlineStr">
        <is>
          <t>No</t>
        </is>
      </c>
      <c r="I1200" t="inlineStr">
        <is>
          <t>No</t>
        </is>
      </c>
      <c r="J1200" t="inlineStr">
        <is>
          <t>0</t>
        </is>
      </c>
      <c r="K1200" t="inlineStr">
        <is>
          <t>Foucauld, Charles de, 1858-1916.</t>
        </is>
      </c>
      <c r="L1200" t="inlineStr">
        <is>
          <t>London : Burns &amp; Oates ; New York : Orbis Books, 1981.</t>
        </is>
      </c>
      <c r="M1200" t="inlineStr">
        <is>
          <t>1981</t>
        </is>
      </c>
      <c r="O1200" t="inlineStr">
        <is>
          <t>eng</t>
        </is>
      </c>
      <c r="P1200" t="inlineStr">
        <is>
          <t>enk</t>
        </is>
      </c>
      <c r="R1200" t="inlineStr">
        <is>
          <t xml:space="preserve">BX </t>
        </is>
      </c>
      <c r="S1200" t="n">
        <v>8</v>
      </c>
      <c r="T1200" t="n">
        <v>8</v>
      </c>
      <c r="U1200" t="inlineStr">
        <is>
          <t>2002-07-17</t>
        </is>
      </c>
      <c r="V1200" t="inlineStr">
        <is>
          <t>2002-07-17</t>
        </is>
      </c>
      <c r="W1200" t="inlineStr">
        <is>
          <t>1990-03-27</t>
        </is>
      </c>
      <c r="X1200" t="inlineStr">
        <is>
          <t>1990-03-27</t>
        </is>
      </c>
      <c r="Y1200" t="n">
        <v>140</v>
      </c>
      <c r="Z1200" t="n">
        <v>120</v>
      </c>
      <c r="AA1200" t="n">
        <v>126</v>
      </c>
      <c r="AB1200" t="n">
        <v>2</v>
      </c>
      <c r="AC1200" t="n">
        <v>2</v>
      </c>
      <c r="AD1200" t="n">
        <v>9</v>
      </c>
      <c r="AE1200" t="n">
        <v>11</v>
      </c>
      <c r="AF1200" t="n">
        <v>2</v>
      </c>
      <c r="AG1200" t="n">
        <v>2</v>
      </c>
      <c r="AH1200" t="n">
        <v>3</v>
      </c>
      <c r="AI1200" t="n">
        <v>5</v>
      </c>
      <c r="AJ1200" t="n">
        <v>7</v>
      </c>
      <c r="AK1200" t="n">
        <v>8</v>
      </c>
      <c r="AL1200" t="n">
        <v>0</v>
      </c>
      <c r="AM1200" t="n">
        <v>0</v>
      </c>
      <c r="AN1200" t="n">
        <v>0</v>
      </c>
      <c r="AO1200" t="n">
        <v>0</v>
      </c>
      <c r="AP1200" t="inlineStr">
        <is>
          <t>No</t>
        </is>
      </c>
      <c r="AQ1200" t="inlineStr">
        <is>
          <t>Yes</t>
        </is>
      </c>
      <c r="AR1200">
        <f>HYPERLINK("http://catalog.hathitrust.org/Record/000145988","HathiTrust Record")</f>
        <v/>
      </c>
      <c r="AS1200">
        <f>HYPERLINK("https://creighton-primo.hosted.exlibrisgroup.com/primo-explore/search?tab=default_tab&amp;search_scope=EVERYTHING&amp;vid=01CRU&amp;lang=en_US&amp;offset=0&amp;query=any,contains,991005175579702656","Catalog Record")</f>
        <v/>
      </c>
      <c r="AT1200">
        <f>HYPERLINK("http://www.worldcat.org/oclc/7920739","WorldCat Record")</f>
        <v/>
      </c>
      <c r="AU1200" t="inlineStr">
        <is>
          <t>9622381142:eng</t>
        </is>
      </c>
      <c r="AV1200" t="inlineStr">
        <is>
          <t>7920739</t>
        </is>
      </c>
      <c r="AW1200" t="inlineStr">
        <is>
          <t>991005175579702656</t>
        </is>
      </c>
      <c r="AX1200" t="inlineStr">
        <is>
          <t>991005175579702656</t>
        </is>
      </c>
      <c r="AY1200" t="inlineStr">
        <is>
          <t>2258162460002656</t>
        </is>
      </c>
      <c r="AZ1200" t="inlineStr">
        <is>
          <t>BOOK</t>
        </is>
      </c>
      <c r="BB1200" t="inlineStr">
        <is>
          <t>9780883443255</t>
        </is>
      </c>
      <c r="BC1200" t="inlineStr">
        <is>
          <t>32285000098466</t>
        </is>
      </c>
      <c r="BD1200" t="inlineStr">
        <is>
          <t>893619588</t>
        </is>
      </c>
    </row>
    <row r="1201">
      <c r="A1201" t="inlineStr">
        <is>
          <t>No</t>
        </is>
      </c>
      <c r="B1201" t="inlineStr">
        <is>
          <t>BX2182.2 .H377 1995</t>
        </is>
      </c>
      <c r="C1201" t="inlineStr">
        <is>
          <t>0                      BX 2182200H  377         1995</t>
        </is>
      </c>
      <c r="D1201" t="inlineStr">
        <is>
          <t>Feathers on the wind : reflections for the lighthearted soul / Edward Hays.</t>
        </is>
      </c>
      <c r="F1201" t="inlineStr">
        <is>
          <t>No</t>
        </is>
      </c>
      <c r="G1201" t="inlineStr">
        <is>
          <t>1</t>
        </is>
      </c>
      <c r="H1201" t="inlineStr">
        <is>
          <t>No</t>
        </is>
      </c>
      <c r="I1201" t="inlineStr">
        <is>
          <t>No</t>
        </is>
      </c>
      <c r="J1201" t="inlineStr">
        <is>
          <t>0</t>
        </is>
      </c>
      <c r="K1201" t="inlineStr">
        <is>
          <t>Hays, Edward M.</t>
        </is>
      </c>
      <c r="L1201" t="inlineStr">
        <is>
          <t>Leavenworth, Kan. : Forest of Peace Pub., 1995.</t>
        </is>
      </c>
      <c r="M1201" t="inlineStr">
        <is>
          <t>1995</t>
        </is>
      </c>
      <c r="O1201" t="inlineStr">
        <is>
          <t>eng</t>
        </is>
      </c>
      <c r="P1201" t="inlineStr">
        <is>
          <t>ksu</t>
        </is>
      </c>
      <c r="R1201" t="inlineStr">
        <is>
          <t xml:space="preserve">BX </t>
        </is>
      </c>
      <c r="S1201" t="n">
        <v>7</v>
      </c>
      <c r="T1201" t="n">
        <v>7</v>
      </c>
      <c r="U1201" t="inlineStr">
        <is>
          <t>2009-07-16</t>
        </is>
      </c>
      <c r="V1201" t="inlineStr">
        <is>
          <t>2009-07-16</t>
        </is>
      </c>
      <c r="W1201" t="inlineStr">
        <is>
          <t>1995-11-09</t>
        </is>
      </c>
      <c r="X1201" t="inlineStr">
        <is>
          <t>1995-11-09</t>
        </is>
      </c>
      <c r="Y1201" t="n">
        <v>84</v>
      </c>
      <c r="Z1201" t="n">
        <v>80</v>
      </c>
      <c r="AA1201" t="n">
        <v>80</v>
      </c>
      <c r="AB1201" t="n">
        <v>3</v>
      </c>
      <c r="AC1201" t="n">
        <v>3</v>
      </c>
      <c r="AD1201" t="n">
        <v>7</v>
      </c>
      <c r="AE1201" t="n">
        <v>7</v>
      </c>
      <c r="AF1201" t="n">
        <v>1</v>
      </c>
      <c r="AG1201" t="n">
        <v>1</v>
      </c>
      <c r="AH1201" t="n">
        <v>2</v>
      </c>
      <c r="AI1201" t="n">
        <v>2</v>
      </c>
      <c r="AJ1201" t="n">
        <v>4</v>
      </c>
      <c r="AK1201" t="n">
        <v>4</v>
      </c>
      <c r="AL1201" t="n">
        <v>1</v>
      </c>
      <c r="AM1201" t="n">
        <v>1</v>
      </c>
      <c r="AN1201" t="n">
        <v>0</v>
      </c>
      <c r="AO1201" t="n">
        <v>0</v>
      </c>
      <c r="AP1201" t="inlineStr">
        <is>
          <t>No</t>
        </is>
      </c>
      <c r="AQ1201" t="inlineStr">
        <is>
          <t>No</t>
        </is>
      </c>
      <c r="AS1201">
        <f>HYPERLINK("https://creighton-primo.hosted.exlibrisgroup.com/primo-explore/search?tab=default_tab&amp;search_scope=EVERYTHING&amp;vid=01CRU&amp;lang=en_US&amp;offset=0&amp;query=any,contains,991002512999702656","Catalog Record")</f>
        <v/>
      </c>
      <c r="AT1201">
        <f>HYPERLINK("http://www.worldcat.org/oclc/32666338","WorldCat Record")</f>
        <v/>
      </c>
      <c r="AU1201" t="inlineStr">
        <is>
          <t>36581124:eng</t>
        </is>
      </c>
      <c r="AV1201" t="inlineStr">
        <is>
          <t>32666338</t>
        </is>
      </c>
      <c r="AW1201" t="inlineStr">
        <is>
          <t>991002512999702656</t>
        </is>
      </c>
      <c r="AX1201" t="inlineStr">
        <is>
          <t>991002512999702656</t>
        </is>
      </c>
      <c r="AY1201" t="inlineStr">
        <is>
          <t>2264854880002656</t>
        </is>
      </c>
      <c r="AZ1201" t="inlineStr">
        <is>
          <t>BOOK</t>
        </is>
      </c>
      <c r="BB1201" t="inlineStr">
        <is>
          <t>9780939516292</t>
        </is>
      </c>
      <c r="BC1201" t="inlineStr">
        <is>
          <t>32285002088002</t>
        </is>
      </c>
      <c r="BD1201" t="inlineStr">
        <is>
          <t>893341533</t>
        </is>
      </c>
    </row>
    <row r="1202">
      <c r="A1202" t="inlineStr">
        <is>
          <t>No</t>
        </is>
      </c>
      <c r="B1202" t="inlineStr">
        <is>
          <t>BX2182.2 .H46 1999</t>
        </is>
      </c>
      <c r="C1202" t="inlineStr">
        <is>
          <t>0                      BX 2182200H  46          1999</t>
        </is>
      </c>
      <c r="D1202" t="inlineStr">
        <is>
          <t>Guests of God : stewards of divine creation / Monika K. Hellwig ; illustrations by Erica Hellwig Parker.</t>
        </is>
      </c>
      <c r="F1202" t="inlineStr">
        <is>
          <t>No</t>
        </is>
      </c>
      <c r="G1202" t="inlineStr">
        <is>
          <t>1</t>
        </is>
      </c>
      <c r="H1202" t="inlineStr">
        <is>
          <t>No</t>
        </is>
      </c>
      <c r="I1202" t="inlineStr">
        <is>
          <t>No</t>
        </is>
      </c>
      <c r="J1202" t="inlineStr">
        <is>
          <t>0</t>
        </is>
      </c>
      <c r="K1202" t="inlineStr">
        <is>
          <t>Hellwig, Monika.</t>
        </is>
      </c>
      <c r="L1202" t="inlineStr">
        <is>
          <t>New York : Paulist Press, [c1999]</t>
        </is>
      </c>
      <c r="M1202" t="inlineStr">
        <is>
          <t>1999</t>
        </is>
      </c>
      <c r="O1202" t="inlineStr">
        <is>
          <t>eng</t>
        </is>
      </c>
      <c r="P1202" t="inlineStr">
        <is>
          <t>nyu</t>
        </is>
      </c>
      <c r="R1202" t="inlineStr">
        <is>
          <t xml:space="preserve">BX </t>
        </is>
      </c>
      <c r="S1202" t="n">
        <v>1</v>
      </c>
      <c r="T1202" t="n">
        <v>1</v>
      </c>
      <c r="U1202" t="inlineStr">
        <is>
          <t>2003-11-12</t>
        </is>
      </c>
      <c r="V1202" t="inlineStr">
        <is>
          <t>2003-11-12</t>
        </is>
      </c>
      <c r="W1202" t="inlineStr">
        <is>
          <t>2003-11-12</t>
        </is>
      </c>
      <c r="X1202" t="inlineStr">
        <is>
          <t>2003-11-12</t>
        </is>
      </c>
      <c r="Y1202" t="n">
        <v>138</v>
      </c>
      <c r="Z1202" t="n">
        <v>119</v>
      </c>
      <c r="AA1202" t="n">
        <v>127</v>
      </c>
      <c r="AB1202" t="n">
        <v>2</v>
      </c>
      <c r="AC1202" t="n">
        <v>2</v>
      </c>
      <c r="AD1202" t="n">
        <v>13</v>
      </c>
      <c r="AE1202" t="n">
        <v>13</v>
      </c>
      <c r="AF1202" t="n">
        <v>5</v>
      </c>
      <c r="AG1202" t="n">
        <v>5</v>
      </c>
      <c r="AH1202" t="n">
        <v>3</v>
      </c>
      <c r="AI1202" t="n">
        <v>3</v>
      </c>
      <c r="AJ1202" t="n">
        <v>7</v>
      </c>
      <c r="AK1202" t="n">
        <v>7</v>
      </c>
      <c r="AL1202" t="n">
        <v>1</v>
      </c>
      <c r="AM1202" t="n">
        <v>1</v>
      </c>
      <c r="AN1202" t="n">
        <v>0</v>
      </c>
      <c r="AO1202" t="n">
        <v>0</v>
      </c>
      <c r="AP1202" t="inlineStr">
        <is>
          <t>No</t>
        </is>
      </c>
      <c r="AQ1202" t="inlineStr">
        <is>
          <t>No</t>
        </is>
      </c>
      <c r="AS1202">
        <f>HYPERLINK("https://creighton-primo.hosted.exlibrisgroup.com/primo-explore/search?tab=default_tab&amp;search_scope=EVERYTHING&amp;vid=01CRU&amp;lang=en_US&amp;offset=0&amp;query=any,contains,991004174269702656","Catalog Record")</f>
        <v/>
      </c>
      <c r="AT1202">
        <f>HYPERLINK("http://www.worldcat.org/oclc/42296411","WorldCat Record")</f>
        <v/>
      </c>
      <c r="AU1202" t="inlineStr">
        <is>
          <t>4146231547:eng</t>
        </is>
      </c>
      <c r="AV1202" t="inlineStr">
        <is>
          <t>42296411</t>
        </is>
      </c>
      <c r="AW1202" t="inlineStr">
        <is>
          <t>991004174269702656</t>
        </is>
      </c>
      <c r="AX1202" t="inlineStr">
        <is>
          <t>991004174269702656</t>
        </is>
      </c>
      <c r="AY1202" t="inlineStr">
        <is>
          <t>2255680090002656</t>
        </is>
      </c>
      <c r="AZ1202" t="inlineStr">
        <is>
          <t>BOOK</t>
        </is>
      </c>
      <c r="BB1202" t="inlineStr">
        <is>
          <t>9780809139217</t>
        </is>
      </c>
      <c r="BC1202" t="inlineStr">
        <is>
          <t>32285004797162</t>
        </is>
      </c>
      <c r="BD1202" t="inlineStr">
        <is>
          <t>893318883</t>
        </is>
      </c>
    </row>
    <row r="1203">
      <c r="A1203" t="inlineStr">
        <is>
          <t>No</t>
        </is>
      </c>
      <c r="B1203" t="inlineStr">
        <is>
          <t>BX2182.2 .H9 1984</t>
        </is>
      </c>
      <c r="C1203" t="inlineStr">
        <is>
          <t>0                      BX 2182200H  9           1984</t>
        </is>
      </c>
      <c r="D1203" t="inlineStr">
        <is>
          <t>God's time is the best time / by Anselm Hufstader.</t>
        </is>
      </c>
      <c r="F1203" t="inlineStr">
        <is>
          <t>No</t>
        </is>
      </c>
      <c r="G1203" t="inlineStr">
        <is>
          <t>1</t>
        </is>
      </c>
      <c r="H1203" t="inlineStr">
        <is>
          <t>No</t>
        </is>
      </c>
      <c r="I1203" t="inlineStr">
        <is>
          <t>No</t>
        </is>
      </c>
      <c r="J1203" t="inlineStr">
        <is>
          <t>0</t>
        </is>
      </c>
      <c r="K1203" t="inlineStr">
        <is>
          <t>Hufstader, Anselm.</t>
        </is>
      </c>
      <c r="L1203" t="inlineStr">
        <is>
          <t>Wilmington, Del. : M. Glazier, 1984.</t>
        </is>
      </c>
      <c r="M1203" t="inlineStr">
        <is>
          <t>1984</t>
        </is>
      </c>
      <c r="O1203" t="inlineStr">
        <is>
          <t>eng</t>
        </is>
      </c>
      <c r="P1203" t="inlineStr">
        <is>
          <t>deu</t>
        </is>
      </c>
      <c r="Q1203" t="inlineStr">
        <is>
          <t>Ways of prayer series ; v. 11</t>
        </is>
      </c>
      <c r="R1203" t="inlineStr">
        <is>
          <t xml:space="preserve">BX </t>
        </is>
      </c>
      <c r="S1203" t="n">
        <v>1</v>
      </c>
      <c r="T1203" t="n">
        <v>1</v>
      </c>
      <c r="U1203" t="inlineStr">
        <is>
          <t>2002-12-05</t>
        </is>
      </c>
      <c r="V1203" t="inlineStr">
        <is>
          <t>2002-12-05</t>
        </is>
      </c>
      <c r="W1203" t="inlineStr">
        <is>
          <t>1991-10-08</t>
        </is>
      </c>
      <c r="X1203" t="inlineStr">
        <is>
          <t>1991-10-08</t>
        </is>
      </c>
      <c r="Y1203" t="n">
        <v>146</v>
      </c>
      <c r="Z1203" t="n">
        <v>129</v>
      </c>
      <c r="AA1203" t="n">
        <v>134</v>
      </c>
      <c r="AB1203" t="n">
        <v>2</v>
      </c>
      <c r="AC1203" t="n">
        <v>2</v>
      </c>
      <c r="AD1203" t="n">
        <v>12</v>
      </c>
      <c r="AE1203" t="n">
        <v>12</v>
      </c>
      <c r="AF1203" t="n">
        <v>3</v>
      </c>
      <c r="AG1203" t="n">
        <v>3</v>
      </c>
      <c r="AH1203" t="n">
        <v>4</v>
      </c>
      <c r="AI1203" t="n">
        <v>4</v>
      </c>
      <c r="AJ1203" t="n">
        <v>8</v>
      </c>
      <c r="AK1203" t="n">
        <v>8</v>
      </c>
      <c r="AL1203" t="n">
        <v>0</v>
      </c>
      <c r="AM1203" t="n">
        <v>0</v>
      </c>
      <c r="AN1203" t="n">
        <v>0</v>
      </c>
      <c r="AO1203" t="n">
        <v>0</v>
      </c>
      <c r="AP1203" t="inlineStr">
        <is>
          <t>No</t>
        </is>
      </c>
      <c r="AQ1203" t="inlineStr">
        <is>
          <t>No</t>
        </is>
      </c>
      <c r="AS1203">
        <f>HYPERLINK("https://creighton-primo.hosted.exlibrisgroup.com/primo-explore/search?tab=default_tab&amp;search_scope=EVERYTHING&amp;vid=01CRU&amp;lang=en_US&amp;offset=0&amp;query=any,contains,991000390139702656","Catalog Record")</f>
        <v/>
      </c>
      <c r="AT1203">
        <f>HYPERLINK("http://www.worldcat.org/oclc/10541687","WorldCat Record")</f>
        <v/>
      </c>
      <c r="AU1203" t="inlineStr">
        <is>
          <t>3529109:eng</t>
        </is>
      </c>
      <c r="AV1203" t="inlineStr">
        <is>
          <t>10541687</t>
        </is>
      </c>
      <c r="AW1203" t="inlineStr">
        <is>
          <t>991000390139702656</t>
        </is>
      </c>
      <c r="AX1203" t="inlineStr">
        <is>
          <t>991000390139702656</t>
        </is>
      </c>
      <c r="AY1203" t="inlineStr">
        <is>
          <t>2272697090002656</t>
        </is>
      </c>
      <c r="AZ1203" t="inlineStr">
        <is>
          <t>BOOK</t>
        </is>
      </c>
      <c r="BB1203" t="inlineStr">
        <is>
          <t>9780894533853</t>
        </is>
      </c>
      <c r="BC1203" t="inlineStr">
        <is>
          <t>32285000786169</t>
        </is>
      </c>
      <c r="BD1203" t="inlineStr">
        <is>
          <t>893595499</t>
        </is>
      </c>
    </row>
    <row r="1204">
      <c r="A1204" t="inlineStr">
        <is>
          <t>No</t>
        </is>
      </c>
      <c r="B1204" t="inlineStr">
        <is>
          <t>BX2182.2 .J613 1967</t>
        </is>
      </c>
      <c r="C1204" t="inlineStr">
        <is>
          <t>0                      BX 2182200J  613         1967</t>
        </is>
      </c>
      <c r="D1204" t="inlineStr">
        <is>
          <t>Prayers and devotions from Pope John XXIII : selected passages from his writings and speeches arranged for every day of the year / edited and introduced by John P. Donnelly ; with a preface by Loris Capovilla ; translated by Dorothy White.</t>
        </is>
      </c>
      <c r="F1204" t="inlineStr">
        <is>
          <t>No</t>
        </is>
      </c>
      <c r="G1204" t="inlineStr">
        <is>
          <t>1</t>
        </is>
      </c>
      <c r="H1204" t="inlineStr">
        <is>
          <t>No</t>
        </is>
      </c>
      <c r="I1204" t="inlineStr">
        <is>
          <t>Yes</t>
        </is>
      </c>
      <c r="J1204" t="inlineStr">
        <is>
          <t>0</t>
        </is>
      </c>
      <c r="K1204" t="inlineStr">
        <is>
          <t>John XXIII, Pope, 1881-1963.</t>
        </is>
      </c>
      <c r="L1204" t="inlineStr">
        <is>
          <t>New York : Published in association with Grosset &amp; Dunlap, [1967]</t>
        </is>
      </c>
      <c r="M1204" t="inlineStr">
        <is>
          <t>1967</t>
        </is>
      </c>
      <c r="N1204" t="inlineStr">
        <is>
          <t>1st American ed.</t>
        </is>
      </c>
      <c r="O1204" t="inlineStr">
        <is>
          <t>eng</t>
        </is>
      </c>
      <c r="P1204" t="inlineStr">
        <is>
          <t>nyu</t>
        </is>
      </c>
      <c r="R1204" t="inlineStr">
        <is>
          <t xml:space="preserve">BX </t>
        </is>
      </c>
      <c r="S1204" t="n">
        <v>1</v>
      </c>
      <c r="T1204" t="n">
        <v>1</v>
      </c>
      <c r="U1204" t="inlineStr">
        <is>
          <t>2010-07-12</t>
        </is>
      </c>
      <c r="V1204" t="inlineStr">
        <is>
          <t>2010-07-12</t>
        </is>
      </c>
      <c r="W1204" t="inlineStr">
        <is>
          <t>2010-07-12</t>
        </is>
      </c>
      <c r="X1204" t="inlineStr">
        <is>
          <t>2010-07-12</t>
        </is>
      </c>
      <c r="Y1204" t="n">
        <v>98</v>
      </c>
      <c r="Z1204" t="n">
        <v>94</v>
      </c>
      <c r="AA1204" t="n">
        <v>127</v>
      </c>
      <c r="AB1204" t="n">
        <v>2</v>
      </c>
      <c r="AC1204" t="n">
        <v>2</v>
      </c>
      <c r="AD1204" t="n">
        <v>7</v>
      </c>
      <c r="AE1204" t="n">
        <v>11</v>
      </c>
      <c r="AF1204" t="n">
        <v>3</v>
      </c>
      <c r="AG1204" t="n">
        <v>4</v>
      </c>
      <c r="AH1204" t="n">
        <v>0</v>
      </c>
      <c r="AI1204" t="n">
        <v>1</v>
      </c>
      <c r="AJ1204" t="n">
        <v>7</v>
      </c>
      <c r="AK1204" t="n">
        <v>11</v>
      </c>
      <c r="AL1204" t="n">
        <v>0</v>
      </c>
      <c r="AM1204" t="n">
        <v>0</v>
      </c>
      <c r="AN1204" t="n">
        <v>0</v>
      </c>
      <c r="AO1204" t="n">
        <v>0</v>
      </c>
      <c r="AP1204" t="inlineStr">
        <is>
          <t>No</t>
        </is>
      </c>
      <c r="AQ1204" t="inlineStr">
        <is>
          <t>No</t>
        </is>
      </c>
      <c r="AS1204">
        <f>HYPERLINK("https://creighton-primo.hosted.exlibrisgroup.com/primo-explore/search?tab=default_tab&amp;search_scope=EVERYTHING&amp;vid=01CRU&amp;lang=en_US&amp;offset=0&amp;query=any,contains,991000022279702656","Catalog Record")</f>
        <v/>
      </c>
      <c r="AT1204">
        <f>HYPERLINK("http://www.worldcat.org/oclc/915575","WorldCat Record")</f>
        <v/>
      </c>
      <c r="AU1204" t="inlineStr">
        <is>
          <t>594570:eng</t>
        </is>
      </c>
      <c r="AV1204" t="inlineStr">
        <is>
          <t>915575</t>
        </is>
      </c>
      <c r="AW1204" t="inlineStr">
        <is>
          <t>991000022279702656</t>
        </is>
      </c>
      <c r="AX1204" t="inlineStr">
        <is>
          <t>991000022279702656</t>
        </is>
      </c>
      <c r="AY1204" t="inlineStr">
        <is>
          <t>2264737820002656</t>
        </is>
      </c>
      <c r="AZ1204" t="inlineStr">
        <is>
          <t>BOOK</t>
        </is>
      </c>
      <c r="BC1204" t="inlineStr">
        <is>
          <t>32285005589980</t>
        </is>
      </c>
      <c r="BD1204" t="inlineStr">
        <is>
          <t>893720550</t>
        </is>
      </c>
    </row>
    <row r="1205">
      <c r="A1205" t="inlineStr">
        <is>
          <t>No</t>
        </is>
      </c>
      <c r="B1205" t="inlineStr">
        <is>
          <t>BX2182.2 .J613 1969</t>
        </is>
      </c>
      <c r="C1205" t="inlineStr">
        <is>
          <t>0                      BX 2182200J  613         1969</t>
        </is>
      </c>
      <c r="D1205" t="inlineStr">
        <is>
          <t>Prayers and devotions from Pope John XXIII : selected passages from his writings and speeches arranged for every day of the year / edited and introduced by John P. Donnelly. With a preface by Msgr. Loris Capovilla. Translated by Dorothy White.</t>
        </is>
      </c>
      <c r="F1205" t="inlineStr">
        <is>
          <t>No</t>
        </is>
      </c>
      <c r="G1205" t="inlineStr">
        <is>
          <t>1</t>
        </is>
      </c>
      <c r="H1205" t="inlineStr">
        <is>
          <t>No</t>
        </is>
      </c>
      <c r="I1205" t="inlineStr">
        <is>
          <t>Yes</t>
        </is>
      </c>
      <c r="J1205" t="inlineStr">
        <is>
          <t>0</t>
        </is>
      </c>
      <c r="K1205" t="inlineStr">
        <is>
          <t>John XXIII, Pope, 1881-1963.</t>
        </is>
      </c>
      <c r="L1205" t="inlineStr">
        <is>
          <t>Garden City, N.Y. : Image Books, [c1969]</t>
        </is>
      </c>
      <c r="M1205" t="inlineStr">
        <is>
          <t>1969</t>
        </is>
      </c>
      <c r="O1205" t="inlineStr">
        <is>
          <t>eng</t>
        </is>
      </c>
      <c r="P1205" t="inlineStr">
        <is>
          <t xml:space="preserve">xx </t>
        </is>
      </c>
      <c r="R1205" t="inlineStr">
        <is>
          <t xml:space="preserve">BX </t>
        </is>
      </c>
      <c r="S1205" t="n">
        <v>4</v>
      </c>
      <c r="T1205" t="n">
        <v>4</v>
      </c>
      <c r="U1205" t="inlineStr">
        <is>
          <t>2004-07-23</t>
        </is>
      </c>
      <c r="V1205" t="inlineStr">
        <is>
          <t>2004-07-23</t>
        </is>
      </c>
      <c r="W1205" t="inlineStr">
        <is>
          <t>1997-03-12</t>
        </is>
      </c>
      <c r="X1205" t="inlineStr">
        <is>
          <t>1997-03-12</t>
        </is>
      </c>
      <c r="Y1205" t="n">
        <v>26</v>
      </c>
      <c r="Z1205" t="n">
        <v>25</v>
      </c>
      <c r="AA1205" t="n">
        <v>127</v>
      </c>
      <c r="AB1205" t="n">
        <v>1</v>
      </c>
      <c r="AC1205" t="n">
        <v>2</v>
      </c>
      <c r="AD1205" t="n">
        <v>4</v>
      </c>
      <c r="AE1205" t="n">
        <v>11</v>
      </c>
      <c r="AF1205" t="n">
        <v>1</v>
      </c>
      <c r="AG1205" t="n">
        <v>4</v>
      </c>
      <c r="AH1205" t="n">
        <v>1</v>
      </c>
      <c r="AI1205" t="n">
        <v>1</v>
      </c>
      <c r="AJ1205" t="n">
        <v>4</v>
      </c>
      <c r="AK1205" t="n">
        <v>11</v>
      </c>
      <c r="AL1205" t="n">
        <v>0</v>
      </c>
      <c r="AM1205" t="n">
        <v>0</v>
      </c>
      <c r="AN1205" t="n">
        <v>0</v>
      </c>
      <c r="AO1205" t="n">
        <v>0</v>
      </c>
      <c r="AP1205" t="inlineStr">
        <is>
          <t>No</t>
        </is>
      </c>
      <c r="AQ1205" t="inlineStr">
        <is>
          <t>No</t>
        </is>
      </c>
      <c r="AS1205">
        <f>HYPERLINK("https://creighton-primo.hosted.exlibrisgroup.com/primo-explore/search?tab=default_tab&amp;search_scope=EVERYTHING&amp;vid=01CRU&amp;lang=en_US&amp;offset=0&amp;query=any,contains,991003657949702656","Catalog Record")</f>
        <v/>
      </c>
      <c r="AT1205">
        <f>HYPERLINK("http://www.worldcat.org/oclc/1264136","WorldCat Record")</f>
        <v/>
      </c>
      <c r="AU1205" t="inlineStr">
        <is>
          <t>594570:eng</t>
        </is>
      </c>
      <c r="AV1205" t="inlineStr">
        <is>
          <t>1264136</t>
        </is>
      </c>
      <c r="AW1205" t="inlineStr">
        <is>
          <t>991003657949702656</t>
        </is>
      </c>
      <c r="AX1205" t="inlineStr">
        <is>
          <t>991003657949702656</t>
        </is>
      </c>
      <c r="AY1205" t="inlineStr">
        <is>
          <t>2264200260002656</t>
        </is>
      </c>
      <c r="AZ1205" t="inlineStr">
        <is>
          <t>BOOK</t>
        </is>
      </c>
      <c r="BC1205" t="inlineStr">
        <is>
          <t>32285002442159</t>
        </is>
      </c>
      <c r="BD1205" t="inlineStr">
        <is>
          <t>893775009</t>
        </is>
      </c>
    </row>
    <row r="1206">
      <c r="A1206" t="inlineStr">
        <is>
          <t>No</t>
        </is>
      </c>
      <c r="B1206" t="inlineStr">
        <is>
          <t>BX2182.2 .K427 1977</t>
        </is>
      </c>
      <c r="C1206" t="inlineStr">
        <is>
          <t>0                      BX 2182200K  427         1977</t>
        </is>
      </c>
      <c r="D1206" t="inlineStr">
        <is>
          <t>A time for being human / Eugene Kennedy.</t>
        </is>
      </c>
      <c r="F1206" t="inlineStr">
        <is>
          <t>No</t>
        </is>
      </c>
      <c r="G1206" t="inlineStr">
        <is>
          <t>1</t>
        </is>
      </c>
      <c r="H1206" t="inlineStr">
        <is>
          <t>No</t>
        </is>
      </c>
      <c r="I1206" t="inlineStr">
        <is>
          <t>No</t>
        </is>
      </c>
      <c r="J1206" t="inlineStr">
        <is>
          <t>0</t>
        </is>
      </c>
      <c r="K1206" t="inlineStr">
        <is>
          <t>Kennedy, Eugene C.</t>
        </is>
      </c>
      <c r="L1206" t="inlineStr">
        <is>
          <t>Chicago : Thomas More Press, c1977.</t>
        </is>
      </c>
      <c r="M1206" t="inlineStr">
        <is>
          <t>1977</t>
        </is>
      </c>
      <c r="O1206" t="inlineStr">
        <is>
          <t>eng</t>
        </is>
      </c>
      <c r="P1206" t="inlineStr">
        <is>
          <t>ilu</t>
        </is>
      </c>
      <c r="R1206" t="inlineStr">
        <is>
          <t xml:space="preserve">BX </t>
        </is>
      </c>
      <c r="S1206" t="n">
        <v>1</v>
      </c>
      <c r="T1206" t="n">
        <v>1</v>
      </c>
      <c r="U1206" t="inlineStr">
        <is>
          <t>2010-03-31</t>
        </is>
      </c>
      <c r="V1206" t="inlineStr">
        <is>
          <t>2010-03-31</t>
        </is>
      </c>
      <c r="W1206" t="inlineStr">
        <is>
          <t>1991-10-08</t>
        </is>
      </c>
      <c r="X1206" t="inlineStr">
        <is>
          <t>1991-10-08</t>
        </is>
      </c>
      <c r="Y1206" t="n">
        <v>346</v>
      </c>
      <c r="Z1206" t="n">
        <v>330</v>
      </c>
      <c r="AA1206" t="n">
        <v>385</v>
      </c>
      <c r="AB1206" t="n">
        <v>3</v>
      </c>
      <c r="AC1206" t="n">
        <v>3</v>
      </c>
      <c r="AD1206" t="n">
        <v>13</v>
      </c>
      <c r="AE1206" t="n">
        <v>15</v>
      </c>
      <c r="AF1206" t="n">
        <v>4</v>
      </c>
      <c r="AG1206" t="n">
        <v>4</v>
      </c>
      <c r="AH1206" t="n">
        <v>3</v>
      </c>
      <c r="AI1206" t="n">
        <v>3</v>
      </c>
      <c r="AJ1206" t="n">
        <v>9</v>
      </c>
      <c r="AK1206" t="n">
        <v>11</v>
      </c>
      <c r="AL1206" t="n">
        <v>1</v>
      </c>
      <c r="AM1206" t="n">
        <v>1</v>
      </c>
      <c r="AN1206" t="n">
        <v>0</v>
      </c>
      <c r="AO1206" t="n">
        <v>0</v>
      </c>
      <c r="AP1206" t="inlineStr">
        <is>
          <t>No</t>
        </is>
      </c>
      <c r="AQ1206" t="inlineStr">
        <is>
          <t>Yes</t>
        </is>
      </c>
      <c r="AR1206">
        <f>HYPERLINK("http://catalog.hathitrust.org/Record/012263600","HathiTrust Record")</f>
        <v/>
      </c>
      <c r="AS1206">
        <f>HYPERLINK("https://creighton-primo.hosted.exlibrisgroup.com/primo-explore/search?tab=default_tab&amp;search_scope=EVERYTHING&amp;vid=01CRU&amp;lang=en_US&amp;offset=0&amp;query=any,contains,991004443109702656","Catalog Record")</f>
        <v/>
      </c>
      <c r="AT1206">
        <f>HYPERLINK("http://www.worldcat.org/oclc/3473729","WorldCat Record")</f>
        <v/>
      </c>
      <c r="AU1206" t="inlineStr">
        <is>
          <t>450054:eng</t>
        </is>
      </c>
      <c r="AV1206" t="inlineStr">
        <is>
          <t>3473729</t>
        </is>
      </c>
      <c r="AW1206" t="inlineStr">
        <is>
          <t>991004443109702656</t>
        </is>
      </c>
      <c r="AX1206" t="inlineStr">
        <is>
          <t>991004443109702656</t>
        </is>
      </c>
      <c r="AY1206" t="inlineStr">
        <is>
          <t>2269232600002656</t>
        </is>
      </c>
      <c r="AZ1206" t="inlineStr">
        <is>
          <t>BOOK</t>
        </is>
      </c>
      <c r="BB1206" t="inlineStr">
        <is>
          <t>9780883470770</t>
        </is>
      </c>
      <c r="BC1206" t="inlineStr">
        <is>
          <t>32285000786185</t>
        </is>
      </c>
      <c r="BD1206" t="inlineStr">
        <is>
          <t>893628163</t>
        </is>
      </c>
    </row>
    <row r="1207">
      <c r="A1207" t="inlineStr">
        <is>
          <t>No</t>
        </is>
      </c>
      <c r="B1207" t="inlineStr">
        <is>
          <t>BX2182.2 .M668 1981</t>
        </is>
      </c>
      <c r="C1207" t="inlineStr">
        <is>
          <t>0                      BX 2182200M  668         1981</t>
        </is>
      </c>
      <c r="D1207" t="inlineStr">
        <is>
          <t>Mantras for the morning : an introduction to holistic prayer / Robert F. Morneau.</t>
        </is>
      </c>
      <c r="F1207" t="inlineStr">
        <is>
          <t>No</t>
        </is>
      </c>
      <c r="G1207" t="inlineStr">
        <is>
          <t>1</t>
        </is>
      </c>
      <c r="H1207" t="inlineStr">
        <is>
          <t>No</t>
        </is>
      </c>
      <c r="I1207" t="inlineStr">
        <is>
          <t>No</t>
        </is>
      </c>
      <c r="J1207" t="inlineStr">
        <is>
          <t>0</t>
        </is>
      </c>
      <c r="K1207" t="inlineStr">
        <is>
          <t>Morneau, Robert F., 1938-</t>
        </is>
      </c>
      <c r="L1207" t="inlineStr">
        <is>
          <t>Collegeville, Minn. : Liturgical Press, c1981.</t>
        </is>
      </c>
      <c r="M1207" t="inlineStr">
        <is>
          <t>1981</t>
        </is>
      </c>
      <c r="O1207" t="inlineStr">
        <is>
          <t>eng</t>
        </is>
      </c>
      <c r="P1207" t="inlineStr">
        <is>
          <t>miu</t>
        </is>
      </c>
      <c r="R1207" t="inlineStr">
        <is>
          <t xml:space="preserve">BX </t>
        </is>
      </c>
      <c r="S1207" t="n">
        <v>3</v>
      </c>
      <c r="T1207" t="n">
        <v>3</v>
      </c>
      <c r="U1207" t="inlineStr">
        <is>
          <t>1995-06-26</t>
        </is>
      </c>
      <c r="V1207" t="inlineStr">
        <is>
          <t>1995-06-26</t>
        </is>
      </c>
      <c r="W1207" t="inlineStr">
        <is>
          <t>1991-10-08</t>
        </is>
      </c>
      <c r="X1207" t="inlineStr">
        <is>
          <t>1991-10-08</t>
        </is>
      </c>
      <c r="Y1207" t="n">
        <v>90</v>
      </c>
      <c r="Z1207" t="n">
        <v>77</v>
      </c>
      <c r="AA1207" t="n">
        <v>82</v>
      </c>
      <c r="AB1207" t="n">
        <v>2</v>
      </c>
      <c r="AC1207" t="n">
        <v>2</v>
      </c>
      <c r="AD1207" t="n">
        <v>10</v>
      </c>
      <c r="AE1207" t="n">
        <v>10</v>
      </c>
      <c r="AF1207" t="n">
        <v>0</v>
      </c>
      <c r="AG1207" t="n">
        <v>0</v>
      </c>
      <c r="AH1207" t="n">
        <v>2</v>
      </c>
      <c r="AI1207" t="n">
        <v>2</v>
      </c>
      <c r="AJ1207" t="n">
        <v>8</v>
      </c>
      <c r="AK1207" t="n">
        <v>8</v>
      </c>
      <c r="AL1207" t="n">
        <v>0</v>
      </c>
      <c r="AM1207" t="n">
        <v>0</v>
      </c>
      <c r="AN1207" t="n">
        <v>0</v>
      </c>
      <c r="AO1207" t="n">
        <v>0</v>
      </c>
      <c r="AP1207" t="inlineStr">
        <is>
          <t>No</t>
        </is>
      </c>
      <c r="AQ1207" t="inlineStr">
        <is>
          <t>No</t>
        </is>
      </c>
      <c r="AS1207">
        <f>HYPERLINK("https://creighton-primo.hosted.exlibrisgroup.com/primo-explore/search?tab=default_tab&amp;search_scope=EVERYTHING&amp;vid=01CRU&amp;lang=en_US&amp;offset=0&amp;query=any,contains,991005100669702656","Catalog Record")</f>
        <v/>
      </c>
      <c r="AT1207">
        <f>HYPERLINK("http://www.worldcat.org/oclc/7283009","WorldCat Record")</f>
        <v/>
      </c>
      <c r="AU1207" t="inlineStr">
        <is>
          <t>4240045028:eng</t>
        </is>
      </c>
      <c r="AV1207" t="inlineStr">
        <is>
          <t>7283009</t>
        </is>
      </c>
      <c r="AW1207" t="inlineStr">
        <is>
          <t>991005100669702656</t>
        </is>
      </c>
      <c r="AX1207" t="inlineStr">
        <is>
          <t>991005100669702656</t>
        </is>
      </c>
      <c r="AY1207" t="inlineStr">
        <is>
          <t>2257387650002656</t>
        </is>
      </c>
      <c r="AZ1207" t="inlineStr">
        <is>
          <t>BOOK</t>
        </is>
      </c>
      <c r="BB1207" t="inlineStr">
        <is>
          <t>9780814612101</t>
        </is>
      </c>
      <c r="BC1207" t="inlineStr">
        <is>
          <t>32285000786227</t>
        </is>
      </c>
      <c r="BD1207" t="inlineStr">
        <is>
          <t>893895866</t>
        </is>
      </c>
    </row>
    <row r="1208">
      <c r="A1208" t="inlineStr">
        <is>
          <t>No</t>
        </is>
      </c>
      <c r="B1208" t="inlineStr">
        <is>
          <t>BX2182.2 .M87</t>
        </is>
      </c>
      <c r="C1208" t="inlineStr">
        <is>
          <t>0                      BX 2182200M  87</t>
        </is>
      </c>
      <c r="D1208" t="inlineStr">
        <is>
          <t>Approaching the sacred : an introduction to spiritual reading / With a foreword by Adrian van Kaam</t>
        </is>
      </c>
      <c r="F1208" t="inlineStr">
        <is>
          <t>No</t>
        </is>
      </c>
      <c r="G1208" t="inlineStr">
        <is>
          <t>1</t>
        </is>
      </c>
      <c r="H1208" t="inlineStr">
        <is>
          <t>No</t>
        </is>
      </c>
      <c r="I1208" t="inlineStr">
        <is>
          <t>No</t>
        </is>
      </c>
      <c r="J1208" t="inlineStr">
        <is>
          <t>0</t>
        </is>
      </c>
      <c r="K1208" t="inlineStr">
        <is>
          <t>Muto, Susan, 1942-</t>
        </is>
      </c>
      <c r="L1208" t="inlineStr">
        <is>
          <t>Denville, N.J. : Dimension Books, [1973]</t>
        </is>
      </c>
      <c r="M1208" t="inlineStr">
        <is>
          <t>1973</t>
        </is>
      </c>
      <c r="O1208" t="inlineStr">
        <is>
          <t>eng</t>
        </is>
      </c>
      <c r="P1208" t="inlineStr">
        <is>
          <t>|||</t>
        </is>
      </c>
      <c r="R1208" t="inlineStr">
        <is>
          <t xml:space="preserve">BX </t>
        </is>
      </c>
      <c r="S1208" t="n">
        <v>3</v>
      </c>
      <c r="T1208" t="n">
        <v>3</v>
      </c>
      <c r="U1208" t="inlineStr">
        <is>
          <t>2010-03-31</t>
        </is>
      </c>
      <c r="V1208" t="inlineStr">
        <is>
          <t>2010-03-31</t>
        </is>
      </c>
      <c r="W1208" t="inlineStr">
        <is>
          <t>1991-10-08</t>
        </is>
      </c>
      <c r="X1208" t="inlineStr">
        <is>
          <t>1991-10-08</t>
        </is>
      </c>
      <c r="Y1208" t="n">
        <v>121</v>
      </c>
      <c r="Z1208" t="n">
        <v>91</v>
      </c>
      <c r="AA1208" t="n">
        <v>91</v>
      </c>
      <c r="AB1208" t="n">
        <v>2</v>
      </c>
      <c r="AC1208" t="n">
        <v>2</v>
      </c>
      <c r="AD1208" t="n">
        <v>9</v>
      </c>
      <c r="AE1208" t="n">
        <v>9</v>
      </c>
      <c r="AF1208" t="n">
        <v>2</v>
      </c>
      <c r="AG1208" t="n">
        <v>2</v>
      </c>
      <c r="AH1208" t="n">
        <v>3</v>
      </c>
      <c r="AI1208" t="n">
        <v>3</v>
      </c>
      <c r="AJ1208" t="n">
        <v>5</v>
      </c>
      <c r="AK1208" t="n">
        <v>5</v>
      </c>
      <c r="AL1208" t="n">
        <v>0</v>
      </c>
      <c r="AM1208" t="n">
        <v>0</v>
      </c>
      <c r="AN1208" t="n">
        <v>0</v>
      </c>
      <c r="AO1208" t="n">
        <v>0</v>
      </c>
      <c r="AP1208" t="inlineStr">
        <is>
          <t>No</t>
        </is>
      </c>
      <c r="AQ1208" t="inlineStr">
        <is>
          <t>No</t>
        </is>
      </c>
      <c r="AS1208">
        <f>HYPERLINK("https://creighton-primo.hosted.exlibrisgroup.com/primo-explore/search?tab=default_tab&amp;search_scope=EVERYTHING&amp;vid=01CRU&amp;lang=en_US&amp;offset=0&amp;query=any,contains,991003261359702656","Catalog Record")</f>
        <v/>
      </c>
      <c r="AT1208">
        <f>HYPERLINK("http://www.worldcat.org/oclc/787949","WorldCat Record")</f>
        <v/>
      </c>
      <c r="AU1208" t="inlineStr">
        <is>
          <t>5620753652:eng</t>
        </is>
      </c>
      <c r="AV1208" t="inlineStr">
        <is>
          <t>787949</t>
        </is>
      </c>
      <c r="AW1208" t="inlineStr">
        <is>
          <t>991003261359702656</t>
        </is>
      </c>
      <c r="AX1208" t="inlineStr">
        <is>
          <t>991003261359702656</t>
        </is>
      </c>
      <c r="AY1208" t="inlineStr">
        <is>
          <t>2264539480002656</t>
        </is>
      </c>
      <c r="AZ1208" t="inlineStr">
        <is>
          <t>BOOK</t>
        </is>
      </c>
      <c r="BC1208" t="inlineStr">
        <is>
          <t>32285000786235</t>
        </is>
      </c>
      <c r="BD1208" t="inlineStr">
        <is>
          <t>893698829</t>
        </is>
      </c>
    </row>
    <row r="1209">
      <c r="A1209" t="inlineStr">
        <is>
          <t>No</t>
        </is>
      </c>
      <c r="B1209" t="inlineStr">
        <is>
          <t>BX2182.2 .O43 1986</t>
        </is>
      </c>
      <c r="C1209" t="inlineStr">
        <is>
          <t>0                      BX 2182200O  43          1986</t>
        </is>
      </c>
      <c r="D1209" t="inlineStr">
        <is>
          <t>Why not? : daring to live the challenge of Christ / William J. O'Malley.</t>
        </is>
      </c>
      <c r="F1209" t="inlineStr">
        <is>
          <t>No</t>
        </is>
      </c>
      <c r="G1209" t="inlineStr">
        <is>
          <t>1</t>
        </is>
      </c>
      <c r="H1209" t="inlineStr">
        <is>
          <t>No</t>
        </is>
      </c>
      <c r="I1209" t="inlineStr">
        <is>
          <t>No</t>
        </is>
      </c>
      <c r="J1209" t="inlineStr">
        <is>
          <t>0</t>
        </is>
      </c>
      <c r="K1209" t="inlineStr">
        <is>
          <t>O'Malley, William J.</t>
        </is>
      </c>
      <c r="L1209" t="inlineStr">
        <is>
          <t>New York : Alba House, c1986.</t>
        </is>
      </c>
      <c r="M1209" t="inlineStr">
        <is>
          <t>1986</t>
        </is>
      </c>
      <c r="O1209" t="inlineStr">
        <is>
          <t>eng</t>
        </is>
      </c>
      <c r="P1209" t="inlineStr">
        <is>
          <t>nyu</t>
        </is>
      </c>
      <c r="R1209" t="inlineStr">
        <is>
          <t xml:space="preserve">BX </t>
        </is>
      </c>
      <c r="S1209" t="n">
        <v>8</v>
      </c>
      <c r="T1209" t="n">
        <v>8</v>
      </c>
      <c r="U1209" t="inlineStr">
        <is>
          <t>2005-06-16</t>
        </is>
      </c>
      <c r="V1209" t="inlineStr">
        <is>
          <t>2005-06-16</t>
        </is>
      </c>
      <c r="W1209" t="inlineStr">
        <is>
          <t>1991-10-08</t>
        </is>
      </c>
      <c r="X1209" t="inlineStr">
        <is>
          <t>1991-10-08</t>
        </is>
      </c>
      <c r="Y1209" t="n">
        <v>43</v>
      </c>
      <c r="Z1209" t="n">
        <v>37</v>
      </c>
      <c r="AA1209" t="n">
        <v>42</v>
      </c>
      <c r="AB1209" t="n">
        <v>1</v>
      </c>
      <c r="AC1209" t="n">
        <v>1</v>
      </c>
      <c r="AD1209" t="n">
        <v>8</v>
      </c>
      <c r="AE1209" t="n">
        <v>8</v>
      </c>
      <c r="AF1209" t="n">
        <v>4</v>
      </c>
      <c r="AG1209" t="n">
        <v>4</v>
      </c>
      <c r="AH1209" t="n">
        <v>1</v>
      </c>
      <c r="AI1209" t="n">
        <v>1</v>
      </c>
      <c r="AJ1209" t="n">
        <v>7</v>
      </c>
      <c r="AK1209" t="n">
        <v>7</v>
      </c>
      <c r="AL1209" t="n">
        <v>0</v>
      </c>
      <c r="AM1209" t="n">
        <v>0</v>
      </c>
      <c r="AN1209" t="n">
        <v>0</v>
      </c>
      <c r="AO1209" t="n">
        <v>0</v>
      </c>
      <c r="AP1209" t="inlineStr">
        <is>
          <t>No</t>
        </is>
      </c>
      <c r="AQ1209" t="inlineStr">
        <is>
          <t>No</t>
        </is>
      </c>
      <c r="AS1209">
        <f>HYPERLINK("https://creighton-primo.hosted.exlibrisgroup.com/primo-explore/search?tab=default_tab&amp;search_scope=EVERYTHING&amp;vid=01CRU&amp;lang=en_US&amp;offset=0&amp;query=any,contains,991000868219702656","Catalog Record")</f>
        <v/>
      </c>
      <c r="AT1209">
        <f>HYPERLINK("http://www.worldcat.org/oclc/13761221","WorldCat Record")</f>
        <v/>
      </c>
      <c r="AU1209" t="inlineStr">
        <is>
          <t>10590525845:eng</t>
        </is>
      </c>
      <c r="AV1209" t="inlineStr">
        <is>
          <t>13761221</t>
        </is>
      </c>
      <c r="AW1209" t="inlineStr">
        <is>
          <t>991000868219702656</t>
        </is>
      </c>
      <c r="AX1209" t="inlineStr">
        <is>
          <t>991000868219702656</t>
        </is>
      </c>
      <c r="AY1209" t="inlineStr">
        <is>
          <t>2267841160002656</t>
        </is>
      </c>
      <c r="AZ1209" t="inlineStr">
        <is>
          <t>BOOK</t>
        </is>
      </c>
      <c r="BB1209" t="inlineStr">
        <is>
          <t>9780818905049</t>
        </is>
      </c>
      <c r="BC1209" t="inlineStr">
        <is>
          <t>32285000786268</t>
        </is>
      </c>
      <c r="BD1209" t="inlineStr">
        <is>
          <t>893515687</t>
        </is>
      </c>
    </row>
    <row r="1210">
      <c r="A1210" t="inlineStr">
        <is>
          <t>No</t>
        </is>
      </c>
      <c r="B1210" t="inlineStr">
        <is>
          <t>BX2182.2 .R28213 1977</t>
        </is>
      </c>
      <c r="C1210" t="inlineStr">
        <is>
          <t>0                      BX 2182200R  28213       1977</t>
        </is>
      </c>
      <c r="D1210" t="inlineStr">
        <is>
          <t>Meditations on hope and love / [by] Karl Rahner ; [translated from the German by V. Green].</t>
        </is>
      </c>
      <c r="F1210" t="inlineStr">
        <is>
          <t>No</t>
        </is>
      </c>
      <c r="G1210" t="inlineStr">
        <is>
          <t>1</t>
        </is>
      </c>
      <c r="H1210" t="inlineStr">
        <is>
          <t>No</t>
        </is>
      </c>
      <c r="I1210" t="inlineStr">
        <is>
          <t>No</t>
        </is>
      </c>
      <c r="J1210" t="inlineStr">
        <is>
          <t>0</t>
        </is>
      </c>
      <c r="K1210" t="inlineStr">
        <is>
          <t>Rahner, Karl, 1904-1984.</t>
        </is>
      </c>
      <c r="L1210" t="inlineStr">
        <is>
          <t>New York : Seabury Press, 1977.</t>
        </is>
      </c>
      <c r="M1210" t="inlineStr">
        <is>
          <t>1977</t>
        </is>
      </c>
      <c r="O1210" t="inlineStr">
        <is>
          <t>eng</t>
        </is>
      </c>
      <c r="P1210" t="inlineStr">
        <is>
          <t>nyu</t>
        </is>
      </c>
      <c r="Q1210" t="inlineStr">
        <is>
          <t>A Crossroad book</t>
        </is>
      </c>
      <c r="R1210" t="inlineStr">
        <is>
          <t xml:space="preserve">BX </t>
        </is>
      </c>
      <c r="S1210" t="n">
        <v>7</v>
      </c>
      <c r="T1210" t="n">
        <v>7</v>
      </c>
      <c r="U1210" t="inlineStr">
        <is>
          <t>2010-03-10</t>
        </is>
      </c>
      <c r="V1210" t="inlineStr">
        <is>
          <t>2010-03-10</t>
        </is>
      </c>
      <c r="W1210" t="inlineStr">
        <is>
          <t>1991-10-08</t>
        </is>
      </c>
      <c r="X1210" t="inlineStr">
        <is>
          <t>1991-10-08</t>
        </is>
      </c>
      <c r="Y1210" t="n">
        <v>101</v>
      </c>
      <c r="Z1210" t="n">
        <v>87</v>
      </c>
      <c r="AA1210" t="n">
        <v>124</v>
      </c>
      <c r="AB1210" t="n">
        <v>1</v>
      </c>
      <c r="AC1210" t="n">
        <v>2</v>
      </c>
      <c r="AD1210" t="n">
        <v>7</v>
      </c>
      <c r="AE1210" t="n">
        <v>9</v>
      </c>
      <c r="AF1210" t="n">
        <v>1</v>
      </c>
      <c r="AG1210" t="n">
        <v>1</v>
      </c>
      <c r="AH1210" t="n">
        <v>1</v>
      </c>
      <c r="AI1210" t="n">
        <v>1</v>
      </c>
      <c r="AJ1210" t="n">
        <v>7</v>
      </c>
      <c r="AK1210" t="n">
        <v>8</v>
      </c>
      <c r="AL1210" t="n">
        <v>0</v>
      </c>
      <c r="AM1210" t="n">
        <v>1</v>
      </c>
      <c r="AN1210" t="n">
        <v>0</v>
      </c>
      <c r="AO1210" t="n">
        <v>0</v>
      </c>
      <c r="AP1210" t="inlineStr">
        <is>
          <t>No</t>
        </is>
      </c>
      <c r="AQ1210" t="inlineStr">
        <is>
          <t>No</t>
        </is>
      </c>
      <c r="AS1210">
        <f>HYPERLINK("https://creighton-primo.hosted.exlibrisgroup.com/primo-explore/search?tab=default_tab&amp;search_scope=EVERYTHING&amp;vid=01CRU&amp;lang=en_US&amp;offset=0&amp;query=any,contains,991004410789702656","Catalog Record")</f>
        <v/>
      </c>
      <c r="AT1210">
        <f>HYPERLINK("http://www.worldcat.org/oclc/3340427","WorldCat Record")</f>
        <v/>
      </c>
      <c r="AU1210" t="inlineStr">
        <is>
          <t>479306:eng</t>
        </is>
      </c>
      <c r="AV1210" t="inlineStr">
        <is>
          <t>3340427</t>
        </is>
      </c>
      <c r="AW1210" t="inlineStr">
        <is>
          <t>991004410789702656</t>
        </is>
      </c>
      <c r="AX1210" t="inlineStr">
        <is>
          <t>991004410789702656</t>
        </is>
      </c>
      <c r="AY1210" t="inlineStr">
        <is>
          <t>2258965550002656</t>
        </is>
      </c>
      <c r="AZ1210" t="inlineStr">
        <is>
          <t>BOOK</t>
        </is>
      </c>
      <c r="BC1210" t="inlineStr">
        <is>
          <t>32285005734198</t>
        </is>
      </c>
      <c r="BD1210" t="inlineStr">
        <is>
          <t>893869689</t>
        </is>
      </c>
    </row>
    <row r="1211">
      <c r="A1211" t="inlineStr">
        <is>
          <t>No</t>
        </is>
      </c>
      <c r="B1211" t="inlineStr">
        <is>
          <t>BX2182.2 .R87 1985</t>
        </is>
      </c>
      <c r="C1211" t="inlineStr">
        <is>
          <t>0                      BX 2182200R  87          1985</t>
        </is>
      </c>
      <c r="D1211" t="inlineStr">
        <is>
          <t>Fresh bread and other gifts of spiritual nourishment / Joyce Rupp.</t>
        </is>
      </c>
      <c r="F1211" t="inlineStr">
        <is>
          <t>No</t>
        </is>
      </c>
      <c r="G1211" t="inlineStr">
        <is>
          <t>1</t>
        </is>
      </c>
      <c r="H1211" t="inlineStr">
        <is>
          <t>No</t>
        </is>
      </c>
      <c r="I1211" t="inlineStr">
        <is>
          <t>No</t>
        </is>
      </c>
      <c r="J1211" t="inlineStr">
        <is>
          <t>0</t>
        </is>
      </c>
      <c r="K1211" t="inlineStr">
        <is>
          <t>Rupp, Joyce.</t>
        </is>
      </c>
      <c r="L1211" t="inlineStr">
        <is>
          <t>Notre Dame, Ind. : Ave Maria Press, c1985.</t>
        </is>
      </c>
      <c r="M1211" t="inlineStr">
        <is>
          <t>1985</t>
        </is>
      </c>
      <c r="O1211" t="inlineStr">
        <is>
          <t>eng</t>
        </is>
      </c>
      <c r="P1211" t="inlineStr">
        <is>
          <t>inu</t>
        </is>
      </c>
      <c r="R1211" t="inlineStr">
        <is>
          <t xml:space="preserve">BX </t>
        </is>
      </c>
      <c r="S1211" t="n">
        <v>7</v>
      </c>
      <c r="T1211" t="n">
        <v>7</v>
      </c>
      <c r="U1211" t="inlineStr">
        <is>
          <t>2010-03-31</t>
        </is>
      </c>
      <c r="V1211" t="inlineStr">
        <is>
          <t>2010-03-31</t>
        </is>
      </c>
      <c r="W1211" t="inlineStr">
        <is>
          <t>1990-07-26</t>
        </is>
      </c>
      <c r="X1211" t="inlineStr">
        <is>
          <t>1990-07-26</t>
        </is>
      </c>
      <c r="Y1211" t="n">
        <v>119</v>
      </c>
      <c r="Z1211" t="n">
        <v>103</v>
      </c>
      <c r="AA1211" t="n">
        <v>132</v>
      </c>
      <c r="AB1211" t="n">
        <v>2</v>
      </c>
      <c r="AC1211" t="n">
        <v>2</v>
      </c>
      <c r="AD1211" t="n">
        <v>5</v>
      </c>
      <c r="AE1211" t="n">
        <v>6</v>
      </c>
      <c r="AF1211" t="n">
        <v>2</v>
      </c>
      <c r="AG1211" t="n">
        <v>2</v>
      </c>
      <c r="AH1211" t="n">
        <v>0</v>
      </c>
      <c r="AI1211" t="n">
        <v>1</v>
      </c>
      <c r="AJ1211" t="n">
        <v>5</v>
      </c>
      <c r="AK1211" t="n">
        <v>6</v>
      </c>
      <c r="AL1211" t="n">
        <v>0</v>
      </c>
      <c r="AM1211" t="n">
        <v>0</v>
      </c>
      <c r="AN1211" t="n">
        <v>0</v>
      </c>
      <c r="AO1211" t="n">
        <v>0</v>
      </c>
      <c r="AP1211" t="inlineStr">
        <is>
          <t>No</t>
        </is>
      </c>
      <c r="AQ1211" t="inlineStr">
        <is>
          <t>No</t>
        </is>
      </c>
      <c r="AS1211">
        <f>HYPERLINK("https://creighton-primo.hosted.exlibrisgroup.com/primo-explore/search?tab=default_tab&amp;search_scope=EVERYTHING&amp;vid=01CRU&amp;lang=en_US&amp;offset=0&amp;query=any,contains,991000666949702656","Catalog Record")</f>
        <v/>
      </c>
      <c r="AT1211">
        <f>HYPERLINK("http://www.worldcat.org/oclc/12285903","WorldCat Record")</f>
        <v/>
      </c>
      <c r="AU1211" t="inlineStr">
        <is>
          <t>5172507:eng</t>
        </is>
      </c>
      <c r="AV1211" t="inlineStr">
        <is>
          <t>12285903</t>
        </is>
      </c>
      <c r="AW1211" t="inlineStr">
        <is>
          <t>991000666949702656</t>
        </is>
      </c>
      <c r="AX1211" t="inlineStr">
        <is>
          <t>991000666949702656</t>
        </is>
      </c>
      <c r="AY1211" t="inlineStr">
        <is>
          <t>2257196750002656</t>
        </is>
      </c>
      <c r="AZ1211" t="inlineStr">
        <is>
          <t>BOOK</t>
        </is>
      </c>
      <c r="BB1211" t="inlineStr">
        <is>
          <t>9780877932833</t>
        </is>
      </c>
      <c r="BC1211" t="inlineStr">
        <is>
          <t>32285000248350</t>
        </is>
      </c>
      <c r="BD1211" t="inlineStr">
        <is>
          <t>893890917</t>
        </is>
      </c>
    </row>
    <row r="1212">
      <c r="A1212" t="inlineStr">
        <is>
          <t>No</t>
        </is>
      </c>
      <c r="B1212" t="inlineStr">
        <is>
          <t>BX2182.3 .B67 2001</t>
        </is>
      </c>
      <c r="C1212" t="inlineStr">
        <is>
          <t>0                      BX 2182300B  67          2001</t>
        </is>
      </c>
      <c r="D1212" t="inlineStr">
        <is>
          <t>Winging it : meditations of a young adult / Therese Johnson Borchard.</t>
        </is>
      </c>
      <c r="F1212" t="inlineStr">
        <is>
          <t>No</t>
        </is>
      </c>
      <c r="G1212" t="inlineStr">
        <is>
          <t>1</t>
        </is>
      </c>
      <c r="H1212" t="inlineStr">
        <is>
          <t>No</t>
        </is>
      </c>
      <c r="I1212" t="inlineStr">
        <is>
          <t>No</t>
        </is>
      </c>
      <c r="J1212" t="inlineStr">
        <is>
          <t>0</t>
        </is>
      </c>
      <c r="K1212" t="inlineStr">
        <is>
          <t>Borchard, Therese Johnson.</t>
        </is>
      </c>
      <c r="L1212" t="inlineStr">
        <is>
          <t>Maryknoll, N.Y. : Orbis Books c2001.</t>
        </is>
      </c>
      <c r="M1212" t="inlineStr">
        <is>
          <t>2001</t>
        </is>
      </c>
      <c r="O1212" t="inlineStr">
        <is>
          <t>eng</t>
        </is>
      </c>
      <c r="P1212" t="inlineStr">
        <is>
          <t>nyu</t>
        </is>
      </c>
      <c r="R1212" t="inlineStr">
        <is>
          <t xml:space="preserve">BX </t>
        </is>
      </c>
      <c r="S1212" t="n">
        <v>1</v>
      </c>
      <c r="T1212" t="n">
        <v>1</v>
      </c>
      <c r="U1212" t="inlineStr">
        <is>
          <t>2002-07-31</t>
        </is>
      </c>
      <c r="V1212" t="inlineStr">
        <is>
          <t>2002-07-31</t>
        </is>
      </c>
      <c r="W1212" t="inlineStr">
        <is>
          <t>2002-07-31</t>
        </is>
      </c>
      <c r="X1212" t="inlineStr">
        <is>
          <t>2002-07-31</t>
        </is>
      </c>
      <c r="Y1212" t="n">
        <v>65</v>
      </c>
      <c r="Z1212" t="n">
        <v>59</v>
      </c>
      <c r="AA1212" t="n">
        <v>64</v>
      </c>
      <c r="AB1212" t="n">
        <v>1</v>
      </c>
      <c r="AC1212" t="n">
        <v>1</v>
      </c>
      <c r="AD1212" t="n">
        <v>5</v>
      </c>
      <c r="AE1212" t="n">
        <v>5</v>
      </c>
      <c r="AF1212" t="n">
        <v>1</v>
      </c>
      <c r="AG1212" t="n">
        <v>1</v>
      </c>
      <c r="AH1212" t="n">
        <v>2</v>
      </c>
      <c r="AI1212" t="n">
        <v>2</v>
      </c>
      <c r="AJ1212" t="n">
        <v>5</v>
      </c>
      <c r="AK1212" t="n">
        <v>5</v>
      </c>
      <c r="AL1212" t="n">
        <v>0</v>
      </c>
      <c r="AM1212" t="n">
        <v>0</v>
      </c>
      <c r="AN1212" t="n">
        <v>0</v>
      </c>
      <c r="AO1212" t="n">
        <v>0</v>
      </c>
      <c r="AP1212" t="inlineStr">
        <is>
          <t>No</t>
        </is>
      </c>
      <c r="AQ1212" t="inlineStr">
        <is>
          <t>No</t>
        </is>
      </c>
      <c r="AS1212">
        <f>HYPERLINK("https://creighton-primo.hosted.exlibrisgroup.com/primo-explore/search?tab=default_tab&amp;search_scope=EVERYTHING&amp;vid=01CRU&amp;lang=en_US&amp;offset=0&amp;query=any,contains,991003841599702656","Catalog Record")</f>
        <v/>
      </c>
      <c r="AT1212">
        <f>HYPERLINK("http://www.worldcat.org/oclc/45087425","WorldCat Record")</f>
        <v/>
      </c>
      <c r="AU1212" t="inlineStr">
        <is>
          <t>5164592847:eng</t>
        </is>
      </c>
      <c r="AV1212" t="inlineStr">
        <is>
          <t>45087425</t>
        </is>
      </c>
      <c r="AW1212" t="inlineStr">
        <is>
          <t>991003841599702656</t>
        </is>
      </c>
      <c r="AX1212" t="inlineStr">
        <is>
          <t>991003841599702656</t>
        </is>
      </c>
      <c r="AY1212" t="inlineStr">
        <is>
          <t>2266569680002656</t>
        </is>
      </c>
      <c r="AZ1212" t="inlineStr">
        <is>
          <t>BOOK</t>
        </is>
      </c>
      <c r="BB1212" t="inlineStr">
        <is>
          <t>9781570753572</t>
        </is>
      </c>
      <c r="BC1212" t="inlineStr">
        <is>
          <t>32285004641428</t>
        </is>
      </c>
      <c r="BD1212" t="inlineStr">
        <is>
          <t>893693208</t>
        </is>
      </c>
    </row>
    <row r="1213">
      <c r="A1213" t="inlineStr">
        <is>
          <t>No</t>
        </is>
      </c>
      <c r="B1213" t="inlineStr">
        <is>
          <t>BX2182.3 .F4613 2006</t>
        </is>
      </c>
      <c r="C1213" t="inlineStr">
        <is>
          <t>0                      BX 2182300F  4613        2006</t>
        </is>
      </c>
      <c r="D1213" t="inlineStr">
        <is>
          <t>Fénelon : selected writings / edited, translated, and introduced by Chad Helms.</t>
        </is>
      </c>
      <c r="F1213" t="inlineStr">
        <is>
          <t>No</t>
        </is>
      </c>
      <c r="G1213" t="inlineStr">
        <is>
          <t>1</t>
        </is>
      </c>
      <c r="H1213" t="inlineStr">
        <is>
          <t>No</t>
        </is>
      </c>
      <c r="I1213" t="inlineStr">
        <is>
          <t>No</t>
        </is>
      </c>
      <c r="J1213" t="inlineStr">
        <is>
          <t>0</t>
        </is>
      </c>
      <c r="K1213" t="inlineStr">
        <is>
          <t>Fénelon, François de Salignac de La Mothe-, 1651-1715.</t>
        </is>
      </c>
      <c r="L1213" t="inlineStr">
        <is>
          <t>Mahwah, N.J. : Paulist Press, 2006.</t>
        </is>
      </c>
      <c r="M1213" t="inlineStr">
        <is>
          <t>2006</t>
        </is>
      </c>
      <c r="O1213" t="inlineStr">
        <is>
          <t>eng</t>
        </is>
      </c>
      <c r="P1213" t="inlineStr">
        <is>
          <t>nju</t>
        </is>
      </c>
      <c r="Q1213" t="inlineStr">
        <is>
          <t>The classics of Western spirituality</t>
        </is>
      </c>
      <c r="R1213" t="inlineStr">
        <is>
          <t xml:space="preserve">BX </t>
        </is>
      </c>
      <c r="S1213" t="n">
        <v>1</v>
      </c>
      <c r="T1213" t="n">
        <v>1</v>
      </c>
      <c r="U1213" t="inlineStr">
        <is>
          <t>2007-02-22</t>
        </is>
      </c>
      <c r="V1213" t="inlineStr">
        <is>
          <t>2007-02-22</t>
        </is>
      </c>
      <c r="W1213" t="inlineStr">
        <is>
          <t>2007-02-22</t>
        </is>
      </c>
      <c r="X1213" t="inlineStr">
        <is>
          <t>2007-02-22</t>
        </is>
      </c>
      <c r="Y1213" t="n">
        <v>387</v>
      </c>
      <c r="Z1213" t="n">
        <v>338</v>
      </c>
      <c r="AA1213" t="n">
        <v>345</v>
      </c>
      <c r="AB1213" t="n">
        <v>3</v>
      </c>
      <c r="AC1213" t="n">
        <v>3</v>
      </c>
      <c r="AD1213" t="n">
        <v>34</v>
      </c>
      <c r="AE1213" t="n">
        <v>34</v>
      </c>
      <c r="AF1213" t="n">
        <v>16</v>
      </c>
      <c r="AG1213" t="n">
        <v>16</v>
      </c>
      <c r="AH1213" t="n">
        <v>7</v>
      </c>
      <c r="AI1213" t="n">
        <v>7</v>
      </c>
      <c r="AJ1213" t="n">
        <v>20</v>
      </c>
      <c r="AK1213" t="n">
        <v>20</v>
      </c>
      <c r="AL1213" t="n">
        <v>2</v>
      </c>
      <c r="AM1213" t="n">
        <v>2</v>
      </c>
      <c r="AN1213" t="n">
        <v>0</v>
      </c>
      <c r="AO1213" t="n">
        <v>0</v>
      </c>
      <c r="AP1213" t="inlineStr">
        <is>
          <t>No</t>
        </is>
      </c>
      <c r="AQ1213" t="inlineStr">
        <is>
          <t>Yes</t>
        </is>
      </c>
      <c r="AR1213">
        <f>HYPERLINK("http://catalog.hathitrust.org/Record/005540571","HathiTrust Record")</f>
        <v/>
      </c>
      <c r="AS1213">
        <f>HYPERLINK("https://creighton-primo.hosted.exlibrisgroup.com/primo-explore/search?tab=default_tab&amp;search_scope=EVERYTHING&amp;vid=01CRU&amp;lang=en_US&amp;offset=0&amp;query=any,contains,991005042099702656","Catalog Record")</f>
        <v/>
      </c>
      <c r="AT1213">
        <f>HYPERLINK("http://www.worldcat.org/oclc/65425816","WorldCat Record")</f>
        <v/>
      </c>
      <c r="AU1213" t="inlineStr">
        <is>
          <t>2790580224:eng</t>
        </is>
      </c>
      <c r="AV1213" t="inlineStr">
        <is>
          <t>65425816</t>
        </is>
      </c>
      <c r="AW1213" t="inlineStr">
        <is>
          <t>991005042099702656</t>
        </is>
      </c>
      <c r="AX1213" t="inlineStr">
        <is>
          <t>991005042099702656</t>
        </is>
      </c>
      <c r="AY1213" t="inlineStr">
        <is>
          <t>2255909420002656</t>
        </is>
      </c>
      <c r="AZ1213" t="inlineStr">
        <is>
          <t>BOOK</t>
        </is>
      </c>
      <c r="BB1213" t="inlineStr">
        <is>
          <t>9780809105557</t>
        </is>
      </c>
      <c r="BC1213" t="inlineStr">
        <is>
          <t>32285005278642</t>
        </is>
      </c>
      <c r="BD1213" t="inlineStr">
        <is>
          <t>893513941</t>
        </is>
      </c>
    </row>
    <row r="1214">
      <c r="A1214" t="inlineStr">
        <is>
          <t>No</t>
        </is>
      </c>
      <c r="B1214" t="inlineStr">
        <is>
          <t>BX2183 .C463 1964a</t>
        </is>
      </c>
      <c r="C1214" t="inlineStr">
        <is>
          <t>0                      BX 2183000C  463         1964a</t>
        </is>
      </c>
      <c r="D1214" t="inlineStr">
        <is>
          <t>The prayer of all things / Pierre Charles.</t>
        </is>
      </c>
      <c r="F1214" t="inlineStr">
        <is>
          <t>No</t>
        </is>
      </c>
      <c r="G1214" t="inlineStr">
        <is>
          <t>1</t>
        </is>
      </c>
      <c r="H1214" t="inlineStr">
        <is>
          <t>No</t>
        </is>
      </c>
      <c r="I1214" t="inlineStr">
        <is>
          <t>No</t>
        </is>
      </c>
      <c r="J1214" t="inlineStr">
        <is>
          <t>0</t>
        </is>
      </c>
      <c r="K1214" t="inlineStr">
        <is>
          <t>Charles, Pierre.</t>
        </is>
      </c>
      <c r="L1214" t="inlineStr">
        <is>
          <t>[New York] : Herder and Herder, [1964]</t>
        </is>
      </c>
      <c r="M1214" t="inlineStr">
        <is>
          <t>1964</t>
        </is>
      </c>
      <c r="O1214" t="inlineStr">
        <is>
          <t>eng</t>
        </is>
      </c>
      <c r="P1214" t="inlineStr">
        <is>
          <t xml:space="preserve">xx </t>
        </is>
      </c>
      <c r="R1214" t="inlineStr">
        <is>
          <t xml:space="preserve">BX </t>
        </is>
      </c>
      <c r="S1214" t="n">
        <v>3</v>
      </c>
      <c r="T1214" t="n">
        <v>3</v>
      </c>
      <c r="U1214" t="inlineStr">
        <is>
          <t>2003-07-29</t>
        </is>
      </c>
      <c r="V1214" t="inlineStr">
        <is>
          <t>2003-07-29</t>
        </is>
      </c>
      <c r="W1214" t="inlineStr">
        <is>
          <t>1991-10-08</t>
        </is>
      </c>
      <c r="X1214" t="inlineStr">
        <is>
          <t>1991-10-08</t>
        </is>
      </c>
      <c r="Y1214" t="n">
        <v>126</v>
      </c>
      <c r="Z1214" t="n">
        <v>115</v>
      </c>
      <c r="AA1214" t="n">
        <v>120</v>
      </c>
      <c r="AB1214" t="n">
        <v>3</v>
      </c>
      <c r="AC1214" t="n">
        <v>3</v>
      </c>
      <c r="AD1214" t="n">
        <v>20</v>
      </c>
      <c r="AE1214" t="n">
        <v>22</v>
      </c>
      <c r="AF1214" t="n">
        <v>6</v>
      </c>
      <c r="AG1214" t="n">
        <v>7</v>
      </c>
      <c r="AH1214" t="n">
        <v>6</v>
      </c>
      <c r="AI1214" t="n">
        <v>6</v>
      </c>
      <c r="AJ1214" t="n">
        <v>16</v>
      </c>
      <c r="AK1214" t="n">
        <v>18</v>
      </c>
      <c r="AL1214" t="n">
        <v>0</v>
      </c>
      <c r="AM1214" t="n">
        <v>0</v>
      </c>
      <c r="AN1214" t="n">
        <v>0</v>
      </c>
      <c r="AO1214" t="n">
        <v>0</v>
      </c>
      <c r="AP1214" t="inlineStr">
        <is>
          <t>No</t>
        </is>
      </c>
      <c r="AQ1214" t="inlineStr">
        <is>
          <t>No</t>
        </is>
      </c>
      <c r="AS1214">
        <f>HYPERLINK("https://creighton-primo.hosted.exlibrisgroup.com/primo-explore/search?tab=default_tab&amp;search_scope=EVERYTHING&amp;vid=01CRU&amp;lang=en_US&amp;offset=0&amp;query=any,contains,991004326069702656","Catalog Record")</f>
        <v/>
      </c>
      <c r="AT1214">
        <f>HYPERLINK("http://www.worldcat.org/oclc/3038027","WorldCat Record")</f>
        <v/>
      </c>
      <c r="AU1214" t="inlineStr">
        <is>
          <t>3374745009:eng</t>
        </is>
      </c>
      <c r="AV1214" t="inlineStr">
        <is>
          <t>3038027</t>
        </is>
      </c>
      <c r="AW1214" t="inlineStr">
        <is>
          <t>991004326069702656</t>
        </is>
      </c>
      <c r="AX1214" t="inlineStr">
        <is>
          <t>991004326069702656</t>
        </is>
      </c>
      <c r="AY1214" t="inlineStr">
        <is>
          <t>2259988550002656</t>
        </is>
      </c>
      <c r="AZ1214" t="inlineStr">
        <is>
          <t>BOOK</t>
        </is>
      </c>
      <c r="BC1214" t="inlineStr">
        <is>
          <t>32285000786409</t>
        </is>
      </c>
      <c r="BD1214" t="inlineStr">
        <is>
          <t>893500414</t>
        </is>
      </c>
    </row>
    <row r="1215">
      <c r="A1215" t="inlineStr">
        <is>
          <t>No</t>
        </is>
      </c>
      <c r="B1215" t="inlineStr">
        <is>
          <t>BX2183 .C48 1941</t>
        </is>
      </c>
      <c r="C1215" t="inlineStr">
        <is>
          <t>0                      BX 2183000C  48          1941</t>
        </is>
      </c>
      <c r="D1215" t="inlineStr">
        <is>
          <t>Prayer for all men / translated by Rev. F. J. Sumner from La prière missionaire [!] by Pierre Charles, S. J. ... with a foreword by His Grace the Archbishop of Birmingham.</t>
        </is>
      </c>
      <c r="F1215" t="inlineStr">
        <is>
          <t>No</t>
        </is>
      </c>
      <c r="G1215" t="inlineStr">
        <is>
          <t>1</t>
        </is>
      </c>
      <c r="H1215" t="inlineStr">
        <is>
          <t>No</t>
        </is>
      </c>
      <c r="I1215" t="inlineStr">
        <is>
          <t>No</t>
        </is>
      </c>
      <c r="J1215" t="inlineStr">
        <is>
          <t>0</t>
        </is>
      </c>
      <c r="K1215" t="inlineStr">
        <is>
          <t>Charles, Pierre, 1883-1954.</t>
        </is>
      </c>
      <c r="L1215" t="inlineStr">
        <is>
          <t>New York : P. J. Kenedy &amp; sons, [1941]</t>
        </is>
      </c>
      <c r="M1215" t="inlineStr">
        <is>
          <t>1942</t>
        </is>
      </c>
      <c r="O1215" t="inlineStr">
        <is>
          <t>eng</t>
        </is>
      </c>
      <c r="P1215" t="inlineStr">
        <is>
          <t>nyu</t>
        </is>
      </c>
      <c r="R1215" t="inlineStr">
        <is>
          <t xml:space="preserve">BX </t>
        </is>
      </c>
      <c r="S1215" t="n">
        <v>1</v>
      </c>
      <c r="T1215" t="n">
        <v>1</v>
      </c>
      <c r="U1215" t="inlineStr">
        <is>
          <t>1992-09-16</t>
        </is>
      </c>
      <c r="V1215" t="inlineStr">
        <is>
          <t>1992-09-16</t>
        </is>
      </c>
      <c r="W1215" t="inlineStr">
        <is>
          <t>1991-10-08</t>
        </is>
      </c>
      <c r="X1215" t="inlineStr">
        <is>
          <t>1991-10-08</t>
        </is>
      </c>
      <c r="Y1215" t="n">
        <v>42</v>
      </c>
      <c r="Z1215" t="n">
        <v>40</v>
      </c>
      <c r="AA1215" t="n">
        <v>47</v>
      </c>
      <c r="AB1215" t="n">
        <v>1</v>
      </c>
      <c r="AC1215" t="n">
        <v>1</v>
      </c>
      <c r="AD1215" t="n">
        <v>15</v>
      </c>
      <c r="AE1215" t="n">
        <v>15</v>
      </c>
      <c r="AF1215" t="n">
        <v>6</v>
      </c>
      <c r="AG1215" t="n">
        <v>6</v>
      </c>
      <c r="AH1215" t="n">
        <v>3</v>
      </c>
      <c r="AI1215" t="n">
        <v>3</v>
      </c>
      <c r="AJ1215" t="n">
        <v>12</v>
      </c>
      <c r="AK1215" t="n">
        <v>12</v>
      </c>
      <c r="AL1215" t="n">
        <v>0</v>
      </c>
      <c r="AM1215" t="n">
        <v>0</v>
      </c>
      <c r="AN1215" t="n">
        <v>0</v>
      </c>
      <c r="AO1215" t="n">
        <v>0</v>
      </c>
      <c r="AP1215" t="inlineStr">
        <is>
          <t>No</t>
        </is>
      </c>
      <c r="AQ1215" t="inlineStr">
        <is>
          <t>No</t>
        </is>
      </c>
      <c r="AS1215">
        <f>HYPERLINK("https://creighton-primo.hosted.exlibrisgroup.com/primo-explore/search?tab=default_tab&amp;search_scope=EVERYTHING&amp;vid=01CRU&amp;lang=en_US&amp;offset=0&amp;query=any,contains,991004751769702656","Catalog Record")</f>
        <v/>
      </c>
      <c r="AT1215">
        <f>HYPERLINK("http://www.worldcat.org/oclc/4936204","WorldCat Record")</f>
        <v/>
      </c>
      <c r="AU1215" t="inlineStr">
        <is>
          <t>479001691:eng</t>
        </is>
      </c>
      <c r="AV1215" t="inlineStr">
        <is>
          <t>4936204</t>
        </is>
      </c>
      <c r="AW1215" t="inlineStr">
        <is>
          <t>991004751769702656</t>
        </is>
      </c>
      <c r="AX1215" t="inlineStr">
        <is>
          <t>991004751769702656</t>
        </is>
      </c>
      <c r="AY1215" t="inlineStr">
        <is>
          <t>2267978730002656</t>
        </is>
      </c>
      <c r="AZ1215" t="inlineStr">
        <is>
          <t>BOOK</t>
        </is>
      </c>
      <c r="BC1215" t="inlineStr">
        <is>
          <t>32285000786417</t>
        </is>
      </c>
      <c r="BD1215" t="inlineStr">
        <is>
          <t>893520011</t>
        </is>
      </c>
    </row>
    <row r="1216">
      <c r="A1216" t="inlineStr">
        <is>
          <t>No</t>
        </is>
      </c>
      <c r="B1216" t="inlineStr">
        <is>
          <t>BX2183 .C55 2002</t>
        </is>
      </c>
      <c r="C1216" t="inlineStr">
        <is>
          <t>0                      BX 2183000C  55          2002</t>
        </is>
      </c>
      <c r="D1216" t="inlineStr">
        <is>
          <t>Seeing with our souls : monastic wisdom for every day / Joan Chittister.</t>
        </is>
      </c>
      <c r="F1216" t="inlineStr">
        <is>
          <t>No</t>
        </is>
      </c>
      <c r="G1216" t="inlineStr">
        <is>
          <t>1</t>
        </is>
      </c>
      <c r="H1216" t="inlineStr">
        <is>
          <t>No</t>
        </is>
      </c>
      <c r="I1216" t="inlineStr">
        <is>
          <t>No</t>
        </is>
      </c>
      <c r="J1216" t="inlineStr">
        <is>
          <t>0</t>
        </is>
      </c>
      <c r="K1216" t="inlineStr">
        <is>
          <t>Chittister, Joan.</t>
        </is>
      </c>
      <c r="L1216" t="inlineStr">
        <is>
          <t>Franklin, Wis. : Sheed &amp; Ward, 2002.</t>
        </is>
      </c>
      <c r="M1216" t="inlineStr">
        <is>
          <t>2002</t>
        </is>
      </c>
      <c r="O1216" t="inlineStr">
        <is>
          <t>eng</t>
        </is>
      </c>
      <c r="P1216" t="inlineStr">
        <is>
          <t>wiu</t>
        </is>
      </c>
      <c r="R1216" t="inlineStr">
        <is>
          <t xml:space="preserve">BX </t>
        </is>
      </c>
      <c r="S1216" t="n">
        <v>1</v>
      </c>
      <c r="T1216" t="n">
        <v>1</v>
      </c>
      <c r="U1216" t="inlineStr">
        <is>
          <t>2004-02-13</t>
        </is>
      </c>
      <c r="V1216" t="inlineStr">
        <is>
          <t>2004-02-13</t>
        </is>
      </c>
      <c r="W1216" t="inlineStr">
        <is>
          <t>2002-08-05</t>
        </is>
      </c>
      <c r="X1216" t="inlineStr">
        <is>
          <t>2002-08-05</t>
        </is>
      </c>
      <c r="Y1216" t="n">
        <v>71</v>
      </c>
      <c r="Z1216" t="n">
        <v>58</v>
      </c>
      <c r="AA1216" t="n">
        <v>59</v>
      </c>
      <c r="AB1216" t="n">
        <v>1</v>
      </c>
      <c r="AC1216" t="n">
        <v>1</v>
      </c>
      <c r="AD1216" t="n">
        <v>4</v>
      </c>
      <c r="AE1216" t="n">
        <v>4</v>
      </c>
      <c r="AF1216" t="n">
        <v>2</v>
      </c>
      <c r="AG1216" t="n">
        <v>2</v>
      </c>
      <c r="AH1216" t="n">
        <v>2</v>
      </c>
      <c r="AI1216" t="n">
        <v>2</v>
      </c>
      <c r="AJ1216" t="n">
        <v>3</v>
      </c>
      <c r="AK1216" t="n">
        <v>3</v>
      </c>
      <c r="AL1216" t="n">
        <v>0</v>
      </c>
      <c r="AM1216" t="n">
        <v>0</v>
      </c>
      <c r="AN1216" t="n">
        <v>0</v>
      </c>
      <c r="AO1216" t="n">
        <v>0</v>
      </c>
      <c r="AP1216" t="inlineStr">
        <is>
          <t>No</t>
        </is>
      </c>
      <c r="AQ1216" t="inlineStr">
        <is>
          <t>No</t>
        </is>
      </c>
      <c r="AS1216">
        <f>HYPERLINK("https://creighton-primo.hosted.exlibrisgroup.com/primo-explore/search?tab=default_tab&amp;search_scope=EVERYTHING&amp;vid=01CRU&amp;lang=en_US&amp;offset=0&amp;query=any,contains,991003841269702656","Catalog Record")</f>
        <v/>
      </c>
      <c r="AT1216">
        <f>HYPERLINK("http://www.worldcat.org/oclc/50266236","WorldCat Record")</f>
        <v/>
      </c>
      <c r="AU1216" t="inlineStr">
        <is>
          <t>769568051:eng</t>
        </is>
      </c>
      <c r="AV1216" t="inlineStr">
        <is>
          <t>50266236</t>
        </is>
      </c>
      <c r="AW1216" t="inlineStr">
        <is>
          <t>991003841269702656</t>
        </is>
      </c>
      <c r="AX1216" t="inlineStr">
        <is>
          <t>991003841269702656</t>
        </is>
      </c>
      <c r="AY1216" t="inlineStr">
        <is>
          <t>2268326160002656</t>
        </is>
      </c>
      <c r="AZ1216" t="inlineStr">
        <is>
          <t>BOOK</t>
        </is>
      </c>
      <c r="BB1216" t="inlineStr">
        <is>
          <t>9781580511230</t>
        </is>
      </c>
      <c r="BC1216" t="inlineStr">
        <is>
          <t>32285004641352</t>
        </is>
      </c>
      <c r="BD1216" t="inlineStr">
        <is>
          <t>893900444</t>
        </is>
      </c>
    </row>
    <row r="1217">
      <c r="A1217" t="inlineStr">
        <is>
          <t>No</t>
        </is>
      </c>
      <c r="B1217" t="inlineStr">
        <is>
          <t>BX2183 .E913 1964</t>
        </is>
      </c>
      <c r="C1217" t="inlineStr">
        <is>
          <t>0                      BX 2183000E  913         1964</t>
        </is>
      </c>
      <c r="D1217" t="inlineStr">
        <is>
          <t>That man is you / by Louis Evely. Translated by Edmond Bonin.</t>
        </is>
      </c>
      <c r="F1217" t="inlineStr">
        <is>
          <t>No</t>
        </is>
      </c>
      <c r="G1217" t="inlineStr">
        <is>
          <t>1</t>
        </is>
      </c>
      <c r="H1217" t="inlineStr">
        <is>
          <t>No</t>
        </is>
      </c>
      <c r="I1217" t="inlineStr">
        <is>
          <t>No</t>
        </is>
      </c>
      <c r="J1217" t="inlineStr">
        <is>
          <t>0</t>
        </is>
      </c>
      <c r="K1217" t="inlineStr">
        <is>
          <t>Évely, Louis, 1910-1985.</t>
        </is>
      </c>
      <c r="L1217" t="inlineStr">
        <is>
          <t>Westminster, Md. : Newman Press, 1964.</t>
        </is>
      </c>
      <c r="M1217" t="inlineStr">
        <is>
          <t>1964</t>
        </is>
      </c>
      <c r="O1217" t="inlineStr">
        <is>
          <t>eng</t>
        </is>
      </c>
      <c r="P1217" t="inlineStr">
        <is>
          <t>mdu</t>
        </is>
      </c>
      <c r="R1217" t="inlineStr">
        <is>
          <t xml:space="preserve">BX </t>
        </is>
      </c>
      <c r="S1217" t="n">
        <v>1</v>
      </c>
      <c r="T1217" t="n">
        <v>1</v>
      </c>
      <c r="U1217" t="inlineStr">
        <is>
          <t>2007-06-25</t>
        </is>
      </c>
      <c r="V1217" t="inlineStr">
        <is>
          <t>2007-06-25</t>
        </is>
      </c>
      <c r="W1217" t="inlineStr">
        <is>
          <t>1991-10-08</t>
        </is>
      </c>
      <c r="X1217" t="inlineStr">
        <is>
          <t>1991-10-08</t>
        </is>
      </c>
      <c r="Y1217" t="n">
        <v>361</v>
      </c>
      <c r="Z1217" t="n">
        <v>320</v>
      </c>
      <c r="AA1217" t="n">
        <v>320</v>
      </c>
      <c r="AB1217" t="n">
        <v>3</v>
      </c>
      <c r="AC1217" t="n">
        <v>3</v>
      </c>
      <c r="AD1217" t="n">
        <v>31</v>
      </c>
      <c r="AE1217" t="n">
        <v>31</v>
      </c>
      <c r="AF1217" t="n">
        <v>10</v>
      </c>
      <c r="AG1217" t="n">
        <v>10</v>
      </c>
      <c r="AH1217" t="n">
        <v>7</v>
      </c>
      <c r="AI1217" t="n">
        <v>7</v>
      </c>
      <c r="AJ1217" t="n">
        <v>24</v>
      </c>
      <c r="AK1217" t="n">
        <v>24</v>
      </c>
      <c r="AL1217" t="n">
        <v>1</v>
      </c>
      <c r="AM1217" t="n">
        <v>1</v>
      </c>
      <c r="AN1217" t="n">
        <v>0</v>
      </c>
      <c r="AO1217" t="n">
        <v>0</v>
      </c>
      <c r="AP1217" t="inlineStr">
        <is>
          <t>No</t>
        </is>
      </c>
      <c r="AQ1217" t="inlineStr">
        <is>
          <t>No</t>
        </is>
      </c>
      <c r="AS1217">
        <f>HYPERLINK("https://creighton-primo.hosted.exlibrisgroup.com/primo-explore/search?tab=default_tab&amp;search_scope=EVERYTHING&amp;vid=01CRU&amp;lang=en_US&amp;offset=0&amp;query=any,contains,991003429609702656","Catalog Record")</f>
        <v/>
      </c>
      <c r="AT1217">
        <f>HYPERLINK("http://www.worldcat.org/oclc/965264","WorldCat Record")</f>
        <v/>
      </c>
      <c r="AU1217" t="inlineStr">
        <is>
          <t>9381762603:eng</t>
        </is>
      </c>
      <c r="AV1217" t="inlineStr">
        <is>
          <t>965264</t>
        </is>
      </c>
      <c r="AW1217" t="inlineStr">
        <is>
          <t>991003429609702656</t>
        </is>
      </c>
      <c r="AX1217" t="inlineStr">
        <is>
          <t>991003429609702656</t>
        </is>
      </c>
      <c r="AY1217" t="inlineStr">
        <is>
          <t>2258323000002656</t>
        </is>
      </c>
      <c r="AZ1217" t="inlineStr">
        <is>
          <t>BOOK</t>
        </is>
      </c>
      <c r="BC1217" t="inlineStr">
        <is>
          <t>32285000786458</t>
        </is>
      </c>
      <c r="BD1217" t="inlineStr">
        <is>
          <t>893330290</t>
        </is>
      </c>
    </row>
    <row r="1218">
      <c r="A1218" t="inlineStr">
        <is>
          <t>No</t>
        </is>
      </c>
      <c r="B1218" t="inlineStr">
        <is>
          <t>BX2183 .G7 1918</t>
        </is>
      </c>
      <c r="C1218" t="inlineStr">
        <is>
          <t>0                      BX 2183000G  7           1918</t>
        </is>
      </c>
      <c r="D1218" t="inlineStr">
        <is>
          <t>Jesus crucified : or, The science of the cross in the form of meditations / by Ff. Pierre Marie &amp; Jean Nicolas Grou ; edited by Alphonse Cadres ; translated by L. M. Legatt.</t>
        </is>
      </c>
      <c r="F1218" t="inlineStr">
        <is>
          <t>No</t>
        </is>
      </c>
      <c r="G1218" t="inlineStr">
        <is>
          <t>1</t>
        </is>
      </c>
      <c r="H1218" t="inlineStr">
        <is>
          <t>No</t>
        </is>
      </c>
      <c r="I1218" t="inlineStr">
        <is>
          <t>No</t>
        </is>
      </c>
      <c r="J1218" t="inlineStr">
        <is>
          <t>0</t>
        </is>
      </c>
      <c r="K1218" t="inlineStr">
        <is>
          <t>Grou, Jean Nicolas, 1731-1803.</t>
        </is>
      </c>
      <c r="L1218" t="inlineStr">
        <is>
          <t>New York : Kenedy ; London : Burns Oates &amp; Washbourne, 1918, c1917.</t>
        </is>
      </c>
      <c r="M1218" t="inlineStr">
        <is>
          <t>1917</t>
        </is>
      </c>
      <c r="O1218" t="inlineStr">
        <is>
          <t>eng</t>
        </is>
      </c>
      <c r="P1218" t="inlineStr">
        <is>
          <t>enk</t>
        </is>
      </c>
      <c r="R1218" t="inlineStr">
        <is>
          <t xml:space="preserve">BX </t>
        </is>
      </c>
      <c r="S1218" t="n">
        <v>3</v>
      </c>
      <c r="T1218" t="n">
        <v>3</v>
      </c>
      <c r="U1218" t="inlineStr">
        <is>
          <t>2001-04-18</t>
        </is>
      </c>
      <c r="V1218" t="inlineStr">
        <is>
          <t>2001-04-18</t>
        </is>
      </c>
      <c r="W1218" t="inlineStr">
        <is>
          <t>1991-10-08</t>
        </is>
      </c>
      <c r="X1218" t="inlineStr">
        <is>
          <t>1991-10-08</t>
        </is>
      </c>
      <c r="Y1218" t="n">
        <v>11</v>
      </c>
      <c r="Z1218" t="n">
        <v>10</v>
      </c>
      <c r="AA1218" t="n">
        <v>20</v>
      </c>
      <c r="AB1218" t="n">
        <v>1</v>
      </c>
      <c r="AC1218" t="n">
        <v>1</v>
      </c>
      <c r="AD1218" t="n">
        <v>4</v>
      </c>
      <c r="AE1218" t="n">
        <v>5</v>
      </c>
      <c r="AF1218" t="n">
        <v>0</v>
      </c>
      <c r="AG1218" t="n">
        <v>0</v>
      </c>
      <c r="AH1218" t="n">
        <v>1</v>
      </c>
      <c r="AI1218" t="n">
        <v>1</v>
      </c>
      <c r="AJ1218" t="n">
        <v>4</v>
      </c>
      <c r="AK1218" t="n">
        <v>5</v>
      </c>
      <c r="AL1218" t="n">
        <v>0</v>
      </c>
      <c r="AM1218" t="n">
        <v>0</v>
      </c>
      <c r="AN1218" t="n">
        <v>0</v>
      </c>
      <c r="AO1218" t="n">
        <v>0</v>
      </c>
      <c r="AP1218" t="inlineStr">
        <is>
          <t>No</t>
        </is>
      </c>
      <c r="AQ1218" t="inlineStr">
        <is>
          <t>No</t>
        </is>
      </c>
      <c r="AS1218">
        <f>HYPERLINK("https://creighton-primo.hosted.exlibrisgroup.com/primo-explore/search?tab=default_tab&amp;search_scope=EVERYTHING&amp;vid=01CRU&amp;lang=en_US&amp;offset=0&amp;query=any,contains,991000665989702656","Catalog Record")</f>
        <v/>
      </c>
      <c r="AT1218">
        <f>HYPERLINK("http://www.worldcat.org/oclc/12281606","WorldCat Record")</f>
        <v/>
      </c>
      <c r="AU1218" t="inlineStr">
        <is>
          <t>22307597:eng</t>
        </is>
      </c>
      <c r="AV1218" t="inlineStr">
        <is>
          <t>12281606</t>
        </is>
      </c>
      <c r="AW1218" t="inlineStr">
        <is>
          <t>991000665989702656</t>
        </is>
      </c>
      <c r="AX1218" t="inlineStr">
        <is>
          <t>991000665989702656</t>
        </is>
      </c>
      <c r="AY1218" t="inlineStr">
        <is>
          <t>2264090360002656</t>
        </is>
      </c>
      <c r="AZ1218" t="inlineStr">
        <is>
          <t>BOOK</t>
        </is>
      </c>
      <c r="BC1218" t="inlineStr">
        <is>
          <t>32285000786482</t>
        </is>
      </c>
      <c r="BD1218" t="inlineStr">
        <is>
          <t>893502685</t>
        </is>
      </c>
    </row>
    <row r="1219">
      <c r="A1219" t="inlineStr">
        <is>
          <t>No</t>
        </is>
      </c>
      <c r="B1219" t="inlineStr">
        <is>
          <t>BX2183 .L3913 1977b</t>
        </is>
      </c>
      <c r="C1219" t="inlineStr">
        <is>
          <t>0                      BX 2183000L  3913        1977b</t>
        </is>
      </c>
      <c r="D1219" t="inlineStr">
        <is>
          <t>An experience of life in the Spirit : ten days in the tradition of the Spiritual exercises / Jean Laplace ; translated by John R. Mooney.</t>
        </is>
      </c>
      <c r="F1219" t="inlineStr">
        <is>
          <t>No</t>
        </is>
      </c>
      <c r="G1219" t="inlineStr">
        <is>
          <t>1</t>
        </is>
      </c>
      <c r="H1219" t="inlineStr">
        <is>
          <t>No</t>
        </is>
      </c>
      <c r="I1219" t="inlineStr">
        <is>
          <t>No</t>
        </is>
      </c>
      <c r="J1219" t="inlineStr">
        <is>
          <t>0</t>
        </is>
      </c>
      <c r="K1219" t="inlineStr">
        <is>
          <t>Laplace, Jean.</t>
        </is>
      </c>
      <c r="L1219" t="inlineStr">
        <is>
          <t>Chicago : Franciscan Herald Press, 1977.</t>
        </is>
      </c>
      <c r="M1219" t="inlineStr">
        <is>
          <t>1977</t>
        </is>
      </c>
      <c r="O1219" t="inlineStr">
        <is>
          <t>eng</t>
        </is>
      </c>
      <c r="P1219" t="inlineStr">
        <is>
          <t>ilu</t>
        </is>
      </c>
      <c r="R1219" t="inlineStr">
        <is>
          <t xml:space="preserve">BX </t>
        </is>
      </c>
      <c r="S1219" t="n">
        <v>1</v>
      </c>
      <c r="T1219" t="n">
        <v>1</v>
      </c>
      <c r="U1219" t="inlineStr">
        <is>
          <t>2003-06-16</t>
        </is>
      </c>
      <c r="V1219" t="inlineStr">
        <is>
          <t>2003-06-16</t>
        </is>
      </c>
      <c r="W1219" t="inlineStr">
        <is>
          <t>1991-10-08</t>
        </is>
      </c>
      <c r="X1219" t="inlineStr">
        <is>
          <t>1991-10-08</t>
        </is>
      </c>
      <c r="Y1219" t="n">
        <v>71</v>
      </c>
      <c r="Z1219" t="n">
        <v>63</v>
      </c>
      <c r="AA1219" t="n">
        <v>90</v>
      </c>
      <c r="AB1219" t="n">
        <v>1</v>
      </c>
      <c r="AC1219" t="n">
        <v>3</v>
      </c>
      <c r="AD1219" t="n">
        <v>9</v>
      </c>
      <c r="AE1219" t="n">
        <v>13</v>
      </c>
      <c r="AF1219" t="n">
        <v>0</v>
      </c>
      <c r="AG1219" t="n">
        <v>0</v>
      </c>
      <c r="AH1219" t="n">
        <v>1</v>
      </c>
      <c r="AI1219" t="n">
        <v>2</v>
      </c>
      <c r="AJ1219" t="n">
        <v>8</v>
      </c>
      <c r="AK1219" t="n">
        <v>10</v>
      </c>
      <c r="AL1219" t="n">
        <v>0</v>
      </c>
      <c r="AM1219" t="n">
        <v>1</v>
      </c>
      <c r="AN1219" t="n">
        <v>0</v>
      </c>
      <c r="AO1219" t="n">
        <v>0</v>
      </c>
      <c r="AP1219" t="inlineStr">
        <is>
          <t>No</t>
        </is>
      </c>
      <c r="AQ1219" t="inlineStr">
        <is>
          <t>No</t>
        </is>
      </c>
      <c r="AS1219">
        <f>HYPERLINK("https://creighton-primo.hosted.exlibrisgroup.com/primo-explore/search?tab=default_tab&amp;search_scope=EVERYTHING&amp;vid=01CRU&amp;lang=en_US&amp;offset=0&amp;query=any,contains,991004587159702656","Catalog Record")</f>
        <v/>
      </c>
      <c r="AT1219">
        <f>HYPERLINK("http://www.worldcat.org/oclc/4095211","WorldCat Record")</f>
        <v/>
      </c>
      <c r="AU1219" t="inlineStr">
        <is>
          <t>14365541:eng</t>
        </is>
      </c>
      <c r="AV1219" t="inlineStr">
        <is>
          <t>4095211</t>
        </is>
      </c>
      <c r="AW1219" t="inlineStr">
        <is>
          <t>991004587159702656</t>
        </is>
      </c>
      <c r="AX1219" t="inlineStr">
        <is>
          <t>991004587159702656</t>
        </is>
      </c>
      <c r="AY1219" t="inlineStr">
        <is>
          <t>2257840540002656</t>
        </is>
      </c>
      <c r="AZ1219" t="inlineStr">
        <is>
          <t>BOOK</t>
        </is>
      </c>
      <c r="BB1219" t="inlineStr">
        <is>
          <t>9780819905949</t>
        </is>
      </c>
      <c r="BC1219" t="inlineStr">
        <is>
          <t>32285000786516</t>
        </is>
      </c>
      <c r="BD1219" t="inlineStr">
        <is>
          <t>893807245</t>
        </is>
      </c>
    </row>
    <row r="1220">
      <c r="A1220" t="inlineStr">
        <is>
          <t>No</t>
        </is>
      </c>
      <c r="B1220" t="inlineStr">
        <is>
          <t>BX2183 .L82 1987</t>
        </is>
      </c>
      <c r="C1220" t="inlineStr">
        <is>
          <t>0                      BX 2183000L  82          1987</t>
        </is>
      </c>
      <c r="D1220" t="inlineStr">
        <is>
          <t>Paradoxes of faith / Henri de Lubac.</t>
        </is>
      </c>
      <c r="F1220" t="inlineStr">
        <is>
          <t>No</t>
        </is>
      </c>
      <c r="G1220" t="inlineStr">
        <is>
          <t>1</t>
        </is>
      </c>
      <c r="H1220" t="inlineStr">
        <is>
          <t>No</t>
        </is>
      </c>
      <c r="I1220" t="inlineStr">
        <is>
          <t>No</t>
        </is>
      </c>
      <c r="J1220" t="inlineStr">
        <is>
          <t>0</t>
        </is>
      </c>
      <c r="K1220" t="inlineStr">
        <is>
          <t>Lubac, Henri de, 1896-1991.</t>
        </is>
      </c>
      <c r="L1220" t="inlineStr">
        <is>
          <t>San Francisco : Ignatius Press, c1987.</t>
        </is>
      </c>
      <c r="M1220" t="inlineStr">
        <is>
          <t>1987</t>
        </is>
      </c>
      <c r="O1220" t="inlineStr">
        <is>
          <t>eng</t>
        </is>
      </c>
      <c r="P1220" t="inlineStr">
        <is>
          <t>cau</t>
        </is>
      </c>
      <c r="R1220" t="inlineStr">
        <is>
          <t xml:space="preserve">BX </t>
        </is>
      </c>
      <c r="S1220" t="n">
        <v>4</v>
      </c>
      <c r="T1220" t="n">
        <v>4</v>
      </c>
      <c r="U1220" t="inlineStr">
        <is>
          <t>2004-03-13</t>
        </is>
      </c>
      <c r="V1220" t="inlineStr">
        <is>
          <t>2004-03-13</t>
        </is>
      </c>
      <c r="W1220" t="inlineStr">
        <is>
          <t>1991-10-08</t>
        </is>
      </c>
      <c r="X1220" t="inlineStr">
        <is>
          <t>1991-10-08</t>
        </is>
      </c>
      <c r="Y1220" t="n">
        <v>164</v>
      </c>
      <c r="Z1220" t="n">
        <v>132</v>
      </c>
      <c r="AA1220" t="n">
        <v>145</v>
      </c>
      <c r="AB1220" t="n">
        <v>2</v>
      </c>
      <c r="AC1220" t="n">
        <v>2</v>
      </c>
      <c r="AD1220" t="n">
        <v>15</v>
      </c>
      <c r="AE1220" t="n">
        <v>15</v>
      </c>
      <c r="AF1220" t="n">
        <v>3</v>
      </c>
      <c r="AG1220" t="n">
        <v>3</v>
      </c>
      <c r="AH1220" t="n">
        <v>4</v>
      </c>
      <c r="AI1220" t="n">
        <v>4</v>
      </c>
      <c r="AJ1220" t="n">
        <v>12</v>
      </c>
      <c r="AK1220" t="n">
        <v>12</v>
      </c>
      <c r="AL1220" t="n">
        <v>0</v>
      </c>
      <c r="AM1220" t="n">
        <v>0</v>
      </c>
      <c r="AN1220" t="n">
        <v>0</v>
      </c>
      <c r="AO1220" t="n">
        <v>0</v>
      </c>
      <c r="AP1220" t="inlineStr">
        <is>
          <t>No</t>
        </is>
      </c>
      <c r="AQ1220" t="inlineStr">
        <is>
          <t>No</t>
        </is>
      </c>
      <c r="AS1220">
        <f>HYPERLINK("https://creighton-primo.hosted.exlibrisgroup.com/primo-explore/search?tab=default_tab&amp;search_scope=EVERYTHING&amp;vid=01CRU&amp;lang=en_US&amp;offset=0&amp;query=any,contains,991001077019702656","Catalog Record")</f>
        <v/>
      </c>
      <c r="AT1220">
        <f>HYPERLINK("http://www.worldcat.org/oclc/16068815","WorldCat Record")</f>
        <v/>
      </c>
      <c r="AU1220" t="inlineStr">
        <is>
          <t>1862492201:eng</t>
        </is>
      </c>
      <c r="AV1220" t="inlineStr">
        <is>
          <t>16068815</t>
        </is>
      </c>
      <c r="AW1220" t="inlineStr">
        <is>
          <t>991001077019702656</t>
        </is>
      </c>
      <c r="AX1220" t="inlineStr">
        <is>
          <t>991001077019702656</t>
        </is>
      </c>
      <c r="AY1220" t="inlineStr">
        <is>
          <t>2271323750002656</t>
        </is>
      </c>
      <c r="AZ1220" t="inlineStr">
        <is>
          <t>BOOK</t>
        </is>
      </c>
      <c r="BB1220" t="inlineStr">
        <is>
          <t>9780898701326</t>
        </is>
      </c>
      <c r="BC1220" t="inlineStr">
        <is>
          <t>32285000786532</t>
        </is>
      </c>
      <c r="BD1220" t="inlineStr">
        <is>
          <t>893702705</t>
        </is>
      </c>
    </row>
    <row r="1221">
      <c r="A1221" t="inlineStr">
        <is>
          <t>No</t>
        </is>
      </c>
      <c r="B1221" t="inlineStr">
        <is>
          <t>BX2183 .M3 1922</t>
        </is>
      </c>
      <c r="C1221" t="inlineStr">
        <is>
          <t>0                      BX 2183000M  3           1922</t>
        </is>
      </c>
      <c r="D1221" t="inlineStr">
        <is>
          <t>Christ the life of the soul : spiritual conferences / by Columba Marmion, abbot of Maredsous abbey, translated from the French by a nun of Tyburn convent, preface by H.E. Card. Mercier, &amp; H.E. Card. Bourne; work honoured with a letter of approbation from His Holiness Benedict XV.</t>
        </is>
      </c>
      <c r="F1221" t="inlineStr">
        <is>
          <t>No</t>
        </is>
      </c>
      <c r="G1221" t="inlineStr">
        <is>
          <t>1</t>
        </is>
      </c>
      <c r="H1221" t="inlineStr">
        <is>
          <t>No</t>
        </is>
      </c>
      <c r="I1221" t="inlineStr">
        <is>
          <t>No</t>
        </is>
      </c>
      <c r="J1221" t="inlineStr">
        <is>
          <t>0</t>
        </is>
      </c>
      <c r="K1221" t="inlineStr">
        <is>
          <t>Marmion, Columba, 1858-1923.</t>
        </is>
      </c>
      <c r="L1221" t="inlineStr">
        <is>
          <t>St. Louis, Mo. : B. Herder Book Co. , 1922</t>
        </is>
      </c>
      <c r="M1221" t="inlineStr">
        <is>
          <t>1922</t>
        </is>
      </c>
      <c r="N1221" t="inlineStr">
        <is>
          <t>10th edition 39th thousand.</t>
        </is>
      </c>
      <c r="O1221" t="inlineStr">
        <is>
          <t>eng</t>
        </is>
      </c>
      <c r="P1221" t="inlineStr">
        <is>
          <t>mou</t>
        </is>
      </c>
      <c r="R1221" t="inlineStr">
        <is>
          <t xml:space="preserve">BX </t>
        </is>
      </c>
      <c r="S1221" t="n">
        <v>8</v>
      </c>
      <c r="T1221" t="n">
        <v>8</v>
      </c>
      <c r="U1221" t="inlineStr">
        <is>
          <t>2009-06-04</t>
        </is>
      </c>
      <c r="V1221" t="inlineStr">
        <is>
          <t>2009-06-04</t>
        </is>
      </c>
      <c r="W1221" t="inlineStr">
        <is>
          <t>1991-10-08</t>
        </is>
      </c>
      <c r="X1221" t="inlineStr">
        <is>
          <t>1991-10-08</t>
        </is>
      </c>
      <c r="Y1221" t="n">
        <v>35</v>
      </c>
      <c r="Z1221" t="n">
        <v>33</v>
      </c>
      <c r="AA1221" t="n">
        <v>276</v>
      </c>
      <c r="AB1221" t="n">
        <v>1</v>
      </c>
      <c r="AC1221" t="n">
        <v>2</v>
      </c>
      <c r="AD1221" t="n">
        <v>4</v>
      </c>
      <c r="AE1221" t="n">
        <v>35</v>
      </c>
      <c r="AF1221" t="n">
        <v>2</v>
      </c>
      <c r="AG1221" t="n">
        <v>12</v>
      </c>
      <c r="AH1221" t="n">
        <v>1</v>
      </c>
      <c r="AI1221" t="n">
        <v>9</v>
      </c>
      <c r="AJ1221" t="n">
        <v>2</v>
      </c>
      <c r="AK1221" t="n">
        <v>27</v>
      </c>
      <c r="AL1221" t="n">
        <v>0</v>
      </c>
      <c r="AM1221" t="n">
        <v>0</v>
      </c>
      <c r="AN1221" t="n">
        <v>0</v>
      </c>
      <c r="AO1221" t="n">
        <v>0</v>
      </c>
      <c r="AP1221" t="inlineStr">
        <is>
          <t>No</t>
        </is>
      </c>
      <c r="AQ1221" t="inlineStr">
        <is>
          <t>No</t>
        </is>
      </c>
      <c r="AS1221">
        <f>HYPERLINK("https://creighton-primo.hosted.exlibrisgroup.com/primo-explore/search?tab=default_tab&amp;search_scope=EVERYTHING&amp;vid=01CRU&amp;lang=en_US&amp;offset=0&amp;query=any,contains,991005145279702656","Catalog Record")</f>
        <v/>
      </c>
      <c r="AT1221">
        <f>HYPERLINK("http://www.worldcat.org/oclc/7656366","WorldCat Record")</f>
        <v/>
      </c>
      <c r="AU1221" t="inlineStr">
        <is>
          <t>768987362:eng</t>
        </is>
      </c>
      <c r="AV1221" t="inlineStr">
        <is>
          <t>7656366</t>
        </is>
      </c>
      <c r="AW1221" t="inlineStr">
        <is>
          <t>991005145279702656</t>
        </is>
      </c>
      <c r="AX1221" t="inlineStr">
        <is>
          <t>991005145279702656</t>
        </is>
      </c>
      <c r="AY1221" t="inlineStr">
        <is>
          <t>2261776090002656</t>
        </is>
      </c>
      <c r="AZ1221" t="inlineStr">
        <is>
          <t>BOOK</t>
        </is>
      </c>
      <c r="BC1221" t="inlineStr">
        <is>
          <t>32285000786557</t>
        </is>
      </c>
      <c r="BD1221" t="inlineStr">
        <is>
          <t>893719866</t>
        </is>
      </c>
    </row>
    <row r="1222">
      <c r="A1222" t="inlineStr">
        <is>
          <t>No</t>
        </is>
      </c>
      <c r="B1222" t="inlineStr">
        <is>
          <t>BX2183 .M33 1939</t>
        </is>
      </c>
      <c r="C1222" t="inlineStr">
        <is>
          <t>0                      BX 2183000M  33          1939</t>
        </is>
      </c>
      <c r="D1222" t="inlineStr">
        <is>
          <t>Christ in his mysteries / by Columba Marmion ; translated from the French by Mother M. St. Thomas.</t>
        </is>
      </c>
      <c r="F1222" t="inlineStr">
        <is>
          <t>No</t>
        </is>
      </c>
      <c r="G1222" t="inlineStr">
        <is>
          <t>1</t>
        </is>
      </c>
      <c r="H1222" t="inlineStr">
        <is>
          <t>No</t>
        </is>
      </c>
      <c r="I1222" t="inlineStr">
        <is>
          <t>No</t>
        </is>
      </c>
      <c r="J1222" t="inlineStr">
        <is>
          <t>0</t>
        </is>
      </c>
      <c r="K1222" t="inlineStr">
        <is>
          <t>Marmion, Columba, 1858-1923.</t>
        </is>
      </c>
      <c r="L1222" t="inlineStr">
        <is>
          <t>St. Louis : B. Herder, [1939]</t>
        </is>
      </c>
      <c r="M1222" t="inlineStr">
        <is>
          <t>1939</t>
        </is>
      </c>
      <c r="N1222" t="inlineStr">
        <is>
          <t>[7th ed.]</t>
        </is>
      </c>
      <c r="O1222" t="inlineStr">
        <is>
          <t>eng</t>
        </is>
      </c>
      <c r="P1222" t="inlineStr">
        <is>
          <t>mou</t>
        </is>
      </c>
      <c r="R1222" t="inlineStr">
        <is>
          <t xml:space="preserve">BX </t>
        </is>
      </c>
      <c r="S1222" t="n">
        <v>3</v>
      </c>
      <c r="T1222" t="n">
        <v>3</v>
      </c>
      <c r="U1222" t="inlineStr">
        <is>
          <t>2009-05-27</t>
        </is>
      </c>
      <c r="V1222" t="inlineStr">
        <is>
          <t>2009-05-27</t>
        </is>
      </c>
      <c r="W1222" t="inlineStr">
        <is>
          <t>1991-10-08</t>
        </is>
      </c>
      <c r="X1222" t="inlineStr">
        <is>
          <t>1991-10-08</t>
        </is>
      </c>
      <c r="Y1222" t="n">
        <v>27</v>
      </c>
      <c r="Z1222" t="n">
        <v>23</v>
      </c>
      <c r="AA1222" t="n">
        <v>140</v>
      </c>
      <c r="AB1222" t="n">
        <v>1</v>
      </c>
      <c r="AC1222" t="n">
        <v>2</v>
      </c>
      <c r="AD1222" t="n">
        <v>3</v>
      </c>
      <c r="AE1222" t="n">
        <v>20</v>
      </c>
      <c r="AF1222" t="n">
        <v>1</v>
      </c>
      <c r="AG1222" t="n">
        <v>6</v>
      </c>
      <c r="AH1222" t="n">
        <v>1</v>
      </c>
      <c r="AI1222" t="n">
        <v>6</v>
      </c>
      <c r="AJ1222" t="n">
        <v>2</v>
      </c>
      <c r="AK1222" t="n">
        <v>15</v>
      </c>
      <c r="AL1222" t="n">
        <v>0</v>
      </c>
      <c r="AM1222" t="n">
        <v>0</v>
      </c>
      <c r="AN1222" t="n">
        <v>0</v>
      </c>
      <c r="AO1222" t="n">
        <v>0</v>
      </c>
      <c r="AP1222" t="inlineStr">
        <is>
          <t>No</t>
        </is>
      </c>
      <c r="AQ1222" t="inlineStr">
        <is>
          <t>No</t>
        </is>
      </c>
      <c r="AS1222">
        <f>HYPERLINK("https://creighton-primo.hosted.exlibrisgroup.com/primo-explore/search?tab=default_tab&amp;search_scope=EVERYTHING&amp;vid=01CRU&amp;lang=en_US&amp;offset=0&amp;query=any,contains,991000188889702656","Catalog Record")</f>
        <v/>
      </c>
      <c r="AT1222">
        <f>HYPERLINK("http://www.worldcat.org/oclc/9403821","WorldCat Record")</f>
        <v/>
      </c>
      <c r="AU1222" t="inlineStr">
        <is>
          <t>4915321094:eng</t>
        </is>
      </c>
      <c r="AV1222" t="inlineStr">
        <is>
          <t>9403821</t>
        </is>
      </c>
      <c r="AW1222" t="inlineStr">
        <is>
          <t>991000188889702656</t>
        </is>
      </c>
      <c r="AX1222" t="inlineStr">
        <is>
          <t>991000188889702656</t>
        </is>
      </c>
      <c r="AY1222" t="inlineStr">
        <is>
          <t>2265139930002656</t>
        </is>
      </c>
      <c r="AZ1222" t="inlineStr">
        <is>
          <t>BOOK</t>
        </is>
      </c>
      <c r="BC1222" t="inlineStr">
        <is>
          <t>32285000786573</t>
        </is>
      </c>
      <c r="BD1222" t="inlineStr">
        <is>
          <t>893777772</t>
        </is>
      </c>
    </row>
    <row r="1223">
      <c r="A1223" t="inlineStr">
        <is>
          <t>No</t>
        </is>
      </c>
      <c r="B1223" t="inlineStr">
        <is>
          <t>BX2183 .Q5713 1973</t>
        </is>
      </c>
      <c r="C1223" t="inlineStr">
        <is>
          <t>0                      BX 2183000Q  5713        1973</t>
        </is>
      </c>
      <c r="D1223" t="inlineStr">
        <is>
          <t>I've met Jesus Christ / Michel Quoist. Translated by J. F. Bernard.</t>
        </is>
      </c>
      <c r="F1223" t="inlineStr">
        <is>
          <t>No</t>
        </is>
      </c>
      <c r="G1223" t="inlineStr">
        <is>
          <t>1</t>
        </is>
      </c>
      <c r="H1223" t="inlineStr">
        <is>
          <t>No</t>
        </is>
      </c>
      <c r="I1223" t="inlineStr">
        <is>
          <t>No</t>
        </is>
      </c>
      <c r="J1223" t="inlineStr">
        <is>
          <t>0</t>
        </is>
      </c>
      <c r="K1223" t="inlineStr">
        <is>
          <t>Quoist, Michel.</t>
        </is>
      </c>
      <c r="L1223" t="inlineStr">
        <is>
          <t>Garden City, N.Y. : Doubleday, 1973.</t>
        </is>
      </c>
      <c r="M1223" t="inlineStr">
        <is>
          <t>1973</t>
        </is>
      </c>
      <c r="N1223" t="inlineStr">
        <is>
          <t>[1st ed.]</t>
        </is>
      </c>
      <c r="O1223" t="inlineStr">
        <is>
          <t>eng</t>
        </is>
      </c>
      <c r="P1223" t="inlineStr">
        <is>
          <t>nyu</t>
        </is>
      </c>
      <c r="R1223" t="inlineStr">
        <is>
          <t xml:space="preserve">BX </t>
        </is>
      </c>
      <c r="S1223" t="n">
        <v>2</v>
      </c>
      <c r="T1223" t="n">
        <v>2</v>
      </c>
      <c r="U1223" t="inlineStr">
        <is>
          <t>1997-07-01</t>
        </is>
      </c>
      <c r="V1223" t="inlineStr">
        <is>
          <t>1997-07-01</t>
        </is>
      </c>
      <c r="W1223" t="inlineStr">
        <is>
          <t>1991-10-08</t>
        </is>
      </c>
      <c r="X1223" t="inlineStr">
        <is>
          <t>1991-10-08</t>
        </is>
      </c>
      <c r="Y1223" t="n">
        <v>204</v>
      </c>
      <c r="Z1223" t="n">
        <v>185</v>
      </c>
      <c r="AA1223" t="n">
        <v>236</v>
      </c>
      <c r="AB1223" t="n">
        <v>2</v>
      </c>
      <c r="AC1223" t="n">
        <v>2</v>
      </c>
      <c r="AD1223" t="n">
        <v>13</v>
      </c>
      <c r="AE1223" t="n">
        <v>16</v>
      </c>
      <c r="AF1223" t="n">
        <v>3</v>
      </c>
      <c r="AG1223" t="n">
        <v>5</v>
      </c>
      <c r="AH1223" t="n">
        <v>4</v>
      </c>
      <c r="AI1223" t="n">
        <v>4</v>
      </c>
      <c r="AJ1223" t="n">
        <v>9</v>
      </c>
      <c r="AK1223" t="n">
        <v>12</v>
      </c>
      <c r="AL1223" t="n">
        <v>0</v>
      </c>
      <c r="AM1223" t="n">
        <v>0</v>
      </c>
      <c r="AN1223" t="n">
        <v>0</v>
      </c>
      <c r="AO1223" t="n">
        <v>0</v>
      </c>
      <c r="AP1223" t="inlineStr">
        <is>
          <t>No</t>
        </is>
      </c>
      <c r="AQ1223" t="inlineStr">
        <is>
          <t>No</t>
        </is>
      </c>
      <c r="AS1223">
        <f>HYPERLINK("https://creighton-primo.hosted.exlibrisgroup.com/primo-explore/search?tab=default_tab&amp;search_scope=EVERYTHING&amp;vid=01CRU&amp;lang=en_US&amp;offset=0&amp;query=any,contains,991003483259702656","Catalog Record")</f>
        <v/>
      </c>
      <c r="AT1223">
        <f>HYPERLINK("http://www.worldcat.org/oclc/1030962","WorldCat Record")</f>
        <v/>
      </c>
      <c r="AU1223" t="inlineStr">
        <is>
          <t>9415612483:eng</t>
        </is>
      </c>
      <c r="AV1223" t="inlineStr">
        <is>
          <t>1030962</t>
        </is>
      </c>
      <c r="AW1223" t="inlineStr">
        <is>
          <t>991003483259702656</t>
        </is>
      </c>
      <c r="AX1223" t="inlineStr">
        <is>
          <t>991003483259702656</t>
        </is>
      </c>
      <c r="AY1223" t="inlineStr">
        <is>
          <t>2269486440002656</t>
        </is>
      </c>
      <c r="AZ1223" t="inlineStr">
        <is>
          <t>BOOK</t>
        </is>
      </c>
      <c r="BB1223" t="inlineStr">
        <is>
          <t>9780385064620</t>
        </is>
      </c>
      <c r="BC1223" t="inlineStr">
        <is>
          <t>32285000786599</t>
        </is>
      </c>
      <c r="BD1223" t="inlineStr">
        <is>
          <t>893887510</t>
        </is>
      </c>
    </row>
    <row r="1224">
      <c r="A1224" t="inlineStr">
        <is>
          <t>No</t>
        </is>
      </c>
      <c r="B1224" t="inlineStr">
        <is>
          <t>BX2183 .Q613 1963</t>
        </is>
      </c>
      <c r="C1224" t="inlineStr">
        <is>
          <t>0                      BX 2183000Q  613         1963</t>
        </is>
      </c>
      <c r="D1224" t="inlineStr">
        <is>
          <t>Prayers / by Michel Quoist. Translated by Agnes M. Forsyth and Anne Marie de Commaille.</t>
        </is>
      </c>
      <c r="F1224" t="inlineStr">
        <is>
          <t>No</t>
        </is>
      </c>
      <c r="G1224" t="inlineStr">
        <is>
          <t>1</t>
        </is>
      </c>
      <c r="H1224" t="inlineStr">
        <is>
          <t>No</t>
        </is>
      </c>
      <c r="I1224" t="inlineStr">
        <is>
          <t>No</t>
        </is>
      </c>
      <c r="J1224" t="inlineStr">
        <is>
          <t>0</t>
        </is>
      </c>
      <c r="K1224" t="inlineStr">
        <is>
          <t>Quoist, Michel.</t>
        </is>
      </c>
      <c r="L1224" t="inlineStr">
        <is>
          <t>New York : Sheed and Ward, [1963]</t>
        </is>
      </c>
      <c r="M1224" t="inlineStr">
        <is>
          <t>1963</t>
        </is>
      </c>
      <c r="O1224" t="inlineStr">
        <is>
          <t>eng</t>
        </is>
      </c>
      <c r="P1224" t="inlineStr">
        <is>
          <t>nyu</t>
        </is>
      </c>
      <c r="R1224" t="inlineStr">
        <is>
          <t xml:space="preserve">BX </t>
        </is>
      </c>
      <c r="S1224" t="n">
        <v>1</v>
      </c>
      <c r="T1224" t="n">
        <v>1</v>
      </c>
      <c r="U1224" t="inlineStr">
        <is>
          <t>2001-07-17</t>
        </is>
      </c>
      <c r="V1224" t="inlineStr">
        <is>
          <t>2001-07-17</t>
        </is>
      </c>
      <c r="W1224" t="inlineStr">
        <is>
          <t>1990-08-14</t>
        </is>
      </c>
      <c r="X1224" t="inlineStr">
        <is>
          <t>1990-08-14</t>
        </is>
      </c>
      <c r="Y1224" t="n">
        <v>598</v>
      </c>
      <c r="Z1224" t="n">
        <v>555</v>
      </c>
      <c r="AA1224" t="n">
        <v>591</v>
      </c>
      <c r="AB1224" t="n">
        <v>7</v>
      </c>
      <c r="AC1224" t="n">
        <v>7</v>
      </c>
      <c r="AD1224" t="n">
        <v>40</v>
      </c>
      <c r="AE1224" t="n">
        <v>40</v>
      </c>
      <c r="AF1224" t="n">
        <v>16</v>
      </c>
      <c r="AG1224" t="n">
        <v>16</v>
      </c>
      <c r="AH1224" t="n">
        <v>7</v>
      </c>
      <c r="AI1224" t="n">
        <v>7</v>
      </c>
      <c r="AJ1224" t="n">
        <v>23</v>
      </c>
      <c r="AK1224" t="n">
        <v>23</v>
      </c>
      <c r="AL1224" t="n">
        <v>5</v>
      </c>
      <c r="AM1224" t="n">
        <v>5</v>
      </c>
      <c r="AN1224" t="n">
        <v>0</v>
      </c>
      <c r="AO1224" t="n">
        <v>0</v>
      </c>
      <c r="AP1224" t="inlineStr">
        <is>
          <t>No</t>
        </is>
      </c>
      <c r="AQ1224" t="inlineStr">
        <is>
          <t>No</t>
        </is>
      </c>
      <c r="AS1224">
        <f>HYPERLINK("https://creighton-primo.hosted.exlibrisgroup.com/primo-explore/search?tab=default_tab&amp;search_scope=EVERYTHING&amp;vid=01CRU&amp;lang=en_US&amp;offset=0&amp;query=any,contains,991003106049702656","Catalog Record")</f>
        <v/>
      </c>
      <c r="AT1224">
        <f>HYPERLINK("http://www.worldcat.org/oclc/654199","WorldCat Record")</f>
        <v/>
      </c>
      <c r="AU1224" t="inlineStr">
        <is>
          <t>8910779383:eng</t>
        </is>
      </c>
      <c r="AV1224" t="inlineStr">
        <is>
          <t>654199</t>
        </is>
      </c>
      <c r="AW1224" t="inlineStr">
        <is>
          <t>991003106049702656</t>
        </is>
      </c>
      <c r="AX1224" t="inlineStr">
        <is>
          <t>991003106049702656</t>
        </is>
      </c>
      <c r="AY1224" t="inlineStr">
        <is>
          <t>2262000460002656</t>
        </is>
      </c>
      <c r="AZ1224" t="inlineStr">
        <is>
          <t>BOOK</t>
        </is>
      </c>
      <c r="BC1224" t="inlineStr">
        <is>
          <t>32285000268465</t>
        </is>
      </c>
      <c r="BD1224" t="inlineStr">
        <is>
          <t>893793320</t>
        </is>
      </c>
    </row>
    <row r="1225">
      <c r="A1225" t="inlineStr">
        <is>
          <t>No</t>
        </is>
      </c>
      <c r="B1225" t="inlineStr">
        <is>
          <t>BX2184 .R37213 1986</t>
        </is>
      </c>
      <c r="C1225" t="inlineStr">
        <is>
          <t>0                      BX 2184000R  37213       1986</t>
        </is>
      </c>
      <c r="D1225" t="inlineStr">
        <is>
          <t>Seek that which is above : meditations through the year / Joseph Cardinal Ratzinger ; translated by Graham Harrison.</t>
        </is>
      </c>
      <c r="F1225" t="inlineStr">
        <is>
          <t>No</t>
        </is>
      </c>
      <c r="G1225" t="inlineStr">
        <is>
          <t>1</t>
        </is>
      </c>
      <c r="H1225" t="inlineStr">
        <is>
          <t>No</t>
        </is>
      </c>
      <c r="I1225" t="inlineStr">
        <is>
          <t>No</t>
        </is>
      </c>
      <c r="J1225" t="inlineStr">
        <is>
          <t>0</t>
        </is>
      </c>
      <c r="K1225" t="inlineStr">
        <is>
          <t>Benedict XVI, Pope, 1927-</t>
        </is>
      </c>
      <c r="L1225" t="inlineStr">
        <is>
          <t>San Francisco : Ignatius Press, c1986.</t>
        </is>
      </c>
      <c r="M1225" t="inlineStr">
        <is>
          <t>1986</t>
        </is>
      </c>
      <c r="O1225" t="inlineStr">
        <is>
          <t>eng</t>
        </is>
      </c>
      <c r="P1225" t="inlineStr">
        <is>
          <t>cau</t>
        </is>
      </c>
      <c r="R1225" t="inlineStr">
        <is>
          <t xml:space="preserve">BX </t>
        </is>
      </c>
      <c r="S1225" t="n">
        <v>5</v>
      </c>
      <c r="T1225" t="n">
        <v>5</v>
      </c>
      <c r="U1225" t="inlineStr">
        <is>
          <t>2005-09-26</t>
        </is>
      </c>
      <c r="V1225" t="inlineStr">
        <is>
          <t>2005-09-26</t>
        </is>
      </c>
      <c r="W1225" t="inlineStr">
        <is>
          <t>1991-10-08</t>
        </is>
      </c>
      <c r="X1225" t="inlineStr">
        <is>
          <t>1991-10-08</t>
        </is>
      </c>
      <c r="Y1225" t="n">
        <v>123</v>
      </c>
      <c r="Z1225" t="n">
        <v>103</v>
      </c>
      <c r="AA1225" t="n">
        <v>140</v>
      </c>
      <c r="AB1225" t="n">
        <v>3</v>
      </c>
      <c r="AC1225" t="n">
        <v>3</v>
      </c>
      <c r="AD1225" t="n">
        <v>10</v>
      </c>
      <c r="AE1225" t="n">
        <v>15</v>
      </c>
      <c r="AF1225" t="n">
        <v>3</v>
      </c>
      <c r="AG1225" t="n">
        <v>7</v>
      </c>
      <c r="AH1225" t="n">
        <v>2</v>
      </c>
      <c r="AI1225" t="n">
        <v>3</v>
      </c>
      <c r="AJ1225" t="n">
        <v>8</v>
      </c>
      <c r="AK1225" t="n">
        <v>10</v>
      </c>
      <c r="AL1225" t="n">
        <v>0</v>
      </c>
      <c r="AM1225" t="n">
        <v>0</v>
      </c>
      <c r="AN1225" t="n">
        <v>0</v>
      </c>
      <c r="AO1225" t="n">
        <v>0</v>
      </c>
      <c r="AP1225" t="inlineStr">
        <is>
          <t>No</t>
        </is>
      </c>
      <c r="AQ1225" t="inlineStr">
        <is>
          <t>No</t>
        </is>
      </c>
      <c r="AS1225">
        <f>HYPERLINK("https://creighton-primo.hosted.exlibrisgroup.com/primo-explore/search?tab=default_tab&amp;search_scope=EVERYTHING&amp;vid=01CRU&amp;lang=en_US&amp;offset=0&amp;query=any,contains,991000970809702656","Catalog Record")</f>
        <v/>
      </c>
      <c r="AT1225">
        <f>HYPERLINK("http://www.worldcat.org/oclc/14950226","WorldCat Record")</f>
        <v/>
      </c>
      <c r="AU1225" t="inlineStr">
        <is>
          <t>1806380155:eng</t>
        </is>
      </c>
      <c r="AV1225" t="inlineStr">
        <is>
          <t>14950226</t>
        </is>
      </c>
      <c r="AW1225" t="inlineStr">
        <is>
          <t>991000970809702656</t>
        </is>
      </c>
      <c r="AX1225" t="inlineStr">
        <is>
          <t>991000970809702656</t>
        </is>
      </c>
      <c r="AY1225" t="inlineStr">
        <is>
          <t>2267889480002656</t>
        </is>
      </c>
      <c r="AZ1225" t="inlineStr">
        <is>
          <t>BOOK</t>
        </is>
      </c>
      <c r="BB1225" t="inlineStr">
        <is>
          <t>9780898701012</t>
        </is>
      </c>
      <c r="BC1225" t="inlineStr">
        <is>
          <t>32285000786730</t>
        </is>
      </c>
      <c r="BD1225" t="inlineStr">
        <is>
          <t>893528548</t>
        </is>
      </c>
    </row>
    <row r="1226">
      <c r="A1226" t="inlineStr">
        <is>
          <t>No</t>
        </is>
      </c>
      <c r="B1226" t="inlineStr">
        <is>
          <t>BX2184 .R37513 1992</t>
        </is>
      </c>
      <c r="C1226" t="inlineStr">
        <is>
          <t>0                      BX 2184000R  37513       1992</t>
        </is>
      </c>
      <c r="D1226" t="inlineStr">
        <is>
          <t>Co-workers of the truth : meditations for every day of the year / Joseph Cardinal Ratzinger ; edited by Irene Grassl ; translated by Mary Frances McCarthy and Lothar Krauth.</t>
        </is>
      </c>
      <c r="F1226" t="inlineStr">
        <is>
          <t>No</t>
        </is>
      </c>
      <c r="G1226" t="inlineStr">
        <is>
          <t>1</t>
        </is>
      </c>
      <c r="H1226" t="inlineStr">
        <is>
          <t>No</t>
        </is>
      </c>
      <c r="I1226" t="inlineStr">
        <is>
          <t>No</t>
        </is>
      </c>
      <c r="J1226" t="inlineStr">
        <is>
          <t>0</t>
        </is>
      </c>
      <c r="K1226" t="inlineStr">
        <is>
          <t>Benedict XVI, Pope, 1927-</t>
        </is>
      </c>
      <c r="L1226" t="inlineStr">
        <is>
          <t>San Francisco : Ignatius Press, c1992.</t>
        </is>
      </c>
      <c r="M1226" t="inlineStr">
        <is>
          <t>1992</t>
        </is>
      </c>
      <c r="O1226" t="inlineStr">
        <is>
          <t>eng</t>
        </is>
      </c>
      <c r="P1226" t="inlineStr">
        <is>
          <t>cau</t>
        </is>
      </c>
      <c r="R1226" t="inlineStr">
        <is>
          <t xml:space="preserve">BX </t>
        </is>
      </c>
      <c r="S1226" t="n">
        <v>2</v>
      </c>
      <c r="T1226" t="n">
        <v>2</v>
      </c>
      <c r="U1226" t="inlineStr">
        <is>
          <t>2005-06-08</t>
        </is>
      </c>
      <c r="V1226" t="inlineStr">
        <is>
          <t>2005-06-08</t>
        </is>
      </c>
      <c r="W1226" t="inlineStr">
        <is>
          <t>2005-06-08</t>
        </is>
      </c>
      <c r="X1226" t="inlineStr">
        <is>
          <t>2005-06-08</t>
        </is>
      </c>
      <c r="Y1226" t="n">
        <v>100</v>
      </c>
      <c r="Z1226" t="n">
        <v>88</v>
      </c>
      <c r="AA1226" t="n">
        <v>88</v>
      </c>
      <c r="AB1226" t="n">
        <v>1</v>
      </c>
      <c r="AC1226" t="n">
        <v>1</v>
      </c>
      <c r="AD1226" t="n">
        <v>13</v>
      </c>
      <c r="AE1226" t="n">
        <v>13</v>
      </c>
      <c r="AF1226" t="n">
        <v>4</v>
      </c>
      <c r="AG1226" t="n">
        <v>4</v>
      </c>
      <c r="AH1226" t="n">
        <v>4</v>
      </c>
      <c r="AI1226" t="n">
        <v>4</v>
      </c>
      <c r="AJ1226" t="n">
        <v>8</v>
      </c>
      <c r="AK1226" t="n">
        <v>8</v>
      </c>
      <c r="AL1226" t="n">
        <v>0</v>
      </c>
      <c r="AM1226" t="n">
        <v>0</v>
      </c>
      <c r="AN1226" t="n">
        <v>0</v>
      </c>
      <c r="AO1226" t="n">
        <v>0</v>
      </c>
      <c r="AP1226" t="inlineStr">
        <is>
          <t>No</t>
        </is>
      </c>
      <c r="AQ1226" t="inlineStr">
        <is>
          <t>No</t>
        </is>
      </c>
      <c r="AS1226">
        <f>HYPERLINK("https://creighton-primo.hosted.exlibrisgroup.com/primo-explore/search?tab=default_tab&amp;search_scope=EVERYTHING&amp;vid=01CRU&amp;lang=en_US&amp;offset=0&amp;query=any,contains,991004538609702656","Catalog Record")</f>
        <v/>
      </c>
      <c r="AT1226">
        <f>HYPERLINK("http://www.worldcat.org/oclc/26890273","WorldCat Record")</f>
        <v/>
      </c>
      <c r="AU1226" t="inlineStr">
        <is>
          <t>1151396240:eng</t>
        </is>
      </c>
      <c r="AV1226" t="inlineStr">
        <is>
          <t>26890273</t>
        </is>
      </c>
      <c r="AW1226" t="inlineStr">
        <is>
          <t>991004538609702656</t>
        </is>
      </c>
      <c r="AX1226" t="inlineStr">
        <is>
          <t>991004538609702656</t>
        </is>
      </c>
      <c r="AY1226" t="inlineStr">
        <is>
          <t>2270929550002656</t>
        </is>
      </c>
      <c r="AZ1226" t="inlineStr">
        <is>
          <t>BOOK</t>
        </is>
      </c>
      <c r="BB1226" t="inlineStr">
        <is>
          <t>9780898704099</t>
        </is>
      </c>
      <c r="BC1226" t="inlineStr">
        <is>
          <t>32285005093256</t>
        </is>
      </c>
      <c r="BD1226" t="inlineStr">
        <is>
          <t>893776129</t>
        </is>
      </c>
    </row>
    <row r="1227">
      <c r="A1227" t="inlineStr">
        <is>
          <t>No</t>
        </is>
      </c>
      <c r="B1227" t="inlineStr">
        <is>
          <t>BX2184 .W313</t>
        </is>
      </c>
      <c r="C1227" t="inlineStr">
        <is>
          <t>0                      BX 2184000W  313</t>
        </is>
      </c>
      <c r="D1227" t="inlineStr">
        <is>
          <t>Christian monism : meditations on Christian truths in the language of modern thought / by Eric Wasmann ; authorized translation with an introduction by Spencer Jones.</t>
        </is>
      </c>
      <c r="F1227" t="inlineStr">
        <is>
          <t>No</t>
        </is>
      </c>
      <c r="G1227" t="inlineStr">
        <is>
          <t>1</t>
        </is>
      </c>
      <c r="H1227" t="inlineStr">
        <is>
          <t>No</t>
        </is>
      </c>
      <c r="I1227" t="inlineStr">
        <is>
          <t>No</t>
        </is>
      </c>
      <c r="J1227" t="inlineStr">
        <is>
          <t>0</t>
        </is>
      </c>
      <c r="K1227" t="inlineStr">
        <is>
          <t>Wasmann, Erich, 1859-1931.</t>
        </is>
      </c>
      <c r="L1227" t="inlineStr">
        <is>
          <t>London : Burns, Oates, &amp; Washbourne, 1923.</t>
        </is>
      </c>
      <c r="M1227" t="inlineStr">
        <is>
          <t>1923</t>
        </is>
      </c>
      <c r="O1227" t="inlineStr">
        <is>
          <t>eng</t>
        </is>
      </c>
      <c r="P1227" t="inlineStr">
        <is>
          <t>enk</t>
        </is>
      </c>
      <c r="R1227" t="inlineStr">
        <is>
          <t xml:space="preserve">BX </t>
        </is>
      </c>
      <c r="S1227" t="n">
        <v>0</v>
      </c>
      <c r="T1227" t="n">
        <v>0</v>
      </c>
      <c r="U1227" t="inlineStr">
        <is>
          <t>2006-12-21</t>
        </is>
      </c>
      <c r="V1227" t="inlineStr">
        <is>
          <t>2006-12-21</t>
        </is>
      </c>
      <c r="W1227" t="inlineStr">
        <is>
          <t>1991-10-08</t>
        </is>
      </c>
      <c r="X1227" t="inlineStr">
        <is>
          <t>1991-10-08</t>
        </is>
      </c>
      <c r="Y1227" t="n">
        <v>34</v>
      </c>
      <c r="Z1227" t="n">
        <v>20</v>
      </c>
      <c r="AA1227" t="n">
        <v>59</v>
      </c>
      <c r="AB1227" t="n">
        <v>1</v>
      </c>
      <c r="AC1227" t="n">
        <v>1</v>
      </c>
      <c r="AD1227" t="n">
        <v>6</v>
      </c>
      <c r="AE1227" t="n">
        <v>16</v>
      </c>
      <c r="AF1227" t="n">
        <v>0</v>
      </c>
      <c r="AG1227" t="n">
        <v>1</v>
      </c>
      <c r="AH1227" t="n">
        <v>2</v>
      </c>
      <c r="AI1227" t="n">
        <v>7</v>
      </c>
      <c r="AJ1227" t="n">
        <v>5</v>
      </c>
      <c r="AK1227" t="n">
        <v>12</v>
      </c>
      <c r="AL1227" t="n">
        <v>0</v>
      </c>
      <c r="AM1227" t="n">
        <v>0</v>
      </c>
      <c r="AN1227" t="n">
        <v>0</v>
      </c>
      <c r="AO1227" t="n">
        <v>0</v>
      </c>
      <c r="AP1227" t="inlineStr">
        <is>
          <t>Yes</t>
        </is>
      </c>
      <c r="AQ1227" t="inlineStr">
        <is>
          <t>No</t>
        </is>
      </c>
      <c r="AR1227">
        <f>HYPERLINK("http://catalog.hathitrust.org/Record/001939143","HathiTrust Record")</f>
        <v/>
      </c>
      <c r="AS1227">
        <f>HYPERLINK("https://creighton-primo.hosted.exlibrisgroup.com/primo-explore/search?tab=default_tab&amp;search_scope=EVERYTHING&amp;vid=01CRU&amp;lang=en_US&amp;offset=0&amp;query=any,contains,991004871089702656","Catalog Record")</f>
        <v/>
      </c>
      <c r="AT1227">
        <f>HYPERLINK("http://www.worldcat.org/oclc/5753500","WorldCat Record")</f>
        <v/>
      </c>
      <c r="AU1227" t="inlineStr">
        <is>
          <t>12337103:eng</t>
        </is>
      </c>
      <c r="AV1227" t="inlineStr">
        <is>
          <t>5753500</t>
        </is>
      </c>
      <c r="AW1227" t="inlineStr">
        <is>
          <t>991004871089702656</t>
        </is>
      </c>
      <c r="AX1227" t="inlineStr">
        <is>
          <t>991004871089702656</t>
        </is>
      </c>
      <c r="AY1227" t="inlineStr">
        <is>
          <t>2266696160002656</t>
        </is>
      </c>
      <c r="AZ1227" t="inlineStr">
        <is>
          <t>BOOK</t>
        </is>
      </c>
      <c r="BC1227" t="inlineStr">
        <is>
          <t>32285000786763</t>
        </is>
      </c>
      <c r="BD1227" t="inlineStr">
        <is>
          <t>893625185</t>
        </is>
      </c>
    </row>
    <row r="1228">
      <c r="A1228" t="inlineStr">
        <is>
          <t>No</t>
        </is>
      </c>
      <c r="B1228" t="inlineStr">
        <is>
          <t>BX2185 .B4613 2007</t>
        </is>
      </c>
      <c r="C1228" t="inlineStr">
        <is>
          <t>0                      BX 2185000B  4613        2007</t>
        </is>
      </c>
      <c r="D1228" t="inlineStr">
        <is>
          <t>Spiritual thoughts : in the first year of his papacy / Benedict XVI.</t>
        </is>
      </c>
      <c r="F1228" t="inlineStr">
        <is>
          <t>No</t>
        </is>
      </c>
      <c r="G1228" t="inlineStr">
        <is>
          <t>1</t>
        </is>
      </c>
      <c r="H1228" t="inlineStr">
        <is>
          <t>No</t>
        </is>
      </c>
      <c r="I1228" t="inlineStr">
        <is>
          <t>No</t>
        </is>
      </c>
      <c r="J1228" t="inlineStr">
        <is>
          <t>0</t>
        </is>
      </c>
      <c r="K1228" t="inlineStr">
        <is>
          <t>Benedict XVI, Pope, 1927-</t>
        </is>
      </c>
      <c r="L1228" t="inlineStr">
        <is>
          <t>Washington, D.C. : United States Conference of Catholic Bishops, c2007.</t>
        </is>
      </c>
      <c r="M1228" t="inlineStr">
        <is>
          <t>2007</t>
        </is>
      </c>
      <c r="O1228" t="inlineStr">
        <is>
          <t>eng</t>
        </is>
      </c>
      <c r="P1228" t="inlineStr">
        <is>
          <t>dcu</t>
        </is>
      </c>
      <c r="Q1228" t="inlineStr">
        <is>
          <t>Publication / United States Conference of Catholic Bishops ; No. 5-765</t>
        </is>
      </c>
      <c r="R1228" t="inlineStr">
        <is>
          <t xml:space="preserve">BX </t>
        </is>
      </c>
      <c r="S1228" t="n">
        <v>3</v>
      </c>
      <c r="T1228" t="n">
        <v>3</v>
      </c>
      <c r="U1228" t="inlineStr">
        <is>
          <t>2007-12-05</t>
        </is>
      </c>
      <c r="V1228" t="inlineStr">
        <is>
          <t>2007-12-05</t>
        </is>
      </c>
      <c r="W1228" t="inlineStr">
        <is>
          <t>2007-05-10</t>
        </is>
      </c>
      <c r="X1228" t="inlineStr">
        <is>
          <t>2007-05-10</t>
        </is>
      </c>
      <c r="Y1228" t="n">
        <v>135</v>
      </c>
      <c r="Z1228" t="n">
        <v>128</v>
      </c>
      <c r="AA1228" t="n">
        <v>138</v>
      </c>
      <c r="AB1228" t="n">
        <v>1</v>
      </c>
      <c r="AC1228" t="n">
        <v>1</v>
      </c>
      <c r="AD1228" t="n">
        <v>16</v>
      </c>
      <c r="AE1228" t="n">
        <v>16</v>
      </c>
      <c r="AF1228" t="n">
        <v>4</v>
      </c>
      <c r="AG1228" t="n">
        <v>4</v>
      </c>
      <c r="AH1228" t="n">
        <v>4</v>
      </c>
      <c r="AI1228" t="n">
        <v>4</v>
      </c>
      <c r="AJ1228" t="n">
        <v>12</v>
      </c>
      <c r="AK1228" t="n">
        <v>12</v>
      </c>
      <c r="AL1228" t="n">
        <v>0</v>
      </c>
      <c r="AM1228" t="n">
        <v>0</v>
      </c>
      <c r="AN1228" t="n">
        <v>0</v>
      </c>
      <c r="AO1228" t="n">
        <v>0</v>
      </c>
      <c r="AP1228" t="inlineStr">
        <is>
          <t>No</t>
        </is>
      </c>
      <c r="AQ1228" t="inlineStr">
        <is>
          <t>No</t>
        </is>
      </c>
      <c r="AS1228">
        <f>HYPERLINK("https://creighton-primo.hosted.exlibrisgroup.com/primo-explore/search?tab=default_tab&amp;search_scope=EVERYTHING&amp;vid=01CRU&amp;lang=en_US&amp;offset=0&amp;query=any,contains,991005082629702656","Catalog Record")</f>
        <v/>
      </c>
      <c r="AT1228">
        <f>HYPERLINK("http://www.worldcat.org/oclc/123897581","WorldCat Record")</f>
        <v/>
      </c>
      <c r="AU1228" t="inlineStr">
        <is>
          <t>1059251555:eng</t>
        </is>
      </c>
      <c r="AV1228" t="inlineStr">
        <is>
          <t>123897581</t>
        </is>
      </c>
      <c r="AW1228" t="inlineStr">
        <is>
          <t>991005082629702656</t>
        </is>
      </c>
      <c r="AX1228" t="inlineStr">
        <is>
          <t>991005082629702656</t>
        </is>
      </c>
      <c r="AY1228" t="inlineStr">
        <is>
          <t>2255420270002656</t>
        </is>
      </c>
      <c r="AZ1228" t="inlineStr">
        <is>
          <t>BOOK</t>
        </is>
      </c>
      <c r="BB1228" t="inlineStr">
        <is>
          <t>9781574557657</t>
        </is>
      </c>
      <c r="BC1228" t="inlineStr">
        <is>
          <t>32285005311807</t>
        </is>
      </c>
      <c r="BD1228" t="inlineStr">
        <is>
          <t>893526867</t>
        </is>
      </c>
    </row>
    <row r="1229">
      <c r="A1229" t="inlineStr">
        <is>
          <t>No</t>
        </is>
      </c>
      <c r="B1229" t="inlineStr">
        <is>
          <t>BX2185 .C3213 1974</t>
        </is>
      </c>
      <c r="C1229" t="inlineStr">
        <is>
          <t>0                      BX 2185000C  3213        1974</t>
        </is>
      </c>
      <c r="D1229" t="inlineStr">
        <is>
          <t>The God who comes / Carlo Carretto. Translated by Rose Mary Hancock.</t>
        </is>
      </c>
      <c r="F1229" t="inlineStr">
        <is>
          <t>No</t>
        </is>
      </c>
      <c r="G1229" t="inlineStr">
        <is>
          <t>1</t>
        </is>
      </c>
      <c r="H1229" t="inlineStr">
        <is>
          <t>No</t>
        </is>
      </c>
      <c r="I1229" t="inlineStr">
        <is>
          <t>No</t>
        </is>
      </c>
      <c r="J1229" t="inlineStr">
        <is>
          <t>0</t>
        </is>
      </c>
      <c r="K1229" t="inlineStr">
        <is>
          <t>Carretto, Carlo.</t>
        </is>
      </c>
      <c r="L1229" t="inlineStr">
        <is>
          <t>Maryknoll, N.Y. : Orbis Books, [1974]</t>
        </is>
      </c>
      <c r="M1229" t="inlineStr">
        <is>
          <t>1974</t>
        </is>
      </c>
      <c r="O1229" t="inlineStr">
        <is>
          <t>eng</t>
        </is>
      </c>
      <c r="P1229" t="inlineStr">
        <is>
          <t>nyu</t>
        </is>
      </c>
      <c r="R1229" t="inlineStr">
        <is>
          <t xml:space="preserve">BX </t>
        </is>
      </c>
      <c r="S1229" t="n">
        <v>1</v>
      </c>
      <c r="T1229" t="n">
        <v>1</v>
      </c>
      <c r="U1229" t="inlineStr">
        <is>
          <t>2001-08-28</t>
        </is>
      </c>
      <c r="V1229" t="inlineStr">
        <is>
          <t>2001-08-28</t>
        </is>
      </c>
      <c r="W1229" t="inlineStr">
        <is>
          <t>1991-10-08</t>
        </is>
      </c>
      <c r="X1229" t="inlineStr">
        <is>
          <t>1991-10-08</t>
        </is>
      </c>
      <c r="Y1229" t="n">
        <v>231</v>
      </c>
      <c r="Z1229" t="n">
        <v>220</v>
      </c>
      <c r="AA1229" t="n">
        <v>230</v>
      </c>
      <c r="AB1229" t="n">
        <v>2</v>
      </c>
      <c r="AC1229" t="n">
        <v>2</v>
      </c>
      <c r="AD1229" t="n">
        <v>26</v>
      </c>
      <c r="AE1229" t="n">
        <v>27</v>
      </c>
      <c r="AF1229" t="n">
        <v>7</v>
      </c>
      <c r="AG1229" t="n">
        <v>8</v>
      </c>
      <c r="AH1229" t="n">
        <v>6</v>
      </c>
      <c r="AI1229" t="n">
        <v>6</v>
      </c>
      <c r="AJ1229" t="n">
        <v>21</v>
      </c>
      <c r="AK1229" t="n">
        <v>22</v>
      </c>
      <c r="AL1229" t="n">
        <v>0</v>
      </c>
      <c r="AM1229" t="n">
        <v>0</v>
      </c>
      <c r="AN1229" t="n">
        <v>0</v>
      </c>
      <c r="AO1229" t="n">
        <v>0</v>
      </c>
      <c r="AP1229" t="inlineStr">
        <is>
          <t>No</t>
        </is>
      </c>
      <c r="AQ1229" t="inlineStr">
        <is>
          <t>Yes</t>
        </is>
      </c>
      <c r="AR1229">
        <f>HYPERLINK("http://catalog.hathitrust.org/Record/006019653","HathiTrust Record")</f>
        <v/>
      </c>
      <c r="AS1229">
        <f>HYPERLINK("https://creighton-primo.hosted.exlibrisgroup.com/primo-explore/search?tab=default_tab&amp;search_scope=EVERYTHING&amp;vid=01CRU&amp;lang=en_US&amp;offset=0&amp;query=any,contains,991003400729702656","Catalog Record")</f>
        <v/>
      </c>
      <c r="AT1229">
        <f>HYPERLINK("http://www.worldcat.org/oclc/940412","WorldCat Record")</f>
        <v/>
      </c>
      <c r="AU1229" t="inlineStr">
        <is>
          <t>422904881:eng</t>
        </is>
      </c>
      <c r="AV1229" t="inlineStr">
        <is>
          <t>940412</t>
        </is>
      </c>
      <c r="AW1229" t="inlineStr">
        <is>
          <t>991003400729702656</t>
        </is>
      </c>
      <c r="AX1229" t="inlineStr">
        <is>
          <t>991003400729702656</t>
        </is>
      </c>
      <c r="AY1229" t="inlineStr">
        <is>
          <t>2261335360002656</t>
        </is>
      </c>
      <c r="AZ1229" t="inlineStr">
        <is>
          <t>BOOK</t>
        </is>
      </c>
      <c r="BB1229" t="inlineStr">
        <is>
          <t>9780883441640</t>
        </is>
      </c>
      <c r="BC1229" t="inlineStr">
        <is>
          <t>32285000786789</t>
        </is>
      </c>
      <c r="BD1229" t="inlineStr">
        <is>
          <t>893686520</t>
        </is>
      </c>
    </row>
    <row r="1230">
      <c r="A1230" t="inlineStr">
        <is>
          <t>No</t>
        </is>
      </c>
      <c r="B1230" t="inlineStr">
        <is>
          <t>BX2185 .C3313 1989</t>
        </is>
      </c>
      <c r="C1230" t="inlineStr">
        <is>
          <t>0                      BX 2185000C  3313        1989</t>
        </is>
      </c>
      <c r="D1230" t="inlineStr">
        <is>
          <t>Journey without end / Carlo Carretto ; translated by Alan Neame.</t>
        </is>
      </c>
      <c r="F1230" t="inlineStr">
        <is>
          <t>No</t>
        </is>
      </c>
      <c r="G1230" t="inlineStr">
        <is>
          <t>1</t>
        </is>
      </c>
      <c r="H1230" t="inlineStr">
        <is>
          <t>No</t>
        </is>
      </c>
      <c r="I1230" t="inlineStr">
        <is>
          <t>No</t>
        </is>
      </c>
      <c r="J1230" t="inlineStr">
        <is>
          <t>0</t>
        </is>
      </c>
      <c r="K1230" t="inlineStr">
        <is>
          <t>Carretto, Carlo.</t>
        </is>
      </c>
      <c r="L1230" t="inlineStr">
        <is>
          <t>Notre Dame, Ind. : Ave Maria Press, 1989.</t>
        </is>
      </c>
      <c r="M1230" t="inlineStr">
        <is>
          <t>1989</t>
        </is>
      </c>
      <c r="O1230" t="inlineStr">
        <is>
          <t>eng</t>
        </is>
      </c>
      <c r="P1230" t="inlineStr">
        <is>
          <t>inu</t>
        </is>
      </c>
      <c r="R1230" t="inlineStr">
        <is>
          <t xml:space="preserve">BX </t>
        </is>
      </c>
      <c r="S1230" t="n">
        <v>1</v>
      </c>
      <c r="T1230" t="n">
        <v>1</v>
      </c>
      <c r="U1230" t="inlineStr">
        <is>
          <t>2001-08-28</t>
        </is>
      </c>
      <c r="V1230" t="inlineStr">
        <is>
          <t>2001-08-28</t>
        </is>
      </c>
      <c r="W1230" t="inlineStr">
        <is>
          <t>1990-07-30</t>
        </is>
      </c>
      <c r="X1230" t="inlineStr">
        <is>
          <t>1990-07-30</t>
        </is>
      </c>
      <c r="Y1230" t="n">
        <v>117</v>
      </c>
      <c r="Z1230" t="n">
        <v>107</v>
      </c>
      <c r="AA1230" t="n">
        <v>126</v>
      </c>
      <c r="AB1230" t="n">
        <v>2</v>
      </c>
      <c r="AC1230" t="n">
        <v>2</v>
      </c>
      <c r="AD1230" t="n">
        <v>6</v>
      </c>
      <c r="AE1230" t="n">
        <v>7</v>
      </c>
      <c r="AF1230" t="n">
        <v>2</v>
      </c>
      <c r="AG1230" t="n">
        <v>2</v>
      </c>
      <c r="AH1230" t="n">
        <v>0</v>
      </c>
      <c r="AI1230" t="n">
        <v>0</v>
      </c>
      <c r="AJ1230" t="n">
        <v>6</v>
      </c>
      <c r="AK1230" t="n">
        <v>7</v>
      </c>
      <c r="AL1230" t="n">
        <v>0</v>
      </c>
      <c r="AM1230" t="n">
        <v>0</v>
      </c>
      <c r="AN1230" t="n">
        <v>0</v>
      </c>
      <c r="AO1230" t="n">
        <v>0</v>
      </c>
      <c r="AP1230" t="inlineStr">
        <is>
          <t>No</t>
        </is>
      </c>
      <c r="AQ1230" t="inlineStr">
        <is>
          <t>No</t>
        </is>
      </c>
      <c r="AS1230">
        <f>HYPERLINK("https://creighton-primo.hosted.exlibrisgroup.com/primo-explore/search?tab=default_tab&amp;search_scope=EVERYTHING&amp;vid=01CRU&amp;lang=en_US&amp;offset=0&amp;query=any,contains,991001479549702656","Catalog Record")</f>
        <v/>
      </c>
      <c r="AT1230">
        <f>HYPERLINK("http://www.worldcat.org/oclc/19616334","WorldCat Record")</f>
        <v/>
      </c>
      <c r="AU1230" t="inlineStr">
        <is>
          <t>18373835:eng</t>
        </is>
      </c>
      <c r="AV1230" t="inlineStr">
        <is>
          <t>19616334</t>
        </is>
      </c>
      <c r="AW1230" t="inlineStr">
        <is>
          <t>991001479549702656</t>
        </is>
      </c>
      <c r="AX1230" t="inlineStr">
        <is>
          <t>991001479549702656</t>
        </is>
      </c>
      <c r="AY1230" t="inlineStr">
        <is>
          <t>2257529830002656</t>
        </is>
      </c>
      <c r="AZ1230" t="inlineStr">
        <is>
          <t>BOOK</t>
        </is>
      </c>
      <c r="BB1230" t="inlineStr">
        <is>
          <t>9780877933984</t>
        </is>
      </c>
      <c r="BC1230" t="inlineStr">
        <is>
          <t>32285000229111</t>
        </is>
      </c>
      <c r="BD1230" t="inlineStr">
        <is>
          <t>893866265</t>
        </is>
      </c>
    </row>
    <row r="1231">
      <c r="A1231" t="inlineStr">
        <is>
          <t>No</t>
        </is>
      </c>
      <c r="B1231" t="inlineStr">
        <is>
          <t>BX2185 .C3513 1978</t>
        </is>
      </c>
      <c r="C1231" t="inlineStr">
        <is>
          <t>0                      BX 2185000C  3513        1978</t>
        </is>
      </c>
      <c r="D1231" t="inlineStr">
        <is>
          <t>Summoned by love / Carlo Carretto : translated by Alan Neame. --</t>
        </is>
      </c>
      <c r="F1231" t="inlineStr">
        <is>
          <t>No</t>
        </is>
      </c>
      <c r="G1231" t="inlineStr">
        <is>
          <t>1</t>
        </is>
      </c>
      <c r="H1231" t="inlineStr">
        <is>
          <t>No</t>
        </is>
      </c>
      <c r="I1231" t="inlineStr">
        <is>
          <t>No</t>
        </is>
      </c>
      <c r="J1231" t="inlineStr">
        <is>
          <t>0</t>
        </is>
      </c>
      <c r="K1231" t="inlineStr">
        <is>
          <t>Carretto, Carlo.</t>
        </is>
      </c>
      <c r="L1231" t="inlineStr">
        <is>
          <t>Maryknoll, N.Y. : Orbis Books, 1978.</t>
        </is>
      </c>
      <c r="M1231" t="inlineStr">
        <is>
          <t>1978</t>
        </is>
      </c>
      <c r="O1231" t="inlineStr">
        <is>
          <t>eng</t>
        </is>
      </c>
      <c r="P1231" t="inlineStr">
        <is>
          <t>nyu</t>
        </is>
      </c>
      <c r="R1231" t="inlineStr">
        <is>
          <t xml:space="preserve">BX </t>
        </is>
      </c>
      <c r="S1231" t="n">
        <v>1</v>
      </c>
      <c r="T1231" t="n">
        <v>1</v>
      </c>
      <c r="U1231" t="inlineStr">
        <is>
          <t>2001-08-28</t>
        </is>
      </c>
      <c r="V1231" t="inlineStr">
        <is>
          <t>2001-08-28</t>
        </is>
      </c>
      <c r="W1231" t="inlineStr">
        <is>
          <t>1991-10-08</t>
        </is>
      </c>
      <c r="X1231" t="inlineStr">
        <is>
          <t>1991-10-08</t>
        </is>
      </c>
      <c r="Y1231" t="n">
        <v>182</v>
      </c>
      <c r="Z1231" t="n">
        <v>168</v>
      </c>
      <c r="AA1231" t="n">
        <v>185</v>
      </c>
      <c r="AB1231" t="n">
        <v>3</v>
      </c>
      <c r="AC1231" t="n">
        <v>3</v>
      </c>
      <c r="AD1231" t="n">
        <v>17</v>
      </c>
      <c r="AE1231" t="n">
        <v>17</v>
      </c>
      <c r="AF1231" t="n">
        <v>3</v>
      </c>
      <c r="AG1231" t="n">
        <v>3</v>
      </c>
      <c r="AH1231" t="n">
        <v>5</v>
      </c>
      <c r="AI1231" t="n">
        <v>5</v>
      </c>
      <c r="AJ1231" t="n">
        <v>12</v>
      </c>
      <c r="AK1231" t="n">
        <v>12</v>
      </c>
      <c r="AL1231" t="n">
        <v>1</v>
      </c>
      <c r="AM1231" t="n">
        <v>1</v>
      </c>
      <c r="AN1231" t="n">
        <v>0</v>
      </c>
      <c r="AO1231" t="n">
        <v>0</v>
      </c>
      <c r="AP1231" t="inlineStr">
        <is>
          <t>No</t>
        </is>
      </c>
      <c r="AQ1231" t="inlineStr">
        <is>
          <t>No</t>
        </is>
      </c>
      <c r="AS1231">
        <f>HYPERLINK("https://creighton-primo.hosted.exlibrisgroup.com/primo-explore/search?tab=default_tab&amp;search_scope=EVERYTHING&amp;vid=01CRU&amp;lang=en_US&amp;offset=0&amp;query=any,contains,991004480199702656","Catalog Record")</f>
        <v/>
      </c>
      <c r="AT1231">
        <f>HYPERLINK("http://www.worldcat.org/oclc/3627226","WorldCat Record")</f>
        <v/>
      </c>
      <c r="AU1231" t="inlineStr">
        <is>
          <t>18112609:eng</t>
        </is>
      </c>
      <c r="AV1231" t="inlineStr">
        <is>
          <t>3627226</t>
        </is>
      </c>
      <c r="AW1231" t="inlineStr">
        <is>
          <t>991004480199702656</t>
        </is>
      </c>
      <c r="AX1231" t="inlineStr">
        <is>
          <t>991004480199702656</t>
        </is>
      </c>
      <c r="AY1231" t="inlineStr">
        <is>
          <t>2269329340002656</t>
        </is>
      </c>
      <c r="AZ1231" t="inlineStr">
        <is>
          <t>BOOK</t>
        </is>
      </c>
      <c r="BB1231" t="inlineStr">
        <is>
          <t>9780883444702</t>
        </is>
      </c>
      <c r="BC1231" t="inlineStr">
        <is>
          <t>32285000786805</t>
        </is>
      </c>
      <c r="BD1231" t="inlineStr">
        <is>
          <t>893247625</t>
        </is>
      </c>
    </row>
    <row r="1232">
      <c r="A1232" t="inlineStr">
        <is>
          <t>No</t>
        </is>
      </c>
      <c r="B1232" t="inlineStr">
        <is>
          <t>BX2186 .C21813 1981</t>
        </is>
      </c>
      <c r="C1232" t="inlineStr">
        <is>
          <t>0                      BX 2186000C  21813       1981</t>
        </is>
      </c>
      <c r="D1232" t="inlineStr">
        <is>
          <t>A thousand reasons for living / Dom Helder Camara ; edited by José de Broucker; translated by Alan Neame.</t>
        </is>
      </c>
      <c r="F1232" t="inlineStr">
        <is>
          <t>No</t>
        </is>
      </c>
      <c r="G1232" t="inlineStr">
        <is>
          <t>1</t>
        </is>
      </c>
      <c r="H1232" t="inlineStr">
        <is>
          <t>No</t>
        </is>
      </c>
      <c r="I1232" t="inlineStr">
        <is>
          <t>No</t>
        </is>
      </c>
      <c r="J1232" t="inlineStr">
        <is>
          <t>0</t>
        </is>
      </c>
      <c r="K1232" t="inlineStr">
        <is>
          <t>Câmara, Hélder, 1909-1999.</t>
        </is>
      </c>
      <c r="L1232" t="inlineStr">
        <is>
          <t>Philadelphia : Fortress Press, c1981.</t>
        </is>
      </c>
      <c r="M1232" t="inlineStr">
        <is>
          <t>1981</t>
        </is>
      </c>
      <c r="O1232" t="inlineStr">
        <is>
          <t>eng</t>
        </is>
      </c>
      <c r="P1232" t="inlineStr">
        <is>
          <t>pau</t>
        </is>
      </c>
      <c r="R1232" t="inlineStr">
        <is>
          <t xml:space="preserve">BX </t>
        </is>
      </c>
      <c r="S1232" t="n">
        <v>5</v>
      </c>
      <c r="T1232" t="n">
        <v>5</v>
      </c>
      <c r="U1232" t="inlineStr">
        <is>
          <t>2007-11-07</t>
        </is>
      </c>
      <c r="V1232" t="inlineStr">
        <is>
          <t>2007-11-07</t>
        </is>
      </c>
      <c r="W1232" t="inlineStr">
        <is>
          <t>1991-10-08</t>
        </is>
      </c>
      <c r="X1232" t="inlineStr">
        <is>
          <t>1991-10-08</t>
        </is>
      </c>
      <c r="Y1232" t="n">
        <v>217</v>
      </c>
      <c r="Z1232" t="n">
        <v>194</v>
      </c>
      <c r="AA1232" t="n">
        <v>207</v>
      </c>
      <c r="AB1232" t="n">
        <v>1</v>
      </c>
      <c r="AC1232" t="n">
        <v>1</v>
      </c>
      <c r="AD1232" t="n">
        <v>13</v>
      </c>
      <c r="AE1232" t="n">
        <v>13</v>
      </c>
      <c r="AF1232" t="n">
        <v>2</v>
      </c>
      <c r="AG1232" t="n">
        <v>2</v>
      </c>
      <c r="AH1232" t="n">
        <v>5</v>
      </c>
      <c r="AI1232" t="n">
        <v>5</v>
      </c>
      <c r="AJ1232" t="n">
        <v>8</v>
      </c>
      <c r="AK1232" t="n">
        <v>8</v>
      </c>
      <c r="AL1232" t="n">
        <v>0</v>
      </c>
      <c r="AM1232" t="n">
        <v>0</v>
      </c>
      <c r="AN1232" t="n">
        <v>0</v>
      </c>
      <c r="AO1232" t="n">
        <v>0</v>
      </c>
      <c r="AP1232" t="inlineStr">
        <is>
          <t>No</t>
        </is>
      </c>
      <c r="AQ1232" t="inlineStr">
        <is>
          <t>Yes</t>
        </is>
      </c>
      <c r="AR1232">
        <f>HYPERLINK("http://catalog.hathitrust.org/Record/101913430","HathiTrust Record")</f>
        <v/>
      </c>
      <c r="AS1232">
        <f>HYPERLINK("https://creighton-primo.hosted.exlibrisgroup.com/primo-explore/search?tab=default_tab&amp;search_scope=EVERYTHING&amp;vid=01CRU&amp;lang=en_US&amp;offset=0&amp;query=any,contains,991005139449702656","Catalog Record")</f>
        <v/>
      </c>
      <c r="AT1232">
        <f>HYPERLINK("http://www.worldcat.org/oclc/7597337","WorldCat Record")</f>
        <v/>
      </c>
      <c r="AU1232" t="inlineStr">
        <is>
          <t>2452768437:eng</t>
        </is>
      </c>
      <c r="AV1232" t="inlineStr">
        <is>
          <t>7597337</t>
        </is>
      </c>
      <c r="AW1232" t="inlineStr">
        <is>
          <t>991005139449702656</t>
        </is>
      </c>
      <c r="AX1232" t="inlineStr">
        <is>
          <t>991005139449702656</t>
        </is>
      </c>
      <c r="AY1232" t="inlineStr">
        <is>
          <t>2255015960002656</t>
        </is>
      </c>
      <c r="AZ1232" t="inlineStr">
        <is>
          <t>BOOK</t>
        </is>
      </c>
      <c r="BB1232" t="inlineStr">
        <is>
          <t>9780800606640</t>
        </is>
      </c>
      <c r="BC1232" t="inlineStr">
        <is>
          <t>32285000786821</t>
        </is>
      </c>
      <c r="BD1232" t="inlineStr">
        <is>
          <t>893338573</t>
        </is>
      </c>
    </row>
    <row r="1233">
      <c r="A1233" t="inlineStr">
        <is>
          <t>No</t>
        </is>
      </c>
      <c r="B1233" t="inlineStr">
        <is>
          <t>BX2186 .C26813 1972</t>
        </is>
      </c>
      <c r="C1233" t="inlineStr">
        <is>
          <t>0                      BX 2186000C  26813       1972</t>
        </is>
      </c>
      <c r="D1233" t="inlineStr">
        <is>
          <t>To live is to love / Ernesto Cardenal. Translated by Kurt Reinhardt.</t>
        </is>
      </c>
      <c r="F1233" t="inlineStr">
        <is>
          <t>No</t>
        </is>
      </c>
      <c r="G1233" t="inlineStr">
        <is>
          <t>1</t>
        </is>
      </c>
      <c r="H1233" t="inlineStr">
        <is>
          <t>No</t>
        </is>
      </c>
      <c r="I1233" t="inlineStr">
        <is>
          <t>Yes</t>
        </is>
      </c>
      <c r="J1233" t="inlineStr">
        <is>
          <t>0</t>
        </is>
      </c>
      <c r="K1233" t="inlineStr">
        <is>
          <t>Cardenal, Ernesto.</t>
        </is>
      </c>
      <c r="L1233" t="inlineStr">
        <is>
          <t>New York : Herder and Herder, [1972]</t>
        </is>
      </c>
      <c r="M1233" t="inlineStr">
        <is>
          <t>1972</t>
        </is>
      </c>
      <c r="O1233" t="inlineStr">
        <is>
          <t>eng</t>
        </is>
      </c>
      <c r="P1233" t="inlineStr">
        <is>
          <t>nyu</t>
        </is>
      </c>
      <c r="R1233" t="inlineStr">
        <is>
          <t xml:space="preserve">BX </t>
        </is>
      </c>
      <c r="S1233" t="n">
        <v>3</v>
      </c>
      <c r="T1233" t="n">
        <v>3</v>
      </c>
      <c r="U1233" t="inlineStr">
        <is>
          <t>1994-10-04</t>
        </is>
      </c>
      <c r="V1233" t="inlineStr">
        <is>
          <t>1994-10-04</t>
        </is>
      </c>
      <c r="W1233" t="inlineStr">
        <is>
          <t>1991-10-08</t>
        </is>
      </c>
      <c r="X1233" t="inlineStr">
        <is>
          <t>1991-10-08</t>
        </is>
      </c>
      <c r="Y1233" t="n">
        <v>262</v>
      </c>
      <c r="Z1233" t="n">
        <v>246</v>
      </c>
      <c r="AA1233" t="n">
        <v>415</v>
      </c>
      <c r="AB1233" t="n">
        <v>3</v>
      </c>
      <c r="AC1233" t="n">
        <v>3</v>
      </c>
      <c r="AD1233" t="n">
        <v>21</v>
      </c>
      <c r="AE1233" t="n">
        <v>30</v>
      </c>
      <c r="AF1233" t="n">
        <v>5</v>
      </c>
      <c r="AG1233" t="n">
        <v>10</v>
      </c>
      <c r="AH1233" t="n">
        <v>6</v>
      </c>
      <c r="AI1233" t="n">
        <v>8</v>
      </c>
      <c r="AJ1233" t="n">
        <v>15</v>
      </c>
      <c r="AK1233" t="n">
        <v>20</v>
      </c>
      <c r="AL1233" t="n">
        <v>1</v>
      </c>
      <c r="AM1233" t="n">
        <v>1</v>
      </c>
      <c r="AN1233" t="n">
        <v>0</v>
      </c>
      <c r="AO1233" t="n">
        <v>0</v>
      </c>
      <c r="AP1233" t="inlineStr">
        <is>
          <t>No</t>
        </is>
      </c>
      <c r="AQ1233" t="inlineStr">
        <is>
          <t>Yes</t>
        </is>
      </c>
      <c r="AR1233">
        <f>HYPERLINK("http://catalog.hathitrust.org/Record/001416849","HathiTrust Record")</f>
        <v/>
      </c>
      <c r="AS1233">
        <f>HYPERLINK("https://creighton-primo.hosted.exlibrisgroup.com/primo-explore/search?tab=default_tab&amp;search_scope=EVERYTHING&amp;vid=01CRU&amp;lang=en_US&amp;offset=0&amp;query=any,contains,991002003149702656","Catalog Record")</f>
        <v/>
      </c>
      <c r="AT1233">
        <f>HYPERLINK("http://www.worldcat.org/oclc/257168","WorldCat Record")</f>
        <v/>
      </c>
      <c r="AU1233" t="inlineStr">
        <is>
          <t>478727076:eng</t>
        </is>
      </c>
      <c r="AV1233" t="inlineStr">
        <is>
          <t>257168</t>
        </is>
      </c>
      <c r="AW1233" t="inlineStr">
        <is>
          <t>991002003149702656</t>
        </is>
      </c>
      <c r="AX1233" t="inlineStr">
        <is>
          <t>991002003149702656</t>
        </is>
      </c>
      <c r="AY1233" t="inlineStr">
        <is>
          <t>2269969590002656</t>
        </is>
      </c>
      <c r="AZ1233" t="inlineStr">
        <is>
          <t>BOOK</t>
        </is>
      </c>
      <c r="BB1233" t="inlineStr">
        <is>
          <t>9780665000027</t>
        </is>
      </c>
      <c r="BC1233" t="inlineStr">
        <is>
          <t>32285000786839</t>
        </is>
      </c>
      <c r="BD1233" t="inlineStr">
        <is>
          <t>893328569</t>
        </is>
      </c>
    </row>
    <row r="1234">
      <c r="A1234" t="inlineStr">
        <is>
          <t>No</t>
        </is>
      </c>
      <c r="B1234" t="inlineStr">
        <is>
          <t>BX2186 .P8 1893</t>
        </is>
      </c>
      <c r="C1234" t="inlineStr">
        <is>
          <t>0                      BX 2186000P  8           1893</t>
        </is>
      </c>
      <c r="D1234" t="inlineStr">
        <is>
          <t>The lights in prayer of the Venerable Father Louis de la Puente, Claude de la Colombiere and the Rev. Father Paul Segneri.</t>
        </is>
      </c>
      <c r="F1234" t="inlineStr">
        <is>
          <t>No</t>
        </is>
      </c>
      <c r="G1234" t="inlineStr">
        <is>
          <t>1</t>
        </is>
      </c>
      <c r="H1234" t="inlineStr">
        <is>
          <t>No</t>
        </is>
      </c>
      <c r="I1234" t="inlineStr">
        <is>
          <t>No</t>
        </is>
      </c>
      <c r="J1234" t="inlineStr">
        <is>
          <t>0</t>
        </is>
      </c>
      <c r="L1234" t="inlineStr">
        <is>
          <t>London : Burns &amp; Oates, 1893.</t>
        </is>
      </c>
      <c r="M1234" t="inlineStr">
        <is>
          <t>1893</t>
        </is>
      </c>
      <c r="O1234" t="inlineStr">
        <is>
          <t>eng</t>
        </is>
      </c>
      <c r="P1234" t="inlineStr">
        <is>
          <t>enk</t>
        </is>
      </c>
      <c r="R1234" t="inlineStr">
        <is>
          <t xml:space="preserve">BX </t>
        </is>
      </c>
      <c r="S1234" t="n">
        <v>0</v>
      </c>
      <c r="T1234" t="n">
        <v>0</v>
      </c>
      <c r="U1234" t="inlineStr">
        <is>
          <t>2002-01-17</t>
        </is>
      </c>
      <c r="V1234" t="inlineStr">
        <is>
          <t>2002-01-17</t>
        </is>
      </c>
      <c r="W1234" t="inlineStr">
        <is>
          <t>1991-10-08</t>
        </is>
      </c>
      <c r="X1234" t="inlineStr">
        <is>
          <t>1991-10-08</t>
        </is>
      </c>
      <c r="Y1234" t="n">
        <v>13</v>
      </c>
      <c r="Z1234" t="n">
        <v>11</v>
      </c>
      <c r="AA1234" t="n">
        <v>11</v>
      </c>
      <c r="AB1234" t="n">
        <v>1</v>
      </c>
      <c r="AC1234" t="n">
        <v>1</v>
      </c>
      <c r="AD1234" t="n">
        <v>4</v>
      </c>
      <c r="AE1234" t="n">
        <v>4</v>
      </c>
      <c r="AF1234" t="n">
        <v>0</v>
      </c>
      <c r="AG1234" t="n">
        <v>0</v>
      </c>
      <c r="AH1234" t="n">
        <v>1</v>
      </c>
      <c r="AI1234" t="n">
        <v>1</v>
      </c>
      <c r="AJ1234" t="n">
        <v>4</v>
      </c>
      <c r="AK1234" t="n">
        <v>4</v>
      </c>
      <c r="AL1234" t="n">
        <v>0</v>
      </c>
      <c r="AM1234" t="n">
        <v>0</v>
      </c>
      <c r="AN1234" t="n">
        <v>0</v>
      </c>
      <c r="AO1234" t="n">
        <v>0</v>
      </c>
      <c r="AP1234" t="inlineStr">
        <is>
          <t>No</t>
        </is>
      </c>
      <c r="AQ1234" t="inlineStr">
        <is>
          <t>No</t>
        </is>
      </c>
      <c r="AS1234">
        <f>HYPERLINK("https://creighton-primo.hosted.exlibrisgroup.com/primo-explore/search?tab=default_tab&amp;search_scope=EVERYTHING&amp;vid=01CRU&amp;lang=en_US&amp;offset=0&amp;query=any,contains,991000847309702656","Catalog Record")</f>
        <v/>
      </c>
      <c r="AT1234">
        <f>HYPERLINK("http://www.worldcat.org/oclc/13569153","WorldCat Record")</f>
        <v/>
      </c>
      <c r="AU1234" t="inlineStr">
        <is>
          <t>5609014267:eng</t>
        </is>
      </c>
      <c r="AV1234" t="inlineStr">
        <is>
          <t>13569153</t>
        </is>
      </c>
      <c r="AW1234" t="inlineStr">
        <is>
          <t>991000847309702656</t>
        </is>
      </c>
      <c r="AX1234" t="inlineStr">
        <is>
          <t>991000847309702656</t>
        </is>
      </c>
      <c r="AY1234" t="inlineStr">
        <is>
          <t>2259297920002656</t>
        </is>
      </c>
      <c r="AZ1234" t="inlineStr">
        <is>
          <t>BOOK</t>
        </is>
      </c>
      <c r="BC1234" t="inlineStr">
        <is>
          <t>32285000786912</t>
        </is>
      </c>
      <c r="BD1234" t="inlineStr">
        <is>
          <t>893884816</t>
        </is>
      </c>
    </row>
    <row r="1235">
      <c r="A1235" t="inlineStr">
        <is>
          <t>No</t>
        </is>
      </c>
      <c r="B1235" t="inlineStr">
        <is>
          <t>BX2188.J5 P73 1961</t>
        </is>
      </c>
      <c r="C1235" t="inlineStr">
        <is>
          <t>0                      BX 2188000J  5                  P  73          1961</t>
        </is>
      </c>
      <c r="D1235" t="inlineStr">
        <is>
          <t>Practical meditations for every day in the year on the life of Our Lord Jesus Christ / composed chiefly for the use of religious by a Father of the Society of Jesus.</t>
        </is>
      </c>
      <c r="F1235" t="inlineStr">
        <is>
          <t>No</t>
        </is>
      </c>
      <c r="G1235" t="inlineStr">
        <is>
          <t>1</t>
        </is>
      </c>
      <c r="H1235" t="inlineStr">
        <is>
          <t>No</t>
        </is>
      </c>
      <c r="I1235" t="inlineStr">
        <is>
          <t>No</t>
        </is>
      </c>
      <c r="J1235" t="inlineStr">
        <is>
          <t>0</t>
        </is>
      </c>
      <c r="L1235" t="inlineStr">
        <is>
          <t>Springfield, Ill. : Templegate, 1961.</t>
        </is>
      </c>
      <c r="M1235" t="inlineStr">
        <is>
          <t>1961</t>
        </is>
      </c>
      <c r="N1235" t="inlineStr">
        <is>
          <t>Rev. ed.</t>
        </is>
      </c>
      <c r="O1235" t="inlineStr">
        <is>
          <t>eng</t>
        </is>
      </c>
      <c r="P1235" t="inlineStr">
        <is>
          <t>ilu</t>
        </is>
      </c>
      <c r="R1235" t="inlineStr">
        <is>
          <t xml:space="preserve">BX </t>
        </is>
      </c>
      <c r="S1235" t="n">
        <v>2</v>
      </c>
      <c r="T1235" t="n">
        <v>2</v>
      </c>
      <c r="U1235" t="inlineStr">
        <is>
          <t>2009-06-08</t>
        </is>
      </c>
      <c r="V1235" t="inlineStr">
        <is>
          <t>2009-06-08</t>
        </is>
      </c>
      <c r="W1235" t="inlineStr">
        <is>
          <t>1991-10-08</t>
        </is>
      </c>
      <c r="X1235" t="inlineStr">
        <is>
          <t>1991-10-08</t>
        </is>
      </c>
      <c r="Y1235" t="n">
        <v>20</v>
      </c>
      <c r="Z1235" t="n">
        <v>20</v>
      </c>
      <c r="AA1235" t="n">
        <v>38</v>
      </c>
      <c r="AB1235" t="n">
        <v>1</v>
      </c>
      <c r="AC1235" t="n">
        <v>1</v>
      </c>
      <c r="AD1235" t="n">
        <v>4</v>
      </c>
      <c r="AE1235" t="n">
        <v>4</v>
      </c>
      <c r="AF1235" t="n">
        <v>1</v>
      </c>
      <c r="AG1235" t="n">
        <v>1</v>
      </c>
      <c r="AH1235" t="n">
        <v>1</v>
      </c>
      <c r="AI1235" t="n">
        <v>1</v>
      </c>
      <c r="AJ1235" t="n">
        <v>3</v>
      </c>
      <c r="AK1235" t="n">
        <v>3</v>
      </c>
      <c r="AL1235" t="n">
        <v>0</v>
      </c>
      <c r="AM1235" t="n">
        <v>0</v>
      </c>
      <c r="AN1235" t="n">
        <v>0</v>
      </c>
      <c r="AO1235" t="n">
        <v>0</v>
      </c>
      <c r="AP1235" t="inlineStr">
        <is>
          <t>No</t>
        </is>
      </c>
      <c r="AQ1235" t="inlineStr">
        <is>
          <t>No</t>
        </is>
      </c>
      <c r="AS1235">
        <f>HYPERLINK("https://creighton-primo.hosted.exlibrisgroup.com/primo-explore/search?tab=default_tab&amp;search_scope=EVERYTHING&amp;vid=01CRU&amp;lang=en_US&amp;offset=0&amp;query=any,contains,991004357359702656","Catalog Record")</f>
        <v/>
      </c>
      <c r="AT1235">
        <f>HYPERLINK("http://www.worldcat.org/oclc/3147797","WorldCat Record")</f>
        <v/>
      </c>
      <c r="AU1235" t="inlineStr">
        <is>
          <t>2864681175:eng</t>
        </is>
      </c>
      <c r="AV1235" t="inlineStr">
        <is>
          <t>3147797</t>
        </is>
      </c>
      <c r="AW1235" t="inlineStr">
        <is>
          <t>991004357359702656</t>
        </is>
      </c>
      <c r="AX1235" t="inlineStr">
        <is>
          <t>991004357359702656</t>
        </is>
      </c>
      <c r="AY1235" t="inlineStr">
        <is>
          <t>2255445860002656</t>
        </is>
      </c>
      <c r="AZ1235" t="inlineStr">
        <is>
          <t>BOOK</t>
        </is>
      </c>
      <c r="BC1235" t="inlineStr">
        <is>
          <t>32285000786938</t>
        </is>
      </c>
      <c r="BD1235" t="inlineStr">
        <is>
          <t>893618566</t>
        </is>
      </c>
    </row>
    <row r="1236">
      <c r="A1236" t="inlineStr">
        <is>
          <t>No</t>
        </is>
      </c>
      <c r="B1236" t="inlineStr">
        <is>
          <t>BX2200 .C385 1986</t>
        </is>
      </c>
      <c r="C1236" t="inlineStr">
        <is>
          <t>0                      BX 2200000C  385         1986</t>
        </is>
      </c>
      <c r="D1236" t="inlineStr">
        <is>
          <t>Special signs of grace : the sacraments and sacramentals / Joseph M. Champlin.</t>
        </is>
      </c>
      <c r="F1236" t="inlineStr">
        <is>
          <t>No</t>
        </is>
      </c>
      <c r="G1236" t="inlineStr">
        <is>
          <t>1</t>
        </is>
      </c>
      <c r="H1236" t="inlineStr">
        <is>
          <t>No</t>
        </is>
      </c>
      <c r="I1236" t="inlineStr">
        <is>
          <t>No</t>
        </is>
      </c>
      <c r="J1236" t="inlineStr">
        <is>
          <t>0</t>
        </is>
      </c>
      <c r="K1236" t="inlineStr">
        <is>
          <t>Champlin, Joseph M.</t>
        </is>
      </c>
      <c r="L1236" t="inlineStr">
        <is>
          <t>Collegeville, Minn. : Liturgical Press, c1986.</t>
        </is>
      </c>
      <c r="M1236" t="inlineStr">
        <is>
          <t>1986</t>
        </is>
      </c>
      <c r="O1236" t="inlineStr">
        <is>
          <t>eng</t>
        </is>
      </c>
      <c r="P1236" t="inlineStr">
        <is>
          <t>mnu</t>
        </is>
      </c>
      <c r="R1236" t="inlineStr">
        <is>
          <t xml:space="preserve">BX </t>
        </is>
      </c>
      <c r="S1236" t="n">
        <v>1</v>
      </c>
      <c r="T1236" t="n">
        <v>1</v>
      </c>
      <c r="U1236" t="inlineStr">
        <is>
          <t>1997-03-27</t>
        </is>
      </c>
      <c r="V1236" t="inlineStr">
        <is>
          <t>1997-03-27</t>
        </is>
      </c>
      <c r="W1236" t="inlineStr">
        <is>
          <t>1991-10-08</t>
        </is>
      </c>
      <c r="X1236" t="inlineStr">
        <is>
          <t>1991-10-08</t>
        </is>
      </c>
      <c r="Y1236" t="n">
        <v>116</v>
      </c>
      <c r="Z1236" t="n">
        <v>94</v>
      </c>
      <c r="AA1236" t="n">
        <v>94</v>
      </c>
      <c r="AB1236" t="n">
        <v>1</v>
      </c>
      <c r="AC1236" t="n">
        <v>1</v>
      </c>
      <c r="AD1236" t="n">
        <v>11</v>
      </c>
      <c r="AE1236" t="n">
        <v>11</v>
      </c>
      <c r="AF1236" t="n">
        <v>4</v>
      </c>
      <c r="AG1236" t="n">
        <v>4</v>
      </c>
      <c r="AH1236" t="n">
        <v>3</v>
      </c>
      <c r="AI1236" t="n">
        <v>3</v>
      </c>
      <c r="AJ1236" t="n">
        <v>7</v>
      </c>
      <c r="AK1236" t="n">
        <v>7</v>
      </c>
      <c r="AL1236" t="n">
        <v>0</v>
      </c>
      <c r="AM1236" t="n">
        <v>0</v>
      </c>
      <c r="AN1236" t="n">
        <v>0</v>
      </c>
      <c r="AO1236" t="n">
        <v>0</v>
      </c>
      <c r="AP1236" t="inlineStr">
        <is>
          <t>No</t>
        </is>
      </c>
      <c r="AQ1236" t="inlineStr">
        <is>
          <t>No</t>
        </is>
      </c>
      <c r="AS1236">
        <f>HYPERLINK("https://creighton-primo.hosted.exlibrisgroup.com/primo-explore/search?tab=default_tab&amp;search_scope=EVERYTHING&amp;vid=01CRU&amp;lang=en_US&amp;offset=0&amp;query=any,contains,991000864179702656","Catalog Record")</f>
        <v/>
      </c>
      <c r="AT1236">
        <f>HYPERLINK("http://www.worldcat.org/oclc/13703099","WorldCat Record")</f>
        <v/>
      </c>
      <c r="AU1236" t="inlineStr">
        <is>
          <t>119410154:eng</t>
        </is>
      </c>
      <c r="AV1236" t="inlineStr">
        <is>
          <t>13703099</t>
        </is>
      </c>
      <c r="AW1236" t="inlineStr">
        <is>
          <t>991000864179702656</t>
        </is>
      </c>
      <c r="AX1236" t="inlineStr">
        <is>
          <t>991000864179702656</t>
        </is>
      </c>
      <c r="AY1236" t="inlineStr">
        <is>
          <t>2261590580002656</t>
        </is>
      </c>
      <c r="AZ1236" t="inlineStr">
        <is>
          <t>BOOK</t>
        </is>
      </c>
      <c r="BB1236" t="inlineStr">
        <is>
          <t>9780814614662</t>
        </is>
      </c>
      <c r="BC1236" t="inlineStr">
        <is>
          <t>32285000787332</t>
        </is>
      </c>
      <c r="BD1236" t="inlineStr">
        <is>
          <t>893702508</t>
        </is>
      </c>
    </row>
    <row r="1237">
      <c r="A1237" t="inlineStr">
        <is>
          <t>No</t>
        </is>
      </c>
      <c r="B1237" t="inlineStr">
        <is>
          <t>BX2200 .C43 1987</t>
        </is>
      </c>
      <c r="C1237" t="inlineStr">
        <is>
          <t>0                      BX 2200000C  43          1987</t>
        </is>
      </c>
      <c r="D1237" t="inlineStr">
        <is>
          <t>Symbole et sacrement : une relecture sacramentelle de l'existence chrétienne / Louis-Marie Chauvet.</t>
        </is>
      </c>
      <c r="F1237" t="inlineStr">
        <is>
          <t>No</t>
        </is>
      </c>
      <c r="G1237" t="inlineStr">
        <is>
          <t>1</t>
        </is>
      </c>
      <c r="H1237" t="inlineStr">
        <is>
          <t>No</t>
        </is>
      </c>
      <c r="I1237" t="inlineStr">
        <is>
          <t>No</t>
        </is>
      </c>
      <c r="J1237" t="inlineStr">
        <is>
          <t>0</t>
        </is>
      </c>
      <c r="K1237" t="inlineStr">
        <is>
          <t>Chauvet, Louis-Marie, 1942-</t>
        </is>
      </c>
      <c r="L1237" t="inlineStr">
        <is>
          <t>Paris : Cerf, 1987.</t>
        </is>
      </c>
      <c r="M1237" t="inlineStr">
        <is>
          <t>1987</t>
        </is>
      </c>
      <c r="O1237" t="inlineStr">
        <is>
          <t>fre</t>
        </is>
      </c>
      <c r="P1237" t="inlineStr">
        <is>
          <t xml:space="preserve">fr </t>
        </is>
      </c>
      <c r="Q1237" t="inlineStr">
        <is>
          <t>Cogitatio fidei, 0587-6036 ; 144</t>
        </is>
      </c>
      <c r="R1237" t="inlineStr">
        <is>
          <t xml:space="preserve">BX </t>
        </is>
      </c>
      <c r="S1237" t="n">
        <v>4</v>
      </c>
      <c r="T1237" t="n">
        <v>4</v>
      </c>
      <c r="U1237" t="inlineStr">
        <is>
          <t>2003-10-31</t>
        </is>
      </c>
      <c r="V1237" t="inlineStr">
        <is>
          <t>2003-10-31</t>
        </is>
      </c>
      <c r="W1237" t="inlineStr">
        <is>
          <t>1991-10-08</t>
        </is>
      </c>
      <c r="X1237" t="inlineStr">
        <is>
          <t>1991-10-08</t>
        </is>
      </c>
      <c r="Y1237" t="n">
        <v>50</v>
      </c>
      <c r="Z1237" t="n">
        <v>26</v>
      </c>
      <c r="AA1237" t="n">
        <v>31</v>
      </c>
      <c r="AB1237" t="n">
        <v>1</v>
      </c>
      <c r="AC1237" t="n">
        <v>1</v>
      </c>
      <c r="AD1237" t="n">
        <v>4</v>
      </c>
      <c r="AE1237" t="n">
        <v>4</v>
      </c>
      <c r="AF1237" t="n">
        <v>1</v>
      </c>
      <c r="AG1237" t="n">
        <v>1</v>
      </c>
      <c r="AH1237" t="n">
        <v>2</v>
      </c>
      <c r="AI1237" t="n">
        <v>2</v>
      </c>
      <c r="AJ1237" t="n">
        <v>3</v>
      </c>
      <c r="AK1237" t="n">
        <v>3</v>
      </c>
      <c r="AL1237" t="n">
        <v>0</v>
      </c>
      <c r="AM1237" t="n">
        <v>0</v>
      </c>
      <c r="AN1237" t="n">
        <v>0</v>
      </c>
      <c r="AO1237" t="n">
        <v>0</v>
      </c>
      <c r="AP1237" t="inlineStr">
        <is>
          <t>No</t>
        </is>
      </c>
      <c r="AQ1237" t="inlineStr">
        <is>
          <t>No</t>
        </is>
      </c>
      <c r="AS1237">
        <f>HYPERLINK("https://creighton-primo.hosted.exlibrisgroup.com/primo-explore/search?tab=default_tab&amp;search_scope=EVERYTHING&amp;vid=01CRU&amp;lang=en_US&amp;offset=0&amp;query=any,contains,991001283139702656","Catalog Record")</f>
        <v/>
      </c>
      <c r="AT1237">
        <f>HYPERLINK("http://www.worldcat.org/oclc/17948052","WorldCat Record")</f>
        <v/>
      </c>
      <c r="AU1237" t="inlineStr">
        <is>
          <t>30810602:fre</t>
        </is>
      </c>
      <c r="AV1237" t="inlineStr">
        <is>
          <t>17948052</t>
        </is>
      </c>
      <c r="AW1237" t="inlineStr">
        <is>
          <t>991001283139702656</t>
        </is>
      </c>
      <c r="AX1237" t="inlineStr">
        <is>
          <t>991001283139702656</t>
        </is>
      </c>
      <c r="AY1237" t="inlineStr">
        <is>
          <t>2258277430002656</t>
        </is>
      </c>
      <c r="AZ1237" t="inlineStr">
        <is>
          <t>BOOK</t>
        </is>
      </c>
      <c r="BB1237" t="inlineStr">
        <is>
          <t>9782204026871</t>
        </is>
      </c>
      <c r="BC1237" t="inlineStr">
        <is>
          <t>32285000787084</t>
        </is>
      </c>
      <c r="BD1237" t="inlineStr">
        <is>
          <t>893238006</t>
        </is>
      </c>
    </row>
    <row r="1238">
      <c r="A1238" t="inlineStr">
        <is>
          <t>No</t>
        </is>
      </c>
      <c r="B1238" t="inlineStr">
        <is>
          <t>BX2200 .C62 1965</t>
        </is>
      </c>
      <c r="C1238" t="inlineStr">
        <is>
          <t>0                      BX 2200000C  62          1965</t>
        </is>
      </c>
      <c r="D1238" t="inlineStr">
        <is>
          <t>Christian sacraments and Christian personality / [by] Bernard J. Cooke.</t>
        </is>
      </c>
      <c r="F1238" t="inlineStr">
        <is>
          <t>No</t>
        </is>
      </c>
      <c r="G1238" t="inlineStr">
        <is>
          <t>1</t>
        </is>
      </c>
      <c r="H1238" t="inlineStr">
        <is>
          <t>No</t>
        </is>
      </c>
      <c r="I1238" t="inlineStr">
        <is>
          <t>No</t>
        </is>
      </c>
      <c r="J1238" t="inlineStr">
        <is>
          <t>0</t>
        </is>
      </c>
      <c r="K1238" t="inlineStr">
        <is>
          <t>Cooke, Bernard J., 1922-</t>
        </is>
      </c>
      <c r="L1238" t="inlineStr">
        <is>
          <t>New York : Holt, Rinehart and Winston, [1965]</t>
        </is>
      </c>
      <c r="M1238" t="inlineStr">
        <is>
          <t>1965</t>
        </is>
      </c>
      <c r="O1238" t="inlineStr">
        <is>
          <t>eng</t>
        </is>
      </c>
      <c r="P1238" t="inlineStr">
        <is>
          <t>nyu</t>
        </is>
      </c>
      <c r="R1238" t="inlineStr">
        <is>
          <t xml:space="preserve">BX </t>
        </is>
      </c>
      <c r="S1238" t="n">
        <v>5</v>
      </c>
      <c r="T1238" t="n">
        <v>5</v>
      </c>
      <c r="U1238" t="inlineStr">
        <is>
          <t>2004-02-25</t>
        </is>
      </c>
      <c r="V1238" t="inlineStr">
        <is>
          <t>2004-02-25</t>
        </is>
      </c>
      <c r="W1238" t="inlineStr">
        <is>
          <t>1991-10-08</t>
        </is>
      </c>
      <c r="X1238" t="inlineStr">
        <is>
          <t>1991-10-08</t>
        </is>
      </c>
      <c r="Y1238" t="n">
        <v>421</v>
      </c>
      <c r="Z1238" t="n">
        <v>353</v>
      </c>
      <c r="AA1238" t="n">
        <v>387</v>
      </c>
      <c r="AB1238" t="n">
        <v>4</v>
      </c>
      <c r="AC1238" t="n">
        <v>4</v>
      </c>
      <c r="AD1238" t="n">
        <v>39</v>
      </c>
      <c r="AE1238" t="n">
        <v>39</v>
      </c>
      <c r="AF1238" t="n">
        <v>14</v>
      </c>
      <c r="AG1238" t="n">
        <v>14</v>
      </c>
      <c r="AH1238" t="n">
        <v>9</v>
      </c>
      <c r="AI1238" t="n">
        <v>9</v>
      </c>
      <c r="AJ1238" t="n">
        <v>27</v>
      </c>
      <c r="AK1238" t="n">
        <v>27</v>
      </c>
      <c r="AL1238" t="n">
        <v>2</v>
      </c>
      <c r="AM1238" t="n">
        <v>2</v>
      </c>
      <c r="AN1238" t="n">
        <v>0</v>
      </c>
      <c r="AO1238" t="n">
        <v>0</v>
      </c>
      <c r="AP1238" t="inlineStr">
        <is>
          <t>No</t>
        </is>
      </c>
      <c r="AQ1238" t="inlineStr">
        <is>
          <t>No</t>
        </is>
      </c>
      <c r="AS1238">
        <f>HYPERLINK("https://creighton-primo.hosted.exlibrisgroup.com/primo-explore/search?tab=default_tab&amp;search_scope=EVERYTHING&amp;vid=01CRU&amp;lang=en_US&amp;offset=0&amp;query=any,contains,991003180299702656","Catalog Record")</f>
        <v/>
      </c>
      <c r="AT1238">
        <f>HYPERLINK("http://www.worldcat.org/oclc/711599","WorldCat Record")</f>
        <v/>
      </c>
      <c r="AU1238" t="inlineStr">
        <is>
          <t>309332239:eng</t>
        </is>
      </c>
      <c r="AV1238" t="inlineStr">
        <is>
          <t>711599</t>
        </is>
      </c>
      <c r="AW1238" t="inlineStr">
        <is>
          <t>991003180299702656</t>
        </is>
      </c>
      <c r="AX1238" t="inlineStr">
        <is>
          <t>991003180299702656</t>
        </is>
      </c>
      <c r="AY1238" t="inlineStr">
        <is>
          <t>2261946360002656</t>
        </is>
      </c>
      <c r="AZ1238" t="inlineStr">
        <is>
          <t>BOOK</t>
        </is>
      </c>
      <c r="BC1238" t="inlineStr">
        <is>
          <t>32285000787100</t>
        </is>
      </c>
      <c r="BD1238" t="inlineStr">
        <is>
          <t>893239949</t>
        </is>
      </c>
    </row>
    <row r="1239">
      <c r="A1239" t="inlineStr">
        <is>
          <t>No</t>
        </is>
      </c>
      <c r="B1239" t="inlineStr">
        <is>
          <t>BX2200 .D513 1966</t>
        </is>
      </c>
      <c r="C1239" t="inlineStr">
        <is>
          <t>0                      BX 2200000D  513         1966</t>
        </is>
      </c>
      <c r="D1239" t="inlineStr">
        <is>
          <t>The dynamic power of our sacraments / by Clement Dillenschneider. Translated by Sister M. Renelle.</t>
        </is>
      </c>
      <c r="F1239" t="inlineStr">
        <is>
          <t>No</t>
        </is>
      </c>
      <c r="G1239" t="inlineStr">
        <is>
          <t>1</t>
        </is>
      </c>
      <c r="H1239" t="inlineStr">
        <is>
          <t>No</t>
        </is>
      </c>
      <c r="I1239" t="inlineStr">
        <is>
          <t>No</t>
        </is>
      </c>
      <c r="J1239" t="inlineStr">
        <is>
          <t>0</t>
        </is>
      </c>
      <c r="K1239" t="inlineStr">
        <is>
          <t>Dillenschneider, Clément, 1890-1969.</t>
        </is>
      </c>
      <c r="L1239" t="inlineStr">
        <is>
          <t>St. Louis : B. Herder Book Co., [1966]</t>
        </is>
      </c>
      <c r="M1239" t="inlineStr">
        <is>
          <t>1966</t>
        </is>
      </c>
      <c r="O1239" t="inlineStr">
        <is>
          <t>eng</t>
        </is>
      </c>
      <c r="P1239" t="inlineStr">
        <is>
          <t>___</t>
        </is>
      </c>
      <c r="R1239" t="inlineStr">
        <is>
          <t xml:space="preserve">BX </t>
        </is>
      </c>
      <c r="S1239" t="n">
        <v>7</v>
      </c>
      <c r="T1239" t="n">
        <v>7</v>
      </c>
      <c r="U1239" t="inlineStr">
        <is>
          <t>2009-04-25</t>
        </is>
      </c>
      <c r="V1239" t="inlineStr">
        <is>
          <t>2009-04-25</t>
        </is>
      </c>
      <c r="W1239" t="inlineStr">
        <is>
          <t>1991-10-08</t>
        </is>
      </c>
      <c r="X1239" t="inlineStr">
        <is>
          <t>1991-10-08</t>
        </is>
      </c>
      <c r="Y1239" t="n">
        <v>163</v>
      </c>
      <c r="Z1239" t="n">
        <v>131</v>
      </c>
      <c r="AA1239" t="n">
        <v>132</v>
      </c>
      <c r="AB1239" t="n">
        <v>1</v>
      </c>
      <c r="AC1239" t="n">
        <v>1</v>
      </c>
      <c r="AD1239" t="n">
        <v>23</v>
      </c>
      <c r="AE1239" t="n">
        <v>23</v>
      </c>
      <c r="AF1239" t="n">
        <v>4</v>
      </c>
      <c r="AG1239" t="n">
        <v>4</v>
      </c>
      <c r="AH1239" t="n">
        <v>8</v>
      </c>
      <c r="AI1239" t="n">
        <v>8</v>
      </c>
      <c r="AJ1239" t="n">
        <v>17</v>
      </c>
      <c r="AK1239" t="n">
        <v>17</v>
      </c>
      <c r="AL1239" t="n">
        <v>0</v>
      </c>
      <c r="AM1239" t="n">
        <v>0</v>
      </c>
      <c r="AN1239" t="n">
        <v>0</v>
      </c>
      <c r="AO1239" t="n">
        <v>0</v>
      </c>
      <c r="AP1239" t="inlineStr">
        <is>
          <t>No</t>
        </is>
      </c>
      <c r="AQ1239" t="inlineStr">
        <is>
          <t>Yes</t>
        </is>
      </c>
      <c r="AR1239">
        <f>HYPERLINK("http://catalog.hathitrust.org/Record/008373352","HathiTrust Record")</f>
        <v/>
      </c>
      <c r="AS1239">
        <f>HYPERLINK("https://creighton-primo.hosted.exlibrisgroup.com/primo-explore/search?tab=default_tab&amp;search_scope=EVERYTHING&amp;vid=01CRU&amp;lang=en_US&amp;offset=0&amp;query=any,contains,991003753149702656","Catalog Record")</f>
        <v/>
      </c>
      <c r="AT1239">
        <f>HYPERLINK("http://www.worldcat.org/oclc/1431872","WorldCat Record")</f>
        <v/>
      </c>
      <c r="AU1239" t="inlineStr">
        <is>
          <t>2316690:eng</t>
        </is>
      </c>
      <c r="AV1239" t="inlineStr">
        <is>
          <t>1431872</t>
        </is>
      </c>
      <c r="AW1239" t="inlineStr">
        <is>
          <t>991003753149702656</t>
        </is>
      </c>
      <c r="AX1239" t="inlineStr">
        <is>
          <t>991003753149702656</t>
        </is>
      </c>
      <c r="AY1239" t="inlineStr">
        <is>
          <t>2258497960002656</t>
        </is>
      </c>
      <c r="AZ1239" t="inlineStr">
        <is>
          <t>BOOK</t>
        </is>
      </c>
      <c r="BC1239" t="inlineStr">
        <is>
          <t>32285000787118</t>
        </is>
      </c>
      <c r="BD1239" t="inlineStr">
        <is>
          <t>893525186</t>
        </is>
      </c>
    </row>
    <row r="1240">
      <c r="A1240" t="inlineStr">
        <is>
          <t>No</t>
        </is>
      </c>
      <c r="B1240" t="inlineStr">
        <is>
          <t>BX2200 .F4 1955</t>
        </is>
      </c>
      <c r="C1240" t="inlineStr">
        <is>
          <t>0                      BX 2200000F  4           1955</t>
        </is>
      </c>
      <c r="D1240" t="inlineStr">
        <is>
          <t>Graceful living : a course in the appreciation of the sacraments / by John Fearon.</t>
        </is>
      </c>
      <c r="F1240" t="inlineStr">
        <is>
          <t>No</t>
        </is>
      </c>
      <c r="G1240" t="inlineStr">
        <is>
          <t>1</t>
        </is>
      </c>
      <c r="H1240" t="inlineStr">
        <is>
          <t>No</t>
        </is>
      </c>
      <c r="I1240" t="inlineStr">
        <is>
          <t>No</t>
        </is>
      </c>
      <c r="J1240" t="inlineStr">
        <is>
          <t>0</t>
        </is>
      </c>
      <c r="K1240" t="inlineStr">
        <is>
          <t>Fearon, John.</t>
        </is>
      </c>
      <c r="L1240" t="inlineStr">
        <is>
          <t>Westminster, Md. : Newman Press, 1955.</t>
        </is>
      </c>
      <c r="M1240" t="inlineStr">
        <is>
          <t>1955</t>
        </is>
      </c>
      <c r="O1240" t="inlineStr">
        <is>
          <t>eng</t>
        </is>
      </c>
      <c r="P1240" t="inlineStr">
        <is>
          <t>mdu</t>
        </is>
      </c>
      <c r="R1240" t="inlineStr">
        <is>
          <t xml:space="preserve">BX </t>
        </is>
      </c>
      <c r="S1240" t="n">
        <v>2</v>
      </c>
      <c r="T1240" t="n">
        <v>2</v>
      </c>
      <c r="U1240" t="inlineStr">
        <is>
          <t>1997-02-06</t>
        </is>
      </c>
      <c r="V1240" t="inlineStr">
        <is>
          <t>1997-02-06</t>
        </is>
      </c>
      <c r="W1240" t="inlineStr">
        <is>
          <t>1991-10-08</t>
        </is>
      </c>
      <c r="X1240" t="inlineStr">
        <is>
          <t>1991-10-08</t>
        </is>
      </c>
      <c r="Y1240" t="n">
        <v>122</v>
      </c>
      <c r="Z1240" t="n">
        <v>113</v>
      </c>
      <c r="AA1240" t="n">
        <v>118</v>
      </c>
      <c r="AB1240" t="n">
        <v>4</v>
      </c>
      <c r="AC1240" t="n">
        <v>4</v>
      </c>
      <c r="AD1240" t="n">
        <v>23</v>
      </c>
      <c r="AE1240" t="n">
        <v>23</v>
      </c>
      <c r="AF1240" t="n">
        <v>7</v>
      </c>
      <c r="AG1240" t="n">
        <v>7</v>
      </c>
      <c r="AH1240" t="n">
        <v>7</v>
      </c>
      <c r="AI1240" t="n">
        <v>7</v>
      </c>
      <c r="AJ1240" t="n">
        <v>18</v>
      </c>
      <c r="AK1240" t="n">
        <v>18</v>
      </c>
      <c r="AL1240" t="n">
        <v>0</v>
      </c>
      <c r="AM1240" t="n">
        <v>0</v>
      </c>
      <c r="AN1240" t="n">
        <v>0</v>
      </c>
      <c r="AO1240" t="n">
        <v>0</v>
      </c>
      <c r="AP1240" t="inlineStr">
        <is>
          <t>No</t>
        </is>
      </c>
      <c r="AQ1240" t="inlineStr">
        <is>
          <t>No</t>
        </is>
      </c>
      <c r="AS1240">
        <f>HYPERLINK("https://creighton-primo.hosted.exlibrisgroup.com/primo-explore/search?tab=default_tab&amp;search_scope=EVERYTHING&amp;vid=01CRU&amp;lang=en_US&amp;offset=0&amp;query=any,contains,991003968319702656","Catalog Record")</f>
        <v/>
      </c>
      <c r="AT1240">
        <f>HYPERLINK("http://www.worldcat.org/oclc/1990824","WorldCat Record")</f>
        <v/>
      </c>
      <c r="AU1240" t="inlineStr">
        <is>
          <t>9090772675:eng</t>
        </is>
      </c>
      <c r="AV1240" t="inlineStr">
        <is>
          <t>1990824</t>
        </is>
      </c>
      <c r="AW1240" t="inlineStr">
        <is>
          <t>991003968319702656</t>
        </is>
      </c>
      <c r="AX1240" t="inlineStr">
        <is>
          <t>991003968319702656</t>
        </is>
      </c>
      <c r="AY1240" t="inlineStr">
        <is>
          <t>2262020460002656</t>
        </is>
      </c>
      <c r="AZ1240" t="inlineStr">
        <is>
          <t>BOOK</t>
        </is>
      </c>
      <c r="BC1240" t="inlineStr">
        <is>
          <t>32285000787167</t>
        </is>
      </c>
      <c r="BD1240" t="inlineStr">
        <is>
          <t>893611757</t>
        </is>
      </c>
    </row>
    <row r="1241">
      <c r="A1241" t="inlineStr">
        <is>
          <t>No</t>
        </is>
      </c>
      <c r="B1241" t="inlineStr">
        <is>
          <t>BX2200 .H55 1931</t>
        </is>
      </c>
      <c r="C1241" t="inlineStr">
        <is>
          <t>0                      BX 2200000H  55          1931</t>
        </is>
      </c>
      <c r="D1241" t="inlineStr">
        <is>
          <t>Channels of redemption : the sacraments, their institution, nature and effect ; a textbook for colleges and universities / by Charles G. Herzog.</t>
        </is>
      </c>
      <c r="F1241" t="inlineStr">
        <is>
          <t>No</t>
        </is>
      </c>
      <c r="G1241" t="inlineStr">
        <is>
          <t>1</t>
        </is>
      </c>
      <c r="H1241" t="inlineStr">
        <is>
          <t>No</t>
        </is>
      </c>
      <c r="I1241" t="inlineStr">
        <is>
          <t>No</t>
        </is>
      </c>
      <c r="J1241" t="inlineStr">
        <is>
          <t>0</t>
        </is>
      </c>
      <c r="K1241" t="inlineStr">
        <is>
          <t>Herzog, Charles G.</t>
        </is>
      </c>
      <c r="L1241" t="inlineStr">
        <is>
          <t>New York ; Cincinnati [etc.] : Benziger Brothers, [1931]</t>
        </is>
      </c>
      <c r="M1241" t="inlineStr">
        <is>
          <t>1931</t>
        </is>
      </c>
      <c r="O1241" t="inlineStr">
        <is>
          <t>eng</t>
        </is>
      </c>
      <c r="P1241" t="inlineStr">
        <is>
          <t>___</t>
        </is>
      </c>
      <c r="Q1241" t="inlineStr">
        <is>
          <t>The truth of Christianity series</t>
        </is>
      </c>
      <c r="R1241" t="inlineStr">
        <is>
          <t xml:space="preserve">BX </t>
        </is>
      </c>
      <c r="S1241" t="n">
        <v>1</v>
      </c>
      <c r="T1241" t="n">
        <v>1</v>
      </c>
      <c r="U1241" t="inlineStr">
        <is>
          <t>1992-09-10</t>
        </is>
      </c>
      <c r="V1241" t="inlineStr">
        <is>
          <t>1992-09-10</t>
        </is>
      </c>
      <c r="W1241" t="inlineStr">
        <is>
          <t>1990-05-01</t>
        </is>
      </c>
      <c r="X1241" t="inlineStr">
        <is>
          <t>1990-05-01</t>
        </is>
      </c>
      <c r="Y1241" t="n">
        <v>79</v>
      </c>
      <c r="Z1241" t="n">
        <v>73</v>
      </c>
      <c r="AA1241" t="n">
        <v>73</v>
      </c>
      <c r="AB1241" t="n">
        <v>2</v>
      </c>
      <c r="AC1241" t="n">
        <v>2</v>
      </c>
      <c r="AD1241" t="n">
        <v>19</v>
      </c>
      <c r="AE1241" t="n">
        <v>19</v>
      </c>
      <c r="AF1241" t="n">
        <v>4</v>
      </c>
      <c r="AG1241" t="n">
        <v>4</v>
      </c>
      <c r="AH1241" t="n">
        <v>5</v>
      </c>
      <c r="AI1241" t="n">
        <v>5</v>
      </c>
      <c r="AJ1241" t="n">
        <v>15</v>
      </c>
      <c r="AK1241" t="n">
        <v>15</v>
      </c>
      <c r="AL1241" t="n">
        <v>0</v>
      </c>
      <c r="AM1241" t="n">
        <v>0</v>
      </c>
      <c r="AN1241" t="n">
        <v>0</v>
      </c>
      <c r="AO1241" t="n">
        <v>0</v>
      </c>
      <c r="AP1241" t="inlineStr">
        <is>
          <t>No</t>
        </is>
      </c>
      <c r="AQ1241" t="inlineStr">
        <is>
          <t>No</t>
        </is>
      </c>
      <c r="AS1241">
        <f>HYPERLINK("https://creighton-primo.hosted.exlibrisgroup.com/primo-explore/search?tab=default_tab&amp;search_scope=EVERYTHING&amp;vid=01CRU&amp;lang=en_US&amp;offset=0&amp;query=any,contains,991003622479702656","Catalog Record")</f>
        <v/>
      </c>
      <c r="AT1241">
        <f>HYPERLINK("http://www.worldcat.org/oclc/1210783","WorldCat Record")</f>
        <v/>
      </c>
      <c r="AU1241" t="inlineStr">
        <is>
          <t>909769577:eng</t>
        </is>
      </c>
      <c r="AV1241" t="inlineStr">
        <is>
          <t>1210783</t>
        </is>
      </c>
      <c r="AW1241" t="inlineStr">
        <is>
          <t>991003622479702656</t>
        </is>
      </c>
      <c r="AX1241" t="inlineStr">
        <is>
          <t>991003622479702656</t>
        </is>
      </c>
      <c r="AY1241" t="inlineStr">
        <is>
          <t>2266519810002656</t>
        </is>
      </c>
      <c r="AZ1241" t="inlineStr">
        <is>
          <t>BOOK</t>
        </is>
      </c>
      <c r="BC1241" t="inlineStr">
        <is>
          <t>32285000145697</t>
        </is>
      </c>
      <c r="BD1241" t="inlineStr">
        <is>
          <t>893605003</t>
        </is>
      </c>
    </row>
    <row r="1242">
      <c r="A1242" t="inlineStr">
        <is>
          <t>No</t>
        </is>
      </c>
      <c r="B1242" t="inlineStr">
        <is>
          <t>BX2200 .L37 1930</t>
        </is>
      </c>
      <c r="C1242" t="inlineStr">
        <is>
          <t>0                      BX 2200000L  37          1930</t>
        </is>
      </c>
      <c r="D1242" t="inlineStr">
        <is>
          <t>Six sacraments : being papers on the sacraments in general, baptism, confirmation, penance, holy orders, matrimony, and extreme unction read at the Summer school of Catholic studies held at Cambridge, July 27-August 5, 1929 / edited by the Rev. C. Lattey ...</t>
        </is>
      </c>
      <c r="F1242" t="inlineStr">
        <is>
          <t>No</t>
        </is>
      </c>
      <c r="G1242" t="inlineStr">
        <is>
          <t>1</t>
        </is>
      </c>
      <c r="H1242" t="inlineStr">
        <is>
          <t>No</t>
        </is>
      </c>
      <c r="I1242" t="inlineStr">
        <is>
          <t>No</t>
        </is>
      </c>
      <c r="J1242" t="inlineStr">
        <is>
          <t>0</t>
        </is>
      </c>
      <c r="K1242" t="inlineStr">
        <is>
          <t>Lattey, C. (Cuthbert), 1877-1954, editor.</t>
        </is>
      </c>
      <c r="L1242" t="inlineStr">
        <is>
          <t>London : Sheed &amp; Ward, 1930.</t>
        </is>
      </c>
      <c r="M1242" t="inlineStr">
        <is>
          <t>1930</t>
        </is>
      </c>
      <c r="O1242" t="inlineStr">
        <is>
          <t>eng</t>
        </is>
      </c>
      <c r="P1242" t="inlineStr">
        <is>
          <t>enk</t>
        </is>
      </c>
      <c r="R1242" t="inlineStr">
        <is>
          <t xml:space="preserve">BX </t>
        </is>
      </c>
      <c r="S1242" t="n">
        <v>8</v>
      </c>
      <c r="T1242" t="n">
        <v>8</v>
      </c>
      <c r="U1242" t="inlineStr">
        <is>
          <t>2004-04-07</t>
        </is>
      </c>
      <c r="V1242" t="inlineStr">
        <is>
          <t>2004-04-07</t>
        </is>
      </c>
      <c r="W1242" t="inlineStr">
        <is>
          <t>1990-04-03</t>
        </is>
      </c>
      <c r="X1242" t="inlineStr">
        <is>
          <t>1990-04-03</t>
        </is>
      </c>
      <c r="Y1242" t="n">
        <v>70</v>
      </c>
      <c r="Z1242" t="n">
        <v>57</v>
      </c>
      <c r="AA1242" t="n">
        <v>63</v>
      </c>
      <c r="AB1242" t="n">
        <v>1</v>
      </c>
      <c r="AC1242" t="n">
        <v>2</v>
      </c>
      <c r="AD1242" t="n">
        <v>16</v>
      </c>
      <c r="AE1242" t="n">
        <v>16</v>
      </c>
      <c r="AF1242" t="n">
        <v>3</v>
      </c>
      <c r="AG1242" t="n">
        <v>3</v>
      </c>
      <c r="AH1242" t="n">
        <v>5</v>
      </c>
      <c r="AI1242" t="n">
        <v>5</v>
      </c>
      <c r="AJ1242" t="n">
        <v>13</v>
      </c>
      <c r="AK1242" t="n">
        <v>13</v>
      </c>
      <c r="AL1242" t="n">
        <v>0</v>
      </c>
      <c r="AM1242" t="n">
        <v>0</v>
      </c>
      <c r="AN1242" t="n">
        <v>0</v>
      </c>
      <c r="AO1242" t="n">
        <v>0</v>
      </c>
      <c r="AP1242" t="inlineStr">
        <is>
          <t>No</t>
        </is>
      </c>
      <c r="AQ1242" t="inlineStr">
        <is>
          <t>No</t>
        </is>
      </c>
      <c r="AS1242">
        <f>HYPERLINK("https://creighton-primo.hosted.exlibrisgroup.com/primo-explore/search?tab=default_tab&amp;search_scope=EVERYTHING&amp;vid=01CRU&amp;lang=en_US&amp;offset=0&amp;query=any,contains,991005024949702656","Catalog Record")</f>
        <v/>
      </c>
      <c r="AT1242">
        <f>HYPERLINK("http://www.worldcat.org/oclc/6682531","WorldCat Record")</f>
        <v/>
      </c>
      <c r="AU1242" t="inlineStr">
        <is>
          <t>431647061:eng</t>
        </is>
      </c>
      <c r="AV1242" t="inlineStr">
        <is>
          <t>6682531</t>
        </is>
      </c>
      <c r="AW1242" t="inlineStr">
        <is>
          <t>991005024949702656</t>
        </is>
      </c>
      <c r="AX1242" t="inlineStr">
        <is>
          <t>991005024949702656</t>
        </is>
      </c>
      <c r="AY1242" t="inlineStr">
        <is>
          <t>2263043130002656</t>
        </is>
      </c>
      <c r="AZ1242" t="inlineStr">
        <is>
          <t>BOOK</t>
        </is>
      </c>
      <c r="BC1242" t="inlineStr">
        <is>
          <t>32285000109271</t>
        </is>
      </c>
      <c r="BD1242" t="inlineStr">
        <is>
          <t>893332289</t>
        </is>
      </c>
    </row>
    <row r="1243">
      <c r="A1243" t="inlineStr">
        <is>
          <t>No</t>
        </is>
      </c>
      <c r="B1243" t="inlineStr">
        <is>
          <t>BX2200 .L43 1956</t>
        </is>
      </c>
      <c r="C1243" t="inlineStr">
        <is>
          <t>0                      BX 2200000L  43          1956</t>
        </is>
      </c>
      <c r="D1243" t="inlineStr">
        <is>
          <t>Principles of sacramental theology / by Bernard Leeming.</t>
        </is>
      </c>
      <c r="F1243" t="inlineStr">
        <is>
          <t>No</t>
        </is>
      </c>
      <c r="G1243" t="inlineStr">
        <is>
          <t>1</t>
        </is>
      </c>
      <c r="H1243" t="inlineStr">
        <is>
          <t>Yes</t>
        </is>
      </c>
      <c r="I1243" t="inlineStr">
        <is>
          <t>No</t>
        </is>
      </c>
      <c r="J1243" t="inlineStr">
        <is>
          <t>0</t>
        </is>
      </c>
      <c r="K1243" t="inlineStr">
        <is>
          <t>Leeming, Bernard.</t>
        </is>
      </c>
      <c r="L1243" t="inlineStr">
        <is>
          <t>Westminster, Md. : Newman Press, 1956.</t>
        </is>
      </c>
      <c r="M1243" t="inlineStr">
        <is>
          <t>1956</t>
        </is>
      </c>
      <c r="O1243" t="inlineStr">
        <is>
          <t>eng</t>
        </is>
      </c>
      <c r="P1243" t="inlineStr">
        <is>
          <t xml:space="preserve">xx </t>
        </is>
      </c>
      <c r="R1243" t="inlineStr">
        <is>
          <t xml:space="preserve">BX </t>
        </is>
      </c>
      <c r="S1243" t="n">
        <v>1</v>
      </c>
      <c r="T1243" t="n">
        <v>11</v>
      </c>
      <c r="U1243" t="inlineStr">
        <is>
          <t>1995-07-23</t>
        </is>
      </c>
      <c r="V1243" t="inlineStr">
        <is>
          <t>2009-03-09</t>
        </is>
      </c>
      <c r="W1243" t="inlineStr">
        <is>
          <t>1991-10-08</t>
        </is>
      </c>
      <c r="X1243" t="inlineStr">
        <is>
          <t>1991-10-08</t>
        </is>
      </c>
      <c r="Y1243" t="n">
        <v>153</v>
      </c>
      <c r="Z1243" t="n">
        <v>137</v>
      </c>
      <c r="AA1243" t="n">
        <v>276</v>
      </c>
      <c r="AB1243" t="n">
        <v>3</v>
      </c>
      <c r="AC1243" t="n">
        <v>3</v>
      </c>
      <c r="AD1243" t="n">
        <v>21</v>
      </c>
      <c r="AE1243" t="n">
        <v>35</v>
      </c>
      <c r="AF1243" t="n">
        <v>8</v>
      </c>
      <c r="AG1243" t="n">
        <v>13</v>
      </c>
      <c r="AH1243" t="n">
        <v>5</v>
      </c>
      <c r="AI1243" t="n">
        <v>9</v>
      </c>
      <c r="AJ1243" t="n">
        <v>15</v>
      </c>
      <c r="AK1243" t="n">
        <v>26</v>
      </c>
      <c r="AL1243" t="n">
        <v>0</v>
      </c>
      <c r="AM1243" t="n">
        <v>0</v>
      </c>
      <c r="AN1243" t="n">
        <v>0</v>
      </c>
      <c r="AO1243" t="n">
        <v>0</v>
      </c>
      <c r="AP1243" t="inlineStr">
        <is>
          <t>No</t>
        </is>
      </c>
      <c r="AQ1243" t="inlineStr">
        <is>
          <t>No</t>
        </is>
      </c>
      <c r="AS1243">
        <f>HYPERLINK("https://creighton-primo.hosted.exlibrisgroup.com/primo-explore/search?tab=default_tab&amp;search_scope=EVERYTHING&amp;vid=01CRU&amp;lang=en_US&amp;offset=0&amp;query=any,contains,991003848989702656","Catalog Record")</f>
        <v/>
      </c>
      <c r="AT1243">
        <f>HYPERLINK("http://www.worldcat.org/oclc/1636553","WorldCat Record")</f>
        <v/>
      </c>
      <c r="AU1243" t="inlineStr">
        <is>
          <t>1390771:eng</t>
        </is>
      </c>
      <c r="AV1243" t="inlineStr">
        <is>
          <t>1636553</t>
        </is>
      </c>
      <c r="AW1243" t="inlineStr">
        <is>
          <t>991003848989702656</t>
        </is>
      </c>
      <c r="AX1243" t="inlineStr">
        <is>
          <t>991003848989702656</t>
        </is>
      </c>
      <c r="AY1243" t="inlineStr">
        <is>
          <t>2255979900002656</t>
        </is>
      </c>
      <c r="AZ1243" t="inlineStr">
        <is>
          <t>BOOK</t>
        </is>
      </c>
      <c r="BC1243" t="inlineStr">
        <is>
          <t>32285000787290</t>
        </is>
      </c>
      <c r="BD1243" t="inlineStr">
        <is>
          <t>893894232</t>
        </is>
      </c>
    </row>
    <row r="1244">
      <c r="A1244" t="inlineStr">
        <is>
          <t>No</t>
        </is>
      </c>
      <c r="B1244" t="inlineStr">
        <is>
          <t>BX2200 .L68 1953</t>
        </is>
      </c>
      <c r="C1244" t="inlineStr">
        <is>
          <t>0                      BX 2200000L  68          1953</t>
        </is>
      </c>
      <c r="D1244" t="inlineStr">
        <is>
          <t>Signs of life / [by] François Louvel and Louis J. Putz.</t>
        </is>
      </c>
      <c r="F1244" t="inlineStr">
        <is>
          <t>No</t>
        </is>
      </c>
      <c r="G1244" t="inlineStr">
        <is>
          <t>1</t>
        </is>
      </c>
      <c r="H1244" t="inlineStr">
        <is>
          <t>No</t>
        </is>
      </c>
      <c r="I1244" t="inlineStr">
        <is>
          <t>No</t>
        </is>
      </c>
      <c r="J1244" t="inlineStr">
        <is>
          <t>0</t>
        </is>
      </c>
      <c r="K1244" t="inlineStr">
        <is>
          <t>Louvel, François, 1907- editor.</t>
        </is>
      </c>
      <c r="L1244" t="inlineStr">
        <is>
          <t>Chicago : Fides Publishers Association, [1953]</t>
        </is>
      </c>
      <c r="M1244" t="inlineStr">
        <is>
          <t>1953</t>
        </is>
      </c>
      <c r="O1244" t="inlineStr">
        <is>
          <t>eng</t>
        </is>
      </c>
      <c r="P1244" t="inlineStr">
        <is>
          <t>ilu</t>
        </is>
      </c>
      <c r="R1244" t="inlineStr">
        <is>
          <t xml:space="preserve">BX </t>
        </is>
      </c>
      <c r="S1244" t="n">
        <v>4</v>
      </c>
      <c r="T1244" t="n">
        <v>4</v>
      </c>
      <c r="U1244" t="inlineStr">
        <is>
          <t>1997-04-17</t>
        </is>
      </c>
      <c r="V1244" t="inlineStr">
        <is>
          <t>1997-04-17</t>
        </is>
      </c>
      <c r="W1244" t="inlineStr">
        <is>
          <t>1991-10-08</t>
        </is>
      </c>
      <c r="X1244" t="inlineStr">
        <is>
          <t>1991-10-08</t>
        </is>
      </c>
      <c r="Y1244" t="n">
        <v>109</v>
      </c>
      <c r="Z1244" t="n">
        <v>100</v>
      </c>
      <c r="AA1244" t="n">
        <v>121</v>
      </c>
      <c r="AB1244" t="n">
        <v>2</v>
      </c>
      <c r="AC1244" t="n">
        <v>2</v>
      </c>
      <c r="AD1244" t="n">
        <v>24</v>
      </c>
      <c r="AE1244" t="n">
        <v>26</v>
      </c>
      <c r="AF1244" t="n">
        <v>8</v>
      </c>
      <c r="AG1244" t="n">
        <v>8</v>
      </c>
      <c r="AH1244" t="n">
        <v>5</v>
      </c>
      <c r="AI1244" t="n">
        <v>5</v>
      </c>
      <c r="AJ1244" t="n">
        <v>21</v>
      </c>
      <c r="AK1244" t="n">
        <v>23</v>
      </c>
      <c r="AL1244" t="n">
        <v>0</v>
      </c>
      <c r="AM1244" t="n">
        <v>0</v>
      </c>
      <c r="AN1244" t="n">
        <v>0</v>
      </c>
      <c r="AO1244" t="n">
        <v>0</v>
      </c>
      <c r="AP1244" t="inlineStr">
        <is>
          <t>No</t>
        </is>
      </c>
      <c r="AQ1244" t="inlineStr">
        <is>
          <t>No</t>
        </is>
      </c>
      <c r="AS1244">
        <f>HYPERLINK("https://creighton-primo.hosted.exlibrisgroup.com/primo-explore/search?tab=default_tab&amp;search_scope=EVERYTHING&amp;vid=01CRU&amp;lang=en_US&amp;offset=0&amp;query=any,contains,991003968179702656","Catalog Record")</f>
        <v/>
      </c>
      <c r="AT1244">
        <f>HYPERLINK("http://www.worldcat.org/oclc/1990805","WorldCat Record")</f>
        <v/>
      </c>
      <c r="AU1244" t="inlineStr">
        <is>
          <t>3272104:eng</t>
        </is>
      </c>
      <c r="AV1244" t="inlineStr">
        <is>
          <t>1990805</t>
        </is>
      </c>
      <c r="AW1244" t="inlineStr">
        <is>
          <t>991003968179702656</t>
        </is>
      </c>
      <c r="AX1244" t="inlineStr">
        <is>
          <t>991003968179702656</t>
        </is>
      </c>
      <c r="AY1244" t="inlineStr">
        <is>
          <t>2261947040002656</t>
        </is>
      </c>
      <c r="AZ1244" t="inlineStr">
        <is>
          <t>BOOK</t>
        </is>
      </c>
      <c r="BC1244" t="inlineStr">
        <is>
          <t>32285000787308</t>
        </is>
      </c>
      <c r="BD1244" t="inlineStr">
        <is>
          <t>893605474</t>
        </is>
      </c>
    </row>
    <row r="1245">
      <c r="A1245" t="inlineStr">
        <is>
          <t>No</t>
        </is>
      </c>
      <c r="B1245" t="inlineStr">
        <is>
          <t>BX2200 .M35 1928</t>
        </is>
      </c>
      <c r="C1245" t="inlineStr">
        <is>
          <t>0                      BX 2200000M  35          1928</t>
        </is>
      </c>
      <c r="D1245" t="inlineStr">
        <is>
          <t>The sacramental system / by the Reverend C. C. Martindale, S. J. ; introduction by Neil McNeil.</t>
        </is>
      </c>
      <c r="F1245" t="inlineStr">
        <is>
          <t>No</t>
        </is>
      </c>
      <c r="G1245" t="inlineStr">
        <is>
          <t>1</t>
        </is>
      </c>
      <c r="H1245" t="inlineStr">
        <is>
          <t>Yes</t>
        </is>
      </c>
      <c r="I1245" t="inlineStr">
        <is>
          <t>No</t>
        </is>
      </c>
      <c r="J1245" t="inlineStr">
        <is>
          <t>0</t>
        </is>
      </c>
      <c r="K1245" t="inlineStr">
        <is>
          <t>Martindale, C. C. (Cyril Charlie), 1879-1963.</t>
        </is>
      </c>
      <c r="L1245" t="inlineStr">
        <is>
          <t>New York : The Macmillan company, 1928.</t>
        </is>
      </c>
      <c r="M1245" t="inlineStr">
        <is>
          <t>1928</t>
        </is>
      </c>
      <c r="O1245" t="inlineStr">
        <is>
          <t>eng</t>
        </is>
      </c>
      <c r="P1245" t="inlineStr">
        <is>
          <t xml:space="preserve">xx </t>
        </is>
      </c>
      <c r="Q1245" t="inlineStr">
        <is>
          <t>The treasury of the faith series: 21</t>
        </is>
      </c>
      <c r="R1245" t="inlineStr">
        <is>
          <t xml:space="preserve">BX </t>
        </is>
      </c>
      <c r="S1245" t="n">
        <v>3</v>
      </c>
      <c r="T1245" t="n">
        <v>3</v>
      </c>
      <c r="U1245" t="inlineStr">
        <is>
          <t>1998-08-06</t>
        </is>
      </c>
      <c r="V1245" t="inlineStr">
        <is>
          <t>1998-08-06</t>
        </is>
      </c>
      <c r="W1245" t="inlineStr">
        <is>
          <t>1991-10-10</t>
        </is>
      </c>
      <c r="X1245" t="inlineStr">
        <is>
          <t>1991-10-10</t>
        </is>
      </c>
      <c r="Y1245" t="n">
        <v>75</v>
      </c>
      <c r="Z1245" t="n">
        <v>71</v>
      </c>
      <c r="AA1245" t="n">
        <v>79</v>
      </c>
      <c r="AB1245" t="n">
        <v>2</v>
      </c>
      <c r="AC1245" t="n">
        <v>2</v>
      </c>
      <c r="AD1245" t="n">
        <v>15</v>
      </c>
      <c r="AE1245" t="n">
        <v>17</v>
      </c>
      <c r="AF1245" t="n">
        <v>4</v>
      </c>
      <c r="AG1245" t="n">
        <v>5</v>
      </c>
      <c r="AH1245" t="n">
        <v>5</v>
      </c>
      <c r="AI1245" t="n">
        <v>5</v>
      </c>
      <c r="AJ1245" t="n">
        <v>10</v>
      </c>
      <c r="AK1245" t="n">
        <v>12</v>
      </c>
      <c r="AL1245" t="n">
        <v>0</v>
      </c>
      <c r="AM1245" t="n">
        <v>0</v>
      </c>
      <c r="AN1245" t="n">
        <v>0</v>
      </c>
      <c r="AO1245" t="n">
        <v>0</v>
      </c>
      <c r="AP1245" t="inlineStr">
        <is>
          <t>No</t>
        </is>
      </c>
      <c r="AQ1245" t="inlineStr">
        <is>
          <t>Yes</t>
        </is>
      </c>
      <c r="AR1245">
        <f>HYPERLINK("http://catalog.hathitrust.org/Record/006526012","HathiTrust Record")</f>
        <v/>
      </c>
      <c r="AS1245">
        <f>HYPERLINK("https://creighton-primo.hosted.exlibrisgroup.com/primo-explore/search?tab=default_tab&amp;search_scope=EVERYTHING&amp;vid=01CRU&amp;lang=en_US&amp;offset=0&amp;query=any,contains,991004260759702656","Catalog Record")</f>
        <v/>
      </c>
      <c r="AT1245">
        <f>HYPERLINK("http://www.worldcat.org/oclc/2843715","WorldCat Record")</f>
        <v/>
      </c>
      <c r="AU1245" t="inlineStr">
        <is>
          <t>6584043:eng</t>
        </is>
      </c>
      <c r="AV1245" t="inlineStr">
        <is>
          <t>2843715</t>
        </is>
      </c>
      <c r="AW1245" t="inlineStr">
        <is>
          <t>991004260759702656</t>
        </is>
      </c>
      <c r="AX1245" t="inlineStr">
        <is>
          <t>991004260759702656</t>
        </is>
      </c>
      <c r="AY1245" t="inlineStr">
        <is>
          <t>2264234350002656</t>
        </is>
      </c>
      <c r="AZ1245" t="inlineStr">
        <is>
          <t>BOOK</t>
        </is>
      </c>
      <c r="BC1245" t="inlineStr">
        <is>
          <t>32285000787357</t>
        </is>
      </c>
      <c r="BD1245" t="inlineStr">
        <is>
          <t>893888487</t>
        </is>
      </c>
    </row>
    <row r="1246">
      <c r="A1246" t="inlineStr">
        <is>
          <t>No</t>
        </is>
      </c>
      <c r="B1246" t="inlineStr">
        <is>
          <t>BX2200 .M35 1928</t>
        </is>
      </c>
      <c r="C1246" t="inlineStr">
        <is>
          <t>0                      BX 2200000M  35          1928</t>
        </is>
      </c>
      <c r="D1246" t="inlineStr">
        <is>
          <t>The sacramental system / by the Reverend C. C. Martindale, S. J. ; introduction by Neil McNeil.</t>
        </is>
      </c>
      <c r="F1246" t="inlineStr">
        <is>
          <t>No</t>
        </is>
      </c>
      <c r="G1246" t="inlineStr">
        <is>
          <t>1</t>
        </is>
      </c>
      <c r="H1246" t="inlineStr">
        <is>
          <t>Yes</t>
        </is>
      </c>
      <c r="I1246" t="inlineStr">
        <is>
          <t>No</t>
        </is>
      </c>
      <c r="J1246" t="inlineStr">
        <is>
          <t>0</t>
        </is>
      </c>
      <c r="K1246" t="inlineStr">
        <is>
          <t>Martindale, C. C. (Cyril Charlie), 1879-1963.</t>
        </is>
      </c>
      <c r="L1246" t="inlineStr">
        <is>
          <t>New York : The Macmillan company, 1928.</t>
        </is>
      </c>
      <c r="M1246" t="inlineStr">
        <is>
          <t>1928</t>
        </is>
      </c>
      <c r="O1246" t="inlineStr">
        <is>
          <t>eng</t>
        </is>
      </c>
      <c r="P1246" t="inlineStr">
        <is>
          <t xml:space="preserve">xx </t>
        </is>
      </c>
      <c r="Q1246" t="inlineStr">
        <is>
          <t>The treasury of the faith series: 21</t>
        </is>
      </c>
      <c r="R1246" t="inlineStr">
        <is>
          <t xml:space="preserve">BX </t>
        </is>
      </c>
      <c r="S1246" t="n">
        <v>0</v>
      </c>
      <c r="T1246" t="n">
        <v>3</v>
      </c>
      <c r="V1246" t="inlineStr">
        <is>
          <t>1998-08-06</t>
        </is>
      </c>
      <c r="W1246" t="inlineStr">
        <is>
          <t>1990-05-01</t>
        </is>
      </c>
      <c r="X1246" t="inlineStr">
        <is>
          <t>1991-10-10</t>
        </is>
      </c>
      <c r="Y1246" t="n">
        <v>75</v>
      </c>
      <c r="Z1246" t="n">
        <v>71</v>
      </c>
      <c r="AA1246" t="n">
        <v>79</v>
      </c>
      <c r="AB1246" t="n">
        <v>2</v>
      </c>
      <c r="AC1246" t="n">
        <v>2</v>
      </c>
      <c r="AD1246" t="n">
        <v>15</v>
      </c>
      <c r="AE1246" t="n">
        <v>17</v>
      </c>
      <c r="AF1246" t="n">
        <v>4</v>
      </c>
      <c r="AG1246" t="n">
        <v>5</v>
      </c>
      <c r="AH1246" t="n">
        <v>5</v>
      </c>
      <c r="AI1246" t="n">
        <v>5</v>
      </c>
      <c r="AJ1246" t="n">
        <v>10</v>
      </c>
      <c r="AK1246" t="n">
        <v>12</v>
      </c>
      <c r="AL1246" t="n">
        <v>0</v>
      </c>
      <c r="AM1246" t="n">
        <v>0</v>
      </c>
      <c r="AN1246" t="n">
        <v>0</v>
      </c>
      <c r="AO1246" t="n">
        <v>0</v>
      </c>
      <c r="AP1246" t="inlineStr">
        <is>
          <t>No</t>
        </is>
      </c>
      <c r="AQ1246" t="inlineStr">
        <is>
          <t>Yes</t>
        </is>
      </c>
      <c r="AR1246">
        <f>HYPERLINK("http://catalog.hathitrust.org/Record/006526012","HathiTrust Record")</f>
        <v/>
      </c>
      <c r="AS1246">
        <f>HYPERLINK("https://creighton-primo.hosted.exlibrisgroup.com/primo-explore/search?tab=default_tab&amp;search_scope=EVERYTHING&amp;vid=01CRU&amp;lang=en_US&amp;offset=0&amp;query=any,contains,991004260759702656","Catalog Record")</f>
        <v/>
      </c>
      <c r="AT1246">
        <f>HYPERLINK("http://www.worldcat.org/oclc/2843715","WorldCat Record")</f>
        <v/>
      </c>
      <c r="AU1246" t="inlineStr">
        <is>
          <t>6584043:eng</t>
        </is>
      </c>
      <c r="AV1246" t="inlineStr">
        <is>
          <t>2843715</t>
        </is>
      </c>
      <c r="AW1246" t="inlineStr">
        <is>
          <t>991004260759702656</t>
        </is>
      </c>
      <c r="AX1246" t="inlineStr">
        <is>
          <t>991004260759702656</t>
        </is>
      </c>
      <c r="AY1246" t="inlineStr">
        <is>
          <t>2264234350002656</t>
        </is>
      </c>
      <c r="AZ1246" t="inlineStr">
        <is>
          <t>BOOK</t>
        </is>
      </c>
      <c r="BC1246" t="inlineStr">
        <is>
          <t>32285000129717</t>
        </is>
      </c>
      <c r="BD1246" t="inlineStr">
        <is>
          <t>893869502</t>
        </is>
      </c>
    </row>
    <row r="1247">
      <c r="A1247" t="inlineStr">
        <is>
          <t>No</t>
        </is>
      </c>
      <c r="B1247" t="inlineStr">
        <is>
          <t>BX2200 .M5 1963</t>
        </is>
      </c>
      <c r="C1247" t="inlineStr">
        <is>
          <t>0                      BX 2200000M  5           1963</t>
        </is>
      </c>
      <c r="D1247" t="inlineStr">
        <is>
          <t>Signs of transformation in Christ / John H. Miller.</t>
        </is>
      </c>
      <c r="F1247" t="inlineStr">
        <is>
          <t>No</t>
        </is>
      </c>
      <c r="G1247" t="inlineStr">
        <is>
          <t>1</t>
        </is>
      </c>
      <c r="H1247" t="inlineStr">
        <is>
          <t>No</t>
        </is>
      </c>
      <c r="I1247" t="inlineStr">
        <is>
          <t>No</t>
        </is>
      </c>
      <c r="J1247" t="inlineStr">
        <is>
          <t>0</t>
        </is>
      </c>
      <c r="K1247" t="inlineStr">
        <is>
          <t>Miller, John H., 1925-</t>
        </is>
      </c>
      <c r="L1247" t="inlineStr">
        <is>
          <t>Englewood Cliffs, N.J. : Prentice-Hall, [1963]</t>
        </is>
      </c>
      <c r="M1247" t="inlineStr">
        <is>
          <t>1963</t>
        </is>
      </c>
      <c r="O1247" t="inlineStr">
        <is>
          <t>eng</t>
        </is>
      </c>
      <c r="P1247" t="inlineStr">
        <is>
          <t xml:space="preserve">xx </t>
        </is>
      </c>
      <c r="Q1247" t="inlineStr">
        <is>
          <t>Foundations of Catholic theology series</t>
        </is>
      </c>
      <c r="R1247" t="inlineStr">
        <is>
          <t xml:space="preserve">BX </t>
        </is>
      </c>
      <c r="S1247" t="n">
        <v>4</v>
      </c>
      <c r="T1247" t="n">
        <v>4</v>
      </c>
      <c r="U1247" t="inlineStr">
        <is>
          <t>1993-10-22</t>
        </is>
      </c>
      <c r="V1247" t="inlineStr">
        <is>
          <t>1993-10-22</t>
        </is>
      </c>
      <c r="W1247" t="inlineStr">
        <is>
          <t>1991-10-10</t>
        </is>
      </c>
      <c r="X1247" t="inlineStr">
        <is>
          <t>1991-10-10</t>
        </is>
      </c>
      <c r="Y1247" t="n">
        <v>281</v>
      </c>
      <c r="Z1247" t="n">
        <v>239</v>
      </c>
      <c r="AA1247" t="n">
        <v>240</v>
      </c>
      <c r="AB1247" t="n">
        <v>3</v>
      </c>
      <c r="AC1247" t="n">
        <v>3</v>
      </c>
      <c r="AD1247" t="n">
        <v>32</v>
      </c>
      <c r="AE1247" t="n">
        <v>32</v>
      </c>
      <c r="AF1247" t="n">
        <v>9</v>
      </c>
      <c r="AG1247" t="n">
        <v>9</v>
      </c>
      <c r="AH1247" t="n">
        <v>9</v>
      </c>
      <c r="AI1247" t="n">
        <v>9</v>
      </c>
      <c r="AJ1247" t="n">
        <v>25</v>
      </c>
      <c r="AK1247" t="n">
        <v>25</v>
      </c>
      <c r="AL1247" t="n">
        <v>1</v>
      </c>
      <c r="AM1247" t="n">
        <v>1</v>
      </c>
      <c r="AN1247" t="n">
        <v>0</v>
      </c>
      <c r="AO1247" t="n">
        <v>0</v>
      </c>
      <c r="AP1247" t="inlineStr">
        <is>
          <t>No</t>
        </is>
      </c>
      <c r="AQ1247" t="inlineStr">
        <is>
          <t>No</t>
        </is>
      </c>
      <c r="AS1247">
        <f>HYPERLINK("https://creighton-primo.hosted.exlibrisgroup.com/primo-explore/search?tab=default_tab&amp;search_scope=EVERYTHING&amp;vid=01CRU&amp;lang=en_US&amp;offset=0&amp;query=any,contains,991002893729702656","Catalog Record")</f>
        <v/>
      </c>
      <c r="AT1247">
        <f>HYPERLINK("http://www.worldcat.org/oclc/512815","WorldCat Record")</f>
        <v/>
      </c>
      <c r="AU1247" t="inlineStr">
        <is>
          <t>1480906:eng</t>
        </is>
      </c>
      <c r="AV1247" t="inlineStr">
        <is>
          <t>512815</t>
        </is>
      </c>
      <c r="AW1247" t="inlineStr">
        <is>
          <t>991002893729702656</t>
        </is>
      </c>
      <c r="AX1247" t="inlineStr">
        <is>
          <t>991002893729702656</t>
        </is>
      </c>
      <c r="AY1247" t="inlineStr">
        <is>
          <t>2263274220002656</t>
        </is>
      </c>
      <c r="AZ1247" t="inlineStr">
        <is>
          <t>BOOK</t>
        </is>
      </c>
      <c r="BC1247" t="inlineStr">
        <is>
          <t>32285000787373</t>
        </is>
      </c>
      <c r="BD1247" t="inlineStr">
        <is>
          <t>893717045</t>
        </is>
      </c>
    </row>
    <row r="1248">
      <c r="A1248" t="inlineStr">
        <is>
          <t>No</t>
        </is>
      </c>
      <c r="B1248" t="inlineStr">
        <is>
          <t>BX2200 .M67 1943</t>
        </is>
      </c>
      <c r="C1248" t="inlineStr">
        <is>
          <t>0                      BX 2200000M  67          1943</t>
        </is>
      </c>
      <c r="D1248" t="inlineStr">
        <is>
          <t>In touch with God : prayer, mass, and the sacraments / [by] Bakewell Morrison.</t>
        </is>
      </c>
      <c r="F1248" t="inlineStr">
        <is>
          <t>No</t>
        </is>
      </c>
      <c r="G1248" t="inlineStr">
        <is>
          <t>1</t>
        </is>
      </c>
      <c r="H1248" t="inlineStr">
        <is>
          <t>No</t>
        </is>
      </c>
      <c r="I1248" t="inlineStr">
        <is>
          <t>No</t>
        </is>
      </c>
      <c r="J1248" t="inlineStr">
        <is>
          <t>0</t>
        </is>
      </c>
      <c r="K1248" t="inlineStr">
        <is>
          <t>Morrison, Bakewell, 1894-</t>
        </is>
      </c>
      <c r="L1248" t="inlineStr">
        <is>
          <t>Milwaukee : The Bruce publishing company, [1943]</t>
        </is>
      </c>
      <c r="M1248" t="inlineStr">
        <is>
          <t>1943</t>
        </is>
      </c>
      <c r="O1248" t="inlineStr">
        <is>
          <t>eng</t>
        </is>
      </c>
      <c r="P1248" t="inlineStr">
        <is>
          <t>wiu</t>
        </is>
      </c>
      <c r="Q1248" t="inlineStr">
        <is>
          <t>Religion and culture series</t>
        </is>
      </c>
      <c r="R1248" t="inlineStr">
        <is>
          <t xml:space="preserve">BX </t>
        </is>
      </c>
      <c r="S1248" t="n">
        <v>4</v>
      </c>
      <c r="T1248" t="n">
        <v>4</v>
      </c>
      <c r="U1248" t="inlineStr">
        <is>
          <t>2007-10-15</t>
        </is>
      </c>
      <c r="V1248" t="inlineStr">
        <is>
          <t>2007-10-15</t>
        </is>
      </c>
      <c r="W1248" t="inlineStr">
        <is>
          <t>1991-10-10</t>
        </is>
      </c>
      <c r="X1248" t="inlineStr">
        <is>
          <t>1991-10-10</t>
        </is>
      </c>
      <c r="Y1248" t="n">
        <v>68</v>
      </c>
      <c r="Z1248" t="n">
        <v>65</v>
      </c>
      <c r="AA1248" t="n">
        <v>65</v>
      </c>
      <c r="AB1248" t="n">
        <v>1</v>
      </c>
      <c r="AC1248" t="n">
        <v>1</v>
      </c>
      <c r="AD1248" t="n">
        <v>17</v>
      </c>
      <c r="AE1248" t="n">
        <v>17</v>
      </c>
      <c r="AF1248" t="n">
        <v>3</v>
      </c>
      <c r="AG1248" t="n">
        <v>3</v>
      </c>
      <c r="AH1248" t="n">
        <v>7</v>
      </c>
      <c r="AI1248" t="n">
        <v>7</v>
      </c>
      <c r="AJ1248" t="n">
        <v>14</v>
      </c>
      <c r="AK1248" t="n">
        <v>14</v>
      </c>
      <c r="AL1248" t="n">
        <v>0</v>
      </c>
      <c r="AM1248" t="n">
        <v>0</v>
      </c>
      <c r="AN1248" t="n">
        <v>0</v>
      </c>
      <c r="AO1248" t="n">
        <v>0</v>
      </c>
      <c r="AP1248" t="inlineStr">
        <is>
          <t>No</t>
        </is>
      </c>
      <c r="AQ1248" t="inlineStr">
        <is>
          <t>No</t>
        </is>
      </c>
      <c r="AS1248">
        <f>HYPERLINK("https://creighton-primo.hosted.exlibrisgroup.com/primo-explore/search?tab=default_tab&amp;search_scope=EVERYTHING&amp;vid=01CRU&amp;lang=en_US&amp;offset=0&amp;query=any,contains,991003968239702656","Catalog Record")</f>
        <v/>
      </c>
      <c r="AT1248">
        <f>HYPERLINK("http://www.worldcat.org/oclc/1990811","WorldCat Record")</f>
        <v/>
      </c>
      <c r="AU1248" t="inlineStr">
        <is>
          <t>3272534:eng</t>
        </is>
      </c>
      <c r="AV1248" t="inlineStr">
        <is>
          <t>1990811</t>
        </is>
      </c>
      <c r="AW1248" t="inlineStr">
        <is>
          <t>991003968239702656</t>
        </is>
      </c>
      <c r="AX1248" t="inlineStr">
        <is>
          <t>991003968239702656</t>
        </is>
      </c>
      <c r="AY1248" t="inlineStr">
        <is>
          <t>2261942230002656</t>
        </is>
      </c>
      <c r="AZ1248" t="inlineStr">
        <is>
          <t>BOOK</t>
        </is>
      </c>
      <c r="BC1248" t="inlineStr">
        <is>
          <t>32285000787381</t>
        </is>
      </c>
      <c r="BD1248" t="inlineStr">
        <is>
          <t>893699651</t>
        </is>
      </c>
    </row>
    <row r="1249">
      <c r="A1249" t="inlineStr">
        <is>
          <t>No</t>
        </is>
      </c>
      <c r="B1249" t="inlineStr">
        <is>
          <t>BX2200 .O33 1964</t>
        </is>
      </c>
      <c r="C1249" t="inlineStr">
        <is>
          <t>0                      BX 2200000O  33          1964</t>
        </is>
      </c>
      <c r="D1249" t="inlineStr">
        <is>
          <t>Sacraments : the gestures of Christ / edited by Denis O'Callaghan.</t>
        </is>
      </c>
      <c r="F1249" t="inlineStr">
        <is>
          <t>No</t>
        </is>
      </c>
      <c r="G1249" t="inlineStr">
        <is>
          <t>1</t>
        </is>
      </c>
      <c r="H1249" t="inlineStr">
        <is>
          <t>No</t>
        </is>
      </c>
      <c r="I1249" t="inlineStr">
        <is>
          <t>No</t>
        </is>
      </c>
      <c r="J1249" t="inlineStr">
        <is>
          <t>0</t>
        </is>
      </c>
      <c r="K1249" t="inlineStr">
        <is>
          <t>O'Callaghan, Denis, 1931-, editor.</t>
        </is>
      </c>
      <c r="L1249" t="inlineStr">
        <is>
          <t>New York : Sheed and Ward, [c1964]</t>
        </is>
      </c>
      <c r="M1249" t="inlineStr">
        <is>
          <t>1964</t>
        </is>
      </c>
      <c r="O1249" t="inlineStr">
        <is>
          <t>eng</t>
        </is>
      </c>
      <c r="P1249" t="inlineStr">
        <is>
          <t>nyu</t>
        </is>
      </c>
      <c r="R1249" t="inlineStr">
        <is>
          <t xml:space="preserve">BX </t>
        </is>
      </c>
      <c r="S1249" t="n">
        <v>8</v>
      </c>
      <c r="T1249" t="n">
        <v>8</v>
      </c>
      <c r="U1249" t="inlineStr">
        <is>
          <t>2000-11-08</t>
        </is>
      </c>
      <c r="V1249" t="inlineStr">
        <is>
          <t>2000-11-08</t>
        </is>
      </c>
      <c r="W1249" t="inlineStr">
        <is>
          <t>1991-10-10</t>
        </is>
      </c>
      <c r="X1249" t="inlineStr">
        <is>
          <t>1991-10-10</t>
        </is>
      </c>
      <c r="Y1249" t="n">
        <v>178</v>
      </c>
      <c r="Z1249" t="n">
        <v>159</v>
      </c>
      <c r="AA1249" t="n">
        <v>160</v>
      </c>
      <c r="AB1249" t="n">
        <v>4</v>
      </c>
      <c r="AC1249" t="n">
        <v>4</v>
      </c>
      <c r="AD1249" t="n">
        <v>31</v>
      </c>
      <c r="AE1249" t="n">
        <v>31</v>
      </c>
      <c r="AF1249" t="n">
        <v>11</v>
      </c>
      <c r="AG1249" t="n">
        <v>11</v>
      </c>
      <c r="AH1249" t="n">
        <v>8</v>
      </c>
      <c r="AI1249" t="n">
        <v>8</v>
      </c>
      <c r="AJ1249" t="n">
        <v>22</v>
      </c>
      <c r="AK1249" t="n">
        <v>22</v>
      </c>
      <c r="AL1249" t="n">
        <v>1</v>
      </c>
      <c r="AM1249" t="n">
        <v>1</v>
      </c>
      <c r="AN1249" t="n">
        <v>0</v>
      </c>
      <c r="AO1249" t="n">
        <v>0</v>
      </c>
      <c r="AP1249" t="inlineStr">
        <is>
          <t>No</t>
        </is>
      </c>
      <c r="AQ1249" t="inlineStr">
        <is>
          <t>No</t>
        </is>
      </c>
      <c r="AS1249">
        <f>HYPERLINK("https://creighton-primo.hosted.exlibrisgroup.com/primo-explore/search?tab=default_tab&amp;search_scope=EVERYTHING&amp;vid=01CRU&amp;lang=en_US&amp;offset=0&amp;query=any,contains,991003968269702656","Catalog Record")</f>
        <v/>
      </c>
      <c r="AT1249">
        <f>HYPERLINK("http://www.worldcat.org/oclc/1990815","WorldCat Record")</f>
        <v/>
      </c>
      <c r="AU1249" t="inlineStr">
        <is>
          <t>4020170311:eng</t>
        </is>
      </c>
      <c r="AV1249" t="inlineStr">
        <is>
          <t>1990815</t>
        </is>
      </c>
      <c r="AW1249" t="inlineStr">
        <is>
          <t>991003968269702656</t>
        </is>
      </c>
      <c r="AX1249" t="inlineStr">
        <is>
          <t>991003968269702656</t>
        </is>
      </c>
      <c r="AY1249" t="inlineStr">
        <is>
          <t>2261942550002656</t>
        </is>
      </c>
      <c r="AZ1249" t="inlineStr">
        <is>
          <t>BOOK</t>
        </is>
      </c>
      <c r="BC1249" t="inlineStr">
        <is>
          <t>32285000787399</t>
        </is>
      </c>
      <c r="BD1249" t="inlineStr">
        <is>
          <t>893519097</t>
        </is>
      </c>
    </row>
    <row r="1250">
      <c r="A1250" t="inlineStr">
        <is>
          <t>No</t>
        </is>
      </c>
      <c r="B1250" t="inlineStr">
        <is>
          <t>BX2200 .O6 1964</t>
        </is>
      </c>
      <c r="C1250" t="inlineStr">
        <is>
          <t>0                      BX 2200000O  6           1964</t>
        </is>
      </c>
      <c r="D1250" t="inlineStr">
        <is>
          <t>Meeting Christ in the sacraments / [by] Colman E. O'Neill.</t>
        </is>
      </c>
      <c r="F1250" t="inlineStr">
        <is>
          <t>No</t>
        </is>
      </c>
      <c r="G1250" t="inlineStr">
        <is>
          <t>1</t>
        </is>
      </c>
      <c r="H1250" t="inlineStr">
        <is>
          <t>No</t>
        </is>
      </c>
      <c r="I1250" t="inlineStr">
        <is>
          <t>No</t>
        </is>
      </c>
      <c r="J1250" t="inlineStr">
        <is>
          <t>0</t>
        </is>
      </c>
      <c r="K1250" t="inlineStr">
        <is>
          <t>O'Neill, Colman E.</t>
        </is>
      </c>
      <c r="L1250" t="inlineStr">
        <is>
          <t>Staten Island, New York : Alba House, [1964]</t>
        </is>
      </c>
      <c r="M1250" t="inlineStr">
        <is>
          <t>1964</t>
        </is>
      </c>
      <c r="O1250" t="inlineStr">
        <is>
          <t>eng</t>
        </is>
      </c>
      <c r="P1250" t="inlineStr">
        <is>
          <t>nyu</t>
        </is>
      </c>
      <c r="R1250" t="inlineStr">
        <is>
          <t xml:space="preserve">BX </t>
        </is>
      </c>
      <c r="S1250" t="n">
        <v>5</v>
      </c>
      <c r="T1250" t="n">
        <v>5</v>
      </c>
      <c r="U1250" t="inlineStr">
        <is>
          <t>1995-11-25</t>
        </is>
      </c>
      <c r="V1250" t="inlineStr">
        <is>
          <t>1995-11-25</t>
        </is>
      </c>
      <c r="W1250" t="inlineStr">
        <is>
          <t>1991-10-10</t>
        </is>
      </c>
      <c r="X1250" t="inlineStr">
        <is>
          <t>1991-10-10</t>
        </is>
      </c>
      <c r="Y1250" t="n">
        <v>211</v>
      </c>
      <c r="Z1250" t="n">
        <v>194</v>
      </c>
      <c r="AA1250" t="n">
        <v>231</v>
      </c>
      <c r="AB1250" t="n">
        <v>3</v>
      </c>
      <c r="AC1250" t="n">
        <v>4</v>
      </c>
      <c r="AD1250" t="n">
        <v>32</v>
      </c>
      <c r="AE1250" t="n">
        <v>33</v>
      </c>
      <c r="AF1250" t="n">
        <v>11</v>
      </c>
      <c r="AG1250" t="n">
        <v>11</v>
      </c>
      <c r="AH1250" t="n">
        <v>8</v>
      </c>
      <c r="AI1250" t="n">
        <v>9</v>
      </c>
      <c r="AJ1250" t="n">
        <v>22</v>
      </c>
      <c r="AK1250" t="n">
        <v>23</v>
      </c>
      <c r="AL1250" t="n">
        <v>1</v>
      </c>
      <c r="AM1250" t="n">
        <v>1</v>
      </c>
      <c r="AN1250" t="n">
        <v>0</v>
      </c>
      <c r="AO1250" t="n">
        <v>0</v>
      </c>
      <c r="AP1250" t="inlineStr">
        <is>
          <t>No</t>
        </is>
      </c>
      <c r="AQ1250" t="inlineStr">
        <is>
          <t>No</t>
        </is>
      </c>
      <c r="AS1250">
        <f>HYPERLINK("https://creighton-primo.hosted.exlibrisgroup.com/primo-explore/search?tab=default_tab&amp;search_scope=EVERYTHING&amp;vid=01CRU&amp;lang=en_US&amp;offset=0&amp;query=any,contains,991003948709702656","Catalog Record")</f>
        <v/>
      </c>
      <c r="AT1250">
        <f>HYPERLINK("http://www.worldcat.org/oclc/1952185","WorldCat Record")</f>
        <v/>
      </c>
      <c r="AU1250" t="inlineStr">
        <is>
          <t>2580127:eng</t>
        </is>
      </c>
      <c r="AV1250" t="inlineStr">
        <is>
          <t>1952185</t>
        </is>
      </c>
      <c r="AW1250" t="inlineStr">
        <is>
          <t>991003948709702656</t>
        </is>
      </c>
      <c r="AX1250" t="inlineStr">
        <is>
          <t>991003948709702656</t>
        </is>
      </c>
      <c r="AY1250" t="inlineStr">
        <is>
          <t>2268313120002656</t>
        </is>
      </c>
      <c r="AZ1250" t="inlineStr">
        <is>
          <t>BOOK</t>
        </is>
      </c>
      <c r="BC1250" t="inlineStr">
        <is>
          <t>32285000787407</t>
        </is>
      </c>
      <c r="BD1250" t="inlineStr">
        <is>
          <t>893417037</t>
        </is>
      </c>
    </row>
    <row r="1251">
      <c r="A1251" t="inlineStr">
        <is>
          <t>No</t>
        </is>
      </c>
      <c r="B1251" t="inlineStr">
        <is>
          <t>BX2200 .P75 1992</t>
        </is>
      </c>
      <c r="C1251" t="inlineStr">
        <is>
          <t>0                      BX 2200000P  75          1992</t>
        </is>
      </c>
      <c r="D1251" t="inlineStr">
        <is>
          <t>A promise of presence / [Michael Downey, Richard Fragomeni, editors].</t>
        </is>
      </c>
      <c r="F1251" t="inlineStr">
        <is>
          <t>No</t>
        </is>
      </c>
      <c r="G1251" t="inlineStr">
        <is>
          <t>1</t>
        </is>
      </c>
      <c r="H1251" t="inlineStr">
        <is>
          <t>No</t>
        </is>
      </c>
      <c r="I1251" t="inlineStr">
        <is>
          <t>No</t>
        </is>
      </c>
      <c r="J1251" t="inlineStr">
        <is>
          <t>0</t>
        </is>
      </c>
      <c r="L1251" t="inlineStr">
        <is>
          <t>Washington, D.C. : Pastoral Press, c1992.</t>
        </is>
      </c>
      <c r="M1251" t="inlineStr">
        <is>
          <t>1992</t>
        </is>
      </c>
      <c r="O1251" t="inlineStr">
        <is>
          <t>eng</t>
        </is>
      </c>
      <c r="P1251" t="inlineStr">
        <is>
          <t>dcu</t>
        </is>
      </c>
      <c r="R1251" t="inlineStr">
        <is>
          <t xml:space="preserve">BX </t>
        </is>
      </c>
      <c r="S1251" t="n">
        <v>3</v>
      </c>
      <c r="T1251" t="n">
        <v>3</v>
      </c>
      <c r="U1251" t="inlineStr">
        <is>
          <t>2004-10-28</t>
        </is>
      </c>
      <c r="V1251" t="inlineStr">
        <is>
          <t>2004-10-28</t>
        </is>
      </c>
      <c r="W1251" t="inlineStr">
        <is>
          <t>2004-05-05</t>
        </is>
      </c>
      <c r="X1251" t="inlineStr">
        <is>
          <t>2004-05-05</t>
        </is>
      </c>
      <c r="Y1251" t="n">
        <v>99</v>
      </c>
      <c r="Z1251" t="n">
        <v>83</v>
      </c>
      <c r="AA1251" t="n">
        <v>83</v>
      </c>
      <c r="AB1251" t="n">
        <v>1</v>
      </c>
      <c r="AC1251" t="n">
        <v>1</v>
      </c>
      <c r="AD1251" t="n">
        <v>14</v>
      </c>
      <c r="AE1251" t="n">
        <v>14</v>
      </c>
      <c r="AF1251" t="n">
        <v>2</v>
      </c>
      <c r="AG1251" t="n">
        <v>2</v>
      </c>
      <c r="AH1251" t="n">
        <v>4</v>
      </c>
      <c r="AI1251" t="n">
        <v>4</v>
      </c>
      <c r="AJ1251" t="n">
        <v>10</v>
      </c>
      <c r="AK1251" t="n">
        <v>10</v>
      </c>
      <c r="AL1251" t="n">
        <v>0</v>
      </c>
      <c r="AM1251" t="n">
        <v>0</v>
      </c>
      <c r="AN1251" t="n">
        <v>0</v>
      </c>
      <c r="AO1251" t="n">
        <v>0</v>
      </c>
      <c r="AP1251" t="inlineStr">
        <is>
          <t>No</t>
        </is>
      </c>
      <c r="AQ1251" t="inlineStr">
        <is>
          <t>No</t>
        </is>
      </c>
      <c r="AS1251">
        <f>HYPERLINK("https://creighton-primo.hosted.exlibrisgroup.com/primo-explore/search?tab=default_tab&amp;search_scope=EVERYTHING&amp;vid=01CRU&amp;lang=en_US&amp;offset=0&amp;query=any,contains,991004295449702656","Catalog Record")</f>
        <v/>
      </c>
      <c r="AT1251">
        <f>HYPERLINK("http://www.worldcat.org/oclc/26828238","WorldCat Record")</f>
        <v/>
      </c>
      <c r="AU1251" t="inlineStr">
        <is>
          <t>29632827:eng</t>
        </is>
      </c>
      <c r="AV1251" t="inlineStr">
        <is>
          <t>26828238</t>
        </is>
      </c>
      <c r="AW1251" t="inlineStr">
        <is>
          <t>991004295449702656</t>
        </is>
      </c>
      <c r="AX1251" t="inlineStr">
        <is>
          <t>991004295449702656</t>
        </is>
      </c>
      <c r="AY1251" t="inlineStr">
        <is>
          <t>2264143440002656</t>
        </is>
      </c>
      <c r="AZ1251" t="inlineStr">
        <is>
          <t>BOOK</t>
        </is>
      </c>
      <c r="BB1251" t="inlineStr">
        <is>
          <t>9780912405926</t>
        </is>
      </c>
      <c r="BC1251" t="inlineStr">
        <is>
          <t>32285004904149</t>
        </is>
      </c>
      <c r="BD1251" t="inlineStr">
        <is>
          <t>893519465</t>
        </is>
      </c>
    </row>
    <row r="1252">
      <c r="A1252" t="inlineStr">
        <is>
          <t>No</t>
        </is>
      </c>
      <c r="B1252" t="inlineStr">
        <is>
          <t>BX2200 .S33 1966</t>
        </is>
      </c>
      <c r="C1252" t="inlineStr">
        <is>
          <t>0                      BX 2200000S  33          1966</t>
        </is>
      </c>
      <c r="D1252" t="inlineStr">
        <is>
          <t>The sacraments of life and worship / [by] John P. Schanz.</t>
        </is>
      </c>
      <c r="F1252" t="inlineStr">
        <is>
          <t>No</t>
        </is>
      </c>
      <c r="G1252" t="inlineStr">
        <is>
          <t>1</t>
        </is>
      </c>
      <c r="H1252" t="inlineStr">
        <is>
          <t>No</t>
        </is>
      </c>
      <c r="I1252" t="inlineStr">
        <is>
          <t>No</t>
        </is>
      </c>
      <c r="J1252" t="inlineStr">
        <is>
          <t>0</t>
        </is>
      </c>
      <c r="K1252" t="inlineStr">
        <is>
          <t>Schanz, John P.</t>
        </is>
      </c>
      <c r="L1252" t="inlineStr">
        <is>
          <t>Milwaukee : Bruce Pub. Co., [1966]</t>
        </is>
      </c>
      <c r="M1252" t="inlineStr">
        <is>
          <t>1966</t>
        </is>
      </c>
      <c r="O1252" t="inlineStr">
        <is>
          <t>eng</t>
        </is>
      </c>
      <c r="P1252" t="inlineStr">
        <is>
          <t>wiu</t>
        </is>
      </c>
      <c r="Q1252" t="inlineStr">
        <is>
          <t>Contemporary college theology series. Ecclesial theology section</t>
        </is>
      </c>
      <c r="R1252" t="inlineStr">
        <is>
          <t xml:space="preserve">BX </t>
        </is>
      </c>
      <c r="S1252" t="n">
        <v>1</v>
      </c>
      <c r="T1252" t="n">
        <v>1</v>
      </c>
      <c r="U1252" t="inlineStr">
        <is>
          <t>1992-11-06</t>
        </is>
      </c>
      <c r="V1252" t="inlineStr">
        <is>
          <t>1992-11-06</t>
        </is>
      </c>
      <c r="W1252" t="inlineStr">
        <is>
          <t>1991-10-10</t>
        </is>
      </c>
      <c r="X1252" t="inlineStr">
        <is>
          <t>1991-10-10</t>
        </is>
      </c>
      <c r="Y1252" t="n">
        <v>262</v>
      </c>
      <c r="Z1252" t="n">
        <v>225</v>
      </c>
      <c r="AA1252" t="n">
        <v>230</v>
      </c>
      <c r="AB1252" t="n">
        <v>5</v>
      </c>
      <c r="AC1252" t="n">
        <v>5</v>
      </c>
      <c r="AD1252" t="n">
        <v>28</v>
      </c>
      <c r="AE1252" t="n">
        <v>28</v>
      </c>
      <c r="AF1252" t="n">
        <v>8</v>
      </c>
      <c r="AG1252" t="n">
        <v>8</v>
      </c>
      <c r="AH1252" t="n">
        <v>7</v>
      </c>
      <c r="AI1252" t="n">
        <v>7</v>
      </c>
      <c r="AJ1252" t="n">
        <v>20</v>
      </c>
      <c r="AK1252" t="n">
        <v>20</v>
      </c>
      <c r="AL1252" t="n">
        <v>3</v>
      </c>
      <c r="AM1252" t="n">
        <v>3</v>
      </c>
      <c r="AN1252" t="n">
        <v>0</v>
      </c>
      <c r="AO1252" t="n">
        <v>0</v>
      </c>
      <c r="AP1252" t="inlineStr">
        <is>
          <t>No</t>
        </is>
      </c>
      <c r="AQ1252" t="inlineStr">
        <is>
          <t>No</t>
        </is>
      </c>
      <c r="AS1252">
        <f>HYPERLINK("https://creighton-primo.hosted.exlibrisgroup.com/primo-explore/search?tab=default_tab&amp;search_scope=EVERYTHING&amp;vid=01CRU&amp;lang=en_US&amp;offset=0&amp;query=any,contains,991003210029702656","Catalog Record")</f>
        <v/>
      </c>
      <c r="AT1252">
        <f>HYPERLINK("http://www.worldcat.org/oclc/736308","WorldCat Record")</f>
        <v/>
      </c>
      <c r="AU1252" t="inlineStr">
        <is>
          <t>1779971:eng</t>
        </is>
      </c>
      <c r="AV1252" t="inlineStr">
        <is>
          <t>736308</t>
        </is>
      </c>
      <c r="AW1252" t="inlineStr">
        <is>
          <t>991003210029702656</t>
        </is>
      </c>
      <c r="AX1252" t="inlineStr">
        <is>
          <t>991003210029702656</t>
        </is>
      </c>
      <c r="AY1252" t="inlineStr">
        <is>
          <t>2254782950002656</t>
        </is>
      </c>
      <c r="AZ1252" t="inlineStr">
        <is>
          <t>BOOK</t>
        </is>
      </c>
      <c r="BC1252" t="inlineStr">
        <is>
          <t>32285000787464</t>
        </is>
      </c>
      <c r="BD1252" t="inlineStr">
        <is>
          <t>893774511</t>
        </is>
      </c>
    </row>
    <row r="1253">
      <c r="A1253" t="inlineStr">
        <is>
          <t>No</t>
        </is>
      </c>
      <c r="B1253" t="inlineStr">
        <is>
          <t>BX2200 .S47 2000</t>
        </is>
      </c>
      <c r="C1253" t="inlineStr">
        <is>
          <t>0                      BX 2200000S  47          2000</t>
        </is>
      </c>
      <c r="D1253" t="inlineStr">
        <is>
          <t>Signatures of grace : Catholic writers on the sacraments / edited by Thomas Grady and Paula Huston ; with essays by Murray Bodo ... [et al.].</t>
        </is>
      </c>
      <c r="F1253" t="inlineStr">
        <is>
          <t>No</t>
        </is>
      </c>
      <c r="G1253" t="inlineStr">
        <is>
          <t>1</t>
        </is>
      </c>
      <c r="H1253" t="inlineStr">
        <is>
          <t>No</t>
        </is>
      </c>
      <c r="I1253" t="inlineStr">
        <is>
          <t>No</t>
        </is>
      </c>
      <c r="J1253" t="inlineStr">
        <is>
          <t>0</t>
        </is>
      </c>
      <c r="L1253" t="inlineStr">
        <is>
          <t>New York : Dutton, c2000.</t>
        </is>
      </c>
      <c r="M1253" t="inlineStr">
        <is>
          <t>2000</t>
        </is>
      </c>
      <c r="O1253" t="inlineStr">
        <is>
          <t>eng</t>
        </is>
      </c>
      <c r="P1253" t="inlineStr">
        <is>
          <t>nyu</t>
        </is>
      </c>
      <c r="R1253" t="inlineStr">
        <is>
          <t xml:space="preserve">BX </t>
        </is>
      </c>
      <c r="S1253" t="n">
        <v>2</v>
      </c>
      <c r="T1253" t="n">
        <v>2</v>
      </c>
      <c r="U1253" t="inlineStr">
        <is>
          <t>2006-03-28</t>
        </is>
      </c>
      <c r="V1253" t="inlineStr">
        <is>
          <t>2006-03-28</t>
        </is>
      </c>
      <c r="W1253" t="inlineStr">
        <is>
          <t>2000-07-06</t>
        </is>
      </c>
      <c r="X1253" t="inlineStr">
        <is>
          <t>2000-07-06</t>
        </is>
      </c>
      <c r="Y1253" t="n">
        <v>267</v>
      </c>
      <c r="Z1253" t="n">
        <v>262</v>
      </c>
      <c r="AA1253" t="n">
        <v>371</v>
      </c>
      <c r="AB1253" t="n">
        <v>1</v>
      </c>
      <c r="AC1253" t="n">
        <v>2</v>
      </c>
      <c r="AD1253" t="n">
        <v>15</v>
      </c>
      <c r="AE1253" t="n">
        <v>22</v>
      </c>
      <c r="AF1253" t="n">
        <v>4</v>
      </c>
      <c r="AG1253" t="n">
        <v>7</v>
      </c>
      <c r="AH1253" t="n">
        <v>2</v>
      </c>
      <c r="AI1253" t="n">
        <v>5</v>
      </c>
      <c r="AJ1253" t="n">
        <v>14</v>
      </c>
      <c r="AK1253" t="n">
        <v>18</v>
      </c>
      <c r="AL1253" t="n">
        <v>0</v>
      </c>
      <c r="AM1253" t="n">
        <v>1</v>
      </c>
      <c r="AN1253" t="n">
        <v>0</v>
      </c>
      <c r="AO1253" t="n">
        <v>0</v>
      </c>
      <c r="AP1253" t="inlineStr">
        <is>
          <t>No</t>
        </is>
      </c>
      <c r="AQ1253" t="inlineStr">
        <is>
          <t>Yes</t>
        </is>
      </c>
      <c r="AR1253">
        <f>HYPERLINK("http://catalog.hathitrust.org/Record/004088452","HathiTrust Record")</f>
        <v/>
      </c>
      <c r="AS1253">
        <f>HYPERLINK("https://creighton-primo.hosted.exlibrisgroup.com/primo-explore/search?tab=default_tab&amp;search_scope=EVERYTHING&amp;vid=01CRU&amp;lang=en_US&amp;offset=0&amp;query=any,contains,991003199109702656","Catalog Record")</f>
        <v/>
      </c>
      <c r="AT1253">
        <f>HYPERLINK("http://www.worldcat.org/oclc/42980093","WorldCat Record")</f>
        <v/>
      </c>
      <c r="AU1253" t="inlineStr">
        <is>
          <t>438948332:eng</t>
        </is>
      </c>
      <c r="AV1253" t="inlineStr">
        <is>
          <t>42980093</t>
        </is>
      </c>
      <c r="AW1253" t="inlineStr">
        <is>
          <t>991003199109702656</t>
        </is>
      </c>
      <c r="AX1253" t="inlineStr">
        <is>
          <t>991003199109702656</t>
        </is>
      </c>
      <c r="AY1253" t="inlineStr">
        <is>
          <t>2260468570002656</t>
        </is>
      </c>
      <c r="AZ1253" t="inlineStr">
        <is>
          <t>BOOK</t>
        </is>
      </c>
      <c r="BB1253" t="inlineStr">
        <is>
          <t>9780525945338</t>
        </is>
      </c>
      <c r="BC1253" t="inlineStr">
        <is>
          <t>32285003713947</t>
        </is>
      </c>
      <c r="BD1253" t="inlineStr">
        <is>
          <t>893258152</t>
        </is>
      </c>
    </row>
    <row r="1254">
      <c r="A1254" t="inlineStr">
        <is>
          <t>No</t>
        </is>
      </c>
      <c r="B1254" t="inlineStr">
        <is>
          <t>BX2200 .S8 1964</t>
        </is>
      </c>
      <c r="C1254" t="inlineStr">
        <is>
          <t>0                      BX 2200000S  8           1964</t>
        </is>
      </c>
      <c r="D1254" t="inlineStr">
        <is>
          <t>Readings in sacramental theology / ]c. Stephen Sullivan.</t>
        </is>
      </c>
      <c r="F1254" t="inlineStr">
        <is>
          <t>No</t>
        </is>
      </c>
      <c r="G1254" t="inlineStr">
        <is>
          <t>1</t>
        </is>
      </c>
      <c r="H1254" t="inlineStr">
        <is>
          <t>No</t>
        </is>
      </c>
      <c r="I1254" t="inlineStr">
        <is>
          <t>No</t>
        </is>
      </c>
      <c r="J1254" t="inlineStr">
        <is>
          <t>0</t>
        </is>
      </c>
      <c r="K1254" t="inlineStr">
        <is>
          <t>Sullivan, C. Stephen, 1920-, editor.</t>
        </is>
      </c>
      <c r="L1254" t="inlineStr">
        <is>
          <t>Englewood Cliffs, N.J., Prentice-Hall [1964]</t>
        </is>
      </c>
      <c r="M1254" t="inlineStr">
        <is>
          <t>1964</t>
        </is>
      </c>
      <c r="O1254" t="inlineStr">
        <is>
          <t>eng</t>
        </is>
      </c>
      <c r="P1254" t="inlineStr">
        <is>
          <t>nju</t>
        </is>
      </c>
      <c r="R1254" t="inlineStr">
        <is>
          <t xml:space="preserve">BX </t>
        </is>
      </c>
      <c r="S1254" t="n">
        <v>3</v>
      </c>
      <c r="T1254" t="n">
        <v>3</v>
      </c>
      <c r="U1254" t="inlineStr">
        <is>
          <t>1993-12-03</t>
        </is>
      </c>
      <c r="V1254" t="inlineStr">
        <is>
          <t>1993-12-03</t>
        </is>
      </c>
      <c r="W1254" t="inlineStr">
        <is>
          <t>1991-10-10</t>
        </is>
      </c>
      <c r="X1254" t="inlineStr">
        <is>
          <t>1991-10-10</t>
        </is>
      </c>
      <c r="Y1254" t="n">
        <v>284</v>
      </c>
      <c r="Z1254" t="n">
        <v>243</v>
      </c>
      <c r="AA1254" t="n">
        <v>248</v>
      </c>
      <c r="AB1254" t="n">
        <v>3</v>
      </c>
      <c r="AC1254" t="n">
        <v>3</v>
      </c>
      <c r="AD1254" t="n">
        <v>34</v>
      </c>
      <c r="AE1254" t="n">
        <v>34</v>
      </c>
      <c r="AF1254" t="n">
        <v>11</v>
      </c>
      <c r="AG1254" t="n">
        <v>11</v>
      </c>
      <c r="AH1254" t="n">
        <v>8</v>
      </c>
      <c r="AI1254" t="n">
        <v>8</v>
      </c>
      <c r="AJ1254" t="n">
        <v>26</v>
      </c>
      <c r="AK1254" t="n">
        <v>26</v>
      </c>
      <c r="AL1254" t="n">
        <v>1</v>
      </c>
      <c r="AM1254" t="n">
        <v>1</v>
      </c>
      <c r="AN1254" t="n">
        <v>0</v>
      </c>
      <c r="AO1254" t="n">
        <v>0</v>
      </c>
      <c r="AP1254" t="inlineStr">
        <is>
          <t>No</t>
        </is>
      </c>
      <c r="AQ1254" t="inlineStr">
        <is>
          <t>No</t>
        </is>
      </c>
      <c r="AS1254">
        <f>HYPERLINK("https://creighton-primo.hosted.exlibrisgroup.com/primo-explore/search?tab=default_tab&amp;search_scope=EVERYTHING&amp;vid=01CRU&amp;lang=en_US&amp;offset=0&amp;query=any,contains,991002485579702656","Catalog Record")</f>
        <v/>
      </c>
      <c r="AT1254">
        <f>HYPERLINK("http://www.worldcat.org/oclc/360855","WorldCat Record")</f>
        <v/>
      </c>
      <c r="AU1254" t="inlineStr">
        <is>
          <t>1412765:eng</t>
        </is>
      </c>
      <c r="AV1254" t="inlineStr">
        <is>
          <t>360855</t>
        </is>
      </c>
      <c r="AW1254" t="inlineStr">
        <is>
          <t>991002485579702656</t>
        </is>
      </c>
      <c r="AX1254" t="inlineStr">
        <is>
          <t>991002485579702656</t>
        </is>
      </c>
      <c r="AY1254" t="inlineStr">
        <is>
          <t>2263756060002656</t>
        </is>
      </c>
      <c r="AZ1254" t="inlineStr">
        <is>
          <t>BOOK</t>
        </is>
      </c>
      <c r="BC1254" t="inlineStr">
        <is>
          <t>32285000787514</t>
        </is>
      </c>
      <c r="BD1254" t="inlineStr">
        <is>
          <t>893530060</t>
        </is>
      </c>
    </row>
    <row r="1255">
      <c r="A1255" t="inlineStr">
        <is>
          <t>No</t>
        </is>
      </c>
      <c r="B1255" t="inlineStr">
        <is>
          <t>BX2200 .T313 1961</t>
        </is>
      </c>
      <c r="C1255" t="inlineStr">
        <is>
          <t>0                      BX 2200000T  313         1961</t>
        </is>
      </c>
      <c r="D1255" t="inlineStr">
        <is>
          <t>The blessed Trinity and the sacraments / by Taymans d'Eypernon.</t>
        </is>
      </c>
      <c r="F1255" t="inlineStr">
        <is>
          <t>No</t>
        </is>
      </c>
      <c r="G1255" t="inlineStr">
        <is>
          <t>1</t>
        </is>
      </c>
      <c r="H1255" t="inlineStr">
        <is>
          <t>No</t>
        </is>
      </c>
      <c r="I1255" t="inlineStr">
        <is>
          <t>No</t>
        </is>
      </c>
      <c r="J1255" t="inlineStr">
        <is>
          <t>0</t>
        </is>
      </c>
      <c r="K1255" t="inlineStr">
        <is>
          <t>Taymans d'Eypernon, François, 1898-1956.</t>
        </is>
      </c>
      <c r="L1255" t="inlineStr">
        <is>
          <t>Westminster, Md. : Newman Press, 1961.</t>
        </is>
      </c>
      <c r="M1255" t="inlineStr">
        <is>
          <t>1949</t>
        </is>
      </c>
      <c r="O1255" t="inlineStr">
        <is>
          <t>eng</t>
        </is>
      </c>
      <c r="P1255" t="inlineStr">
        <is>
          <t xml:space="preserve">xx </t>
        </is>
      </c>
      <c r="R1255" t="inlineStr">
        <is>
          <t xml:space="preserve">BX </t>
        </is>
      </c>
      <c r="S1255" t="n">
        <v>5</v>
      </c>
      <c r="T1255" t="n">
        <v>5</v>
      </c>
      <c r="U1255" t="inlineStr">
        <is>
          <t>2000-08-23</t>
        </is>
      </c>
      <c r="V1255" t="inlineStr">
        <is>
          <t>2000-08-23</t>
        </is>
      </c>
      <c r="W1255" t="inlineStr">
        <is>
          <t>1991-10-10</t>
        </is>
      </c>
      <c r="X1255" t="inlineStr">
        <is>
          <t>1991-10-10</t>
        </is>
      </c>
      <c r="Y1255" t="n">
        <v>118</v>
      </c>
      <c r="Z1255" t="n">
        <v>110</v>
      </c>
      <c r="AA1255" t="n">
        <v>123</v>
      </c>
      <c r="AB1255" t="n">
        <v>2</v>
      </c>
      <c r="AC1255" t="n">
        <v>2</v>
      </c>
      <c r="AD1255" t="n">
        <v>24</v>
      </c>
      <c r="AE1255" t="n">
        <v>28</v>
      </c>
      <c r="AF1255" t="n">
        <v>5</v>
      </c>
      <c r="AG1255" t="n">
        <v>6</v>
      </c>
      <c r="AH1255" t="n">
        <v>7</v>
      </c>
      <c r="AI1255" t="n">
        <v>8</v>
      </c>
      <c r="AJ1255" t="n">
        <v>19</v>
      </c>
      <c r="AK1255" t="n">
        <v>23</v>
      </c>
      <c r="AL1255" t="n">
        <v>0</v>
      </c>
      <c r="AM1255" t="n">
        <v>0</v>
      </c>
      <c r="AN1255" t="n">
        <v>0</v>
      </c>
      <c r="AO1255" t="n">
        <v>0</v>
      </c>
      <c r="AP1255" t="inlineStr">
        <is>
          <t>No</t>
        </is>
      </c>
      <c r="AQ1255" t="inlineStr">
        <is>
          <t>No</t>
        </is>
      </c>
      <c r="AS1255">
        <f>HYPERLINK("https://creighton-primo.hosted.exlibrisgroup.com/primo-explore/search?tab=default_tab&amp;search_scope=EVERYTHING&amp;vid=01CRU&amp;lang=en_US&amp;offset=0&amp;query=any,contains,991003910989702656","Catalog Record")</f>
        <v/>
      </c>
      <c r="AT1255">
        <f>HYPERLINK("http://www.worldcat.org/oclc/1851844","WorldCat Record")</f>
        <v/>
      </c>
      <c r="AU1255" t="inlineStr">
        <is>
          <t>9437868297:eng</t>
        </is>
      </c>
      <c r="AV1255" t="inlineStr">
        <is>
          <t>1851844</t>
        </is>
      </c>
      <c r="AW1255" t="inlineStr">
        <is>
          <t>991003910989702656</t>
        </is>
      </c>
      <c r="AX1255" t="inlineStr">
        <is>
          <t>991003910989702656</t>
        </is>
      </c>
      <c r="AY1255" t="inlineStr">
        <is>
          <t>2260842700002656</t>
        </is>
      </c>
      <c r="AZ1255" t="inlineStr">
        <is>
          <t>BOOK</t>
        </is>
      </c>
      <c r="BC1255" t="inlineStr">
        <is>
          <t>32285000787522</t>
        </is>
      </c>
      <c r="BD1255" t="inlineStr">
        <is>
          <t>893525417</t>
        </is>
      </c>
    </row>
    <row r="1256">
      <c r="A1256" t="inlineStr">
        <is>
          <t>No</t>
        </is>
      </c>
      <c r="B1256" t="inlineStr">
        <is>
          <t>BX2200 .U67 1990</t>
        </is>
      </c>
      <c r="C1256" t="inlineStr">
        <is>
          <t>0                      BX 2200000U  67          1990</t>
        </is>
      </c>
      <c r="D1256" t="inlineStr">
        <is>
          <t>A church for the next generation : sacraments in transition / Julia Upton.</t>
        </is>
      </c>
      <c r="F1256" t="inlineStr">
        <is>
          <t>No</t>
        </is>
      </c>
      <c r="G1256" t="inlineStr">
        <is>
          <t>1</t>
        </is>
      </c>
      <c r="H1256" t="inlineStr">
        <is>
          <t>No</t>
        </is>
      </c>
      <c r="I1256" t="inlineStr">
        <is>
          <t>No</t>
        </is>
      </c>
      <c r="J1256" t="inlineStr">
        <is>
          <t>0</t>
        </is>
      </c>
      <c r="K1256" t="inlineStr">
        <is>
          <t>Upton, Julia.</t>
        </is>
      </c>
      <c r="L1256" t="inlineStr">
        <is>
          <t>Collegeville, Minn. : Liturgical Press, c1990.</t>
        </is>
      </c>
      <c r="M1256" t="inlineStr">
        <is>
          <t>1990</t>
        </is>
      </c>
      <c r="O1256" t="inlineStr">
        <is>
          <t>eng</t>
        </is>
      </c>
      <c r="P1256" t="inlineStr">
        <is>
          <t>mnu</t>
        </is>
      </c>
      <c r="R1256" t="inlineStr">
        <is>
          <t xml:space="preserve">BX </t>
        </is>
      </c>
      <c r="S1256" t="n">
        <v>1</v>
      </c>
      <c r="T1256" t="n">
        <v>1</v>
      </c>
      <c r="U1256" t="inlineStr">
        <is>
          <t>2005-04-13</t>
        </is>
      </c>
      <c r="V1256" t="inlineStr">
        <is>
          <t>2005-04-13</t>
        </is>
      </c>
      <c r="W1256" t="inlineStr">
        <is>
          <t>2005-04-13</t>
        </is>
      </c>
      <c r="X1256" t="inlineStr">
        <is>
          <t>2005-04-13</t>
        </is>
      </c>
      <c r="Y1256" t="n">
        <v>121</v>
      </c>
      <c r="Z1256" t="n">
        <v>96</v>
      </c>
      <c r="AA1256" t="n">
        <v>96</v>
      </c>
      <c r="AB1256" t="n">
        <v>2</v>
      </c>
      <c r="AC1256" t="n">
        <v>2</v>
      </c>
      <c r="AD1256" t="n">
        <v>9</v>
      </c>
      <c r="AE1256" t="n">
        <v>9</v>
      </c>
      <c r="AF1256" t="n">
        <v>3</v>
      </c>
      <c r="AG1256" t="n">
        <v>3</v>
      </c>
      <c r="AH1256" t="n">
        <v>2</v>
      </c>
      <c r="AI1256" t="n">
        <v>2</v>
      </c>
      <c r="AJ1256" t="n">
        <v>6</v>
      </c>
      <c r="AK1256" t="n">
        <v>6</v>
      </c>
      <c r="AL1256" t="n">
        <v>1</v>
      </c>
      <c r="AM1256" t="n">
        <v>1</v>
      </c>
      <c r="AN1256" t="n">
        <v>0</v>
      </c>
      <c r="AO1256" t="n">
        <v>0</v>
      </c>
      <c r="AP1256" t="inlineStr">
        <is>
          <t>No</t>
        </is>
      </c>
      <c r="AQ1256" t="inlineStr">
        <is>
          <t>No</t>
        </is>
      </c>
      <c r="AS1256">
        <f>HYPERLINK("https://creighton-primo.hosted.exlibrisgroup.com/primo-explore/search?tab=default_tab&amp;search_scope=EVERYTHING&amp;vid=01CRU&amp;lang=en_US&amp;offset=0&amp;query=any,contains,991004528789702656","Catalog Record")</f>
        <v/>
      </c>
      <c r="AT1256">
        <f>HYPERLINK("http://www.worldcat.org/oclc/22110261","WorldCat Record")</f>
        <v/>
      </c>
      <c r="AU1256" t="inlineStr">
        <is>
          <t>892117833:eng</t>
        </is>
      </c>
      <c r="AV1256" t="inlineStr">
        <is>
          <t>22110261</t>
        </is>
      </c>
      <c r="AW1256" t="inlineStr">
        <is>
          <t>991004528789702656</t>
        </is>
      </c>
      <c r="AX1256" t="inlineStr">
        <is>
          <t>991004528789702656</t>
        </is>
      </c>
      <c r="AY1256" t="inlineStr">
        <is>
          <t>2265681160002656</t>
        </is>
      </c>
      <c r="AZ1256" t="inlineStr">
        <is>
          <t>BOOK</t>
        </is>
      </c>
      <c r="BB1256" t="inlineStr">
        <is>
          <t>9780814619520</t>
        </is>
      </c>
      <c r="BC1256" t="inlineStr">
        <is>
          <t>32285005030753</t>
        </is>
      </c>
      <c r="BD1256" t="inlineStr">
        <is>
          <t>893712725</t>
        </is>
      </c>
    </row>
    <row r="1257">
      <c r="A1257" t="inlineStr">
        <is>
          <t>No</t>
        </is>
      </c>
      <c r="B1257" t="inlineStr">
        <is>
          <t>BX2203 .C48 1990</t>
        </is>
      </c>
      <c r="C1257" t="inlineStr">
        <is>
          <t>0                      BX 2203000C  48          1990</t>
        </is>
      </c>
      <c r="D1257" t="inlineStr">
        <is>
          <t>The Church speaks about sacraments with children : baptism, confirmation, eucharist, penance / with commentary by Mark Searle.</t>
        </is>
      </c>
      <c r="F1257" t="inlineStr">
        <is>
          <t>No</t>
        </is>
      </c>
      <c r="G1257" t="inlineStr">
        <is>
          <t>1</t>
        </is>
      </c>
      <c r="H1257" t="inlineStr">
        <is>
          <t>No</t>
        </is>
      </c>
      <c r="I1257" t="inlineStr">
        <is>
          <t>No</t>
        </is>
      </c>
      <c r="J1257" t="inlineStr">
        <is>
          <t>0</t>
        </is>
      </c>
      <c r="L1257" t="inlineStr">
        <is>
          <t>Chicago, IL : Liturgy Training Publications, c1990.</t>
        </is>
      </c>
      <c r="M1257" t="inlineStr">
        <is>
          <t>1990</t>
        </is>
      </c>
      <c r="O1257" t="inlineStr">
        <is>
          <t>eng</t>
        </is>
      </c>
      <c r="P1257" t="inlineStr">
        <is>
          <t>ilu</t>
        </is>
      </c>
      <c r="R1257" t="inlineStr">
        <is>
          <t xml:space="preserve">BX </t>
        </is>
      </c>
      <c r="S1257" t="n">
        <v>4</v>
      </c>
      <c r="T1257" t="n">
        <v>4</v>
      </c>
      <c r="U1257" t="inlineStr">
        <is>
          <t>2010-03-01</t>
        </is>
      </c>
      <c r="V1257" t="inlineStr">
        <is>
          <t>2010-03-01</t>
        </is>
      </c>
      <c r="W1257" t="inlineStr">
        <is>
          <t>2005-04-13</t>
        </is>
      </c>
      <c r="X1257" t="inlineStr">
        <is>
          <t>2005-04-13</t>
        </is>
      </c>
      <c r="Y1257" t="n">
        <v>62</v>
      </c>
      <c r="Z1257" t="n">
        <v>46</v>
      </c>
      <c r="AA1257" t="n">
        <v>51</v>
      </c>
      <c r="AB1257" t="n">
        <v>1</v>
      </c>
      <c r="AC1257" t="n">
        <v>1</v>
      </c>
      <c r="AD1257" t="n">
        <v>6</v>
      </c>
      <c r="AE1257" t="n">
        <v>6</v>
      </c>
      <c r="AF1257" t="n">
        <v>1</v>
      </c>
      <c r="AG1257" t="n">
        <v>1</v>
      </c>
      <c r="AH1257" t="n">
        <v>2</v>
      </c>
      <c r="AI1257" t="n">
        <v>2</v>
      </c>
      <c r="AJ1257" t="n">
        <v>5</v>
      </c>
      <c r="AK1257" t="n">
        <v>5</v>
      </c>
      <c r="AL1257" t="n">
        <v>0</v>
      </c>
      <c r="AM1257" t="n">
        <v>0</v>
      </c>
      <c r="AN1257" t="n">
        <v>0</v>
      </c>
      <c r="AO1257" t="n">
        <v>0</v>
      </c>
      <c r="AP1257" t="inlineStr">
        <is>
          <t>No</t>
        </is>
      </c>
      <c r="AQ1257" t="inlineStr">
        <is>
          <t>No</t>
        </is>
      </c>
      <c r="AS1257">
        <f>HYPERLINK("https://creighton-primo.hosted.exlibrisgroup.com/primo-explore/search?tab=default_tab&amp;search_scope=EVERYTHING&amp;vid=01CRU&amp;lang=en_US&amp;offset=0&amp;query=any,contains,991004529709702656","Catalog Record")</f>
        <v/>
      </c>
      <c r="AT1257">
        <f>HYPERLINK("http://www.worldcat.org/oclc/23608978","WorldCat Record")</f>
        <v/>
      </c>
      <c r="AU1257" t="inlineStr">
        <is>
          <t>24868095:eng</t>
        </is>
      </c>
      <c r="AV1257" t="inlineStr">
        <is>
          <t>23608978</t>
        </is>
      </c>
      <c r="AW1257" t="inlineStr">
        <is>
          <t>991004529709702656</t>
        </is>
      </c>
      <c r="AX1257" t="inlineStr">
        <is>
          <t>991004529709702656</t>
        </is>
      </c>
      <c r="AY1257" t="inlineStr">
        <is>
          <t>2256487980002656</t>
        </is>
      </c>
      <c r="AZ1257" t="inlineStr">
        <is>
          <t>BOOK</t>
        </is>
      </c>
      <c r="BB1257" t="inlineStr">
        <is>
          <t>9780929650265</t>
        </is>
      </c>
      <c r="BC1257" t="inlineStr">
        <is>
          <t>32285005030423</t>
        </is>
      </c>
      <c r="BD1257" t="inlineStr">
        <is>
          <t>893593775</t>
        </is>
      </c>
    </row>
    <row r="1258">
      <c r="A1258" t="inlineStr">
        <is>
          <t>No</t>
        </is>
      </c>
      <c r="B1258" t="inlineStr">
        <is>
          <t>BX2203 .F37 1976</t>
        </is>
      </c>
      <c r="C1258" t="inlineStr">
        <is>
          <t>0                      BX 2203000F  37          1976</t>
        </is>
      </c>
      <c r="D1258" t="inlineStr">
        <is>
          <t>Celtic meditations: moments of thanksgiving, invitations to Eucharist / Edward J. Farrell.</t>
        </is>
      </c>
      <c r="F1258" t="inlineStr">
        <is>
          <t>No</t>
        </is>
      </c>
      <c r="G1258" t="inlineStr">
        <is>
          <t>1</t>
        </is>
      </c>
      <c r="H1258" t="inlineStr">
        <is>
          <t>No</t>
        </is>
      </c>
      <c r="I1258" t="inlineStr">
        <is>
          <t>No</t>
        </is>
      </c>
      <c r="J1258" t="inlineStr">
        <is>
          <t>0</t>
        </is>
      </c>
      <c r="K1258" t="inlineStr">
        <is>
          <t>Farrell, Edward J.</t>
        </is>
      </c>
      <c r="L1258" t="inlineStr">
        <is>
          <t>Denville, N.J. : Dimension Books, [c1976]</t>
        </is>
      </c>
      <c r="M1258" t="inlineStr">
        <is>
          <t>1976</t>
        </is>
      </c>
      <c r="O1258" t="inlineStr">
        <is>
          <t>eng</t>
        </is>
      </c>
      <c r="P1258" t="inlineStr">
        <is>
          <t xml:space="preserve">xx </t>
        </is>
      </c>
      <c r="R1258" t="inlineStr">
        <is>
          <t xml:space="preserve">BX </t>
        </is>
      </c>
      <c r="S1258" t="n">
        <v>7</v>
      </c>
      <c r="T1258" t="n">
        <v>7</v>
      </c>
      <c r="U1258" t="inlineStr">
        <is>
          <t>1996-02-26</t>
        </is>
      </c>
      <c r="V1258" t="inlineStr">
        <is>
          <t>1996-02-26</t>
        </is>
      </c>
      <c r="W1258" t="inlineStr">
        <is>
          <t>1991-10-10</t>
        </is>
      </c>
      <c r="X1258" t="inlineStr">
        <is>
          <t>1991-10-10</t>
        </is>
      </c>
      <c r="Y1258" t="n">
        <v>84</v>
      </c>
      <c r="Z1258" t="n">
        <v>63</v>
      </c>
      <c r="AA1258" t="n">
        <v>63</v>
      </c>
      <c r="AB1258" t="n">
        <v>2</v>
      </c>
      <c r="AC1258" t="n">
        <v>2</v>
      </c>
      <c r="AD1258" t="n">
        <v>8</v>
      </c>
      <c r="AE1258" t="n">
        <v>8</v>
      </c>
      <c r="AF1258" t="n">
        <v>1</v>
      </c>
      <c r="AG1258" t="n">
        <v>1</v>
      </c>
      <c r="AH1258" t="n">
        <v>3</v>
      </c>
      <c r="AI1258" t="n">
        <v>3</v>
      </c>
      <c r="AJ1258" t="n">
        <v>5</v>
      </c>
      <c r="AK1258" t="n">
        <v>5</v>
      </c>
      <c r="AL1258" t="n">
        <v>0</v>
      </c>
      <c r="AM1258" t="n">
        <v>0</v>
      </c>
      <c r="AN1258" t="n">
        <v>0</v>
      </c>
      <c r="AO1258" t="n">
        <v>0</v>
      </c>
      <c r="AP1258" t="inlineStr">
        <is>
          <t>No</t>
        </is>
      </c>
      <c r="AQ1258" t="inlineStr">
        <is>
          <t>No</t>
        </is>
      </c>
      <c r="AS1258">
        <f>HYPERLINK("https://creighton-primo.hosted.exlibrisgroup.com/primo-explore/search?tab=default_tab&amp;search_scope=EVERYTHING&amp;vid=01CRU&amp;lang=en_US&amp;offset=0&amp;query=any,contains,991004187899702656","Catalog Record")</f>
        <v/>
      </c>
      <c r="AT1258">
        <f>HYPERLINK("http://www.worldcat.org/oclc/2620452","WorldCat Record")</f>
        <v/>
      </c>
      <c r="AU1258" t="inlineStr">
        <is>
          <t>5632906:eng</t>
        </is>
      </c>
      <c r="AV1258" t="inlineStr">
        <is>
          <t>2620452</t>
        </is>
      </c>
      <c r="AW1258" t="inlineStr">
        <is>
          <t>991004187899702656</t>
        </is>
      </c>
      <c r="AX1258" t="inlineStr">
        <is>
          <t>991004187899702656</t>
        </is>
      </c>
      <c r="AY1258" t="inlineStr">
        <is>
          <t>2267152380002656</t>
        </is>
      </c>
      <c r="AZ1258" t="inlineStr">
        <is>
          <t>BOOK</t>
        </is>
      </c>
      <c r="BC1258" t="inlineStr">
        <is>
          <t>32285000787589</t>
        </is>
      </c>
      <c r="BD1258" t="inlineStr">
        <is>
          <t>893605742</t>
        </is>
      </c>
    </row>
    <row r="1259">
      <c r="A1259" t="inlineStr">
        <is>
          <t>No</t>
        </is>
      </c>
      <c r="B1259" t="inlineStr">
        <is>
          <t>BX2203 .F4 1906</t>
        </is>
      </c>
      <c r="C1259" t="inlineStr">
        <is>
          <t>0                      BX 2203000F  4           1906</t>
        </is>
      </c>
      <c r="D1259" t="inlineStr">
        <is>
          <t>Death real and apparent in relation to the sacraments : a physiologico-theological study / by Rev. Juan B. Ferreres ; translated at St. Louis University from the 3d ed. of the Spanish and augmented by new matter.</t>
        </is>
      </c>
      <c r="F1259" t="inlineStr">
        <is>
          <t>No</t>
        </is>
      </c>
      <c r="G1259" t="inlineStr">
        <is>
          <t>1</t>
        </is>
      </c>
      <c r="H1259" t="inlineStr">
        <is>
          <t>No</t>
        </is>
      </c>
      <c r="I1259" t="inlineStr">
        <is>
          <t>No</t>
        </is>
      </c>
      <c r="J1259" t="inlineStr">
        <is>
          <t>0</t>
        </is>
      </c>
      <c r="K1259" t="inlineStr">
        <is>
          <t>Ferreres, Juan B. (Juan Bautista), 1861-1936.</t>
        </is>
      </c>
      <c r="L1259" t="inlineStr">
        <is>
          <t>St. Louis, Mo. ; Freiburg (Baden) : Herder, 1906.</t>
        </is>
      </c>
      <c r="M1259" t="inlineStr">
        <is>
          <t>1906</t>
        </is>
      </c>
      <c r="O1259" t="inlineStr">
        <is>
          <t>eng</t>
        </is>
      </c>
      <c r="P1259" t="inlineStr">
        <is>
          <t xml:space="preserve">xx </t>
        </is>
      </c>
      <c r="R1259" t="inlineStr">
        <is>
          <t xml:space="preserve">BX </t>
        </is>
      </c>
      <c r="S1259" t="n">
        <v>1</v>
      </c>
      <c r="T1259" t="n">
        <v>1</v>
      </c>
      <c r="U1259" t="inlineStr">
        <is>
          <t>1992-03-28</t>
        </is>
      </c>
      <c r="V1259" t="inlineStr">
        <is>
          <t>1992-03-28</t>
        </is>
      </c>
      <c r="W1259" t="inlineStr">
        <is>
          <t>1991-10-10</t>
        </is>
      </c>
      <c r="X1259" t="inlineStr">
        <is>
          <t>1991-10-10</t>
        </is>
      </c>
      <c r="Y1259" t="n">
        <v>57</v>
      </c>
      <c r="Z1259" t="n">
        <v>42</v>
      </c>
      <c r="AA1259" t="n">
        <v>113</v>
      </c>
      <c r="AB1259" t="n">
        <v>1</v>
      </c>
      <c r="AC1259" t="n">
        <v>2</v>
      </c>
      <c r="AD1259" t="n">
        <v>12</v>
      </c>
      <c r="AE1259" t="n">
        <v>15</v>
      </c>
      <c r="AF1259" t="n">
        <v>1</v>
      </c>
      <c r="AG1259" t="n">
        <v>2</v>
      </c>
      <c r="AH1259" t="n">
        <v>4</v>
      </c>
      <c r="AI1259" t="n">
        <v>4</v>
      </c>
      <c r="AJ1259" t="n">
        <v>9</v>
      </c>
      <c r="AK1259" t="n">
        <v>10</v>
      </c>
      <c r="AL1259" t="n">
        <v>0</v>
      </c>
      <c r="AM1259" t="n">
        <v>1</v>
      </c>
      <c r="AN1259" t="n">
        <v>0</v>
      </c>
      <c r="AO1259" t="n">
        <v>0</v>
      </c>
      <c r="AP1259" t="inlineStr">
        <is>
          <t>No</t>
        </is>
      </c>
      <c r="AQ1259" t="inlineStr">
        <is>
          <t>No</t>
        </is>
      </c>
      <c r="AS1259">
        <f>HYPERLINK("https://creighton-primo.hosted.exlibrisgroup.com/primo-explore/search?tab=default_tab&amp;search_scope=EVERYTHING&amp;vid=01CRU&amp;lang=en_US&amp;offset=0&amp;query=any,contains,991004435579702656","Catalog Record")</f>
        <v/>
      </c>
      <c r="AT1259">
        <f>HYPERLINK("http://www.worldcat.org/oclc/3441162","WorldCat Record")</f>
        <v/>
      </c>
      <c r="AU1259" t="inlineStr">
        <is>
          <t>25486672:eng</t>
        </is>
      </c>
      <c r="AV1259" t="inlineStr">
        <is>
          <t>3441162</t>
        </is>
      </c>
      <c r="AW1259" t="inlineStr">
        <is>
          <t>991004435579702656</t>
        </is>
      </c>
      <c r="AX1259" t="inlineStr">
        <is>
          <t>991004435579702656</t>
        </is>
      </c>
      <c r="AY1259" t="inlineStr">
        <is>
          <t>2269312710002656</t>
        </is>
      </c>
      <c r="AZ1259" t="inlineStr">
        <is>
          <t>BOOK</t>
        </is>
      </c>
      <c r="BC1259" t="inlineStr">
        <is>
          <t>32285000787597</t>
        </is>
      </c>
      <c r="BD1259" t="inlineStr">
        <is>
          <t>893259729</t>
        </is>
      </c>
    </row>
    <row r="1260">
      <c r="A1260" t="inlineStr">
        <is>
          <t>No</t>
        </is>
      </c>
      <c r="B1260" t="inlineStr">
        <is>
          <t>BX2203 .G45 1993</t>
        </is>
      </c>
      <c r="C1260" t="inlineStr">
        <is>
          <t>0                      BX 2203000G  45          1993</t>
        </is>
      </c>
      <c r="D1260" t="inlineStr">
        <is>
          <t>Committed worship : a sacramental theology for converting Christians / Donald L. Gelpi.</t>
        </is>
      </c>
      <c r="E1260" t="inlineStr">
        <is>
          <t>V.1</t>
        </is>
      </c>
      <c r="F1260" t="inlineStr">
        <is>
          <t>Yes</t>
        </is>
      </c>
      <c r="G1260" t="inlineStr">
        <is>
          <t>1</t>
        </is>
      </c>
      <c r="H1260" t="inlineStr">
        <is>
          <t>No</t>
        </is>
      </c>
      <c r="I1260" t="inlineStr">
        <is>
          <t>No</t>
        </is>
      </c>
      <c r="J1260" t="inlineStr">
        <is>
          <t>0</t>
        </is>
      </c>
      <c r="K1260" t="inlineStr">
        <is>
          <t>Gelpi, Donald L., 1934-2011.</t>
        </is>
      </c>
      <c r="L1260" t="inlineStr">
        <is>
          <t>Collegeville, Minn. : Liturgical Press, 1993.</t>
        </is>
      </c>
      <c r="M1260" t="inlineStr">
        <is>
          <t>1993</t>
        </is>
      </c>
      <c r="O1260" t="inlineStr">
        <is>
          <t>eng</t>
        </is>
      </c>
      <c r="P1260" t="inlineStr">
        <is>
          <t>mnu</t>
        </is>
      </c>
      <c r="R1260" t="inlineStr">
        <is>
          <t xml:space="preserve">BX </t>
        </is>
      </c>
      <c r="S1260" t="n">
        <v>4</v>
      </c>
      <c r="T1260" t="n">
        <v>8</v>
      </c>
      <c r="U1260" t="inlineStr">
        <is>
          <t>2008-01-30</t>
        </is>
      </c>
      <c r="V1260" t="inlineStr">
        <is>
          <t>2008-01-30</t>
        </is>
      </c>
      <c r="W1260" t="inlineStr">
        <is>
          <t>1995-11-27</t>
        </is>
      </c>
      <c r="X1260" t="inlineStr">
        <is>
          <t>1995-11-27</t>
        </is>
      </c>
      <c r="Y1260" t="n">
        <v>177</v>
      </c>
      <c r="Z1260" t="n">
        <v>147</v>
      </c>
      <c r="AA1260" t="n">
        <v>149</v>
      </c>
      <c r="AB1260" t="n">
        <v>1</v>
      </c>
      <c r="AC1260" t="n">
        <v>1</v>
      </c>
      <c r="AD1260" t="n">
        <v>22</v>
      </c>
      <c r="AE1260" t="n">
        <v>22</v>
      </c>
      <c r="AF1260" t="n">
        <v>8</v>
      </c>
      <c r="AG1260" t="n">
        <v>8</v>
      </c>
      <c r="AH1260" t="n">
        <v>4</v>
      </c>
      <c r="AI1260" t="n">
        <v>4</v>
      </c>
      <c r="AJ1260" t="n">
        <v>18</v>
      </c>
      <c r="AK1260" t="n">
        <v>18</v>
      </c>
      <c r="AL1260" t="n">
        <v>0</v>
      </c>
      <c r="AM1260" t="n">
        <v>0</v>
      </c>
      <c r="AN1260" t="n">
        <v>0</v>
      </c>
      <c r="AO1260" t="n">
        <v>0</v>
      </c>
      <c r="AP1260" t="inlineStr">
        <is>
          <t>No</t>
        </is>
      </c>
      <c r="AQ1260" t="inlineStr">
        <is>
          <t>Yes</t>
        </is>
      </c>
      <c r="AR1260">
        <f>HYPERLINK("http://catalog.hathitrust.org/Record/002780100","HathiTrust Record")</f>
        <v/>
      </c>
      <c r="AS1260">
        <f>HYPERLINK("https://creighton-primo.hosted.exlibrisgroup.com/primo-explore/search?tab=default_tab&amp;search_scope=EVERYTHING&amp;vid=01CRU&amp;lang=en_US&amp;offset=0&amp;query=any,contains,991002104599702656","Catalog Record")</f>
        <v/>
      </c>
      <c r="AT1260">
        <f>HYPERLINK("http://www.worldcat.org/oclc/27011573","WorldCat Record")</f>
        <v/>
      </c>
      <c r="AU1260" t="inlineStr">
        <is>
          <t>373575102:eng</t>
        </is>
      </c>
      <c r="AV1260" t="inlineStr">
        <is>
          <t>27011573</t>
        </is>
      </c>
      <c r="AW1260" t="inlineStr">
        <is>
          <t>991002104599702656</t>
        </is>
      </c>
      <c r="AX1260" t="inlineStr">
        <is>
          <t>991002104599702656</t>
        </is>
      </c>
      <c r="AY1260" t="inlineStr">
        <is>
          <t>2270135720002656</t>
        </is>
      </c>
      <c r="AZ1260" t="inlineStr">
        <is>
          <t>BOOK</t>
        </is>
      </c>
      <c r="BB1260" t="inlineStr">
        <is>
          <t>9780814658253</t>
        </is>
      </c>
      <c r="BC1260" t="inlineStr">
        <is>
          <t>32285002106408</t>
        </is>
      </c>
      <c r="BD1260" t="inlineStr">
        <is>
          <t>893238645</t>
        </is>
      </c>
    </row>
    <row r="1261">
      <c r="A1261" t="inlineStr">
        <is>
          <t>No</t>
        </is>
      </c>
      <c r="B1261" t="inlineStr">
        <is>
          <t>BX2203 .G45 1993</t>
        </is>
      </c>
      <c r="C1261" t="inlineStr">
        <is>
          <t>0                      BX 2203000G  45          1993</t>
        </is>
      </c>
      <c r="D1261" t="inlineStr">
        <is>
          <t>Committed worship : a sacramental theology for converting Christians / Donald L. Gelpi.</t>
        </is>
      </c>
      <c r="E1261" t="inlineStr">
        <is>
          <t>V.2</t>
        </is>
      </c>
      <c r="F1261" t="inlineStr">
        <is>
          <t>Yes</t>
        </is>
      </c>
      <c r="G1261" t="inlineStr">
        <is>
          <t>1</t>
        </is>
      </c>
      <c r="H1261" t="inlineStr">
        <is>
          <t>No</t>
        </is>
      </c>
      <c r="I1261" t="inlineStr">
        <is>
          <t>No</t>
        </is>
      </c>
      <c r="J1261" t="inlineStr">
        <is>
          <t>0</t>
        </is>
      </c>
      <c r="K1261" t="inlineStr">
        <is>
          <t>Gelpi, Donald L., 1934-2011.</t>
        </is>
      </c>
      <c r="L1261" t="inlineStr">
        <is>
          <t>Collegeville, Minn. : Liturgical Press, 1993.</t>
        </is>
      </c>
      <c r="M1261" t="inlineStr">
        <is>
          <t>1993</t>
        </is>
      </c>
      <c r="O1261" t="inlineStr">
        <is>
          <t>eng</t>
        </is>
      </c>
      <c r="P1261" t="inlineStr">
        <is>
          <t>mnu</t>
        </is>
      </c>
      <c r="R1261" t="inlineStr">
        <is>
          <t xml:space="preserve">BX </t>
        </is>
      </c>
      <c r="S1261" t="n">
        <v>4</v>
      </c>
      <c r="T1261" t="n">
        <v>8</v>
      </c>
      <c r="U1261" t="inlineStr">
        <is>
          <t>2008-01-30</t>
        </is>
      </c>
      <c r="V1261" t="inlineStr">
        <is>
          <t>2008-01-30</t>
        </is>
      </c>
      <c r="W1261" t="inlineStr">
        <is>
          <t>1995-11-27</t>
        </is>
      </c>
      <c r="X1261" t="inlineStr">
        <is>
          <t>1995-11-27</t>
        </is>
      </c>
      <c r="Y1261" t="n">
        <v>177</v>
      </c>
      <c r="Z1261" t="n">
        <v>147</v>
      </c>
      <c r="AA1261" t="n">
        <v>149</v>
      </c>
      <c r="AB1261" t="n">
        <v>1</v>
      </c>
      <c r="AC1261" t="n">
        <v>1</v>
      </c>
      <c r="AD1261" t="n">
        <v>22</v>
      </c>
      <c r="AE1261" t="n">
        <v>22</v>
      </c>
      <c r="AF1261" t="n">
        <v>8</v>
      </c>
      <c r="AG1261" t="n">
        <v>8</v>
      </c>
      <c r="AH1261" t="n">
        <v>4</v>
      </c>
      <c r="AI1261" t="n">
        <v>4</v>
      </c>
      <c r="AJ1261" t="n">
        <v>18</v>
      </c>
      <c r="AK1261" t="n">
        <v>18</v>
      </c>
      <c r="AL1261" t="n">
        <v>0</v>
      </c>
      <c r="AM1261" t="n">
        <v>0</v>
      </c>
      <c r="AN1261" t="n">
        <v>0</v>
      </c>
      <c r="AO1261" t="n">
        <v>0</v>
      </c>
      <c r="AP1261" t="inlineStr">
        <is>
          <t>No</t>
        </is>
      </c>
      <c r="AQ1261" t="inlineStr">
        <is>
          <t>Yes</t>
        </is>
      </c>
      <c r="AR1261">
        <f>HYPERLINK("http://catalog.hathitrust.org/Record/002780100","HathiTrust Record")</f>
        <v/>
      </c>
      <c r="AS1261">
        <f>HYPERLINK("https://creighton-primo.hosted.exlibrisgroup.com/primo-explore/search?tab=default_tab&amp;search_scope=EVERYTHING&amp;vid=01CRU&amp;lang=en_US&amp;offset=0&amp;query=any,contains,991002104599702656","Catalog Record")</f>
        <v/>
      </c>
      <c r="AT1261">
        <f>HYPERLINK("http://www.worldcat.org/oclc/27011573","WorldCat Record")</f>
        <v/>
      </c>
      <c r="AU1261" t="inlineStr">
        <is>
          <t>373575102:eng</t>
        </is>
      </c>
      <c r="AV1261" t="inlineStr">
        <is>
          <t>27011573</t>
        </is>
      </c>
      <c r="AW1261" t="inlineStr">
        <is>
          <t>991002104599702656</t>
        </is>
      </c>
      <c r="AX1261" t="inlineStr">
        <is>
          <t>991002104599702656</t>
        </is>
      </c>
      <c r="AY1261" t="inlineStr">
        <is>
          <t>2270135720002656</t>
        </is>
      </c>
      <c r="AZ1261" t="inlineStr">
        <is>
          <t>BOOK</t>
        </is>
      </c>
      <c r="BB1261" t="inlineStr">
        <is>
          <t>9780814658253</t>
        </is>
      </c>
      <c r="BC1261" t="inlineStr">
        <is>
          <t>32285002106416</t>
        </is>
      </c>
      <c r="BD1261" t="inlineStr">
        <is>
          <t>893238646</t>
        </is>
      </c>
    </row>
    <row r="1262">
      <c r="A1262" t="inlineStr">
        <is>
          <t>No</t>
        </is>
      </c>
      <c r="B1262" t="inlineStr">
        <is>
          <t>BX2203 .H253 1965</t>
        </is>
      </c>
      <c r="C1262" t="inlineStr">
        <is>
          <t>0                      BX 2203000H  253         1965</t>
        </is>
      </c>
      <c r="D1262" t="inlineStr">
        <is>
          <t>A sacramental spirituality / [by] Bernard Häring.</t>
        </is>
      </c>
      <c r="F1262" t="inlineStr">
        <is>
          <t>No</t>
        </is>
      </c>
      <c r="G1262" t="inlineStr">
        <is>
          <t>1</t>
        </is>
      </c>
      <c r="H1262" t="inlineStr">
        <is>
          <t>No</t>
        </is>
      </c>
      <c r="I1262" t="inlineStr">
        <is>
          <t>No</t>
        </is>
      </c>
      <c r="J1262" t="inlineStr">
        <is>
          <t>0</t>
        </is>
      </c>
      <c r="K1262" t="inlineStr">
        <is>
          <t>Häring, Bernhard, 1912-1998.</t>
        </is>
      </c>
      <c r="L1262" t="inlineStr">
        <is>
          <t>New York : Sheed and Ward, [1965]</t>
        </is>
      </c>
      <c r="M1262" t="inlineStr">
        <is>
          <t>1965</t>
        </is>
      </c>
      <c r="O1262" t="inlineStr">
        <is>
          <t>eng</t>
        </is>
      </c>
      <c r="P1262" t="inlineStr">
        <is>
          <t>___</t>
        </is>
      </c>
      <c r="R1262" t="inlineStr">
        <is>
          <t xml:space="preserve">BX </t>
        </is>
      </c>
      <c r="S1262" t="n">
        <v>6</v>
      </c>
      <c r="T1262" t="n">
        <v>6</v>
      </c>
      <c r="U1262" t="inlineStr">
        <is>
          <t>2003-07-18</t>
        </is>
      </c>
      <c r="V1262" t="inlineStr">
        <is>
          <t>2003-07-18</t>
        </is>
      </c>
      <c r="W1262" t="inlineStr">
        <is>
          <t>1991-10-10</t>
        </is>
      </c>
      <c r="X1262" t="inlineStr">
        <is>
          <t>1991-10-10</t>
        </is>
      </c>
      <c r="Y1262" t="n">
        <v>342</v>
      </c>
      <c r="Z1262" t="n">
        <v>304</v>
      </c>
      <c r="AA1262" t="n">
        <v>310</v>
      </c>
      <c r="AB1262" t="n">
        <v>4</v>
      </c>
      <c r="AC1262" t="n">
        <v>4</v>
      </c>
      <c r="AD1262" t="n">
        <v>36</v>
      </c>
      <c r="AE1262" t="n">
        <v>36</v>
      </c>
      <c r="AF1262" t="n">
        <v>13</v>
      </c>
      <c r="AG1262" t="n">
        <v>13</v>
      </c>
      <c r="AH1262" t="n">
        <v>9</v>
      </c>
      <c r="AI1262" t="n">
        <v>9</v>
      </c>
      <c r="AJ1262" t="n">
        <v>25</v>
      </c>
      <c r="AK1262" t="n">
        <v>25</v>
      </c>
      <c r="AL1262" t="n">
        <v>2</v>
      </c>
      <c r="AM1262" t="n">
        <v>2</v>
      </c>
      <c r="AN1262" t="n">
        <v>0</v>
      </c>
      <c r="AO1262" t="n">
        <v>0</v>
      </c>
      <c r="AP1262" t="inlineStr">
        <is>
          <t>No</t>
        </is>
      </c>
      <c r="AQ1262" t="inlineStr">
        <is>
          <t>No</t>
        </is>
      </c>
      <c r="AS1262">
        <f>HYPERLINK("https://creighton-primo.hosted.exlibrisgroup.com/primo-explore/search?tab=default_tab&amp;search_scope=EVERYTHING&amp;vid=01CRU&amp;lang=en_US&amp;offset=0&amp;query=any,contains,991003669239702656","Catalog Record")</f>
        <v/>
      </c>
      <c r="AT1262">
        <f>HYPERLINK("http://www.worldcat.org/oclc/1285978","WorldCat Record")</f>
        <v/>
      </c>
      <c r="AU1262" t="inlineStr">
        <is>
          <t>2219685:eng</t>
        </is>
      </c>
      <c r="AV1262" t="inlineStr">
        <is>
          <t>1285978</t>
        </is>
      </c>
      <c r="AW1262" t="inlineStr">
        <is>
          <t>991003669239702656</t>
        </is>
      </c>
      <c r="AX1262" t="inlineStr">
        <is>
          <t>991003669239702656</t>
        </is>
      </c>
      <c r="AY1262" t="inlineStr">
        <is>
          <t>2265481210002656</t>
        </is>
      </c>
      <c r="AZ1262" t="inlineStr">
        <is>
          <t>BOOK</t>
        </is>
      </c>
      <c r="BC1262" t="inlineStr">
        <is>
          <t>32285000787605</t>
        </is>
      </c>
      <c r="BD1262" t="inlineStr">
        <is>
          <t>893627697</t>
        </is>
      </c>
    </row>
    <row r="1263">
      <c r="A1263" t="inlineStr">
        <is>
          <t>No</t>
        </is>
      </c>
      <c r="B1263" t="inlineStr">
        <is>
          <t>BX2205 .C3 1985</t>
        </is>
      </c>
      <c r="C1263" t="inlineStr">
        <is>
          <t>0                      BX 2205000C  3           1985</t>
        </is>
      </c>
      <c r="D1263" t="inlineStr">
        <is>
          <t>Christian initiation of adults : a commentary / Secretariat, Bishops' Committee on the Liturgy, National Conference of Catholic Bishops.</t>
        </is>
      </c>
      <c r="F1263" t="inlineStr">
        <is>
          <t>No</t>
        </is>
      </c>
      <c r="G1263" t="inlineStr">
        <is>
          <t>1</t>
        </is>
      </c>
      <c r="H1263" t="inlineStr">
        <is>
          <t>No</t>
        </is>
      </c>
      <c r="I1263" t="inlineStr">
        <is>
          <t>No</t>
        </is>
      </c>
      <c r="J1263" t="inlineStr">
        <is>
          <t>0</t>
        </is>
      </c>
      <c r="K1263" t="inlineStr">
        <is>
          <t>Catholic Church. National Conference of Catholic Bishops. Bishops' Committee on the Liturgy. Secretariat.</t>
        </is>
      </c>
      <c r="L1263" t="inlineStr">
        <is>
          <t>Washington, D.C. : Office of Publishing and Promotion Services, United States Catholic Conference, 1985.</t>
        </is>
      </c>
      <c r="M1263" t="inlineStr">
        <is>
          <t>1985</t>
        </is>
      </c>
      <c r="O1263" t="inlineStr">
        <is>
          <t>eng</t>
        </is>
      </c>
      <c r="P1263" t="inlineStr">
        <is>
          <t>dcu</t>
        </is>
      </c>
      <c r="Q1263" t="inlineStr">
        <is>
          <t>Study text ; 10</t>
        </is>
      </c>
      <c r="R1263" t="inlineStr">
        <is>
          <t xml:space="preserve">BX </t>
        </is>
      </c>
      <c r="S1263" t="n">
        <v>4</v>
      </c>
      <c r="T1263" t="n">
        <v>4</v>
      </c>
      <c r="U1263" t="inlineStr">
        <is>
          <t>2007-04-16</t>
        </is>
      </c>
      <c r="V1263" t="inlineStr">
        <is>
          <t>2007-04-16</t>
        </is>
      </c>
      <c r="W1263" t="inlineStr">
        <is>
          <t>1991-10-10</t>
        </is>
      </c>
      <c r="X1263" t="inlineStr">
        <is>
          <t>1991-10-10</t>
        </is>
      </c>
      <c r="Y1263" t="n">
        <v>120</v>
      </c>
      <c r="Z1263" t="n">
        <v>108</v>
      </c>
      <c r="AA1263" t="n">
        <v>132</v>
      </c>
      <c r="AB1263" t="n">
        <v>2</v>
      </c>
      <c r="AC1263" t="n">
        <v>2</v>
      </c>
      <c r="AD1263" t="n">
        <v>18</v>
      </c>
      <c r="AE1263" t="n">
        <v>20</v>
      </c>
      <c r="AF1263" t="n">
        <v>6</v>
      </c>
      <c r="AG1263" t="n">
        <v>7</v>
      </c>
      <c r="AH1263" t="n">
        <v>4</v>
      </c>
      <c r="AI1263" t="n">
        <v>4</v>
      </c>
      <c r="AJ1263" t="n">
        <v>14</v>
      </c>
      <c r="AK1263" t="n">
        <v>16</v>
      </c>
      <c r="AL1263" t="n">
        <v>0</v>
      </c>
      <c r="AM1263" t="n">
        <v>0</v>
      </c>
      <c r="AN1263" t="n">
        <v>0</v>
      </c>
      <c r="AO1263" t="n">
        <v>0</v>
      </c>
      <c r="AP1263" t="inlineStr">
        <is>
          <t>No</t>
        </is>
      </c>
      <c r="AQ1263" t="inlineStr">
        <is>
          <t>No</t>
        </is>
      </c>
      <c r="AS1263">
        <f>HYPERLINK("https://creighton-primo.hosted.exlibrisgroup.com/primo-explore/search?tab=default_tab&amp;search_scope=EVERYTHING&amp;vid=01CRU&amp;lang=en_US&amp;offset=0&amp;query=any,contains,991000582259702656","Catalog Record")</f>
        <v/>
      </c>
      <c r="AT1263">
        <f>HYPERLINK("http://www.worldcat.org/oclc/11753975","WorldCat Record")</f>
        <v/>
      </c>
      <c r="AU1263" t="inlineStr">
        <is>
          <t>134765710:eng</t>
        </is>
      </c>
      <c r="AV1263" t="inlineStr">
        <is>
          <t>11753975</t>
        </is>
      </c>
      <c r="AW1263" t="inlineStr">
        <is>
          <t>991000582259702656</t>
        </is>
      </c>
      <c r="AX1263" t="inlineStr">
        <is>
          <t>991000582259702656</t>
        </is>
      </c>
      <c r="AY1263" t="inlineStr">
        <is>
          <t>2270376430002656</t>
        </is>
      </c>
      <c r="AZ1263" t="inlineStr">
        <is>
          <t>BOOK</t>
        </is>
      </c>
      <c r="BC1263" t="inlineStr">
        <is>
          <t>32285000787654</t>
        </is>
      </c>
      <c r="BD1263" t="inlineStr">
        <is>
          <t>893871796</t>
        </is>
      </c>
    </row>
    <row r="1264">
      <c r="A1264" t="inlineStr">
        <is>
          <t>No</t>
        </is>
      </c>
      <c r="B1264" t="inlineStr">
        <is>
          <t>BX2205 .C37 1983</t>
        </is>
      </c>
      <c r="C1264" t="inlineStr">
        <is>
          <t>0                      BX 2205000C  37          1983</t>
        </is>
      </c>
      <c r="D1264" t="inlineStr">
        <is>
          <t>Christian initiation of adults.</t>
        </is>
      </c>
      <c r="F1264" t="inlineStr">
        <is>
          <t>No</t>
        </is>
      </c>
      <c r="G1264" t="inlineStr">
        <is>
          <t>1</t>
        </is>
      </c>
      <c r="H1264" t="inlineStr">
        <is>
          <t>No</t>
        </is>
      </c>
      <c r="I1264" t="inlineStr">
        <is>
          <t>No</t>
        </is>
      </c>
      <c r="J1264" t="inlineStr">
        <is>
          <t>0</t>
        </is>
      </c>
      <c r="K1264" t="inlineStr">
        <is>
          <t>Catholic Church.</t>
        </is>
      </c>
      <c r="L1264" t="inlineStr">
        <is>
          <t>Washington, D.C. : United States Catholic Conference, 1983.</t>
        </is>
      </c>
      <c r="M1264" t="inlineStr">
        <is>
          <t>1983</t>
        </is>
      </c>
      <c r="O1264" t="inlineStr">
        <is>
          <t>eng</t>
        </is>
      </c>
      <c r="P1264" t="inlineStr">
        <is>
          <t>dcu</t>
        </is>
      </c>
      <c r="Q1264" t="inlineStr">
        <is>
          <t>Liturgy documentary series ; 4</t>
        </is>
      </c>
      <c r="R1264" t="inlineStr">
        <is>
          <t xml:space="preserve">BX </t>
        </is>
      </c>
      <c r="S1264" t="n">
        <v>6</v>
      </c>
      <c r="T1264" t="n">
        <v>6</v>
      </c>
      <c r="U1264" t="inlineStr">
        <is>
          <t>2007-04-16</t>
        </is>
      </c>
      <c r="V1264" t="inlineStr">
        <is>
          <t>2007-04-16</t>
        </is>
      </c>
      <c r="W1264" t="inlineStr">
        <is>
          <t>1991-10-10</t>
        </is>
      </c>
      <c r="X1264" t="inlineStr">
        <is>
          <t>1991-10-10</t>
        </is>
      </c>
      <c r="Y1264" t="n">
        <v>100</v>
      </c>
      <c r="Z1264" t="n">
        <v>93</v>
      </c>
      <c r="AA1264" t="n">
        <v>95</v>
      </c>
      <c r="AB1264" t="n">
        <v>1</v>
      </c>
      <c r="AC1264" t="n">
        <v>1</v>
      </c>
      <c r="AD1264" t="n">
        <v>16</v>
      </c>
      <c r="AE1264" t="n">
        <v>16</v>
      </c>
      <c r="AF1264" t="n">
        <v>4</v>
      </c>
      <c r="AG1264" t="n">
        <v>4</v>
      </c>
      <c r="AH1264" t="n">
        <v>5</v>
      </c>
      <c r="AI1264" t="n">
        <v>5</v>
      </c>
      <c r="AJ1264" t="n">
        <v>12</v>
      </c>
      <c r="AK1264" t="n">
        <v>12</v>
      </c>
      <c r="AL1264" t="n">
        <v>0</v>
      </c>
      <c r="AM1264" t="n">
        <v>0</v>
      </c>
      <c r="AN1264" t="n">
        <v>0</v>
      </c>
      <c r="AO1264" t="n">
        <v>0</v>
      </c>
      <c r="AP1264" t="inlineStr">
        <is>
          <t>No</t>
        </is>
      </c>
      <c r="AQ1264" t="inlineStr">
        <is>
          <t>No</t>
        </is>
      </c>
      <c r="AS1264">
        <f>HYPERLINK("https://creighton-primo.hosted.exlibrisgroup.com/primo-explore/search?tab=default_tab&amp;search_scope=EVERYTHING&amp;vid=01CRU&amp;lang=en_US&amp;offset=0&amp;query=any,contains,991000360109702656","Catalog Record")</f>
        <v/>
      </c>
      <c r="AT1264">
        <f>HYPERLINK("http://www.worldcat.org/oclc/10355261","WorldCat Record")</f>
        <v/>
      </c>
      <c r="AU1264" t="inlineStr">
        <is>
          <t>2861065:eng</t>
        </is>
      </c>
      <c r="AV1264" t="inlineStr">
        <is>
          <t>10355261</t>
        </is>
      </c>
      <c r="AW1264" t="inlineStr">
        <is>
          <t>991000360109702656</t>
        </is>
      </c>
      <c r="AX1264" t="inlineStr">
        <is>
          <t>991000360109702656</t>
        </is>
      </c>
      <c r="AY1264" t="inlineStr">
        <is>
          <t>2258893590002656</t>
        </is>
      </c>
      <c r="AZ1264" t="inlineStr">
        <is>
          <t>BOOK</t>
        </is>
      </c>
      <c r="BC1264" t="inlineStr">
        <is>
          <t>32285000787662</t>
        </is>
      </c>
      <c r="BD1264" t="inlineStr">
        <is>
          <t>893327224</t>
        </is>
      </c>
    </row>
    <row r="1265">
      <c r="A1265" t="inlineStr">
        <is>
          <t>No</t>
        </is>
      </c>
      <c r="B1265" t="inlineStr">
        <is>
          <t>BX2205 .F37 1974</t>
        </is>
      </c>
      <c r="C1265" t="inlineStr">
        <is>
          <t>0                      BX 2205000F  37          1974</t>
        </is>
      </c>
      <c r="D1265" t="inlineStr">
        <is>
          <t>The garment of immortality : a concept and symbol in Christian baptism / By John E. Farrell.</t>
        </is>
      </c>
      <c r="F1265" t="inlineStr">
        <is>
          <t>No</t>
        </is>
      </c>
      <c r="G1265" t="inlineStr">
        <is>
          <t>1</t>
        </is>
      </c>
      <c r="H1265" t="inlineStr">
        <is>
          <t>No</t>
        </is>
      </c>
      <c r="I1265" t="inlineStr">
        <is>
          <t>No</t>
        </is>
      </c>
      <c r="J1265" t="inlineStr">
        <is>
          <t>0</t>
        </is>
      </c>
      <c r="K1265" t="inlineStr">
        <is>
          <t>Farrell, John E. (John Edward), 1936-</t>
        </is>
      </c>
      <c r="M1265" t="inlineStr">
        <is>
          <t>1974</t>
        </is>
      </c>
      <c r="O1265" t="inlineStr">
        <is>
          <t>eng</t>
        </is>
      </c>
      <c r="P1265" t="inlineStr">
        <is>
          <t xml:space="preserve">xx </t>
        </is>
      </c>
      <c r="Q1265" t="inlineStr">
        <is>
          <t>Catholic University of America. Studies in sacred theology ; [2d ser.] no. 254</t>
        </is>
      </c>
      <c r="R1265" t="inlineStr">
        <is>
          <t xml:space="preserve">BX </t>
        </is>
      </c>
      <c r="S1265" t="n">
        <v>1</v>
      </c>
      <c r="T1265" t="n">
        <v>1</v>
      </c>
      <c r="U1265" t="inlineStr">
        <is>
          <t>2010-04-23</t>
        </is>
      </c>
      <c r="V1265" t="inlineStr">
        <is>
          <t>2010-04-23</t>
        </is>
      </c>
      <c r="W1265" t="inlineStr">
        <is>
          <t>1990-02-20</t>
        </is>
      </c>
      <c r="X1265" t="inlineStr">
        <is>
          <t>1990-02-20</t>
        </is>
      </c>
      <c r="Y1265" t="n">
        <v>6</v>
      </c>
      <c r="Z1265" t="n">
        <v>6</v>
      </c>
      <c r="AA1265" t="n">
        <v>9</v>
      </c>
      <c r="AB1265" t="n">
        <v>1</v>
      </c>
      <c r="AC1265" t="n">
        <v>1</v>
      </c>
      <c r="AD1265" t="n">
        <v>1</v>
      </c>
      <c r="AE1265" t="n">
        <v>1</v>
      </c>
      <c r="AF1265" t="n">
        <v>0</v>
      </c>
      <c r="AG1265" t="n">
        <v>0</v>
      </c>
      <c r="AH1265" t="n">
        <v>0</v>
      </c>
      <c r="AI1265" t="n">
        <v>0</v>
      </c>
      <c r="AJ1265" t="n">
        <v>1</v>
      </c>
      <c r="AK1265" t="n">
        <v>1</v>
      </c>
      <c r="AL1265" t="n">
        <v>0</v>
      </c>
      <c r="AM1265" t="n">
        <v>0</v>
      </c>
      <c r="AN1265" t="n">
        <v>0</v>
      </c>
      <c r="AO1265" t="n">
        <v>0</v>
      </c>
      <c r="AP1265" t="inlineStr">
        <is>
          <t>No</t>
        </is>
      </c>
      <c r="AQ1265" t="inlineStr">
        <is>
          <t>No</t>
        </is>
      </c>
      <c r="AS1265">
        <f>HYPERLINK("https://creighton-primo.hosted.exlibrisgroup.com/primo-explore/search?tab=default_tab&amp;search_scope=EVERYTHING&amp;vid=01CRU&amp;lang=en_US&amp;offset=0&amp;query=any,contains,991003929159702656","Catalog Record")</f>
        <v/>
      </c>
      <c r="AT1265">
        <f>HYPERLINK("http://www.worldcat.org/oclc/1892381","WorldCat Record")</f>
        <v/>
      </c>
      <c r="AU1265" t="inlineStr">
        <is>
          <t>3397897:eng</t>
        </is>
      </c>
      <c r="AV1265" t="inlineStr">
        <is>
          <t>1892381</t>
        </is>
      </c>
      <c r="AW1265" t="inlineStr">
        <is>
          <t>991003929159702656</t>
        </is>
      </c>
      <c r="AX1265" t="inlineStr">
        <is>
          <t>991003929159702656</t>
        </is>
      </c>
      <c r="AY1265" t="inlineStr">
        <is>
          <t>2260301860002656</t>
        </is>
      </c>
      <c r="AZ1265" t="inlineStr">
        <is>
          <t>BOOK</t>
        </is>
      </c>
      <c r="BC1265" t="inlineStr">
        <is>
          <t>32285000055797</t>
        </is>
      </c>
      <c r="BD1265" t="inlineStr">
        <is>
          <t>893417011</t>
        </is>
      </c>
    </row>
    <row r="1266">
      <c r="A1266" t="inlineStr">
        <is>
          <t>No</t>
        </is>
      </c>
      <c r="B1266" t="inlineStr">
        <is>
          <t>BX2205 .P37 1988</t>
        </is>
      </c>
      <c r="C1266" t="inlineStr">
        <is>
          <t>0                      BX 2205000P  37          1988</t>
        </is>
      </c>
      <c r="D1266" t="inlineStr">
        <is>
          <t>Parish catechumenate : pastors, presiders, preachers / edited by James A. Wilde.</t>
        </is>
      </c>
      <c r="F1266" t="inlineStr">
        <is>
          <t>No</t>
        </is>
      </c>
      <c r="G1266" t="inlineStr">
        <is>
          <t>1</t>
        </is>
      </c>
      <c r="H1266" t="inlineStr">
        <is>
          <t>No</t>
        </is>
      </c>
      <c r="I1266" t="inlineStr">
        <is>
          <t>No</t>
        </is>
      </c>
      <c r="J1266" t="inlineStr">
        <is>
          <t>0</t>
        </is>
      </c>
      <c r="L1266" t="inlineStr">
        <is>
          <t>Chicago, Ill. : Liturgy Training Publications, c1988.</t>
        </is>
      </c>
      <c r="M1266" t="inlineStr">
        <is>
          <t>1988</t>
        </is>
      </c>
      <c r="O1266" t="inlineStr">
        <is>
          <t>eng</t>
        </is>
      </c>
      <c r="P1266" t="inlineStr">
        <is>
          <t>ilu</t>
        </is>
      </c>
      <c r="Q1266" t="inlineStr">
        <is>
          <t>Font and table series</t>
        </is>
      </c>
      <c r="R1266" t="inlineStr">
        <is>
          <t xml:space="preserve">BX </t>
        </is>
      </c>
      <c r="S1266" t="n">
        <v>1</v>
      </c>
      <c r="T1266" t="n">
        <v>1</v>
      </c>
      <c r="U1266" t="inlineStr">
        <is>
          <t>2007-03-30</t>
        </is>
      </c>
      <c r="V1266" t="inlineStr">
        <is>
          <t>2007-03-30</t>
        </is>
      </c>
      <c r="W1266" t="inlineStr">
        <is>
          <t>2005-04-13</t>
        </is>
      </c>
      <c r="X1266" t="inlineStr">
        <is>
          <t>2005-04-13</t>
        </is>
      </c>
      <c r="Y1266" t="n">
        <v>58</v>
      </c>
      <c r="Z1266" t="n">
        <v>51</v>
      </c>
      <c r="AA1266" t="n">
        <v>51</v>
      </c>
      <c r="AB1266" t="n">
        <v>1</v>
      </c>
      <c r="AC1266" t="n">
        <v>1</v>
      </c>
      <c r="AD1266" t="n">
        <v>4</v>
      </c>
      <c r="AE1266" t="n">
        <v>4</v>
      </c>
      <c r="AF1266" t="n">
        <v>0</v>
      </c>
      <c r="AG1266" t="n">
        <v>0</v>
      </c>
      <c r="AH1266" t="n">
        <v>0</v>
      </c>
      <c r="AI1266" t="n">
        <v>0</v>
      </c>
      <c r="AJ1266" t="n">
        <v>4</v>
      </c>
      <c r="AK1266" t="n">
        <v>4</v>
      </c>
      <c r="AL1266" t="n">
        <v>0</v>
      </c>
      <c r="AM1266" t="n">
        <v>0</v>
      </c>
      <c r="AN1266" t="n">
        <v>0</v>
      </c>
      <c r="AO1266" t="n">
        <v>0</v>
      </c>
      <c r="AP1266" t="inlineStr">
        <is>
          <t>No</t>
        </is>
      </c>
      <c r="AQ1266" t="inlineStr">
        <is>
          <t>No</t>
        </is>
      </c>
      <c r="AS1266">
        <f>HYPERLINK("https://creighton-primo.hosted.exlibrisgroup.com/primo-explore/search?tab=default_tab&amp;search_scope=EVERYTHING&amp;vid=01CRU&amp;lang=en_US&amp;offset=0&amp;query=any,contains,991004529399702656","Catalog Record")</f>
        <v/>
      </c>
      <c r="AT1266">
        <f>HYPERLINK("http://www.worldcat.org/oclc/19388050","WorldCat Record")</f>
        <v/>
      </c>
      <c r="AU1266" t="inlineStr">
        <is>
          <t>21735103:eng</t>
        </is>
      </c>
      <c r="AV1266" t="inlineStr">
        <is>
          <t>19388050</t>
        </is>
      </c>
      <c r="AW1266" t="inlineStr">
        <is>
          <t>991004529399702656</t>
        </is>
      </c>
      <c r="AX1266" t="inlineStr">
        <is>
          <t>991004529399702656</t>
        </is>
      </c>
      <c r="AY1266" t="inlineStr">
        <is>
          <t>2258875370002656</t>
        </is>
      </c>
      <c r="AZ1266" t="inlineStr">
        <is>
          <t>BOOK</t>
        </is>
      </c>
      <c r="BB1266" t="inlineStr">
        <is>
          <t>9780930467852</t>
        </is>
      </c>
      <c r="BC1266" t="inlineStr">
        <is>
          <t>32285005030589</t>
        </is>
      </c>
      <c r="BD1266" t="inlineStr">
        <is>
          <t>893442719</t>
        </is>
      </c>
    </row>
    <row r="1267">
      <c r="A1267" t="inlineStr">
        <is>
          <t>No</t>
        </is>
      </c>
      <c r="B1267" t="inlineStr">
        <is>
          <t>BX2205 .P613 1960</t>
        </is>
      </c>
      <c r="C1267" t="inlineStr">
        <is>
          <t>0                      BX 2205000P  613         1960</t>
        </is>
      </c>
      <c r="D1267" t="inlineStr">
        <is>
          <t>Baptism and confirmation / by Raoul Plus.</t>
        </is>
      </c>
      <c r="F1267" t="inlineStr">
        <is>
          <t>No</t>
        </is>
      </c>
      <c r="G1267" t="inlineStr">
        <is>
          <t>1</t>
        </is>
      </c>
      <c r="H1267" t="inlineStr">
        <is>
          <t>No</t>
        </is>
      </c>
      <c r="I1267" t="inlineStr">
        <is>
          <t>No</t>
        </is>
      </c>
      <c r="J1267" t="inlineStr">
        <is>
          <t>0</t>
        </is>
      </c>
      <c r="K1267" t="inlineStr">
        <is>
          <t>Plus, Raoul, 1882-1958.</t>
        </is>
      </c>
      <c r="L1267" t="inlineStr">
        <is>
          <t>Westminster, Md. : Newman Press, [c1960]</t>
        </is>
      </c>
      <c r="M1267" t="inlineStr">
        <is>
          <t>1960</t>
        </is>
      </c>
      <c r="O1267" t="inlineStr">
        <is>
          <t>eng</t>
        </is>
      </c>
      <c r="P1267" t="inlineStr">
        <is>
          <t>mdu</t>
        </is>
      </c>
      <c r="R1267" t="inlineStr">
        <is>
          <t xml:space="preserve">BX </t>
        </is>
      </c>
      <c r="S1267" t="n">
        <v>15</v>
      </c>
      <c r="T1267" t="n">
        <v>15</v>
      </c>
      <c r="U1267" t="inlineStr">
        <is>
          <t>2006-06-12</t>
        </is>
      </c>
      <c r="V1267" t="inlineStr">
        <is>
          <t>2006-06-12</t>
        </is>
      </c>
      <c r="W1267" t="inlineStr">
        <is>
          <t>1991-10-10</t>
        </is>
      </c>
      <c r="X1267" t="inlineStr">
        <is>
          <t>1991-10-10</t>
        </is>
      </c>
      <c r="Y1267" t="n">
        <v>59</v>
      </c>
      <c r="Z1267" t="n">
        <v>51</v>
      </c>
      <c r="AA1267" t="n">
        <v>85</v>
      </c>
      <c r="AB1267" t="n">
        <v>1</v>
      </c>
      <c r="AC1267" t="n">
        <v>2</v>
      </c>
      <c r="AD1267" t="n">
        <v>8</v>
      </c>
      <c r="AE1267" t="n">
        <v>14</v>
      </c>
      <c r="AF1267" t="n">
        <v>2</v>
      </c>
      <c r="AG1267" t="n">
        <v>2</v>
      </c>
      <c r="AH1267" t="n">
        <v>3</v>
      </c>
      <c r="AI1267" t="n">
        <v>4</v>
      </c>
      <c r="AJ1267" t="n">
        <v>5</v>
      </c>
      <c r="AK1267" t="n">
        <v>10</v>
      </c>
      <c r="AL1267" t="n">
        <v>0</v>
      </c>
      <c r="AM1267" t="n">
        <v>0</v>
      </c>
      <c r="AN1267" t="n">
        <v>0</v>
      </c>
      <c r="AO1267" t="n">
        <v>0</v>
      </c>
      <c r="AP1267" t="inlineStr">
        <is>
          <t>No</t>
        </is>
      </c>
      <c r="AQ1267" t="inlineStr">
        <is>
          <t>No</t>
        </is>
      </c>
      <c r="AS1267">
        <f>HYPERLINK("https://creighton-primo.hosted.exlibrisgroup.com/primo-explore/search?tab=default_tab&amp;search_scope=EVERYTHING&amp;vid=01CRU&amp;lang=en_US&amp;offset=0&amp;query=any,contains,991003980059702656","Catalog Record")</f>
        <v/>
      </c>
      <c r="AT1267">
        <f>HYPERLINK("http://www.worldcat.org/oclc/2019464","WorldCat Record")</f>
        <v/>
      </c>
      <c r="AU1267" t="inlineStr">
        <is>
          <t>3943652244:eng</t>
        </is>
      </c>
      <c r="AV1267" t="inlineStr">
        <is>
          <t>2019464</t>
        </is>
      </c>
      <c r="AW1267" t="inlineStr">
        <is>
          <t>991003980059702656</t>
        </is>
      </c>
      <c r="AX1267" t="inlineStr">
        <is>
          <t>991003980059702656</t>
        </is>
      </c>
      <c r="AY1267" t="inlineStr">
        <is>
          <t>2260077040002656</t>
        </is>
      </c>
      <c r="AZ1267" t="inlineStr">
        <is>
          <t>BOOK</t>
        </is>
      </c>
      <c r="BC1267" t="inlineStr">
        <is>
          <t>32285000787746</t>
        </is>
      </c>
      <c r="BD1267" t="inlineStr">
        <is>
          <t>893423238</t>
        </is>
      </c>
    </row>
    <row r="1268">
      <c r="A1268" t="inlineStr">
        <is>
          <t>No</t>
        </is>
      </c>
      <c r="B1268" t="inlineStr">
        <is>
          <t>BX2205 .R57 1972</t>
        </is>
      </c>
      <c r="C1268" t="inlineStr">
        <is>
          <t>0                      BX 2205000R  57          1972</t>
        </is>
      </c>
      <c r="D1268" t="inlineStr">
        <is>
          <t>Ordo initiationis christianae adultorum.</t>
        </is>
      </c>
      <c r="F1268" t="inlineStr">
        <is>
          <t>No</t>
        </is>
      </c>
      <c r="G1268" t="inlineStr">
        <is>
          <t>1</t>
        </is>
      </c>
      <c r="H1268" t="inlineStr">
        <is>
          <t>No</t>
        </is>
      </c>
      <c r="I1268" t="inlineStr">
        <is>
          <t>No</t>
        </is>
      </c>
      <c r="J1268" t="inlineStr">
        <is>
          <t>0</t>
        </is>
      </c>
      <c r="K1268" t="inlineStr">
        <is>
          <t>Catholic Church.</t>
        </is>
      </c>
      <c r="L1268" t="inlineStr">
        <is>
          <t>[Roma] : Typis Polyglottis Vaticanis, 1972, 1974 printing.</t>
        </is>
      </c>
      <c r="M1268" t="inlineStr">
        <is>
          <t>1972</t>
        </is>
      </c>
      <c r="N1268" t="inlineStr">
        <is>
          <t>Editio typica</t>
        </is>
      </c>
      <c r="O1268" t="inlineStr">
        <is>
          <t>eng</t>
        </is>
      </c>
      <c r="P1268" t="inlineStr">
        <is>
          <t xml:space="preserve">xx </t>
        </is>
      </c>
      <c r="R1268" t="inlineStr">
        <is>
          <t xml:space="preserve">BX </t>
        </is>
      </c>
      <c r="S1268" t="n">
        <v>2</v>
      </c>
      <c r="T1268" t="n">
        <v>2</v>
      </c>
      <c r="U1268" t="inlineStr">
        <is>
          <t>1999-12-29</t>
        </is>
      </c>
      <c r="V1268" t="inlineStr">
        <is>
          <t>1999-12-29</t>
        </is>
      </c>
      <c r="W1268" t="inlineStr">
        <is>
          <t>1991-10-10</t>
        </is>
      </c>
      <c r="X1268" t="inlineStr">
        <is>
          <t>1991-10-10</t>
        </is>
      </c>
      <c r="Y1268" t="n">
        <v>28</v>
      </c>
      <c r="Z1268" t="n">
        <v>25</v>
      </c>
      <c r="AA1268" t="n">
        <v>34</v>
      </c>
      <c r="AB1268" t="n">
        <v>2</v>
      </c>
      <c r="AC1268" t="n">
        <v>2</v>
      </c>
      <c r="AD1268" t="n">
        <v>4</v>
      </c>
      <c r="AE1268" t="n">
        <v>4</v>
      </c>
      <c r="AF1268" t="n">
        <v>0</v>
      </c>
      <c r="AG1268" t="n">
        <v>0</v>
      </c>
      <c r="AH1268" t="n">
        <v>2</v>
      </c>
      <c r="AI1268" t="n">
        <v>2</v>
      </c>
      <c r="AJ1268" t="n">
        <v>2</v>
      </c>
      <c r="AK1268" t="n">
        <v>2</v>
      </c>
      <c r="AL1268" t="n">
        <v>0</v>
      </c>
      <c r="AM1268" t="n">
        <v>0</v>
      </c>
      <c r="AN1268" t="n">
        <v>0</v>
      </c>
      <c r="AO1268" t="n">
        <v>0</v>
      </c>
      <c r="AP1268" t="inlineStr">
        <is>
          <t>No</t>
        </is>
      </c>
      <c r="AQ1268" t="inlineStr">
        <is>
          <t>No</t>
        </is>
      </c>
      <c r="AS1268">
        <f>HYPERLINK("https://creighton-primo.hosted.exlibrisgroup.com/primo-explore/search?tab=default_tab&amp;search_scope=EVERYTHING&amp;vid=01CRU&amp;lang=en_US&amp;offset=0&amp;query=any,contains,991002971749702656","Catalog Record")</f>
        <v/>
      </c>
      <c r="AT1268">
        <f>HYPERLINK("http://www.worldcat.org/oclc/549574","WorldCat Record")</f>
        <v/>
      </c>
      <c r="AU1268" t="inlineStr">
        <is>
          <t>1150946268:lat</t>
        </is>
      </c>
      <c r="AV1268" t="inlineStr">
        <is>
          <t>549574</t>
        </is>
      </c>
      <c r="AW1268" t="inlineStr">
        <is>
          <t>991002971749702656</t>
        </is>
      </c>
      <c r="AX1268" t="inlineStr">
        <is>
          <t>991002971749702656</t>
        </is>
      </c>
      <c r="AY1268" t="inlineStr">
        <is>
          <t>2265747660002656</t>
        </is>
      </c>
      <c r="AZ1268" t="inlineStr">
        <is>
          <t>BOOK</t>
        </is>
      </c>
      <c r="BC1268" t="inlineStr">
        <is>
          <t>32285000787753</t>
        </is>
      </c>
      <c r="BD1268" t="inlineStr">
        <is>
          <t>893530711</t>
        </is>
      </c>
    </row>
    <row r="1269">
      <c r="A1269" t="inlineStr">
        <is>
          <t>No</t>
        </is>
      </c>
      <c r="B1269" t="inlineStr">
        <is>
          <t>BX2205 .S56 2002</t>
        </is>
      </c>
      <c r="C1269" t="inlineStr">
        <is>
          <t>0                      BX 2205000S  56          2002</t>
        </is>
      </c>
      <c r="D1269" t="inlineStr">
        <is>
          <t>The baptismal catechumenate : an inspiration for all catechesis / Joseph P. Sinwell, D.Min editor.</t>
        </is>
      </c>
      <c r="F1269" t="inlineStr">
        <is>
          <t>No</t>
        </is>
      </c>
      <c r="G1269" t="inlineStr">
        <is>
          <t>1</t>
        </is>
      </c>
      <c r="H1269" t="inlineStr">
        <is>
          <t>No</t>
        </is>
      </c>
      <c r="I1269" t="inlineStr">
        <is>
          <t>No</t>
        </is>
      </c>
      <c r="J1269" t="inlineStr">
        <is>
          <t>0</t>
        </is>
      </c>
      <c r="K1269" t="inlineStr">
        <is>
          <t>Sinwell, Joseph P.</t>
        </is>
      </c>
      <c r="L1269" t="inlineStr">
        <is>
          <t>Washington, D.C. : NCEA, 2002.</t>
        </is>
      </c>
      <c r="M1269" t="inlineStr">
        <is>
          <t>2002</t>
        </is>
      </c>
      <c r="O1269" t="inlineStr">
        <is>
          <t>eng</t>
        </is>
      </c>
      <c r="P1269" t="inlineStr">
        <is>
          <t xml:space="preserve">xx </t>
        </is>
      </c>
      <c r="R1269" t="inlineStr">
        <is>
          <t xml:space="preserve">BX </t>
        </is>
      </c>
      <c r="S1269" t="n">
        <v>4</v>
      </c>
      <c r="T1269" t="n">
        <v>4</v>
      </c>
      <c r="U1269" t="inlineStr">
        <is>
          <t>2008-01-30</t>
        </is>
      </c>
      <c r="V1269" t="inlineStr">
        <is>
          <t>2008-01-30</t>
        </is>
      </c>
      <c r="W1269" t="inlineStr">
        <is>
          <t>2002-11-11</t>
        </is>
      </c>
      <c r="X1269" t="inlineStr">
        <is>
          <t>2002-11-11</t>
        </is>
      </c>
      <c r="Y1269" t="n">
        <v>25</v>
      </c>
      <c r="Z1269" t="n">
        <v>24</v>
      </c>
      <c r="AA1269" t="n">
        <v>24</v>
      </c>
      <c r="AB1269" t="n">
        <v>1</v>
      </c>
      <c r="AC1269" t="n">
        <v>1</v>
      </c>
      <c r="AD1269" t="n">
        <v>6</v>
      </c>
      <c r="AE1269" t="n">
        <v>6</v>
      </c>
      <c r="AF1269" t="n">
        <v>2</v>
      </c>
      <c r="AG1269" t="n">
        <v>2</v>
      </c>
      <c r="AH1269" t="n">
        <v>1</v>
      </c>
      <c r="AI1269" t="n">
        <v>1</v>
      </c>
      <c r="AJ1269" t="n">
        <v>4</v>
      </c>
      <c r="AK1269" t="n">
        <v>4</v>
      </c>
      <c r="AL1269" t="n">
        <v>0</v>
      </c>
      <c r="AM1269" t="n">
        <v>0</v>
      </c>
      <c r="AN1269" t="n">
        <v>0</v>
      </c>
      <c r="AO1269" t="n">
        <v>0</v>
      </c>
      <c r="AP1269" t="inlineStr">
        <is>
          <t>No</t>
        </is>
      </c>
      <c r="AQ1269" t="inlineStr">
        <is>
          <t>No</t>
        </is>
      </c>
      <c r="AS1269">
        <f>HYPERLINK("https://creighton-primo.hosted.exlibrisgroup.com/primo-explore/search?tab=default_tab&amp;search_scope=EVERYTHING&amp;vid=01CRU&amp;lang=en_US&amp;offset=0&amp;query=any,contains,991003939459702656","Catalog Record")</f>
        <v/>
      </c>
      <c r="AT1269">
        <f>HYPERLINK("http://www.worldcat.org/oclc/50786718","WorldCat Record")</f>
        <v/>
      </c>
      <c r="AU1269" t="inlineStr">
        <is>
          <t>7901662:eng</t>
        </is>
      </c>
      <c r="AV1269" t="inlineStr">
        <is>
          <t>50786718</t>
        </is>
      </c>
      <c r="AW1269" t="inlineStr">
        <is>
          <t>991003939459702656</t>
        </is>
      </c>
      <c r="AX1269" t="inlineStr">
        <is>
          <t>991003939459702656</t>
        </is>
      </c>
      <c r="AY1269" t="inlineStr">
        <is>
          <t>2263796810002656</t>
        </is>
      </c>
      <c r="AZ1269" t="inlineStr">
        <is>
          <t>BOOK</t>
        </is>
      </c>
      <c r="BC1269" t="inlineStr">
        <is>
          <t>32285004662242</t>
        </is>
      </c>
      <c r="BD1269" t="inlineStr">
        <is>
          <t>893499905</t>
        </is>
      </c>
    </row>
    <row r="1270">
      <c r="A1270" t="inlineStr">
        <is>
          <t>No</t>
        </is>
      </c>
      <c r="B1270" t="inlineStr">
        <is>
          <t>BX2205 L3 1922</t>
        </is>
      </c>
      <c r="C1270" t="inlineStr">
        <is>
          <t>0                      BX 2205000L  3           1922</t>
        </is>
      </c>
      <c r="D1270" t="inlineStr">
        <is>
          <t>The three sacraments of initiation : Baptism, Confirmation, Holy Eucharist / by Rev. L. Labauche.</t>
        </is>
      </c>
      <c r="F1270" t="inlineStr">
        <is>
          <t>No</t>
        </is>
      </c>
      <c r="G1270" t="inlineStr">
        <is>
          <t>1</t>
        </is>
      </c>
      <c r="H1270" t="inlineStr">
        <is>
          <t>No</t>
        </is>
      </c>
      <c r="I1270" t="inlineStr">
        <is>
          <t>No</t>
        </is>
      </c>
      <c r="J1270" t="inlineStr">
        <is>
          <t>0</t>
        </is>
      </c>
      <c r="K1270" t="inlineStr">
        <is>
          <t>Labauche, L.</t>
        </is>
      </c>
      <c r="L1270" t="inlineStr">
        <is>
          <t>New York : B. Benziger, 1922.</t>
        </is>
      </c>
      <c r="M1270" t="inlineStr">
        <is>
          <t>1922</t>
        </is>
      </c>
      <c r="N1270" t="inlineStr">
        <is>
          <t>Authorized tr.</t>
        </is>
      </c>
      <c r="O1270" t="inlineStr">
        <is>
          <t>eng</t>
        </is>
      </c>
      <c r="P1270" t="inlineStr">
        <is>
          <t>nyu</t>
        </is>
      </c>
      <c r="R1270" t="inlineStr">
        <is>
          <t xml:space="preserve">BX </t>
        </is>
      </c>
      <c r="S1270" t="n">
        <v>6</v>
      </c>
      <c r="T1270" t="n">
        <v>6</v>
      </c>
      <c r="U1270" t="inlineStr">
        <is>
          <t>2000-09-30</t>
        </is>
      </c>
      <c r="V1270" t="inlineStr">
        <is>
          <t>2000-09-30</t>
        </is>
      </c>
      <c r="W1270" t="inlineStr">
        <is>
          <t>1991-10-10</t>
        </is>
      </c>
      <c r="X1270" t="inlineStr">
        <is>
          <t>1991-10-10</t>
        </is>
      </c>
      <c r="Y1270" t="n">
        <v>42</v>
      </c>
      <c r="Z1270" t="n">
        <v>38</v>
      </c>
      <c r="AA1270" t="n">
        <v>38</v>
      </c>
      <c r="AB1270" t="n">
        <v>2</v>
      </c>
      <c r="AC1270" t="n">
        <v>2</v>
      </c>
      <c r="AD1270" t="n">
        <v>8</v>
      </c>
      <c r="AE1270" t="n">
        <v>8</v>
      </c>
      <c r="AF1270" t="n">
        <v>2</v>
      </c>
      <c r="AG1270" t="n">
        <v>2</v>
      </c>
      <c r="AH1270" t="n">
        <v>1</v>
      </c>
      <c r="AI1270" t="n">
        <v>1</v>
      </c>
      <c r="AJ1270" t="n">
        <v>5</v>
      </c>
      <c r="AK1270" t="n">
        <v>5</v>
      </c>
      <c r="AL1270" t="n">
        <v>0</v>
      </c>
      <c r="AM1270" t="n">
        <v>0</v>
      </c>
      <c r="AN1270" t="n">
        <v>0</v>
      </c>
      <c r="AO1270" t="n">
        <v>0</v>
      </c>
      <c r="AP1270" t="inlineStr">
        <is>
          <t>No</t>
        </is>
      </c>
      <c r="AQ1270" t="inlineStr">
        <is>
          <t>No</t>
        </is>
      </c>
      <c r="AS1270">
        <f>HYPERLINK("https://creighton-primo.hosted.exlibrisgroup.com/primo-explore/search?tab=default_tab&amp;search_scope=EVERYTHING&amp;vid=01CRU&amp;lang=en_US&amp;offset=0&amp;query=any,contains,991004462239702656","Catalog Record")</f>
        <v/>
      </c>
      <c r="AT1270">
        <f>HYPERLINK("http://www.worldcat.org/oclc/3547591","WorldCat Record")</f>
        <v/>
      </c>
      <c r="AU1270" t="inlineStr">
        <is>
          <t>1863395342:eng</t>
        </is>
      </c>
      <c r="AV1270" t="inlineStr">
        <is>
          <t>3547591</t>
        </is>
      </c>
      <c r="AW1270" t="inlineStr">
        <is>
          <t>991004462239702656</t>
        </is>
      </c>
      <c r="AX1270" t="inlineStr">
        <is>
          <t>991004462239702656</t>
        </is>
      </c>
      <c r="AY1270" t="inlineStr">
        <is>
          <t>2263971080002656</t>
        </is>
      </c>
      <c r="AZ1270" t="inlineStr">
        <is>
          <t>BOOK</t>
        </is>
      </c>
      <c r="BC1270" t="inlineStr">
        <is>
          <t>32285000787704</t>
        </is>
      </c>
      <c r="BD1270" t="inlineStr">
        <is>
          <t>893319248</t>
        </is>
      </c>
    </row>
    <row r="1271">
      <c r="A1271" t="inlineStr">
        <is>
          <t>No</t>
        </is>
      </c>
      <c r="B1271" t="inlineStr">
        <is>
          <t>BX2215 .A363 1958</t>
        </is>
      </c>
      <c r="C1271" t="inlineStr">
        <is>
          <t>0                      BX 2215000A  363         1958</t>
        </is>
      </c>
      <c r="D1271" t="inlineStr">
        <is>
          <t>The Holy Eucharist : the mystery of faith and the sacrament of love / by Bernhard van Acken. Translated by H. G. Strauss.</t>
        </is>
      </c>
      <c r="F1271" t="inlineStr">
        <is>
          <t>No</t>
        </is>
      </c>
      <c r="G1271" t="inlineStr">
        <is>
          <t>1</t>
        </is>
      </c>
      <c r="H1271" t="inlineStr">
        <is>
          <t>No</t>
        </is>
      </c>
      <c r="I1271" t="inlineStr">
        <is>
          <t>No</t>
        </is>
      </c>
      <c r="J1271" t="inlineStr">
        <is>
          <t>0</t>
        </is>
      </c>
      <c r="K1271" t="inlineStr">
        <is>
          <t>Acken, Bernhard van, 1881-</t>
        </is>
      </c>
      <c r="L1271" t="inlineStr">
        <is>
          <t>Westminster, Md. : Newman Press, 1958.</t>
        </is>
      </c>
      <c r="M1271" t="inlineStr">
        <is>
          <t>1958</t>
        </is>
      </c>
      <c r="O1271" t="inlineStr">
        <is>
          <t>eng</t>
        </is>
      </c>
      <c r="P1271" t="inlineStr">
        <is>
          <t>mdu</t>
        </is>
      </c>
      <c r="R1271" t="inlineStr">
        <is>
          <t xml:space="preserve">BX </t>
        </is>
      </c>
      <c r="S1271" t="n">
        <v>8</v>
      </c>
      <c r="T1271" t="n">
        <v>8</v>
      </c>
      <c r="U1271" t="inlineStr">
        <is>
          <t>1997-04-22</t>
        </is>
      </c>
      <c r="V1271" t="inlineStr">
        <is>
          <t>1997-04-22</t>
        </is>
      </c>
      <c r="W1271" t="inlineStr">
        <is>
          <t>1991-10-10</t>
        </is>
      </c>
      <c r="X1271" t="inlineStr">
        <is>
          <t>1991-10-10</t>
        </is>
      </c>
      <c r="Y1271" t="n">
        <v>80</v>
      </c>
      <c r="Z1271" t="n">
        <v>70</v>
      </c>
      <c r="AA1271" t="n">
        <v>70</v>
      </c>
      <c r="AB1271" t="n">
        <v>2</v>
      </c>
      <c r="AC1271" t="n">
        <v>2</v>
      </c>
      <c r="AD1271" t="n">
        <v>20</v>
      </c>
      <c r="AE1271" t="n">
        <v>20</v>
      </c>
      <c r="AF1271" t="n">
        <v>6</v>
      </c>
      <c r="AG1271" t="n">
        <v>6</v>
      </c>
      <c r="AH1271" t="n">
        <v>3</v>
      </c>
      <c r="AI1271" t="n">
        <v>3</v>
      </c>
      <c r="AJ1271" t="n">
        <v>18</v>
      </c>
      <c r="AK1271" t="n">
        <v>18</v>
      </c>
      <c r="AL1271" t="n">
        <v>0</v>
      </c>
      <c r="AM1271" t="n">
        <v>0</v>
      </c>
      <c r="AN1271" t="n">
        <v>0</v>
      </c>
      <c r="AO1271" t="n">
        <v>0</v>
      </c>
      <c r="AP1271" t="inlineStr">
        <is>
          <t>No</t>
        </is>
      </c>
      <c r="AQ1271" t="inlineStr">
        <is>
          <t>No</t>
        </is>
      </c>
      <c r="AS1271">
        <f>HYPERLINK("https://creighton-primo.hosted.exlibrisgroup.com/primo-explore/search?tab=default_tab&amp;search_scope=EVERYTHING&amp;vid=01CRU&amp;lang=en_US&amp;offset=0&amp;query=any,contains,991004050289702656","Catalog Record")</f>
        <v/>
      </c>
      <c r="AT1271">
        <f>HYPERLINK("http://www.worldcat.org/oclc/2212345","WorldCat Record")</f>
        <v/>
      </c>
      <c r="AU1271" t="inlineStr">
        <is>
          <t>3961097:eng</t>
        </is>
      </c>
      <c r="AV1271" t="inlineStr">
        <is>
          <t>2212345</t>
        </is>
      </c>
      <c r="AW1271" t="inlineStr">
        <is>
          <t>991004050289702656</t>
        </is>
      </c>
      <c r="AX1271" t="inlineStr">
        <is>
          <t>991004050289702656</t>
        </is>
      </c>
      <c r="AY1271" t="inlineStr">
        <is>
          <t>2255540860002656</t>
        </is>
      </c>
      <c r="AZ1271" t="inlineStr">
        <is>
          <t>BOOK</t>
        </is>
      </c>
      <c r="BC1271" t="inlineStr">
        <is>
          <t>32285000787845</t>
        </is>
      </c>
      <c r="BD1271" t="inlineStr">
        <is>
          <t>893234994</t>
        </is>
      </c>
    </row>
    <row r="1272">
      <c r="A1272" t="inlineStr">
        <is>
          <t>No</t>
        </is>
      </c>
      <c r="B1272" t="inlineStr">
        <is>
          <t>BX2215 .B38 1958</t>
        </is>
      </c>
      <c r="C1272" t="inlineStr">
        <is>
          <t>0                      BX 2215000B  38          1958</t>
        </is>
      </c>
      <c r="D1272" t="inlineStr">
        <is>
          <t>From Holy Communion to the Blessed Trinity / translated by Dom Francis Izard.</t>
        </is>
      </c>
      <c r="F1272" t="inlineStr">
        <is>
          <t>No</t>
        </is>
      </c>
      <c r="G1272" t="inlineStr">
        <is>
          <t>1</t>
        </is>
      </c>
      <c r="H1272" t="inlineStr">
        <is>
          <t>No</t>
        </is>
      </c>
      <c r="I1272" t="inlineStr">
        <is>
          <t>No</t>
        </is>
      </c>
      <c r="J1272" t="inlineStr">
        <is>
          <t>0</t>
        </is>
      </c>
      <c r="K1272" t="inlineStr">
        <is>
          <t>Bernadot, M. V. (Marie Vincent), 1883-1941.</t>
        </is>
      </c>
      <c r="L1272" t="inlineStr">
        <is>
          <t>Westminster, MD. : Newman Pr., 1958.</t>
        </is>
      </c>
      <c r="M1272" t="inlineStr">
        <is>
          <t>1958</t>
        </is>
      </c>
      <c r="O1272" t="inlineStr">
        <is>
          <t>eng</t>
        </is>
      </c>
      <c r="P1272" t="inlineStr">
        <is>
          <t>mdu</t>
        </is>
      </c>
      <c r="R1272" t="inlineStr">
        <is>
          <t xml:space="preserve">BX </t>
        </is>
      </c>
      <c r="S1272" t="n">
        <v>2</v>
      </c>
      <c r="T1272" t="n">
        <v>2</v>
      </c>
      <c r="U1272" t="inlineStr">
        <is>
          <t>1993-11-10</t>
        </is>
      </c>
      <c r="V1272" t="inlineStr">
        <is>
          <t>1993-11-10</t>
        </is>
      </c>
      <c r="W1272" t="inlineStr">
        <is>
          <t>1991-10-10</t>
        </is>
      </c>
      <c r="X1272" t="inlineStr">
        <is>
          <t>1991-10-10</t>
        </is>
      </c>
      <c r="Y1272" t="n">
        <v>13</v>
      </c>
      <c r="Z1272" t="n">
        <v>13</v>
      </c>
      <c r="AA1272" t="n">
        <v>69</v>
      </c>
      <c r="AB1272" t="n">
        <v>2</v>
      </c>
      <c r="AC1272" t="n">
        <v>2</v>
      </c>
      <c r="AD1272" t="n">
        <v>3</v>
      </c>
      <c r="AE1272" t="n">
        <v>14</v>
      </c>
      <c r="AF1272" t="n">
        <v>2</v>
      </c>
      <c r="AG1272" t="n">
        <v>3</v>
      </c>
      <c r="AH1272" t="n">
        <v>2</v>
      </c>
      <c r="AI1272" t="n">
        <v>6</v>
      </c>
      <c r="AJ1272" t="n">
        <v>1</v>
      </c>
      <c r="AK1272" t="n">
        <v>10</v>
      </c>
      <c r="AL1272" t="n">
        <v>0</v>
      </c>
      <c r="AM1272" t="n">
        <v>0</v>
      </c>
      <c r="AN1272" t="n">
        <v>0</v>
      </c>
      <c r="AO1272" t="n">
        <v>0</v>
      </c>
      <c r="AP1272" t="inlineStr">
        <is>
          <t>No</t>
        </is>
      </c>
      <c r="AQ1272" t="inlineStr">
        <is>
          <t>No</t>
        </is>
      </c>
      <c r="AS1272">
        <f>HYPERLINK("https://creighton-primo.hosted.exlibrisgroup.com/primo-explore/search?tab=default_tab&amp;search_scope=EVERYTHING&amp;vid=01CRU&amp;lang=en_US&amp;offset=0&amp;query=any,contains,991001044609702656","Catalog Record")</f>
        <v/>
      </c>
      <c r="AT1272">
        <f>HYPERLINK("http://www.worldcat.org/oclc/15604047","WorldCat Record")</f>
        <v/>
      </c>
      <c r="AU1272" t="inlineStr">
        <is>
          <t>10627740223:eng</t>
        </is>
      </c>
      <c r="AV1272" t="inlineStr">
        <is>
          <t>15604047</t>
        </is>
      </c>
      <c r="AW1272" t="inlineStr">
        <is>
          <t>991001044609702656</t>
        </is>
      </c>
      <c r="AX1272" t="inlineStr">
        <is>
          <t>991001044609702656</t>
        </is>
      </c>
      <c r="AY1272" t="inlineStr">
        <is>
          <t>2267495880002656</t>
        </is>
      </c>
      <c r="AZ1272" t="inlineStr">
        <is>
          <t>BOOK</t>
        </is>
      </c>
      <c r="BC1272" t="inlineStr">
        <is>
          <t>32285000787886</t>
        </is>
      </c>
      <c r="BD1272" t="inlineStr">
        <is>
          <t>893225564</t>
        </is>
      </c>
    </row>
    <row r="1273">
      <c r="A1273" t="inlineStr">
        <is>
          <t>No</t>
        </is>
      </c>
      <c r="B1273" t="inlineStr">
        <is>
          <t>BX2215 .L3 1921</t>
        </is>
      </c>
      <c r="C1273" t="inlineStr">
        <is>
          <t>0                      BX 2215000L  3           1921</t>
        </is>
      </c>
      <c r="D1273" t="inlineStr">
        <is>
          <t>Mysterium fidei de augustissimo corporis et sanguinis Christi sacrificio atque sacramento : elucidationes L [i.e. 50] in tres libros distinctae / auctore Mauritio de la Taille, S. J.</t>
        </is>
      </c>
      <c r="F1273" t="inlineStr">
        <is>
          <t>No</t>
        </is>
      </c>
      <c r="G1273" t="inlineStr">
        <is>
          <t>1</t>
        </is>
      </c>
      <c r="H1273" t="inlineStr">
        <is>
          <t>No</t>
        </is>
      </c>
      <c r="I1273" t="inlineStr">
        <is>
          <t>No</t>
        </is>
      </c>
      <c r="J1273" t="inlineStr">
        <is>
          <t>0</t>
        </is>
      </c>
      <c r="K1273" t="inlineStr">
        <is>
          <t>La Taille, Maurice de, 1872-1933.</t>
        </is>
      </c>
      <c r="L1273" t="inlineStr">
        <is>
          <t>Parisiis : G. Beauchesne, 1921.</t>
        </is>
      </c>
      <c r="M1273" t="inlineStr">
        <is>
          <t>1921</t>
        </is>
      </c>
      <c r="O1273" t="inlineStr">
        <is>
          <t>lat</t>
        </is>
      </c>
      <c r="P1273" t="inlineStr">
        <is>
          <t xml:space="preserve">fr </t>
        </is>
      </c>
      <c r="R1273" t="inlineStr">
        <is>
          <t xml:space="preserve">BX </t>
        </is>
      </c>
      <c r="S1273" t="n">
        <v>0</v>
      </c>
      <c r="T1273" t="n">
        <v>0</v>
      </c>
      <c r="U1273" t="inlineStr">
        <is>
          <t>2006-10-16</t>
        </is>
      </c>
      <c r="V1273" t="inlineStr">
        <is>
          <t>2006-10-16</t>
        </is>
      </c>
      <c r="W1273" t="inlineStr">
        <is>
          <t>1991-10-10</t>
        </is>
      </c>
      <c r="X1273" t="inlineStr">
        <is>
          <t>1991-10-10</t>
        </is>
      </c>
      <c r="Y1273" t="n">
        <v>77</v>
      </c>
      <c r="Z1273" t="n">
        <v>58</v>
      </c>
      <c r="AA1273" t="n">
        <v>109</v>
      </c>
      <c r="AB1273" t="n">
        <v>1</v>
      </c>
      <c r="AC1273" t="n">
        <v>2</v>
      </c>
      <c r="AD1273" t="n">
        <v>10</v>
      </c>
      <c r="AE1273" t="n">
        <v>18</v>
      </c>
      <c r="AF1273" t="n">
        <v>3</v>
      </c>
      <c r="AG1273" t="n">
        <v>4</v>
      </c>
      <c r="AH1273" t="n">
        <v>1</v>
      </c>
      <c r="AI1273" t="n">
        <v>3</v>
      </c>
      <c r="AJ1273" t="n">
        <v>8</v>
      </c>
      <c r="AK1273" t="n">
        <v>15</v>
      </c>
      <c r="AL1273" t="n">
        <v>0</v>
      </c>
      <c r="AM1273" t="n">
        <v>0</v>
      </c>
      <c r="AN1273" t="n">
        <v>0</v>
      </c>
      <c r="AO1273" t="n">
        <v>0</v>
      </c>
      <c r="AP1273" t="inlineStr">
        <is>
          <t>No</t>
        </is>
      </c>
      <c r="AQ1273" t="inlineStr">
        <is>
          <t>No</t>
        </is>
      </c>
      <c r="AS1273">
        <f>HYPERLINK("https://creighton-primo.hosted.exlibrisgroup.com/primo-explore/search?tab=default_tab&amp;search_scope=EVERYTHING&amp;vid=01CRU&amp;lang=en_US&amp;offset=0&amp;query=any,contains,991005246159702656","Catalog Record")</f>
        <v/>
      </c>
      <c r="AT1273">
        <f>HYPERLINK("http://www.worldcat.org/oclc/2485500","WorldCat Record")</f>
        <v/>
      </c>
      <c r="AU1273" t="inlineStr">
        <is>
          <t>18951298:lat</t>
        </is>
      </c>
      <c r="AV1273" t="inlineStr">
        <is>
          <t>2485500</t>
        </is>
      </c>
      <c r="AW1273" t="inlineStr">
        <is>
          <t>991005246159702656</t>
        </is>
      </c>
      <c r="AX1273" t="inlineStr">
        <is>
          <t>991005246159702656</t>
        </is>
      </c>
      <c r="AY1273" t="inlineStr">
        <is>
          <t>2270486900002656</t>
        </is>
      </c>
      <c r="AZ1273" t="inlineStr">
        <is>
          <t>BOOK</t>
        </is>
      </c>
      <c r="BC1273" t="inlineStr">
        <is>
          <t>32285000787985</t>
        </is>
      </c>
      <c r="BD1273" t="inlineStr">
        <is>
          <t>893514325</t>
        </is>
      </c>
    </row>
    <row r="1274">
      <c r="A1274" t="inlineStr">
        <is>
          <t>No</t>
        </is>
      </c>
      <c r="B1274" t="inlineStr">
        <is>
          <t>BX2215 .M352 1954</t>
        </is>
      </c>
      <c r="C1274" t="inlineStr">
        <is>
          <t>0                      BX 2215000M  352         1954</t>
        </is>
      </c>
      <c r="D1274" t="inlineStr">
        <is>
          <t>The sacrifice of the mystical body / by Eugène Masure. [Translated by Anthony Thornold]</t>
        </is>
      </c>
      <c r="F1274" t="inlineStr">
        <is>
          <t>No</t>
        </is>
      </c>
      <c r="G1274" t="inlineStr">
        <is>
          <t>1</t>
        </is>
      </c>
      <c r="H1274" t="inlineStr">
        <is>
          <t>No</t>
        </is>
      </c>
      <c r="I1274" t="inlineStr">
        <is>
          <t>No</t>
        </is>
      </c>
      <c r="J1274" t="inlineStr">
        <is>
          <t>0</t>
        </is>
      </c>
      <c r="K1274" t="inlineStr">
        <is>
          <t>Masure, Eugène, 1882-1958.</t>
        </is>
      </c>
      <c r="L1274" t="inlineStr">
        <is>
          <t>London : Burns &amp; Oates ; Chicago, Ill. : H. Regnery Co., [1954]</t>
        </is>
      </c>
      <c r="M1274" t="inlineStr">
        <is>
          <t>1954</t>
        </is>
      </c>
      <c r="O1274" t="inlineStr">
        <is>
          <t>eng</t>
        </is>
      </c>
      <c r="P1274" t="inlineStr">
        <is>
          <t>___</t>
        </is>
      </c>
      <c r="R1274" t="inlineStr">
        <is>
          <t xml:space="preserve">BX </t>
        </is>
      </c>
      <c r="S1274" t="n">
        <v>4</v>
      </c>
      <c r="T1274" t="n">
        <v>4</v>
      </c>
      <c r="U1274" t="inlineStr">
        <is>
          <t>2008-12-13</t>
        </is>
      </c>
      <c r="V1274" t="inlineStr">
        <is>
          <t>2008-12-13</t>
        </is>
      </c>
      <c r="W1274" t="inlineStr">
        <is>
          <t>1991-10-10</t>
        </is>
      </c>
      <c r="X1274" t="inlineStr">
        <is>
          <t>1991-10-10</t>
        </is>
      </c>
      <c r="Y1274" t="n">
        <v>207</v>
      </c>
      <c r="Z1274" t="n">
        <v>160</v>
      </c>
      <c r="AA1274" t="n">
        <v>162</v>
      </c>
      <c r="AB1274" t="n">
        <v>2</v>
      </c>
      <c r="AC1274" t="n">
        <v>2</v>
      </c>
      <c r="AD1274" t="n">
        <v>28</v>
      </c>
      <c r="AE1274" t="n">
        <v>28</v>
      </c>
      <c r="AF1274" t="n">
        <v>9</v>
      </c>
      <c r="AG1274" t="n">
        <v>9</v>
      </c>
      <c r="AH1274" t="n">
        <v>8</v>
      </c>
      <c r="AI1274" t="n">
        <v>8</v>
      </c>
      <c r="AJ1274" t="n">
        <v>22</v>
      </c>
      <c r="AK1274" t="n">
        <v>22</v>
      </c>
      <c r="AL1274" t="n">
        <v>0</v>
      </c>
      <c r="AM1274" t="n">
        <v>0</v>
      </c>
      <c r="AN1274" t="n">
        <v>0</v>
      </c>
      <c r="AO1274" t="n">
        <v>0</v>
      </c>
      <c r="AP1274" t="inlineStr">
        <is>
          <t>No</t>
        </is>
      </c>
      <c r="AQ1274" t="inlineStr">
        <is>
          <t>Yes</t>
        </is>
      </c>
      <c r="AR1274">
        <f>HYPERLINK("http://catalog.hathitrust.org/Record/102644850","HathiTrust Record")</f>
        <v/>
      </c>
      <c r="AS1274">
        <f>HYPERLINK("https://creighton-primo.hosted.exlibrisgroup.com/primo-explore/search?tab=default_tab&amp;search_scope=EVERYTHING&amp;vid=01CRU&amp;lang=en_US&amp;offset=0&amp;query=any,contains,991003622279702656","Catalog Record")</f>
        <v/>
      </c>
      <c r="AT1274">
        <f>HYPERLINK("http://www.worldcat.org/oclc/1210340","WorldCat Record")</f>
        <v/>
      </c>
      <c r="AU1274" t="inlineStr">
        <is>
          <t>352559942:eng</t>
        </is>
      </c>
      <c r="AV1274" t="inlineStr">
        <is>
          <t>1210340</t>
        </is>
      </c>
      <c r="AW1274" t="inlineStr">
        <is>
          <t>991003622279702656</t>
        </is>
      </c>
      <c r="AX1274" t="inlineStr">
        <is>
          <t>991003622279702656</t>
        </is>
      </c>
      <c r="AY1274" t="inlineStr">
        <is>
          <t>2266458050002656</t>
        </is>
      </c>
      <c r="AZ1274" t="inlineStr">
        <is>
          <t>BOOK</t>
        </is>
      </c>
      <c r="BC1274" t="inlineStr">
        <is>
          <t>32285000788033</t>
        </is>
      </c>
      <c r="BD1274" t="inlineStr">
        <is>
          <t>893774958</t>
        </is>
      </c>
    </row>
    <row r="1275">
      <c r="A1275" t="inlineStr">
        <is>
          <t>No</t>
        </is>
      </c>
      <c r="B1275" t="inlineStr">
        <is>
          <t>BX2215 .M383 1910</t>
        </is>
      </c>
      <c r="C1275" t="inlineStr">
        <is>
          <t>0                      BX 2215000M  383         1910</t>
        </is>
      </c>
      <c r="D1275" t="inlineStr">
        <is>
          <t>The sublimity of the Holy Eucharist : also, A visit to the seven churches in Rome on the occasion of the jubilee : five essays / by Father Moritz Meschler, S.J. ; authorised translation by A. C. Clarke.</t>
        </is>
      </c>
      <c r="F1275" t="inlineStr">
        <is>
          <t>No</t>
        </is>
      </c>
      <c r="G1275" t="inlineStr">
        <is>
          <t>1</t>
        </is>
      </c>
      <c r="H1275" t="inlineStr">
        <is>
          <t>No</t>
        </is>
      </c>
      <c r="I1275" t="inlineStr">
        <is>
          <t>No</t>
        </is>
      </c>
      <c r="J1275" t="inlineStr">
        <is>
          <t>0</t>
        </is>
      </c>
      <c r="K1275" t="inlineStr">
        <is>
          <t>Meschler, Maurice.</t>
        </is>
      </c>
      <c r="L1275" t="inlineStr">
        <is>
          <t>St. Louis, Mo. : B. Herder ; London : Sands., 1910.</t>
        </is>
      </c>
      <c r="M1275" t="inlineStr">
        <is>
          <t>1910</t>
        </is>
      </c>
      <c r="O1275" t="inlineStr">
        <is>
          <t>eng</t>
        </is>
      </c>
      <c r="P1275" t="inlineStr">
        <is>
          <t>mou</t>
        </is>
      </c>
      <c r="R1275" t="inlineStr">
        <is>
          <t xml:space="preserve">BX </t>
        </is>
      </c>
      <c r="S1275" t="n">
        <v>6</v>
      </c>
      <c r="T1275" t="n">
        <v>6</v>
      </c>
      <c r="U1275" t="inlineStr">
        <is>
          <t>2010-04-12</t>
        </is>
      </c>
      <c r="V1275" t="inlineStr">
        <is>
          <t>2010-04-12</t>
        </is>
      </c>
      <c r="W1275" t="inlineStr">
        <is>
          <t>1991-10-14</t>
        </is>
      </c>
      <c r="X1275" t="inlineStr">
        <is>
          <t>1991-10-14</t>
        </is>
      </c>
      <c r="Y1275" t="n">
        <v>28</v>
      </c>
      <c r="Z1275" t="n">
        <v>25</v>
      </c>
      <c r="AA1275" t="n">
        <v>48</v>
      </c>
      <c r="AB1275" t="n">
        <v>2</v>
      </c>
      <c r="AC1275" t="n">
        <v>2</v>
      </c>
      <c r="AD1275" t="n">
        <v>10</v>
      </c>
      <c r="AE1275" t="n">
        <v>14</v>
      </c>
      <c r="AF1275" t="n">
        <v>1</v>
      </c>
      <c r="AG1275" t="n">
        <v>1</v>
      </c>
      <c r="AH1275" t="n">
        <v>2</v>
      </c>
      <c r="AI1275" t="n">
        <v>4</v>
      </c>
      <c r="AJ1275" t="n">
        <v>8</v>
      </c>
      <c r="AK1275" t="n">
        <v>11</v>
      </c>
      <c r="AL1275" t="n">
        <v>0</v>
      </c>
      <c r="AM1275" t="n">
        <v>0</v>
      </c>
      <c r="AN1275" t="n">
        <v>0</v>
      </c>
      <c r="AO1275" t="n">
        <v>0</v>
      </c>
      <c r="AP1275" t="inlineStr">
        <is>
          <t>No</t>
        </is>
      </c>
      <c r="AQ1275" t="inlineStr">
        <is>
          <t>No</t>
        </is>
      </c>
      <c r="AS1275">
        <f>HYPERLINK("https://creighton-primo.hosted.exlibrisgroup.com/primo-explore/search?tab=default_tab&amp;search_scope=EVERYTHING&amp;vid=01CRU&amp;lang=en_US&amp;offset=0&amp;query=any,contains,991000193099702656","Catalog Record")</f>
        <v/>
      </c>
      <c r="AT1275">
        <f>HYPERLINK("http://www.worldcat.org/oclc/9414545","WorldCat Record")</f>
        <v/>
      </c>
      <c r="AU1275" t="inlineStr">
        <is>
          <t>3962793:eng</t>
        </is>
      </c>
      <c r="AV1275" t="inlineStr">
        <is>
          <t>9414545</t>
        </is>
      </c>
      <c r="AW1275" t="inlineStr">
        <is>
          <t>991000193099702656</t>
        </is>
      </c>
      <c r="AX1275" t="inlineStr">
        <is>
          <t>991000193099702656</t>
        </is>
      </c>
      <c r="AY1275" t="inlineStr">
        <is>
          <t>2261970770002656</t>
        </is>
      </c>
      <c r="AZ1275" t="inlineStr">
        <is>
          <t>BOOK</t>
        </is>
      </c>
      <c r="BC1275" t="inlineStr">
        <is>
          <t>32285000788306</t>
        </is>
      </c>
      <c r="BD1275" t="inlineStr">
        <is>
          <t>893902928</t>
        </is>
      </c>
    </row>
    <row r="1276">
      <c r="A1276" t="inlineStr">
        <is>
          <t>No</t>
        </is>
      </c>
      <c r="B1276" t="inlineStr">
        <is>
          <t>BX2215 .S4 1916</t>
        </is>
      </c>
      <c r="C1276" t="inlineStr">
        <is>
          <t>0                      BX 2215000S  4           1916</t>
        </is>
      </c>
      <c r="D1276" t="inlineStr">
        <is>
          <t>The sacrament of friendship / by Henry C. Schuyler.</t>
        </is>
      </c>
      <c r="F1276" t="inlineStr">
        <is>
          <t>No</t>
        </is>
      </c>
      <c r="G1276" t="inlineStr">
        <is>
          <t>1</t>
        </is>
      </c>
      <c r="H1276" t="inlineStr">
        <is>
          <t>No</t>
        </is>
      </c>
      <c r="I1276" t="inlineStr">
        <is>
          <t>No</t>
        </is>
      </c>
      <c r="J1276" t="inlineStr">
        <is>
          <t>0</t>
        </is>
      </c>
      <c r="K1276" t="inlineStr">
        <is>
          <t>Schuyler, Henry Clement, 1876-</t>
        </is>
      </c>
      <c r="L1276" t="inlineStr">
        <is>
          <t>Philadelphia : P. Reilly ; London : Hirschfeld brothers, ltd., 1916.</t>
        </is>
      </c>
      <c r="M1276" t="inlineStr">
        <is>
          <t>1916</t>
        </is>
      </c>
      <c r="O1276" t="inlineStr">
        <is>
          <t>eng</t>
        </is>
      </c>
      <c r="P1276" t="inlineStr">
        <is>
          <t>pau</t>
        </is>
      </c>
      <c r="R1276" t="inlineStr">
        <is>
          <t xml:space="preserve">BX </t>
        </is>
      </c>
      <c r="S1276" t="n">
        <v>5</v>
      </c>
      <c r="T1276" t="n">
        <v>5</v>
      </c>
      <c r="U1276" t="inlineStr">
        <is>
          <t>2000-01-13</t>
        </is>
      </c>
      <c r="V1276" t="inlineStr">
        <is>
          <t>2000-01-13</t>
        </is>
      </c>
      <c r="W1276" t="inlineStr">
        <is>
          <t>1991-10-14</t>
        </is>
      </c>
      <c r="X1276" t="inlineStr">
        <is>
          <t>1991-10-14</t>
        </is>
      </c>
      <c r="Y1276" t="n">
        <v>32</v>
      </c>
      <c r="Z1276" t="n">
        <v>28</v>
      </c>
      <c r="AA1276" t="n">
        <v>39</v>
      </c>
      <c r="AB1276" t="n">
        <v>1</v>
      </c>
      <c r="AC1276" t="n">
        <v>1</v>
      </c>
      <c r="AD1276" t="n">
        <v>6</v>
      </c>
      <c r="AE1276" t="n">
        <v>6</v>
      </c>
      <c r="AF1276" t="n">
        <v>1</v>
      </c>
      <c r="AG1276" t="n">
        <v>1</v>
      </c>
      <c r="AH1276" t="n">
        <v>1</v>
      </c>
      <c r="AI1276" t="n">
        <v>1</v>
      </c>
      <c r="AJ1276" t="n">
        <v>4</v>
      </c>
      <c r="AK1276" t="n">
        <v>4</v>
      </c>
      <c r="AL1276" t="n">
        <v>0</v>
      </c>
      <c r="AM1276" t="n">
        <v>0</v>
      </c>
      <c r="AN1276" t="n">
        <v>0</v>
      </c>
      <c r="AO1276" t="n">
        <v>0</v>
      </c>
      <c r="AP1276" t="inlineStr">
        <is>
          <t>No</t>
        </is>
      </c>
      <c r="AQ1276" t="inlineStr">
        <is>
          <t>No</t>
        </is>
      </c>
      <c r="AS1276">
        <f>HYPERLINK("https://creighton-primo.hosted.exlibrisgroup.com/primo-explore/search?tab=default_tab&amp;search_scope=EVERYTHING&amp;vid=01CRU&amp;lang=en_US&amp;offset=0&amp;query=any,contains,991004548299702656","Catalog Record")</f>
        <v/>
      </c>
      <c r="AT1276">
        <f>HYPERLINK("http://www.worldcat.org/oclc/3923358","WorldCat Record")</f>
        <v/>
      </c>
      <c r="AU1276" t="inlineStr">
        <is>
          <t>13427175:eng</t>
        </is>
      </c>
      <c r="AV1276" t="inlineStr">
        <is>
          <t>3923358</t>
        </is>
      </c>
      <c r="AW1276" t="inlineStr">
        <is>
          <t>991004548299702656</t>
        </is>
      </c>
      <c r="AX1276" t="inlineStr">
        <is>
          <t>991004548299702656</t>
        </is>
      </c>
      <c r="AY1276" t="inlineStr">
        <is>
          <t>2268148930002656</t>
        </is>
      </c>
      <c r="AZ1276" t="inlineStr">
        <is>
          <t>BOOK</t>
        </is>
      </c>
      <c r="BC1276" t="inlineStr">
        <is>
          <t>32285000788355</t>
        </is>
      </c>
      <c r="BD1276" t="inlineStr">
        <is>
          <t>893325500</t>
        </is>
      </c>
    </row>
    <row r="1277">
      <c r="A1277" t="inlineStr">
        <is>
          <t>No</t>
        </is>
      </c>
      <c r="B1277" t="inlineStr">
        <is>
          <t>BX2215 .T514 1955</t>
        </is>
      </c>
      <c r="C1277" t="inlineStr">
        <is>
          <t>0                      BX 2215000T  514         1955</t>
        </is>
      </c>
      <c r="D1277" t="inlineStr">
        <is>
          <t>The Blessed Sacrament and the Mass / translated, with notes, by Rev. F. O'Neill.</t>
        </is>
      </c>
      <c r="F1277" t="inlineStr">
        <is>
          <t>No</t>
        </is>
      </c>
      <c r="G1277" t="inlineStr">
        <is>
          <t>1</t>
        </is>
      </c>
      <c r="H1277" t="inlineStr">
        <is>
          <t>No</t>
        </is>
      </c>
      <c r="I1277" t="inlineStr">
        <is>
          <t>No</t>
        </is>
      </c>
      <c r="J1277" t="inlineStr">
        <is>
          <t>0</t>
        </is>
      </c>
      <c r="K1277" t="inlineStr">
        <is>
          <t>Thomas, Aquinas, Saint, 1225?-1274.</t>
        </is>
      </c>
      <c r="L1277" t="inlineStr">
        <is>
          <t>Westminster, Md. : Newman, [1955, c1935]</t>
        </is>
      </c>
      <c r="M1277" t="inlineStr">
        <is>
          <t>1955</t>
        </is>
      </c>
      <c r="O1277" t="inlineStr">
        <is>
          <t>eng</t>
        </is>
      </c>
      <c r="P1277" t="inlineStr">
        <is>
          <t xml:space="preserve">xx </t>
        </is>
      </c>
      <c r="R1277" t="inlineStr">
        <is>
          <t xml:space="preserve">BX </t>
        </is>
      </c>
      <c r="S1277" t="n">
        <v>5</v>
      </c>
      <c r="T1277" t="n">
        <v>5</v>
      </c>
      <c r="U1277" t="inlineStr">
        <is>
          <t>2001-07-11</t>
        </is>
      </c>
      <c r="V1277" t="inlineStr">
        <is>
          <t>2001-07-11</t>
        </is>
      </c>
      <c r="W1277" t="inlineStr">
        <is>
          <t>1991-10-28</t>
        </is>
      </c>
      <c r="X1277" t="inlineStr">
        <is>
          <t>1991-10-28</t>
        </is>
      </c>
      <c r="Y1277" t="n">
        <v>88</v>
      </c>
      <c r="Z1277" t="n">
        <v>84</v>
      </c>
      <c r="AA1277" t="n">
        <v>113</v>
      </c>
      <c r="AB1277" t="n">
        <v>2</v>
      </c>
      <c r="AC1277" t="n">
        <v>2</v>
      </c>
      <c r="AD1277" t="n">
        <v>17</v>
      </c>
      <c r="AE1277" t="n">
        <v>21</v>
      </c>
      <c r="AF1277" t="n">
        <v>5</v>
      </c>
      <c r="AG1277" t="n">
        <v>7</v>
      </c>
      <c r="AH1277" t="n">
        <v>4</v>
      </c>
      <c r="AI1277" t="n">
        <v>4</v>
      </c>
      <c r="AJ1277" t="n">
        <v>13</v>
      </c>
      <c r="AK1277" t="n">
        <v>17</v>
      </c>
      <c r="AL1277" t="n">
        <v>0</v>
      </c>
      <c r="AM1277" t="n">
        <v>0</v>
      </c>
      <c r="AN1277" t="n">
        <v>0</v>
      </c>
      <c r="AO1277" t="n">
        <v>0</v>
      </c>
      <c r="AP1277" t="inlineStr">
        <is>
          <t>No</t>
        </is>
      </c>
      <c r="AQ1277" t="inlineStr">
        <is>
          <t>No</t>
        </is>
      </c>
      <c r="AR1277">
        <f>HYPERLINK("http://catalog.hathitrust.org/Record/102155250","HathiTrust Record")</f>
        <v/>
      </c>
      <c r="AS1277">
        <f>HYPERLINK("https://creighton-primo.hosted.exlibrisgroup.com/primo-explore/search?tab=default_tab&amp;search_scope=EVERYTHING&amp;vid=01CRU&amp;lang=en_US&amp;offset=0&amp;query=any,contains,991003863619702656","Catalog Record")</f>
        <v/>
      </c>
      <c r="AT1277">
        <f>HYPERLINK("http://www.worldcat.org/oclc/1672787","WorldCat Record")</f>
        <v/>
      </c>
      <c r="AU1277" t="inlineStr">
        <is>
          <t>2504454:eng</t>
        </is>
      </c>
      <c r="AV1277" t="inlineStr">
        <is>
          <t>1672787</t>
        </is>
      </c>
      <c r="AW1277" t="inlineStr">
        <is>
          <t>991003863619702656</t>
        </is>
      </c>
      <c r="AX1277" t="inlineStr">
        <is>
          <t>991003863619702656</t>
        </is>
      </c>
      <c r="AY1277" t="inlineStr">
        <is>
          <t>2266601860002656</t>
        </is>
      </c>
      <c r="AZ1277" t="inlineStr">
        <is>
          <t>BOOK</t>
        </is>
      </c>
      <c r="BC1277" t="inlineStr">
        <is>
          <t>32285000769983</t>
        </is>
      </c>
      <c r="BD1277" t="inlineStr">
        <is>
          <t>893781533</t>
        </is>
      </c>
    </row>
    <row r="1278">
      <c r="A1278" t="inlineStr">
        <is>
          <t>No</t>
        </is>
      </c>
      <c r="B1278" t="inlineStr">
        <is>
          <t>BX2215 .V6 1951</t>
        </is>
      </c>
      <c r="C1278" t="inlineStr">
        <is>
          <t>0                      BX 2215000V  6           1951</t>
        </is>
      </c>
      <c r="D1278" t="inlineStr">
        <is>
          <t>A key to the doctrine of the Eucharist / by Anscar Vonier.</t>
        </is>
      </c>
      <c r="F1278" t="inlineStr">
        <is>
          <t>No</t>
        </is>
      </c>
      <c r="G1278" t="inlineStr">
        <is>
          <t>1</t>
        </is>
      </c>
      <c r="H1278" t="inlineStr">
        <is>
          <t>No</t>
        </is>
      </c>
      <c r="I1278" t="inlineStr">
        <is>
          <t>No</t>
        </is>
      </c>
      <c r="J1278" t="inlineStr">
        <is>
          <t>0</t>
        </is>
      </c>
      <c r="K1278" t="inlineStr">
        <is>
          <t>Vonier, Anscar, 1875-1938.</t>
        </is>
      </c>
      <c r="L1278" t="inlineStr">
        <is>
          <t>Westminster, Md. : Newman Press, 1951.</t>
        </is>
      </c>
      <c r="M1278" t="inlineStr">
        <is>
          <t>1951</t>
        </is>
      </c>
      <c r="O1278" t="inlineStr">
        <is>
          <t>eng</t>
        </is>
      </c>
      <c r="P1278" t="inlineStr">
        <is>
          <t>mdu</t>
        </is>
      </c>
      <c r="R1278" t="inlineStr">
        <is>
          <t xml:space="preserve">BX </t>
        </is>
      </c>
      <c r="S1278" t="n">
        <v>5</v>
      </c>
      <c r="T1278" t="n">
        <v>5</v>
      </c>
      <c r="U1278" t="inlineStr">
        <is>
          <t>2007-12-07</t>
        </is>
      </c>
      <c r="V1278" t="inlineStr">
        <is>
          <t>2007-12-07</t>
        </is>
      </c>
      <c r="W1278" t="inlineStr">
        <is>
          <t>1993-12-06</t>
        </is>
      </c>
      <c r="X1278" t="inlineStr">
        <is>
          <t>1993-12-06</t>
        </is>
      </c>
      <c r="Y1278" t="n">
        <v>13</v>
      </c>
      <c r="Z1278" t="n">
        <v>9</v>
      </c>
      <c r="AA1278" t="n">
        <v>241</v>
      </c>
      <c r="AB1278" t="n">
        <v>1</v>
      </c>
      <c r="AC1278" t="n">
        <v>3</v>
      </c>
      <c r="AD1278" t="n">
        <v>0</v>
      </c>
      <c r="AE1278" t="n">
        <v>29</v>
      </c>
      <c r="AF1278" t="n">
        <v>0</v>
      </c>
      <c r="AG1278" t="n">
        <v>12</v>
      </c>
      <c r="AH1278" t="n">
        <v>0</v>
      </c>
      <c r="AI1278" t="n">
        <v>8</v>
      </c>
      <c r="AJ1278" t="n">
        <v>0</v>
      </c>
      <c r="AK1278" t="n">
        <v>19</v>
      </c>
      <c r="AL1278" t="n">
        <v>0</v>
      </c>
      <c r="AM1278" t="n">
        <v>0</v>
      </c>
      <c r="AN1278" t="n">
        <v>0</v>
      </c>
      <c r="AO1278" t="n">
        <v>0</v>
      </c>
      <c r="AP1278" t="inlineStr">
        <is>
          <t>No</t>
        </is>
      </c>
      <c r="AQ1278" t="inlineStr">
        <is>
          <t>No</t>
        </is>
      </c>
      <c r="AS1278">
        <f>HYPERLINK("https://creighton-primo.hosted.exlibrisgroup.com/primo-explore/search?tab=default_tab&amp;search_scope=EVERYTHING&amp;vid=01CRU&amp;lang=en_US&amp;offset=0&amp;query=any,contains,991001838849702656","Catalog Record")</f>
        <v/>
      </c>
      <c r="AT1278">
        <f>HYPERLINK("http://www.worldcat.org/oclc/23108765","WorldCat Record")</f>
        <v/>
      </c>
      <c r="AU1278" t="inlineStr">
        <is>
          <t>4161027322:eng</t>
        </is>
      </c>
      <c r="AV1278" t="inlineStr">
        <is>
          <t>23108765</t>
        </is>
      </c>
      <c r="AW1278" t="inlineStr">
        <is>
          <t>991001838849702656</t>
        </is>
      </c>
      <c r="AX1278" t="inlineStr">
        <is>
          <t>991001838849702656</t>
        </is>
      </c>
      <c r="AY1278" t="inlineStr">
        <is>
          <t>2269940020002656</t>
        </is>
      </c>
      <c r="AZ1278" t="inlineStr">
        <is>
          <t>BOOK</t>
        </is>
      </c>
      <c r="BC1278" t="inlineStr">
        <is>
          <t>32285001805901</t>
        </is>
      </c>
      <c r="BD1278" t="inlineStr">
        <is>
          <t>893444825</t>
        </is>
      </c>
    </row>
    <row r="1279">
      <c r="A1279" t="inlineStr">
        <is>
          <t>No</t>
        </is>
      </c>
      <c r="B1279" t="inlineStr">
        <is>
          <t>BX2215 .W58 1939</t>
        </is>
      </c>
      <c r="C1279" t="inlineStr">
        <is>
          <t>0                      BX 2215000W  58          1939</t>
        </is>
      </c>
      <c r="D1279" t="inlineStr">
        <is>
          <t>A reply to Rev. Dr. Turton's "Roman Catholic doctrine of the Eucharist considered," Philalethes Cantabrigiensis, the British critic, and the Church of England Quarterly Review" / by Nicholas Wiseman.</t>
        </is>
      </c>
      <c r="F1279" t="inlineStr">
        <is>
          <t>No</t>
        </is>
      </c>
      <c r="G1279" t="inlineStr">
        <is>
          <t>1</t>
        </is>
      </c>
      <c r="H1279" t="inlineStr">
        <is>
          <t>No</t>
        </is>
      </c>
      <c r="I1279" t="inlineStr">
        <is>
          <t>No</t>
        </is>
      </c>
      <c r="J1279" t="inlineStr">
        <is>
          <t>0</t>
        </is>
      </c>
      <c r="K1279" t="inlineStr">
        <is>
          <t>Wiseman, Nicholas Patrick, 1802-1865.</t>
        </is>
      </c>
      <c r="L1279" t="inlineStr">
        <is>
          <t>London : Charles Dolman, 1839.</t>
        </is>
      </c>
      <c r="M1279" t="inlineStr">
        <is>
          <t>1839</t>
        </is>
      </c>
      <c r="O1279" t="inlineStr">
        <is>
          <t>eng</t>
        </is>
      </c>
      <c r="P1279" t="inlineStr">
        <is>
          <t>enk</t>
        </is>
      </c>
      <c r="R1279" t="inlineStr">
        <is>
          <t xml:space="preserve">BX </t>
        </is>
      </c>
      <c r="S1279" t="n">
        <v>1</v>
      </c>
      <c r="T1279" t="n">
        <v>1</v>
      </c>
      <c r="U1279" t="inlineStr">
        <is>
          <t>2001-06-15</t>
        </is>
      </c>
      <c r="V1279" t="inlineStr">
        <is>
          <t>2001-06-15</t>
        </is>
      </c>
      <c r="W1279" t="inlineStr">
        <is>
          <t>1991-10-14</t>
        </is>
      </c>
      <c r="X1279" t="inlineStr">
        <is>
          <t>1991-10-14</t>
        </is>
      </c>
      <c r="Y1279" t="n">
        <v>40</v>
      </c>
      <c r="Z1279" t="n">
        <v>23</v>
      </c>
      <c r="AA1279" t="n">
        <v>42</v>
      </c>
      <c r="AB1279" t="n">
        <v>1</v>
      </c>
      <c r="AC1279" t="n">
        <v>1</v>
      </c>
      <c r="AD1279" t="n">
        <v>3</v>
      </c>
      <c r="AE1279" t="n">
        <v>3</v>
      </c>
      <c r="AF1279" t="n">
        <v>0</v>
      </c>
      <c r="AG1279" t="n">
        <v>0</v>
      </c>
      <c r="AH1279" t="n">
        <v>0</v>
      </c>
      <c r="AI1279" t="n">
        <v>0</v>
      </c>
      <c r="AJ1279" t="n">
        <v>3</v>
      </c>
      <c r="AK1279" t="n">
        <v>3</v>
      </c>
      <c r="AL1279" t="n">
        <v>0</v>
      </c>
      <c r="AM1279" t="n">
        <v>0</v>
      </c>
      <c r="AN1279" t="n">
        <v>0</v>
      </c>
      <c r="AO1279" t="n">
        <v>0</v>
      </c>
      <c r="AP1279" t="inlineStr">
        <is>
          <t>Yes</t>
        </is>
      </c>
      <c r="AQ1279" t="inlineStr">
        <is>
          <t>No</t>
        </is>
      </c>
      <c r="AR1279">
        <f>HYPERLINK("http://catalog.hathitrust.org/Record/100893788","HathiTrust Record")</f>
        <v/>
      </c>
      <c r="AS1279">
        <f>HYPERLINK("https://creighton-primo.hosted.exlibrisgroup.com/primo-explore/search?tab=default_tab&amp;search_scope=EVERYTHING&amp;vid=01CRU&amp;lang=en_US&amp;offset=0&amp;query=any,contains,991004617689702656","Catalog Record")</f>
        <v/>
      </c>
      <c r="AT1279">
        <f>HYPERLINK("http://www.worldcat.org/oclc/4270680","WorldCat Record")</f>
        <v/>
      </c>
      <c r="AU1279" t="inlineStr">
        <is>
          <t>1359937303:eng</t>
        </is>
      </c>
      <c r="AV1279" t="inlineStr">
        <is>
          <t>4270680</t>
        </is>
      </c>
      <c r="AW1279" t="inlineStr">
        <is>
          <t>991004617689702656</t>
        </is>
      </c>
      <c r="AX1279" t="inlineStr">
        <is>
          <t>991004617689702656</t>
        </is>
      </c>
      <c r="AY1279" t="inlineStr">
        <is>
          <t>2258605590002656</t>
        </is>
      </c>
      <c r="AZ1279" t="inlineStr">
        <is>
          <t>BOOK</t>
        </is>
      </c>
      <c r="BC1279" t="inlineStr">
        <is>
          <t>32285000788397</t>
        </is>
      </c>
      <c r="BD1279" t="inlineStr">
        <is>
          <t>893776206</t>
        </is>
      </c>
    </row>
    <row r="1280">
      <c r="A1280" t="inlineStr">
        <is>
          <t>No</t>
        </is>
      </c>
      <c r="B1280" t="inlineStr">
        <is>
          <t>BX2215.2 .A9313 1981</t>
        </is>
      </c>
      <c r="C1280" t="inlineStr">
        <is>
          <t>0                      BX 2215200A  9313        1981</t>
        </is>
      </c>
      <c r="D1280" t="inlineStr">
        <is>
          <t>Worship and politics / Rafael Avila ; translated from the Spanish by Alan Neely.</t>
        </is>
      </c>
      <c r="F1280" t="inlineStr">
        <is>
          <t>No</t>
        </is>
      </c>
      <c r="G1280" t="inlineStr">
        <is>
          <t>1</t>
        </is>
      </c>
      <c r="H1280" t="inlineStr">
        <is>
          <t>No</t>
        </is>
      </c>
      <c r="I1280" t="inlineStr">
        <is>
          <t>No</t>
        </is>
      </c>
      <c r="J1280" t="inlineStr">
        <is>
          <t>0</t>
        </is>
      </c>
      <c r="K1280" t="inlineStr">
        <is>
          <t>Avila P., Rafael.</t>
        </is>
      </c>
      <c r="L1280" t="inlineStr">
        <is>
          <t>Maryknoll, NY : Orbis Books, c1981.</t>
        </is>
      </c>
      <c r="M1280" t="inlineStr">
        <is>
          <t>1981</t>
        </is>
      </c>
      <c r="O1280" t="inlineStr">
        <is>
          <t>eng</t>
        </is>
      </c>
      <c r="P1280" t="inlineStr">
        <is>
          <t>nyu</t>
        </is>
      </c>
      <c r="R1280" t="inlineStr">
        <is>
          <t xml:space="preserve">BX </t>
        </is>
      </c>
      <c r="S1280" t="n">
        <v>1</v>
      </c>
      <c r="T1280" t="n">
        <v>1</v>
      </c>
      <c r="U1280" t="inlineStr">
        <is>
          <t>1995-06-28</t>
        </is>
      </c>
      <c r="V1280" t="inlineStr">
        <is>
          <t>1995-06-28</t>
        </is>
      </c>
      <c r="W1280" t="inlineStr">
        <is>
          <t>1991-10-14</t>
        </is>
      </c>
      <c r="X1280" t="inlineStr">
        <is>
          <t>1991-10-14</t>
        </is>
      </c>
      <c r="Y1280" t="n">
        <v>274</v>
      </c>
      <c r="Z1280" t="n">
        <v>218</v>
      </c>
      <c r="AA1280" t="n">
        <v>220</v>
      </c>
      <c r="AB1280" t="n">
        <v>2</v>
      </c>
      <c r="AC1280" t="n">
        <v>2</v>
      </c>
      <c r="AD1280" t="n">
        <v>27</v>
      </c>
      <c r="AE1280" t="n">
        <v>27</v>
      </c>
      <c r="AF1280" t="n">
        <v>9</v>
      </c>
      <c r="AG1280" t="n">
        <v>9</v>
      </c>
      <c r="AH1280" t="n">
        <v>9</v>
      </c>
      <c r="AI1280" t="n">
        <v>9</v>
      </c>
      <c r="AJ1280" t="n">
        <v>17</v>
      </c>
      <c r="AK1280" t="n">
        <v>17</v>
      </c>
      <c r="AL1280" t="n">
        <v>1</v>
      </c>
      <c r="AM1280" t="n">
        <v>1</v>
      </c>
      <c r="AN1280" t="n">
        <v>0</v>
      </c>
      <c r="AO1280" t="n">
        <v>0</v>
      </c>
      <c r="AP1280" t="inlineStr">
        <is>
          <t>No</t>
        </is>
      </c>
      <c r="AQ1280" t="inlineStr">
        <is>
          <t>Yes</t>
        </is>
      </c>
      <c r="AR1280">
        <f>HYPERLINK("http://catalog.hathitrust.org/Record/000765790","HathiTrust Record")</f>
        <v/>
      </c>
      <c r="AS1280">
        <f>HYPERLINK("https://creighton-primo.hosted.exlibrisgroup.com/primo-explore/search?tab=default_tab&amp;search_scope=EVERYTHING&amp;vid=01CRU&amp;lang=en_US&amp;offset=0&amp;query=any,contains,991005133609702656","Catalog Record")</f>
        <v/>
      </c>
      <c r="AT1280">
        <f>HYPERLINK("http://www.worldcat.org/oclc/7574608","WorldCat Record")</f>
        <v/>
      </c>
      <c r="AU1280" t="inlineStr">
        <is>
          <t>13368545:eng</t>
        </is>
      </c>
      <c r="AV1280" t="inlineStr">
        <is>
          <t>7574608</t>
        </is>
      </c>
      <c r="AW1280" t="inlineStr">
        <is>
          <t>991005133609702656</t>
        </is>
      </c>
      <c r="AX1280" t="inlineStr">
        <is>
          <t>991005133609702656</t>
        </is>
      </c>
      <c r="AY1280" t="inlineStr">
        <is>
          <t>2270946100002656</t>
        </is>
      </c>
      <c r="AZ1280" t="inlineStr">
        <is>
          <t>BOOK</t>
        </is>
      </c>
      <c r="BB1280" t="inlineStr">
        <is>
          <t>9780883447147</t>
        </is>
      </c>
      <c r="BC1280" t="inlineStr">
        <is>
          <t>32285000788421</t>
        </is>
      </c>
      <c r="BD1280" t="inlineStr">
        <is>
          <t>893514097</t>
        </is>
      </c>
    </row>
    <row r="1281">
      <c r="A1281" t="inlineStr">
        <is>
          <t>No</t>
        </is>
      </c>
      <c r="B1281" t="inlineStr">
        <is>
          <t>BX2215.2 .B47 1987</t>
        </is>
      </c>
      <c r="C1281" t="inlineStr">
        <is>
          <t>0                      BX 2215200B  47          1987</t>
        </is>
      </c>
      <c r="D1281" t="inlineStr">
        <is>
          <t>Body broken and blood shed : the eucharist of the risen Christ / Luis M. Bermejo.</t>
        </is>
      </c>
      <c r="F1281" t="inlineStr">
        <is>
          <t>No</t>
        </is>
      </c>
      <c r="G1281" t="inlineStr">
        <is>
          <t>1</t>
        </is>
      </c>
      <c r="H1281" t="inlineStr">
        <is>
          <t>No</t>
        </is>
      </c>
      <c r="I1281" t="inlineStr">
        <is>
          <t>No</t>
        </is>
      </c>
      <c r="J1281" t="inlineStr">
        <is>
          <t>0</t>
        </is>
      </c>
      <c r="K1281" t="inlineStr">
        <is>
          <t>Bermejo, Luis M., 1929-</t>
        </is>
      </c>
      <c r="L1281" t="inlineStr">
        <is>
          <t>Anand, Gujarat : Gujarat Sahitya Prakash ; Chicago : American printing distributed by Loyola University Press, 1986, c1987.</t>
        </is>
      </c>
      <c r="M1281" t="inlineStr">
        <is>
          <t>1986</t>
        </is>
      </c>
      <c r="O1281" t="inlineStr">
        <is>
          <t>eng</t>
        </is>
      </c>
      <c r="P1281" t="inlineStr">
        <is>
          <t xml:space="preserve">ii </t>
        </is>
      </c>
      <c r="R1281" t="inlineStr">
        <is>
          <t xml:space="preserve">BX </t>
        </is>
      </c>
      <c r="S1281" t="n">
        <v>6</v>
      </c>
      <c r="T1281" t="n">
        <v>6</v>
      </c>
      <c r="U1281" t="inlineStr">
        <is>
          <t>2007-09-13</t>
        </is>
      </c>
      <c r="V1281" t="inlineStr">
        <is>
          <t>2007-09-13</t>
        </is>
      </c>
      <c r="W1281" t="inlineStr">
        <is>
          <t>1991-10-14</t>
        </is>
      </c>
      <c r="X1281" t="inlineStr">
        <is>
          <t>1991-10-14</t>
        </is>
      </c>
      <c r="Y1281" t="n">
        <v>127</v>
      </c>
      <c r="Z1281" t="n">
        <v>114</v>
      </c>
      <c r="AA1281" t="n">
        <v>115</v>
      </c>
      <c r="AB1281" t="n">
        <v>2</v>
      </c>
      <c r="AC1281" t="n">
        <v>2</v>
      </c>
      <c r="AD1281" t="n">
        <v>9</v>
      </c>
      <c r="AE1281" t="n">
        <v>9</v>
      </c>
      <c r="AF1281" t="n">
        <v>0</v>
      </c>
      <c r="AG1281" t="n">
        <v>0</v>
      </c>
      <c r="AH1281" t="n">
        <v>1</v>
      </c>
      <c r="AI1281" t="n">
        <v>1</v>
      </c>
      <c r="AJ1281" t="n">
        <v>7</v>
      </c>
      <c r="AK1281" t="n">
        <v>7</v>
      </c>
      <c r="AL1281" t="n">
        <v>1</v>
      </c>
      <c r="AM1281" t="n">
        <v>1</v>
      </c>
      <c r="AN1281" t="n">
        <v>0</v>
      </c>
      <c r="AO1281" t="n">
        <v>0</v>
      </c>
      <c r="AP1281" t="inlineStr">
        <is>
          <t>No</t>
        </is>
      </c>
      <c r="AQ1281" t="inlineStr">
        <is>
          <t>No</t>
        </is>
      </c>
      <c r="AS1281">
        <f>HYPERLINK("https://creighton-primo.hosted.exlibrisgroup.com/primo-explore/search?tab=default_tab&amp;search_scope=EVERYTHING&amp;vid=01CRU&amp;lang=en_US&amp;offset=0&amp;query=any,contains,991001202039702656","Catalog Record")</f>
        <v/>
      </c>
      <c r="AT1281">
        <f>HYPERLINK("http://www.worldcat.org/oclc/17318907","WorldCat Record")</f>
        <v/>
      </c>
      <c r="AU1281" t="inlineStr">
        <is>
          <t>196095146:eng</t>
        </is>
      </c>
      <c r="AV1281" t="inlineStr">
        <is>
          <t>17318907</t>
        </is>
      </c>
      <c r="AW1281" t="inlineStr">
        <is>
          <t>991001202039702656</t>
        </is>
      </c>
      <c r="AX1281" t="inlineStr">
        <is>
          <t>991001202039702656</t>
        </is>
      </c>
      <c r="AY1281" t="inlineStr">
        <is>
          <t>2264644260002656</t>
        </is>
      </c>
      <c r="AZ1281" t="inlineStr">
        <is>
          <t>BOOK</t>
        </is>
      </c>
      <c r="BB1281" t="inlineStr">
        <is>
          <t>9780829405545</t>
        </is>
      </c>
      <c r="BC1281" t="inlineStr">
        <is>
          <t>32285000788447</t>
        </is>
      </c>
      <c r="BD1281" t="inlineStr">
        <is>
          <t>893334146</t>
        </is>
      </c>
    </row>
    <row r="1282">
      <c r="A1282" t="inlineStr">
        <is>
          <t>No</t>
        </is>
      </c>
      <c r="B1282" t="inlineStr">
        <is>
          <t>BX2215.2 .C55 2004</t>
        </is>
      </c>
      <c r="C1282" t="inlineStr">
        <is>
          <t>0                      BX 2215200C  55          2004</t>
        </is>
      </c>
      <c r="D1282" t="inlineStr">
        <is>
          <t>Instruction on the eucharist = Redemptionis sacramentum : on certain matters to be observed or to be avoided regarding the most holy eucharist / [Congregation for Divine Worship and the Discipline of the Sacraments].</t>
        </is>
      </c>
      <c r="F1282" t="inlineStr">
        <is>
          <t>No</t>
        </is>
      </c>
      <c r="G1282" t="inlineStr">
        <is>
          <t>1</t>
        </is>
      </c>
      <c r="H1282" t="inlineStr">
        <is>
          <t>No</t>
        </is>
      </c>
      <c r="I1282" t="inlineStr">
        <is>
          <t>No</t>
        </is>
      </c>
      <c r="J1282" t="inlineStr">
        <is>
          <t>0</t>
        </is>
      </c>
      <c r="K1282" t="inlineStr">
        <is>
          <t>Catholic Church. Congregatio de Cultu Divino et Disciplina Sacramentorum.</t>
        </is>
      </c>
      <c r="L1282" t="inlineStr">
        <is>
          <t>Washington, D.C. : United States Conference of Catholic Bishops, 2004.</t>
        </is>
      </c>
      <c r="M1282" t="inlineStr">
        <is>
          <t>2004</t>
        </is>
      </c>
      <c r="O1282" t="inlineStr">
        <is>
          <t>eng</t>
        </is>
      </c>
      <c r="P1282" t="inlineStr">
        <is>
          <t>dcu</t>
        </is>
      </c>
      <c r="Q1282" t="inlineStr">
        <is>
          <t>Liturgy documentary series ; 15</t>
        </is>
      </c>
      <c r="R1282" t="inlineStr">
        <is>
          <t xml:space="preserve">BX </t>
        </is>
      </c>
      <c r="S1282" t="n">
        <v>5</v>
      </c>
      <c r="T1282" t="n">
        <v>5</v>
      </c>
      <c r="U1282" t="inlineStr">
        <is>
          <t>2005-11-06</t>
        </is>
      </c>
      <c r="V1282" t="inlineStr">
        <is>
          <t>2005-11-06</t>
        </is>
      </c>
      <c r="W1282" t="inlineStr">
        <is>
          <t>2004-06-10</t>
        </is>
      </c>
      <c r="X1282" t="inlineStr">
        <is>
          <t>2004-06-10</t>
        </is>
      </c>
      <c r="Y1282" t="n">
        <v>102</v>
      </c>
      <c r="Z1282" t="n">
        <v>97</v>
      </c>
      <c r="AA1282" t="n">
        <v>102</v>
      </c>
      <c r="AB1282" t="n">
        <v>2</v>
      </c>
      <c r="AC1282" t="n">
        <v>2</v>
      </c>
      <c r="AD1282" t="n">
        <v>12</v>
      </c>
      <c r="AE1282" t="n">
        <v>12</v>
      </c>
      <c r="AF1282" t="n">
        <v>2</v>
      </c>
      <c r="AG1282" t="n">
        <v>2</v>
      </c>
      <c r="AH1282" t="n">
        <v>3</v>
      </c>
      <c r="AI1282" t="n">
        <v>3</v>
      </c>
      <c r="AJ1282" t="n">
        <v>9</v>
      </c>
      <c r="AK1282" t="n">
        <v>9</v>
      </c>
      <c r="AL1282" t="n">
        <v>0</v>
      </c>
      <c r="AM1282" t="n">
        <v>0</v>
      </c>
      <c r="AN1282" t="n">
        <v>0</v>
      </c>
      <c r="AO1282" t="n">
        <v>0</v>
      </c>
      <c r="AP1282" t="inlineStr">
        <is>
          <t>No</t>
        </is>
      </c>
      <c r="AQ1282" t="inlineStr">
        <is>
          <t>No</t>
        </is>
      </c>
      <c r="AS1282">
        <f>HYPERLINK("https://creighton-primo.hosted.exlibrisgroup.com/primo-explore/search?tab=default_tab&amp;search_scope=EVERYTHING&amp;vid=01CRU&amp;lang=en_US&amp;offset=0&amp;query=any,contains,991004310639702656","Catalog Record")</f>
        <v/>
      </c>
      <c r="AT1282">
        <f>HYPERLINK("http://www.worldcat.org/oclc/55602831","WorldCat Record")</f>
        <v/>
      </c>
      <c r="AU1282" t="inlineStr">
        <is>
          <t>5116976176:eng</t>
        </is>
      </c>
      <c r="AV1282" t="inlineStr">
        <is>
          <t>55602831</t>
        </is>
      </c>
      <c r="AW1282" t="inlineStr">
        <is>
          <t>991004310639702656</t>
        </is>
      </c>
      <c r="AX1282" t="inlineStr">
        <is>
          <t>991004310639702656</t>
        </is>
      </c>
      <c r="AY1282" t="inlineStr">
        <is>
          <t>2256994870002656</t>
        </is>
      </c>
      <c r="AZ1282" t="inlineStr">
        <is>
          <t>BOOK</t>
        </is>
      </c>
      <c r="BB1282" t="inlineStr">
        <is>
          <t>9781574556193</t>
        </is>
      </c>
      <c r="BC1282" t="inlineStr">
        <is>
          <t>32285004908983</t>
        </is>
      </c>
      <c r="BD1282" t="inlineStr">
        <is>
          <t>893235320</t>
        </is>
      </c>
    </row>
    <row r="1283">
      <c r="A1283" t="inlineStr">
        <is>
          <t>No</t>
        </is>
      </c>
      <c r="B1283" t="inlineStr">
        <is>
          <t>BX2215.2 .D4213 1976</t>
        </is>
      </c>
      <c r="C1283" t="inlineStr">
        <is>
          <t>0                      BX 2215200D  4213        1976</t>
        </is>
      </c>
      <c r="D1283" t="inlineStr">
        <is>
          <t>It's the Lord's Supper : the Eucharist of Christians / by Lucien Deiss ; translated by Edmond Bonin.</t>
        </is>
      </c>
      <c r="F1283" t="inlineStr">
        <is>
          <t>No</t>
        </is>
      </c>
      <c r="G1283" t="inlineStr">
        <is>
          <t>1</t>
        </is>
      </c>
      <c r="H1283" t="inlineStr">
        <is>
          <t>No</t>
        </is>
      </c>
      <c r="I1283" t="inlineStr">
        <is>
          <t>No</t>
        </is>
      </c>
      <c r="J1283" t="inlineStr">
        <is>
          <t>0</t>
        </is>
      </c>
      <c r="K1283" t="inlineStr">
        <is>
          <t>Deiss, Lucien.</t>
        </is>
      </c>
      <c r="L1283" t="inlineStr">
        <is>
          <t>New York : Paulist Press, c1976.</t>
        </is>
      </c>
      <c r="M1283" t="inlineStr">
        <is>
          <t>1976</t>
        </is>
      </c>
      <c r="O1283" t="inlineStr">
        <is>
          <t>eng</t>
        </is>
      </c>
      <c r="P1283" t="inlineStr">
        <is>
          <t>nyu</t>
        </is>
      </c>
      <c r="R1283" t="inlineStr">
        <is>
          <t xml:space="preserve">BX </t>
        </is>
      </c>
      <c r="S1283" t="n">
        <v>6</v>
      </c>
      <c r="T1283" t="n">
        <v>6</v>
      </c>
      <c r="U1283" t="inlineStr">
        <is>
          <t>2001-07-18</t>
        </is>
      </c>
      <c r="V1283" t="inlineStr">
        <is>
          <t>2001-07-18</t>
        </is>
      </c>
      <c r="W1283" t="inlineStr">
        <is>
          <t>1990-04-23</t>
        </is>
      </c>
      <c r="X1283" t="inlineStr">
        <is>
          <t>1990-04-23</t>
        </is>
      </c>
      <c r="Y1283" t="n">
        <v>222</v>
      </c>
      <c r="Z1283" t="n">
        <v>190</v>
      </c>
      <c r="AA1283" t="n">
        <v>193</v>
      </c>
      <c r="AB1283" t="n">
        <v>3</v>
      </c>
      <c r="AC1283" t="n">
        <v>3</v>
      </c>
      <c r="AD1283" t="n">
        <v>24</v>
      </c>
      <c r="AE1283" t="n">
        <v>24</v>
      </c>
      <c r="AF1283" t="n">
        <v>9</v>
      </c>
      <c r="AG1283" t="n">
        <v>9</v>
      </c>
      <c r="AH1283" t="n">
        <v>5</v>
      </c>
      <c r="AI1283" t="n">
        <v>5</v>
      </c>
      <c r="AJ1283" t="n">
        <v>16</v>
      </c>
      <c r="AK1283" t="n">
        <v>16</v>
      </c>
      <c r="AL1283" t="n">
        <v>2</v>
      </c>
      <c r="AM1283" t="n">
        <v>2</v>
      </c>
      <c r="AN1283" t="n">
        <v>0</v>
      </c>
      <c r="AO1283" t="n">
        <v>0</v>
      </c>
      <c r="AP1283" t="inlineStr">
        <is>
          <t>No</t>
        </is>
      </c>
      <c r="AQ1283" t="inlineStr">
        <is>
          <t>No</t>
        </is>
      </c>
      <c r="AS1283">
        <f>HYPERLINK("https://creighton-primo.hosted.exlibrisgroup.com/primo-explore/search?tab=default_tab&amp;search_scope=EVERYTHING&amp;vid=01CRU&amp;lang=en_US&amp;offset=0&amp;query=any,contains,991004150799702656","Catalog Record")</f>
        <v/>
      </c>
      <c r="AT1283">
        <f>HYPERLINK("http://www.worldcat.org/oclc/2524191","WorldCat Record")</f>
        <v/>
      </c>
      <c r="AU1283" t="inlineStr">
        <is>
          <t>889730608:eng</t>
        </is>
      </c>
      <c r="AV1283" t="inlineStr">
        <is>
          <t>2524191</t>
        </is>
      </c>
      <c r="AW1283" t="inlineStr">
        <is>
          <t>991004150799702656</t>
        </is>
      </c>
      <c r="AX1283" t="inlineStr">
        <is>
          <t>991004150799702656</t>
        </is>
      </c>
      <c r="AY1283" t="inlineStr">
        <is>
          <t>2270568810002656</t>
        </is>
      </c>
      <c r="AZ1283" t="inlineStr">
        <is>
          <t>BOOK</t>
        </is>
      </c>
      <c r="BB1283" t="inlineStr">
        <is>
          <t>9780809119547</t>
        </is>
      </c>
      <c r="BC1283" t="inlineStr">
        <is>
          <t>32285000131069</t>
        </is>
      </c>
      <c r="BD1283" t="inlineStr">
        <is>
          <t>893349670</t>
        </is>
      </c>
    </row>
    <row r="1284">
      <c r="A1284" t="inlineStr">
        <is>
          <t>No</t>
        </is>
      </c>
      <c r="B1284" t="inlineStr">
        <is>
          <t>BX2215.2 .E88 1997</t>
        </is>
      </c>
      <c r="C1284" t="inlineStr">
        <is>
          <t>0                      BX 2215200E  88          1997</t>
        </is>
      </c>
      <c r="D1284" t="inlineStr">
        <is>
          <t>Eucharist : toward the third millennium / Gerard Austin ... [et al.].</t>
        </is>
      </c>
      <c r="F1284" t="inlineStr">
        <is>
          <t>No</t>
        </is>
      </c>
      <c r="G1284" t="inlineStr">
        <is>
          <t>1</t>
        </is>
      </c>
      <c r="H1284" t="inlineStr">
        <is>
          <t>No</t>
        </is>
      </c>
      <c r="I1284" t="inlineStr">
        <is>
          <t>No</t>
        </is>
      </c>
      <c r="J1284" t="inlineStr">
        <is>
          <t>0</t>
        </is>
      </c>
      <c r="L1284" t="inlineStr">
        <is>
          <t>[Chicago, Ill.] : Liturgy Training Publications, [1997].</t>
        </is>
      </c>
      <c r="M1284" t="inlineStr">
        <is>
          <t>1997</t>
        </is>
      </c>
      <c r="O1284" t="inlineStr">
        <is>
          <t>eng</t>
        </is>
      </c>
      <c r="P1284" t="inlineStr">
        <is>
          <t>ilu</t>
        </is>
      </c>
      <c r="R1284" t="inlineStr">
        <is>
          <t xml:space="preserve">BX </t>
        </is>
      </c>
      <c r="S1284" t="n">
        <v>4</v>
      </c>
      <c r="T1284" t="n">
        <v>4</v>
      </c>
      <c r="U1284" t="inlineStr">
        <is>
          <t>2000-11-20</t>
        </is>
      </c>
      <c r="V1284" t="inlineStr">
        <is>
          <t>2000-11-20</t>
        </is>
      </c>
      <c r="W1284" t="inlineStr">
        <is>
          <t>1999-09-02</t>
        </is>
      </c>
      <c r="X1284" t="inlineStr">
        <is>
          <t>1999-09-02</t>
        </is>
      </c>
      <c r="Y1284" t="n">
        <v>140</v>
      </c>
      <c r="Z1284" t="n">
        <v>110</v>
      </c>
      <c r="AA1284" t="n">
        <v>115</v>
      </c>
      <c r="AB1284" t="n">
        <v>2</v>
      </c>
      <c r="AC1284" t="n">
        <v>2</v>
      </c>
      <c r="AD1284" t="n">
        <v>13</v>
      </c>
      <c r="AE1284" t="n">
        <v>13</v>
      </c>
      <c r="AF1284" t="n">
        <v>2</v>
      </c>
      <c r="AG1284" t="n">
        <v>2</v>
      </c>
      <c r="AH1284" t="n">
        <v>3</v>
      </c>
      <c r="AI1284" t="n">
        <v>3</v>
      </c>
      <c r="AJ1284" t="n">
        <v>11</v>
      </c>
      <c r="AK1284" t="n">
        <v>11</v>
      </c>
      <c r="AL1284" t="n">
        <v>0</v>
      </c>
      <c r="AM1284" t="n">
        <v>0</v>
      </c>
      <c r="AN1284" t="n">
        <v>0</v>
      </c>
      <c r="AO1284" t="n">
        <v>0</v>
      </c>
      <c r="AP1284" t="inlineStr">
        <is>
          <t>No</t>
        </is>
      </c>
      <c r="AQ1284" t="inlineStr">
        <is>
          <t>No</t>
        </is>
      </c>
      <c r="AS1284">
        <f>HYPERLINK("https://creighton-primo.hosted.exlibrisgroup.com/primo-explore/search?tab=default_tab&amp;search_scope=EVERYTHING&amp;vid=01CRU&amp;lang=en_US&amp;offset=0&amp;query=any,contains,991002778879702656","Catalog Record")</f>
        <v/>
      </c>
      <c r="AT1284">
        <f>HYPERLINK("http://www.worldcat.org/oclc/36485970","WorldCat Record")</f>
        <v/>
      </c>
      <c r="AU1284" t="inlineStr">
        <is>
          <t>892374263:eng</t>
        </is>
      </c>
      <c r="AV1284" t="inlineStr">
        <is>
          <t>36485970</t>
        </is>
      </c>
      <c r="AW1284" t="inlineStr">
        <is>
          <t>991002778879702656</t>
        </is>
      </c>
      <c r="AX1284" t="inlineStr">
        <is>
          <t>991002778879702656</t>
        </is>
      </c>
      <c r="AY1284" t="inlineStr">
        <is>
          <t>2265338450002656</t>
        </is>
      </c>
      <c r="AZ1284" t="inlineStr">
        <is>
          <t>BOOK</t>
        </is>
      </c>
      <c r="BB1284" t="inlineStr">
        <is>
          <t>9781568541815</t>
        </is>
      </c>
      <c r="BC1284" t="inlineStr">
        <is>
          <t>32285003586400</t>
        </is>
      </c>
      <c r="BD1284" t="inlineStr">
        <is>
          <t>893530458</t>
        </is>
      </c>
    </row>
    <row r="1285">
      <c r="A1285" t="inlineStr">
        <is>
          <t>No</t>
        </is>
      </c>
      <c r="B1285" t="inlineStr">
        <is>
          <t>BX2215.2 .F3 1967</t>
        </is>
      </c>
      <c r="C1285" t="inlineStr">
        <is>
          <t>0                      BX 2215200F  3           1967</t>
        </is>
      </c>
      <c r="D1285" t="inlineStr">
        <is>
          <t>The church at Eucharist / by Bertrand Fay.</t>
        </is>
      </c>
      <c r="F1285" t="inlineStr">
        <is>
          <t>No</t>
        </is>
      </c>
      <c r="G1285" t="inlineStr">
        <is>
          <t>1</t>
        </is>
      </c>
      <c r="H1285" t="inlineStr">
        <is>
          <t>No</t>
        </is>
      </c>
      <c r="I1285" t="inlineStr">
        <is>
          <t>No</t>
        </is>
      </c>
      <c r="J1285" t="inlineStr">
        <is>
          <t>0</t>
        </is>
      </c>
      <c r="K1285" t="inlineStr">
        <is>
          <t>Fay, Bertrand.</t>
        </is>
      </c>
      <c r="L1285" t="inlineStr">
        <is>
          <t>Milwaukee : Bruce Pub. Co., [1967]</t>
        </is>
      </c>
      <c r="M1285" t="inlineStr">
        <is>
          <t>1967</t>
        </is>
      </c>
      <c r="O1285" t="inlineStr">
        <is>
          <t>eng</t>
        </is>
      </c>
      <c r="P1285" t="inlineStr">
        <is>
          <t>wiu</t>
        </is>
      </c>
      <c r="R1285" t="inlineStr">
        <is>
          <t xml:space="preserve">BX </t>
        </is>
      </c>
      <c r="S1285" t="n">
        <v>5</v>
      </c>
      <c r="T1285" t="n">
        <v>5</v>
      </c>
      <c r="U1285" t="inlineStr">
        <is>
          <t>1997-04-21</t>
        </is>
      </c>
      <c r="V1285" t="inlineStr">
        <is>
          <t>1997-04-21</t>
        </is>
      </c>
      <c r="W1285" t="inlineStr">
        <is>
          <t>1991-10-14</t>
        </is>
      </c>
      <c r="X1285" t="inlineStr">
        <is>
          <t>1991-10-14</t>
        </is>
      </c>
      <c r="Y1285" t="n">
        <v>111</v>
      </c>
      <c r="Z1285" t="n">
        <v>100</v>
      </c>
      <c r="AA1285" t="n">
        <v>105</v>
      </c>
      <c r="AB1285" t="n">
        <v>2</v>
      </c>
      <c r="AC1285" t="n">
        <v>2</v>
      </c>
      <c r="AD1285" t="n">
        <v>16</v>
      </c>
      <c r="AE1285" t="n">
        <v>16</v>
      </c>
      <c r="AF1285" t="n">
        <v>7</v>
      </c>
      <c r="AG1285" t="n">
        <v>7</v>
      </c>
      <c r="AH1285" t="n">
        <v>2</v>
      </c>
      <c r="AI1285" t="n">
        <v>2</v>
      </c>
      <c r="AJ1285" t="n">
        <v>12</v>
      </c>
      <c r="AK1285" t="n">
        <v>12</v>
      </c>
      <c r="AL1285" t="n">
        <v>0</v>
      </c>
      <c r="AM1285" t="n">
        <v>0</v>
      </c>
      <c r="AN1285" t="n">
        <v>0</v>
      </c>
      <c r="AO1285" t="n">
        <v>0</v>
      </c>
      <c r="AP1285" t="inlineStr">
        <is>
          <t>No</t>
        </is>
      </c>
      <c r="AQ1285" t="inlineStr">
        <is>
          <t>No</t>
        </is>
      </c>
      <c r="AS1285">
        <f>HYPERLINK("https://creighton-primo.hosted.exlibrisgroup.com/primo-explore/search?tab=default_tab&amp;search_scope=EVERYTHING&amp;vid=01CRU&amp;lang=en_US&amp;offset=0&amp;query=any,contains,991003415049702656","Catalog Record")</f>
        <v/>
      </c>
      <c r="AT1285">
        <f>HYPERLINK("http://www.worldcat.org/oclc/953481","WorldCat Record")</f>
        <v/>
      </c>
      <c r="AU1285" t="inlineStr">
        <is>
          <t>1898453:eng</t>
        </is>
      </c>
      <c r="AV1285" t="inlineStr">
        <is>
          <t>953481</t>
        </is>
      </c>
      <c r="AW1285" t="inlineStr">
        <is>
          <t>991003415049702656</t>
        </is>
      </c>
      <c r="AX1285" t="inlineStr">
        <is>
          <t>991003415049702656</t>
        </is>
      </c>
      <c r="AY1285" t="inlineStr">
        <is>
          <t>2260997970002656</t>
        </is>
      </c>
      <c r="AZ1285" t="inlineStr">
        <is>
          <t>BOOK</t>
        </is>
      </c>
      <c r="BC1285" t="inlineStr">
        <is>
          <t>32285000788462</t>
        </is>
      </c>
      <c r="BD1285" t="inlineStr">
        <is>
          <t>893780998</t>
        </is>
      </c>
    </row>
    <row r="1286">
      <c r="A1286" t="inlineStr">
        <is>
          <t>No</t>
        </is>
      </c>
      <c r="B1286" t="inlineStr">
        <is>
          <t>BX2215.2 .F73 1997</t>
        </is>
      </c>
      <c r="C1286" t="inlineStr">
        <is>
          <t>0                      BX 2215200F  73          1997</t>
        </is>
      </c>
      <c r="D1286" t="inlineStr">
        <is>
          <t>Come to the feast : an invitation to eucharistic transformation / Richard N. Fragomeni.</t>
        </is>
      </c>
      <c r="F1286" t="inlineStr">
        <is>
          <t>No</t>
        </is>
      </c>
      <c r="G1286" t="inlineStr">
        <is>
          <t>1</t>
        </is>
      </c>
      <c r="H1286" t="inlineStr">
        <is>
          <t>No</t>
        </is>
      </c>
      <c r="I1286" t="inlineStr">
        <is>
          <t>No</t>
        </is>
      </c>
      <c r="J1286" t="inlineStr">
        <is>
          <t>0</t>
        </is>
      </c>
      <c r="K1286" t="inlineStr">
        <is>
          <t>Fragomeni, Richard N.</t>
        </is>
      </c>
      <c r="L1286" t="inlineStr">
        <is>
          <t>New York : Continuum, 1997.</t>
        </is>
      </c>
      <c r="M1286" t="inlineStr">
        <is>
          <t>1997</t>
        </is>
      </c>
      <c r="O1286" t="inlineStr">
        <is>
          <t>eng</t>
        </is>
      </c>
      <c r="P1286" t="inlineStr">
        <is>
          <t>nyu</t>
        </is>
      </c>
      <c r="R1286" t="inlineStr">
        <is>
          <t xml:space="preserve">BX </t>
        </is>
      </c>
      <c r="S1286" t="n">
        <v>2</v>
      </c>
      <c r="T1286" t="n">
        <v>2</v>
      </c>
      <c r="U1286" t="inlineStr">
        <is>
          <t>2006-07-23</t>
        </is>
      </c>
      <c r="V1286" t="inlineStr">
        <is>
          <t>2006-07-23</t>
        </is>
      </c>
      <c r="W1286" t="inlineStr">
        <is>
          <t>1998-02-26</t>
        </is>
      </c>
      <c r="X1286" t="inlineStr">
        <is>
          <t>1998-02-26</t>
        </is>
      </c>
      <c r="Y1286" t="n">
        <v>85</v>
      </c>
      <c r="Z1286" t="n">
        <v>77</v>
      </c>
      <c r="AA1286" t="n">
        <v>392</v>
      </c>
      <c r="AB1286" t="n">
        <v>1</v>
      </c>
      <c r="AC1286" t="n">
        <v>3</v>
      </c>
      <c r="AD1286" t="n">
        <v>11</v>
      </c>
      <c r="AE1286" t="n">
        <v>17</v>
      </c>
      <c r="AF1286" t="n">
        <v>3</v>
      </c>
      <c r="AG1286" t="n">
        <v>7</v>
      </c>
      <c r="AH1286" t="n">
        <v>4</v>
      </c>
      <c r="AI1286" t="n">
        <v>5</v>
      </c>
      <c r="AJ1286" t="n">
        <v>6</v>
      </c>
      <c r="AK1286" t="n">
        <v>7</v>
      </c>
      <c r="AL1286" t="n">
        <v>0</v>
      </c>
      <c r="AM1286" t="n">
        <v>2</v>
      </c>
      <c r="AN1286" t="n">
        <v>0</v>
      </c>
      <c r="AO1286" t="n">
        <v>0</v>
      </c>
      <c r="AP1286" t="inlineStr">
        <is>
          <t>No</t>
        </is>
      </c>
      <c r="AQ1286" t="inlineStr">
        <is>
          <t>No</t>
        </is>
      </c>
      <c r="AS1286">
        <f>HYPERLINK("https://creighton-primo.hosted.exlibrisgroup.com/primo-explore/search?tab=default_tab&amp;search_scope=EVERYTHING&amp;vid=01CRU&amp;lang=en_US&amp;offset=0&amp;query=any,contains,991002810969702656","Catalog Record")</f>
        <v/>
      </c>
      <c r="AT1286">
        <f>HYPERLINK("http://www.worldcat.org/oclc/36922713","WorldCat Record")</f>
        <v/>
      </c>
      <c r="AU1286" t="inlineStr">
        <is>
          <t>987970780:eng</t>
        </is>
      </c>
      <c r="AV1286" t="inlineStr">
        <is>
          <t>36922713</t>
        </is>
      </c>
      <c r="AW1286" t="inlineStr">
        <is>
          <t>991002810969702656</t>
        </is>
      </c>
      <c r="AX1286" t="inlineStr">
        <is>
          <t>991002810969702656</t>
        </is>
      </c>
      <c r="AY1286" t="inlineStr">
        <is>
          <t>2271404670002656</t>
        </is>
      </c>
      <c r="AZ1286" t="inlineStr">
        <is>
          <t>BOOK</t>
        </is>
      </c>
      <c r="BB1286" t="inlineStr">
        <is>
          <t>9780826410382</t>
        </is>
      </c>
      <c r="BC1286" t="inlineStr">
        <is>
          <t>32285003355640</t>
        </is>
      </c>
      <c r="BD1286" t="inlineStr">
        <is>
          <t>893511224</t>
        </is>
      </c>
    </row>
    <row r="1287">
      <c r="A1287" t="inlineStr">
        <is>
          <t>No</t>
        </is>
      </c>
      <c r="B1287" t="inlineStr">
        <is>
          <t>BX2215.2 .H84 1986</t>
        </is>
      </c>
      <c r="C1287" t="inlineStr">
        <is>
          <t>0                      BX 2215200H  84          1986</t>
        </is>
      </c>
      <c r="D1287" t="inlineStr">
        <is>
          <t>One table, many laws : essays on Catholic Eucharistic practice / John M. Huels.</t>
        </is>
      </c>
      <c r="F1287" t="inlineStr">
        <is>
          <t>No</t>
        </is>
      </c>
      <c r="G1287" t="inlineStr">
        <is>
          <t>1</t>
        </is>
      </c>
      <c r="H1287" t="inlineStr">
        <is>
          <t>No</t>
        </is>
      </c>
      <c r="I1287" t="inlineStr">
        <is>
          <t>No</t>
        </is>
      </c>
      <c r="J1287" t="inlineStr">
        <is>
          <t>0</t>
        </is>
      </c>
      <c r="K1287" t="inlineStr">
        <is>
          <t>Huels, John M.</t>
        </is>
      </c>
      <c r="L1287" t="inlineStr">
        <is>
          <t>Collegeville, Minn. : Liturgical Press, c1986.</t>
        </is>
      </c>
      <c r="M1287" t="inlineStr">
        <is>
          <t>1986</t>
        </is>
      </c>
      <c r="O1287" t="inlineStr">
        <is>
          <t>eng</t>
        </is>
      </c>
      <c r="P1287" t="inlineStr">
        <is>
          <t>mnu</t>
        </is>
      </c>
      <c r="R1287" t="inlineStr">
        <is>
          <t xml:space="preserve">BX </t>
        </is>
      </c>
      <c r="S1287" t="n">
        <v>8</v>
      </c>
      <c r="T1287" t="n">
        <v>8</v>
      </c>
      <c r="U1287" t="inlineStr">
        <is>
          <t>2004-11-09</t>
        </is>
      </c>
      <c r="V1287" t="inlineStr">
        <is>
          <t>2004-11-09</t>
        </is>
      </c>
      <c r="W1287" t="inlineStr">
        <is>
          <t>1991-10-14</t>
        </is>
      </c>
      <c r="X1287" t="inlineStr">
        <is>
          <t>1991-10-14</t>
        </is>
      </c>
      <c r="Y1287" t="n">
        <v>119</v>
      </c>
      <c r="Z1287" t="n">
        <v>97</v>
      </c>
      <c r="AA1287" t="n">
        <v>97</v>
      </c>
      <c r="AB1287" t="n">
        <v>1</v>
      </c>
      <c r="AC1287" t="n">
        <v>1</v>
      </c>
      <c r="AD1287" t="n">
        <v>17</v>
      </c>
      <c r="AE1287" t="n">
        <v>17</v>
      </c>
      <c r="AF1287" t="n">
        <v>5</v>
      </c>
      <c r="AG1287" t="n">
        <v>5</v>
      </c>
      <c r="AH1287" t="n">
        <v>5</v>
      </c>
      <c r="AI1287" t="n">
        <v>5</v>
      </c>
      <c r="AJ1287" t="n">
        <v>12</v>
      </c>
      <c r="AK1287" t="n">
        <v>12</v>
      </c>
      <c r="AL1287" t="n">
        <v>0</v>
      </c>
      <c r="AM1287" t="n">
        <v>0</v>
      </c>
      <c r="AN1287" t="n">
        <v>1</v>
      </c>
      <c r="AO1287" t="n">
        <v>1</v>
      </c>
      <c r="AP1287" t="inlineStr">
        <is>
          <t>No</t>
        </is>
      </c>
      <c r="AQ1287" t="inlineStr">
        <is>
          <t>No</t>
        </is>
      </c>
      <c r="AS1287">
        <f>HYPERLINK("https://creighton-primo.hosted.exlibrisgroup.com/primo-explore/search?tab=default_tab&amp;search_scope=EVERYTHING&amp;vid=01CRU&amp;lang=en_US&amp;offset=0&amp;query=any,contains,991000885719702656","Catalog Record")</f>
        <v/>
      </c>
      <c r="AT1287">
        <f>HYPERLINK("http://www.worldcat.org/oclc/13860959","WorldCat Record")</f>
        <v/>
      </c>
      <c r="AU1287" t="inlineStr">
        <is>
          <t>889605540:eng</t>
        </is>
      </c>
      <c r="AV1287" t="inlineStr">
        <is>
          <t>13860959</t>
        </is>
      </c>
      <c r="AW1287" t="inlineStr">
        <is>
          <t>991000885719702656</t>
        </is>
      </c>
      <c r="AX1287" t="inlineStr">
        <is>
          <t>991000885719702656</t>
        </is>
      </c>
      <c r="AY1287" t="inlineStr">
        <is>
          <t>2262351300002656</t>
        </is>
      </c>
      <c r="AZ1287" t="inlineStr">
        <is>
          <t>BOOK</t>
        </is>
      </c>
      <c r="BB1287" t="inlineStr">
        <is>
          <t>9780814614655</t>
        </is>
      </c>
      <c r="BC1287" t="inlineStr">
        <is>
          <t>32285000788488</t>
        </is>
      </c>
      <c r="BD1287" t="inlineStr">
        <is>
          <t>893321442</t>
        </is>
      </c>
    </row>
    <row r="1288">
      <c r="A1288" t="inlineStr">
        <is>
          <t>No</t>
        </is>
      </c>
      <c r="B1288" t="inlineStr">
        <is>
          <t>BX2215.2 .K44</t>
        </is>
      </c>
      <c r="C1288" t="inlineStr">
        <is>
          <t>0                      BX 2215200K  44</t>
        </is>
      </c>
      <c r="D1288" t="inlineStr">
        <is>
          <t>Blessed and broken : an exploration of the contemporary experience of God in eucharistic celebration / by Ralph A. Keifer.</t>
        </is>
      </c>
      <c r="F1288" t="inlineStr">
        <is>
          <t>No</t>
        </is>
      </c>
      <c r="G1288" t="inlineStr">
        <is>
          <t>1</t>
        </is>
      </c>
      <c r="H1288" t="inlineStr">
        <is>
          <t>No</t>
        </is>
      </c>
      <c r="I1288" t="inlineStr">
        <is>
          <t>No</t>
        </is>
      </c>
      <c r="J1288" t="inlineStr">
        <is>
          <t>0</t>
        </is>
      </c>
      <c r="K1288" t="inlineStr">
        <is>
          <t>Keifer, Ralph A.</t>
        </is>
      </c>
      <c r="L1288" t="inlineStr">
        <is>
          <t>Wilmington, Del. : M. Glazier, c1982.</t>
        </is>
      </c>
      <c r="M1288" t="inlineStr">
        <is>
          <t>1982</t>
        </is>
      </c>
      <c r="O1288" t="inlineStr">
        <is>
          <t>eng</t>
        </is>
      </c>
      <c r="P1288" t="inlineStr">
        <is>
          <t>deu</t>
        </is>
      </c>
      <c r="Q1288" t="inlineStr">
        <is>
          <t>Message of the sacraments ; 3</t>
        </is>
      </c>
      <c r="R1288" t="inlineStr">
        <is>
          <t xml:space="preserve">BX </t>
        </is>
      </c>
      <c r="S1288" t="n">
        <v>6</v>
      </c>
      <c r="T1288" t="n">
        <v>6</v>
      </c>
      <c r="U1288" t="inlineStr">
        <is>
          <t>2000-08-29</t>
        </is>
      </c>
      <c r="V1288" t="inlineStr">
        <is>
          <t>2000-08-29</t>
        </is>
      </c>
      <c r="W1288" t="inlineStr">
        <is>
          <t>1991-06-26</t>
        </is>
      </c>
      <c r="X1288" t="inlineStr">
        <is>
          <t>1991-06-26</t>
        </is>
      </c>
      <c r="Y1288" t="n">
        <v>246</v>
      </c>
      <c r="Z1288" t="n">
        <v>200</v>
      </c>
      <c r="AA1288" t="n">
        <v>220</v>
      </c>
      <c r="AB1288" t="n">
        <v>3</v>
      </c>
      <c r="AC1288" t="n">
        <v>3</v>
      </c>
      <c r="AD1288" t="n">
        <v>30</v>
      </c>
      <c r="AE1288" t="n">
        <v>30</v>
      </c>
      <c r="AF1288" t="n">
        <v>10</v>
      </c>
      <c r="AG1288" t="n">
        <v>10</v>
      </c>
      <c r="AH1288" t="n">
        <v>7</v>
      </c>
      <c r="AI1288" t="n">
        <v>7</v>
      </c>
      <c r="AJ1288" t="n">
        <v>23</v>
      </c>
      <c r="AK1288" t="n">
        <v>23</v>
      </c>
      <c r="AL1288" t="n">
        <v>1</v>
      </c>
      <c r="AM1288" t="n">
        <v>1</v>
      </c>
      <c r="AN1288" t="n">
        <v>0</v>
      </c>
      <c r="AO1288" t="n">
        <v>0</v>
      </c>
      <c r="AP1288" t="inlineStr">
        <is>
          <t>No</t>
        </is>
      </c>
      <c r="AQ1288" t="inlineStr">
        <is>
          <t>No</t>
        </is>
      </c>
      <c r="AS1288">
        <f>HYPERLINK("https://creighton-primo.hosted.exlibrisgroup.com/primo-explore/search?tab=default_tab&amp;search_scope=EVERYTHING&amp;vid=01CRU&amp;lang=en_US&amp;offset=0&amp;query=any,contains,991005228619702656","Catalog Record")</f>
        <v/>
      </c>
      <c r="AT1288">
        <f>HYPERLINK("http://www.worldcat.org/oclc/8300680","WorldCat Record")</f>
        <v/>
      </c>
      <c r="AU1288" t="inlineStr">
        <is>
          <t>22863311:eng</t>
        </is>
      </c>
      <c r="AV1288" t="inlineStr">
        <is>
          <t>8300680</t>
        </is>
      </c>
      <c r="AW1288" t="inlineStr">
        <is>
          <t>991005228619702656</t>
        </is>
      </c>
      <c r="AX1288" t="inlineStr">
        <is>
          <t>991005228619702656</t>
        </is>
      </c>
      <c r="AY1288" t="inlineStr">
        <is>
          <t>2262626670002656</t>
        </is>
      </c>
      <c r="AZ1288" t="inlineStr">
        <is>
          <t>BOOK</t>
        </is>
      </c>
      <c r="BB1288" t="inlineStr">
        <is>
          <t>9780894532672</t>
        </is>
      </c>
      <c r="BC1288" t="inlineStr">
        <is>
          <t>32285000659044</t>
        </is>
      </c>
      <c r="BD1288" t="inlineStr">
        <is>
          <t>893350944</t>
        </is>
      </c>
    </row>
    <row r="1289">
      <c r="A1289" t="inlineStr">
        <is>
          <t>No</t>
        </is>
      </c>
      <c r="B1289" t="inlineStr">
        <is>
          <t>BX2215.2 .L3 1968</t>
        </is>
      </c>
      <c r="C1289" t="inlineStr">
        <is>
          <t>0                      BX 2215200L  3           1968</t>
        </is>
      </c>
      <c r="D1289" t="inlineStr">
        <is>
          <t>His presence in the world : a study of Eucharistic worship and theology / Nicholas Lash.</t>
        </is>
      </c>
      <c r="F1289" t="inlineStr">
        <is>
          <t>No</t>
        </is>
      </c>
      <c r="G1289" t="inlineStr">
        <is>
          <t>1</t>
        </is>
      </c>
      <c r="H1289" t="inlineStr">
        <is>
          <t>No</t>
        </is>
      </c>
      <c r="I1289" t="inlineStr">
        <is>
          <t>No</t>
        </is>
      </c>
      <c r="J1289" t="inlineStr">
        <is>
          <t>0</t>
        </is>
      </c>
      <c r="K1289" t="inlineStr">
        <is>
          <t>Lash, Nicholas.</t>
        </is>
      </c>
      <c r="L1289" t="inlineStr">
        <is>
          <t>Dayton, Ohio : Pflaum Press, 1968.</t>
        </is>
      </c>
      <c r="M1289" t="inlineStr">
        <is>
          <t>1968</t>
        </is>
      </c>
      <c r="O1289" t="inlineStr">
        <is>
          <t>eng</t>
        </is>
      </c>
      <c r="P1289" t="inlineStr">
        <is>
          <t>ohu</t>
        </is>
      </c>
      <c r="R1289" t="inlineStr">
        <is>
          <t xml:space="preserve">BX </t>
        </is>
      </c>
      <c r="S1289" t="n">
        <v>3</v>
      </c>
      <c r="T1289" t="n">
        <v>3</v>
      </c>
      <c r="U1289" t="inlineStr">
        <is>
          <t>2004-11-09</t>
        </is>
      </c>
      <c r="V1289" t="inlineStr">
        <is>
          <t>2004-11-09</t>
        </is>
      </c>
      <c r="W1289" t="inlineStr">
        <is>
          <t>1991-10-14</t>
        </is>
      </c>
      <c r="X1289" t="inlineStr">
        <is>
          <t>1991-10-14</t>
        </is>
      </c>
      <c r="Y1289" t="n">
        <v>167</v>
      </c>
      <c r="Z1289" t="n">
        <v>149</v>
      </c>
      <c r="AA1289" t="n">
        <v>197</v>
      </c>
      <c r="AB1289" t="n">
        <v>2</v>
      </c>
      <c r="AC1289" t="n">
        <v>3</v>
      </c>
      <c r="AD1289" t="n">
        <v>23</v>
      </c>
      <c r="AE1289" t="n">
        <v>27</v>
      </c>
      <c r="AF1289" t="n">
        <v>5</v>
      </c>
      <c r="AG1289" t="n">
        <v>7</v>
      </c>
      <c r="AH1289" t="n">
        <v>6</v>
      </c>
      <c r="AI1289" t="n">
        <v>9</v>
      </c>
      <c r="AJ1289" t="n">
        <v>15</v>
      </c>
      <c r="AK1289" t="n">
        <v>16</v>
      </c>
      <c r="AL1289" t="n">
        <v>1</v>
      </c>
      <c r="AM1289" t="n">
        <v>2</v>
      </c>
      <c r="AN1289" t="n">
        <v>0</v>
      </c>
      <c r="AO1289" t="n">
        <v>0</v>
      </c>
      <c r="AP1289" t="inlineStr">
        <is>
          <t>No</t>
        </is>
      </c>
      <c r="AQ1289" t="inlineStr">
        <is>
          <t>No</t>
        </is>
      </c>
      <c r="AS1289">
        <f>HYPERLINK("https://creighton-primo.hosted.exlibrisgroup.com/primo-explore/search?tab=default_tab&amp;search_scope=EVERYTHING&amp;vid=01CRU&amp;lang=en_US&amp;offset=0&amp;query=any,contains,991002788969702656","Catalog Record")</f>
        <v/>
      </c>
      <c r="AT1289">
        <f>HYPERLINK("http://www.worldcat.org/oclc/442715","WorldCat Record")</f>
        <v/>
      </c>
      <c r="AU1289" t="inlineStr">
        <is>
          <t>8527768:eng</t>
        </is>
      </c>
      <c r="AV1289" t="inlineStr">
        <is>
          <t>442715</t>
        </is>
      </c>
      <c r="AW1289" t="inlineStr">
        <is>
          <t>991002788969702656</t>
        </is>
      </c>
      <c r="AX1289" t="inlineStr">
        <is>
          <t>991002788969702656</t>
        </is>
      </c>
      <c r="AY1289" t="inlineStr">
        <is>
          <t>2255988950002656</t>
        </is>
      </c>
      <c r="AZ1289" t="inlineStr">
        <is>
          <t>BOOK</t>
        </is>
      </c>
      <c r="BC1289" t="inlineStr">
        <is>
          <t>32285000788520</t>
        </is>
      </c>
      <c r="BD1289" t="inlineStr">
        <is>
          <t>893530474</t>
        </is>
      </c>
    </row>
    <row r="1290">
      <c r="A1290" t="inlineStr">
        <is>
          <t>No</t>
        </is>
      </c>
      <c r="B1290" t="inlineStr">
        <is>
          <t>BX2215.2 .L87 1974</t>
        </is>
      </c>
      <c r="C1290" t="inlineStr">
        <is>
          <t>0                      BX 2215200L  87          1974</t>
        </is>
      </c>
      <c r="D1290" t="inlineStr">
        <is>
          <t>Getting to know the Eucharist / Ernest Lussier.</t>
        </is>
      </c>
      <c r="F1290" t="inlineStr">
        <is>
          <t>No</t>
        </is>
      </c>
      <c r="G1290" t="inlineStr">
        <is>
          <t>1</t>
        </is>
      </c>
      <c r="H1290" t="inlineStr">
        <is>
          <t>No</t>
        </is>
      </c>
      <c r="I1290" t="inlineStr">
        <is>
          <t>No</t>
        </is>
      </c>
      <c r="J1290" t="inlineStr">
        <is>
          <t>0</t>
        </is>
      </c>
      <c r="K1290" t="inlineStr">
        <is>
          <t>Lussier, Ernest, 1911-</t>
        </is>
      </c>
      <c r="L1290" t="inlineStr">
        <is>
          <t>New York : Alba House, [1974]</t>
        </is>
      </c>
      <c r="M1290" t="inlineStr">
        <is>
          <t>1974</t>
        </is>
      </c>
      <c r="O1290" t="inlineStr">
        <is>
          <t>eng</t>
        </is>
      </c>
      <c r="P1290" t="inlineStr">
        <is>
          <t>nyu</t>
        </is>
      </c>
      <c r="R1290" t="inlineStr">
        <is>
          <t xml:space="preserve">BX </t>
        </is>
      </c>
      <c r="S1290" t="n">
        <v>6</v>
      </c>
      <c r="T1290" t="n">
        <v>6</v>
      </c>
      <c r="U1290" t="inlineStr">
        <is>
          <t>2010-04-29</t>
        </is>
      </c>
      <c r="V1290" t="inlineStr">
        <is>
          <t>2010-04-29</t>
        </is>
      </c>
      <c r="W1290" t="inlineStr">
        <is>
          <t>1991-10-14</t>
        </is>
      </c>
      <c r="X1290" t="inlineStr">
        <is>
          <t>1991-10-14</t>
        </is>
      </c>
      <c r="Y1290" t="n">
        <v>118</v>
      </c>
      <c r="Z1290" t="n">
        <v>102</v>
      </c>
      <c r="AA1290" t="n">
        <v>102</v>
      </c>
      <c r="AB1290" t="n">
        <v>4</v>
      </c>
      <c r="AC1290" t="n">
        <v>4</v>
      </c>
      <c r="AD1290" t="n">
        <v>17</v>
      </c>
      <c r="AE1290" t="n">
        <v>17</v>
      </c>
      <c r="AF1290" t="n">
        <v>5</v>
      </c>
      <c r="AG1290" t="n">
        <v>5</v>
      </c>
      <c r="AH1290" t="n">
        <v>6</v>
      </c>
      <c r="AI1290" t="n">
        <v>6</v>
      </c>
      <c r="AJ1290" t="n">
        <v>9</v>
      </c>
      <c r="AK1290" t="n">
        <v>9</v>
      </c>
      <c r="AL1290" t="n">
        <v>1</v>
      </c>
      <c r="AM1290" t="n">
        <v>1</v>
      </c>
      <c r="AN1290" t="n">
        <v>0</v>
      </c>
      <c r="AO1290" t="n">
        <v>0</v>
      </c>
      <c r="AP1290" t="inlineStr">
        <is>
          <t>No</t>
        </is>
      </c>
      <c r="AQ1290" t="inlineStr">
        <is>
          <t>No</t>
        </is>
      </c>
      <c r="AS1290">
        <f>HYPERLINK("https://creighton-primo.hosted.exlibrisgroup.com/primo-explore/search?tab=default_tab&amp;search_scope=EVERYTHING&amp;vid=01CRU&amp;lang=en_US&amp;offset=0&amp;query=any,contains,991003311869702656","Catalog Record")</f>
        <v/>
      </c>
      <c r="AT1290">
        <f>HYPERLINK("http://www.worldcat.org/oclc/835218","WorldCat Record")</f>
        <v/>
      </c>
      <c r="AU1290" t="inlineStr">
        <is>
          <t>1758258:eng</t>
        </is>
      </c>
      <c r="AV1290" t="inlineStr">
        <is>
          <t>835218</t>
        </is>
      </c>
      <c r="AW1290" t="inlineStr">
        <is>
          <t>991003311869702656</t>
        </is>
      </c>
      <c r="AX1290" t="inlineStr">
        <is>
          <t>991003311869702656</t>
        </is>
      </c>
      <c r="AY1290" t="inlineStr">
        <is>
          <t>2270469810002656</t>
        </is>
      </c>
      <c r="AZ1290" t="inlineStr">
        <is>
          <t>BOOK</t>
        </is>
      </c>
      <c r="BB1290" t="inlineStr">
        <is>
          <t>9780818902895</t>
        </is>
      </c>
      <c r="BC1290" t="inlineStr">
        <is>
          <t>32285000788546</t>
        </is>
      </c>
      <c r="BD1290" t="inlineStr">
        <is>
          <t>893336360</t>
        </is>
      </c>
    </row>
    <row r="1291">
      <c r="A1291" t="inlineStr">
        <is>
          <t>No</t>
        </is>
      </c>
      <c r="B1291" t="inlineStr">
        <is>
          <t>BX2215.2 .P513 1961</t>
        </is>
      </c>
      <c r="C1291" t="inlineStr">
        <is>
          <t>0                      BX 2215200P  513         1961</t>
        </is>
      </c>
      <c r="D1291" t="inlineStr">
        <is>
          <t>The Holy Eucharist / Antonio Piolanti. [Translated by Luigi Penzo]</t>
        </is>
      </c>
      <c r="F1291" t="inlineStr">
        <is>
          <t>No</t>
        </is>
      </c>
      <c r="G1291" t="inlineStr">
        <is>
          <t>1</t>
        </is>
      </c>
      <c r="H1291" t="inlineStr">
        <is>
          <t>No</t>
        </is>
      </c>
      <c r="I1291" t="inlineStr">
        <is>
          <t>No</t>
        </is>
      </c>
      <c r="J1291" t="inlineStr">
        <is>
          <t>0</t>
        </is>
      </c>
      <c r="K1291" t="inlineStr">
        <is>
          <t>Piolanti, Antonio.</t>
        </is>
      </c>
      <c r="L1291" t="inlineStr">
        <is>
          <t>New York : Desclée, 1961.</t>
        </is>
      </c>
      <c r="M1291" t="inlineStr">
        <is>
          <t>1961</t>
        </is>
      </c>
      <c r="O1291" t="inlineStr">
        <is>
          <t>eng</t>
        </is>
      </c>
      <c r="P1291" t="inlineStr">
        <is>
          <t>nyu</t>
        </is>
      </c>
      <c r="R1291" t="inlineStr">
        <is>
          <t xml:space="preserve">BX </t>
        </is>
      </c>
      <c r="S1291" t="n">
        <v>2</v>
      </c>
      <c r="T1291" t="n">
        <v>2</v>
      </c>
      <c r="U1291" t="inlineStr">
        <is>
          <t>1993-10-22</t>
        </is>
      </c>
      <c r="V1291" t="inlineStr">
        <is>
          <t>1993-10-22</t>
        </is>
      </c>
      <c r="W1291" t="inlineStr">
        <is>
          <t>1991-10-14</t>
        </is>
      </c>
      <c r="X1291" t="inlineStr">
        <is>
          <t>1991-10-14</t>
        </is>
      </c>
      <c r="Y1291" t="n">
        <v>116</v>
      </c>
      <c r="Z1291" t="n">
        <v>104</v>
      </c>
      <c r="AA1291" t="n">
        <v>105</v>
      </c>
      <c r="AB1291" t="n">
        <v>2</v>
      </c>
      <c r="AC1291" t="n">
        <v>2</v>
      </c>
      <c r="AD1291" t="n">
        <v>17</v>
      </c>
      <c r="AE1291" t="n">
        <v>17</v>
      </c>
      <c r="AF1291" t="n">
        <v>4</v>
      </c>
      <c r="AG1291" t="n">
        <v>4</v>
      </c>
      <c r="AH1291" t="n">
        <v>4</v>
      </c>
      <c r="AI1291" t="n">
        <v>4</v>
      </c>
      <c r="AJ1291" t="n">
        <v>14</v>
      </c>
      <c r="AK1291" t="n">
        <v>14</v>
      </c>
      <c r="AL1291" t="n">
        <v>0</v>
      </c>
      <c r="AM1291" t="n">
        <v>0</v>
      </c>
      <c r="AN1291" t="n">
        <v>0</v>
      </c>
      <c r="AO1291" t="n">
        <v>0</v>
      </c>
      <c r="AP1291" t="inlineStr">
        <is>
          <t>No</t>
        </is>
      </c>
      <c r="AQ1291" t="inlineStr">
        <is>
          <t>Yes</t>
        </is>
      </c>
      <c r="AR1291">
        <f>HYPERLINK("http://catalog.hathitrust.org/Record/102021493","HathiTrust Record")</f>
        <v/>
      </c>
      <c r="AS1291">
        <f>HYPERLINK("https://creighton-primo.hosted.exlibrisgroup.com/primo-explore/search?tab=default_tab&amp;search_scope=EVERYTHING&amp;vid=01CRU&amp;lang=en_US&amp;offset=0&amp;query=any,contains,991004050179702656","Catalog Record")</f>
        <v/>
      </c>
      <c r="AT1291">
        <f>HYPERLINK("http://www.worldcat.org/oclc/2212315","WorldCat Record")</f>
        <v/>
      </c>
      <c r="AU1291" t="inlineStr">
        <is>
          <t>4224070816:eng</t>
        </is>
      </c>
      <c r="AV1291" t="inlineStr">
        <is>
          <t>2212315</t>
        </is>
      </c>
      <c r="AW1291" t="inlineStr">
        <is>
          <t>991004050179702656</t>
        </is>
      </c>
      <c r="AX1291" t="inlineStr">
        <is>
          <t>991004050179702656</t>
        </is>
      </c>
      <c r="AY1291" t="inlineStr">
        <is>
          <t>2255546200002656</t>
        </is>
      </c>
      <c r="AZ1291" t="inlineStr">
        <is>
          <t>BOOK</t>
        </is>
      </c>
      <c r="BC1291" t="inlineStr">
        <is>
          <t>32285000788595</t>
        </is>
      </c>
      <c r="BD1291" t="inlineStr">
        <is>
          <t>893423321</t>
        </is>
      </c>
    </row>
    <row r="1292">
      <c r="A1292" t="inlineStr">
        <is>
          <t>No</t>
        </is>
      </c>
      <c r="B1292" t="inlineStr">
        <is>
          <t>BX2215.2 .P57 1987</t>
        </is>
      </c>
      <c r="C1292" t="inlineStr">
        <is>
          <t>0                      BX 2215200P  57          1987</t>
        </is>
      </c>
      <c r="D1292" t="inlineStr">
        <is>
          <t>The pilgrim church and the easter people / by Norman Pittenger.</t>
        </is>
      </c>
      <c r="F1292" t="inlineStr">
        <is>
          <t>No</t>
        </is>
      </c>
      <c r="G1292" t="inlineStr">
        <is>
          <t>1</t>
        </is>
      </c>
      <c r="H1292" t="inlineStr">
        <is>
          <t>No</t>
        </is>
      </c>
      <c r="I1292" t="inlineStr">
        <is>
          <t>No</t>
        </is>
      </c>
      <c r="J1292" t="inlineStr">
        <is>
          <t>0</t>
        </is>
      </c>
      <c r="K1292" t="inlineStr">
        <is>
          <t>Pittenger, W. Norman (William Norman), 1905-1997.</t>
        </is>
      </c>
      <c r="L1292" t="inlineStr">
        <is>
          <t>Wilmington, Del. : Michael Glazier, c1987.</t>
        </is>
      </c>
      <c r="M1292" t="inlineStr">
        <is>
          <t>1987</t>
        </is>
      </c>
      <c r="O1292" t="inlineStr">
        <is>
          <t>eng</t>
        </is>
      </c>
      <c r="P1292" t="inlineStr">
        <is>
          <t>deu</t>
        </is>
      </c>
      <c r="Q1292" t="inlineStr">
        <is>
          <t>Theology and life series ; 20</t>
        </is>
      </c>
      <c r="R1292" t="inlineStr">
        <is>
          <t xml:space="preserve">BX </t>
        </is>
      </c>
      <c r="S1292" t="n">
        <v>2</v>
      </c>
      <c r="T1292" t="n">
        <v>2</v>
      </c>
      <c r="U1292" t="inlineStr">
        <is>
          <t>1992-06-10</t>
        </is>
      </c>
      <c r="V1292" t="inlineStr">
        <is>
          <t>1992-06-10</t>
        </is>
      </c>
      <c r="W1292" t="inlineStr">
        <is>
          <t>1991-10-14</t>
        </is>
      </c>
      <c r="X1292" t="inlineStr">
        <is>
          <t>1991-10-14</t>
        </is>
      </c>
      <c r="Y1292" t="n">
        <v>133</v>
      </c>
      <c r="Z1292" t="n">
        <v>116</v>
      </c>
      <c r="AA1292" t="n">
        <v>116</v>
      </c>
      <c r="AB1292" t="n">
        <v>1</v>
      </c>
      <c r="AC1292" t="n">
        <v>1</v>
      </c>
      <c r="AD1292" t="n">
        <v>17</v>
      </c>
      <c r="AE1292" t="n">
        <v>17</v>
      </c>
      <c r="AF1292" t="n">
        <v>8</v>
      </c>
      <c r="AG1292" t="n">
        <v>8</v>
      </c>
      <c r="AH1292" t="n">
        <v>5</v>
      </c>
      <c r="AI1292" t="n">
        <v>5</v>
      </c>
      <c r="AJ1292" t="n">
        <v>11</v>
      </c>
      <c r="AK1292" t="n">
        <v>11</v>
      </c>
      <c r="AL1292" t="n">
        <v>0</v>
      </c>
      <c r="AM1292" t="n">
        <v>0</v>
      </c>
      <c r="AN1292" t="n">
        <v>0</v>
      </c>
      <c r="AO1292" t="n">
        <v>0</v>
      </c>
      <c r="AP1292" t="inlineStr">
        <is>
          <t>No</t>
        </is>
      </c>
      <c r="AQ1292" t="inlineStr">
        <is>
          <t>No</t>
        </is>
      </c>
      <c r="AS1292">
        <f>HYPERLINK("https://creighton-primo.hosted.exlibrisgroup.com/primo-explore/search?tab=default_tab&amp;search_scope=EVERYTHING&amp;vid=01CRU&amp;lang=en_US&amp;offset=0&amp;query=any,contains,991001053979702656","Catalog Record")</f>
        <v/>
      </c>
      <c r="AT1292">
        <f>HYPERLINK("http://www.worldcat.org/oclc/15667806","WorldCat Record")</f>
        <v/>
      </c>
      <c r="AU1292" t="inlineStr">
        <is>
          <t>5090592423:eng</t>
        </is>
      </c>
      <c r="AV1292" t="inlineStr">
        <is>
          <t>15667806</t>
        </is>
      </c>
      <c r="AW1292" t="inlineStr">
        <is>
          <t>991001053979702656</t>
        </is>
      </c>
      <c r="AX1292" t="inlineStr">
        <is>
          <t>991001053979702656</t>
        </is>
      </c>
      <c r="AY1292" t="inlineStr">
        <is>
          <t>2262766190002656</t>
        </is>
      </c>
      <c r="AZ1292" t="inlineStr">
        <is>
          <t>BOOK</t>
        </is>
      </c>
      <c r="BB1292" t="inlineStr">
        <is>
          <t>9780894532955</t>
        </is>
      </c>
      <c r="BC1292" t="inlineStr">
        <is>
          <t>32285000788603</t>
        </is>
      </c>
      <c r="BD1292" t="inlineStr">
        <is>
          <t>893696424</t>
        </is>
      </c>
    </row>
    <row r="1293">
      <c r="A1293" t="inlineStr">
        <is>
          <t>No</t>
        </is>
      </c>
      <c r="B1293" t="inlineStr">
        <is>
          <t>BX2215.2 .Q8 1973</t>
        </is>
      </c>
      <c r="C1293" t="inlineStr">
        <is>
          <t>0                      BX 2215200Q  8           1973</t>
        </is>
      </c>
      <c r="D1293" t="inlineStr">
        <is>
          <t>The theology of the Eucharist / by James Quinn.</t>
        </is>
      </c>
      <c r="F1293" t="inlineStr">
        <is>
          <t>No</t>
        </is>
      </c>
      <c r="G1293" t="inlineStr">
        <is>
          <t>1</t>
        </is>
      </c>
      <c r="H1293" t="inlineStr">
        <is>
          <t>No</t>
        </is>
      </c>
      <c r="I1293" t="inlineStr">
        <is>
          <t>No</t>
        </is>
      </c>
      <c r="J1293" t="inlineStr">
        <is>
          <t>0</t>
        </is>
      </c>
      <c r="K1293" t="inlineStr">
        <is>
          <t>Quinn, James.</t>
        </is>
      </c>
      <c r="L1293" t="inlineStr">
        <is>
          <t>Notre Dame, Ind. : Fides Publishers, [1973]</t>
        </is>
      </c>
      <c r="M1293" t="inlineStr">
        <is>
          <t>1973</t>
        </is>
      </c>
      <c r="O1293" t="inlineStr">
        <is>
          <t>eng</t>
        </is>
      </c>
      <c r="P1293" t="inlineStr">
        <is>
          <t>___</t>
        </is>
      </c>
      <c r="Q1293" t="inlineStr">
        <is>
          <t>Theology today ; no. 27</t>
        </is>
      </c>
      <c r="R1293" t="inlineStr">
        <is>
          <t xml:space="preserve">BX </t>
        </is>
      </c>
      <c r="S1293" t="n">
        <v>8</v>
      </c>
      <c r="T1293" t="n">
        <v>8</v>
      </c>
      <c r="U1293" t="inlineStr">
        <is>
          <t>2004-11-09</t>
        </is>
      </c>
      <c r="V1293" t="inlineStr">
        <is>
          <t>2004-11-09</t>
        </is>
      </c>
      <c r="W1293" t="inlineStr">
        <is>
          <t>1990-04-09</t>
        </is>
      </c>
      <c r="X1293" t="inlineStr">
        <is>
          <t>1990-04-09</t>
        </is>
      </c>
      <c r="Y1293" t="n">
        <v>98</v>
      </c>
      <c r="Z1293" t="n">
        <v>91</v>
      </c>
      <c r="AA1293" t="n">
        <v>132</v>
      </c>
      <c r="AB1293" t="n">
        <v>2</v>
      </c>
      <c r="AC1293" t="n">
        <v>2</v>
      </c>
      <c r="AD1293" t="n">
        <v>14</v>
      </c>
      <c r="AE1293" t="n">
        <v>15</v>
      </c>
      <c r="AF1293" t="n">
        <v>3</v>
      </c>
      <c r="AG1293" t="n">
        <v>3</v>
      </c>
      <c r="AH1293" t="n">
        <v>3</v>
      </c>
      <c r="AI1293" t="n">
        <v>4</v>
      </c>
      <c r="AJ1293" t="n">
        <v>12</v>
      </c>
      <c r="AK1293" t="n">
        <v>13</v>
      </c>
      <c r="AL1293" t="n">
        <v>0</v>
      </c>
      <c r="AM1293" t="n">
        <v>0</v>
      </c>
      <c r="AN1293" t="n">
        <v>0</v>
      </c>
      <c r="AO1293" t="n">
        <v>0</v>
      </c>
      <c r="AP1293" t="inlineStr">
        <is>
          <t>No</t>
        </is>
      </c>
      <c r="AQ1293" t="inlineStr">
        <is>
          <t>No</t>
        </is>
      </c>
      <c r="AS1293">
        <f>HYPERLINK("https://creighton-primo.hosted.exlibrisgroup.com/primo-explore/search?tab=default_tab&amp;search_scope=EVERYTHING&amp;vid=01CRU&amp;lang=en_US&amp;offset=0&amp;query=any,contains,991003573989702656","Catalog Record")</f>
        <v/>
      </c>
      <c r="AT1293">
        <f>HYPERLINK("http://www.worldcat.org/oclc/1150368","WorldCat Record")</f>
        <v/>
      </c>
      <c r="AU1293" t="inlineStr">
        <is>
          <t>2078996:eng</t>
        </is>
      </c>
      <c r="AV1293" t="inlineStr">
        <is>
          <t>1150368</t>
        </is>
      </c>
      <c r="AW1293" t="inlineStr">
        <is>
          <t>991003573989702656</t>
        </is>
      </c>
      <c r="AX1293" t="inlineStr">
        <is>
          <t>991003573989702656</t>
        </is>
      </c>
      <c r="AY1293" t="inlineStr">
        <is>
          <t>2268606340002656</t>
        </is>
      </c>
      <c r="AZ1293" t="inlineStr">
        <is>
          <t>BOOK</t>
        </is>
      </c>
      <c r="BB1293" t="inlineStr">
        <is>
          <t>9780853423232</t>
        </is>
      </c>
      <c r="BC1293" t="inlineStr">
        <is>
          <t>32285000113919</t>
        </is>
      </c>
      <c r="BD1293" t="inlineStr">
        <is>
          <t>893623637</t>
        </is>
      </c>
    </row>
    <row r="1294">
      <c r="A1294" t="inlineStr">
        <is>
          <t>No</t>
        </is>
      </c>
      <c r="B1294" t="inlineStr">
        <is>
          <t>BX2215.2 .S66 1982</t>
        </is>
      </c>
      <c r="C1294" t="inlineStr">
        <is>
          <t>0                      BX 2215200S  66          1982</t>
        </is>
      </c>
      <c r="D1294" t="inlineStr">
        <is>
          <t>Eucharistia : a study of the Eucharistic prayer / Dennis C. Smolarski, S.J.</t>
        </is>
      </c>
      <c r="F1294" t="inlineStr">
        <is>
          <t>No</t>
        </is>
      </c>
      <c r="G1294" t="inlineStr">
        <is>
          <t>1</t>
        </is>
      </c>
      <c r="H1294" t="inlineStr">
        <is>
          <t>No</t>
        </is>
      </c>
      <c r="I1294" t="inlineStr">
        <is>
          <t>No</t>
        </is>
      </c>
      <c r="J1294" t="inlineStr">
        <is>
          <t>0</t>
        </is>
      </c>
      <c r="K1294" t="inlineStr">
        <is>
          <t>Smolarski, Dennis Chester, 1947-</t>
        </is>
      </c>
      <c r="L1294" t="inlineStr">
        <is>
          <t>New York ; Ramsey, N.J. : Paulist Press, 1982.</t>
        </is>
      </c>
      <c r="M1294" t="inlineStr">
        <is>
          <t>1982</t>
        </is>
      </c>
      <c r="O1294" t="inlineStr">
        <is>
          <t>eng</t>
        </is>
      </c>
      <c r="P1294" t="inlineStr">
        <is>
          <t>nyu</t>
        </is>
      </c>
      <c r="R1294" t="inlineStr">
        <is>
          <t xml:space="preserve">BX </t>
        </is>
      </c>
      <c r="S1294" t="n">
        <v>7</v>
      </c>
      <c r="T1294" t="n">
        <v>7</v>
      </c>
      <c r="U1294" t="inlineStr">
        <is>
          <t>1997-06-22</t>
        </is>
      </c>
      <c r="V1294" t="inlineStr">
        <is>
          <t>1997-06-22</t>
        </is>
      </c>
      <c r="W1294" t="inlineStr">
        <is>
          <t>1991-10-14</t>
        </is>
      </c>
      <c r="X1294" t="inlineStr">
        <is>
          <t>1991-10-14</t>
        </is>
      </c>
      <c r="Y1294" t="n">
        <v>196</v>
      </c>
      <c r="Z1294" t="n">
        <v>163</v>
      </c>
      <c r="AA1294" t="n">
        <v>164</v>
      </c>
      <c r="AB1294" t="n">
        <v>1</v>
      </c>
      <c r="AC1294" t="n">
        <v>1</v>
      </c>
      <c r="AD1294" t="n">
        <v>18</v>
      </c>
      <c r="AE1294" t="n">
        <v>18</v>
      </c>
      <c r="AF1294" t="n">
        <v>3</v>
      </c>
      <c r="AG1294" t="n">
        <v>3</v>
      </c>
      <c r="AH1294" t="n">
        <v>8</v>
      </c>
      <c r="AI1294" t="n">
        <v>8</v>
      </c>
      <c r="AJ1294" t="n">
        <v>13</v>
      </c>
      <c r="AK1294" t="n">
        <v>13</v>
      </c>
      <c r="AL1294" t="n">
        <v>0</v>
      </c>
      <c r="AM1294" t="n">
        <v>0</v>
      </c>
      <c r="AN1294" t="n">
        <v>0</v>
      </c>
      <c r="AO1294" t="n">
        <v>0</v>
      </c>
      <c r="AP1294" t="inlineStr">
        <is>
          <t>No</t>
        </is>
      </c>
      <c r="AQ1294" t="inlineStr">
        <is>
          <t>No</t>
        </is>
      </c>
      <c r="AS1294">
        <f>HYPERLINK("https://creighton-primo.hosted.exlibrisgroup.com/primo-explore/search?tab=default_tab&amp;search_scope=EVERYTHING&amp;vid=01CRU&amp;lang=en_US&amp;offset=0&amp;query=any,contains,991000114869702656","Catalog Record")</f>
        <v/>
      </c>
      <c r="AT1294">
        <f>HYPERLINK("http://www.worldcat.org/oclc/9031685","WorldCat Record")</f>
        <v/>
      </c>
      <c r="AU1294" t="inlineStr">
        <is>
          <t>1097040790:eng</t>
        </is>
      </c>
      <c r="AV1294" t="inlineStr">
        <is>
          <t>9031685</t>
        </is>
      </c>
      <c r="AW1294" t="inlineStr">
        <is>
          <t>991000114869702656</t>
        </is>
      </c>
      <c r="AX1294" t="inlineStr">
        <is>
          <t>991000114869702656</t>
        </is>
      </c>
      <c r="AY1294" t="inlineStr">
        <is>
          <t>2266562240002656</t>
        </is>
      </c>
      <c r="AZ1294" t="inlineStr">
        <is>
          <t>BOOK</t>
        </is>
      </c>
      <c r="BB1294" t="inlineStr">
        <is>
          <t>9780809124749</t>
        </is>
      </c>
      <c r="BC1294" t="inlineStr">
        <is>
          <t>32285000788629</t>
        </is>
      </c>
      <c r="BD1294" t="inlineStr">
        <is>
          <t>893871417</t>
        </is>
      </c>
    </row>
    <row r="1295">
      <c r="A1295" t="inlineStr">
        <is>
          <t>No</t>
        </is>
      </c>
      <c r="B1295" t="inlineStr">
        <is>
          <t>BX2215.2 .T513 1967</t>
        </is>
      </c>
      <c r="C1295" t="inlineStr">
        <is>
          <t>0                      BX 2215200T  513         1967</t>
        </is>
      </c>
      <c r="D1295" t="inlineStr">
        <is>
          <t>The Eucharist : Pasch of God's people / [by] J. M. R. Tillard. [Translated by Dennis L. Wienk]</t>
        </is>
      </c>
      <c r="F1295" t="inlineStr">
        <is>
          <t>No</t>
        </is>
      </c>
      <c r="G1295" t="inlineStr">
        <is>
          <t>1</t>
        </is>
      </c>
      <c r="H1295" t="inlineStr">
        <is>
          <t>No</t>
        </is>
      </c>
      <c r="I1295" t="inlineStr">
        <is>
          <t>No</t>
        </is>
      </c>
      <c r="J1295" t="inlineStr">
        <is>
          <t>0</t>
        </is>
      </c>
      <c r="K1295" t="inlineStr">
        <is>
          <t>Tillard, J.-M.-R. (Jean-Marie-Roger), 1927-2000.</t>
        </is>
      </c>
      <c r="L1295" t="inlineStr">
        <is>
          <t>Staten Island, N.Y. : Alba House, [1967]</t>
        </is>
      </c>
      <c r="M1295" t="inlineStr">
        <is>
          <t>1967</t>
        </is>
      </c>
      <c r="O1295" t="inlineStr">
        <is>
          <t>eng</t>
        </is>
      </c>
      <c r="P1295" t="inlineStr">
        <is>
          <t>nyu</t>
        </is>
      </c>
      <c r="R1295" t="inlineStr">
        <is>
          <t xml:space="preserve">BX </t>
        </is>
      </c>
      <c r="S1295" t="n">
        <v>9</v>
      </c>
      <c r="T1295" t="n">
        <v>9</v>
      </c>
      <c r="U1295" t="inlineStr">
        <is>
          <t>2004-05-10</t>
        </is>
      </c>
      <c r="V1295" t="inlineStr">
        <is>
          <t>2004-05-10</t>
        </is>
      </c>
      <c r="W1295" t="inlineStr">
        <is>
          <t>1991-10-14</t>
        </is>
      </c>
      <c r="X1295" t="inlineStr">
        <is>
          <t>1991-10-14</t>
        </is>
      </c>
      <c r="Y1295" t="n">
        <v>198</v>
      </c>
      <c r="Z1295" t="n">
        <v>153</v>
      </c>
      <c r="AA1295" t="n">
        <v>158</v>
      </c>
      <c r="AB1295" t="n">
        <v>1</v>
      </c>
      <c r="AC1295" t="n">
        <v>1</v>
      </c>
      <c r="AD1295" t="n">
        <v>26</v>
      </c>
      <c r="AE1295" t="n">
        <v>26</v>
      </c>
      <c r="AF1295" t="n">
        <v>8</v>
      </c>
      <c r="AG1295" t="n">
        <v>8</v>
      </c>
      <c r="AH1295" t="n">
        <v>7</v>
      </c>
      <c r="AI1295" t="n">
        <v>7</v>
      </c>
      <c r="AJ1295" t="n">
        <v>19</v>
      </c>
      <c r="AK1295" t="n">
        <v>19</v>
      </c>
      <c r="AL1295" t="n">
        <v>0</v>
      </c>
      <c r="AM1295" t="n">
        <v>0</v>
      </c>
      <c r="AN1295" t="n">
        <v>0</v>
      </c>
      <c r="AO1295" t="n">
        <v>0</v>
      </c>
      <c r="AP1295" t="inlineStr">
        <is>
          <t>No</t>
        </is>
      </c>
      <c r="AQ1295" t="inlineStr">
        <is>
          <t>No</t>
        </is>
      </c>
      <c r="AS1295">
        <f>HYPERLINK("https://creighton-primo.hosted.exlibrisgroup.com/primo-explore/search?tab=default_tab&amp;search_scope=EVERYTHING&amp;vid=01CRU&amp;lang=en_US&amp;offset=0&amp;query=any,contains,991003590689702656","Catalog Record")</f>
        <v/>
      </c>
      <c r="AT1295">
        <f>HYPERLINK("http://www.worldcat.org/oclc/1173526","WorldCat Record")</f>
        <v/>
      </c>
      <c r="AU1295" t="inlineStr">
        <is>
          <t>10136184236:eng</t>
        </is>
      </c>
      <c r="AV1295" t="inlineStr">
        <is>
          <t>1173526</t>
        </is>
      </c>
      <c r="AW1295" t="inlineStr">
        <is>
          <t>991003590689702656</t>
        </is>
      </c>
      <c r="AX1295" t="inlineStr">
        <is>
          <t>991003590689702656</t>
        </is>
      </c>
      <c r="AY1295" t="inlineStr">
        <is>
          <t>2271286030002656</t>
        </is>
      </c>
      <c r="AZ1295" t="inlineStr">
        <is>
          <t>BOOK</t>
        </is>
      </c>
      <c r="BC1295" t="inlineStr">
        <is>
          <t>32285000788645</t>
        </is>
      </c>
      <c r="BD1295" t="inlineStr">
        <is>
          <t>893721999</t>
        </is>
      </c>
    </row>
    <row r="1296">
      <c r="A1296" t="inlineStr">
        <is>
          <t>No</t>
        </is>
      </c>
      <c r="B1296" t="inlineStr">
        <is>
          <t>BX2215.2.B447 E9 1993</t>
        </is>
      </c>
      <c r="C1296" t="inlineStr">
        <is>
          <t>0                      BX 2215200B  447                E  9           1993</t>
        </is>
      </c>
      <c r="D1296" t="inlineStr">
        <is>
          <t>Eucharist ; celebrating its rhythms in our lives / Paul Bernier.</t>
        </is>
      </c>
      <c r="F1296" t="inlineStr">
        <is>
          <t>No</t>
        </is>
      </c>
      <c r="G1296" t="inlineStr">
        <is>
          <t>1</t>
        </is>
      </c>
      <c r="H1296" t="inlineStr">
        <is>
          <t>No</t>
        </is>
      </c>
      <c r="I1296" t="inlineStr">
        <is>
          <t>No</t>
        </is>
      </c>
      <c r="J1296" t="inlineStr">
        <is>
          <t>0</t>
        </is>
      </c>
      <c r="K1296" t="inlineStr">
        <is>
          <t>Bernier, Paul.</t>
        </is>
      </c>
      <c r="L1296" t="inlineStr">
        <is>
          <t>Notre Dame, Ind. : Ave Maria Press, c1993.</t>
        </is>
      </c>
      <c r="M1296" t="inlineStr">
        <is>
          <t>1993</t>
        </is>
      </c>
      <c r="O1296" t="inlineStr">
        <is>
          <t>eng</t>
        </is>
      </c>
      <c r="P1296" t="inlineStr">
        <is>
          <t>inu</t>
        </is>
      </c>
      <c r="R1296" t="inlineStr">
        <is>
          <t xml:space="preserve">BX </t>
        </is>
      </c>
      <c r="S1296" t="n">
        <v>8</v>
      </c>
      <c r="T1296" t="n">
        <v>8</v>
      </c>
      <c r="U1296" t="inlineStr">
        <is>
          <t>2004-10-28</t>
        </is>
      </c>
      <c r="V1296" t="inlineStr">
        <is>
          <t>2004-10-28</t>
        </is>
      </c>
      <c r="W1296" t="inlineStr">
        <is>
          <t>1993-05-27</t>
        </is>
      </c>
      <c r="X1296" t="inlineStr">
        <is>
          <t>1993-05-27</t>
        </is>
      </c>
      <c r="Y1296" t="n">
        <v>123</v>
      </c>
      <c r="Z1296" t="n">
        <v>101</v>
      </c>
      <c r="AA1296" t="n">
        <v>106</v>
      </c>
      <c r="AB1296" t="n">
        <v>3</v>
      </c>
      <c r="AC1296" t="n">
        <v>3</v>
      </c>
      <c r="AD1296" t="n">
        <v>12</v>
      </c>
      <c r="AE1296" t="n">
        <v>12</v>
      </c>
      <c r="AF1296" t="n">
        <v>4</v>
      </c>
      <c r="AG1296" t="n">
        <v>4</v>
      </c>
      <c r="AH1296" t="n">
        <v>3</v>
      </c>
      <c r="AI1296" t="n">
        <v>3</v>
      </c>
      <c r="AJ1296" t="n">
        <v>8</v>
      </c>
      <c r="AK1296" t="n">
        <v>8</v>
      </c>
      <c r="AL1296" t="n">
        <v>1</v>
      </c>
      <c r="AM1296" t="n">
        <v>1</v>
      </c>
      <c r="AN1296" t="n">
        <v>0</v>
      </c>
      <c r="AO1296" t="n">
        <v>0</v>
      </c>
      <c r="AP1296" t="inlineStr">
        <is>
          <t>No</t>
        </is>
      </c>
      <c r="AQ1296" t="inlineStr">
        <is>
          <t>No</t>
        </is>
      </c>
      <c r="AS1296">
        <f>HYPERLINK("https://creighton-primo.hosted.exlibrisgroup.com/primo-explore/search?tab=default_tab&amp;search_scope=EVERYTHING&amp;vid=01CRU&amp;lang=en_US&amp;offset=0&amp;query=any,contains,991002182179702656","Catalog Record")</f>
        <v/>
      </c>
      <c r="AT1296">
        <f>HYPERLINK("http://www.worldcat.org/oclc/28105284","WorldCat Record")</f>
        <v/>
      </c>
      <c r="AU1296" t="inlineStr">
        <is>
          <t>376687:eng</t>
        </is>
      </c>
      <c r="AV1296" t="inlineStr">
        <is>
          <t>28105284</t>
        </is>
      </c>
      <c r="AW1296" t="inlineStr">
        <is>
          <t>991002182179702656</t>
        </is>
      </c>
      <c r="AX1296" t="inlineStr">
        <is>
          <t>991002182179702656</t>
        </is>
      </c>
      <c r="AY1296" t="inlineStr">
        <is>
          <t>2261182200002656</t>
        </is>
      </c>
      <c r="AZ1296" t="inlineStr">
        <is>
          <t>BOOK</t>
        </is>
      </c>
      <c r="BB1296" t="inlineStr">
        <is>
          <t>9780877935056</t>
        </is>
      </c>
      <c r="BC1296" t="inlineStr">
        <is>
          <t>32285001683217</t>
        </is>
      </c>
      <c r="BD1296" t="inlineStr">
        <is>
          <t>893534888</t>
        </is>
      </c>
    </row>
    <row r="1297">
      <c r="A1297" t="inlineStr">
        <is>
          <t>No</t>
        </is>
      </c>
      <c r="B1297" t="inlineStr">
        <is>
          <t>BX2215.3 .C37 2003</t>
        </is>
      </c>
      <c r="C1297" t="inlineStr">
        <is>
          <t>0                      BX 2215300C  37          2003</t>
        </is>
      </c>
      <c r="D1297" t="inlineStr">
        <is>
          <t>Encyclical letter, Ecclesia de Eucharistia, of his Holiness Pope John Paul II : to the bishops, priests and deacons, men and women in the consecrated life and all the lay faithful on the Eucharist in its relationship to the Church.</t>
        </is>
      </c>
      <c r="F1297" t="inlineStr">
        <is>
          <t>No</t>
        </is>
      </c>
      <c r="G1297" t="inlineStr">
        <is>
          <t>1</t>
        </is>
      </c>
      <c r="H1297" t="inlineStr">
        <is>
          <t>No</t>
        </is>
      </c>
      <c r="I1297" t="inlineStr">
        <is>
          <t>No</t>
        </is>
      </c>
      <c r="J1297" t="inlineStr">
        <is>
          <t>0</t>
        </is>
      </c>
      <c r="K1297" t="inlineStr">
        <is>
          <t>Catholic Church. Pope (1978-2005 : John Paul II).</t>
        </is>
      </c>
      <c r="L1297" t="inlineStr">
        <is>
          <t>Washington, D.C. : United States Conference of Catholic Bishops, 2003.</t>
        </is>
      </c>
      <c r="M1297" t="inlineStr">
        <is>
          <t>2003</t>
        </is>
      </c>
      <c r="O1297" t="inlineStr">
        <is>
          <t>eng</t>
        </is>
      </c>
      <c r="P1297" t="inlineStr">
        <is>
          <t>dcu</t>
        </is>
      </c>
      <c r="Q1297" t="inlineStr">
        <is>
          <t>Publication (United States Conference of Catholic Bishops) ; no. 5-559</t>
        </is>
      </c>
      <c r="R1297" t="inlineStr">
        <is>
          <t xml:space="preserve">BX </t>
        </is>
      </c>
      <c r="S1297" t="n">
        <v>7</v>
      </c>
      <c r="T1297" t="n">
        <v>7</v>
      </c>
      <c r="U1297" t="inlineStr">
        <is>
          <t>2006-10-23</t>
        </is>
      </c>
      <c r="V1297" t="inlineStr">
        <is>
          <t>2006-10-23</t>
        </is>
      </c>
      <c r="W1297" t="inlineStr">
        <is>
          <t>2003-09-09</t>
        </is>
      </c>
      <c r="X1297" t="inlineStr">
        <is>
          <t>2003-09-09</t>
        </is>
      </c>
      <c r="Y1297" t="n">
        <v>105</v>
      </c>
      <c r="Z1297" t="n">
        <v>99</v>
      </c>
      <c r="AA1297" t="n">
        <v>99</v>
      </c>
      <c r="AB1297" t="n">
        <v>2</v>
      </c>
      <c r="AC1297" t="n">
        <v>2</v>
      </c>
      <c r="AD1297" t="n">
        <v>15</v>
      </c>
      <c r="AE1297" t="n">
        <v>15</v>
      </c>
      <c r="AF1297" t="n">
        <v>4</v>
      </c>
      <c r="AG1297" t="n">
        <v>4</v>
      </c>
      <c r="AH1297" t="n">
        <v>5</v>
      </c>
      <c r="AI1297" t="n">
        <v>5</v>
      </c>
      <c r="AJ1297" t="n">
        <v>11</v>
      </c>
      <c r="AK1297" t="n">
        <v>11</v>
      </c>
      <c r="AL1297" t="n">
        <v>0</v>
      </c>
      <c r="AM1297" t="n">
        <v>0</v>
      </c>
      <c r="AN1297" t="n">
        <v>0</v>
      </c>
      <c r="AO1297" t="n">
        <v>0</v>
      </c>
      <c r="AP1297" t="inlineStr">
        <is>
          <t>No</t>
        </is>
      </c>
      <c r="AQ1297" t="inlineStr">
        <is>
          <t>No</t>
        </is>
      </c>
      <c r="AS1297">
        <f>HYPERLINK("https://creighton-primo.hosted.exlibrisgroup.com/primo-explore/search?tab=default_tab&amp;search_scope=EVERYTHING&amp;vid=01CRU&amp;lang=en_US&amp;offset=0&amp;query=any,contains,991004119359702656","Catalog Record")</f>
        <v/>
      </c>
      <c r="AT1297">
        <f>HYPERLINK("http://www.worldcat.org/oclc/52636435","WorldCat Record")</f>
        <v/>
      </c>
      <c r="AU1297" t="inlineStr">
        <is>
          <t>1807477377:eng</t>
        </is>
      </c>
      <c r="AV1297" t="inlineStr">
        <is>
          <t>52636435</t>
        </is>
      </c>
      <c r="AW1297" t="inlineStr">
        <is>
          <t>991004119359702656</t>
        </is>
      </c>
      <c r="AX1297" t="inlineStr">
        <is>
          <t>991004119359702656</t>
        </is>
      </c>
      <c r="AY1297" t="inlineStr">
        <is>
          <t>2258587760002656</t>
        </is>
      </c>
      <c r="AZ1297" t="inlineStr">
        <is>
          <t>BOOK</t>
        </is>
      </c>
      <c r="BB1297" t="inlineStr">
        <is>
          <t>9781574555592</t>
        </is>
      </c>
      <c r="BC1297" t="inlineStr">
        <is>
          <t>32285004782156</t>
        </is>
      </c>
      <c r="BD1297" t="inlineStr">
        <is>
          <t>893343481</t>
        </is>
      </c>
    </row>
    <row r="1298">
      <c r="A1298" t="inlineStr">
        <is>
          <t>No</t>
        </is>
      </c>
      <c r="B1298" t="inlineStr">
        <is>
          <t>BX2215.3 .C38 2004</t>
        </is>
      </c>
      <c r="C1298" t="inlineStr">
        <is>
          <t>0                      BX 2215300C  38          2004</t>
        </is>
      </c>
      <c r="D1298" t="inlineStr">
        <is>
          <t>Guidelines for the concelebration of the Eucharist / [developed by the Bishops' Committee on the Liturgy of the United States Conference of Catholic Bishops].</t>
        </is>
      </c>
      <c r="F1298" t="inlineStr">
        <is>
          <t>No</t>
        </is>
      </c>
      <c r="G1298" t="inlineStr">
        <is>
          <t>1</t>
        </is>
      </c>
      <c r="H1298" t="inlineStr">
        <is>
          <t>No</t>
        </is>
      </c>
      <c r="I1298" t="inlineStr">
        <is>
          <t>No</t>
        </is>
      </c>
      <c r="J1298" t="inlineStr">
        <is>
          <t>0</t>
        </is>
      </c>
      <c r="K1298" t="inlineStr">
        <is>
          <t>Catholic Church. United States Conference of Catholic Bishops. Bishops' Committee on the Liturgy.</t>
        </is>
      </c>
      <c r="L1298" t="inlineStr">
        <is>
          <t>Washington, D.C. : United States Conference of Catholic Bishops, 2004.</t>
        </is>
      </c>
      <c r="M1298" t="inlineStr">
        <is>
          <t>2004</t>
        </is>
      </c>
      <c r="O1298" t="inlineStr">
        <is>
          <t>eng</t>
        </is>
      </c>
      <c r="P1298" t="inlineStr">
        <is>
          <t>dcu</t>
        </is>
      </c>
      <c r="Q1298" t="inlineStr">
        <is>
          <t>USCCB Publication ; no. 5-605</t>
        </is>
      </c>
      <c r="R1298" t="inlineStr">
        <is>
          <t xml:space="preserve">BX </t>
        </is>
      </c>
      <c r="S1298" t="n">
        <v>2</v>
      </c>
      <c r="T1298" t="n">
        <v>2</v>
      </c>
      <c r="U1298" t="inlineStr">
        <is>
          <t>2004-03-24</t>
        </is>
      </c>
      <c r="V1298" t="inlineStr">
        <is>
          <t>2004-03-24</t>
        </is>
      </c>
      <c r="W1298" t="inlineStr">
        <is>
          <t>2004-03-24</t>
        </is>
      </c>
      <c r="X1298" t="inlineStr">
        <is>
          <t>2004-03-24</t>
        </is>
      </c>
      <c r="Y1298" t="n">
        <v>37</v>
      </c>
      <c r="Z1298" t="n">
        <v>36</v>
      </c>
      <c r="AA1298" t="n">
        <v>43</v>
      </c>
      <c r="AB1298" t="n">
        <v>1</v>
      </c>
      <c r="AC1298" t="n">
        <v>1</v>
      </c>
      <c r="AD1298" t="n">
        <v>7</v>
      </c>
      <c r="AE1298" t="n">
        <v>7</v>
      </c>
      <c r="AF1298" t="n">
        <v>0</v>
      </c>
      <c r="AG1298" t="n">
        <v>0</v>
      </c>
      <c r="AH1298" t="n">
        <v>2</v>
      </c>
      <c r="AI1298" t="n">
        <v>2</v>
      </c>
      <c r="AJ1298" t="n">
        <v>6</v>
      </c>
      <c r="AK1298" t="n">
        <v>6</v>
      </c>
      <c r="AL1298" t="n">
        <v>0</v>
      </c>
      <c r="AM1298" t="n">
        <v>0</v>
      </c>
      <c r="AN1298" t="n">
        <v>0</v>
      </c>
      <c r="AO1298" t="n">
        <v>0</v>
      </c>
      <c r="AP1298" t="inlineStr">
        <is>
          <t>No</t>
        </is>
      </c>
      <c r="AQ1298" t="inlineStr">
        <is>
          <t>No</t>
        </is>
      </c>
      <c r="AS1298">
        <f>HYPERLINK("https://creighton-primo.hosted.exlibrisgroup.com/primo-explore/search?tab=default_tab&amp;search_scope=EVERYTHING&amp;vid=01CRU&amp;lang=en_US&amp;offset=0&amp;query=any,contains,991004268519702656","Catalog Record")</f>
        <v/>
      </c>
      <c r="AT1298">
        <f>HYPERLINK("http://www.worldcat.org/oclc/54756725","WorldCat Record")</f>
        <v/>
      </c>
      <c r="AU1298" t="inlineStr">
        <is>
          <t>13277688:eng</t>
        </is>
      </c>
      <c r="AV1298" t="inlineStr">
        <is>
          <t>54756725</t>
        </is>
      </c>
      <c r="AW1298" t="inlineStr">
        <is>
          <t>991004268519702656</t>
        </is>
      </c>
      <c r="AX1298" t="inlineStr">
        <is>
          <t>991004268519702656</t>
        </is>
      </c>
      <c r="AY1298" t="inlineStr">
        <is>
          <t>2262954250002656</t>
        </is>
      </c>
      <c r="AZ1298" t="inlineStr">
        <is>
          <t>BOOK</t>
        </is>
      </c>
      <c r="BB1298" t="inlineStr">
        <is>
          <t>9781574556056</t>
        </is>
      </c>
      <c r="BC1298" t="inlineStr">
        <is>
          <t>32285004897020</t>
        </is>
      </c>
      <c r="BD1298" t="inlineStr">
        <is>
          <t>893337512</t>
        </is>
      </c>
    </row>
    <row r="1299">
      <c r="A1299" t="inlineStr">
        <is>
          <t>No</t>
        </is>
      </c>
      <c r="B1299" t="inlineStr">
        <is>
          <t>BX2218 .P68 1987</t>
        </is>
      </c>
      <c r="C1299" t="inlineStr">
        <is>
          <t>0                      BX 2218000P  68          1987</t>
        </is>
      </c>
      <c r="D1299" t="inlineStr">
        <is>
          <t>The sacrifice we offer : the Tridentine dogma and its reinterpretation / David N. Power.</t>
        </is>
      </c>
      <c r="F1299" t="inlineStr">
        <is>
          <t>No</t>
        </is>
      </c>
      <c r="G1299" t="inlineStr">
        <is>
          <t>1</t>
        </is>
      </c>
      <c r="H1299" t="inlineStr">
        <is>
          <t>No</t>
        </is>
      </c>
      <c r="I1299" t="inlineStr">
        <is>
          <t>No</t>
        </is>
      </c>
      <c r="J1299" t="inlineStr">
        <is>
          <t>0</t>
        </is>
      </c>
      <c r="K1299" t="inlineStr">
        <is>
          <t>Power, David N. (David Noel), 1932-2014.</t>
        </is>
      </c>
      <c r="L1299" t="inlineStr">
        <is>
          <t>New York : Crossroad, 1987.</t>
        </is>
      </c>
      <c r="M1299" t="inlineStr">
        <is>
          <t>1987</t>
        </is>
      </c>
      <c r="O1299" t="inlineStr">
        <is>
          <t>eng</t>
        </is>
      </c>
      <c r="P1299" t="inlineStr">
        <is>
          <t>nyu</t>
        </is>
      </c>
      <c r="R1299" t="inlineStr">
        <is>
          <t xml:space="preserve">BX </t>
        </is>
      </c>
      <c r="S1299" t="n">
        <v>7</v>
      </c>
      <c r="T1299" t="n">
        <v>7</v>
      </c>
      <c r="U1299" t="inlineStr">
        <is>
          <t>2004-11-09</t>
        </is>
      </c>
      <c r="V1299" t="inlineStr">
        <is>
          <t>2004-11-09</t>
        </is>
      </c>
      <c r="W1299" t="inlineStr">
        <is>
          <t>1991-10-14</t>
        </is>
      </c>
      <c r="X1299" t="inlineStr">
        <is>
          <t>1991-10-14</t>
        </is>
      </c>
      <c r="Y1299" t="n">
        <v>213</v>
      </c>
      <c r="Z1299" t="n">
        <v>178</v>
      </c>
      <c r="AA1299" t="n">
        <v>204</v>
      </c>
      <c r="AB1299" t="n">
        <v>2</v>
      </c>
      <c r="AC1299" t="n">
        <v>2</v>
      </c>
      <c r="AD1299" t="n">
        <v>23</v>
      </c>
      <c r="AE1299" t="n">
        <v>24</v>
      </c>
      <c r="AF1299" t="n">
        <v>8</v>
      </c>
      <c r="AG1299" t="n">
        <v>9</v>
      </c>
      <c r="AH1299" t="n">
        <v>6</v>
      </c>
      <c r="AI1299" t="n">
        <v>6</v>
      </c>
      <c r="AJ1299" t="n">
        <v>17</v>
      </c>
      <c r="AK1299" t="n">
        <v>17</v>
      </c>
      <c r="AL1299" t="n">
        <v>1</v>
      </c>
      <c r="AM1299" t="n">
        <v>1</v>
      </c>
      <c r="AN1299" t="n">
        <v>0</v>
      </c>
      <c r="AO1299" t="n">
        <v>0</v>
      </c>
      <c r="AP1299" t="inlineStr">
        <is>
          <t>No</t>
        </is>
      </c>
      <c r="AQ1299" t="inlineStr">
        <is>
          <t>Yes</t>
        </is>
      </c>
      <c r="AR1299">
        <f>HYPERLINK("http://catalog.hathitrust.org/Record/006019639","HathiTrust Record")</f>
        <v/>
      </c>
      <c r="AS1299">
        <f>HYPERLINK("https://creighton-primo.hosted.exlibrisgroup.com/primo-explore/search?tab=default_tab&amp;search_scope=EVERYTHING&amp;vid=01CRU&amp;lang=en_US&amp;offset=0&amp;query=any,contains,991000903779702656","Catalog Record")</f>
        <v/>
      </c>
      <c r="AT1299">
        <f>HYPERLINK("http://www.worldcat.org/oclc/14069747","WorldCat Record")</f>
        <v/>
      </c>
      <c r="AU1299" t="inlineStr">
        <is>
          <t>839947933:eng</t>
        </is>
      </c>
      <c r="AV1299" t="inlineStr">
        <is>
          <t>14069747</t>
        </is>
      </c>
      <c r="AW1299" t="inlineStr">
        <is>
          <t>991000903779702656</t>
        </is>
      </c>
      <c r="AX1299" t="inlineStr">
        <is>
          <t>991000903779702656</t>
        </is>
      </c>
      <c r="AY1299" t="inlineStr">
        <is>
          <t>2259022920002656</t>
        </is>
      </c>
      <c r="AZ1299" t="inlineStr">
        <is>
          <t>BOOK</t>
        </is>
      </c>
      <c r="BB1299" t="inlineStr">
        <is>
          <t>9780824507435</t>
        </is>
      </c>
      <c r="BC1299" t="inlineStr">
        <is>
          <t>32285000788660</t>
        </is>
      </c>
      <c r="BD1299" t="inlineStr">
        <is>
          <t>893407639</t>
        </is>
      </c>
    </row>
    <row r="1300">
      <c r="A1300" t="inlineStr">
        <is>
          <t>No</t>
        </is>
      </c>
      <c r="B1300" t="inlineStr">
        <is>
          <t>BX2220 .C27 1981</t>
        </is>
      </c>
      <c r="C1300" t="inlineStr">
        <is>
          <t>0                      BX 2220000C  27          1981</t>
        </is>
      </c>
      <c r="D1300" t="inlineStr">
        <is>
          <t>Le sacrifice de la nouvelle alliance : consubstantiel et transsubstantiation / par Paul-Laurent Carle; préface de Jean Guitton.</t>
        </is>
      </c>
      <c r="F1300" t="inlineStr">
        <is>
          <t>No</t>
        </is>
      </c>
      <c r="G1300" t="inlineStr">
        <is>
          <t>1</t>
        </is>
      </c>
      <c r="H1300" t="inlineStr">
        <is>
          <t>No</t>
        </is>
      </c>
      <c r="I1300" t="inlineStr">
        <is>
          <t>No</t>
        </is>
      </c>
      <c r="J1300" t="inlineStr">
        <is>
          <t>0</t>
        </is>
      </c>
      <c r="K1300" t="inlineStr">
        <is>
          <t>Carle, Paul Laurent.</t>
        </is>
      </c>
      <c r="L1300" t="inlineStr">
        <is>
          <t>Bordeaux : Imprimerie Taffard, 1981.</t>
        </is>
      </c>
      <c r="M1300" t="inlineStr">
        <is>
          <t>1981</t>
        </is>
      </c>
      <c r="N1300" t="inlineStr">
        <is>
          <t>2e éd.</t>
        </is>
      </c>
      <c r="O1300" t="inlineStr">
        <is>
          <t>fre</t>
        </is>
      </c>
      <c r="P1300" t="inlineStr">
        <is>
          <t xml:space="preserve">fr </t>
        </is>
      </c>
      <c r="R1300" t="inlineStr">
        <is>
          <t xml:space="preserve">BX </t>
        </is>
      </c>
      <c r="S1300" t="n">
        <v>2</v>
      </c>
      <c r="T1300" t="n">
        <v>2</v>
      </c>
      <c r="U1300" t="inlineStr">
        <is>
          <t>1993-07-29</t>
        </is>
      </c>
      <c r="V1300" t="inlineStr">
        <is>
          <t>1993-07-29</t>
        </is>
      </c>
      <c r="W1300" t="inlineStr">
        <is>
          <t>1991-10-17</t>
        </is>
      </c>
      <c r="X1300" t="inlineStr">
        <is>
          <t>1991-10-17</t>
        </is>
      </c>
      <c r="Y1300" t="n">
        <v>11</v>
      </c>
      <c r="Z1300" t="n">
        <v>8</v>
      </c>
      <c r="AA1300" t="n">
        <v>8</v>
      </c>
      <c r="AB1300" t="n">
        <v>1</v>
      </c>
      <c r="AC1300" t="n">
        <v>1</v>
      </c>
      <c r="AD1300" t="n">
        <v>4</v>
      </c>
      <c r="AE1300" t="n">
        <v>4</v>
      </c>
      <c r="AF1300" t="n">
        <v>0</v>
      </c>
      <c r="AG1300" t="n">
        <v>0</v>
      </c>
      <c r="AH1300" t="n">
        <v>1</v>
      </c>
      <c r="AI1300" t="n">
        <v>1</v>
      </c>
      <c r="AJ1300" t="n">
        <v>4</v>
      </c>
      <c r="AK1300" t="n">
        <v>4</v>
      </c>
      <c r="AL1300" t="n">
        <v>0</v>
      </c>
      <c r="AM1300" t="n">
        <v>0</v>
      </c>
      <c r="AN1300" t="n">
        <v>0</v>
      </c>
      <c r="AO1300" t="n">
        <v>0</v>
      </c>
      <c r="AP1300" t="inlineStr">
        <is>
          <t>No</t>
        </is>
      </c>
      <c r="AQ1300" t="inlineStr">
        <is>
          <t>No</t>
        </is>
      </c>
      <c r="AS1300">
        <f>HYPERLINK("https://creighton-primo.hosted.exlibrisgroup.com/primo-explore/search?tab=default_tab&amp;search_scope=EVERYTHING&amp;vid=01CRU&amp;lang=en_US&amp;offset=0&amp;query=any,contains,991000053839702656","Catalog Record")</f>
        <v/>
      </c>
      <c r="AT1300">
        <f>HYPERLINK("http://www.worldcat.org/oclc/8701331","WorldCat Record")</f>
        <v/>
      </c>
      <c r="AU1300" t="inlineStr">
        <is>
          <t>1008351525:fre</t>
        </is>
      </c>
      <c r="AV1300" t="inlineStr">
        <is>
          <t>8701331</t>
        </is>
      </c>
      <c r="AW1300" t="inlineStr">
        <is>
          <t>991000053839702656</t>
        </is>
      </c>
      <c r="AX1300" t="inlineStr">
        <is>
          <t>991000053839702656</t>
        </is>
      </c>
      <c r="AY1300" t="inlineStr">
        <is>
          <t>2267476390002656</t>
        </is>
      </c>
      <c r="AZ1300" t="inlineStr">
        <is>
          <t>BOOK</t>
        </is>
      </c>
      <c r="BC1300" t="inlineStr">
        <is>
          <t>32285000789452</t>
        </is>
      </c>
      <c r="BD1300" t="inlineStr">
        <is>
          <t>893224690</t>
        </is>
      </c>
    </row>
    <row r="1301">
      <c r="A1301" t="inlineStr">
        <is>
          <t>No</t>
        </is>
      </c>
      <c r="B1301" t="inlineStr">
        <is>
          <t>BX2220 .M83 1973</t>
        </is>
      </c>
      <c r="C1301" t="inlineStr">
        <is>
          <t>0                      BX 2220000M  83          1973</t>
        </is>
      </c>
      <c r="D1301" t="inlineStr">
        <is>
          <t>The Blessed Eucharist, our greatest treasure / by Michael Müller.</t>
        </is>
      </c>
      <c r="F1301" t="inlineStr">
        <is>
          <t>No</t>
        </is>
      </c>
      <c r="G1301" t="inlineStr">
        <is>
          <t>1</t>
        </is>
      </c>
      <c r="H1301" t="inlineStr">
        <is>
          <t>No</t>
        </is>
      </c>
      <c r="I1301" t="inlineStr">
        <is>
          <t>No</t>
        </is>
      </c>
      <c r="J1301" t="inlineStr">
        <is>
          <t>0</t>
        </is>
      </c>
      <c r="K1301" t="inlineStr">
        <is>
          <t>Müller, Michael, 1825-1899.</t>
        </is>
      </c>
      <c r="L1301" t="inlineStr">
        <is>
          <t>Rockford, Ill. : Tan Books, 1973.</t>
        </is>
      </c>
      <c r="M1301" t="inlineStr">
        <is>
          <t>1973</t>
        </is>
      </c>
      <c r="O1301" t="inlineStr">
        <is>
          <t>eng</t>
        </is>
      </c>
      <c r="P1301" t="inlineStr">
        <is>
          <t>ilu</t>
        </is>
      </c>
      <c r="R1301" t="inlineStr">
        <is>
          <t xml:space="preserve">BX </t>
        </is>
      </c>
      <c r="S1301" t="n">
        <v>5</v>
      </c>
      <c r="T1301" t="n">
        <v>5</v>
      </c>
      <c r="U1301" t="inlineStr">
        <is>
          <t>1999-11-23</t>
        </is>
      </c>
      <c r="V1301" t="inlineStr">
        <is>
          <t>1999-11-23</t>
        </is>
      </c>
      <c r="W1301" t="inlineStr">
        <is>
          <t>1991-10-17</t>
        </is>
      </c>
      <c r="X1301" t="inlineStr">
        <is>
          <t>1991-10-17</t>
        </is>
      </c>
      <c r="Y1301" t="n">
        <v>36</v>
      </c>
      <c r="Z1301" t="n">
        <v>30</v>
      </c>
      <c r="AA1301" t="n">
        <v>105</v>
      </c>
      <c r="AB1301" t="n">
        <v>2</v>
      </c>
      <c r="AC1301" t="n">
        <v>3</v>
      </c>
      <c r="AD1301" t="n">
        <v>1</v>
      </c>
      <c r="AE1301" t="n">
        <v>11</v>
      </c>
      <c r="AF1301" t="n">
        <v>0</v>
      </c>
      <c r="AG1301" t="n">
        <v>2</v>
      </c>
      <c r="AH1301" t="n">
        <v>0</v>
      </c>
      <c r="AI1301" t="n">
        <v>6</v>
      </c>
      <c r="AJ1301" t="n">
        <v>1</v>
      </c>
      <c r="AK1301" t="n">
        <v>6</v>
      </c>
      <c r="AL1301" t="n">
        <v>0</v>
      </c>
      <c r="AM1301" t="n">
        <v>0</v>
      </c>
      <c r="AN1301" t="n">
        <v>0</v>
      </c>
      <c r="AO1301" t="n">
        <v>0</v>
      </c>
      <c r="AP1301" t="inlineStr">
        <is>
          <t>No</t>
        </is>
      </c>
      <c r="AQ1301" t="inlineStr">
        <is>
          <t>No</t>
        </is>
      </c>
      <c r="AS1301">
        <f>HYPERLINK("https://creighton-primo.hosted.exlibrisgroup.com/primo-explore/search?tab=default_tab&amp;search_scope=EVERYTHING&amp;vid=01CRU&amp;lang=en_US&amp;offset=0&amp;query=any,contains,991004813759702656","Catalog Record")</f>
        <v/>
      </c>
      <c r="AT1301">
        <f>HYPERLINK("http://www.worldcat.org/oclc/5289015","WorldCat Record")</f>
        <v/>
      </c>
      <c r="AU1301" t="inlineStr">
        <is>
          <t>7428604:eng</t>
        </is>
      </c>
      <c r="AV1301" t="inlineStr">
        <is>
          <t>5289015</t>
        </is>
      </c>
      <c r="AW1301" t="inlineStr">
        <is>
          <t>991004813759702656</t>
        </is>
      </c>
      <c r="AX1301" t="inlineStr">
        <is>
          <t>991004813759702656</t>
        </is>
      </c>
      <c r="AY1301" t="inlineStr">
        <is>
          <t>2256654850002656</t>
        </is>
      </c>
      <c r="AZ1301" t="inlineStr">
        <is>
          <t>BOOK</t>
        </is>
      </c>
      <c r="BC1301" t="inlineStr">
        <is>
          <t>32285000789478</t>
        </is>
      </c>
      <c r="BD1301" t="inlineStr">
        <is>
          <t>893782687</t>
        </is>
      </c>
    </row>
    <row r="1302">
      <c r="A1302" t="inlineStr">
        <is>
          <t>No</t>
        </is>
      </c>
      <c r="B1302" t="inlineStr">
        <is>
          <t>BX2230 .C2 1931</t>
        </is>
      </c>
      <c r="C1302" t="inlineStr">
        <is>
          <t>0                      BX 2230000C  2           1931</t>
        </is>
      </c>
      <c r="D1302" t="inlineStr">
        <is>
          <t>The Mass : its doctrine, its historyh : the story of the Mass in pen and picture / by Abbot Cabrol, O.S.B.</t>
        </is>
      </c>
      <c r="F1302" t="inlineStr">
        <is>
          <t>No</t>
        </is>
      </c>
      <c r="G1302" t="inlineStr">
        <is>
          <t>1</t>
        </is>
      </c>
      <c r="H1302" t="inlineStr">
        <is>
          <t>No</t>
        </is>
      </c>
      <c r="I1302" t="inlineStr">
        <is>
          <t>No</t>
        </is>
      </c>
      <c r="J1302" t="inlineStr">
        <is>
          <t>0</t>
        </is>
      </c>
      <c r="K1302" t="inlineStr">
        <is>
          <t>Cabrol, Fernand, 1855-1937.</t>
        </is>
      </c>
      <c r="L1302" t="inlineStr">
        <is>
          <t>New York : P.J. Kennedy &amp; sons, [1931]</t>
        </is>
      </c>
      <c r="M1302" t="inlineStr">
        <is>
          <t>1931</t>
        </is>
      </c>
      <c r="O1302" t="inlineStr">
        <is>
          <t>eng</t>
        </is>
      </c>
      <c r="P1302" t="inlineStr">
        <is>
          <t>nyu</t>
        </is>
      </c>
      <c r="R1302" t="inlineStr">
        <is>
          <t xml:space="preserve">BX </t>
        </is>
      </c>
      <c r="S1302" t="n">
        <v>2</v>
      </c>
      <c r="T1302" t="n">
        <v>2</v>
      </c>
      <c r="U1302" t="inlineStr">
        <is>
          <t>1995-02-22</t>
        </is>
      </c>
      <c r="V1302" t="inlineStr">
        <is>
          <t>1995-02-22</t>
        </is>
      </c>
      <c r="W1302" t="inlineStr">
        <is>
          <t>1991-10-17</t>
        </is>
      </c>
      <c r="X1302" t="inlineStr">
        <is>
          <t>1991-10-17</t>
        </is>
      </c>
      <c r="Y1302" t="n">
        <v>48</v>
      </c>
      <c r="Z1302" t="n">
        <v>45</v>
      </c>
      <c r="AA1302" t="n">
        <v>52</v>
      </c>
      <c r="AB1302" t="n">
        <v>1</v>
      </c>
      <c r="AC1302" t="n">
        <v>1</v>
      </c>
      <c r="AD1302" t="n">
        <v>11</v>
      </c>
      <c r="AE1302" t="n">
        <v>12</v>
      </c>
      <c r="AF1302" t="n">
        <v>2</v>
      </c>
      <c r="AG1302" t="n">
        <v>2</v>
      </c>
      <c r="AH1302" t="n">
        <v>4</v>
      </c>
      <c r="AI1302" t="n">
        <v>4</v>
      </c>
      <c r="AJ1302" t="n">
        <v>7</v>
      </c>
      <c r="AK1302" t="n">
        <v>8</v>
      </c>
      <c r="AL1302" t="n">
        <v>0</v>
      </c>
      <c r="AM1302" t="n">
        <v>0</v>
      </c>
      <c r="AN1302" t="n">
        <v>0</v>
      </c>
      <c r="AO1302" t="n">
        <v>0</v>
      </c>
      <c r="AP1302" t="inlineStr">
        <is>
          <t>No</t>
        </is>
      </c>
      <c r="AQ1302" t="inlineStr">
        <is>
          <t>No</t>
        </is>
      </c>
      <c r="AS1302">
        <f>HYPERLINK("https://creighton-primo.hosted.exlibrisgroup.com/primo-explore/search?tab=default_tab&amp;search_scope=EVERYTHING&amp;vid=01CRU&amp;lang=en_US&amp;offset=0&amp;query=any,contains,991005111609702656","Catalog Record")</f>
        <v/>
      </c>
      <c r="AT1302">
        <f>HYPERLINK("http://www.worldcat.org/oclc/7441494","WorldCat Record")</f>
        <v/>
      </c>
      <c r="AU1302" t="inlineStr">
        <is>
          <t>7543525:eng</t>
        </is>
      </c>
      <c r="AV1302" t="inlineStr">
        <is>
          <t>7441494</t>
        </is>
      </c>
      <c r="AW1302" t="inlineStr">
        <is>
          <t>991005111609702656</t>
        </is>
      </c>
      <c r="AX1302" t="inlineStr">
        <is>
          <t>991005111609702656</t>
        </is>
      </c>
      <c r="AY1302" t="inlineStr">
        <is>
          <t>2260768170002656</t>
        </is>
      </c>
      <c r="AZ1302" t="inlineStr">
        <is>
          <t>BOOK</t>
        </is>
      </c>
      <c r="BC1302" t="inlineStr">
        <is>
          <t>32285000789528</t>
        </is>
      </c>
      <c r="BD1302" t="inlineStr">
        <is>
          <t>893789455</t>
        </is>
      </c>
    </row>
    <row r="1303">
      <c r="A1303" t="inlineStr">
        <is>
          <t>No</t>
        </is>
      </c>
      <c r="B1303" t="inlineStr">
        <is>
          <t>BX2230 .C5 1897</t>
        </is>
      </c>
      <c r="C1303" t="inlineStr">
        <is>
          <t>0                      BX 2230000C  5           1897</t>
        </is>
      </c>
      <c r="D1303" t="inlineStr">
        <is>
          <t>The sacrifice of the Mass worthily celebrated / from the French of the Rev. Father Chaignon, [translated] by L. de Goesbriand.</t>
        </is>
      </c>
      <c r="F1303" t="inlineStr">
        <is>
          <t>No</t>
        </is>
      </c>
      <c r="G1303" t="inlineStr">
        <is>
          <t>1</t>
        </is>
      </c>
      <c r="H1303" t="inlineStr">
        <is>
          <t>No</t>
        </is>
      </c>
      <c r="I1303" t="inlineStr">
        <is>
          <t>No</t>
        </is>
      </c>
      <c r="J1303" t="inlineStr">
        <is>
          <t>0</t>
        </is>
      </c>
      <c r="K1303" t="inlineStr">
        <is>
          <t>Chaignon, Pierre, 1791-1883.</t>
        </is>
      </c>
      <c r="L1303" t="inlineStr">
        <is>
          <t>New York : Benziger Bros., c1897.</t>
        </is>
      </c>
      <c r="M1303" t="inlineStr">
        <is>
          <t>1897</t>
        </is>
      </c>
      <c r="O1303" t="inlineStr">
        <is>
          <t>eng</t>
        </is>
      </c>
      <c r="P1303" t="inlineStr">
        <is>
          <t>nyu</t>
        </is>
      </c>
      <c r="R1303" t="inlineStr">
        <is>
          <t xml:space="preserve">BX </t>
        </is>
      </c>
      <c r="S1303" t="n">
        <v>2</v>
      </c>
      <c r="T1303" t="n">
        <v>2</v>
      </c>
      <c r="U1303" t="inlineStr">
        <is>
          <t>2001-01-24</t>
        </is>
      </c>
      <c r="V1303" t="inlineStr">
        <is>
          <t>2001-01-24</t>
        </is>
      </c>
      <c r="W1303" t="inlineStr">
        <is>
          <t>1991-10-17</t>
        </is>
      </c>
      <c r="X1303" t="inlineStr">
        <is>
          <t>1991-10-17</t>
        </is>
      </c>
      <c r="Y1303" t="n">
        <v>49</v>
      </c>
      <c r="Z1303" t="n">
        <v>34</v>
      </c>
      <c r="AA1303" t="n">
        <v>78</v>
      </c>
      <c r="AB1303" t="n">
        <v>1</v>
      </c>
      <c r="AC1303" t="n">
        <v>2</v>
      </c>
      <c r="AD1303" t="n">
        <v>8</v>
      </c>
      <c r="AE1303" t="n">
        <v>11</v>
      </c>
      <c r="AF1303" t="n">
        <v>0</v>
      </c>
      <c r="AG1303" t="n">
        <v>2</v>
      </c>
      <c r="AH1303" t="n">
        <v>3</v>
      </c>
      <c r="AI1303" t="n">
        <v>4</v>
      </c>
      <c r="AJ1303" t="n">
        <v>7</v>
      </c>
      <c r="AK1303" t="n">
        <v>9</v>
      </c>
      <c r="AL1303" t="n">
        <v>0</v>
      </c>
      <c r="AM1303" t="n">
        <v>0</v>
      </c>
      <c r="AN1303" t="n">
        <v>0</v>
      </c>
      <c r="AO1303" t="n">
        <v>0</v>
      </c>
      <c r="AP1303" t="inlineStr">
        <is>
          <t>Yes</t>
        </is>
      </c>
      <c r="AQ1303" t="inlineStr">
        <is>
          <t>No</t>
        </is>
      </c>
      <c r="AR1303">
        <f>HYPERLINK("http://catalog.hathitrust.org/Record/008413755","HathiTrust Record")</f>
        <v/>
      </c>
      <c r="AS1303">
        <f>HYPERLINK("https://creighton-primo.hosted.exlibrisgroup.com/primo-explore/search?tab=default_tab&amp;search_scope=EVERYTHING&amp;vid=01CRU&amp;lang=en_US&amp;offset=0&amp;query=any,contains,991004697389702656","Catalog Record")</f>
        <v/>
      </c>
      <c r="AT1303">
        <f>HYPERLINK("http://www.worldcat.org/oclc/4645351","WorldCat Record")</f>
        <v/>
      </c>
      <c r="AU1303" t="inlineStr">
        <is>
          <t>40455275:eng</t>
        </is>
      </c>
      <c r="AV1303" t="inlineStr">
        <is>
          <t>4645351</t>
        </is>
      </c>
      <c r="AW1303" t="inlineStr">
        <is>
          <t>991004697389702656</t>
        </is>
      </c>
      <c r="AX1303" t="inlineStr">
        <is>
          <t>991004697389702656</t>
        </is>
      </c>
      <c r="AY1303" t="inlineStr">
        <is>
          <t>2259107870002656</t>
        </is>
      </c>
      <c r="AZ1303" t="inlineStr">
        <is>
          <t>BOOK</t>
        </is>
      </c>
      <c r="BC1303" t="inlineStr">
        <is>
          <t>32285000789536</t>
        </is>
      </c>
      <c r="BD1303" t="inlineStr">
        <is>
          <t>893532702</t>
        </is>
      </c>
    </row>
    <row r="1304">
      <c r="A1304" t="inlineStr">
        <is>
          <t>No</t>
        </is>
      </c>
      <c r="B1304" t="inlineStr">
        <is>
          <t>BX2230 .D395 1951</t>
        </is>
      </c>
      <c r="C1304" t="inlineStr">
        <is>
          <t>0                      BX 2230000D  395         1951</t>
        </is>
      </c>
      <c r="D1304" t="inlineStr">
        <is>
          <t>Living the Mass : the Ordinary of the Mass and the ordinary of life / by F. Desplanques. Translated by Sister Maria Constance.</t>
        </is>
      </c>
      <c r="F1304" t="inlineStr">
        <is>
          <t>No</t>
        </is>
      </c>
      <c r="G1304" t="inlineStr">
        <is>
          <t>1</t>
        </is>
      </c>
      <c r="H1304" t="inlineStr">
        <is>
          <t>No</t>
        </is>
      </c>
      <c r="I1304" t="inlineStr">
        <is>
          <t>No</t>
        </is>
      </c>
      <c r="J1304" t="inlineStr">
        <is>
          <t>0</t>
        </is>
      </c>
      <c r="K1304" t="inlineStr">
        <is>
          <t>Desplanques, François.</t>
        </is>
      </c>
      <c r="L1304" t="inlineStr">
        <is>
          <t>Westminster, Md. : Newman Press, 1951.</t>
        </is>
      </c>
      <c r="M1304" t="inlineStr">
        <is>
          <t>1951</t>
        </is>
      </c>
      <c r="O1304" t="inlineStr">
        <is>
          <t>eng</t>
        </is>
      </c>
      <c r="P1304" t="inlineStr">
        <is>
          <t>mdu</t>
        </is>
      </c>
      <c r="R1304" t="inlineStr">
        <is>
          <t xml:space="preserve">BX </t>
        </is>
      </c>
      <c r="S1304" t="n">
        <v>3</v>
      </c>
      <c r="T1304" t="n">
        <v>3</v>
      </c>
      <c r="U1304" t="inlineStr">
        <is>
          <t>1993-08-01</t>
        </is>
      </c>
      <c r="V1304" t="inlineStr">
        <is>
          <t>1993-08-01</t>
        </is>
      </c>
      <c r="W1304" t="inlineStr">
        <is>
          <t>1991-10-17</t>
        </is>
      </c>
      <c r="X1304" t="inlineStr">
        <is>
          <t>1991-10-17</t>
        </is>
      </c>
      <c r="Y1304" t="n">
        <v>157</v>
      </c>
      <c r="Z1304" t="n">
        <v>142</v>
      </c>
      <c r="AA1304" t="n">
        <v>158</v>
      </c>
      <c r="AB1304" t="n">
        <v>2</v>
      </c>
      <c r="AC1304" t="n">
        <v>3</v>
      </c>
      <c r="AD1304" t="n">
        <v>26</v>
      </c>
      <c r="AE1304" t="n">
        <v>28</v>
      </c>
      <c r="AF1304" t="n">
        <v>9</v>
      </c>
      <c r="AG1304" t="n">
        <v>9</v>
      </c>
      <c r="AH1304" t="n">
        <v>7</v>
      </c>
      <c r="AI1304" t="n">
        <v>8</v>
      </c>
      <c r="AJ1304" t="n">
        <v>20</v>
      </c>
      <c r="AK1304" t="n">
        <v>22</v>
      </c>
      <c r="AL1304" t="n">
        <v>0</v>
      </c>
      <c r="AM1304" t="n">
        <v>0</v>
      </c>
      <c r="AN1304" t="n">
        <v>0</v>
      </c>
      <c r="AO1304" t="n">
        <v>0</v>
      </c>
      <c r="AP1304" t="inlineStr">
        <is>
          <t>No</t>
        </is>
      </c>
      <c r="AQ1304" t="inlineStr">
        <is>
          <t>No</t>
        </is>
      </c>
      <c r="AS1304">
        <f>HYPERLINK("https://creighton-primo.hosted.exlibrisgroup.com/primo-explore/search?tab=default_tab&amp;search_scope=EVERYTHING&amp;vid=01CRU&amp;lang=en_US&amp;offset=0&amp;query=any,contains,991003861319702656","Catalog Record")</f>
        <v/>
      </c>
      <c r="AT1304">
        <f>HYPERLINK("http://www.worldcat.org/oclc/1666995","WorldCat Record")</f>
        <v/>
      </c>
      <c r="AU1304" t="inlineStr">
        <is>
          <t>3900993829:eng</t>
        </is>
      </c>
      <c r="AV1304" t="inlineStr">
        <is>
          <t>1666995</t>
        </is>
      </c>
      <c r="AW1304" t="inlineStr">
        <is>
          <t>991003861319702656</t>
        </is>
      </c>
      <c r="AX1304" t="inlineStr">
        <is>
          <t>991003861319702656</t>
        </is>
      </c>
      <c r="AY1304" t="inlineStr">
        <is>
          <t>2270614820002656</t>
        </is>
      </c>
      <c r="AZ1304" t="inlineStr">
        <is>
          <t>BOOK</t>
        </is>
      </c>
      <c r="BC1304" t="inlineStr">
        <is>
          <t>32285000789619</t>
        </is>
      </c>
      <c r="BD1304" t="inlineStr">
        <is>
          <t>893343117</t>
        </is>
      </c>
    </row>
    <row r="1305">
      <c r="A1305" t="inlineStr">
        <is>
          <t>No</t>
        </is>
      </c>
      <c r="B1305" t="inlineStr">
        <is>
          <t>BX2230 .F73 1952</t>
        </is>
      </c>
      <c r="C1305" t="inlineStr">
        <is>
          <t>0                      BX 2230000F  73          1952</t>
        </is>
      </c>
      <c r="D1305" t="inlineStr">
        <is>
          <t>The spirituality of the Mass in the light of Thomistic theology / by Rev. Adolph Dominic Frenay.</t>
        </is>
      </c>
      <c r="F1305" t="inlineStr">
        <is>
          <t>No</t>
        </is>
      </c>
      <c r="G1305" t="inlineStr">
        <is>
          <t>1</t>
        </is>
      </c>
      <c r="H1305" t="inlineStr">
        <is>
          <t>No</t>
        </is>
      </c>
      <c r="I1305" t="inlineStr">
        <is>
          <t>No</t>
        </is>
      </c>
      <c r="J1305" t="inlineStr">
        <is>
          <t>0</t>
        </is>
      </c>
      <c r="K1305" t="inlineStr">
        <is>
          <t>Frenay, Adolph Dominic, 1889-</t>
        </is>
      </c>
      <c r="L1305" t="inlineStr">
        <is>
          <t>St. Louis : Herder, 1952.</t>
        </is>
      </c>
      <c r="M1305" t="inlineStr">
        <is>
          <t>1952</t>
        </is>
      </c>
      <c r="O1305" t="inlineStr">
        <is>
          <t>eng</t>
        </is>
      </c>
      <c r="P1305" t="inlineStr">
        <is>
          <t>mou</t>
        </is>
      </c>
      <c r="R1305" t="inlineStr">
        <is>
          <t xml:space="preserve">BX </t>
        </is>
      </c>
      <c r="S1305" t="n">
        <v>1</v>
      </c>
      <c r="T1305" t="n">
        <v>1</v>
      </c>
      <c r="U1305" t="inlineStr">
        <is>
          <t>1993-10-21</t>
        </is>
      </c>
      <c r="V1305" t="inlineStr">
        <is>
          <t>1993-10-21</t>
        </is>
      </c>
      <c r="W1305" t="inlineStr">
        <is>
          <t>1991-10-17</t>
        </is>
      </c>
      <c r="X1305" t="inlineStr">
        <is>
          <t>1991-10-17</t>
        </is>
      </c>
      <c r="Y1305" t="n">
        <v>118</v>
      </c>
      <c r="Z1305" t="n">
        <v>108</v>
      </c>
      <c r="AA1305" t="n">
        <v>141</v>
      </c>
      <c r="AB1305" t="n">
        <v>3</v>
      </c>
      <c r="AC1305" t="n">
        <v>3</v>
      </c>
      <c r="AD1305" t="n">
        <v>17</v>
      </c>
      <c r="AE1305" t="n">
        <v>20</v>
      </c>
      <c r="AF1305" t="n">
        <v>4</v>
      </c>
      <c r="AG1305" t="n">
        <v>6</v>
      </c>
      <c r="AH1305" t="n">
        <v>6</v>
      </c>
      <c r="AI1305" t="n">
        <v>6</v>
      </c>
      <c r="AJ1305" t="n">
        <v>11</v>
      </c>
      <c r="AK1305" t="n">
        <v>13</v>
      </c>
      <c r="AL1305" t="n">
        <v>0</v>
      </c>
      <c r="AM1305" t="n">
        <v>0</v>
      </c>
      <c r="AN1305" t="n">
        <v>0</v>
      </c>
      <c r="AO1305" t="n">
        <v>0</v>
      </c>
      <c r="AP1305" t="inlineStr">
        <is>
          <t>No</t>
        </is>
      </c>
      <c r="AQ1305" t="inlineStr">
        <is>
          <t>No</t>
        </is>
      </c>
      <c r="AS1305">
        <f>HYPERLINK("https://creighton-primo.hosted.exlibrisgroup.com/primo-explore/search?tab=default_tab&amp;search_scope=EVERYTHING&amp;vid=01CRU&amp;lang=en_US&amp;offset=0&amp;query=any,contains,991004548619702656","Catalog Record")</f>
        <v/>
      </c>
      <c r="AT1305">
        <f>HYPERLINK("http://www.worldcat.org/oclc/3925362","WorldCat Record")</f>
        <v/>
      </c>
      <c r="AU1305" t="inlineStr">
        <is>
          <t>4207945:eng</t>
        </is>
      </c>
      <c r="AV1305" t="inlineStr">
        <is>
          <t>3925362</t>
        </is>
      </c>
      <c r="AW1305" t="inlineStr">
        <is>
          <t>991004548619702656</t>
        </is>
      </c>
      <c r="AX1305" t="inlineStr">
        <is>
          <t>991004548619702656</t>
        </is>
      </c>
      <c r="AY1305" t="inlineStr">
        <is>
          <t>2263299490002656</t>
        </is>
      </c>
      <c r="AZ1305" t="inlineStr">
        <is>
          <t>BOOK</t>
        </is>
      </c>
      <c r="BC1305" t="inlineStr">
        <is>
          <t>32285000789643</t>
        </is>
      </c>
      <c r="BD1305" t="inlineStr">
        <is>
          <t>893624852</t>
        </is>
      </c>
    </row>
    <row r="1306">
      <c r="A1306" t="inlineStr">
        <is>
          <t>No</t>
        </is>
      </c>
      <c r="B1306" t="inlineStr">
        <is>
          <t>BX2230 .G5 1949</t>
        </is>
      </c>
      <c r="C1306" t="inlineStr">
        <is>
          <t>0                      BX 2230000G  5           1949</t>
        </is>
      </c>
      <c r="D1306" t="inlineStr">
        <is>
          <t>The holy sacrifice of the Mass, dogmatically, liturgically, and ascetically explained / by Rev. Dr. Nicholas Gihr ; translated from the German.</t>
        </is>
      </c>
      <c r="F1306" t="inlineStr">
        <is>
          <t>No</t>
        </is>
      </c>
      <c r="G1306" t="inlineStr">
        <is>
          <t>1</t>
        </is>
      </c>
      <c r="H1306" t="inlineStr">
        <is>
          <t>No</t>
        </is>
      </c>
      <c r="I1306" t="inlineStr">
        <is>
          <t>No</t>
        </is>
      </c>
      <c r="J1306" t="inlineStr">
        <is>
          <t>0</t>
        </is>
      </c>
      <c r="K1306" t="inlineStr">
        <is>
          <t>Gihr, Nikolaus, 1839-1924.</t>
        </is>
      </c>
      <c r="L1306" t="inlineStr">
        <is>
          <t>St. Louis : B. Herder Book Co., 1949, 1951 printing.</t>
        </is>
      </c>
      <c r="M1306" t="inlineStr">
        <is>
          <t>1949</t>
        </is>
      </c>
      <c r="O1306" t="inlineStr">
        <is>
          <t>eng</t>
        </is>
      </c>
      <c r="P1306" t="inlineStr">
        <is>
          <t>___</t>
        </is>
      </c>
      <c r="R1306" t="inlineStr">
        <is>
          <t xml:space="preserve">BX </t>
        </is>
      </c>
      <c r="S1306" t="n">
        <v>3</v>
      </c>
      <c r="T1306" t="n">
        <v>3</v>
      </c>
      <c r="U1306" t="inlineStr">
        <is>
          <t>2009-07-08</t>
        </is>
      </c>
      <c r="V1306" t="inlineStr">
        <is>
          <t>2009-07-08</t>
        </is>
      </c>
      <c r="W1306" t="inlineStr">
        <is>
          <t>1991-10-17</t>
        </is>
      </c>
      <c r="X1306" t="inlineStr">
        <is>
          <t>1991-10-17</t>
        </is>
      </c>
      <c r="Y1306" t="n">
        <v>133</v>
      </c>
      <c r="Z1306" t="n">
        <v>119</v>
      </c>
      <c r="AA1306" t="n">
        <v>284</v>
      </c>
      <c r="AB1306" t="n">
        <v>3</v>
      </c>
      <c r="AC1306" t="n">
        <v>6</v>
      </c>
      <c r="AD1306" t="n">
        <v>18</v>
      </c>
      <c r="AE1306" t="n">
        <v>37</v>
      </c>
      <c r="AF1306" t="n">
        <v>5</v>
      </c>
      <c r="AG1306" t="n">
        <v>12</v>
      </c>
      <c r="AH1306" t="n">
        <v>5</v>
      </c>
      <c r="AI1306" t="n">
        <v>9</v>
      </c>
      <c r="AJ1306" t="n">
        <v>13</v>
      </c>
      <c r="AK1306" t="n">
        <v>25</v>
      </c>
      <c r="AL1306" t="n">
        <v>0</v>
      </c>
      <c r="AM1306" t="n">
        <v>2</v>
      </c>
      <c r="AN1306" t="n">
        <v>0</v>
      </c>
      <c r="AO1306" t="n">
        <v>0</v>
      </c>
      <c r="AP1306" t="inlineStr">
        <is>
          <t>No</t>
        </is>
      </c>
      <c r="AQ1306" t="inlineStr">
        <is>
          <t>No</t>
        </is>
      </c>
      <c r="AS1306">
        <f>HYPERLINK("https://creighton-primo.hosted.exlibrisgroup.com/primo-explore/search?tab=default_tab&amp;search_scope=EVERYTHING&amp;vid=01CRU&amp;lang=en_US&amp;offset=0&amp;query=any,contains,991003723239702656","Catalog Record")</f>
        <v/>
      </c>
      <c r="AT1306">
        <f>HYPERLINK("http://www.worldcat.org/oclc/1367813","WorldCat Record")</f>
        <v/>
      </c>
      <c r="AU1306" t="inlineStr">
        <is>
          <t>3901034533:eng</t>
        </is>
      </c>
      <c r="AV1306" t="inlineStr">
        <is>
          <t>1367813</t>
        </is>
      </c>
      <c r="AW1306" t="inlineStr">
        <is>
          <t>991003723239702656</t>
        </is>
      </c>
      <c r="AX1306" t="inlineStr">
        <is>
          <t>991003723239702656</t>
        </is>
      </c>
      <c r="AY1306" t="inlineStr">
        <is>
          <t>2256575940002656</t>
        </is>
      </c>
      <c r="AZ1306" t="inlineStr">
        <is>
          <t>BOOK</t>
        </is>
      </c>
      <c r="BC1306" t="inlineStr">
        <is>
          <t>32285000789668</t>
        </is>
      </c>
      <c r="BD1306" t="inlineStr">
        <is>
          <t>893228373</t>
        </is>
      </c>
    </row>
    <row r="1307">
      <c r="A1307" t="inlineStr">
        <is>
          <t>No</t>
        </is>
      </c>
      <c r="B1307" t="inlineStr">
        <is>
          <t>BX2230 .J833 1956</t>
        </is>
      </c>
      <c r="C1307" t="inlineStr">
        <is>
          <t>0                      BX 2230000J  833         1956</t>
        </is>
      </c>
      <c r="D1307" t="inlineStr">
        <is>
          <t>The Sacrifice of the Church : the meaning of the Mass / by Joseph A. Jungmann. Translated from the German by Clifford Howell.</t>
        </is>
      </c>
      <c r="F1307" t="inlineStr">
        <is>
          <t>No</t>
        </is>
      </c>
      <c r="G1307" t="inlineStr">
        <is>
          <t>1</t>
        </is>
      </c>
      <c r="H1307" t="inlineStr">
        <is>
          <t>No</t>
        </is>
      </c>
      <c r="I1307" t="inlineStr">
        <is>
          <t>No</t>
        </is>
      </c>
      <c r="J1307" t="inlineStr">
        <is>
          <t>0</t>
        </is>
      </c>
      <c r="K1307" t="inlineStr">
        <is>
          <t>Jungmann, Josef A. (Josef Andreas), 1889-1975.</t>
        </is>
      </c>
      <c r="L1307" t="inlineStr">
        <is>
          <t>Collegeville, Minn. : Liturgical Press, [1956?]</t>
        </is>
      </c>
      <c r="M1307" t="inlineStr">
        <is>
          <t>1956</t>
        </is>
      </c>
      <c r="O1307" t="inlineStr">
        <is>
          <t>eng</t>
        </is>
      </c>
      <c r="P1307" t="inlineStr">
        <is>
          <t>mnu</t>
        </is>
      </c>
      <c r="R1307" t="inlineStr">
        <is>
          <t xml:space="preserve">BX </t>
        </is>
      </c>
      <c r="S1307" t="n">
        <v>5</v>
      </c>
      <c r="T1307" t="n">
        <v>5</v>
      </c>
      <c r="U1307" t="inlineStr">
        <is>
          <t>2007-10-15</t>
        </is>
      </c>
      <c r="V1307" t="inlineStr">
        <is>
          <t>2007-10-15</t>
        </is>
      </c>
      <c r="W1307" t="inlineStr">
        <is>
          <t>1991-10-18</t>
        </is>
      </c>
      <c r="X1307" t="inlineStr">
        <is>
          <t>1991-10-18</t>
        </is>
      </c>
      <c r="Y1307" t="n">
        <v>116</v>
      </c>
      <c r="Z1307" t="n">
        <v>107</v>
      </c>
      <c r="AA1307" t="n">
        <v>127</v>
      </c>
      <c r="AB1307" t="n">
        <v>3</v>
      </c>
      <c r="AC1307" t="n">
        <v>3</v>
      </c>
      <c r="AD1307" t="n">
        <v>25</v>
      </c>
      <c r="AE1307" t="n">
        <v>26</v>
      </c>
      <c r="AF1307" t="n">
        <v>10</v>
      </c>
      <c r="AG1307" t="n">
        <v>10</v>
      </c>
      <c r="AH1307" t="n">
        <v>5</v>
      </c>
      <c r="AI1307" t="n">
        <v>5</v>
      </c>
      <c r="AJ1307" t="n">
        <v>20</v>
      </c>
      <c r="AK1307" t="n">
        <v>21</v>
      </c>
      <c r="AL1307" t="n">
        <v>0</v>
      </c>
      <c r="AM1307" t="n">
        <v>0</v>
      </c>
      <c r="AN1307" t="n">
        <v>0</v>
      </c>
      <c r="AO1307" t="n">
        <v>0</v>
      </c>
      <c r="AP1307" t="inlineStr">
        <is>
          <t>No</t>
        </is>
      </c>
      <c r="AQ1307" t="inlineStr">
        <is>
          <t>No</t>
        </is>
      </c>
      <c r="AS1307">
        <f>HYPERLINK("https://creighton-primo.hosted.exlibrisgroup.com/primo-explore/search?tab=default_tab&amp;search_scope=EVERYTHING&amp;vid=01CRU&amp;lang=en_US&amp;offset=0&amp;query=any,contains,991004050259702656","Catalog Record")</f>
        <v/>
      </c>
      <c r="AT1307">
        <f>HYPERLINK("http://www.worldcat.org/oclc/2212338","WorldCat Record")</f>
        <v/>
      </c>
      <c r="AU1307" t="inlineStr">
        <is>
          <t>23367685:eng</t>
        </is>
      </c>
      <c r="AV1307" t="inlineStr">
        <is>
          <t>2212338</t>
        </is>
      </c>
      <c r="AW1307" t="inlineStr">
        <is>
          <t>991004050259702656</t>
        </is>
      </c>
      <c r="AX1307" t="inlineStr">
        <is>
          <t>991004050259702656</t>
        </is>
      </c>
      <c r="AY1307" t="inlineStr">
        <is>
          <t>2255542990002656</t>
        </is>
      </c>
      <c r="AZ1307" t="inlineStr">
        <is>
          <t>BOOK</t>
        </is>
      </c>
      <c r="BC1307" t="inlineStr">
        <is>
          <t>32285000789759</t>
        </is>
      </c>
      <c r="BD1307" t="inlineStr">
        <is>
          <t>893506304</t>
        </is>
      </c>
    </row>
    <row r="1308">
      <c r="A1308" t="inlineStr">
        <is>
          <t>No</t>
        </is>
      </c>
      <c r="B1308" t="inlineStr">
        <is>
          <t>BX2230 .K55 1948</t>
        </is>
      </c>
      <c r="C1308" t="inlineStr">
        <is>
          <t>0                      BX 2230000K  55          1948</t>
        </is>
      </c>
      <c r="D1308" t="inlineStr">
        <is>
          <t>The mass in slow motion / by Ronald Knox.</t>
        </is>
      </c>
      <c r="F1308" t="inlineStr">
        <is>
          <t>No</t>
        </is>
      </c>
      <c r="G1308" t="inlineStr">
        <is>
          <t>1</t>
        </is>
      </c>
      <c r="H1308" t="inlineStr">
        <is>
          <t>No</t>
        </is>
      </c>
      <c r="I1308" t="inlineStr">
        <is>
          <t>No</t>
        </is>
      </c>
      <c r="J1308" t="inlineStr">
        <is>
          <t>0</t>
        </is>
      </c>
      <c r="K1308" t="inlineStr">
        <is>
          <t>Knox, Ronald Arbuthnott, 1888-1957.</t>
        </is>
      </c>
      <c r="L1308" t="inlineStr">
        <is>
          <t>New York : Sheed &amp; Ward, 1948.</t>
        </is>
      </c>
      <c r="M1308" t="inlineStr">
        <is>
          <t>1948</t>
        </is>
      </c>
      <c r="O1308" t="inlineStr">
        <is>
          <t>eng</t>
        </is>
      </c>
      <c r="P1308" t="inlineStr">
        <is>
          <t xml:space="preserve">xx </t>
        </is>
      </c>
      <c r="R1308" t="inlineStr">
        <is>
          <t xml:space="preserve">BX </t>
        </is>
      </c>
      <c r="S1308" t="n">
        <v>5</v>
      </c>
      <c r="T1308" t="n">
        <v>5</v>
      </c>
      <c r="U1308" t="inlineStr">
        <is>
          <t>2010-10-05</t>
        </is>
      </c>
      <c r="V1308" t="inlineStr">
        <is>
          <t>2010-10-05</t>
        </is>
      </c>
      <c r="W1308" t="inlineStr">
        <is>
          <t>1991-10-18</t>
        </is>
      </c>
      <c r="X1308" t="inlineStr">
        <is>
          <t>1991-10-18</t>
        </is>
      </c>
      <c r="Y1308" t="n">
        <v>360</v>
      </c>
      <c r="Z1308" t="n">
        <v>327</v>
      </c>
      <c r="AA1308" t="n">
        <v>355</v>
      </c>
      <c r="AB1308" t="n">
        <v>4</v>
      </c>
      <c r="AC1308" t="n">
        <v>4</v>
      </c>
      <c r="AD1308" t="n">
        <v>32</v>
      </c>
      <c r="AE1308" t="n">
        <v>33</v>
      </c>
      <c r="AF1308" t="n">
        <v>14</v>
      </c>
      <c r="AG1308" t="n">
        <v>14</v>
      </c>
      <c r="AH1308" t="n">
        <v>4</v>
      </c>
      <c r="AI1308" t="n">
        <v>5</v>
      </c>
      <c r="AJ1308" t="n">
        <v>22</v>
      </c>
      <c r="AK1308" t="n">
        <v>23</v>
      </c>
      <c r="AL1308" t="n">
        <v>1</v>
      </c>
      <c r="AM1308" t="n">
        <v>1</v>
      </c>
      <c r="AN1308" t="n">
        <v>0</v>
      </c>
      <c r="AO1308" t="n">
        <v>0</v>
      </c>
      <c r="AP1308" t="inlineStr">
        <is>
          <t>No</t>
        </is>
      </c>
      <c r="AQ1308" t="inlineStr">
        <is>
          <t>Yes</t>
        </is>
      </c>
      <c r="AR1308">
        <f>HYPERLINK("http://catalog.hathitrust.org/Record/001401427","HathiTrust Record")</f>
        <v/>
      </c>
      <c r="AS1308">
        <f>HYPERLINK("https://creighton-primo.hosted.exlibrisgroup.com/primo-explore/search?tab=default_tab&amp;search_scope=EVERYTHING&amp;vid=01CRU&amp;lang=en_US&amp;offset=0&amp;query=any,contains,991003381109702656","Catalog Record")</f>
        <v/>
      </c>
      <c r="AT1308">
        <f>HYPERLINK("http://www.worldcat.org/oclc/917673","WorldCat Record")</f>
        <v/>
      </c>
      <c r="AU1308" t="inlineStr">
        <is>
          <t>54013918:eng</t>
        </is>
      </c>
      <c r="AV1308" t="inlineStr">
        <is>
          <t>917673</t>
        </is>
      </c>
      <c r="AW1308" t="inlineStr">
        <is>
          <t>991003381109702656</t>
        </is>
      </c>
      <c r="AX1308" t="inlineStr">
        <is>
          <t>991003381109702656</t>
        </is>
      </c>
      <c r="AY1308" t="inlineStr">
        <is>
          <t>2260048990002656</t>
        </is>
      </c>
      <c r="AZ1308" t="inlineStr">
        <is>
          <t>BOOK</t>
        </is>
      </c>
      <c r="BC1308" t="inlineStr">
        <is>
          <t>32285000789767</t>
        </is>
      </c>
      <c r="BD1308" t="inlineStr">
        <is>
          <t>893422524</t>
        </is>
      </c>
    </row>
    <row r="1309">
      <c r="A1309" t="inlineStr">
        <is>
          <t>No</t>
        </is>
      </c>
      <c r="B1309" t="inlineStr">
        <is>
          <t>BX2230 .L42 1949</t>
        </is>
      </c>
      <c r="C1309" t="inlineStr">
        <is>
          <t>0                      BX 2230000L  42          1949</t>
        </is>
      </c>
      <c r="D1309" t="inlineStr">
        <is>
          <t>The mass, a historical commentary / by Bede Lebbe.</t>
        </is>
      </c>
      <c r="F1309" t="inlineStr">
        <is>
          <t>No</t>
        </is>
      </c>
      <c r="G1309" t="inlineStr">
        <is>
          <t>1</t>
        </is>
      </c>
      <c r="H1309" t="inlineStr">
        <is>
          <t>No</t>
        </is>
      </c>
      <c r="I1309" t="inlineStr">
        <is>
          <t>No</t>
        </is>
      </c>
      <c r="J1309" t="inlineStr">
        <is>
          <t>0</t>
        </is>
      </c>
      <c r="K1309" t="inlineStr">
        <is>
          <t>Lebbe, Bede.</t>
        </is>
      </c>
      <c r="L1309" t="inlineStr">
        <is>
          <t>Westminster, Md. : Newman Press, 1949.</t>
        </is>
      </c>
      <c r="M1309" t="inlineStr">
        <is>
          <t>1949</t>
        </is>
      </c>
      <c r="O1309" t="inlineStr">
        <is>
          <t>eng</t>
        </is>
      </c>
      <c r="P1309" t="inlineStr">
        <is>
          <t>mdu</t>
        </is>
      </c>
      <c r="R1309" t="inlineStr">
        <is>
          <t xml:space="preserve">BX </t>
        </is>
      </c>
      <c r="S1309" t="n">
        <v>2</v>
      </c>
      <c r="T1309" t="n">
        <v>2</v>
      </c>
      <c r="U1309" t="inlineStr">
        <is>
          <t>1993-10-21</t>
        </is>
      </c>
      <c r="V1309" t="inlineStr">
        <is>
          <t>1993-10-21</t>
        </is>
      </c>
      <c r="W1309" t="inlineStr">
        <is>
          <t>1991-10-18</t>
        </is>
      </c>
      <c r="X1309" t="inlineStr">
        <is>
          <t>1991-10-18</t>
        </is>
      </c>
      <c r="Y1309" t="n">
        <v>90</v>
      </c>
      <c r="Z1309" t="n">
        <v>84</v>
      </c>
      <c r="AA1309" t="n">
        <v>116</v>
      </c>
      <c r="AB1309" t="n">
        <v>2</v>
      </c>
      <c r="AC1309" t="n">
        <v>4</v>
      </c>
      <c r="AD1309" t="n">
        <v>10</v>
      </c>
      <c r="AE1309" t="n">
        <v>17</v>
      </c>
      <c r="AF1309" t="n">
        <v>3</v>
      </c>
      <c r="AG1309" t="n">
        <v>5</v>
      </c>
      <c r="AH1309" t="n">
        <v>4</v>
      </c>
      <c r="AI1309" t="n">
        <v>6</v>
      </c>
      <c r="AJ1309" t="n">
        <v>8</v>
      </c>
      <c r="AK1309" t="n">
        <v>12</v>
      </c>
      <c r="AL1309" t="n">
        <v>0</v>
      </c>
      <c r="AM1309" t="n">
        <v>1</v>
      </c>
      <c r="AN1309" t="n">
        <v>0</v>
      </c>
      <c r="AO1309" t="n">
        <v>0</v>
      </c>
      <c r="AP1309" t="inlineStr">
        <is>
          <t>No</t>
        </is>
      </c>
      <c r="AQ1309" t="inlineStr">
        <is>
          <t>Yes</t>
        </is>
      </c>
      <c r="AR1309">
        <f>HYPERLINK("http://catalog.hathitrust.org/Record/009000218","HathiTrust Record")</f>
        <v/>
      </c>
      <c r="AS1309">
        <f>HYPERLINK("https://creighton-primo.hosted.exlibrisgroup.com/primo-explore/search?tab=default_tab&amp;search_scope=EVERYTHING&amp;vid=01CRU&amp;lang=en_US&amp;offset=0&amp;query=any,contains,991004255839702656","Catalog Record")</f>
        <v/>
      </c>
      <c r="AT1309">
        <f>HYPERLINK("http://www.worldcat.org/oclc/2824234","WorldCat Record")</f>
        <v/>
      </c>
      <c r="AU1309" t="inlineStr">
        <is>
          <t>314063970:eng</t>
        </is>
      </c>
      <c r="AV1309" t="inlineStr">
        <is>
          <t>2824234</t>
        </is>
      </c>
      <c r="AW1309" t="inlineStr">
        <is>
          <t>991004255839702656</t>
        </is>
      </c>
      <c r="AX1309" t="inlineStr">
        <is>
          <t>991004255839702656</t>
        </is>
      </c>
      <c r="AY1309" t="inlineStr">
        <is>
          <t>2255589490002656</t>
        </is>
      </c>
      <c r="AZ1309" t="inlineStr">
        <is>
          <t>BOOK</t>
        </is>
      </c>
      <c r="BC1309" t="inlineStr">
        <is>
          <t>32285000789791</t>
        </is>
      </c>
      <c r="BD1309" t="inlineStr">
        <is>
          <t>893869498</t>
        </is>
      </c>
    </row>
    <row r="1310">
      <c r="A1310" t="inlineStr">
        <is>
          <t>No</t>
        </is>
      </c>
      <c r="B1310" t="inlineStr">
        <is>
          <t>BX2230 .M3713 1928</t>
        </is>
      </c>
      <c r="C1310" t="inlineStr">
        <is>
          <t>0                      BX 2230000M  3713        1928</t>
        </is>
      </c>
      <c r="D1310" t="inlineStr">
        <is>
          <t>The Roman mass / by Pierre Maranget ; translated by Joseph Howard.</t>
        </is>
      </c>
      <c r="F1310" t="inlineStr">
        <is>
          <t>No</t>
        </is>
      </c>
      <c r="G1310" t="inlineStr">
        <is>
          <t>1</t>
        </is>
      </c>
      <c r="H1310" t="inlineStr">
        <is>
          <t>No</t>
        </is>
      </c>
      <c r="I1310" t="inlineStr">
        <is>
          <t>No</t>
        </is>
      </c>
      <c r="J1310" t="inlineStr">
        <is>
          <t>0</t>
        </is>
      </c>
      <c r="K1310" t="inlineStr">
        <is>
          <t>Maranget, Pierre.</t>
        </is>
      </c>
      <c r="L1310" t="inlineStr">
        <is>
          <t>London : Sheed and Ward ; St. Louis, Mo. : B. Herder Book Co., [1928]</t>
        </is>
      </c>
      <c r="M1310" t="inlineStr">
        <is>
          <t>1928</t>
        </is>
      </c>
      <c r="O1310" t="inlineStr">
        <is>
          <t>eng</t>
        </is>
      </c>
      <c r="P1310" t="inlineStr">
        <is>
          <t>enk</t>
        </is>
      </c>
      <c r="R1310" t="inlineStr">
        <is>
          <t xml:space="preserve">BX </t>
        </is>
      </c>
      <c r="S1310" t="n">
        <v>2</v>
      </c>
      <c r="T1310" t="n">
        <v>2</v>
      </c>
      <c r="U1310" t="inlineStr">
        <is>
          <t>1995-02-22</t>
        </is>
      </c>
      <c r="V1310" t="inlineStr">
        <is>
          <t>1995-02-22</t>
        </is>
      </c>
      <c r="W1310" t="inlineStr">
        <is>
          <t>1991-10-18</t>
        </is>
      </c>
      <c r="X1310" t="inlineStr">
        <is>
          <t>1991-10-18</t>
        </is>
      </c>
      <c r="Y1310" t="n">
        <v>33</v>
      </c>
      <c r="Z1310" t="n">
        <v>23</v>
      </c>
      <c r="AA1310" t="n">
        <v>23</v>
      </c>
      <c r="AB1310" t="n">
        <v>2</v>
      </c>
      <c r="AC1310" t="n">
        <v>2</v>
      </c>
      <c r="AD1310" t="n">
        <v>5</v>
      </c>
      <c r="AE1310" t="n">
        <v>5</v>
      </c>
      <c r="AF1310" t="n">
        <v>0</v>
      </c>
      <c r="AG1310" t="n">
        <v>0</v>
      </c>
      <c r="AH1310" t="n">
        <v>2</v>
      </c>
      <c r="AI1310" t="n">
        <v>2</v>
      </c>
      <c r="AJ1310" t="n">
        <v>4</v>
      </c>
      <c r="AK1310" t="n">
        <v>4</v>
      </c>
      <c r="AL1310" t="n">
        <v>0</v>
      </c>
      <c r="AM1310" t="n">
        <v>0</v>
      </c>
      <c r="AN1310" t="n">
        <v>0</v>
      </c>
      <c r="AO1310" t="n">
        <v>0</v>
      </c>
      <c r="AP1310" t="inlineStr">
        <is>
          <t>No</t>
        </is>
      </c>
      <c r="AQ1310" t="inlineStr">
        <is>
          <t>No</t>
        </is>
      </c>
      <c r="AS1310">
        <f>HYPERLINK("https://creighton-primo.hosted.exlibrisgroup.com/primo-explore/search?tab=default_tab&amp;search_scope=EVERYTHING&amp;vid=01CRU&amp;lang=en_US&amp;offset=0&amp;query=any,contains,991001008589702656","Catalog Record")</f>
        <v/>
      </c>
      <c r="AT1310">
        <f>HYPERLINK("http://www.worldcat.org/oclc/15256442","WorldCat Record")</f>
        <v/>
      </c>
      <c r="AU1310" t="inlineStr">
        <is>
          <t>9380875455:eng</t>
        </is>
      </c>
      <c r="AV1310" t="inlineStr">
        <is>
          <t>15256442</t>
        </is>
      </c>
      <c r="AW1310" t="inlineStr">
        <is>
          <t>991001008589702656</t>
        </is>
      </c>
      <c r="AX1310" t="inlineStr">
        <is>
          <t>991001008589702656</t>
        </is>
      </c>
      <c r="AY1310" t="inlineStr">
        <is>
          <t>2258948890002656</t>
        </is>
      </c>
      <c r="AZ1310" t="inlineStr">
        <is>
          <t>BOOK</t>
        </is>
      </c>
      <c r="BC1310" t="inlineStr">
        <is>
          <t>32285000789817</t>
        </is>
      </c>
      <c r="BD1310" t="inlineStr">
        <is>
          <t>893778472</t>
        </is>
      </c>
    </row>
    <row r="1311">
      <c r="A1311" t="inlineStr">
        <is>
          <t>No</t>
        </is>
      </c>
      <c r="B1311" t="inlineStr">
        <is>
          <t>BX2230 .M6 1933</t>
        </is>
      </c>
      <c r="C1311" t="inlineStr">
        <is>
          <t>0                      BX 2230000M  6           1933</t>
        </is>
      </c>
      <c r="D1311" t="inlineStr">
        <is>
          <t>The mass explained to children / by Dr. Maria Montessori.</t>
        </is>
      </c>
      <c r="F1311" t="inlineStr">
        <is>
          <t>No</t>
        </is>
      </c>
      <c r="G1311" t="inlineStr">
        <is>
          <t>1</t>
        </is>
      </c>
      <c r="H1311" t="inlineStr">
        <is>
          <t>No</t>
        </is>
      </c>
      <c r="I1311" t="inlineStr">
        <is>
          <t>No</t>
        </is>
      </c>
      <c r="J1311" t="inlineStr">
        <is>
          <t>0</t>
        </is>
      </c>
      <c r="K1311" t="inlineStr">
        <is>
          <t>Montessori, Maria, 1870-1952.</t>
        </is>
      </c>
      <c r="L1311" t="inlineStr">
        <is>
          <t>London : Sheed &amp; Ward, 1933.</t>
        </is>
      </c>
      <c r="M1311" t="inlineStr">
        <is>
          <t>1932</t>
        </is>
      </c>
      <c r="O1311" t="inlineStr">
        <is>
          <t>eng</t>
        </is>
      </c>
      <c r="P1311" t="inlineStr">
        <is>
          <t>enk</t>
        </is>
      </c>
      <c r="R1311" t="inlineStr">
        <is>
          <t xml:space="preserve">BX </t>
        </is>
      </c>
      <c r="S1311" t="n">
        <v>8</v>
      </c>
      <c r="T1311" t="n">
        <v>8</v>
      </c>
      <c r="U1311" t="inlineStr">
        <is>
          <t>1995-11-28</t>
        </is>
      </c>
      <c r="V1311" t="inlineStr">
        <is>
          <t>1995-11-28</t>
        </is>
      </c>
      <c r="W1311" t="inlineStr">
        <is>
          <t>1991-10-18</t>
        </is>
      </c>
      <c r="X1311" t="inlineStr">
        <is>
          <t>1991-10-18</t>
        </is>
      </c>
      <c r="Y1311" t="n">
        <v>32</v>
      </c>
      <c r="Z1311" t="n">
        <v>27</v>
      </c>
      <c r="AA1311" t="n">
        <v>103</v>
      </c>
      <c r="AB1311" t="n">
        <v>1</v>
      </c>
      <c r="AC1311" t="n">
        <v>2</v>
      </c>
      <c r="AD1311" t="n">
        <v>4</v>
      </c>
      <c r="AE1311" t="n">
        <v>17</v>
      </c>
      <c r="AF1311" t="n">
        <v>0</v>
      </c>
      <c r="AG1311" t="n">
        <v>4</v>
      </c>
      <c r="AH1311" t="n">
        <v>2</v>
      </c>
      <c r="AI1311" t="n">
        <v>3</v>
      </c>
      <c r="AJ1311" t="n">
        <v>3</v>
      </c>
      <c r="AK1311" t="n">
        <v>14</v>
      </c>
      <c r="AL1311" t="n">
        <v>0</v>
      </c>
      <c r="AM1311" t="n">
        <v>0</v>
      </c>
      <c r="AN1311" t="n">
        <v>0</v>
      </c>
      <c r="AO1311" t="n">
        <v>0</v>
      </c>
      <c r="AP1311" t="inlineStr">
        <is>
          <t>No</t>
        </is>
      </c>
      <c r="AQ1311" t="inlineStr">
        <is>
          <t>No</t>
        </is>
      </c>
      <c r="AS1311">
        <f>HYPERLINK("https://creighton-primo.hosted.exlibrisgroup.com/primo-explore/search?tab=default_tab&amp;search_scope=EVERYTHING&amp;vid=01CRU&amp;lang=en_US&amp;offset=0&amp;query=any,contains,991005074209702656","Catalog Record")</f>
        <v/>
      </c>
      <c r="AT1311">
        <f>HYPERLINK("http://www.worldcat.org/oclc/7084425","WorldCat Record")</f>
        <v/>
      </c>
      <c r="AU1311" t="inlineStr">
        <is>
          <t>3580013:eng</t>
        </is>
      </c>
      <c r="AV1311" t="inlineStr">
        <is>
          <t>7084425</t>
        </is>
      </c>
      <c r="AW1311" t="inlineStr">
        <is>
          <t>991005074209702656</t>
        </is>
      </c>
      <c r="AX1311" t="inlineStr">
        <is>
          <t>991005074209702656</t>
        </is>
      </c>
      <c r="AY1311" t="inlineStr">
        <is>
          <t>2269151130002656</t>
        </is>
      </c>
      <c r="AZ1311" t="inlineStr">
        <is>
          <t>BOOK</t>
        </is>
      </c>
      <c r="BC1311" t="inlineStr">
        <is>
          <t>32285000789825</t>
        </is>
      </c>
      <c r="BD1311" t="inlineStr">
        <is>
          <t>893776783</t>
        </is>
      </c>
    </row>
    <row r="1312">
      <c r="A1312" t="inlineStr">
        <is>
          <t>No</t>
        </is>
      </c>
      <c r="B1312" t="inlineStr">
        <is>
          <t>BX2230 .M8 1956</t>
        </is>
      </c>
      <c r="C1312" t="inlineStr">
        <is>
          <t>0                      BX 2230000M  8           1956</t>
        </is>
      </c>
      <c r="D1312" t="inlineStr">
        <is>
          <t>The mass and liturgical reform / John L. Murphy.</t>
        </is>
      </c>
      <c r="F1312" t="inlineStr">
        <is>
          <t>No</t>
        </is>
      </c>
      <c r="G1312" t="inlineStr">
        <is>
          <t>1</t>
        </is>
      </c>
      <c r="H1312" t="inlineStr">
        <is>
          <t>No</t>
        </is>
      </c>
      <c r="I1312" t="inlineStr">
        <is>
          <t>No</t>
        </is>
      </c>
      <c r="J1312" t="inlineStr">
        <is>
          <t>0</t>
        </is>
      </c>
      <c r="K1312" t="inlineStr">
        <is>
          <t>Murphy, John L. (John Lawrence), 1924-1984.</t>
        </is>
      </c>
      <c r="L1312" t="inlineStr">
        <is>
          <t>Milwaukee : Bruce Publishing, [1956].</t>
        </is>
      </c>
      <c r="M1312" t="inlineStr">
        <is>
          <t>1956</t>
        </is>
      </c>
      <c r="O1312" t="inlineStr">
        <is>
          <t>eng</t>
        </is>
      </c>
      <c r="P1312" t="inlineStr">
        <is>
          <t>wiu</t>
        </is>
      </c>
      <c r="R1312" t="inlineStr">
        <is>
          <t xml:space="preserve">BX </t>
        </is>
      </c>
      <c r="S1312" t="n">
        <v>1</v>
      </c>
      <c r="T1312" t="n">
        <v>1</v>
      </c>
      <c r="U1312" t="inlineStr">
        <is>
          <t>2003-07-06</t>
        </is>
      </c>
      <c r="V1312" t="inlineStr">
        <is>
          <t>2003-07-06</t>
        </is>
      </c>
      <c r="W1312" t="inlineStr">
        <is>
          <t>1991-10-18</t>
        </is>
      </c>
      <c r="X1312" t="inlineStr">
        <is>
          <t>1991-10-18</t>
        </is>
      </c>
      <c r="Y1312" t="n">
        <v>198</v>
      </c>
      <c r="Z1312" t="n">
        <v>171</v>
      </c>
      <c r="AA1312" t="n">
        <v>171</v>
      </c>
      <c r="AB1312" t="n">
        <v>2</v>
      </c>
      <c r="AC1312" t="n">
        <v>2</v>
      </c>
      <c r="AD1312" t="n">
        <v>25</v>
      </c>
      <c r="AE1312" t="n">
        <v>25</v>
      </c>
      <c r="AF1312" t="n">
        <v>6</v>
      </c>
      <c r="AG1312" t="n">
        <v>6</v>
      </c>
      <c r="AH1312" t="n">
        <v>7</v>
      </c>
      <c r="AI1312" t="n">
        <v>7</v>
      </c>
      <c r="AJ1312" t="n">
        <v>19</v>
      </c>
      <c r="AK1312" t="n">
        <v>19</v>
      </c>
      <c r="AL1312" t="n">
        <v>1</v>
      </c>
      <c r="AM1312" t="n">
        <v>1</v>
      </c>
      <c r="AN1312" t="n">
        <v>0</v>
      </c>
      <c r="AO1312" t="n">
        <v>0</v>
      </c>
      <c r="AP1312" t="inlineStr">
        <is>
          <t>No</t>
        </is>
      </c>
      <c r="AQ1312" t="inlineStr">
        <is>
          <t>No</t>
        </is>
      </c>
      <c r="AS1312">
        <f>HYPERLINK("https://creighton-primo.hosted.exlibrisgroup.com/primo-explore/search?tab=default_tab&amp;search_scope=EVERYTHING&amp;vid=01CRU&amp;lang=en_US&amp;offset=0&amp;query=any,contains,991002700809702656","Catalog Record")</f>
        <v/>
      </c>
      <c r="AT1312">
        <f>HYPERLINK("http://www.worldcat.org/oclc/405499","WorldCat Record")</f>
        <v/>
      </c>
      <c r="AU1312" t="inlineStr">
        <is>
          <t>1431001:eng</t>
        </is>
      </c>
      <c r="AV1312" t="inlineStr">
        <is>
          <t>405499</t>
        </is>
      </c>
      <c r="AW1312" t="inlineStr">
        <is>
          <t>991002700809702656</t>
        </is>
      </c>
      <c r="AX1312" t="inlineStr">
        <is>
          <t>991002700809702656</t>
        </is>
      </c>
      <c r="AY1312" t="inlineStr">
        <is>
          <t>2260496810002656</t>
        </is>
      </c>
      <c r="AZ1312" t="inlineStr">
        <is>
          <t>BOOK</t>
        </is>
      </c>
      <c r="BC1312" t="inlineStr">
        <is>
          <t>32285000789833</t>
        </is>
      </c>
      <c r="BD1312" t="inlineStr">
        <is>
          <t>893867578</t>
        </is>
      </c>
    </row>
    <row r="1313">
      <c r="A1313" t="inlineStr">
        <is>
          <t>No</t>
        </is>
      </c>
      <c r="B1313" t="inlineStr">
        <is>
          <t>BX2230 .P8 1930</t>
        </is>
      </c>
      <c r="C1313" t="inlineStr">
        <is>
          <t>0                      BX 2230000P  8           1930</t>
        </is>
      </c>
      <c r="D1313" t="inlineStr">
        <is>
          <t>The mass : its origin and history / by Jean de Puniet. Translated by the Benedictines of Stanbrook.</t>
        </is>
      </c>
      <c r="F1313" t="inlineStr">
        <is>
          <t>No</t>
        </is>
      </c>
      <c r="G1313" t="inlineStr">
        <is>
          <t>1</t>
        </is>
      </c>
      <c r="H1313" t="inlineStr">
        <is>
          <t>No</t>
        </is>
      </c>
      <c r="I1313" t="inlineStr">
        <is>
          <t>No</t>
        </is>
      </c>
      <c r="J1313" t="inlineStr">
        <is>
          <t>0</t>
        </is>
      </c>
      <c r="K1313" t="inlineStr">
        <is>
          <t>Puniet, Jean de, 1869-1941.</t>
        </is>
      </c>
      <c r="L1313" t="inlineStr">
        <is>
          <t>New York : Longmans Green, [1930]</t>
        </is>
      </c>
      <c r="M1313" t="inlineStr">
        <is>
          <t>1930</t>
        </is>
      </c>
      <c r="O1313" t="inlineStr">
        <is>
          <t>eng</t>
        </is>
      </c>
      <c r="P1313" t="inlineStr">
        <is>
          <t xml:space="preserve">xx </t>
        </is>
      </c>
      <c r="R1313" t="inlineStr">
        <is>
          <t xml:space="preserve">BX </t>
        </is>
      </c>
      <c r="S1313" t="n">
        <v>4</v>
      </c>
      <c r="T1313" t="n">
        <v>4</v>
      </c>
      <c r="U1313" t="inlineStr">
        <is>
          <t>1997-11-08</t>
        </is>
      </c>
      <c r="V1313" t="inlineStr">
        <is>
          <t>1997-11-08</t>
        </is>
      </c>
      <c r="W1313" t="inlineStr">
        <is>
          <t>1991-10-18</t>
        </is>
      </c>
      <c r="X1313" t="inlineStr">
        <is>
          <t>1991-10-18</t>
        </is>
      </c>
      <c r="Y1313" t="n">
        <v>42</v>
      </c>
      <c r="Z1313" t="n">
        <v>42</v>
      </c>
      <c r="AA1313" t="n">
        <v>42</v>
      </c>
      <c r="AB1313" t="n">
        <v>1</v>
      </c>
      <c r="AC1313" t="n">
        <v>1</v>
      </c>
      <c r="AD1313" t="n">
        <v>8</v>
      </c>
      <c r="AE1313" t="n">
        <v>8</v>
      </c>
      <c r="AF1313" t="n">
        <v>1</v>
      </c>
      <c r="AG1313" t="n">
        <v>1</v>
      </c>
      <c r="AH1313" t="n">
        <v>3</v>
      </c>
      <c r="AI1313" t="n">
        <v>3</v>
      </c>
      <c r="AJ1313" t="n">
        <v>7</v>
      </c>
      <c r="AK1313" t="n">
        <v>7</v>
      </c>
      <c r="AL1313" t="n">
        <v>0</v>
      </c>
      <c r="AM1313" t="n">
        <v>0</v>
      </c>
      <c r="AN1313" t="n">
        <v>0</v>
      </c>
      <c r="AO1313" t="n">
        <v>0</v>
      </c>
      <c r="AP1313" t="inlineStr">
        <is>
          <t>No</t>
        </is>
      </c>
      <c r="AQ1313" t="inlineStr">
        <is>
          <t>No</t>
        </is>
      </c>
      <c r="AS1313">
        <f>HYPERLINK("https://creighton-primo.hosted.exlibrisgroup.com/primo-explore/search?tab=default_tab&amp;search_scope=EVERYTHING&amp;vid=01CRU&amp;lang=en_US&amp;offset=0&amp;query=any,contains,991004263249702656","Catalog Record")</f>
        <v/>
      </c>
      <c r="AT1313">
        <f>HYPERLINK("http://www.worldcat.org/oclc/2855212","WorldCat Record")</f>
        <v/>
      </c>
      <c r="AU1313" t="inlineStr">
        <is>
          <t>376734376:eng</t>
        </is>
      </c>
      <c r="AV1313" t="inlineStr">
        <is>
          <t>2855212</t>
        </is>
      </c>
      <c r="AW1313" t="inlineStr">
        <is>
          <t>991004263249702656</t>
        </is>
      </c>
      <c r="AX1313" t="inlineStr">
        <is>
          <t>991004263249702656</t>
        </is>
      </c>
      <c r="AY1313" t="inlineStr">
        <is>
          <t>2265928220002656</t>
        </is>
      </c>
      <c r="AZ1313" t="inlineStr">
        <is>
          <t>BOOK</t>
        </is>
      </c>
      <c r="BC1313" t="inlineStr">
        <is>
          <t>32285000789866</t>
        </is>
      </c>
      <c r="BD1313" t="inlineStr">
        <is>
          <t>893442404</t>
        </is>
      </c>
    </row>
    <row r="1314">
      <c r="A1314" t="inlineStr">
        <is>
          <t>No</t>
        </is>
      </c>
      <c r="B1314" t="inlineStr">
        <is>
          <t>BX2230 .P992 1948</t>
        </is>
      </c>
      <c r="C1314" t="inlineStr">
        <is>
          <t>0                      BX 2230000P  992         1948</t>
        </is>
      </c>
      <c r="D1314" t="inlineStr">
        <is>
          <t>My mass / by Joseph Putz.</t>
        </is>
      </c>
      <c r="F1314" t="inlineStr">
        <is>
          <t>No</t>
        </is>
      </c>
      <c r="G1314" t="inlineStr">
        <is>
          <t>1</t>
        </is>
      </c>
      <c r="H1314" t="inlineStr">
        <is>
          <t>No</t>
        </is>
      </c>
      <c r="I1314" t="inlineStr">
        <is>
          <t>No</t>
        </is>
      </c>
      <c r="J1314" t="inlineStr">
        <is>
          <t>0</t>
        </is>
      </c>
      <c r="K1314" t="inlineStr">
        <is>
          <t>Putz, Joseph.</t>
        </is>
      </c>
      <c r="L1314" t="inlineStr">
        <is>
          <t>Westminster, Md. : Newman Press, 1948, c1938.</t>
        </is>
      </c>
      <c r="M1314" t="inlineStr">
        <is>
          <t>1948</t>
        </is>
      </c>
      <c r="N1314" t="inlineStr">
        <is>
          <t>[6th ed.]</t>
        </is>
      </c>
      <c r="O1314" t="inlineStr">
        <is>
          <t>eng</t>
        </is>
      </c>
      <c r="P1314" t="inlineStr">
        <is>
          <t>mdu</t>
        </is>
      </c>
      <c r="R1314" t="inlineStr">
        <is>
          <t xml:space="preserve">BX </t>
        </is>
      </c>
      <c r="S1314" t="n">
        <v>3</v>
      </c>
      <c r="T1314" t="n">
        <v>3</v>
      </c>
      <c r="U1314" t="inlineStr">
        <is>
          <t>2005-11-20</t>
        </is>
      </c>
      <c r="V1314" t="inlineStr">
        <is>
          <t>2005-11-20</t>
        </is>
      </c>
      <c r="W1314" t="inlineStr">
        <is>
          <t>1991-10-18</t>
        </is>
      </c>
      <c r="X1314" t="inlineStr">
        <is>
          <t>1991-10-18</t>
        </is>
      </c>
      <c r="Y1314" t="n">
        <v>54</v>
      </c>
      <c r="Z1314" t="n">
        <v>49</v>
      </c>
      <c r="AA1314" t="n">
        <v>82</v>
      </c>
      <c r="AB1314" t="n">
        <v>2</v>
      </c>
      <c r="AC1314" t="n">
        <v>2</v>
      </c>
      <c r="AD1314" t="n">
        <v>15</v>
      </c>
      <c r="AE1314" t="n">
        <v>22</v>
      </c>
      <c r="AF1314" t="n">
        <v>3</v>
      </c>
      <c r="AG1314" t="n">
        <v>5</v>
      </c>
      <c r="AH1314" t="n">
        <v>5</v>
      </c>
      <c r="AI1314" t="n">
        <v>7</v>
      </c>
      <c r="AJ1314" t="n">
        <v>13</v>
      </c>
      <c r="AK1314" t="n">
        <v>18</v>
      </c>
      <c r="AL1314" t="n">
        <v>0</v>
      </c>
      <c r="AM1314" t="n">
        <v>0</v>
      </c>
      <c r="AN1314" t="n">
        <v>0</v>
      </c>
      <c r="AO1314" t="n">
        <v>0</v>
      </c>
      <c r="AP1314" t="inlineStr">
        <is>
          <t>No</t>
        </is>
      </c>
      <c r="AQ1314" t="inlineStr">
        <is>
          <t>No</t>
        </is>
      </c>
      <c r="AS1314">
        <f>HYPERLINK("https://creighton-primo.hosted.exlibrisgroup.com/primo-explore/search?tab=default_tab&amp;search_scope=EVERYTHING&amp;vid=01CRU&amp;lang=en_US&amp;offset=0&amp;query=any,contains,991004734189702656","Catalog Record")</f>
        <v/>
      </c>
      <c r="AT1314">
        <f>HYPERLINK("http://www.worldcat.org/oclc/4846280","WorldCat Record")</f>
        <v/>
      </c>
      <c r="AU1314" t="inlineStr">
        <is>
          <t>9381814884:eng</t>
        </is>
      </c>
      <c r="AV1314" t="inlineStr">
        <is>
          <t>4846280</t>
        </is>
      </c>
      <c r="AW1314" t="inlineStr">
        <is>
          <t>991004734189702656</t>
        </is>
      </c>
      <c r="AX1314" t="inlineStr">
        <is>
          <t>991004734189702656</t>
        </is>
      </c>
      <c r="AY1314" t="inlineStr">
        <is>
          <t>2262591060002656</t>
        </is>
      </c>
      <c r="AZ1314" t="inlineStr">
        <is>
          <t>BOOK</t>
        </is>
      </c>
      <c r="BC1314" t="inlineStr">
        <is>
          <t>32285000789874</t>
        </is>
      </c>
      <c r="BD1314" t="inlineStr">
        <is>
          <t>893700582</t>
        </is>
      </c>
    </row>
    <row r="1315">
      <c r="A1315" t="inlineStr">
        <is>
          <t>No</t>
        </is>
      </c>
      <c r="B1315" t="inlineStr">
        <is>
          <t>BX2230 .S37 1928</t>
        </is>
      </c>
      <c r="C1315" t="inlineStr">
        <is>
          <t>0                      BX 2230000S  37          1928</t>
        </is>
      </c>
      <c r="D1315" t="inlineStr">
        <is>
          <t>The holy sacrifice of the mass / Martin J. Scott.</t>
        </is>
      </c>
      <c r="F1315" t="inlineStr">
        <is>
          <t>No</t>
        </is>
      </c>
      <c r="G1315" t="inlineStr">
        <is>
          <t>1</t>
        </is>
      </c>
      <c r="H1315" t="inlineStr">
        <is>
          <t>No</t>
        </is>
      </c>
      <c r="I1315" t="inlineStr">
        <is>
          <t>No</t>
        </is>
      </c>
      <c r="J1315" t="inlineStr">
        <is>
          <t>0</t>
        </is>
      </c>
      <c r="K1315" t="inlineStr">
        <is>
          <t>Scott, Martin J. (Martin Jerome), 1865-1964.</t>
        </is>
      </c>
      <c r="L1315" t="inlineStr">
        <is>
          <t>New York : P. J. Kenedy, 1928.</t>
        </is>
      </c>
      <c r="M1315" t="inlineStr">
        <is>
          <t>1928</t>
        </is>
      </c>
      <c r="O1315" t="inlineStr">
        <is>
          <t>eng</t>
        </is>
      </c>
      <c r="P1315" t="inlineStr">
        <is>
          <t>nyu</t>
        </is>
      </c>
      <c r="R1315" t="inlineStr">
        <is>
          <t xml:space="preserve">BX </t>
        </is>
      </c>
      <c r="S1315" t="n">
        <v>3</v>
      </c>
      <c r="T1315" t="n">
        <v>3</v>
      </c>
      <c r="U1315" t="inlineStr">
        <is>
          <t>1993-11-21</t>
        </is>
      </c>
      <c r="V1315" t="inlineStr">
        <is>
          <t>1993-11-21</t>
        </is>
      </c>
      <c r="W1315" t="inlineStr">
        <is>
          <t>1991-10-18</t>
        </is>
      </c>
      <c r="X1315" t="inlineStr">
        <is>
          <t>1991-10-18</t>
        </is>
      </c>
      <c r="Y1315" t="n">
        <v>51</v>
      </c>
      <c r="Z1315" t="n">
        <v>50</v>
      </c>
      <c r="AA1315" t="n">
        <v>51</v>
      </c>
      <c r="AB1315" t="n">
        <v>1</v>
      </c>
      <c r="AC1315" t="n">
        <v>1</v>
      </c>
      <c r="AD1315" t="n">
        <v>15</v>
      </c>
      <c r="AE1315" t="n">
        <v>16</v>
      </c>
      <c r="AF1315" t="n">
        <v>1</v>
      </c>
      <c r="AG1315" t="n">
        <v>1</v>
      </c>
      <c r="AH1315" t="n">
        <v>6</v>
      </c>
      <c r="AI1315" t="n">
        <v>7</v>
      </c>
      <c r="AJ1315" t="n">
        <v>12</v>
      </c>
      <c r="AK1315" t="n">
        <v>12</v>
      </c>
      <c r="AL1315" t="n">
        <v>0</v>
      </c>
      <c r="AM1315" t="n">
        <v>0</v>
      </c>
      <c r="AN1315" t="n">
        <v>0</v>
      </c>
      <c r="AO1315" t="n">
        <v>0</v>
      </c>
      <c r="AP1315" t="inlineStr">
        <is>
          <t>No</t>
        </is>
      </c>
      <c r="AQ1315" t="inlineStr">
        <is>
          <t>No</t>
        </is>
      </c>
      <c r="AS1315">
        <f>HYPERLINK("https://creighton-primo.hosted.exlibrisgroup.com/primo-explore/search?tab=default_tab&amp;search_scope=EVERYTHING&amp;vid=01CRU&amp;lang=en_US&amp;offset=0&amp;query=any,contains,991004466569702656","Catalog Record")</f>
        <v/>
      </c>
      <c r="AT1315">
        <f>HYPERLINK("http://www.worldcat.org/oclc/3574812","WorldCat Record")</f>
        <v/>
      </c>
      <c r="AU1315" t="inlineStr">
        <is>
          <t>10983587:eng</t>
        </is>
      </c>
      <c r="AV1315" t="inlineStr">
        <is>
          <t>3574812</t>
        </is>
      </c>
      <c r="AW1315" t="inlineStr">
        <is>
          <t>991004466569702656</t>
        </is>
      </c>
      <c r="AX1315" t="inlineStr">
        <is>
          <t>991004466569702656</t>
        </is>
      </c>
      <c r="AY1315" t="inlineStr">
        <is>
          <t>2268482140002656</t>
        </is>
      </c>
      <c r="AZ1315" t="inlineStr">
        <is>
          <t>BOOK</t>
        </is>
      </c>
      <c r="BC1315" t="inlineStr">
        <is>
          <t>32285000789908</t>
        </is>
      </c>
      <c r="BD1315" t="inlineStr">
        <is>
          <t>893526121</t>
        </is>
      </c>
    </row>
    <row r="1316">
      <c r="A1316" t="inlineStr">
        <is>
          <t>No</t>
        </is>
      </c>
      <c r="B1316" t="inlineStr">
        <is>
          <t>BX2230. D8 1928</t>
        </is>
      </c>
      <c r="C1316" t="inlineStr">
        <is>
          <t>0                      BX 2230000D  8           1928</t>
        </is>
      </c>
      <c r="D1316" t="inlineStr">
        <is>
          <t>The mass / by Rev. Joseph A. Dunney.</t>
        </is>
      </c>
      <c r="F1316" t="inlineStr">
        <is>
          <t>No</t>
        </is>
      </c>
      <c r="G1316" t="inlineStr">
        <is>
          <t>1</t>
        </is>
      </c>
      <c r="H1316" t="inlineStr">
        <is>
          <t>No</t>
        </is>
      </c>
      <c r="I1316" t="inlineStr">
        <is>
          <t>No</t>
        </is>
      </c>
      <c r="J1316" t="inlineStr">
        <is>
          <t>0</t>
        </is>
      </c>
      <c r="K1316" t="inlineStr">
        <is>
          <t>Dunney, Joseph A. (Joseph Aloysius), 1881-</t>
        </is>
      </c>
      <c r="L1316" t="inlineStr">
        <is>
          <t>New York : The Macmillan company, 1928, c1924.</t>
        </is>
      </c>
      <c r="M1316" t="inlineStr">
        <is>
          <t>1924</t>
        </is>
      </c>
      <c r="O1316" t="inlineStr">
        <is>
          <t>eng</t>
        </is>
      </c>
      <c r="P1316" t="inlineStr">
        <is>
          <t>nyu</t>
        </is>
      </c>
      <c r="R1316" t="inlineStr">
        <is>
          <t xml:space="preserve">BX </t>
        </is>
      </c>
      <c r="S1316" t="n">
        <v>3</v>
      </c>
      <c r="T1316" t="n">
        <v>3</v>
      </c>
      <c r="U1316" t="inlineStr">
        <is>
          <t>1995-07-24</t>
        </is>
      </c>
      <c r="V1316" t="inlineStr">
        <is>
          <t>1995-07-24</t>
        </is>
      </c>
      <c r="W1316" t="inlineStr">
        <is>
          <t>1991-10-17</t>
        </is>
      </c>
      <c r="X1316" t="inlineStr">
        <is>
          <t>1991-10-17</t>
        </is>
      </c>
      <c r="Y1316" t="n">
        <v>159</v>
      </c>
      <c r="Z1316" t="n">
        <v>154</v>
      </c>
      <c r="AA1316" t="n">
        <v>273</v>
      </c>
      <c r="AB1316" t="n">
        <v>2</v>
      </c>
      <c r="AC1316" t="n">
        <v>4</v>
      </c>
      <c r="AD1316" t="n">
        <v>18</v>
      </c>
      <c r="AE1316" t="n">
        <v>26</v>
      </c>
      <c r="AF1316" t="n">
        <v>6</v>
      </c>
      <c r="AG1316" t="n">
        <v>9</v>
      </c>
      <c r="AH1316" t="n">
        <v>4</v>
      </c>
      <c r="AI1316" t="n">
        <v>7</v>
      </c>
      <c r="AJ1316" t="n">
        <v>14</v>
      </c>
      <c r="AK1316" t="n">
        <v>19</v>
      </c>
      <c r="AL1316" t="n">
        <v>0</v>
      </c>
      <c r="AM1316" t="n">
        <v>1</v>
      </c>
      <c r="AN1316" t="n">
        <v>0</v>
      </c>
      <c r="AO1316" t="n">
        <v>0</v>
      </c>
      <c r="AP1316" t="inlineStr">
        <is>
          <t>Yes</t>
        </is>
      </c>
      <c r="AQ1316" t="inlineStr">
        <is>
          <t>No</t>
        </is>
      </c>
      <c r="AR1316">
        <f>HYPERLINK("http://catalog.hathitrust.org/Record/101872474","HathiTrust Record")</f>
        <v/>
      </c>
      <c r="AS1316">
        <f>HYPERLINK("https://creighton-primo.hosted.exlibrisgroup.com/primo-explore/search?tab=default_tab&amp;search_scope=EVERYTHING&amp;vid=01CRU&amp;lang=en_US&amp;offset=0&amp;query=any,contains,991003919199702656","Catalog Record")</f>
        <v/>
      </c>
      <c r="AT1316">
        <f>HYPERLINK("http://www.worldcat.org/oclc/1866043","WorldCat Record")</f>
        <v/>
      </c>
      <c r="AU1316" t="inlineStr">
        <is>
          <t>2695472:eng</t>
        </is>
      </c>
      <c r="AV1316" t="inlineStr">
        <is>
          <t>1866043</t>
        </is>
      </c>
      <c r="AW1316" t="inlineStr">
        <is>
          <t>991003919199702656</t>
        </is>
      </c>
      <c r="AX1316" t="inlineStr">
        <is>
          <t>991003919199702656</t>
        </is>
      </c>
      <c r="AY1316" t="inlineStr">
        <is>
          <t>2262397610002656</t>
        </is>
      </c>
      <c r="AZ1316" t="inlineStr">
        <is>
          <t>BOOK</t>
        </is>
      </c>
      <c r="BC1316" t="inlineStr">
        <is>
          <t>32285000789627</t>
        </is>
      </c>
      <c r="BD1316" t="inlineStr">
        <is>
          <t>893800371</t>
        </is>
      </c>
    </row>
    <row r="1317">
      <c r="A1317" t="inlineStr">
        <is>
          <t>No</t>
        </is>
      </c>
      <c r="B1317" t="inlineStr">
        <is>
          <t>BX2230.2 .A65 1976</t>
        </is>
      </c>
      <c r="C1317" t="inlineStr">
        <is>
          <t>0                      BX 2230200A  65          1976</t>
        </is>
      </c>
      <c r="D1317" t="inlineStr">
        <is>
          <t>The faithful at Mass : a guide to participation by the laity in the liturgy of the post-Vatican Council II Mass / by William S. Abell.</t>
        </is>
      </c>
      <c r="F1317" t="inlineStr">
        <is>
          <t>No</t>
        </is>
      </c>
      <c r="G1317" t="inlineStr">
        <is>
          <t>1</t>
        </is>
      </c>
      <c r="H1317" t="inlineStr">
        <is>
          <t>No</t>
        </is>
      </c>
      <c r="I1317" t="inlineStr">
        <is>
          <t>No</t>
        </is>
      </c>
      <c r="J1317" t="inlineStr">
        <is>
          <t>0</t>
        </is>
      </c>
      <c r="K1317" t="inlineStr">
        <is>
          <t>Abell, William S.</t>
        </is>
      </c>
      <c r="L1317" t="inlineStr">
        <is>
          <t>Garrett Park, Md. : Georgetown Preparatory School, 1976.</t>
        </is>
      </c>
      <c r="M1317" t="inlineStr">
        <is>
          <t>1976</t>
        </is>
      </c>
      <c r="O1317" t="inlineStr">
        <is>
          <t>eng</t>
        </is>
      </c>
      <c r="P1317" t="inlineStr">
        <is>
          <t>mdu</t>
        </is>
      </c>
      <c r="R1317" t="inlineStr">
        <is>
          <t xml:space="preserve">BX </t>
        </is>
      </c>
      <c r="S1317" t="n">
        <v>4</v>
      </c>
      <c r="T1317" t="n">
        <v>4</v>
      </c>
      <c r="U1317" t="inlineStr">
        <is>
          <t>2005-11-20</t>
        </is>
      </c>
      <c r="V1317" t="inlineStr">
        <is>
          <t>2005-11-20</t>
        </is>
      </c>
      <c r="W1317" t="inlineStr">
        <is>
          <t>1991-10-18</t>
        </is>
      </c>
      <c r="X1317" t="inlineStr">
        <is>
          <t>1991-10-18</t>
        </is>
      </c>
      <c r="Y1317" t="n">
        <v>20</v>
      </c>
      <c r="Z1317" t="n">
        <v>19</v>
      </c>
      <c r="AA1317" t="n">
        <v>80</v>
      </c>
      <c r="AB1317" t="n">
        <v>2</v>
      </c>
      <c r="AC1317" t="n">
        <v>3</v>
      </c>
      <c r="AD1317" t="n">
        <v>6</v>
      </c>
      <c r="AE1317" t="n">
        <v>16</v>
      </c>
      <c r="AF1317" t="n">
        <v>1</v>
      </c>
      <c r="AG1317" t="n">
        <v>3</v>
      </c>
      <c r="AH1317" t="n">
        <v>1</v>
      </c>
      <c r="AI1317" t="n">
        <v>5</v>
      </c>
      <c r="AJ1317" t="n">
        <v>6</v>
      </c>
      <c r="AK1317" t="n">
        <v>14</v>
      </c>
      <c r="AL1317" t="n">
        <v>0</v>
      </c>
      <c r="AM1317" t="n">
        <v>0</v>
      </c>
      <c r="AN1317" t="n">
        <v>0</v>
      </c>
      <c r="AO1317" t="n">
        <v>0</v>
      </c>
      <c r="AP1317" t="inlineStr">
        <is>
          <t>No</t>
        </is>
      </c>
      <c r="AQ1317" t="inlineStr">
        <is>
          <t>No</t>
        </is>
      </c>
      <c r="AS1317">
        <f>HYPERLINK("https://creighton-primo.hosted.exlibrisgroup.com/primo-explore/search?tab=default_tab&amp;search_scope=EVERYTHING&amp;vid=01CRU&amp;lang=en_US&amp;offset=0&amp;query=any,contains,991004192149702656","Catalog Record")</f>
        <v/>
      </c>
      <c r="AT1317">
        <f>HYPERLINK("http://www.worldcat.org/oclc/2633883","WorldCat Record")</f>
        <v/>
      </c>
      <c r="AU1317" t="inlineStr">
        <is>
          <t>2323841:eng</t>
        </is>
      </c>
      <c r="AV1317" t="inlineStr">
        <is>
          <t>2633883</t>
        </is>
      </c>
      <c r="AW1317" t="inlineStr">
        <is>
          <t>991004192149702656</t>
        </is>
      </c>
      <c r="AX1317" t="inlineStr">
        <is>
          <t>991004192149702656</t>
        </is>
      </c>
      <c r="AY1317" t="inlineStr">
        <is>
          <t>2272202990002656</t>
        </is>
      </c>
      <c r="AZ1317" t="inlineStr">
        <is>
          <t>BOOK</t>
        </is>
      </c>
      <c r="BC1317" t="inlineStr">
        <is>
          <t>32285000789940</t>
        </is>
      </c>
      <c r="BD1317" t="inlineStr">
        <is>
          <t>893247271</t>
        </is>
      </c>
    </row>
    <row r="1318">
      <c r="A1318" t="inlineStr">
        <is>
          <t>No</t>
        </is>
      </c>
      <c r="B1318" t="inlineStr">
        <is>
          <t>BX2230.2 .G4513 1985</t>
        </is>
      </c>
      <c r="C1318" t="inlineStr">
        <is>
          <t>0                      BX 2230200G  4513        1985</t>
        </is>
      </c>
      <c r="D1318" t="inlineStr">
        <is>
          <t>Learning to celebrate : the Mass and its music, 16 suggested approaches / Joseph Gelineau ; translated by Mary Anselm Grover.</t>
        </is>
      </c>
      <c r="F1318" t="inlineStr">
        <is>
          <t>No</t>
        </is>
      </c>
      <c r="G1318" t="inlineStr">
        <is>
          <t>1</t>
        </is>
      </c>
      <c r="H1318" t="inlineStr">
        <is>
          <t>No</t>
        </is>
      </c>
      <c r="I1318" t="inlineStr">
        <is>
          <t>No</t>
        </is>
      </c>
      <c r="J1318" t="inlineStr">
        <is>
          <t>0</t>
        </is>
      </c>
      <c r="K1318" t="inlineStr">
        <is>
          <t>Gelineau, Joseph.</t>
        </is>
      </c>
      <c r="L1318" t="inlineStr">
        <is>
          <t>Washington, D.C. : Pastoral Press, c1985.</t>
        </is>
      </c>
      <c r="M1318" t="inlineStr">
        <is>
          <t>1985</t>
        </is>
      </c>
      <c r="O1318" t="inlineStr">
        <is>
          <t>eng</t>
        </is>
      </c>
      <c r="P1318" t="inlineStr">
        <is>
          <t>dcu</t>
        </is>
      </c>
      <c r="R1318" t="inlineStr">
        <is>
          <t xml:space="preserve">BX </t>
        </is>
      </c>
      <c r="S1318" t="n">
        <v>7</v>
      </c>
      <c r="T1318" t="n">
        <v>7</v>
      </c>
      <c r="U1318" t="inlineStr">
        <is>
          <t>1998-10-16</t>
        </is>
      </c>
      <c r="V1318" t="inlineStr">
        <is>
          <t>1998-10-16</t>
        </is>
      </c>
      <c r="W1318" t="inlineStr">
        <is>
          <t>1992-07-20</t>
        </is>
      </c>
      <c r="X1318" t="inlineStr">
        <is>
          <t>1992-07-20</t>
        </is>
      </c>
      <c r="Y1318" t="n">
        <v>102</v>
      </c>
      <c r="Z1318" t="n">
        <v>87</v>
      </c>
      <c r="AA1318" t="n">
        <v>87</v>
      </c>
      <c r="AB1318" t="n">
        <v>2</v>
      </c>
      <c r="AC1318" t="n">
        <v>2</v>
      </c>
      <c r="AD1318" t="n">
        <v>13</v>
      </c>
      <c r="AE1318" t="n">
        <v>13</v>
      </c>
      <c r="AF1318" t="n">
        <v>6</v>
      </c>
      <c r="AG1318" t="n">
        <v>6</v>
      </c>
      <c r="AH1318" t="n">
        <v>1</v>
      </c>
      <c r="AI1318" t="n">
        <v>1</v>
      </c>
      <c r="AJ1318" t="n">
        <v>9</v>
      </c>
      <c r="AK1318" t="n">
        <v>9</v>
      </c>
      <c r="AL1318" t="n">
        <v>1</v>
      </c>
      <c r="AM1318" t="n">
        <v>1</v>
      </c>
      <c r="AN1318" t="n">
        <v>0</v>
      </c>
      <c r="AO1318" t="n">
        <v>0</v>
      </c>
      <c r="AP1318" t="inlineStr">
        <is>
          <t>No</t>
        </is>
      </c>
      <c r="AQ1318" t="inlineStr">
        <is>
          <t>No</t>
        </is>
      </c>
      <c r="AS1318">
        <f>HYPERLINK("https://creighton-primo.hosted.exlibrisgroup.com/primo-explore/search?tab=default_tab&amp;search_scope=EVERYTHING&amp;vid=01CRU&amp;lang=en_US&amp;offset=0&amp;query=any,contains,991000747639702656","Catalog Record")</f>
        <v/>
      </c>
      <c r="AT1318">
        <f>HYPERLINK("http://www.worldcat.org/oclc/13270779","WorldCat Record")</f>
        <v/>
      </c>
      <c r="AU1318" t="inlineStr">
        <is>
          <t>7063069:eng</t>
        </is>
      </c>
      <c r="AV1318" t="inlineStr">
        <is>
          <t>13270779</t>
        </is>
      </c>
      <c r="AW1318" t="inlineStr">
        <is>
          <t>991000747639702656</t>
        </is>
      </c>
      <c r="AX1318" t="inlineStr">
        <is>
          <t>991000747639702656</t>
        </is>
      </c>
      <c r="AY1318" t="inlineStr">
        <is>
          <t>2263888310002656</t>
        </is>
      </c>
      <c r="AZ1318" t="inlineStr">
        <is>
          <t>BOOK</t>
        </is>
      </c>
      <c r="BB1318" t="inlineStr">
        <is>
          <t>9780912405216</t>
        </is>
      </c>
      <c r="BC1318" t="inlineStr">
        <is>
          <t>32285000789981</t>
        </is>
      </c>
      <c r="BD1318" t="inlineStr">
        <is>
          <t>893444450</t>
        </is>
      </c>
    </row>
    <row r="1319">
      <c r="A1319" t="inlineStr">
        <is>
          <t>No</t>
        </is>
      </c>
      <c r="B1319" t="inlineStr">
        <is>
          <t>BX2230.2 .J29 1983</t>
        </is>
      </c>
      <c r="C1319" t="inlineStr">
        <is>
          <t>0                      BX 2230200J  29          1983</t>
        </is>
      </c>
      <c r="D1319" t="inlineStr">
        <is>
          <t>Guide to the sacramentary for Sundays and festivals / Stephen T. Jarrell.</t>
        </is>
      </c>
      <c r="F1319" t="inlineStr">
        <is>
          <t>No</t>
        </is>
      </c>
      <c r="G1319" t="inlineStr">
        <is>
          <t>1</t>
        </is>
      </c>
      <c r="H1319" t="inlineStr">
        <is>
          <t>No</t>
        </is>
      </c>
      <c r="I1319" t="inlineStr">
        <is>
          <t>No</t>
        </is>
      </c>
      <c r="J1319" t="inlineStr">
        <is>
          <t>0</t>
        </is>
      </c>
      <c r="K1319" t="inlineStr">
        <is>
          <t>Jarrell, Stephen T.</t>
        </is>
      </c>
      <c r="L1319" t="inlineStr">
        <is>
          <t>Chicago : Liturgy Training Publications, c1983.</t>
        </is>
      </c>
      <c r="M1319" t="inlineStr">
        <is>
          <t>1983</t>
        </is>
      </c>
      <c r="O1319" t="inlineStr">
        <is>
          <t>eng</t>
        </is>
      </c>
      <c r="P1319" t="inlineStr">
        <is>
          <t>ilu</t>
        </is>
      </c>
      <c r="R1319" t="inlineStr">
        <is>
          <t xml:space="preserve">BX </t>
        </is>
      </c>
      <c r="S1319" t="n">
        <v>1</v>
      </c>
      <c r="T1319" t="n">
        <v>1</v>
      </c>
      <c r="U1319" t="inlineStr">
        <is>
          <t>2001-04-08</t>
        </is>
      </c>
      <c r="V1319" t="inlineStr">
        <is>
          <t>2001-04-08</t>
        </is>
      </c>
      <c r="W1319" t="inlineStr">
        <is>
          <t>1991-10-18</t>
        </is>
      </c>
      <c r="X1319" t="inlineStr">
        <is>
          <t>1991-10-18</t>
        </is>
      </c>
      <c r="Y1319" t="n">
        <v>44</v>
      </c>
      <c r="Z1319" t="n">
        <v>40</v>
      </c>
      <c r="AA1319" t="n">
        <v>40</v>
      </c>
      <c r="AB1319" t="n">
        <v>1</v>
      </c>
      <c r="AC1319" t="n">
        <v>1</v>
      </c>
      <c r="AD1319" t="n">
        <v>4</v>
      </c>
      <c r="AE1319" t="n">
        <v>4</v>
      </c>
      <c r="AF1319" t="n">
        <v>0</v>
      </c>
      <c r="AG1319" t="n">
        <v>0</v>
      </c>
      <c r="AH1319" t="n">
        <v>1</v>
      </c>
      <c r="AI1319" t="n">
        <v>1</v>
      </c>
      <c r="AJ1319" t="n">
        <v>3</v>
      </c>
      <c r="AK1319" t="n">
        <v>3</v>
      </c>
      <c r="AL1319" t="n">
        <v>0</v>
      </c>
      <c r="AM1319" t="n">
        <v>0</v>
      </c>
      <c r="AN1319" t="n">
        <v>0</v>
      </c>
      <c r="AO1319" t="n">
        <v>0</v>
      </c>
      <c r="AP1319" t="inlineStr">
        <is>
          <t>No</t>
        </is>
      </c>
      <c r="AQ1319" t="inlineStr">
        <is>
          <t>No</t>
        </is>
      </c>
      <c r="AS1319">
        <f>HYPERLINK("https://creighton-primo.hosted.exlibrisgroup.com/primo-explore/search?tab=default_tab&amp;search_scope=EVERYTHING&amp;vid=01CRU&amp;lang=en_US&amp;offset=0&amp;query=any,contains,991000671879702656","Catalog Record")</f>
        <v/>
      </c>
      <c r="AT1319">
        <f>HYPERLINK("http://www.worldcat.org/oclc/12319765","WorldCat Record")</f>
        <v/>
      </c>
      <c r="AU1319" t="inlineStr">
        <is>
          <t>5024739:eng</t>
        </is>
      </c>
      <c r="AV1319" t="inlineStr">
        <is>
          <t>12319765</t>
        </is>
      </c>
      <c r="AW1319" t="inlineStr">
        <is>
          <t>991000671879702656</t>
        </is>
      </c>
      <c r="AX1319" t="inlineStr">
        <is>
          <t>991000671879702656</t>
        </is>
      </c>
      <c r="AY1319" t="inlineStr">
        <is>
          <t>2256452620002656</t>
        </is>
      </c>
      <c r="AZ1319" t="inlineStr">
        <is>
          <t>BOOK</t>
        </is>
      </c>
      <c r="BC1319" t="inlineStr">
        <is>
          <t>32285000790005</t>
        </is>
      </c>
      <c r="BD1319" t="inlineStr">
        <is>
          <t>893790748</t>
        </is>
      </c>
    </row>
    <row r="1320">
      <c r="A1320" t="inlineStr">
        <is>
          <t>No</t>
        </is>
      </c>
      <c r="B1320" t="inlineStr">
        <is>
          <t>BX2230.2 .K4 1983</t>
        </is>
      </c>
      <c r="C1320" t="inlineStr">
        <is>
          <t>0                      BX 2230200K  4           1983</t>
        </is>
      </c>
      <c r="D1320" t="inlineStr">
        <is>
          <t>The mass in time of doubt : the meaning of the mass for Catholics today / Ralph A. Keifer.</t>
        </is>
      </c>
      <c r="F1320" t="inlineStr">
        <is>
          <t>No</t>
        </is>
      </c>
      <c r="G1320" t="inlineStr">
        <is>
          <t>1</t>
        </is>
      </c>
      <c r="H1320" t="inlineStr">
        <is>
          <t>No</t>
        </is>
      </c>
      <c r="I1320" t="inlineStr">
        <is>
          <t>No</t>
        </is>
      </c>
      <c r="J1320" t="inlineStr">
        <is>
          <t>0</t>
        </is>
      </c>
      <c r="K1320" t="inlineStr">
        <is>
          <t>Keifer, Ralph A.</t>
        </is>
      </c>
      <c r="L1320" t="inlineStr">
        <is>
          <t>Washington, D.C. : National Association of Pastoral Musicians, c1983.</t>
        </is>
      </c>
      <c r="M1320" t="inlineStr">
        <is>
          <t>1983</t>
        </is>
      </c>
      <c r="O1320" t="inlineStr">
        <is>
          <t>eng</t>
        </is>
      </c>
      <c r="P1320" t="inlineStr">
        <is>
          <t>dcu</t>
        </is>
      </c>
      <c r="R1320" t="inlineStr">
        <is>
          <t xml:space="preserve">BX </t>
        </is>
      </c>
      <c r="S1320" t="n">
        <v>5</v>
      </c>
      <c r="T1320" t="n">
        <v>5</v>
      </c>
      <c r="U1320" t="inlineStr">
        <is>
          <t>1997-04-15</t>
        </is>
      </c>
      <c r="V1320" t="inlineStr">
        <is>
          <t>1997-04-15</t>
        </is>
      </c>
      <c r="W1320" t="inlineStr">
        <is>
          <t>1990-04-20</t>
        </is>
      </c>
      <c r="X1320" t="inlineStr">
        <is>
          <t>1990-04-20</t>
        </is>
      </c>
      <c r="Y1320" t="n">
        <v>102</v>
      </c>
      <c r="Z1320" t="n">
        <v>87</v>
      </c>
      <c r="AA1320" t="n">
        <v>87</v>
      </c>
      <c r="AB1320" t="n">
        <v>1</v>
      </c>
      <c r="AC1320" t="n">
        <v>1</v>
      </c>
      <c r="AD1320" t="n">
        <v>12</v>
      </c>
      <c r="AE1320" t="n">
        <v>12</v>
      </c>
      <c r="AF1320" t="n">
        <v>1</v>
      </c>
      <c r="AG1320" t="n">
        <v>1</v>
      </c>
      <c r="AH1320" t="n">
        <v>5</v>
      </c>
      <c r="AI1320" t="n">
        <v>5</v>
      </c>
      <c r="AJ1320" t="n">
        <v>9</v>
      </c>
      <c r="AK1320" t="n">
        <v>9</v>
      </c>
      <c r="AL1320" t="n">
        <v>0</v>
      </c>
      <c r="AM1320" t="n">
        <v>0</v>
      </c>
      <c r="AN1320" t="n">
        <v>0</v>
      </c>
      <c r="AO1320" t="n">
        <v>0</v>
      </c>
      <c r="AP1320" t="inlineStr">
        <is>
          <t>No</t>
        </is>
      </c>
      <c r="AQ1320" t="inlineStr">
        <is>
          <t>No</t>
        </is>
      </c>
      <c r="AS1320">
        <f>HYPERLINK("https://creighton-primo.hosted.exlibrisgroup.com/primo-explore/search?tab=default_tab&amp;search_scope=EVERYTHING&amp;vid=01CRU&amp;lang=en_US&amp;offset=0&amp;query=any,contains,991000272509702656","Catalog Record")</f>
        <v/>
      </c>
      <c r="AT1320">
        <f>HYPERLINK("http://www.worldcat.org/oclc/9877681","WorldCat Record")</f>
        <v/>
      </c>
      <c r="AU1320" t="inlineStr">
        <is>
          <t>43101111:eng</t>
        </is>
      </c>
      <c r="AV1320" t="inlineStr">
        <is>
          <t>9877681</t>
        </is>
      </c>
      <c r="AW1320" t="inlineStr">
        <is>
          <t>991000272509702656</t>
        </is>
      </c>
      <c r="AX1320" t="inlineStr">
        <is>
          <t>991000272509702656</t>
        </is>
      </c>
      <c r="AY1320" t="inlineStr">
        <is>
          <t>2272483320002656</t>
        </is>
      </c>
      <c r="AZ1320" t="inlineStr">
        <is>
          <t>BOOK</t>
        </is>
      </c>
      <c r="BB1320" t="inlineStr">
        <is>
          <t>9780912405001</t>
        </is>
      </c>
      <c r="BC1320" t="inlineStr">
        <is>
          <t>32285000123090</t>
        </is>
      </c>
      <c r="BD1320" t="inlineStr">
        <is>
          <t>893314811</t>
        </is>
      </c>
    </row>
    <row r="1321">
      <c r="A1321" t="inlineStr">
        <is>
          <t>No</t>
        </is>
      </c>
      <c r="B1321" t="inlineStr">
        <is>
          <t>BX2230.2 .W35 1972</t>
        </is>
      </c>
      <c r="C1321" t="inlineStr">
        <is>
          <t>0                      BX 2230200W  35          1972</t>
        </is>
      </c>
      <c r="D1321" t="inlineStr">
        <is>
          <t>The great sacrilege / by James F. Wathen.</t>
        </is>
      </c>
      <c r="F1321" t="inlineStr">
        <is>
          <t>No</t>
        </is>
      </c>
      <c r="G1321" t="inlineStr">
        <is>
          <t>1</t>
        </is>
      </c>
      <c r="H1321" t="inlineStr">
        <is>
          <t>No</t>
        </is>
      </c>
      <c r="I1321" t="inlineStr">
        <is>
          <t>No</t>
        </is>
      </c>
      <c r="J1321" t="inlineStr">
        <is>
          <t>0</t>
        </is>
      </c>
      <c r="K1321" t="inlineStr">
        <is>
          <t>Wathen, James F., 1932-</t>
        </is>
      </c>
      <c r="L1321" t="inlineStr">
        <is>
          <t>Rockford, Ill. : Tan Books [1972], c1971.</t>
        </is>
      </c>
      <c r="M1321" t="inlineStr">
        <is>
          <t>1972</t>
        </is>
      </c>
      <c r="O1321" t="inlineStr">
        <is>
          <t>eng</t>
        </is>
      </c>
      <c r="P1321" t="inlineStr">
        <is>
          <t>ilu</t>
        </is>
      </c>
      <c r="R1321" t="inlineStr">
        <is>
          <t xml:space="preserve">BX </t>
        </is>
      </c>
      <c r="S1321" t="n">
        <v>7</v>
      </c>
      <c r="T1321" t="n">
        <v>7</v>
      </c>
      <c r="U1321" t="inlineStr">
        <is>
          <t>2009-07-13</t>
        </is>
      </c>
      <c r="V1321" t="inlineStr">
        <is>
          <t>2009-07-13</t>
        </is>
      </c>
      <c r="W1321" t="inlineStr">
        <is>
          <t>1995-09-18</t>
        </is>
      </c>
      <c r="X1321" t="inlineStr">
        <is>
          <t>1995-09-18</t>
        </is>
      </c>
      <c r="Y1321" t="n">
        <v>56</v>
      </c>
      <c r="Z1321" t="n">
        <v>49</v>
      </c>
      <c r="AA1321" t="n">
        <v>53</v>
      </c>
      <c r="AB1321" t="n">
        <v>2</v>
      </c>
      <c r="AC1321" t="n">
        <v>2</v>
      </c>
      <c r="AD1321" t="n">
        <v>7</v>
      </c>
      <c r="AE1321" t="n">
        <v>7</v>
      </c>
      <c r="AF1321" t="n">
        <v>1</v>
      </c>
      <c r="AG1321" t="n">
        <v>1</v>
      </c>
      <c r="AH1321" t="n">
        <v>2</v>
      </c>
      <c r="AI1321" t="n">
        <v>2</v>
      </c>
      <c r="AJ1321" t="n">
        <v>5</v>
      </c>
      <c r="AK1321" t="n">
        <v>5</v>
      </c>
      <c r="AL1321" t="n">
        <v>0</v>
      </c>
      <c r="AM1321" t="n">
        <v>0</v>
      </c>
      <c r="AN1321" t="n">
        <v>0</v>
      </c>
      <c r="AO1321" t="n">
        <v>0</v>
      </c>
      <c r="AP1321" t="inlineStr">
        <is>
          <t>No</t>
        </is>
      </c>
      <c r="AQ1321" t="inlineStr">
        <is>
          <t>No</t>
        </is>
      </c>
      <c r="AS1321">
        <f>HYPERLINK("https://creighton-primo.hosted.exlibrisgroup.com/primo-explore/search?tab=default_tab&amp;search_scope=EVERYTHING&amp;vid=01CRU&amp;lang=en_US&amp;offset=0&amp;query=any,contains,991003020269702656","Catalog Record")</f>
        <v/>
      </c>
      <c r="AT1321">
        <f>HYPERLINK("http://www.worldcat.org/oclc/585094","WorldCat Record")</f>
        <v/>
      </c>
      <c r="AU1321" t="inlineStr">
        <is>
          <t>1749353:eng</t>
        </is>
      </c>
      <c r="AV1321" t="inlineStr">
        <is>
          <t>585094</t>
        </is>
      </c>
      <c r="AW1321" t="inlineStr">
        <is>
          <t>991003020269702656</t>
        </is>
      </c>
      <c r="AX1321" t="inlineStr">
        <is>
          <t>991003020269702656</t>
        </is>
      </c>
      <c r="AY1321" t="inlineStr">
        <is>
          <t>2270580830002656</t>
        </is>
      </c>
      <c r="AZ1321" t="inlineStr">
        <is>
          <t>BOOK</t>
        </is>
      </c>
      <c r="BC1321" t="inlineStr">
        <is>
          <t>32285002093770</t>
        </is>
      </c>
      <c r="BD1321" t="inlineStr">
        <is>
          <t>893511490</t>
        </is>
      </c>
    </row>
    <row r="1322">
      <c r="A1322" t="inlineStr">
        <is>
          <t>No</t>
        </is>
      </c>
      <c r="B1322" t="inlineStr">
        <is>
          <t>BX2230.2 .W5 1961</t>
        </is>
      </c>
      <c r="C1322" t="inlineStr">
        <is>
          <t>0                      BX 2230200W  5           1961</t>
        </is>
      </c>
      <c r="D1322" t="inlineStr">
        <is>
          <t>The living Mass / by Harold J. Wickey.</t>
        </is>
      </c>
      <c r="F1322" t="inlineStr">
        <is>
          <t>No</t>
        </is>
      </c>
      <c r="G1322" t="inlineStr">
        <is>
          <t>1</t>
        </is>
      </c>
      <c r="H1322" t="inlineStr">
        <is>
          <t>No</t>
        </is>
      </c>
      <c r="I1322" t="inlineStr">
        <is>
          <t>No</t>
        </is>
      </c>
      <c r="J1322" t="inlineStr">
        <is>
          <t>0</t>
        </is>
      </c>
      <c r="K1322" t="inlineStr">
        <is>
          <t>Wickey, Harold J.</t>
        </is>
      </c>
      <c r="L1322" t="inlineStr">
        <is>
          <t>Milwaukee : Bruce Pub. Co., [1961]</t>
        </is>
      </c>
      <c r="M1322" t="inlineStr">
        <is>
          <t>1961</t>
        </is>
      </c>
      <c r="O1322" t="inlineStr">
        <is>
          <t>eng</t>
        </is>
      </c>
      <c r="P1322" t="inlineStr">
        <is>
          <t>wiu</t>
        </is>
      </c>
      <c r="R1322" t="inlineStr">
        <is>
          <t xml:space="preserve">BX </t>
        </is>
      </c>
      <c r="S1322" t="n">
        <v>2</v>
      </c>
      <c r="T1322" t="n">
        <v>2</v>
      </c>
      <c r="U1322" t="inlineStr">
        <is>
          <t>1994-11-19</t>
        </is>
      </c>
      <c r="V1322" t="inlineStr">
        <is>
          <t>1994-11-19</t>
        </is>
      </c>
      <c r="W1322" t="inlineStr">
        <is>
          <t>1991-10-18</t>
        </is>
      </c>
      <c r="X1322" t="inlineStr">
        <is>
          <t>1991-10-18</t>
        </is>
      </c>
      <c r="Y1322" t="n">
        <v>98</v>
      </c>
      <c r="Z1322" t="n">
        <v>89</v>
      </c>
      <c r="AA1322" t="n">
        <v>89</v>
      </c>
      <c r="AB1322" t="n">
        <v>2</v>
      </c>
      <c r="AC1322" t="n">
        <v>2</v>
      </c>
      <c r="AD1322" t="n">
        <v>12</v>
      </c>
      <c r="AE1322" t="n">
        <v>12</v>
      </c>
      <c r="AF1322" t="n">
        <v>3</v>
      </c>
      <c r="AG1322" t="n">
        <v>3</v>
      </c>
      <c r="AH1322" t="n">
        <v>1</v>
      </c>
      <c r="AI1322" t="n">
        <v>1</v>
      </c>
      <c r="AJ1322" t="n">
        <v>11</v>
      </c>
      <c r="AK1322" t="n">
        <v>11</v>
      </c>
      <c r="AL1322" t="n">
        <v>0</v>
      </c>
      <c r="AM1322" t="n">
        <v>0</v>
      </c>
      <c r="AN1322" t="n">
        <v>0</v>
      </c>
      <c r="AO1322" t="n">
        <v>0</v>
      </c>
      <c r="AP1322" t="inlineStr">
        <is>
          <t>No</t>
        </is>
      </c>
      <c r="AQ1322" t="inlineStr">
        <is>
          <t>No</t>
        </is>
      </c>
      <c r="AS1322">
        <f>HYPERLINK("https://creighton-primo.hosted.exlibrisgroup.com/primo-explore/search?tab=default_tab&amp;search_scope=EVERYTHING&amp;vid=01CRU&amp;lang=en_US&amp;offset=0&amp;query=any,contains,991003996219702656","Catalog Record")</f>
        <v/>
      </c>
      <c r="AT1322">
        <f>HYPERLINK("http://www.worldcat.org/oclc/2061769","WorldCat Record")</f>
        <v/>
      </c>
      <c r="AU1322" t="inlineStr">
        <is>
          <t>3736519:eng</t>
        </is>
      </c>
      <c r="AV1322" t="inlineStr">
        <is>
          <t>2061769</t>
        </is>
      </c>
      <c r="AW1322" t="inlineStr">
        <is>
          <t>991003996219702656</t>
        </is>
      </c>
      <c r="AX1322" t="inlineStr">
        <is>
          <t>991003996219702656</t>
        </is>
      </c>
      <c r="AY1322" t="inlineStr">
        <is>
          <t>2261313550002656</t>
        </is>
      </c>
      <c r="AZ1322" t="inlineStr">
        <is>
          <t>BOOK</t>
        </is>
      </c>
      <c r="BC1322" t="inlineStr">
        <is>
          <t>32285000810068</t>
        </is>
      </c>
      <c r="BD1322" t="inlineStr">
        <is>
          <t>893349490</t>
        </is>
      </c>
    </row>
    <row r="1323">
      <c r="A1323" t="inlineStr">
        <is>
          <t>No</t>
        </is>
      </c>
      <c r="B1323" t="inlineStr">
        <is>
          <t>BX2230.5 .C66 1997</t>
        </is>
      </c>
      <c r="C1323" t="inlineStr">
        <is>
          <t>0                      BX 2230500C  66          1997</t>
        </is>
      </c>
      <c r="D1323" t="inlineStr">
        <is>
          <t>The future of Eucharist : how a new self-awareness among Catholics is changing the way they believe and worship / by Bernard Cooke.</t>
        </is>
      </c>
      <c r="F1323" t="inlineStr">
        <is>
          <t>No</t>
        </is>
      </c>
      <c r="G1323" t="inlineStr">
        <is>
          <t>1</t>
        </is>
      </c>
      <c r="H1323" t="inlineStr">
        <is>
          <t>No</t>
        </is>
      </c>
      <c r="I1323" t="inlineStr">
        <is>
          <t>No</t>
        </is>
      </c>
      <c r="J1323" t="inlineStr">
        <is>
          <t>0</t>
        </is>
      </c>
      <c r="K1323" t="inlineStr">
        <is>
          <t>Cooke, Bernard J., 1922-</t>
        </is>
      </c>
      <c r="L1323" t="inlineStr">
        <is>
          <t>New York : Paulist Press, c1997.</t>
        </is>
      </c>
      <c r="M1323" t="inlineStr">
        <is>
          <t>1997</t>
        </is>
      </c>
      <c r="O1323" t="inlineStr">
        <is>
          <t>eng</t>
        </is>
      </c>
      <c r="P1323" t="inlineStr">
        <is>
          <t>nyu</t>
        </is>
      </c>
      <c r="R1323" t="inlineStr">
        <is>
          <t xml:space="preserve">BX </t>
        </is>
      </c>
      <c r="S1323" t="n">
        <v>2</v>
      </c>
      <c r="T1323" t="n">
        <v>2</v>
      </c>
      <c r="U1323" t="inlineStr">
        <is>
          <t>1999-06-28</t>
        </is>
      </c>
      <c r="V1323" t="inlineStr">
        <is>
          <t>1999-06-28</t>
        </is>
      </c>
      <c r="W1323" t="inlineStr">
        <is>
          <t>1997-05-14</t>
        </is>
      </c>
      <c r="X1323" t="inlineStr">
        <is>
          <t>1997-05-14</t>
        </is>
      </c>
      <c r="Y1323" t="n">
        <v>185</v>
      </c>
      <c r="Z1323" t="n">
        <v>161</v>
      </c>
      <c r="AA1323" t="n">
        <v>167</v>
      </c>
      <c r="AB1323" t="n">
        <v>2</v>
      </c>
      <c r="AC1323" t="n">
        <v>2</v>
      </c>
      <c r="AD1323" t="n">
        <v>21</v>
      </c>
      <c r="AE1323" t="n">
        <v>21</v>
      </c>
      <c r="AF1323" t="n">
        <v>5</v>
      </c>
      <c r="AG1323" t="n">
        <v>5</v>
      </c>
      <c r="AH1323" t="n">
        <v>4</v>
      </c>
      <c r="AI1323" t="n">
        <v>4</v>
      </c>
      <c r="AJ1323" t="n">
        <v>13</v>
      </c>
      <c r="AK1323" t="n">
        <v>13</v>
      </c>
      <c r="AL1323" t="n">
        <v>1</v>
      </c>
      <c r="AM1323" t="n">
        <v>1</v>
      </c>
      <c r="AN1323" t="n">
        <v>0</v>
      </c>
      <c r="AO1323" t="n">
        <v>0</v>
      </c>
      <c r="AP1323" t="inlineStr">
        <is>
          <t>No</t>
        </is>
      </c>
      <c r="AQ1323" t="inlineStr">
        <is>
          <t>Yes</t>
        </is>
      </c>
      <c r="AR1323">
        <f>HYPERLINK("http://catalog.hathitrust.org/Record/101981753","HathiTrust Record")</f>
        <v/>
      </c>
      <c r="AS1323">
        <f>HYPERLINK("https://creighton-primo.hosted.exlibrisgroup.com/primo-explore/search?tab=default_tab&amp;search_scope=EVERYTHING&amp;vid=01CRU&amp;lang=en_US&amp;offset=0&amp;query=any,contains,991002693669702656","Catalog Record")</f>
        <v/>
      </c>
      <c r="AT1323">
        <f>HYPERLINK("http://www.worldcat.org/oclc/35174935","WorldCat Record")</f>
        <v/>
      </c>
      <c r="AU1323" t="inlineStr">
        <is>
          <t>309198976:eng</t>
        </is>
      </c>
      <c r="AV1323" t="inlineStr">
        <is>
          <t>35174935</t>
        </is>
      </c>
      <c r="AW1323" t="inlineStr">
        <is>
          <t>991002693669702656</t>
        </is>
      </c>
      <c r="AX1323" t="inlineStr">
        <is>
          <t>991002693669702656</t>
        </is>
      </c>
      <c r="AY1323" t="inlineStr">
        <is>
          <t>2271744650002656</t>
        </is>
      </c>
      <c r="AZ1323" t="inlineStr">
        <is>
          <t>BOOK</t>
        </is>
      </c>
      <c r="BB1323" t="inlineStr">
        <is>
          <t>9780809136971</t>
        </is>
      </c>
      <c r="BC1323" t="inlineStr">
        <is>
          <t>32285002608239</t>
        </is>
      </c>
      <c r="BD1323" t="inlineStr">
        <is>
          <t>893504710</t>
        </is>
      </c>
    </row>
    <row r="1324">
      <c r="A1324" t="inlineStr">
        <is>
          <t>No</t>
        </is>
      </c>
      <c r="B1324" t="inlineStr">
        <is>
          <t>BX2230.5 .H313 1967</t>
        </is>
      </c>
      <c r="C1324" t="inlineStr">
        <is>
          <t>0                      BX 2230500H  313         1967</t>
        </is>
      </c>
      <c r="D1324" t="inlineStr">
        <is>
          <t>The Mass : ancient liturgies and patristic texts / Editor: André [sic] Hamman. English editorial supervisor: Thomas Halton.</t>
        </is>
      </c>
      <c r="F1324" t="inlineStr">
        <is>
          <t>No</t>
        </is>
      </c>
      <c r="G1324" t="inlineStr">
        <is>
          <t>1</t>
        </is>
      </c>
      <c r="H1324" t="inlineStr">
        <is>
          <t>No</t>
        </is>
      </c>
      <c r="I1324" t="inlineStr">
        <is>
          <t>No</t>
        </is>
      </c>
      <c r="J1324" t="inlineStr">
        <is>
          <t>0</t>
        </is>
      </c>
      <c r="K1324" t="inlineStr">
        <is>
          <t>Hamman, A.-G. (Adalbert-G.), 1910-2000.</t>
        </is>
      </c>
      <c r="L1324" t="inlineStr">
        <is>
          <t>Staten Island, N. Y. : Alba House, [1967]</t>
        </is>
      </c>
      <c r="M1324" t="inlineStr">
        <is>
          <t>1967</t>
        </is>
      </c>
      <c r="O1324" t="inlineStr">
        <is>
          <t>eng</t>
        </is>
      </c>
      <c r="P1324" t="inlineStr">
        <is>
          <t xml:space="preserve">xx </t>
        </is>
      </c>
      <c r="Q1324" t="inlineStr">
        <is>
          <t>Alba patristic library ; 1</t>
        </is>
      </c>
      <c r="R1324" t="inlineStr">
        <is>
          <t xml:space="preserve">BX </t>
        </is>
      </c>
      <c r="S1324" t="n">
        <v>2</v>
      </c>
      <c r="T1324" t="n">
        <v>2</v>
      </c>
      <c r="U1324" t="inlineStr">
        <is>
          <t>1997-11-08</t>
        </is>
      </c>
      <c r="V1324" t="inlineStr">
        <is>
          <t>1997-11-08</t>
        </is>
      </c>
      <c r="W1324" t="inlineStr">
        <is>
          <t>1991-10-18</t>
        </is>
      </c>
      <c r="X1324" t="inlineStr">
        <is>
          <t>1991-10-18</t>
        </is>
      </c>
      <c r="Y1324" t="n">
        <v>247</v>
      </c>
      <c r="Z1324" t="n">
        <v>211</v>
      </c>
      <c r="AA1324" t="n">
        <v>224</v>
      </c>
      <c r="AB1324" t="n">
        <v>4</v>
      </c>
      <c r="AC1324" t="n">
        <v>4</v>
      </c>
      <c r="AD1324" t="n">
        <v>34</v>
      </c>
      <c r="AE1324" t="n">
        <v>34</v>
      </c>
      <c r="AF1324" t="n">
        <v>14</v>
      </c>
      <c r="AG1324" t="n">
        <v>14</v>
      </c>
      <c r="AH1324" t="n">
        <v>9</v>
      </c>
      <c r="AI1324" t="n">
        <v>9</v>
      </c>
      <c r="AJ1324" t="n">
        <v>23</v>
      </c>
      <c r="AK1324" t="n">
        <v>23</v>
      </c>
      <c r="AL1324" t="n">
        <v>1</v>
      </c>
      <c r="AM1324" t="n">
        <v>1</v>
      </c>
      <c r="AN1324" t="n">
        <v>0</v>
      </c>
      <c r="AO1324" t="n">
        <v>0</v>
      </c>
      <c r="AP1324" t="inlineStr">
        <is>
          <t>No</t>
        </is>
      </c>
      <c r="AQ1324" t="inlineStr">
        <is>
          <t>Yes</t>
        </is>
      </c>
      <c r="AR1324">
        <f>HYPERLINK("http://catalog.hathitrust.org/Record/102073774","HathiTrust Record")</f>
        <v/>
      </c>
      <c r="AS1324">
        <f>HYPERLINK("https://creighton-primo.hosted.exlibrisgroup.com/primo-explore/search?tab=default_tab&amp;search_scope=EVERYTHING&amp;vid=01CRU&amp;lang=en_US&amp;offset=0&amp;query=any,contains,991003193029702656","Catalog Record")</f>
        <v/>
      </c>
      <c r="AT1324">
        <f>HYPERLINK("http://www.worldcat.org/oclc/718069","WorldCat Record")</f>
        <v/>
      </c>
      <c r="AU1324" t="inlineStr">
        <is>
          <t>29010489:eng</t>
        </is>
      </c>
      <c r="AV1324" t="inlineStr">
        <is>
          <t>718069</t>
        </is>
      </c>
      <c r="AW1324" t="inlineStr">
        <is>
          <t>991003193029702656</t>
        </is>
      </c>
      <c r="AX1324" t="inlineStr">
        <is>
          <t>991003193029702656</t>
        </is>
      </c>
      <c r="AY1324" t="inlineStr">
        <is>
          <t>2256363480002656</t>
        </is>
      </c>
      <c r="AZ1324" t="inlineStr">
        <is>
          <t>BOOK</t>
        </is>
      </c>
      <c r="BC1324" t="inlineStr">
        <is>
          <t>32285000810084</t>
        </is>
      </c>
      <c r="BD1324" t="inlineStr">
        <is>
          <t>893887226</t>
        </is>
      </c>
    </row>
    <row r="1325">
      <c r="A1325" t="inlineStr">
        <is>
          <t>No</t>
        </is>
      </c>
      <c r="B1325" t="inlineStr">
        <is>
          <t>BX2230.5 .S66 2003</t>
        </is>
      </c>
      <c r="C1325" t="inlineStr">
        <is>
          <t>0                      BX 2230500S  66          2003</t>
        </is>
      </c>
      <c r="D1325" t="inlineStr">
        <is>
          <t>How not to say Mass : a guidebook on liturgical principles and the Roman missal / Dennis C. Smolarski.</t>
        </is>
      </c>
      <c r="F1325" t="inlineStr">
        <is>
          <t>No</t>
        </is>
      </c>
      <c r="G1325" t="inlineStr">
        <is>
          <t>1</t>
        </is>
      </c>
      <c r="H1325" t="inlineStr">
        <is>
          <t>No</t>
        </is>
      </c>
      <c r="I1325" t="inlineStr">
        <is>
          <t>No</t>
        </is>
      </c>
      <c r="J1325" t="inlineStr">
        <is>
          <t>0</t>
        </is>
      </c>
      <c r="K1325" t="inlineStr">
        <is>
          <t>Smolarski, Dennis Chester, 1947-</t>
        </is>
      </c>
      <c r="L1325" t="inlineStr">
        <is>
          <t>New York : Paulist Press, c2003.</t>
        </is>
      </c>
      <c r="M1325" t="inlineStr">
        <is>
          <t>2003</t>
        </is>
      </c>
      <c r="N1325" t="inlineStr">
        <is>
          <t>Rev. ed.</t>
        </is>
      </c>
      <c r="O1325" t="inlineStr">
        <is>
          <t>eng</t>
        </is>
      </c>
      <c r="P1325" t="inlineStr">
        <is>
          <t>nyu</t>
        </is>
      </c>
      <c r="R1325" t="inlineStr">
        <is>
          <t xml:space="preserve">BX </t>
        </is>
      </c>
      <c r="S1325" t="n">
        <v>3</v>
      </c>
      <c r="T1325" t="n">
        <v>3</v>
      </c>
      <c r="U1325" t="inlineStr">
        <is>
          <t>2004-11-09</t>
        </is>
      </c>
      <c r="V1325" t="inlineStr">
        <is>
          <t>2004-11-09</t>
        </is>
      </c>
      <c r="W1325" t="inlineStr">
        <is>
          <t>2003-11-19</t>
        </is>
      </c>
      <c r="X1325" t="inlineStr">
        <is>
          <t>2003-11-19</t>
        </is>
      </c>
      <c r="Y1325" t="n">
        <v>81</v>
      </c>
      <c r="Z1325" t="n">
        <v>66</v>
      </c>
      <c r="AA1325" t="n">
        <v>99</v>
      </c>
      <c r="AB1325" t="n">
        <v>1</v>
      </c>
      <c r="AC1325" t="n">
        <v>1</v>
      </c>
      <c r="AD1325" t="n">
        <v>7</v>
      </c>
      <c r="AE1325" t="n">
        <v>12</v>
      </c>
      <c r="AF1325" t="n">
        <v>1</v>
      </c>
      <c r="AG1325" t="n">
        <v>4</v>
      </c>
      <c r="AH1325" t="n">
        <v>2</v>
      </c>
      <c r="AI1325" t="n">
        <v>3</v>
      </c>
      <c r="AJ1325" t="n">
        <v>6</v>
      </c>
      <c r="AK1325" t="n">
        <v>9</v>
      </c>
      <c r="AL1325" t="n">
        <v>0</v>
      </c>
      <c r="AM1325" t="n">
        <v>0</v>
      </c>
      <c r="AN1325" t="n">
        <v>0</v>
      </c>
      <c r="AO1325" t="n">
        <v>0</v>
      </c>
      <c r="AP1325" t="inlineStr">
        <is>
          <t>No</t>
        </is>
      </c>
      <c r="AQ1325" t="inlineStr">
        <is>
          <t>No</t>
        </is>
      </c>
      <c r="AS1325">
        <f>HYPERLINK("https://creighton-primo.hosted.exlibrisgroup.com/primo-explore/search?tab=default_tab&amp;search_scope=EVERYTHING&amp;vid=01CRU&amp;lang=en_US&amp;offset=0&amp;query=any,contains,991004165909702656","Catalog Record")</f>
        <v/>
      </c>
      <c r="AT1325">
        <f>HYPERLINK("http://www.worldcat.org/oclc/52821243","WorldCat Record")</f>
        <v/>
      </c>
      <c r="AU1325" t="inlineStr">
        <is>
          <t>2465853885:eng</t>
        </is>
      </c>
      <c r="AV1325" t="inlineStr">
        <is>
          <t>52821243</t>
        </is>
      </c>
      <c r="AW1325" t="inlineStr">
        <is>
          <t>991004165909702656</t>
        </is>
      </c>
      <c r="AX1325" t="inlineStr">
        <is>
          <t>991004165909702656</t>
        </is>
      </c>
      <c r="AY1325" t="inlineStr">
        <is>
          <t>2271825660002656</t>
        </is>
      </c>
      <c r="AZ1325" t="inlineStr">
        <is>
          <t>BOOK</t>
        </is>
      </c>
      <c r="BB1325" t="inlineStr">
        <is>
          <t>9780809141647</t>
        </is>
      </c>
      <c r="BC1325" t="inlineStr">
        <is>
          <t>32285004799762</t>
        </is>
      </c>
      <c r="BD1325" t="inlineStr">
        <is>
          <t>893593345</t>
        </is>
      </c>
    </row>
    <row r="1326">
      <c r="A1326" t="inlineStr">
        <is>
          <t>No</t>
        </is>
      </c>
      <c r="B1326" t="inlineStr">
        <is>
          <t>BX2233 .C6513 1980</t>
        </is>
      </c>
      <c r="C1326" t="inlineStr">
        <is>
          <t>0                      BX 2233000C  6513        1980</t>
        </is>
      </c>
      <c r="D1326" t="inlineStr">
        <is>
          <t>On certain norms concerning worship of the eucharistic mystery = Instruction, Inaestimabile donum / Sacred Congregation for the Sacraments and Divine Worship.</t>
        </is>
      </c>
      <c r="F1326" t="inlineStr">
        <is>
          <t>No</t>
        </is>
      </c>
      <c r="G1326" t="inlineStr">
        <is>
          <t>1</t>
        </is>
      </c>
      <c r="H1326" t="inlineStr">
        <is>
          <t>No</t>
        </is>
      </c>
      <c r="I1326" t="inlineStr">
        <is>
          <t>No</t>
        </is>
      </c>
      <c r="J1326" t="inlineStr">
        <is>
          <t>0</t>
        </is>
      </c>
      <c r="K1326" t="inlineStr">
        <is>
          <t>Catholic Church. Congregatio pro Sacramentis et Cultu Divino.</t>
        </is>
      </c>
      <c r="L1326" t="inlineStr">
        <is>
          <t>Washington, D.C. : Publications Office, United States Catholic Conference, c1980.</t>
        </is>
      </c>
      <c r="M1326" t="inlineStr">
        <is>
          <t>1980</t>
        </is>
      </c>
      <c r="O1326" t="inlineStr">
        <is>
          <t>eng</t>
        </is>
      </c>
      <c r="P1326" t="inlineStr">
        <is>
          <t>dcu</t>
        </is>
      </c>
      <c r="R1326" t="inlineStr">
        <is>
          <t xml:space="preserve">BX </t>
        </is>
      </c>
      <c r="S1326" t="n">
        <v>4</v>
      </c>
      <c r="T1326" t="n">
        <v>4</v>
      </c>
      <c r="U1326" t="inlineStr">
        <is>
          <t>1997-06-22</t>
        </is>
      </c>
      <c r="V1326" t="inlineStr">
        <is>
          <t>1997-06-22</t>
        </is>
      </c>
      <c r="W1326" t="inlineStr">
        <is>
          <t>1991-10-18</t>
        </is>
      </c>
      <c r="X1326" t="inlineStr">
        <is>
          <t>1991-10-18</t>
        </is>
      </c>
      <c r="Y1326" t="n">
        <v>64</v>
      </c>
      <c r="Z1326" t="n">
        <v>59</v>
      </c>
      <c r="AA1326" t="n">
        <v>60</v>
      </c>
      <c r="AB1326" t="n">
        <v>1</v>
      </c>
      <c r="AC1326" t="n">
        <v>1</v>
      </c>
      <c r="AD1326" t="n">
        <v>7</v>
      </c>
      <c r="AE1326" t="n">
        <v>7</v>
      </c>
      <c r="AF1326" t="n">
        <v>1</v>
      </c>
      <c r="AG1326" t="n">
        <v>1</v>
      </c>
      <c r="AH1326" t="n">
        <v>3</v>
      </c>
      <c r="AI1326" t="n">
        <v>3</v>
      </c>
      <c r="AJ1326" t="n">
        <v>6</v>
      </c>
      <c r="AK1326" t="n">
        <v>6</v>
      </c>
      <c r="AL1326" t="n">
        <v>0</v>
      </c>
      <c r="AM1326" t="n">
        <v>0</v>
      </c>
      <c r="AN1326" t="n">
        <v>0</v>
      </c>
      <c r="AO1326" t="n">
        <v>0</v>
      </c>
      <c r="AP1326" t="inlineStr">
        <is>
          <t>No</t>
        </is>
      </c>
      <c r="AQ1326" t="inlineStr">
        <is>
          <t>No</t>
        </is>
      </c>
      <c r="AS1326">
        <f>HYPERLINK("https://creighton-primo.hosted.exlibrisgroup.com/primo-explore/search?tab=default_tab&amp;search_scope=EVERYTHING&amp;vid=01CRU&amp;lang=en_US&amp;offset=0&amp;query=any,contains,991005056219702656","Catalog Record")</f>
        <v/>
      </c>
      <c r="AT1326">
        <f>HYPERLINK("http://www.worldcat.org/oclc/6896352","WorldCat Record")</f>
        <v/>
      </c>
      <c r="AU1326" t="inlineStr">
        <is>
          <t>9322765232:eng</t>
        </is>
      </c>
      <c r="AV1326" t="inlineStr">
        <is>
          <t>6896352</t>
        </is>
      </c>
      <c r="AW1326" t="inlineStr">
        <is>
          <t>991005056219702656</t>
        </is>
      </c>
      <c r="AX1326" t="inlineStr">
        <is>
          <t>991005056219702656</t>
        </is>
      </c>
      <c r="AY1326" t="inlineStr">
        <is>
          <t>2272108930002656</t>
        </is>
      </c>
      <c r="AZ1326" t="inlineStr">
        <is>
          <t>BOOK</t>
        </is>
      </c>
      <c r="BC1326" t="inlineStr">
        <is>
          <t>32285000810142</t>
        </is>
      </c>
      <c r="BD1326" t="inlineStr">
        <is>
          <t>893248277</t>
        </is>
      </c>
    </row>
    <row r="1327">
      <c r="A1327" t="inlineStr">
        <is>
          <t>No</t>
        </is>
      </c>
      <c r="B1327" t="inlineStr">
        <is>
          <t>BX2233 .G76 1999</t>
        </is>
      </c>
      <c r="C1327" t="inlineStr">
        <is>
          <t>0                      BX 2233000G  76          1999</t>
        </is>
      </c>
      <c r="D1327" t="inlineStr">
        <is>
          <t>Praying in the presence of our Lord : prayers for eucharistic adoration / [compiled by] Benedict J. Groeschel.</t>
        </is>
      </c>
      <c r="F1327" t="inlineStr">
        <is>
          <t>No</t>
        </is>
      </c>
      <c r="G1327" t="inlineStr">
        <is>
          <t>1</t>
        </is>
      </c>
      <c r="H1327" t="inlineStr">
        <is>
          <t>No</t>
        </is>
      </c>
      <c r="I1327" t="inlineStr">
        <is>
          <t>No</t>
        </is>
      </c>
      <c r="J1327" t="inlineStr">
        <is>
          <t>0</t>
        </is>
      </c>
      <c r="L1327" t="inlineStr">
        <is>
          <t>Huntington, Ind. : Our Sunday Visitor, c1999.</t>
        </is>
      </c>
      <c r="M1327" t="inlineStr">
        <is>
          <t>1999</t>
        </is>
      </c>
      <c r="O1327" t="inlineStr">
        <is>
          <t>eng</t>
        </is>
      </c>
      <c r="P1327" t="inlineStr">
        <is>
          <t>inu</t>
        </is>
      </c>
      <c r="R1327" t="inlineStr">
        <is>
          <t xml:space="preserve">BX </t>
        </is>
      </c>
      <c r="S1327" t="n">
        <v>1</v>
      </c>
      <c r="T1327" t="n">
        <v>1</v>
      </c>
      <c r="U1327" t="inlineStr">
        <is>
          <t>2002-08-13</t>
        </is>
      </c>
      <c r="V1327" t="inlineStr">
        <is>
          <t>2002-08-13</t>
        </is>
      </c>
      <c r="W1327" t="inlineStr">
        <is>
          <t>2002-08-13</t>
        </is>
      </c>
      <c r="X1327" t="inlineStr">
        <is>
          <t>2002-08-13</t>
        </is>
      </c>
      <c r="Y1327" t="n">
        <v>51</v>
      </c>
      <c r="Z1327" t="n">
        <v>46</v>
      </c>
      <c r="AA1327" t="n">
        <v>59</v>
      </c>
      <c r="AB1327" t="n">
        <v>2</v>
      </c>
      <c r="AC1327" t="n">
        <v>2</v>
      </c>
      <c r="AD1327" t="n">
        <v>4</v>
      </c>
      <c r="AE1327" t="n">
        <v>4</v>
      </c>
      <c r="AF1327" t="n">
        <v>0</v>
      </c>
      <c r="AG1327" t="n">
        <v>0</v>
      </c>
      <c r="AH1327" t="n">
        <v>2</v>
      </c>
      <c r="AI1327" t="n">
        <v>2</v>
      </c>
      <c r="AJ1327" t="n">
        <v>3</v>
      </c>
      <c r="AK1327" t="n">
        <v>3</v>
      </c>
      <c r="AL1327" t="n">
        <v>0</v>
      </c>
      <c r="AM1327" t="n">
        <v>0</v>
      </c>
      <c r="AN1327" t="n">
        <v>0</v>
      </c>
      <c r="AO1327" t="n">
        <v>0</v>
      </c>
      <c r="AP1327" t="inlineStr">
        <is>
          <t>No</t>
        </is>
      </c>
      <c r="AQ1327" t="inlineStr">
        <is>
          <t>No</t>
        </is>
      </c>
      <c r="AS1327">
        <f>HYPERLINK("https://creighton-primo.hosted.exlibrisgroup.com/primo-explore/search?tab=default_tab&amp;search_scope=EVERYTHING&amp;vid=01CRU&amp;lang=en_US&amp;offset=0&amp;query=any,contains,991003858849702656","Catalog Record")</f>
        <v/>
      </c>
      <c r="AT1327">
        <f>HYPERLINK("http://www.worldcat.org/oclc/41012768","WorldCat Record")</f>
        <v/>
      </c>
      <c r="AU1327" t="inlineStr">
        <is>
          <t>5164226666:eng</t>
        </is>
      </c>
      <c r="AV1327" t="inlineStr">
        <is>
          <t>41012768</t>
        </is>
      </c>
      <c r="AW1327" t="inlineStr">
        <is>
          <t>991003858849702656</t>
        </is>
      </c>
      <c r="AX1327" t="inlineStr">
        <is>
          <t>991003858849702656</t>
        </is>
      </c>
      <c r="AY1327" t="inlineStr">
        <is>
          <t>2258764970002656</t>
        </is>
      </c>
      <c r="AZ1327" t="inlineStr">
        <is>
          <t>BOOK</t>
        </is>
      </c>
      <c r="BB1327" t="inlineStr">
        <is>
          <t>9780879735869</t>
        </is>
      </c>
      <c r="BC1327" t="inlineStr">
        <is>
          <t>32285004643143</t>
        </is>
      </c>
      <c r="BD1327" t="inlineStr">
        <is>
          <t>893787904</t>
        </is>
      </c>
    </row>
    <row r="1328">
      <c r="A1328" t="inlineStr">
        <is>
          <t>No</t>
        </is>
      </c>
      <c r="B1328" t="inlineStr">
        <is>
          <t>BX2233 .M58</t>
        </is>
      </c>
      <c r="C1328" t="inlineStr">
        <is>
          <t>0                      BX 2233000M  58</t>
        </is>
      </c>
      <c r="D1328" t="inlineStr">
        <is>
          <t>Cult and controversy : the worship of the eucharist outside mass / Nathan Mitchell.</t>
        </is>
      </c>
      <c r="F1328" t="inlineStr">
        <is>
          <t>No</t>
        </is>
      </c>
      <c r="G1328" t="inlineStr">
        <is>
          <t>1</t>
        </is>
      </c>
      <c r="H1328" t="inlineStr">
        <is>
          <t>No</t>
        </is>
      </c>
      <c r="I1328" t="inlineStr">
        <is>
          <t>No</t>
        </is>
      </c>
      <c r="J1328" t="inlineStr">
        <is>
          <t>0</t>
        </is>
      </c>
      <c r="K1328" t="inlineStr">
        <is>
          <t>Mitchell, Nathan.</t>
        </is>
      </c>
      <c r="L1328" t="inlineStr">
        <is>
          <t>New York : Pueblo Publishing Co., c1982.</t>
        </is>
      </c>
      <c r="M1328" t="inlineStr">
        <is>
          <t>1982</t>
        </is>
      </c>
      <c r="O1328" t="inlineStr">
        <is>
          <t>eng</t>
        </is>
      </c>
      <c r="P1328" t="inlineStr">
        <is>
          <t>nyu</t>
        </is>
      </c>
      <c r="Q1328" t="inlineStr">
        <is>
          <t>Studies in the reformed rites of the Catholic Church ; v. 4</t>
        </is>
      </c>
      <c r="R1328" t="inlineStr">
        <is>
          <t xml:space="preserve">BX </t>
        </is>
      </c>
      <c r="S1328" t="n">
        <v>4</v>
      </c>
      <c r="T1328" t="n">
        <v>4</v>
      </c>
      <c r="U1328" t="inlineStr">
        <is>
          <t>2008-06-09</t>
        </is>
      </c>
      <c r="V1328" t="inlineStr">
        <is>
          <t>2008-06-09</t>
        </is>
      </c>
      <c r="W1328" t="inlineStr">
        <is>
          <t>1991-10-18</t>
        </is>
      </c>
      <c r="X1328" t="inlineStr">
        <is>
          <t>1991-10-18</t>
        </is>
      </c>
      <c r="Y1328" t="n">
        <v>269</v>
      </c>
      <c r="Z1328" t="n">
        <v>215</v>
      </c>
      <c r="AA1328" t="n">
        <v>245</v>
      </c>
      <c r="AB1328" t="n">
        <v>2</v>
      </c>
      <c r="AC1328" t="n">
        <v>3</v>
      </c>
      <c r="AD1328" t="n">
        <v>23</v>
      </c>
      <c r="AE1328" t="n">
        <v>28</v>
      </c>
      <c r="AF1328" t="n">
        <v>4</v>
      </c>
      <c r="AG1328" t="n">
        <v>8</v>
      </c>
      <c r="AH1328" t="n">
        <v>6</v>
      </c>
      <c r="AI1328" t="n">
        <v>7</v>
      </c>
      <c r="AJ1328" t="n">
        <v>18</v>
      </c>
      <c r="AK1328" t="n">
        <v>19</v>
      </c>
      <c r="AL1328" t="n">
        <v>0</v>
      </c>
      <c r="AM1328" t="n">
        <v>1</v>
      </c>
      <c r="AN1328" t="n">
        <v>0</v>
      </c>
      <c r="AO1328" t="n">
        <v>0</v>
      </c>
      <c r="AP1328" t="inlineStr">
        <is>
          <t>No</t>
        </is>
      </c>
      <c r="AQ1328" t="inlineStr">
        <is>
          <t>Yes</t>
        </is>
      </c>
      <c r="AR1328">
        <f>HYPERLINK("http://catalog.hathitrust.org/Record/000151336","HathiTrust Record")</f>
        <v/>
      </c>
      <c r="AS1328">
        <f>HYPERLINK("https://creighton-primo.hosted.exlibrisgroup.com/primo-explore/search?tab=default_tab&amp;search_scope=EVERYTHING&amp;vid=01CRU&amp;lang=en_US&amp;offset=0&amp;query=any,contains,991005228589702656","Catalog Record")</f>
        <v/>
      </c>
      <c r="AT1328">
        <f>HYPERLINK("http://www.worldcat.org/oclc/8300669","WorldCat Record")</f>
        <v/>
      </c>
      <c r="AU1328" t="inlineStr">
        <is>
          <t>476480:eng</t>
        </is>
      </c>
      <c r="AV1328" t="inlineStr">
        <is>
          <t>8300669</t>
        </is>
      </c>
      <c r="AW1328" t="inlineStr">
        <is>
          <t>991005228589702656</t>
        </is>
      </c>
      <c r="AX1328" t="inlineStr">
        <is>
          <t>991005228589702656</t>
        </is>
      </c>
      <c r="AY1328" t="inlineStr">
        <is>
          <t>2262611490002656</t>
        </is>
      </c>
      <c r="AZ1328" t="inlineStr">
        <is>
          <t>BOOK</t>
        </is>
      </c>
      <c r="BB1328" t="inlineStr">
        <is>
          <t>9780916134501</t>
        </is>
      </c>
      <c r="BC1328" t="inlineStr">
        <is>
          <t>32285000810159</t>
        </is>
      </c>
      <c r="BD1328" t="inlineStr">
        <is>
          <t>893607045</t>
        </is>
      </c>
    </row>
    <row r="1329">
      <c r="A1329" t="inlineStr">
        <is>
          <t>No</t>
        </is>
      </c>
      <c r="B1329" t="inlineStr">
        <is>
          <t>BX2233.3 .C37 1996</t>
        </is>
      </c>
      <c r="C1329" t="inlineStr">
        <is>
          <t>0                      BX 2233300C  37          1996</t>
        </is>
      </c>
      <c r="D1329" t="inlineStr">
        <is>
          <t>Solemn exposition of the Holy Eucharist / [Bishops' Committee on the Liturgy.]</t>
        </is>
      </c>
      <c r="F1329" t="inlineStr">
        <is>
          <t>No</t>
        </is>
      </c>
      <c r="G1329" t="inlineStr">
        <is>
          <t>1</t>
        </is>
      </c>
      <c r="H1329" t="inlineStr">
        <is>
          <t>No</t>
        </is>
      </c>
      <c r="I1329" t="inlineStr">
        <is>
          <t>No</t>
        </is>
      </c>
      <c r="J1329" t="inlineStr">
        <is>
          <t>0</t>
        </is>
      </c>
      <c r="K1329" t="inlineStr">
        <is>
          <t>Catholic Church. National Conference of Catholic Bishops. Bishops' Committee on the Liturgy.</t>
        </is>
      </c>
      <c r="L1329" t="inlineStr">
        <is>
          <t>Washington, D.C. : United States Catholic Conference, c1996.</t>
        </is>
      </c>
      <c r="M1329" t="inlineStr">
        <is>
          <t>1996</t>
        </is>
      </c>
      <c r="O1329" t="inlineStr">
        <is>
          <t>eng</t>
        </is>
      </c>
      <c r="P1329" t="inlineStr">
        <is>
          <t>dcu</t>
        </is>
      </c>
      <c r="Q1329" t="inlineStr">
        <is>
          <t>Liturgy documentary series ; 11</t>
        </is>
      </c>
      <c r="R1329" t="inlineStr">
        <is>
          <t xml:space="preserve">BX </t>
        </is>
      </c>
      <c r="S1329" t="n">
        <v>4</v>
      </c>
      <c r="T1329" t="n">
        <v>4</v>
      </c>
      <c r="U1329" t="inlineStr">
        <is>
          <t>2004-12-01</t>
        </is>
      </c>
      <c r="V1329" t="inlineStr">
        <is>
          <t>2004-12-01</t>
        </is>
      </c>
      <c r="W1329" t="inlineStr">
        <is>
          <t>1996-12-12</t>
        </is>
      </c>
      <c r="X1329" t="inlineStr">
        <is>
          <t>1996-12-12</t>
        </is>
      </c>
      <c r="Y1329" t="n">
        <v>94</v>
      </c>
      <c r="Z1329" t="n">
        <v>88</v>
      </c>
      <c r="AA1329" t="n">
        <v>93</v>
      </c>
      <c r="AB1329" t="n">
        <v>1</v>
      </c>
      <c r="AC1329" t="n">
        <v>1</v>
      </c>
      <c r="AD1329" t="n">
        <v>13</v>
      </c>
      <c r="AE1329" t="n">
        <v>13</v>
      </c>
      <c r="AF1329" t="n">
        <v>3</v>
      </c>
      <c r="AG1329" t="n">
        <v>3</v>
      </c>
      <c r="AH1329" t="n">
        <v>3</v>
      </c>
      <c r="AI1329" t="n">
        <v>3</v>
      </c>
      <c r="AJ1329" t="n">
        <v>10</v>
      </c>
      <c r="AK1329" t="n">
        <v>10</v>
      </c>
      <c r="AL1329" t="n">
        <v>0</v>
      </c>
      <c r="AM1329" t="n">
        <v>0</v>
      </c>
      <c r="AN1329" t="n">
        <v>0</v>
      </c>
      <c r="AO1329" t="n">
        <v>0</v>
      </c>
      <c r="AP1329" t="inlineStr">
        <is>
          <t>No</t>
        </is>
      </c>
      <c r="AQ1329" t="inlineStr">
        <is>
          <t>No</t>
        </is>
      </c>
      <c r="AS1329">
        <f>HYPERLINK("https://creighton-primo.hosted.exlibrisgroup.com/primo-explore/search?tab=default_tab&amp;search_scope=EVERYTHING&amp;vid=01CRU&amp;lang=en_US&amp;offset=0&amp;query=any,contains,991002688929702656","Catalog Record")</f>
        <v/>
      </c>
      <c r="AT1329">
        <f>HYPERLINK("http://www.worldcat.org/oclc/40396934","WorldCat Record")</f>
        <v/>
      </c>
      <c r="AU1329" t="inlineStr">
        <is>
          <t>5221240471:eng</t>
        </is>
      </c>
      <c r="AV1329" t="inlineStr">
        <is>
          <t>40396934</t>
        </is>
      </c>
      <c r="AW1329" t="inlineStr">
        <is>
          <t>991002688929702656</t>
        </is>
      </c>
      <c r="AX1329" t="inlineStr">
        <is>
          <t>991002688929702656</t>
        </is>
      </c>
      <c r="AY1329" t="inlineStr">
        <is>
          <t>2271438110002656</t>
        </is>
      </c>
      <c r="AZ1329" t="inlineStr">
        <is>
          <t>BOOK</t>
        </is>
      </c>
      <c r="BB1329" t="inlineStr">
        <is>
          <t>9781574551068</t>
        </is>
      </c>
      <c r="BC1329" t="inlineStr">
        <is>
          <t>32285002392610</t>
        </is>
      </c>
      <c r="BD1329" t="inlineStr">
        <is>
          <t>893603882</t>
        </is>
      </c>
    </row>
    <row r="1330">
      <c r="A1330" t="inlineStr">
        <is>
          <t>No</t>
        </is>
      </c>
      <c r="B1330" t="inlineStr">
        <is>
          <t>BX2235 .F34 1987</t>
        </is>
      </c>
      <c r="C1330" t="inlineStr">
        <is>
          <t>0                      BX 2235000F  34          1987</t>
        </is>
      </c>
      <c r="D1330" t="inlineStr">
        <is>
          <t>One bread and cup : source of communion / by Ernest R. Falardeau.</t>
        </is>
      </c>
      <c r="F1330" t="inlineStr">
        <is>
          <t>No</t>
        </is>
      </c>
      <c r="G1330" t="inlineStr">
        <is>
          <t>1</t>
        </is>
      </c>
      <c r="H1330" t="inlineStr">
        <is>
          <t>No</t>
        </is>
      </c>
      <c r="I1330" t="inlineStr">
        <is>
          <t>No</t>
        </is>
      </c>
      <c r="J1330" t="inlineStr">
        <is>
          <t>0</t>
        </is>
      </c>
      <c r="K1330" t="inlineStr">
        <is>
          <t>Falardeau, Ernest R.</t>
        </is>
      </c>
      <c r="L1330" t="inlineStr">
        <is>
          <t>Wilmington, Del. : M. Glazier, 1987.</t>
        </is>
      </c>
      <c r="M1330" t="inlineStr">
        <is>
          <t>1987</t>
        </is>
      </c>
      <c r="O1330" t="inlineStr">
        <is>
          <t>eng</t>
        </is>
      </c>
      <c r="P1330" t="inlineStr">
        <is>
          <t>deu</t>
        </is>
      </c>
      <c r="R1330" t="inlineStr">
        <is>
          <t xml:space="preserve">BX </t>
        </is>
      </c>
      <c r="S1330" t="n">
        <v>8</v>
      </c>
      <c r="T1330" t="n">
        <v>8</v>
      </c>
      <c r="U1330" t="inlineStr">
        <is>
          <t>2004-12-03</t>
        </is>
      </c>
      <c r="V1330" t="inlineStr">
        <is>
          <t>2004-12-03</t>
        </is>
      </c>
      <c r="W1330" t="inlineStr">
        <is>
          <t>1991-10-18</t>
        </is>
      </c>
      <c r="X1330" t="inlineStr">
        <is>
          <t>1991-10-18</t>
        </is>
      </c>
      <c r="Y1330" t="n">
        <v>117</v>
      </c>
      <c r="Z1330" t="n">
        <v>104</v>
      </c>
      <c r="AA1330" t="n">
        <v>125</v>
      </c>
      <c r="AB1330" t="n">
        <v>1</v>
      </c>
      <c r="AC1330" t="n">
        <v>1</v>
      </c>
      <c r="AD1330" t="n">
        <v>13</v>
      </c>
      <c r="AE1330" t="n">
        <v>17</v>
      </c>
      <c r="AF1330" t="n">
        <v>5</v>
      </c>
      <c r="AG1330" t="n">
        <v>6</v>
      </c>
      <c r="AH1330" t="n">
        <v>5</v>
      </c>
      <c r="AI1330" t="n">
        <v>5</v>
      </c>
      <c r="AJ1330" t="n">
        <v>9</v>
      </c>
      <c r="AK1330" t="n">
        <v>12</v>
      </c>
      <c r="AL1330" t="n">
        <v>0</v>
      </c>
      <c r="AM1330" t="n">
        <v>0</v>
      </c>
      <c r="AN1330" t="n">
        <v>0</v>
      </c>
      <c r="AO1330" t="n">
        <v>0</v>
      </c>
      <c r="AP1330" t="inlineStr">
        <is>
          <t>No</t>
        </is>
      </c>
      <c r="AQ1330" t="inlineStr">
        <is>
          <t>No</t>
        </is>
      </c>
      <c r="AS1330">
        <f>HYPERLINK("https://creighton-primo.hosted.exlibrisgroup.com/primo-explore/search?tab=default_tab&amp;search_scope=EVERYTHING&amp;vid=01CRU&amp;lang=en_US&amp;offset=0&amp;query=any,contains,991000997959702656","Catalog Record")</f>
        <v/>
      </c>
      <c r="AT1330">
        <f>HYPERLINK("http://www.worldcat.org/oclc/15164541","WorldCat Record")</f>
        <v/>
      </c>
      <c r="AU1330" t="inlineStr">
        <is>
          <t>8553302:eng</t>
        </is>
      </c>
      <c r="AV1330" t="inlineStr">
        <is>
          <t>15164541</t>
        </is>
      </c>
      <c r="AW1330" t="inlineStr">
        <is>
          <t>991000997959702656</t>
        </is>
      </c>
      <c r="AX1330" t="inlineStr">
        <is>
          <t>991000997959702656</t>
        </is>
      </c>
      <c r="AY1330" t="inlineStr">
        <is>
          <t>2258352470002656</t>
        </is>
      </c>
      <c r="AZ1330" t="inlineStr">
        <is>
          <t>BOOK</t>
        </is>
      </c>
      <c r="BB1330" t="inlineStr">
        <is>
          <t>9780894536144</t>
        </is>
      </c>
      <c r="BC1330" t="inlineStr">
        <is>
          <t>32285000810175</t>
        </is>
      </c>
      <c r="BD1330" t="inlineStr">
        <is>
          <t>893865879</t>
        </is>
      </c>
    </row>
    <row r="1331">
      <c r="A1331" t="inlineStr">
        <is>
          <t>No</t>
        </is>
      </c>
      <c r="B1331" t="inlineStr">
        <is>
          <t>BX2235 .H82 1989</t>
        </is>
      </c>
      <c r="C1331" t="inlineStr">
        <is>
          <t>0                      BX 2235000H  82          1989</t>
        </is>
      </c>
      <c r="D1331" t="inlineStr">
        <is>
          <t>The communion rite at Sunday mass / Gabe Huck.</t>
        </is>
      </c>
      <c r="F1331" t="inlineStr">
        <is>
          <t>No</t>
        </is>
      </c>
      <c r="G1331" t="inlineStr">
        <is>
          <t>1</t>
        </is>
      </c>
      <c r="H1331" t="inlineStr">
        <is>
          <t>No</t>
        </is>
      </c>
      <c r="I1331" t="inlineStr">
        <is>
          <t>No</t>
        </is>
      </c>
      <c r="J1331" t="inlineStr">
        <is>
          <t>0</t>
        </is>
      </c>
      <c r="K1331" t="inlineStr">
        <is>
          <t>Huck, Gabe.</t>
        </is>
      </c>
      <c r="L1331" t="inlineStr">
        <is>
          <t>Chicago : Liturgy Training Publications, c1989.</t>
        </is>
      </c>
      <c r="M1331" t="inlineStr">
        <is>
          <t>1989</t>
        </is>
      </c>
      <c r="O1331" t="inlineStr">
        <is>
          <t>eng</t>
        </is>
      </c>
      <c r="P1331" t="inlineStr">
        <is>
          <t>ilu</t>
        </is>
      </c>
      <c r="R1331" t="inlineStr">
        <is>
          <t xml:space="preserve">BX </t>
        </is>
      </c>
      <c r="S1331" t="n">
        <v>2</v>
      </c>
      <c r="T1331" t="n">
        <v>2</v>
      </c>
      <c r="U1331" t="inlineStr">
        <is>
          <t>2004-11-19</t>
        </is>
      </c>
      <c r="V1331" t="inlineStr">
        <is>
          <t>2004-11-19</t>
        </is>
      </c>
      <c r="W1331" t="inlineStr">
        <is>
          <t>2004-05-05</t>
        </is>
      </c>
      <c r="X1331" t="inlineStr">
        <is>
          <t>2004-05-05</t>
        </is>
      </c>
      <c r="Y1331" t="n">
        <v>77</v>
      </c>
      <c r="Z1331" t="n">
        <v>65</v>
      </c>
      <c r="AA1331" t="n">
        <v>65</v>
      </c>
      <c r="AB1331" t="n">
        <v>1</v>
      </c>
      <c r="AC1331" t="n">
        <v>1</v>
      </c>
      <c r="AD1331" t="n">
        <v>6</v>
      </c>
      <c r="AE1331" t="n">
        <v>6</v>
      </c>
      <c r="AF1331" t="n">
        <v>1</v>
      </c>
      <c r="AG1331" t="n">
        <v>1</v>
      </c>
      <c r="AH1331" t="n">
        <v>2</v>
      </c>
      <c r="AI1331" t="n">
        <v>2</v>
      </c>
      <c r="AJ1331" t="n">
        <v>4</v>
      </c>
      <c r="AK1331" t="n">
        <v>4</v>
      </c>
      <c r="AL1331" t="n">
        <v>0</v>
      </c>
      <c r="AM1331" t="n">
        <v>0</v>
      </c>
      <c r="AN1331" t="n">
        <v>0</v>
      </c>
      <c r="AO1331" t="n">
        <v>0</v>
      </c>
      <c r="AP1331" t="inlineStr">
        <is>
          <t>No</t>
        </is>
      </c>
      <c r="AQ1331" t="inlineStr">
        <is>
          <t>No</t>
        </is>
      </c>
      <c r="AS1331">
        <f>HYPERLINK("https://creighton-primo.hosted.exlibrisgroup.com/primo-explore/search?tab=default_tab&amp;search_scope=EVERYTHING&amp;vid=01CRU&amp;lang=en_US&amp;offset=0&amp;query=any,contains,991004295739702656","Catalog Record")</f>
        <v/>
      </c>
      <c r="AT1331">
        <f>HYPERLINK("http://www.worldcat.org/oclc/20916122","WorldCat Record")</f>
        <v/>
      </c>
      <c r="AU1331" t="inlineStr">
        <is>
          <t>22252824:eng</t>
        </is>
      </c>
      <c r="AV1331" t="inlineStr">
        <is>
          <t>20916122</t>
        </is>
      </c>
      <c r="AW1331" t="inlineStr">
        <is>
          <t>991004295739702656</t>
        </is>
      </c>
      <c r="AX1331" t="inlineStr">
        <is>
          <t>991004295739702656</t>
        </is>
      </c>
      <c r="AY1331" t="inlineStr">
        <is>
          <t>2264182170002656</t>
        </is>
      </c>
      <c r="AZ1331" t="inlineStr">
        <is>
          <t>BOOK</t>
        </is>
      </c>
      <c r="BB1331" t="inlineStr">
        <is>
          <t>9780930467913</t>
        </is>
      </c>
      <c r="BC1331" t="inlineStr">
        <is>
          <t>32285004904214</t>
        </is>
      </c>
      <c r="BD1331" t="inlineStr">
        <is>
          <t>893429893</t>
        </is>
      </c>
    </row>
    <row r="1332">
      <c r="A1332" t="inlineStr">
        <is>
          <t>No</t>
        </is>
      </c>
      <c r="B1332" t="inlineStr">
        <is>
          <t>BX2235.5 .N67 2002</t>
        </is>
      </c>
      <c r="C1332" t="inlineStr">
        <is>
          <t>0                      BX 2235500N  67          2002</t>
        </is>
      </c>
      <c r="D1332" t="inlineStr">
        <is>
          <t>Norms for the distribution and reception of Holy Communion under both kinds in the dioceses of the United States of America / United States Conference of Catholic Bishops.</t>
        </is>
      </c>
      <c r="F1332" t="inlineStr">
        <is>
          <t>No</t>
        </is>
      </c>
      <c r="G1332" t="inlineStr">
        <is>
          <t>1</t>
        </is>
      </c>
      <c r="H1332" t="inlineStr">
        <is>
          <t>No</t>
        </is>
      </c>
      <c r="I1332" t="inlineStr">
        <is>
          <t>No</t>
        </is>
      </c>
      <c r="J1332" t="inlineStr">
        <is>
          <t>0</t>
        </is>
      </c>
      <c r="K1332" t="inlineStr">
        <is>
          <t>Catholic Church. United States Conference of Catholic Bishops.</t>
        </is>
      </c>
      <c r="L1332" t="inlineStr">
        <is>
          <t>Washington, D.C. : The Conference, c2002.</t>
        </is>
      </c>
      <c r="M1332" t="inlineStr">
        <is>
          <t>2002</t>
        </is>
      </c>
      <c r="O1332" t="inlineStr">
        <is>
          <t>eng</t>
        </is>
      </c>
      <c r="P1332" t="inlineStr">
        <is>
          <t>dcu</t>
        </is>
      </c>
      <c r="Q1332" t="inlineStr">
        <is>
          <t>Liturgy documentary series ; 13</t>
        </is>
      </c>
      <c r="R1332" t="inlineStr">
        <is>
          <t xml:space="preserve">BX </t>
        </is>
      </c>
      <c r="S1332" t="n">
        <v>3</v>
      </c>
      <c r="T1332" t="n">
        <v>3</v>
      </c>
      <c r="U1332" t="inlineStr">
        <is>
          <t>2008-02-26</t>
        </is>
      </c>
      <c r="V1332" t="inlineStr">
        <is>
          <t>2008-02-26</t>
        </is>
      </c>
      <c r="W1332" t="inlineStr">
        <is>
          <t>2002-08-20</t>
        </is>
      </c>
      <c r="X1332" t="inlineStr">
        <is>
          <t>2002-08-20</t>
        </is>
      </c>
      <c r="Y1332" t="n">
        <v>83</v>
      </c>
      <c r="Z1332" t="n">
        <v>77</v>
      </c>
      <c r="AA1332" t="n">
        <v>86</v>
      </c>
      <c r="AB1332" t="n">
        <v>2</v>
      </c>
      <c r="AC1332" t="n">
        <v>2</v>
      </c>
      <c r="AD1332" t="n">
        <v>11</v>
      </c>
      <c r="AE1332" t="n">
        <v>11</v>
      </c>
      <c r="AF1332" t="n">
        <v>3</v>
      </c>
      <c r="AG1332" t="n">
        <v>3</v>
      </c>
      <c r="AH1332" t="n">
        <v>4</v>
      </c>
      <c r="AI1332" t="n">
        <v>4</v>
      </c>
      <c r="AJ1332" t="n">
        <v>7</v>
      </c>
      <c r="AK1332" t="n">
        <v>7</v>
      </c>
      <c r="AL1332" t="n">
        <v>0</v>
      </c>
      <c r="AM1332" t="n">
        <v>0</v>
      </c>
      <c r="AN1332" t="n">
        <v>0</v>
      </c>
      <c r="AO1332" t="n">
        <v>0</v>
      </c>
      <c r="AP1332" t="inlineStr">
        <is>
          <t>No</t>
        </is>
      </c>
      <c r="AQ1332" t="inlineStr">
        <is>
          <t>No</t>
        </is>
      </c>
      <c r="AS1332">
        <f>HYPERLINK("https://creighton-primo.hosted.exlibrisgroup.com/primo-explore/search?tab=default_tab&amp;search_scope=EVERYTHING&amp;vid=01CRU&amp;lang=en_US&amp;offset=0&amp;query=any,contains,991003863119702656","Catalog Record")</f>
        <v/>
      </c>
      <c r="AT1332">
        <f>HYPERLINK("http://www.worldcat.org/oclc/50299617","WorldCat Record")</f>
        <v/>
      </c>
      <c r="AU1332" t="inlineStr">
        <is>
          <t>10225390791:eng</t>
        </is>
      </c>
      <c r="AV1332" t="inlineStr">
        <is>
          <t>50299617</t>
        </is>
      </c>
      <c r="AW1332" t="inlineStr">
        <is>
          <t>991003863119702656</t>
        </is>
      </c>
      <c r="AX1332" t="inlineStr">
        <is>
          <t>991003863119702656</t>
        </is>
      </c>
      <c r="AY1332" t="inlineStr">
        <is>
          <t>2268648250002656</t>
        </is>
      </c>
      <c r="AZ1332" t="inlineStr">
        <is>
          <t>BOOK</t>
        </is>
      </c>
      <c r="BB1332" t="inlineStr">
        <is>
          <t>9781574554328</t>
        </is>
      </c>
      <c r="BC1332" t="inlineStr">
        <is>
          <t>32285004644000</t>
        </is>
      </c>
      <c r="BD1332" t="inlineStr">
        <is>
          <t>893518947</t>
        </is>
      </c>
    </row>
    <row r="1333">
      <c r="A1333" t="inlineStr">
        <is>
          <t>No</t>
        </is>
      </c>
      <c r="B1333" t="inlineStr">
        <is>
          <t>BX2235.5 .T45 1985</t>
        </is>
      </c>
      <c r="C1333" t="inlineStr">
        <is>
          <t>0                      BX 2235500T  45          1985</t>
        </is>
      </c>
      <c r="D1333" t="inlineStr">
        <is>
          <t>This holy and living sacrifice : directory for the celebration and reception of communion under both kinds / National Conference of Catholic Bishops.</t>
        </is>
      </c>
      <c r="F1333" t="inlineStr">
        <is>
          <t>No</t>
        </is>
      </c>
      <c r="G1333" t="inlineStr">
        <is>
          <t>1</t>
        </is>
      </c>
      <c r="H1333" t="inlineStr">
        <is>
          <t>No</t>
        </is>
      </c>
      <c r="I1333" t="inlineStr">
        <is>
          <t>No</t>
        </is>
      </c>
      <c r="J1333" t="inlineStr">
        <is>
          <t>0</t>
        </is>
      </c>
      <c r="K1333" t="inlineStr">
        <is>
          <t>Catholic Church. National Conference of Catholic Bishops.</t>
        </is>
      </c>
      <c r="L1333" t="inlineStr">
        <is>
          <t>Washington, D.C. : United States Catholic Conference, c1985.</t>
        </is>
      </c>
      <c r="M1333" t="inlineStr">
        <is>
          <t>1985</t>
        </is>
      </c>
      <c r="O1333" t="inlineStr">
        <is>
          <t>eng</t>
        </is>
      </c>
      <c r="P1333" t="inlineStr">
        <is>
          <t>dcu</t>
        </is>
      </c>
      <c r="R1333" t="inlineStr">
        <is>
          <t xml:space="preserve">BX </t>
        </is>
      </c>
      <c r="S1333" t="n">
        <v>6</v>
      </c>
      <c r="T1333" t="n">
        <v>6</v>
      </c>
      <c r="U1333" t="inlineStr">
        <is>
          <t>2008-02-26</t>
        </is>
      </c>
      <c r="V1333" t="inlineStr">
        <is>
          <t>2008-02-26</t>
        </is>
      </c>
      <c r="W1333" t="inlineStr">
        <is>
          <t>1991-10-18</t>
        </is>
      </c>
      <c r="X1333" t="inlineStr">
        <is>
          <t>1991-10-18</t>
        </is>
      </c>
      <c r="Y1333" t="n">
        <v>94</v>
      </c>
      <c r="Z1333" t="n">
        <v>87</v>
      </c>
      <c r="AA1333" t="n">
        <v>90</v>
      </c>
      <c r="AB1333" t="n">
        <v>1</v>
      </c>
      <c r="AC1333" t="n">
        <v>1</v>
      </c>
      <c r="AD1333" t="n">
        <v>14</v>
      </c>
      <c r="AE1333" t="n">
        <v>14</v>
      </c>
      <c r="AF1333" t="n">
        <v>6</v>
      </c>
      <c r="AG1333" t="n">
        <v>6</v>
      </c>
      <c r="AH1333" t="n">
        <v>3</v>
      </c>
      <c r="AI1333" t="n">
        <v>3</v>
      </c>
      <c r="AJ1333" t="n">
        <v>12</v>
      </c>
      <c r="AK1333" t="n">
        <v>12</v>
      </c>
      <c r="AL1333" t="n">
        <v>0</v>
      </c>
      <c r="AM1333" t="n">
        <v>0</v>
      </c>
      <c r="AN1333" t="n">
        <v>0</v>
      </c>
      <c r="AO1333" t="n">
        <v>0</v>
      </c>
      <c r="AP1333" t="inlineStr">
        <is>
          <t>No</t>
        </is>
      </c>
      <c r="AQ1333" t="inlineStr">
        <is>
          <t>No</t>
        </is>
      </c>
      <c r="AS1333">
        <f>HYPERLINK("https://creighton-primo.hosted.exlibrisgroup.com/primo-explore/search?tab=default_tab&amp;search_scope=EVERYTHING&amp;vid=01CRU&amp;lang=en_US&amp;offset=0&amp;query=any,contains,991000587049702656","Catalog Record")</f>
        <v/>
      </c>
      <c r="AT1333">
        <f>HYPERLINK("http://www.worldcat.org/oclc/11765179","WorldCat Record")</f>
        <v/>
      </c>
      <c r="AU1333" t="inlineStr">
        <is>
          <t>133937505:eng</t>
        </is>
      </c>
      <c r="AV1333" t="inlineStr">
        <is>
          <t>11765179</t>
        </is>
      </c>
      <c r="AW1333" t="inlineStr">
        <is>
          <t>991000587049702656</t>
        </is>
      </c>
      <c r="AX1333" t="inlineStr">
        <is>
          <t>991000587049702656</t>
        </is>
      </c>
      <c r="AY1333" t="inlineStr">
        <is>
          <t>2270088500002656</t>
        </is>
      </c>
      <c r="AZ1333" t="inlineStr">
        <is>
          <t>BOOK</t>
        </is>
      </c>
      <c r="BC1333" t="inlineStr">
        <is>
          <t>32285000810183</t>
        </is>
      </c>
      <c r="BD1333" t="inlineStr">
        <is>
          <t>893614321</t>
        </is>
      </c>
    </row>
    <row r="1334">
      <c r="A1334" t="inlineStr">
        <is>
          <t>No</t>
        </is>
      </c>
      <c r="B1334" t="inlineStr">
        <is>
          <t>BX2237 .M37</t>
        </is>
      </c>
      <c r="C1334" t="inlineStr">
        <is>
          <t>0                      BX 2237000M  37</t>
        </is>
      </c>
      <c r="D1334" t="inlineStr">
        <is>
          <t>First communion / edited by Father Thurston.</t>
        </is>
      </c>
      <c r="F1334" t="inlineStr">
        <is>
          <t>No</t>
        </is>
      </c>
      <c r="G1334" t="inlineStr">
        <is>
          <t>1</t>
        </is>
      </c>
      <c r="H1334" t="inlineStr">
        <is>
          <t>No</t>
        </is>
      </c>
      <c r="I1334" t="inlineStr">
        <is>
          <t>No</t>
        </is>
      </c>
      <c r="J1334" t="inlineStr">
        <is>
          <t>0</t>
        </is>
      </c>
      <c r="K1334" t="inlineStr">
        <is>
          <t>Mary Loyola, Mother, 1845-1930.</t>
        </is>
      </c>
      <c r="L1334" t="inlineStr">
        <is>
          <t>London ; New York : Burns &amp; Oates, ltd., 1911.</t>
        </is>
      </c>
      <c r="M1334" t="inlineStr">
        <is>
          <t>1911</t>
        </is>
      </c>
      <c r="O1334" t="inlineStr">
        <is>
          <t>eng</t>
        </is>
      </c>
      <c r="P1334" t="inlineStr">
        <is>
          <t>enk</t>
        </is>
      </c>
      <c r="R1334" t="inlineStr">
        <is>
          <t xml:space="preserve">BX </t>
        </is>
      </c>
      <c r="S1334" t="n">
        <v>3</v>
      </c>
      <c r="T1334" t="n">
        <v>3</v>
      </c>
      <c r="U1334" t="inlineStr">
        <is>
          <t>2010-04-18</t>
        </is>
      </c>
      <c r="V1334" t="inlineStr">
        <is>
          <t>2010-04-18</t>
        </is>
      </c>
      <c r="W1334" t="inlineStr">
        <is>
          <t>1992-09-03</t>
        </is>
      </c>
      <c r="X1334" t="inlineStr">
        <is>
          <t>1992-09-03</t>
        </is>
      </c>
      <c r="Y1334" t="n">
        <v>12</v>
      </c>
      <c r="Z1334" t="n">
        <v>11</v>
      </c>
      <c r="AA1334" t="n">
        <v>64</v>
      </c>
      <c r="AB1334" t="n">
        <v>2</v>
      </c>
      <c r="AC1334" t="n">
        <v>2</v>
      </c>
      <c r="AD1334" t="n">
        <v>2</v>
      </c>
      <c r="AE1334" t="n">
        <v>12</v>
      </c>
      <c r="AF1334" t="n">
        <v>0</v>
      </c>
      <c r="AG1334" t="n">
        <v>1</v>
      </c>
      <c r="AH1334" t="n">
        <v>0</v>
      </c>
      <c r="AI1334" t="n">
        <v>6</v>
      </c>
      <c r="AJ1334" t="n">
        <v>2</v>
      </c>
      <c r="AK1334" t="n">
        <v>7</v>
      </c>
      <c r="AL1334" t="n">
        <v>0</v>
      </c>
      <c r="AM1334" t="n">
        <v>0</v>
      </c>
      <c r="AN1334" t="n">
        <v>0</v>
      </c>
      <c r="AO1334" t="n">
        <v>0</v>
      </c>
      <c r="AP1334" t="inlineStr">
        <is>
          <t>No</t>
        </is>
      </c>
      <c r="AQ1334" t="inlineStr">
        <is>
          <t>No</t>
        </is>
      </c>
      <c r="AS1334">
        <f>HYPERLINK("https://creighton-primo.hosted.exlibrisgroup.com/primo-explore/search?tab=default_tab&amp;search_scope=EVERYTHING&amp;vid=01CRU&amp;lang=en_US&amp;offset=0&amp;query=any,contains,991004362589702656","Catalog Record")</f>
        <v/>
      </c>
      <c r="AT1334">
        <f>HYPERLINK("http://www.worldcat.org/oclc/5300211","WorldCat Record")</f>
        <v/>
      </c>
      <c r="AU1334" t="inlineStr">
        <is>
          <t>3768448436:eng</t>
        </is>
      </c>
      <c r="AV1334" t="inlineStr">
        <is>
          <t>5300211</t>
        </is>
      </c>
      <c r="AW1334" t="inlineStr">
        <is>
          <t>991004362589702656</t>
        </is>
      </c>
      <c r="AX1334" t="inlineStr">
        <is>
          <t>991004362589702656</t>
        </is>
      </c>
      <c r="AY1334" t="inlineStr">
        <is>
          <t>2263244860002656</t>
        </is>
      </c>
      <c r="AZ1334" t="inlineStr">
        <is>
          <t>BOOK</t>
        </is>
      </c>
      <c r="BC1334" t="inlineStr">
        <is>
          <t>32285001295236</t>
        </is>
      </c>
      <c r="BD1334" t="inlineStr">
        <is>
          <t>893767820</t>
        </is>
      </c>
    </row>
    <row r="1335">
      <c r="A1335" t="inlineStr">
        <is>
          <t>No</t>
        </is>
      </c>
      <c r="B1335" t="inlineStr">
        <is>
          <t>BX2238 .S32 1979</t>
        </is>
      </c>
      <c r="C1335" t="inlineStr">
        <is>
          <t>0                      BX 2238000S  32          1979</t>
        </is>
      </c>
      <c r="D1335" t="inlineStr">
        <is>
          <t>Why a gift on Sunday? / by John M. Scott.</t>
        </is>
      </c>
      <c r="F1335" t="inlineStr">
        <is>
          <t>No</t>
        </is>
      </c>
      <c r="G1335" t="inlineStr">
        <is>
          <t>1</t>
        </is>
      </c>
      <c r="H1335" t="inlineStr">
        <is>
          <t>No</t>
        </is>
      </c>
      <c r="I1335" t="inlineStr">
        <is>
          <t>No</t>
        </is>
      </c>
      <c r="J1335" t="inlineStr">
        <is>
          <t>0</t>
        </is>
      </c>
      <c r="K1335" t="inlineStr">
        <is>
          <t>Scott, John M. (John Martin), 1913-2007.</t>
        </is>
      </c>
      <c r="L1335" t="inlineStr">
        <is>
          <t>Boston : St Paul Editions, c1979.</t>
        </is>
      </c>
      <c r="M1335" t="inlineStr">
        <is>
          <t>1979</t>
        </is>
      </c>
      <c r="O1335" t="inlineStr">
        <is>
          <t>eng</t>
        </is>
      </c>
      <c r="P1335" t="inlineStr">
        <is>
          <t>mau</t>
        </is>
      </c>
      <c r="R1335" t="inlineStr">
        <is>
          <t xml:space="preserve">BX </t>
        </is>
      </c>
      <c r="S1335" t="n">
        <v>1</v>
      </c>
      <c r="T1335" t="n">
        <v>1</v>
      </c>
      <c r="U1335" t="inlineStr">
        <is>
          <t>1993-04-13</t>
        </is>
      </c>
      <c r="V1335" t="inlineStr">
        <is>
          <t>1993-04-13</t>
        </is>
      </c>
      <c r="W1335" t="inlineStr">
        <is>
          <t>1991-10-21</t>
        </is>
      </c>
      <c r="X1335" t="inlineStr">
        <is>
          <t>1991-10-21</t>
        </is>
      </c>
      <c r="Y1335" t="n">
        <v>8</v>
      </c>
      <c r="Z1335" t="n">
        <v>8</v>
      </c>
      <c r="AA1335" t="n">
        <v>8</v>
      </c>
      <c r="AB1335" t="n">
        <v>1</v>
      </c>
      <c r="AC1335" t="n">
        <v>1</v>
      </c>
      <c r="AD1335" t="n">
        <v>2</v>
      </c>
      <c r="AE1335" t="n">
        <v>2</v>
      </c>
      <c r="AF1335" t="n">
        <v>0</v>
      </c>
      <c r="AG1335" t="n">
        <v>0</v>
      </c>
      <c r="AH1335" t="n">
        <v>0</v>
      </c>
      <c r="AI1335" t="n">
        <v>0</v>
      </c>
      <c r="AJ1335" t="n">
        <v>2</v>
      </c>
      <c r="AK1335" t="n">
        <v>2</v>
      </c>
      <c r="AL1335" t="n">
        <v>0</v>
      </c>
      <c r="AM1335" t="n">
        <v>0</v>
      </c>
      <c r="AN1335" t="n">
        <v>0</v>
      </c>
      <c r="AO1335" t="n">
        <v>0</v>
      </c>
      <c r="AP1335" t="inlineStr">
        <is>
          <t>No</t>
        </is>
      </c>
      <c r="AQ1335" t="inlineStr">
        <is>
          <t>No</t>
        </is>
      </c>
      <c r="AS1335">
        <f>HYPERLINK("https://creighton-primo.hosted.exlibrisgroup.com/primo-explore/search?tab=default_tab&amp;search_scope=EVERYTHING&amp;vid=01CRU&amp;lang=en_US&amp;offset=0&amp;query=any,contains,991004712259702656","Catalog Record")</f>
        <v/>
      </c>
      <c r="AT1335">
        <f>HYPERLINK("http://www.worldcat.org/oclc/4774586","WorldCat Record")</f>
        <v/>
      </c>
      <c r="AU1335" t="inlineStr">
        <is>
          <t>15031244:eng</t>
        </is>
      </c>
      <c r="AV1335" t="inlineStr">
        <is>
          <t>4774586</t>
        </is>
      </c>
      <c r="AW1335" t="inlineStr">
        <is>
          <t>991004712259702656</t>
        </is>
      </c>
      <c r="AX1335" t="inlineStr">
        <is>
          <t>991004712259702656</t>
        </is>
      </c>
      <c r="AY1335" t="inlineStr">
        <is>
          <t>2257148320002656</t>
        </is>
      </c>
      <c r="AZ1335" t="inlineStr">
        <is>
          <t>BOOK</t>
        </is>
      </c>
      <c r="BC1335" t="inlineStr">
        <is>
          <t>32285000810217</t>
        </is>
      </c>
      <c r="BD1335" t="inlineStr">
        <is>
          <t>893319554</t>
        </is>
      </c>
    </row>
    <row r="1336">
      <c r="A1336" t="inlineStr">
        <is>
          <t>No</t>
        </is>
      </c>
      <c r="B1336" t="inlineStr">
        <is>
          <t>BX2250 .C374 2001</t>
        </is>
      </c>
      <c r="C1336" t="inlineStr">
        <is>
          <t>0                      BX 2250000C  374         2001</t>
        </is>
      </c>
      <c r="D1336" t="inlineStr">
        <is>
          <t>Family, marriage and "de facto" unions / Pontifical Council for the Family.</t>
        </is>
      </c>
      <c r="F1336" t="inlineStr">
        <is>
          <t>No</t>
        </is>
      </c>
      <c r="G1336" t="inlineStr">
        <is>
          <t>1</t>
        </is>
      </c>
      <c r="H1336" t="inlineStr">
        <is>
          <t>No</t>
        </is>
      </c>
      <c r="I1336" t="inlineStr">
        <is>
          <t>No</t>
        </is>
      </c>
      <c r="J1336" t="inlineStr">
        <is>
          <t>0</t>
        </is>
      </c>
      <c r="K1336" t="inlineStr">
        <is>
          <t>Catholic Church. Pontificium Consilium pro Familia.</t>
        </is>
      </c>
      <c r="L1336" t="inlineStr">
        <is>
          <t>Washington, D.C. : United States Catholic Conference, 2001.</t>
        </is>
      </c>
      <c r="M1336" t="inlineStr">
        <is>
          <t>2001</t>
        </is>
      </c>
      <c r="O1336" t="inlineStr">
        <is>
          <t>eng</t>
        </is>
      </c>
      <c r="P1336" t="inlineStr">
        <is>
          <t>dcu</t>
        </is>
      </c>
      <c r="R1336" t="inlineStr">
        <is>
          <t xml:space="preserve">BX </t>
        </is>
      </c>
      <c r="S1336" t="n">
        <v>3</v>
      </c>
      <c r="T1336" t="n">
        <v>3</v>
      </c>
      <c r="U1336" t="inlineStr">
        <is>
          <t>2001-01-31</t>
        </is>
      </c>
      <c r="V1336" t="inlineStr">
        <is>
          <t>2001-01-31</t>
        </is>
      </c>
      <c r="W1336" t="inlineStr">
        <is>
          <t>2001-01-31</t>
        </is>
      </c>
      <c r="X1336" t="inlineStr">
        <is>
          <t>2001-01-31</t>
        </is>
      </c>
      <c r="Y1336" t="n">
        <v>92</v>
      </c>
      <c r="Z1336" t="n">
        <v>87</v>
      </c>
      <c r="AA1336" t="n">
        <v>93</v>
      </c>
      <c r="AB1336" t="n">
        <v>1</v>
      </c>
      <c r="AC1336" t="n">
        <v>1</v>
      </c>
      <c r="AD1336" t="n">
        <v>14</v>
      </c>
      <c r="AE1336" t="n">
        <v>14</v>
      </c>
      <c r="AF1336" t="n">
        <v>2</v>
      </c>
      <c r="AG1336" t="n">
        <v>2</v>
      </c>
      <c r="AH1336" t="n">
        <v>5</v>
      </c>
      <c r="AI1336" t="n">
        <v>5</v>
      </c>
      <c r="AJ1336" t="n">
        <v>10</v>
      </c>
      <c r="AK1336" t="n">
        <v>10</v>
      </c>
      <c r="AL1336" t="n">
        <v>0</v>
      </c>
      <c r="AM1336" t="n">
        <v>0</v>
      </c>
      <c r="AN1336" t="n">
        <v>0</v>
      </c>
      <c r="AO1336" t="n">
        <v>0</v>
      </c>
      <c r="AP1336" t="inlineStr">
        <is>
          <t>No</t>
        </is>
      </c>
      <c r="AQ1336" t="inlineStr">
        <is>
          <t>No</t>
        </is>
      </c>
      <c r="AS1336">
        <f>HYPERLINK("https://creighton-primo.hosted.exlibrisgroup.com/primo-explore/search?tab=default_tab&amp;search_scope=EVERYTHING&amp;vid=01CRU&amp;lang=en_US&amp;offset=0&amp;query=any,contains,991003474449702656","Catalog Record")</f>
        <v/>
      </c>
      <c r="AT1336">
        <f>HYPERLINK("http://www.worldcat.org/oclc/45805888","WorldCat Record")</f>
        <v/>
      </c>
      <c r="AU1336" t="inlineStr">
        <is>
          <t>6871795:eng</t>
        </is>
      </c>
      <c r="AV1336" t="inlineStr">
        <is>
          <t>45805888</t>
        </is>
      </c>
      <c r="AW1336" t="inlineStr">
        <is>
          <t>991003474449702656</t>
        </is>
      </c>
      <c r="AX1336" t="inlineStr">
        <is>
          <t>991003474449702656</t>
        </is>
      </c>
      <c r="AY1336" t="inlineStr">
        <is>
          <t>2271518660002656</t>
        </is>
      </c>
      <c r="AZ1336" t="inlineStr">
        <is>
          <t>BOOK</t>
        </is>
      </c>
      <c r="BB1336" t="inlineStr">
        <is>
          <t>9781574554106</t>
        </is>
      </c>
      <c r="BC1336" t="inlineStr">
        <is>
          <t>32285004293147</t>
        </is>
      </c>
      <c r="BD1336" t="inlineStr">
        <is>
          <t>893705251</t>
        </is>
      </c>
    </row>
    <row r="1337">
      <c r="A1337" t="inlineStr">
        <is>
          <t>No</t>
        </is>
      </c>
      <c r="B1337" t="inlineStr">
        <is>
          <t>BX2250 .C62 1955</t>
        </is>
      </c>
      <c r="C1337" t="inlineStr">
        <is>
          <t>0                      BX 2250000C  62          1955</t>
        </is>
      </c>
      <c r="D1337" t="inlineStr">
        <is>
          <t>What they ask about marriage / J.D. Conway.</t>
        </is>
      </c>
      <c r="F1337" t="inlineStr">
        <is>
          <t>No</t>
        </is>
      </c>
      <c r="G1337" t="inlineStr">
        <is>
          <t>1</t>
        </is>
      </c>
      <c r="H1337" t="inlineStr">
        <is>
          <t>No</t>
        </is>
      </c>
      <c r="I1337" t="inlineStr">
        <is>
          <t>No</t>
        </is>
      </c>
      <c r="J1337" t="inlineStr">
        <is>
          <t>0</t>
        </is>
      </c>
      <c r="K1337" t="inlineStr">
        <is>
          <t>Conway, J. D. (John Donald), 1905-1967.</t>
        </is>
      </c>
      <c r="L1337" t="inlineStr">
        <is>
          <t>Chicago : Fides, [1955]</t>
        </is>
      </c>
      <c r="M1337" t="inlineStr">
        <is>
          <t>1955</t>
        </is>
      </c>
      <c r="O1337" t="inlineStr">
        <is>
          <t>eng</t>
        </is>
      </c>
      <c r="P1337" t="inlineStr">
        <is>
          <t>___</t>
        </is>
      </c>
      <c r="R1337" t="inlineStr">
        <is>
          <t xml:space="preserve">BX </t>
        </is>
      </c>
      <c r="S1337" t="n">
        <v>8</v>
      </c>
      <c r="T1337" t="n">
        <v>8</v>
      </c>
      <c r="U1337" t="inlineStr">
        <is>
          <t>2001-11-19</t>
        </is>
      </c>
      <c r="V1337" t="inlineStr">
        <is>
          <t>2001-11-19</t>
        </is>
      </c>
      <c r="W1337" t="inlineStr">
        <is>
          <t>1990-04-10</t>
        </is>
      </c>
      <c r="X1337" t="inlineStr">
        <is>
          <t>1990-04-10</t>
        </is>
      </c>
      <c r="Y1337" t="n">
        <v>123</v>
      </c>
      <c r="Z1337" t="n">
        <v>114</v>
      </c>
      <c r="AA1337" t="n">
        <v>115</v>
      </c>
      <c r="AB1337" t="n">
        <v>3</v>
      </c>
      <c r="AC1337" t="n">
        <v>3</v>
      </c>
      <c r="AD1337" t="n">
        <v>19</v>
      </c>
      <c r="AE1337" t="n">
        <v>19</v>
      </c>
      <c r="AF1337" t="n">
        <v>5</v>
      </c>
      <c r="AG1337" t="n">
        <v>5</v>
      </c>
      <c r="AH1337" t="n">
        <v>5</v>
      </c>
      <c r="AI1337" t="n">
        <v>5</v>
      </c>
      <c r="AJ1337" t="n">
        <v>14</v>
      </c>
      <c r="AK1337" t="n">
        <v>14</v>
      </c>
      <c r="AL1337" t="n">
        <v>0</v>
      </c>
      <c r="AM1337" t="n">
        <v>0</v>
      </c>
      <c r="AN1337" t="n">
        <v>0</v>
      </c>
      <c r="AO1337" t="n">
        <v>0</v>
      </c>
      <c r="AP1337" t="inlineStr">
        <is>
          <t>No</t>
        </is>
      </c>
      <c r="AQ1337" t="inlineStr">
        <is>
          <t>No</t>
        </is>
      </c>
      <c r="AS1337">
        <f>HYPERLINK("https://creighton-primo.hosted.exlibrisgroup.com/primo-explore/search?tab=default_tab&amp;search_scope=EVERYTHING&amp;vid=01CRU&amp;lang=en_US&amp;offset=0&amp;query=any,contains,991002377399702656","Catalog Record")</f>
        <v/>
      </c>
      <c r="AT1337">
        <f>HYPERLINK("http://www.worldcat.org/oclc/327524","WorldCat Record")</f>
        <v/>
      </c>
      <c r="AU1337" t="inlineStr">
        <is>
          <t>3857515012:eng</t>
        </is>
      </c>
      <c r="AV1337" t="inlineStr">
        <is>
          <t>327524</t>
        </is>
      </c>
      <c r="AW1337" t="inlineStr">
        <is>
          <t>991002377399702656</t>
        </is>
      </c>
      <c r="AX1337" t="inlineStr">
        <is>
          <t>991002377399702656</t>
        </is>
      </c>
      <c r="AY1337" t="inlineStr">
        <is>
          <t>2272789710002656</t>
        </is>
      </c>
      <c r="AZ1337" t="inlineStr">
        <is>
          <t>BOOK</t>
        </is>
      </c>
      <c r="BC1337" t="inlineStr">
        <is>
          <t>32285000114776</t>
        </is>
      </c>
      <c r="BD1337" t="inlineStr">
        <is>
          <t>893226769</t>
        </is>
      </c>
    </row>
    <row r="1338">
      <c r="A1338" t="inlineStr">
        <is>
          <t>No</t>
        </is>
      </c>
      <c r="B1338" t="inlineStr">
        <is>
          <t>BX2250 .D6 1957</t>
        </is>
      </c>
      <c r="C1338" t="inlineStr">
        <is>
          <t>0                      BX 2250000D  6           1957</t>
        </is>
      </c>
      <c r="D1338" t="inlineStr">
        <is>
          <t>Toward marriage in Christ : a college text in theology / by Thomas C. Donlan, Francis L.B. Cunningham, Augustine Rock.</t>
        </is>
      </c>
      <c r="F1338" t="inlineStr">
        <is>
          <t>No</t>
        </is>
      </c>
      <c r="G1338" t="inlineStr">
        <is>
          <t>1</t>
        </is>
      </c>
      <c r="H1338" t="inlineStr">
        <is>
          <t>No</t>
        </is>
      </c>
      <c r="I1338" t="inlineStr">
        <is>
          <t>No</t>
        </is>
      </c>
      <c r="J1338" t="inlineStr">
        <is>
          <t>0</t>
        </is>
      </c>
      <c r="K1338" t="inlineStr">
        <is>
          <t>Donlan, Thomas C.</t>
        </is>
      </c>
      <c r="L1338" t="inlineStr">
        <is>
          <t>Dubuque : Priory Pr., 1957.</t>
        </is>
      </c>
      <c r="M1338" t="inlineStr">
        <is>
          <t>1957</t>
        </is>
      </c>
      <c r="O1338" t="inlineStr">
        <is>
          <t>eng</t>
        </is>
      </c>
      <c r="P1338" t="inlineStr">
        <is>
          <t>___</t>
        </is>
      </c>
      <c r="R1338" t="inlineStr">
        <is>
          <t xml:space="preserve">BX </t>
        </is>
      </c>
      <c r="S1338" t="n">
        <v>8</v>
      </c>
      <c r="T1338" t="n">
        <v>8</v>
      </c>
      <c r="U1338" t="inlineStr">
        <is>
          <t>2001-10-25</t>
        </is>
      </c>
      <c r="V1338" t="inlineStr">
        <is>
          <t>2001-10-25</t>
        </is>
      </c>
      <c r="W1338" t="inlineStr">
        <is>
          <t>1991-10-21</t>
        </is>
      </c>
      <c r="X1338" t="inlineStr">
        <is>
          <t>1991-10-21</t>
        </is>
      </c>
      <c r="Y1338" t="n">
        <v>57</v>
      </c>
      <c r="Z1338" t="n">
        <v>52</v>
      </c>
      <c r="AA1338" t="n">
        <v>106</v>
      </c>
      <c r="AB1338" t="n">
        <v>1</v>
      </c>
      <c r="AC1338" t="n">
        <v>2</v>
      </c>
      <c r="AD1338" t="n">
        <v>13</v>
      </c>
      <c r="AE1338" t="n">
        <v>19</v>
      </c>
      <c r="AF1338" t="n">
        <v>2</v>
      </c>
      <c r="AG1338" t="n">
        <v>4</v>
      </c>
      <c r="AH1338" t="n">
        <v>6</v>
      </c>
      <c r="AI1338" t="n">
        <v>9</v>
      </c>
      <c r="AJ1338" t="n">
        <v>10</v>
      </c>
      <c r="AK1338" t="n">
        <v>13</v>
      </c>
      <c r="AL1338" t="n">
        <v>0</v>
      </c>
      <c r="AM1338" t="n">
        <v>0</v>
      </c>
      <c r="AN1338" t="n">
        <v>0</v>
      </c>
      <c r="AO1338" t="n">
        <v>0</v>
      </c>
      <c r="AP1338" t="inlineStr">
        <is>
          <t>No</t>
        </is>
      </c>
      <c r="AQ1338" t="inlineStr">
        <is>
          <t>No</t>
        </is>
      </c>
      <c r="AS1338">
        <f>HYPERLINK("https://creighton-primo.hosted.exlibrisgroup.com/primo-explore/search?tab=default_tab&amp;search_scope=EVERYTHING&amp;vid=01CRU&amp;lang=en_US&amp;offset=0&amp;query=any,contains,991001047799702656","Catalog Record")</f>
        <v/>
      </c>
      <c r="AT1338">
        <f>HYPERLINK("http://www.worldcat.org/oclc/173287","WorldCat Record")</f>
        <v/>
      </c>
      <c r="AU1338" t="inlineStr">
        <is>
          <t>1302891:eng</t>
        </is>
      </c>
      <c r="AV1338" t="inlineStr">
        <is>
          <t>173287</t>
        </is>
      </c>
      <c r="AW1338" t="inlineStr">
        <is>
          <t>991001047799702656</t>
        </is>
      </c>
      <c r="AX1338" t="inlineStr">
        <is>
          <t>991001047799702656</t>
        </is>
      </c>
      <c r="AY1338" t="inlineStr">
        <is>
          <t>2267931640002656</t>
        </is>
      </c>
      <c r="AZ1338" t="inlineStr">
        <is>
          <t>BOOK</t>
        </is>
      </c>
      <c r="BC1338" t="inlineStr">
        <is>
          <t>32285000810282</t>
        </is>
      </c>
      <c r="BD1338" t="inlineStr">
        <is>
          <t>893237835</t>
        </is>
      </c>
    </row>
    <row r="1339">
      <c r="A1339" t="inlineStr">
        <is>
          <t>No</t>
        </is>
      </c>
      <c r="B1339" t="inlineStr">
        <is>
          <t>BX2250 .E913 1968</t>
        </is>
      </c>
      <c r="C1339" t="inlineStr">
        <is>
          <t>0                      BX 2250000E  913         1968</t>
        </is>
      </c>
      <c r="D1339" t="inlineStr">
        <is>
          <t>Lovers in marriage / Louis Evely. Translated by John Drury.</t>
        </is>
      </c>
      <c r="F1339" t="inlineStr">
        <is>
          <t>No</t>
        </is>
      </c>
      <c r="G1339" t="inlineStr">
        <is>
          <t>1</t>
        </is>
      </c>
      <c r="H1339" t="inlineStr">
        <is>
          <t>No</t>
        </is>
      </c>
      <c r="I1339" t="inlineStr">
        <is>
          <t>No</t>
        </is>
      </c>
      <c r="J1339" t="inlineStr">
        <is>
          <t>0</t>
        </is>
      </c>
      <c r="K1339" t="inlineStr">
        <is>
          <t>Évely, Louis, 1910-1985.</t>
        </is>
      </c>
      <c r="L1339" t="inlineStr">
        <is>
          <t>[New York] : Herder and Herder, [1968]</t>
        </is>
      </c>
      <c r="M1339" t="inlineStr">
        <is>
          <t>1968</t>
        </is>
      </c>
      <c r="O1339" t="inlineStr">
        <is>
          <t>eng</t>
        </is>
      </c>
      <c r="P1339" t="inlineStr">
        <is>
          <t>nyu</t>
        </is>
      </c>
      <c r="R1339" t="inlineStr">
        <is>
          <t xml:space="preserve">BX </t>
        </is>
      </c>
      <c r="S1339" t="n">
        <v>7</v>
      </c>
      <c r="T1339" t="n">
        <v>7</v>
      </c>
      <c r="U1339" t="inlineStr">
        <is>
          <t>2004-12-03</t>
        </is>
      </c>
      <c r="V1339" t="inlineStr">
        <is>
          <t>2004-12-03</t>
        </is>
      </c>
      <c r="W1339" t="inlineStr">
        <is>
          <t>1990-03-13</t>
        </is>
      </c>
      <c r="X1339" t="inlineStr">
        <is>
          <t>1990-03-13</t>
        </is>
      </c>
      <c r="Y1339" t="n">
        <v>241</v>
      </c>
      <c r="Z1339" t="n">
        <v>212</v>
      </c>
      <c r="AA1339" t="n">
        <v>239</v>
      </c>
      <c r="AB1339" t="n">
        <v>2</v>
      </c>
      <c r="AC1339" t="n">
        <v>3</v>
      </c>
      <c r="AD1339" t="n">
        <v>22</v>
      </c>
      <c r="AE1339" t="n">
        <v>25</v>
      </c>
      <c r="AF1339" t="n">
        <v>7</v>
      </c>
      <c r="AG1339" t="n">
        <v>7</v>
      </c>
      <c r="AH1339" t="n">
        <v>5</v>
      </c>
      <c r="AI1339" t="n">
        <v>6</v>
      </c>
      <c r="AJ1339" t="n">
        <v>16</v>
      </c>
      <c r="AK1339" t="n">
        <v>18</v>
      </c>
      <c r="AL1339" t="n">
        <v>1</v>
      </c>
      <c r="AM1339" t="n">
        <v>2</v>
      </c>
      <c r="AN1339" t="n">
        <v>0</v>
      </c>
      <c r="AO1339" t="n">
        <v>0</v>
      </c>
      <c r="AP1339" t="inlineStr">
        <is>
          <t>No</t>
        </is>
      </c>
      <c r="AQ1339" t="inlineStr">
        <is>
          <t>Yes</t>
        </is>
      </c>
      <c r="AR1339">
        <f>HYPERLINK("http://catalog.hathitrust.org/Record/001416872","HathiTrust Record")</f>
        <v/>
      </c>
      <c r="AS1339">
        <f>HYPERLINK("https://creighton-primo.hosted.exlibrisgroup.com/primo-explore/search?tab=default_tab&amp;search_scope=EVERYTHING&amp;vid=01CRU&amp;lang=en_US&amp;offset=0&amp;query=any,contains,991005433689702656","Catalog Record")</f>
        <v/>
      </c>
      <c r="AT1339">
        <f>HYPERLINK("http://www.worldcat.org/oclc/2001","WorldCat Record")</f>
        <v/>
      </c>
      <c r="AU1339" t="inlineStr">
        <is>
          <t>1125311:eng</t>
        </is>
      </c>
      <c r="AV1339" t="inlineStr">
        <is>
          <t>2001</t>
        </is>
      </c>
      <c r="AW1339" t="inlineStr">
        <is>
          <t>991005433689702656</t>
        </is>
      </c>
      <c r="AX1339" t="inlineStr">
        <is>
          <t>991005433689702656</t>
        </is>
      </c>
      <c r="AY1339" t="inlineStr">
        <is>
          <t>2262763700002656</t>
        </is>
      </c>
      <c r="AZ1339" t="inlineStr">
        <is>
          <t>BOOK</t>
        </is>
      </c>
      <c r="BC1339" t="inlineStr">
        <is>
          <t>32285000079680</t>
        </is>
      </c>
      <c r="BD1339" t="inlineStr">
        <is>
          <t>893351271</t>
        </is>
      </c>
    </row>
    <row r="1340">
      <c r="A1340" t="inlineStr">
        <is>
          <t>No</t>
        </is>
      </c>
      <c r="B1340" t="inlineStr">
        <is>
          <t>BX2250 .L383 1982</t>
        </is>
      </c>
      <c r="C1340" t="inlineStr">
        <is>
          <t>0                      BX 2250000L  383         1982</t>
        </is>
      </c>
      <c r="D1340" t="inlineStr">
        <is>
          <t>Monks on marriage, a twelfth-century view / Jean Leclercq.</t>
        </is>
      </c>
      <c r="F1340" t="inlineStr">
        <is>
          <t>No</t>
        </is>
      </c>
      <c r="G1340" t="inlineStr">
        <is>
          <t>1</t>
        </is>
      </c>
      <c r="H1340" t="inlineStr">
        <is>
          <t>No</t>
        </is>
      </c>
      <c r="I1340" t="inlineStr">
        <is>
          <t>No</t>
        </is>
      </c>
      <c r="J1340" t="inlineStr">
        <is>
          <t>0</t>
        </is>
      </c>
      <c r="K1340" t="inlineStr">
        <is>
          <t>Leclercq, Jean, 1911-1993.</t>
        </is>
      </c>
      <c r="L1340" t="inlineStr">
        <is>
          <t>New York : Seabury Press, 1982.</t>
        </is>
      </c>
      <c r="M1340" t="inlineStr">
        <is>
          <t>1982</t>
        </is>
      </c>
      <c r="O1340" t="inlineStr">
        <is>
          <t>eng</t>
        </is>
      </c>
      <c r="P1340" t="inlineStr">
        <is>
          <t>nyu</t>
        </is>
      </c>
      <c r="R1340" t="inlineStr">
        <is>
          <t xml:space="preserve">BX </t>
        </is>
      </c>
      <c r="S1340" t="n">
        <v>2</v>
      </c>
      <c r="T1340" t="n">
        <v>2</v>
      </c>
      <c r="U1340" t="inlineStr">
        <is>
          <t>1997-04-10</t>
        </is>
      </c>
      <c r="V1340" t="inlineStr">
        <is>
          <t>1997-04-10</t>
        </is>
      </c>
      <c r="W1340" t="inlineStr">
        <is>
          <t>1990-04-20</t>
        </is>
      </c>
      <c r="X1340" t="inlineStr">
        <is>
          <t>1990-04-20</t>
        </is>
      </c>
      <c r="Y1340" t="n">
        <v>337</v>
      </c>
      <c r="Z1340" t="n">
        <v>273</v>
      </c>
      <c r="AA1340" t="n">
        <v>273</v>
      </c>
      <c r="AB1340" t="n">
        <v>3</v>
      </c>
      <c r="AC1340" t="n">
        <v>3</v>
      </c>
      <c r="AD1340" t="n">
        <v>20</v>
      </c>
      <c r="AE1340" t="n">
        <v>20</v>
      </c>
      <c r="AF1340" t="n">
        <v>5</v>
      </c>
      <c r="AG1340" t="n">
        <v>5</v>
      </c>
      <c r="AH1340" t="n">
        <v>5</v>
      </c>
      <c r="AI1340" t="n">
        <v>5</v>
      </c>
      <c r="AJ1340" t="n">
        <v>14</v>
      </c>
      <c r="AK1340" t="n">
        <v>14</v>
      </c>
      <c r="AL1340" t="n">
        <v>1</v>
      </c>
      <c r="AM1340" t="n">
        <v>1</v>
      </c>
      <c r="AN1340" t="n">
        <v>0</v>
      </c>
      <c r="AO1340" t="n">
        <v>0</v>
      </c>
      <c r="AP1340" t="inlineStr">
        <is>
          <t>No</t>
        </is>
      </c>
      <c r="AQ1340" t="inlineStr">
        <is>
          <t>No</t>
        </is>
      </c>
      <c r="AS1340">
        <f>HYPERLINK("https://creighton-primo.hosted.exlibrisgroup.com/primo-explore/search?tab=default_tab&amp;search_scope=EVERYTHING&amp;vid=01CRU&amp;lang=en_US&amp;offset=0&amp;query=any,contains,991005150729702656","Catalog Record")</f>
        <v/>
      </c>
      <c r="AT1340">
        <f>HYPERLINK("http://www.worldcat.org/oclc/7731811","WorldCat Record")</f>
        <v/>
      </c>
      <c r="AU1340" t="inlineStr">
        <is>
          <t>355369266:eng</t>
        </is>
      </c>
      <c r="AV1340" t="inlineStr">
        <is>
          <t>7731811</t>
        </is>
      </c>
      <c r="AW1340" t="inlineStr">
        <is>
          <t>991005150729702656</t>
        </is>
      </c>
      <c r="AX1340" t="inlineStr">
        <is>
          <t>991005150729702656</t>
        </is>
      </c>
      <c r="AY1340" t="inlineStr">
        <is>
          <t>2263574120002656</t>
        </is>
      </c>
      <c r="AZ1340" t="inlineStr">
        <is>
          <t>BOOK</t>
        </is>
      </c>
      <c r="BB1340" t="inlineStr">
        <is>
          <t>9780816405077</t>
        </is>
      </c>
      <c r="BC1340" t="inlineStr">
        <is>
          <t>32285000130277</t>
        </is>
      </c>
      <c r="BD1340" t="inlineStr">
        <is>
          <t>893326247</t>
        </is>
      </c>
    </row>
    <row r="1341">
      <c r="A1341" t="inlineStr">
        <is>
          <t>No</t>
        </is>
      </c>
      <c r="B1341" t="inlineStr">
        <is>
          <t>BX2250 .M4 1950</t>
        </is>
      </c>
      <c r="C1341" t="inlineStr">
        <is>
          <t>0                      BX 2250000M  4           1950</t>
        </is>
      </c>
      <c r="D1341" t="inlineStr">
        <is>
          <t>Two in one flesh / by E.C. Messenger.</t>
        </is>
      </c>
      <c r="F1341" t="inlineStr">
        <is>
          <t>No</t>
        </is>
      </c>
      <c r="G1341" t="inlineStr">
        <is>
          <t>1</t>
        </is>
      </c>
      <c r="H1341" t="inlineStr">
        <is>
          <t>No</t>
        </is>
      </c>
      <c r="I1341" t="inlineStr">
        <is>
          <t>No</t>
        </is>
      </c>
      <c r="J1341" t="inlineStr">
        <is>
          <t>0</t>
        </is>
      </c>
      <c r="K1341" t="inlineStr">
        <is>
          <t>Messenger, Ernest C. (Ernest Charles), 1888-1951.</t>
        </is>
      </c>
      <c r="L1341" t="inlineStr">
        <is>
          <t>Westminster, Md. : Newman Press, [1950]</t>
        </is>
      </c>
      <c r="M1341" t="inlineStr">
        <is>
          <t>1950</t>
        </is>
      </c>
      <c r="N1341" t="inlineStr">
        <is>
          <t>[2d ed.]</t>
        </is>
      </c>
      <c r="O1341" t="inlineStr">
        <is>
          <t>eng</t>
        </is>
      </c>
      <c r="P1341" t="inlineStr">
        <is>
          <t>mdu</t>
        </is>
      </c>
      <c r="R1341" t="inlineStr">
        <is>
          <t xml:space="preserve">BX </t>
        </is>
      </c>
      <c r="S1341" t="n">
        <v>6</v>
      </c>
      <c r="T1341" t="n">
        <v>6</v>
      </c>
      <c r="U1341" t="inlineStr">
        <is>
          <t>2006-03-17</t>
        </is>
      </c>
      <c r="V1341" t="inlineStr">
        <is>
          <t>2006-03-17</t>
        </is>
      </c>
      <c r="W1341" t="inlineStr">
        <is>
          <t>1990-04-20</t>
        </is>
      </c>
      <c r="X1341" t="inlineStr">
        <is>
          <t>1990-04-20</t>
        </is>
      </c>
      <c r="Y1341" t="n">
        <v>66</v>
      </c>
      <c r="Z1341" t="n">
        <v>58</v>
      </c>
      <c r="AA1341" t="n">
        <v>168</v>
      </c>
      <c r="AB1341" t="n">
        <v>1</v>
      </c>
      <c r="AC1341" t="n">
        <v>2</v>
      </c>
      <c r="AD1341" t="n">
        <v>9</v>
      </c>
      <c r="AE1341" t="n">
        <v>24</v>
      </c>
      <c r="AF1341" t="n">
        <v>2</v>
      </c>
      <c r="AG1341" t="n">
        <v>7</v>
      </c>
      <c r="AH1341" t="n">
        <v>2</v>
      </c>
      <c r="AI1341" t="n">
        <v>6</v>
      </c>
      <c r="AJ1341" t="n">
        <v>7</v>
      </c>
      <c r="AK1341" t="n">
        <v>19</v>
      </c>
      <c r="AL1341" t="n">
        <v>0</v>
      </c>
      <c r="AM1341" t="n">
        <v>0</v>
      </c>
      <c r="AN1341" t="n">
        <v>0</v>
      </c>
      <c r="AO1341" t="n">
        <v>0</v>
      </c>
      <c r="AP1341" t="inlineStr">
        <is>
          <t>No</t>
        </is>
      </c>
      <c r="AQ1341" t="inlineStr">
        <is>
          <t>No</t>
        </is>
      </c>
      <c r="AS1341">
        <f>HYPERLINK("https://creighton-primo.hosted.exlibrisgroup.com/primo-explore/search?tab=default_tab&amp;search_scope=EVERYTHING&amp;vid=01CRU&amp;lang=en_US&amp;offset=0&amp;query=any,contains,991004622839702656","Catalog Record")</f>
        <v/>
      </c>
      <c r="AT1341">
        <f>HYPERLINK("http://www.worldcat.org/oclc/4311549","WorldCat Record")</f>
        <v/>
      </c>
      <c r="AU1341" t="inlineStr">
        <is>
          <t>3852342:eng</t>
        </is>
      </c>
      <c r="AV1341" t="inlineStr">
        <is>
          <t>4311549</t>
        </is>
      </c>
      <c r="AW1341" t="inlineStr">
        <is>
          <t>991004622839702656</t>
        </is>
      </c>
      <c r="AX1341" t="inlineStr">
        <is>
          <t>991004622839702656</t>
        </is>
      </c>
      <c r="AY1341" t="inlineStr">
        <is>
          <t>2268488390002656</t>
        </is>
      </c>
      <c r="AZ1341" t="inlineStr">
        <is>
          <t>BOOK</t>
        </is>
      </c>
      <c r="BC1341" t="inlineStr">
        <is>
          <t>32285000130285</t>
        </is>
      </c>
      <c r="BD1341" t="inlineStr">
        <is>
          <t>893801151</t>
        </is>
      </c>
    </row>
    <row r="1342">
      <c r="A1342" t="inlineStr">
        <is>
          <t>No</t>
        </is>
      </c>
      <c r="B1342" t="inlineStr">
        <is>
          <t>BX2250 .N33 1958</t>
        </is>
      </c>
      <c r="C1342" t="inlineStr">
        <is>
          <t>0                      BX 2250000N  33          1958</t>
        </is>
      </c>
      <c r="D1342" t="inlineStr">
        <is>
          <t>Sanctity and success in marriage : selected papers from the 1956 proceedings [of the Boston convention] / edited by Irving A. DeBlanc and Norma L. Schavilla.</t>
        </is>
      </c>
      <c r="F1342" t="inlineStr">
        <is>
          <t>No</t>
        </is>
      </c>
      <c r="G1342" t="inlineStr">
        <is>
          <t>1</t>
        </is>
      </c>
      <c r="H1342" t="inlineStr">
        <is>
          <t>No</t>
        </is>
      </c>
      <c r="I1342" t="inlineStr">
        <is>
          <t>No</t>
        </is>
      </c>
      <c r="J1342" t="inlineStr">
        <is>
          <t>0</t>
        </is>
      </c>
      <c r="K1342" t="inlineStr">
        <is>
          <t>National Catholic Conference on Family Life (1956 : Boston, Mass.)</t>
        </is>
      </c>
      <c r="L1342" t="inlineStr">
        <is>
          <t>Washington : Family Life Bureau, National Catholic Welfare Conference, 1958.</t>
        </is>
      </c>
      <c r="M1342" t="inlineStr">
        <is>
          <t>1958</t>
        </is>
      </c>
      <c r="N1342" t="inlineStr">
        <is>
          <t>2d ed.</t>
        </is>
      </c>
      <c r="O1342" t="inlineStr">
        <is>
          <t>eng</t>
        </is>
      </c>
      <c r="P1342" t="inlineStr">
        <is>
          <t>dcu</t>
        </is>
      </c>
      <c r="R1342" t="inlineStr">
        <is>
          <t xml:space="preserve">BX </t>
        </is>
      </c>
      <c r="S1342" t="n">
        <v>3</v>
      </c>
      <c r="T1342" t="n">
        <v>3</v>
      </c>
      <c r="U1342" t="inlineStr">
        <is>
          <t>2002-07-26</t>
        </is>
      </c>
      <c r="V1342" t="inlineStr">
        <is>
          <t>2002-07-26</t>
        </is>
      </c>
      <c r="W1342" t="inlineStr">
        <is>
          <t>1991-10-21</t>
        </is>
      </c>
      <c r="X1342" t="inlineStr">
        <is>
          <t>1991-10-21</t>
        </is>
      </c>
      <c r="Y1342" t="n">
        <v>29</v>
      </c>
      <c r="Z1342" t="n">
        <v>29</v>
      </c>
      <c r="AA1342" t="n">
        <v>31</v>
      </c>
      <c r="AB1342" t="n">
        <v>2</v>
      </c>
      <c r="AC1342" t="n">
        <v>2</v>
      </c>
      <c r="AD1342" t="n">
        <v>2</v>
      </c>
      <c r="AE1342" t="n">
        <v>2</v>
      </c>
      <c r="AF1342" t="n">
        <v>0</v>
      </c>
      <c r="AG1342" t="n">
        <v>0</v>
      </c>
      <c r="AH1342" t="n">
        <v>1</v>
      </c>
      <c r="AI1342" t="n">
        <v>1</v>
      </c>
      <c r="AJ1342" t="n">
        <v>1</v>
      </c>
      <c r="AK1342" t="n">
        <v>1</v>
      </c>
      <c r="AL1342" t="n">
        <v>0</v>
      </c>
      <c r="AM1342" t="n">
        <v>0</v>
      </c>
      <c r="AN1342" t="n">
        <v>0</v>
      </c>
      <c r="AO1342" t="n">
        <v>0</v>
      </c>
      <c r="AP1342" t="inlineStr">
        <is>
          <t>No</t>
        </is>
      </c>
      <c r="AQ1342" t="inlineStr">
        <is>
          <t>No</t>
        </is>
      </c>
      <c r="AS1342">
        <f>HYPERLINK("https://creighton-primo.hosted.exlibrisgroup.com/primo-explore/search?tab=default_tab&amp;search_scope=EVERYTHING&amp;vid=01CRU&amp;lang=en_US&amp;offset=0&amp;query=any,contains,991005026009702656","Catalog Record")</f>
        <v/>
      </c>
      <c r="AT1342">
        <f>HYPERLINK("http://www.worldcat.org/oclc/6697630","WorldCat Record")</f>
        <v/>
      </c>
      <c r="AU1342" t="inlineStr">
        <is>
          <t>57689994:eng</t>
        </is>
      </c>
      <c r="AV1342" t="inlineStr">
        <is>
          <t>6697630</t>
        </is>
      </c>
      <c r="AW1342" t="inlineStr">
        <is>
          <t>991005026009702656</t>
        </is>
      </c>
      <c r="AX1342" t="inlineStr">
        <is>
          <t>991005026009702656</t>
        </is>
      </c>
      <c r="AY1342" t="inlineStr">
        <is>
          <t>2264954520002656</t>
        </is>
      </c>
      <c r="AZ1342" t="inlineStr">
        <is>
          <t>BOOK</t>
        </is>
      </c>
      <c r="BC1342" t="inlineStr">
        <is>
          <t>32285000810316</t>
        </is>
      </c>
      <c r="BD1342" t="inlineStr">
        <is>
          <t>893789326</t>
        </is>
      </c>
    </row>
    <row r="1343">
      <c r="A1343" t="inlineStr">
        <is>
          <t>No</t>
        </is>
      </c>
      <c r="B1343" t="inlineStr">
        <is>
          <t>BX2250 .T478 1988</t>
        </is>
      </c>
      <c r="C1343" t="inlineStr">
        <is>
          <t>0                      BX 2250000T  478         1988</t>
        </is>
      </c>
      <c r="D1343" t="inlineStr">
        <is>
          <t>Le mariage unique = De monogamia / Tertullien ; introduction, texte critique, traduction et commentaire de Paul Mattei.</t>
        </is>
      </c>
      <c r="F1343" t="inlineStr">
        <is>
          <t>No</t>
        </is>
      </c>
      <c r="G1343" t="inlineStr">
        <is>
          <t>1</t>
        </is>
      </c>
      <c r="H1343" t="inlineStr">
        <is>
          <t>No</t>
        </is>
      </c>
      <c r="I1343" t="inlineStr">
        <is>
          <t>No</t>
        </is>
      </c>
      <c r="J1343" t="inlineStr">
        <is>
          <t>0</t>
        </is>
      </c>
      <c r="K1343" t="inlineStr">
        <is>
          <t>Tertullian, approximately 160-approximately 230.</t>
        </is>
      </c>
      <c r="L1343" t="inlineStr">
        <is>
          <t>Paris : Editions du Cerf, 1988.</t>
        </is>
      </c>
      <c r="M1343" t="inlineStr">
        <is>
          <t>1988</t>
        </is>
      </c>
      <c r="O1343" t="inlineStr">
        <is>
          <t>fre</t>
        </is>
      </c>
      <c r="P1343" t="inlineStr">
        <is>
          <t xml:space="preserve">fr </t>
        </is>
      </c>
      <c r="Q1343" t="inlineStr">
        <is>
          <t>Sources chrétiennes ; no 343</t>
        </is>
      </c>
      <c r="R1343" t="inlineStr">
        <is>
          <t xml:space="preserve">BX </t>
        </is>
      </c>
      <c r="S1343" t="n">
        <v>2</v>
      </c>
      <c r="T1343" t="n">
        <v>2</v>
      </c>
      <c r="U1343" t="inlineStr">
        <is>
          <t>2003-09-22</t>
        </is>
      </c>
      <c r="V1343" t="inlineStr">
        <is>
          <t>2003-09-22</t>
        </is>
      </c>
      <c r="W1343" t="inlineStr">
        <is>
          <t>1992-04-30</t>
        </is>
      </c>
      <c r="X1343" t="inlineStr">
        <is>
          <t>1992-04-30</t>
        </is>
      </c>
      <c r="Y1343" t="n">
        <v>202</v>
      </c>
      <c r="Z1343" t="n">
        <v>136</v>
      </c>
      <c r="AA1343" t="n">
        <v>139</v>
      </c>
      <c r="AB1343" t="n">
        <v>2</v>
      </c>
      <c r="AC1343" t="n">
        <v>2</v>
      </c>
      <c r="AD1343" t="n">
        <v>15</v>
      </c>
      <c r="AE1343" t="n">
        <v>15</v>
      </c>
      <c r="AF1343" t="n">
        <v>3</v>
      </c>
      <c r="AG1343" t="n">
        <v>3</v>
      </c>
      <c r="AH1343" t="n">
        <v>3</v>
      </c>
      <c r="AI1343" t="n">
        <v>3</v>
      </c>
      <c r="AJ1343" t="n">
        <v>12</v>
      </c>
      <c r="AK1343" t="n">
        <v>12</v>
      </c>
      <c r="AL1343" t="n">
        <v>1</v>
      </c>
      <c r="AM1343" t="n">
        <v>1</v>
      </c>
      <c r="AN1343" t="n">
        <v>0</v>
      </c>
      <c r="AO1343" t="n">
        <v>0</v>
      </c>
      <c r="AP1343" t="inlineStr">
        <is>
          <t>No</t>
        </is>
      </c>
      <c r="AQ1343" t="inlineStr">
        <is>
          <t>Yes</t>
        </is>
      </c>
      <c r="AR1343">
        <f>HYPERLINK("http://catalog.hathitrust.org/Record/000940867","HathiTrust Record")</f>
        <v/>
      </c>
      <c r="AS1343">
        <f>HYPERLINK("https://creighton-primo.hosted.exlibrisgroup.com/primo-explore/search?tab=default_tab&amp;search_scope=EVERYTHING&amp;vid=01CRU&amp;lang=en_US&amp;offset=0&amp;query=any,contains,991001355789702656","Catalog Record")</f>
        <v/>
      </c>
      <c r="AT1343">
        <f>HYPERLINK("http://www.worldcat.org/oclc/18475389","WorldCat Record")</f>
        <v/>
      </c>
      <c r="AU1343" t="inlineStr">
        <is>
          <t>1090293629:fre</t>
        </is>
      </c>
      <c r="AV1343" t="inlineStr">
        <is>
          <t>18475389</t>
        </is>
      </c>
      <c r="AW1343" t="inlineStr">
        <is>
          <t>991001355789702656</t>
        </is>
      </c>
      <c r="AX1343" t="inlineStr">
        <is>
          <t>991001355789702656</t>
        </is>
      </c>
      <c r="AY1343" t="inlineStr">
        <is>
          <t>2259476450002656</t>
        </is>
      </c>
      <c r="AZ1343" t="inlineStr">
        <is>
          <t>BOOK</t>
        </is>
      </c>
      <c r="BB1343" t="inlineStr">
        <is>
          <t>9782204029988</t>
        </is>
      </c>
      <c r="BC1343" t="inlineStr">
        <is>
          <t>32285001037752</t>
        </is>
      </c>
      <c r="BD1343" t="inlineStr">
        <is>
          <t>893238061</t>
        </is>
      </c>
    </row>
    <row r="1344">
      <c r="A1344" t="inlineStr">
        <is>
          <t>No</t>
        </is>
      </c>
      <c r="B1344" t="inlineStr">
        <is>
          <t>BX2255 .Z93 1983</t>
        </is>
      </c>
      <c r="C1344" t="inlineStr">
        <is>
          <t>0                      BX 2255000Z  93          1983</t>
        </is>
      </c>
      <c r="D1344" t="inlineStr">
        <is>
          <t>Annulment : your chance to remarry within the Catholic church / Joseph P. Zwack, with C. Robert Nixon and Roger D. Conry.</t>
        </is>
      </c>
      <c r="F1344" t="inlineStr">
        <is>
          <t>No</t>
        </is>
      </c>
      <c r="G1344" t="inlineStr">
        <is>
          <t>1</t>
        </is>
      </c>
      <c r="H1344" t="inlineStr">
        <is>
          <t>No</t>
        </is>
      </c>
      <c r="I1344" t="inlineStr">
        <is>
          <t>No</t>
        </is>
      </c>
      <c r="J1344" t="inlineStr">
        <is>
          <t>0</t>
        </is>
      </c>
      <c r="K1344" t="inlineStr">
        <is>
          <t>Zwack, Joseph P.</t>
        </is>
      </c>
      <c r="L1344" t="inlineStr">
        <is>
          <t>Cambridge [Mass.] : Harper &amp; Row, c1983.</t>
        </is>
      </c>
      <c r="M1344" t="inlineStr">
        <is>
          <t>1983</t>
        </is>
      </c>
      <c r="O1344" t="inlineStr">
        <is>
          <t>eng</t>
        </is>
      </c>
      <c r="P1344" t="inlineStr">
        <is>
          <t>mau</t>
        </is>
      </c>
      <c r="R1344" t="inlineStr">
        <is>
          <t xml:space="preserve">BX </t>
        </is>
      </c>
      <c r="S1344" t="n">
        <v>5</v>
      </c>
      <c r="T1344" t="n">
        <v>5</v>
      </c>
      <c r="U1344" t="inlineStr">
        <is>
          <t>2010-01-28</t>
        </is>
      </c>
      <c r="V1344" t="inlineStr">
        <is>
          <t>2010-01-28</t>
        </is>
      </c>
      <c r="W1344" t="inlineStr">
        <is>
          <t>2009-06-25</t>
        </is>
      </c>
      <c r="X1344" t="inlineStr">
        <is>
          <t>2009-06-25</t>
        </is>
      </c>
      <c r="Y1344" t="n">
        <v>539</v>
      </c>
      <c r="Z1344" t="n">
        <v>492</v>
      </c>
      <c r="AA1344" t="n">
        <v>497</v>
      </c>
      <c r="AB1344" t="n">
        <v>7</v>
      </c>
      <c r="AC1344" t="n">
        <v>7</v>
      </c>
      <c r="AD1344" t="n">
        <v>32</v>
      </c>
      <c r="AE1344" t="n">
        <v>32</v>
      </c>
      <c r="AF1344" t="n">
        <v>6</v>
      </c>
      <c r="AG1344" t="n">
        <v>6</v>
      </c>
      <c r="AH1344" t="n">
        <v>5</v>
      </c>
      <c r="AI1344" t="n">
        <v>5</v>
      </c>
      <c r="AJ1344" t="n">
        <v>19</v>
      </c>
      <c r="AK1344" t="n">
        <v>19</v>
      </c>
      <c r="AL1344" t="n">
        <v>3</v>
      </c>
      <c r="AM1344" t="n">
        <v>3</v>
      </c>
      <c r="AN1344" t="n">
        <v>6</v>
      </c>
      <c r="AO1344" t="n">
        <v>6</v>
      </c>
      <c r="AP1344" t="inlineStr">
        <is>
          <t>No</t>
        </is>
      </c>
      <c r="AQ1344" t="inlineStr">
        <is>
          <t>No</t>
        </is>
      </c>
      <c r="AS1344">
        <f>HYPERLINK("https://creighton-primo.hosted.exlibrisgroup.com/primo-explore/search?tab=default_tab&amp;search_scope=EVERYTHING&amp;vid=01CRU&amp;lang=en_US&amp;offset=0&amp;query=any,contains,991005323939702656","Catalog Record")</f>
        <v/>
      </c>
      <c r="AT1344">
        <f>HYPERLINK("http://www.worldcat.org/oclc/9946470","WorldCat Record")</f>
        <v/>
      </c>
      <c r="AU1344" t="inlineStr">
        <is>
          <t>836630162:eng</t>
        </is>
      </c>
      <c r="AV1344" t="inlineStr">
        <is>
          <t>9946470</t>
        </is>
      </c>
      <c r="AW1344" t="inlineStr">
        <is>
          <t>991005323939702656</t>
        </is>
      </c>
      <c r="AX1344" t="inlineStr">
        <is>
          <t>991005323939702656</t>
        </is>
      </c>
      <c r="AY1344" t="inlineStr">
        <is>
          <t>2261826200002656</t>
        </is>
      </c>
      <c r="AZ1344" t="inlineStr">
        <is>
          <t>BOOK</t>
        </is>
      </c>
      <c r="BB1344" t="inlineStr">
        <is>
          <t>9780062509901</t>
        </is>
      </c>
      <c r="BC1344" t="inlineStr">
        <is>
          <t>32285005537005</t>
        </is>
      </c>
      <c r="BD1344" t="inlineStr">
        <is>
          <t>893431231</t>
        </is>
      </c>
    </row>
    <row r="1345">
      <c r="A1345" t="inlineStr">
        <is>
          <t>No</t>
        </is>
      </c>
      <c r="B1345" t="inlineStr">
        <is>
          <t>BX2260 .C32 1974</t>
        </is>
      </c>
      <c r="C1345" t="inlineStr">
        <is>
          <t>0                      BX 2260000C  32          1974</t>
        </is>
      </c>
      <c r="D1345" t="inlineStr">
        <is>
          <t>Ordo paenitentiae.</t>
        </is>
      </c>
      <c r="F1345" t="inlineStr">
        <is>
          <t>No</t>
        </is>
      </c>
      <c r="G1345" t="inlineStr">
        <is>
          <t>1</t>
        </is>
      </c>
      <c r="H1345" t="inlineStr">
        <is>
          <t>No</t>
        </is>
      </c>
      <c r="I1345" t="inlineStr">
        <is>
          <t>No</t>
        </is>
      </c>
      <c r="J1345" t="inlineStr">
        <is>
          <t>0</t>
        </is>
      </c>
      <c r="K1345" t="inlineStr">
        <is>
          <t>Catholic Church.</t>
        </is>
      </c>
      <c r="L1345" t="inlineStr">
        <is>
          <t>[Rome] : Typis Polyglottis Vaticanis, 1974.</t>
        </is>
      </c>
      <c r="M1345" t="inlineStr">
        <is>
          <t>1974</t>
        </is>
      </c>
      <c r="O1345" t="inlineStr">
        <is>
          <t>lat</t>
        </is>
      </c>
      <c r="P1345" t="inlineStr">
        <is>
          <t xml:space="preserve">xx </t>
        </is>
      </c>
      <c r="R1345" t="inlineStr">
        <is>
          <t xml:space="preserve">BX </t>
        </is>
      </c>
      <c r="S1345" t="n">
        <v>2</v>
      </c>
      <c r="T1345" t="n">
        <v>2</v>
      </c>
      <c r="U1345" t="inlineStr">
        <is>
          <t>1992-02-11</t>
        </is>
      </c>
      <c r="V1345" t="inlineStr">
        <is>
          <t>1992-02-11</t>
        </is>
      </c>
      <c r="W1345" t="inlineStr">
        <is>
          <t>1991-10-21</t>
        </is>
      </c>
      <c r="X1345" t="inlineStr">
        <is>
          <t>1991-10-21</t>
        </is>
      </c>
      <c r="Y1345" t="n">
        <v>33</v>
      </c>
      <c r="Z1345" t="n">
        <v>30</v>
      </c>
      <c r="AA1345" t="n">
        <v>39</v>
      </c>
      <c r="AB1345" t="n">
        <v>2</v>
      </c>
      <c r="AC1345" t="n">
        <v>2</v>
      </c>
      <c r="AD1345" t="n">
        <v>4</v>
      </c>
      <c r="AE1345" t="n">
        <v>5</v>
      </c>
      <c r="AF1345" t="n">
        <v>0</v>
      </c>
      <c r="AG1345" t="n">
        <v>0</v>
      </c>
      <c r="AH1345" t="n">
        <v>2</v>
      </c>
      <c r="AI1345" t="n">
        <v>2</v>
      </c>
      <c r="AJ1345" t="n">
        <v>3</v>
      </c>
      <c r="AK1345" t="n">
        <v>4</v>
      </c>
      <c r="AL1345" t="n">
        <v>0</v>
      </c>
      <c r="AM1345" t="n">
        <v>0</v>
      </c>
      <c r="AN1345" t="n">
        <v>0</v>
      </c>
      <c r="AO1345" t="n">
        <v>0</v>
      </c>
      <c r="AP1345" t="inlineStr">
        <is>
          <t>No</t>
        </is>
      </c>
      <c r="AQ1345" t="inlineStr">
        <is>
          <t>No</t>
        </is>
      </c>
      <c r="AS1345">
        <f>HYPERLINK("https://creighton-primo.hosted.exlibrisgroup.com/primo-explore/search?tab=default_tab&amp;search_scope=EVERYTHING&amp;vid=01CRU&amp;lang=en_US&amp;offset=0&amp;query=any,contains,991003541929702656","Catalog Record")</f>
        <v/>
      </c>
      <c r="AT1345">
        <f>HYPERLINK("http://www.worldcat.org/oclc/1106515","WorldCat Record")</f>
        <v/>
      </c>
      <c r="AU1345" t="inlineStr">
        <is>
          <t>1981742:lat</t>
        </is>
      </c>
      <c r="AV1345" t="inlineStr">
        <is>
          <t>1106515</t>
        </is>
      </c>
      <c r="AW1345" t="inlineStr">
        <is>
          <t>991003541929702656</t>
        </is>
      </c>
      <c r="AX1345" t="inlineStr">
        <is>
          <t>991003541929702656</t>
        </is>
      </c>
      <c r="AY1345" t="inlineStr">
        <is>
          <t>2259654010002656</t>
        </is>
      </c>
      <c r="AZ1345" t="inlineStr">
        <is>
          <t>BOOK</t>
        </is>
      </c>
      <c r="BC1345" t="inlineStr">
        <is>
          <t>32285000810373</t>
        </is>
      </c>
      <c r="BD1345" t="inlineStr">
        <is>
          <t>893692820</t>
        </is>
      </c>
    </row>
    <row r="1346">
      <c r="A1346" t="inlineStr">
        <is>
          <t>No</t>
        </is>
      </c>
      <c r="B1346" t="inlineStr">
        <is>
          <t>BX2260 .C713 1892</t>
        </is>
      </c>
      <c r="C1346" t="inlineStr">
        <is>
          <t>0                      BX 2260000C  713         1892</t>
        </is>
      </c>
      <c r="D1346" t="inlineStr">
        <is>
          <t>The confessor after God's own heart / from the French of the third ed. of Rev. Father L.J.M. Cros, S.J.</t>
        </is>
      </c>
      <c r="F1346" t="inlineStr">
        <is>
          <t>No</t>
        </is>
      </c>
      <c r="G1346" t="inlineStr">
        <is>
          <t>1</t>
        </is>
      </c>
      <c r="H1346" t="inlineStr">
        <is>
          <t>No</t>
        </is>
      </c>
      <c r="I1346" t="inlineStr">
        <is>
          <t>No</t>
        </is>
      </c>
      <c r="J1346" t="inlineStr">
        <is>
          <t>0</t>
        </is>
      </c>
      <c r="K1346" t="inlineStr">
        <is>
          <t>Cros, L.-Jos.-Marie (Léonard-Joseph-Marie), 1831-1913.</t>
        </is>
      </c>
      <c r="L1346" t="inlineStr">
        <is>
          <t>Dublin : Browne and Nolan, 1892.</t>
        </is>
      </c>
      <c r="M1346" t="inlineStr">
        <is>
          <t>1892</t>
        </is>
      </c>
      <c r="O1346" t="inlineStr">
        <is>
          <t>eng</t>
        </is>
      </c>
      <c r="P1346" t="inlineStr">
        <is>
          <t>___</t>
        </is>
      </c>
      <c r="R1346" t="inlineStr">
        <is>
          <t xml:space="preserve">BX </t>
        </is>
      </c>
      <c r="S1346" t="n">
        <v>5</v>
      </c>
      <c r="T1346" t="n">
        <v>5</v>
      </c>
      <c r="U1346" t="inlineStr">
        <is>
          <t>1994-11-09</t>
        </is>
      </c>
      <c r="V1346" t="inlineStr">
        <is>
          <t>1994-11-09</t>
        </is>
      </c>
      <c r="W1346" t="inlineStr">
        <is>
          <t>1991-10-21</t>
        </is>
      </c>
      <c r="X1346" t="inlineStr">
        <is>
          <t>1991-10-21</t>
        </is>
      </c>
      <c r="Y1346" t="n">
        <v>22</v>
      </c>
      <c r="Z1346" t="n">
        <v>19</v>
      </c>
      <c r="AA1346" t="n">
        <v>20</v>
      </c>
      <c r="AB1346" t="n">
        <v>1</v>
      </c>
      <c r="AC1346" t="n">
        <v>1</v>
      </c>
      <c r="AD1346" t="n">
        <v>5</v>
      </c>
      <c r="AE1346" t="n">
        <v>6</v>
      </c>
      <c r="AF1346" t="n">
        <v>0</v>
      </c>
      <c r="AG1346" t="n">
        <v>0</v>
      </c>
      <c r="AH1346" t="n">
        <v>0</v>
      </c>
      <c r="AI1346" t="n">
        <v>0</v>
      </c>
      <c r="AJ1346" t="n">
        <v>5</v>
      </c>
      <c r="AK1346" t="n">
        <v>6</v>
      </c>
      <c r="AL1346" t="n">
        <v>0</v>
      </c>
      <c r="AM1346" t="n">
        <v>0</v>
      </c>
      <c r="AN1346" t="n">
        <v>0</v>
      </c>
      <c r="AO1346" t="n">
        <v>0</v>
      </c>
      <c r="AP1346" t="inlineStr">
        <is>
          <t>No</t>
        </is>
      </c>
      <c r="AQ1346" t="inlineStr">
        <is>
          <t>No</t>
        </is>
      </c>
      <c r="AS1346">
        <f>HYPERLINK("https://creighton-primo.hosted.exlibrisgroup.com/primo-explore/search?tab=default_tab&amp;search_scope=EVERYTHING&amp;vid=01CRU&amp;lang=en_US&amp;offset=0&amp;query=any,contains,991003339359702656","Catalog Record")</f>
        <v/>
      </c>
      <c r="AT1346">
        <f>HYPERLINK("http://www.worldcat.org/oclc/869844","WorldCat Record")</f>
        <v/>
      </c>
      <c r="AU1346" t="inlineStr">
        <is>
          <t>1840381:eng</t>
        </is>
      </c>
      <c r="AV1346" t="inlineStr">
        <is>
          <t>869844</t>
        </is>
      </c>
      <c r="AW1346" t="inlineStr">
        <is>
          <t>991003339359702656</t>
        </is>
      </c>
      <c r="AX1346" t="inlineStr">
        <is>
          <t>991003339359702656</t>
        </is>
      </c>
      <c r="AY1346" t="inlineStr">
        <is>
          <t>2266440430002656</t>
        </is>
      </c>
      <c r="AZ1346" t="inlineStr">
        <is>
          <t>BOOK</t>
        </is>
      </c>
      <c r="BC1346" t="inlineStr">
        <is>
          <t>32285000810399</t>
        </is>
      </c>
      <c r="BD1346" t="inlineStr">
        <is>
          <t>893227970</t>
        </is>
      </c>
    </row>
    <row r="1347">
      <c r="A1347" t="inlineStr">
        <is>
          <t>No</t>
        </is>
      </c>
      <c r="B1347" t="inlineStr">
        <is>
          <t>BX2260 .G85</t>
        </is>
      </c>
      <c r="C1347" t="inlineStr">
        <is>
          <t>0                      BX 2260000G  85</t>
        </is>
      </c>
      <c r="D1347" t="inlineStr">
        <is>
          <t>The forgiveness of sin / by Tad Guzie and John McIlhon.</t>
        </is>
      </c>
      <c r="F1347" t="inlineStr">
        <is>
          <t>No</t>
        </is>
      </c>
      <c r="G1347" t="inlineStr">
        <is>
          <t>1</t>
        </is>
      </c>
      <c r="H1347" t="inlineStr">
        <is>
          <t>No</t>
        </is>
      </c>
      <c r="I1347" t="inlineStr">
        <is>
          <t>No</t>
        </is>
      </c>
      <c r="J1347" t="inlineStr">
        <is>
          <t>0</t>
        </is>
      </c>
      <c r="K1347" t="inlineStr">
        <is>
          <t>Guzie, Tad W.</t>
        </is>
      </c>
      <c r="L1347" t="inlineStr">
        <is>
          <t>Chicago : Thomas More Press, c1979.</t>
        </is>
      </c>
      <c r="M1347" t="inlineStr">
        <is>
          <t>1979</t>
        </is>
      </c>
      <c r="O1347" t="inlineStr">
        <is>
          <t>eng</t>
        </is>
      </c>
      <c r="P1347" t="inlineStr">
        <is>
          <t>ilu</t>
        </is>
      </c>
      <c r="R1347" t="inlineStr">
        <is>
          <t xml:space="preserve">BX </t>
        </is>
      </c>
      <c r="S1347" t="n">
        <v>8</v>
      </c>
      <c r="T1347" t="n">
        <v>8</v>
      </c>
      <c r="U1347" t="inlineStr">
        <is>
          <t>1998-03-12</t>
        </is>
      </c>
      <c r="V1347" t="inlineStr">
        <is>
          <t>1998-03-12</t>
        </is>
      </c>
      <c r="W1347" t="inlineStr">
        <is>
          <t>1990-07-16</t>
        </is>
      </c>
      <c r="X1347" t="inlineStr">
        <is>
          <t>1990-07-16</t>
        </is>
      </c>
      <c r="Y1347" t="n">
        <v>142</v>
      </c>
      <c r="Z1347" t="n">
        <v>125</v>
      </c>
      <c r="AA1347" t="n">
        <v>126</v>
      </c>
      <c r="AB1347" t="n">
        <v>3</v>
      </c>
      <c r="AC1347" t="n">
        <v>3</v>
      </c>
      <c r="AD1347" t="n">
        <v>14</v>
      </c>
      <c r="AE1347" t="n">
        <v>14</v>
      </c>
      <c r="AF1347" t="n">
        <v>2</v>
      </c>
      <c r="AG1347" t="n">
        <v>2</v>
      </c>
      <c r="AH1347" t="n">
        <v>5</v>
      </c>
      <c r="AI1347" t="n">
        <v>5</v>
      </c>
      <c r="AJ1347" t="n">
        <v>10</v>
      </c>
      <c r="AK1347" t="n">
        <v>10</v>
      </c>
      <c r="AL1347" t="n">
        <v>1</v>
      </c>
      <c r="AM1347" t="n">
        <v>1</v>
      </c>
      <c r="AN1347" t="n">
        <v>0</v>
      </c>
      <c r="AO1347" t="n">
        <v>0</v>
      </c>
      <c r="AP1347" t="inlineStr">
        <is>
          <t>No</t>
        </is>
      </c>
      <c r="AQ1347" t="inlineStr">
        <is>
          <t>No</t>
        </is>
      </c>
      <c r="AS1347">
        <f>HYPERLINK("https://creighton-primo.hosted.exlibrisgroup.com/primo-explore/search?tab=default_tab&amp;search_scope=EVERYTHING&amp;vid=01CRU&amp;lang=en_US&amp;offset=0&amp;query=any,contains,991004818099702656","Catalog Record")</f>
        <v/>
      </c>
      <c r="AT1347">
        <f>HYPERLINK("http://www.worldcat.org/oclc/5312379","WorldCat Record")</f>
        <v/>
      </c>
      <c r="AU1347" t="inlineStr">
        <is>
          <t>5488726473:eng</t>
        </is>
      </c>
      <c r="AV1347" t="inlineStr">
        <is>
          <t>5312379</t>
        </is>
      </c>
      <c r="AW1347" t="inlineStr">
        <is>
          <t>991004818099702656</t>
        </is>
      </c>
      <c r="AX1347" t="inlineStr">
        <is>
          <t>991004818099702656</t>
        </is>
      </c>
      <c r="AY1347" t="inlineStr">
        <is>
          <t>2264783700002656</t>
        </is>
      </c>
      <c r="AZ1347" t="inlineStr">
        <is>
          <t>BOOK</t>
        </is>
      </c>
      <c r="BB1347" t="inlineStr">
        <is>
          <t>9780883471036</t>
        </is>
      </c>
      <c r="BC1347" t="inlineStr">
        <is>
          <t>32285000208107</t>
        </is>
      </c>
      <c r="BD1347" t="inlineStr">
        <is>
          <t>893235954</t>
        </is>
      </c>
    </row>
    <row r="1348">
      <c r="A1348" t="inlineStr">
        <is>
          <t>No</t>
        </is>
      </c>
      <c r="B1348" t="inlineStr">
        <is>
          <t>BX2260 .H413 1968</t>
        </is>
      </c>
      <c r="C1348" t="inlineStr">
        <is>
          <t>0                      BX 2260000H  413         1968</t>
        </is>
      </c>
      <c r="D1348" t="inlineStr">
        <is>
          <t>Confession and the service of penance / [by] F. J. Heggen. Translated by Peter Tomlinson.</t>
        </is>
      </c>
      <c r="F1348" t="inlineStr">
        <is>
          <t>No</t>
        </is>
      </c>
      <c r="G1348" t="inlineStr">
        <is>
          <t>1</t>
        </is>
      </c>
      <c r="H1348" t="inlineStr">
        <is>
          <t>No</t>
        </is>
      </c>
      <c r="I1348" t="inlineStr">
        <is>
          <t>No</t>
        </is>
      </c>
      <c r="J1348" t="inlineStr">
        <is>
          <t>0</t>
        </is>
      </c>
      <c r="K1348" t="inlineStr">
        <is>
          <t>Heggen, Franz J.</t>
        </is>
      </c>
      <c r="L1348" t="inlineStr">
        <is>
          <t>Notre Dame, [Ind.] : University of Notre Dame Press, [1968, c1967]</t>
        </is>
      </c>
      <c r="M1348" t="inlineStr">
        <is>
          <t>1968</t>
        </is>
      </c>
      <c r="N1348" t="inlineStr">
        <is>
          <t>[1st American ed.]</t>
        </is>
      </c>
      <c r="O1348" t="inlineStr">
        <is>
          <t>eng</t>
        </is>
      </c>
      <c r="P1348" t="inlineStr">
        <is>
          <t>inu</t>
        </is>
      </c>
      <c r="R1348" t="inlineStr">
        <is>
          <t xml:space="preserve">BX </t>
        </is>
      </c>
      <c r="S1348" t="n">
        <v>7</v>
      </c>
      <c r="T1348" t="n">
        <v>7</v>
      </c>
      <c r="U1348" t="inlineStr">
        <is>
          <t>1997-06-19</t>
        </is>
      </c>
      <c r="V1348" t="inlineStr">
        <is>
          <t>1997-06-19</t>
        </is>
      </c>
      <c r="W1348" t="inlineStr">
        <is>
          <t>1991-10-21</t>
        </is>
      </c>
      <c r="X1348" t="inlineStr">
        <is>
          <t>1991-10-21</t>
        </is>
      </c>
      <c r="Y1348" t="n">
        <v>199</v>
      </c>
      <c r="Z1348" t="n">
        <v>191</v>
      </c>
      <c r="AA1348" t="n">
        <v>231</v>
      </c>
      <c r="AB1348" t="n">
        <v>2</v>
      </c>
      <c r="AC1348" t="n">
        <v>2</v>
      </c>
      <c r="AD1348" t="n">
        <v>29</v>
      </c>
      <c r="AE1348" t="n">
        <v>31</v>
      </c>
      <c r="AF1348" t="n">
        <v>9</v>
      </c>
      <c r="AG1348" t="n">
        <v>10</v>
      </c>
      <c r="AH1348" t="n">
        <v>8</v>
      </c>
      <c r="AI1348" t="n">
        <v>8</v>
      </c>
      <c r="AJ1348" t="n">
        <v>21</v>
      </c>
      <c r="AK1348" t="n">
        <v>23</v>
      </c>
      <c r="AL1348" t="n">
        <v>0</v>
      </c>
      <c r="AM1348" t="n">
        <v>0</v>
      </c>
      <c r="AN1348" t="n">
        <v>0</v>
      </c>
      <c r="AO1348" t="n">
        <v>0</v>
      </c>
      <c r="AP1348" t="inlineStr">
        <is>
          <t>No</t>
        </is>
      </c>
      <c r="AQ1348" t="inlineStr">
        <is>
          <t>Yes</t>
        </is>
      </c>
      <c r="AR1348">
        <f>HYPERLINK("http://catalog.hathitrust.org/Record/001416877","HathiTrust Record")</f>
        <v/>
      </c>
      <c r="AS1348">
        <f>HYPERLINK("https://creighton-primo.hosted.exlibrisgroup.com/primo-explore/search?tab=default_tab&amp;search_scope=EVERYTHING&amp;vid=01CRU&amp;lang=en_US&amp;offset=0&amp;query=any,contains,991003186199702656","Catalog Record")</f>
        <v/>
      </c>
      <c r="AT1348">
        <f>HYPERLINK("http://www.worldcat.org/oclc/712687","WorldCat Record")</f>
        <v/>
      </c>
      <c r="AU1348" t="inlineStr">
        <is>
          <t>1667012:eng</t>
        </is>
      </c>
      <c r="AV1348" t="inlineStr">
        <is>
          <t>712687</t>
        </is>
      </c>
      <c r="AW1348" t="inlineStr">
        <is>
          <t>991003186199702656</t>
        </is>
      </c>
      <c r="AX1348" t="inlineStr">
        <is>
          <t>991003186199702656</t>
        </is>
      </c>
      <c r="AY1348" t="inlineStr">
        <is>
          <t>2256648590002656</t>
        </is>
      </c>
      <c r="AZ1348" t="inlineStr">
        <is>
          <t>BOOK</t>
        </is>
      </c>
      <c r="BC1348" t="inlineStr">
        <is>
          <t>32285000810456</t>
        </is>
      </c>
      <c r="BD1348" t="inlineStr">
        <is>
          <t>893227772</t>
        </is>
      </c>
    </row>
    <row r="1349">
      <c r="A1349" t="inlineStr">
        <is>
          <t>No</t>
        </is>
      </c>
      <c r="B1349" t="inlineStr">
        <is>
          <t>BX2260 .R513 1966</t>
        </is>
      </c>
      <c r="C1349" t="inlineStr">
        <is>
          <t>0                      BX 2260000R  513         1966</t>
        </is>
      </c>
      <c r="D1349" t="inlineStr">
        <is>
          <t>Metanoia : Christian penance and confession / by Stephan Richter. Translated by Raymond T. Kelly.</t>
        </is>
      </c>
      <c r="F1349" t="inlineStr">
        <is>
          <t>No</t>
        </is>
      </c>
      <c r="G1349" t="inlineStr">
        <is>
          <t>1</t>
        </is>
      </c>
      <c r="H1349" t="inlineStr">
        <is>
          <t>No</t>
        </is>
      </c>
      <c r="I1349" t="inlineStr">
        <is>
          <t>No</t>
        </is>
      </c>
      <c r="J1349" t="inlineStr">
        <is>
          <t>0</t>
        </is>
      </c>
      <c r="K1349" t="inlineStr">
        <is>
          <t>Richter, Stephan.</t>
        </is>
      </c>
      <c r="L1349" t="inlineStr">
        <is>
          <t>New York : Sheed and Ward, [1966]</t>
        </is>
      </c>
      <c r="M1349" t="inlineStr">
        <is>
          <t>1966</t>
        </is>
      </c>
      <c r="O1349" t="inlineStr">
        <is>
          <t>eng</t>
        </is>
      </c>
      <c r="P1349" t="inlineStr">
        <is>
          <t>nyu</t>
        </is>
      </c>
      <c r="R1349" t="inlineStr">
        <is>
          <t xml:space="preserve">BX </t>
        </is>
      </c>
      <c r="S1349" t="n">
        <v>4</v>
      </c>
      <c r="T1349" t="n">
        <v>4</v>
      </c>
      <c r="U1349" t="inlineStr">
        <is>
          <t>2002-03-12</t>
        </is>
      </c>
      <c r="V1349" t="inlineStr">
        <is>
          <t>2002-03-12</t>
        </is>
      </c>
      <c r="W1349" t="inlineStr">
        <is>
          <t>1991-10-21</t>
        </is>
      </c>
      <c r="X1349" t="inlineStr">
        <is>
          <t>1991-10-21</t>
        </is>
      </c>
      <c r="Y1349" t="n">
        <v>235</v>
      </c>
      <c r="Z1349" t="n">
        <v>209</v>
      </c>
      <c r="AA1349" t="n">
        <v>211</v>
      </c>
      <c r="AB1349" t="n">
        <v>3</v>
      </c>
      <c r="AC1349" t="n">
        <v>3</v>
      </c>
      <c r="AD1349" t="n">
        <v>23</v>
      </c>
      <c r="AE1349" t="n">
        <v>23</v>
      </c>
      <c r="AF1349" t="n">
        <v>4</v>
      </c>
      <c r="AG1349" t="n">
        <v>4</v>
      </c>
      <c r="AH1349" t="n">
        <v>8</v>
      </c>
      <c r="AI1349" t="n">
        <v>8</v>
      </c>
      <c r="AJ1349" t="n">
        <v>18</v>
      </c>
      <c r="AK1349" t="n">
        <v>18</v>
      </c>
      <c r="AL1349" t="n">
        <v>0</v>
      </c>
      <c r="AM1349" t="n">
        <v>0</v>
      </c>
      <c r="AN1349" t="n">
        <v>0</v>
      </c>
      <c r="AO1349" t="n">
        <v>0</v>
      </c>
      <c r="AP1349" t="inlineStr">
        <is>
          <t>No</t>
        </is>
      </c>
      <c r="AQ1349" t="inlineStr">
        <is>
          <t>Yes</t>
        </is>
      </c>
      <c r="AR1349">
        <f>HYPERLINK("http://catalog.hathitrust.org/Record/009907000","HathiTrust Record")</f>
        <v/>
      </c>
      <c r="AS1349">
        <f>HYPERLINK("https://creighton-primo.hosted.exlibrisgroup.com/primo-explore/search?tab=default_tab&amp;search_scope=EVERYTHING&amp;vid=01CRU&amp;lang=en_US&amp;offset=0&amp;query=any,contains,991003569359702656","Catalog Record")</f>
        <v/>
      </c>
      <c r="AT1349">
        <f>HYPERLINK("http://www.worldcat.org/oclc/1144317","WorldCat Record")</f>
        <v/>
      </c>
      <c r="AU1349" t="inlineStr">
        <is>
          <t>3768366592:eng</t>
        </is>
      </c>
      <c r="AV1349" t="inlineStr">
        <is>
          <t>1144317</t>
        </is>
      </c>
      <c r="AW1349" t="inlineStr">
        <is>
          <t>991003569359702656</t>
        </is>
      </c>
      <c r="AX1349" t="inlineStr">
        <is>
          <t>991003569359702656</t>
        </is>
      </c>
      <c r="AY1349" t="inlineStr">
        <is>
          <t>2263344040002656</t>
        </is>
      </c>
      <c r="AZ1349" t="inlineStr">
        <is>
          <t>BOOK</t>
        </is>
      </c>
      <c r="BC1349" t="inlineStr">
        <is>
          <t>32285000810506</t>
        </is>
      </c>
      <c r="BD1349" t="inlineStr">
        <is>
          <t>893686664</t>
        </is>
      </c>
    </row>
    <row r="1350">
      <c r="A1350" t="inlineStr">
        <is>
          <t>No</t>
        </is>
      </c>
      <c r="B1350" t="inlineStr">
        <is>
          <t>BX2260 .S213 1966</t>
        </is>
      </c>
      <c r="C1350" t="inlineStr">
        <is>
          <t>0                      BX 2260000S  213         1966</t>
        </is>
      </c>
      <c r="D1350" t="inlineStr">
        <is>
          <t>The Sacrament of penance / by M.B. Carra de Vaux Saint-Cyr and others. [Translated by R.L. Sullivant, Sister St. Agnes Cunningham and Sister M. Renelle]</t>
        </is>
      </c>
      <c r="F1350" t="inlineStr">
        <is>
          <t>No</t>
        </is>
      </c>
      <c r="G1350" t="inlineStr">
        <is>
          <t>1</t>
        </is>
      </c>
      <c r="H1350" t="inlineStr">
        <is>
          <t>No</t>
        </is>
      </c>
      <c r="I1350" t="inlineStr">
        <is>
          <t>No</t>
        </is>
      </c>
      <c r="J1350" t="inlineStr">
        <is>
          <t>0</t>
        </is>
      </c>
      <c r="L1350" t="inlineStr">
        <is>
          <t>Glen Rock, N.J. : Paulist Press, [1966]</t>
        </is>
      </c>
      <c r="M1350" t="inlineStr">
        <is>
          <t>1966</t>
        </is>
      </c>
      <c r="O1350" t="inlineStr">
        <is>
          <t>eng</t>
        </is>
      </c>
      <c r="P1350" t="inlineStr">
        <is>
          <t>___</t>
        </is>
      </c>
      <c r="Q1350" t="inlineStr">
        <is>
          <t>Deus book</t>
        </is>
      </c>
      <c r="R1350" t="inlineStr">
        <is>
          <t xml:space="preserve">BX </t>
        </is>
      </c>
      <c r="S1350" t="n">
        <v>1</v>
      </c>
      <c r="T1350" t="n">
        <v>1</v>
      </c>
      <c r="U1350" t="inlineStr">
        <is>
          <t>1995-11-24</t>
        </is>
      </c>
      <c r="V1350" t="inlineStr">
        <is>
          <t>1995-11-24</t>
        </is>
      </c>
      <c r="W1350" t="inlineStr">
        <is>
          <t>1991-10-21</t>
        </is>
      </c>
      <c r="X1350" t="inlineStr">
        <is>
          <t>1991-10-21</t>
        </is>
      </c>
      <c r="Y1350" t="n">
        <v>142</v>
      </c>
      <c r="Z1350" t="n">
        <v>121</v>
      </c>
      <c r="AA1350" t="n">
        <v>121</v>
      </c>
      <c r="AB1350" t="n">
        <v>1</v>
      </c>
      <c r="AC1350" t="n">
        <v>1</v>
      </c>
      <c r="AD1350" t="n">
        <v>17</v>
      </c>
      <c r="AE1350" t="n">
        <v>17</v>
      </c>
      <c r="AF1350" t="n">
        <v>5</v>
      </c>
      <c r="AG1350" t="n">
        <v>5</v>
      </c>
      <c r="AH1350" t="n">
        <v>4</v>
      </c>
      <c r="AI1350" t="n">
        <v>4</v>
      </c>
      <c r="AJ1350" t="n">
        <v>13</v>
      </c>
      <c r="AK1350" t="n">
        <v>13</v>
      </c>
      <c r="AL1350" t="n">
        <v>0</v>
      </c>
      <c r="AM1350" t="n">
        <v>0</v>
      </c>
      <c r="AN1350" t="n">
        <v>0</v>
      </c>
      <c r="AO1350" t="n">
        <v>0</v>
      </c>
      <c r="AP1350" t="inlineStr">
        <is>
          <t>No</t>
        </is>
      </c>
      <c r="AQ1350" t="inlineStr">
        <is>
          <t>No</t>
        </is>
      </c>
      <c r="AS1350">
        <f>HYPERLINK("https://creighton-primo.hosted.exlibrisgroup.com/primo-explore/search?tab=default_tab&amp;search_scope=EVERYTHING&amp;vid=01CRU&amp;lang=en_US&amp;offset=0&amp;query=any,contains,991003431889702656","Catalog Record")</f>
        <v/>
      </c>
      <c r="AT1350">
        <f>HYPERLINK("http://www.worldcat.org/oclc/966743","WorldCat Record")</f>
        <v/>
      </c>
      <c r="AU1350" t="inlineStr">
        <is>
          <t>4088128908:eng</t>
        </is>
      </c>
      <c r="AV1350" t="inlineStr">
        <is>
          <t>966743</t>
        </is>
      </c>
      <c r="AW1350" t="inlineStr">
        <is>
          <t>991003431889702656</t>
        </is>
      </c>
      <c r="AX1350" t="inlineStr">
        <is>
          <t>991003431889702656</t>
        </is>
      </c>
      <c r="AY1350" t="inlineStr">
        <is>
          <t>2262168780002656</t>
        </is>
      </c>
      <c r="AZ1350" t="inlineStr">
        <is>
          <t>BOOK</t>
        </is>
      </c>
      <c r="BC1350" t="inlineStr">
        <is>
          <t>32285000810530</t>
        </is>
      </c>
      <c r="BD1350" t="inlineStr">
        <is>
          <t>893711366</t>
        </is>
      </c>
    </row>
    <row r="1351">
      <c r="A1351" t="inlineStr">
        <is>
          <t>No</t>
        </is>
      </c>
      <c r="B1351" t="inlineStr">
        <is>
          <t>BX2260 .S613 1964</t>
        </is>
      </c>
      <c r="C1351" t="inlineStr">
        <is>
          <t>0                      BX 2260000S  613         1964</t>
        </is>
      </c>
      <c r="D1351" t="inlineStr">
        <is>
          <t>Confession, the encounter with Christ in penance / Adrienne von Speyr. [Translated by A. V. Littledale.</t>
        </is>
      </c>
      <c r="F1351" t="inlineStr">
        <is>
          <t>No</t>
        </is>
      </c>
      <c r="G1351" t="inlineStr">
        <is>
          <t>1</t>
        </is>
      </c>
      <c r="H1351" t="inlineStr">
        <is>
          <t>No</t>
        </is>
      </c>
      <c r="I1351" t="inlineStr">
        <is>
          <t>Yes</t>
        </is>
      </c>
      <c r="J1351" t="inlineStr">
        <is>
          <t>0</t>
        </is>
      </c>
      <c r="K1351" t="inlineStr">
        <is>
          <t>Speyr, Adrienne von.</t>
        </is>
      </c>
      <c r="L1351" t="inlineStr">
        <is>
          <t>New York] : Herder and Herder, [1964]</t>
        </is>
      </c>
      <c r="M1351" t="inlineStr">
        <is>
          <t>1964</t>
        </is>
      </c>
      <c r="O1351" t="inlineStr">
        <is>
          <t>eng</t>
        </is>
      </c>
      <c r="P1351" t="inlineStr">
        <is>
          <t>nyu</t>
        </is>
      </c>
      <c r="R1351" t="inlineStr">
        <is>
          <t xml:space="preserve">BX </t>
        </is>
      </c>
      <c r="S1351" t="n">
        <v>3</v>
      </c>
      <c r="T1351" t="n">
        <v>3</v>
      </c>
      <c r="U1351" t="inlineStr">
        <is>
          <t>2002-01-14</t>
        </is>
      </c>
      <c r="V1351" t="inlineStr">
        <is>
          <t>2002-01-14</t>
        </is>
      </c>
      <c r="W1351" t="inlineStr">
        <is>
          <t>1991-10-21</t>
        </is>
      </c>
      <c r="X1351" t="inlineStr">
        <is>
          <t>1991-10-21</t>
        </is>
      </c>
      <c r="Y1351" t="n">
        <v>215</v>
      </c>
      <c r="Z1351" t="n">
        <v>195</v>
      </c>
      <c r="AA1351" t="n">
        <v>288</v>
      </c>
      <c r="AB1351" t="n">
        <v>1</v>
      </c>
      <c r="AC1351" t="n">
        <v>4</v>
      </c>
      <c r="AD1351" t="n">
        <v>27</v>
      </c>
      <c r="AE1351" t="n">
        <v>36</v>
      </c>
      <c r="AF1351" t="n">
        <v>9</v>
      </c>
      <c r="AG1351" t="n">
        <v>14</v>
      </c>
      <c r="AH1351" t="n">
        <v>8</v>
      </c>
      <c r="AI1351" t="n">
        <v>8</v>
      </c>
      <c r="AJ1351" t="n">
        <v>19</v>
      </c>
      <c r="AK1351" t="n">
        <v>25</v>
      </c>
      <c r="AL1351" t="n">
        <v>0</v>
      </c>
      <c r="AM1351" t="n">
        <v>1</v>
      </c>
      <c r="AN1351" t="n">
        <v>0</v>
      </c>
      <c r="AO1351" t="n">
        <v>0</v>
      </c>
      <c r="AP1351" t="inlineStr">
        <is>
          <t>No</t>
        </is>
      </c>
      <c r="AQ1351" t="inlineStr">
        <is>
          <t>No</t>
        </is>
      </c>
      <c r="AS1351">
        <f>HYPERLINK("https://creighton-primo.hosted.exlibrisgroup.com/primo-explore/search?tab=default_tab&amp;search_scope=EVERYTHING&amp;vid=01CRU&amp;lang=en_US&amp;offset=0&amp;query=any,contains,991003882619702656","Catalog Record")</f>
        <v/>
      </c>
      <c r="AT1351">
        <f>HYPERLINK("http://www.worldcat.org/oclc/1732010","WorldCat Record")</f>
        <v/>
      </c>
      <c r="AU1351" t="inlineStr">
        <is>
          <t>5224279:eng</t>
        </is>
      </c>
      <c r="AV1351" t="inlineStr">
        <is>
          <t>1732010</t>
        </is>
      </c>
      <c r="AW1351" t="inlineStr">
        <is>
          <t>991003882619702656</t>
        </is>
      </c>
      <c r="AX1351" t="inlineStr">
        <is>
          <t>991003882619702656</t>
        </is>
      </c>
      <c r="AY1351" t="inlineStr">
        <is>
          <t>2255303350002656</t>
        </is>
      </c>
      <c r="AZ1351" t="inlineStr">
        <is>
          <t>BOOK</t>
        </is>
      </c>
      <c r="BC1351" t="inlineStr">
        <is>
          <t>32285000810563</t>
        </is>
      </c>
      <c r="BD1351" t="inlineStr">
        <is>
          <t>893718171</t>
        </is>
      </c>
    </row>
    <row r="1352">
      <c r="A1352" t="inlineStr">
        <is>
          <t>No</t>
        </is>
      </c>
      <c r="B1352" t="inlineStr">
        <is>
          <t>BX2260 .V36 1958</t>
        </is>
      </c>
      <c r="C1352" t="inlineStr">
        <is>
          <t>0                      BX 2260000V  36          1958</t>
        </is>
      </c>
      <c r="D1352" t="inlineStr">
        <is>
          <t>Approach to penance / by Hubert Van Zeller.</t>
        </is>
      </c>
      <c r="F1352" t="inlineStr">
        <is>
          <t>No</t>
        </is>
      </c>
      <c r="G1352" t="inlineStr">
        <is>
          <t>1</t>
        </is>
      </c>
      <c r="H1352" t="inlineStr">
        <is>
          <t>No</t>
        </is>
      </c>
      <c r="I1352" t="inlineStr">
        <is>
          <t>No</t>
        </is>
      </c>
      <c r="J1352" t="inlineStr">
        <is>
          <t>0</t>
        </is>
      </c>
      <c r="K1352" t="inlineStr">
        <is>
          <t>Van Zeller, Hubert, 1905-1984.</t>
        </is>
      </c>
      <c r="L1352" t="inlineStr">
        <is>
          <t>London ; New York : Sheed and Ward, [1958]</t>
        </is>
      </c>
      <c r="M1352" t="inlineStr">
        <is>
          <t>1958</t>
        </is>
      </c>
      <c r="O1352" t="inlineStr">
        <is>
          <t>eng</t>
        </is>
      </c>
      <c r="P1352" t="inlineStr">
        <is>
          <t>enk</t>
        </is>
      </c>
      <c r="R1352" t="inlineStr">
        <is>
          <t xml:space="preserve">BX </t>
        </is>
      </c>
      <c r="S1352" t="n">
        <v>5</v>
      </c>
      <c r="T1352" t="n">
        <v>5</v>
      </c>
      <c r="U1352" t="inlineStr">
        <is>
          <t>1997-04-15</t>
        </is>
      </c>
      <c r="V1352" t="inlineStr">
        <is>
          <t>1997-04-15</t>
        </is>
      </c>
      <c r="W1352" t="inlineStr">
        <is>
          <t>1991-10-21</t>
        </is>
      </c>
      <c r="X1352" t="inlineStr">
        <is>
          <t>1991-10-21</t>
        </is>
      </c>
      <c r="Y1352" t="n">
        <v>72</v>
      </c>
      <c r="Z1352" t="n">
        <v>53</v>
      </c>
      <c r="AA1352" t="n">
        <v>217</v>
      </c>
      <c r="AB1352" t="n">
        <v>1</v>
      </c>
      <c r="AC1352" t="n">
        <v>3</v>
      </c>
      <c r="AD1352" t="n">
        <v>9</v>
      </c>
      <c r="AE1352" t="n">
        <v>28</v>
      </c>
      <c r="AF1352" t="n">
        <v>2</v>
      </c>
      <c r="AG1352" t="n">
        <v>9</v>
      </c>
      <c r="AH1352" t="n">
        <v>3</v>
      </c>
      <c r="AI1352" t="n">
        <v>8</v>
      </c>
      <c r="AJ1352" t="n">
        <v>7</v>
      </c>
      <c r="AK1352" t="n">
        <v>22</v>
      </c>
      <c r="AL1352" t="n">
        <v>0</v>
      </c>
      <c r="AM1352" t="n">
        <v>0</v>
      </c>
      <c r="AN1352" t="n">
        <v>0</v>
      </c>
      <c r="AO1352" t="n">
        <v>0</v>
      </c>
      <c r="AP1352" t="inlineStr">
        <is>
          <t>No</t>
        </is>
      </c>
      <c r="AQ1352" t="inlineStr">
        <is>
          <t>No</t>
        </is>
      </c>
      <c r="AS1352">
        <f>HYPERLINK("https://creighton-primo.hosted.exlibrisgroup.com/primo-explore/search?tab=default_tab&amp;search_scope=EVERYTHING&amp;vid=01CRU&amp;lang=en_US&amp;offset=0&amp;query=any,contains,991004081599702656","Catalog Record")</f>
        <v/>
      </c>
      <c r="AT1352">
        <f>HYPERLINK("http://www.worldcat.org/oclc/2330135","WorldCat Record")</f>
        <v/>
      </c>
      <c r="AU1352" t="inlineStr">
        <is>
          <t>131522824:eng</t>
        </is>
      </c>
      <c r="AV1352" t="inlineStr">
        <is>
          <t>2330135</t>
        </is>
      </c>
      <c r="AW1352" t="inlineStr">
        <is>
          <t>991004081599702656</t>
        </is>
      </c>
      <c r="AX1352" t="inlineStr">
        <is>
          <t>991004081599702656</t>
        </is>
      </c>
      <c r="AY1352" t="inlineStr">
        <is>
          <t>2263721650002656</t>
        </is>
      </c>
      <c r="AZ1352" t="inlineStr">
        <is>
          <t>BOOK</t>
        </is>
      </c>
      <c r="BC1352" t="inlineStr">
        <is>
          <t>32285000810589</t>
        </is>
      </c>
      <c r="BD1352" t="inlineStr">
        <is>
          <t>893429629</t>
        </is>
      </c>
    </row>
    <row r="1353">
      <c r="A1353" t="inlineStr">
        <is>
          <t>No</t>
        </is>
      </c>
      <c r="B1353" t="inlineStr">
        <is>
          <t>BX2261 .C65 1995</t>
        </is>
      </c>
      <c r="C1353" t="inlineStr">
        <is>
          <t>0                      BX 2261000C  65          1995</t>
        </is>
      </c>
      <c r="D1353" t="inlineStr">
        <is>
          <t>The Irish penitentials and their significance for the sacrament of penance today / Hugh Connolly.</t>
        </is>
      </c>
      <c r="F1353" t="inlineStr">
        <is>
          <t>No</t>
        </is>
      </c>
      <c r="G1353" t="inlineStr">
        <is>
          <t>1</t>
        </is>
      </c>
      <c r="H1353" t="inlineStr">
        <is>
          <t>No</t>
        </is>
      </c>
      <c r="I1353" t="inlineStr">
        <is>
          <t>No</t>
        </is>
      </c>
      <c r="J1353" t="inlineStr">
        <is>
          <t>0</t>
        </is>
      </c>
      <c r="K1353" t="inlineStr">
        <is>
          <t>Connolly, Hugh.</t>
        </is>
      </c>
      <c r="L1353" t="inlineStr">
        <is>
          <t>Dublin ; Portland, OR : Four Courts Press, c1995.</t>
        </is>
      </c>
      <c r="M1353" t="inlineStr">
        <is>
          <t>1995</t>
        </is>
      </c>
      <c r="O1353" t="inlineStr">
        <is>
          <t>eng</t>
        </is>
      </c>
      <c r="P1353" t="inlineStr">
        <is>
          <t xml:space="preserve">ie </t>
        </is>
      </c>
      <c r="R1353" t="inlineStr">
        <is>
          <t xml:space="preserve">BX </t>
        </is>
      </c>
      <c r="S1353" t="n">
        <v>7</v>
      </c>
      <c r="T1353" t="n">
        <v>7</v>
      </c>
      <c r="U1353" t="inlineStr">
        <is>
          <t>2006-02-02</t>
        </is>
      </c>
      <c r="V1353" t="inlineStr">
        <is>
          <t>2006-02-02</t>
        </is>
      </c>
      <c r="W1353" t="inlineStr">
        <is>
          <t>1996-06-06</t>
        </is>
      </c>
      <c r="X1353" t="inlineStr">
        <is>
          <t>1996-06-06</t>
        </is>
      </c>
      <c r="Y1353" t="n">
        <v>110</v>
      </c>
      <c r="Z1353" t="n">
        <v>71</v>
      </c>
      <c r="AA1353" t="n">
        <v>74</v>
      </c>
      <c r="AB1353" t="n">
        <v>1</v>
      </c>
      <c r="AC1353" t="n">
        <v>1</v>
      </c>
      <c r="AD1353" t="n">
        <v>9</v>
      </c>
      <c r="AE1353" t="n">
        <v>9</v>
      </c>
      <c r="AF1353" t="n">
        <v>0</v>
      </c>
      <c r="AG1353" t="n">
        <v>0</v>
      </c>
      <c r="AH1353" t="n">
        <v>3</v>
      </c>
      <c r="AI1353" t="n">
        <v>3</v>
      </c>
      <c r="AJ1353" t="n">
        <v>7</v>
      </c>
      <c r="AK1353" t="n">
        <v>7</v>
      </c>
      <c r="AL1353" t="n">
        <v>0</v>
      </c>
      <c r="AM1353" t="n">
        <v>0</v>
      </c>
      <c r="AN1353" t="n">
        <v>0</v>
      </c>
      <c r="AO1353" t="n">
        <v>0</v>
      </c>
      <c r="AP1353" t="inlineStr">
        <is>
          <t>No</t>
        </is>
      </c>
      <c r="AQ1353" t="inlineStr">
        <is>
          <t>Yes</t>
        </is>
      </c>
      <c r="AR1353">
        <f>HYPERLINK("http://catalog.hathitrust.org/Record/003012209","HathiTrust Record")</f>
        <v/>
      </c>
      <c r="AS1353">
        <f>HYPERLINK("https://creighton-primo.hosted.exlibrisgroup.com/primo-explore/search?tab=default_tab&amp;search_scope=EVERYTHING&amp;vid=01CRU&amp;lang=en_US&amp;offset=0&amp;query=any,contains,991002639999702656","Catalog Record")</f>
        <v/>
      </c>
      <c r="AT1353">
        <f>HYPERLINK("http://www.worldcat.org/oclc/34564577","WorldCat Record")</f>
        <v/>
      </c>
      <c r="AU1353" t="inlineStr">
        <is>
          <t>39499650:eng</t>
        </is>
      </c>
      <c r="AV1353" t="inlineStr">
        <is>
          <t>34564577</t>
        </is>
      </c>
      <c r="AW1353" t="inlineStr">
        <is>
          <t>991002639999702656</t>
        </is>
      </c>
      <c r="AX1353" t="inlineStr">
        <is>
          <t>991002639999702656</t>
        </is>
      </c>
      <c r="AY1353" t="inlineStr">
        <is>
          <t>2267287570002656</t>
        </is>
      </c>
      <c r="AZ1353" t="inlineStr">
        <is>
          <t>BOOK</t>
        </is>
      </c>
      <c r="BB1353" t="inlineStr">
        <is>
          <t>9781851821617</t>
        </is>
      </c>
      <c r="BC1353" t="inlineStr">
        <is>
          <t>32285002188638</t>
        </is>
      </c>
      <c r="BD1353" t="inlineStr">
        <is>
          <t>893434100</t>
        </is>
      </c>
    </row>
    <row r="1354">
      <c r="A1354" t="inlineStr">
        <is>
          <t>No</t>
        </is>
      </c>
      <c r="B1354" t="inlineStr">
        <is>
          <t>BX2263.G3 M94 1996</t>
        </is>
      </c>
      <c r="C1354" t="inlineStr">
        <is>
          <t>0                      BX 2263000G  3                  M  94          1996</t>
        </is>
      </c>
      <c r="D1354" t="inlineStr">
        <is>
          <t>"Poor, sinning folk" : confession and conscience in Counter-Reformation Germany / W. David Myers.</t>
        </is>
      </c>
      <c r="F1354" t="inlineStr">
        <is>
          <t>No</t>
        </is>
      </c>
      <c r="G1354" t="inlineStr">
        <is>
          <t>1</t>
        </is>
      </c>
      <c r="H1354" t="inlineStr">
        <is>
          <t>No</t>
        </is>
      </c>
      <c r="I1354" t="inlineStr">
        <is>
          <t>No</t>
        </is>
      </c>
      <c r="J1354" t="inlineStr">
        <is>
          <t>0</t>
        </is>
      </c>
      <c r="K1354" t="inlineStr">
        <is>
          <t>Myers, W. David.</t>
        </is>
      </c>
      <c r="L1354" t="inlineStr">
        <is>
          <t>Ithaca, NY : Cornell University Press, 1996.</t>
        </is>
      </c>
      <c r="M1354" t="inlineStr">
        <is>
          <t>1996</t>
        </is>
      </c>
      <c r="O1354" t="inlineStr">
        <is>
          <t>eng</t>
        </is>
      </c>
      <c r="P1354" t="inlineStr">
        <is>
          <t>nyu</t>
        </is>
      </c>
      <c r="R1354" t="inlineStr">
        <is>
          <t xml:space="preserve">BX </t>
        </is>
      </c>
      <c r="S1354" t="n">
        <v>2</v>
      </c>
      <c r="T1354" t="n">
        <v>2</v>
      </c>
      <c r="U1354" t="inlineStr">
        <is>
          <t>2005-04-25</t>
        </is>
      </c>
      <c r="V1354" t="inlineStr">
        <is>
          <t>2005-04-25</t>
        </is>
      </c>
      <c r="W1354" t="inlineStr">
        <is>
          <t>1998-09-08</t>
        </is>
      </c>
      <c r="X1354" t="inlineStr">
        <is>
          <t>1998-09-08</t>
        </is>
      </c>
      <c r="Y1354" t="n">
        <v>392</v>
      </c>
      <c r="Z1354" t="n">
        <v>320</v>
      </c>
      <c r="AA1354" t="n">
        <v>506</v>
      </c>
      <c r="AB1354" t="n">
        <v>3</v>
      </c>
      <c r="AC1354" t="n">
        <v>3</v>
      </c>
      <c r="AD1354" t="n">
        <v>27</v>
      </c>
      <c r="AE1354" t="n">
        <v>31</v>
      </c>
      <c r="AF1354" t="n">
        <v>11</v>
      </c>
      <c r="AG1354" t="n">
        <v>14</v>
      </c>
      <c r="AH1354" t="n">
        <v>6</v>
      </c>
      <c r="AI1354" t="n">
        <v>7</v>
      </c>
      <c r="AJ1354" t="n">
        <v>18</v>
      </c>
      <c r="AK1354" t="n">
        <v>19</v>
      </c>
      <c r="AL1354" t="n">
        <v>2</v>
      </c>
      <c r="AM1354" t="n">
        <v>2</v>
      </c>
      <c r="AN1354" t="n">
        <v>0</v>
      </c>
      <c r="AO1354" t="n">
        <v>0</v>
      </c>
      <c r="AP1354" t="inlineStr">
        <is>
          <t>No</t>
        </is>
      </c>
      <c r="AQ1354" t="inlineStr">
        <is>
          <t>Yes</t>
        </is>
      </c>
      <c r="AR1354">
        <f>HYPERLINK("http://catalog.hathitrust.org/Record/003082308","HathiTrust Record")</f>
        <v/>
      </c>
      <c r="AS1354">
        <f>HYPERLINK("https://creighton-primo.hosted.exlibrisgroup.com/primo-explore/search?tab=default_tab&amp;search_scope=EVERYTHING&amp;vid=01CRU&amp;lang=en_US&amp;offset=0&amp;query=any,contains,991002572359702656","Catalog Record")</f>
        <v/>
      </c>
      <c r="AT1354">
        <f>HYPERLINK("http://www.worldcat.org/oclc/33439214","WorldCat Record")</f>
        <v/>
      </c>
      <c r="AU1354" t="inlineStr">
        <is>
          <t>837018515:eng</t>
        </is>
      </c>
      <c r="AV1354" t="inlineStr">
        <is>
          <t>33439214</t>
        </is>
      </c>
      <c r="AW1354" t="inlineStr">
        <is>
          <t>991002572359702656</t>
        </is>
      </c>
      <c r="AX1354" t="inlineStr">
        <is>
          <t>991002572359702656</t>
        </is>
      </c>
      <c r="AY1354" t="inlineStr">
        <is>
          <t>2261912350002656</t>
        </is>
      </c>
      <c r="AZ1354" t="inlineStr">
        <is>
          <t>BOOK</t>
        </is>
      </c>
      <c r="BB1354" t="inlineStr">
        <is>
          <t>9780801430817</t>
        </is>
      </c>
      <c r="BC1354" t="inlineStr">
        <is>
          <t>32285003466298</t>
        </is>
      </c>
      <c r="BD1354" t="inlineStr">
        <is>
          <t>893415369</t>
        </is>
      </c>
    </row>
    <row r="1355">
      <c r="A1355" t="inlineStr">
        <is>
          <t>No</t>
        </is>
      </c>
      <c r="B1355" t="inlineStr">
        <is>
          <t>BX2265 .H4 1937</t>
        </is>
      </c>
      <c r="C1355" t="inlineStr">
        <is>
          <t>0                      BX 2265000H  4           1937</t>
        </is>
      </c>
      <c r="D1355" t="inlineStr">
        <is>
          <t>Priest and penitent : a discussion of confession / by John Carmel Heenan.</t>
        </is>
      </c>
      <c r="F1355" t="inlineStr">
        <is>
          <t>No</t>
        </is>
      </c>
      <c r="G1355" t="inlineStr">
        <is>
          <t>1</t>
        </is>
      </c>
      <c r="H1355" t="inlineStr">
        <is>
          <t>No</t>
        </is>
      </c>
      <c r="I1355" t="inlineStr">
        <is>
          <t>No</t>
        </is>
      </c>
      <c r="J1355" t="inlineStr">
        <is>
          <t>0</t>
        </is>
      </c>
      <c r="K1355" t="inlineStr">
        <is>
          <t>Heenan, John Carmel, 1905-1975.</t>
        </is>
      </c>
      <c r="L1355" t="inlineStr">
        <is>
          <t>New York : Sheed and Ward, c1937, 1938 printing.</t>
        </is>
      </c>
      <c r="M1355" t="inlineStr">
        <is>
          <t>1937</t>
        </is>
      </c>
      <c r="O1355" t="inlineStr">
        <is>
          <t>eng</t>
        </is>
      </c>
      <c r="P1355" t="inlineStr">
        <is>
          <t>___</t>
        </is>
      </c>
      <c r="R1355" t="inlineStr">
        <is>
          <t xml:space="preserve">BX </t>
        </is>
      </c>
      <c r="S1355" t="n">
        <v>2</v>
      </c>
      <c r="T1355" t="n">
        <v>2</v>
      </c>
      <c r="U1355" t="inlineStr">
        <is>
          <t>1995-02-14</t>
        </is>
      </c>
      <c r="V1355" t="inlineStr">
        <is>
          <t>1995-02-14</t>
        </is>
      </c>
      <c r="W1355" t="inlineStr">
        <is>
          <t>1991-10-21</t>
        </is>
      </c>
      <c r="X1355" t="inlineStr">
        <is>
          <t>1991-10-21</t>
        </is>
      </c>
      <c r="Y1355" t="n">
        <v>72</v>
      </c>
      <c r="Z1355" t="n">
        <v>67</v>
      </c>
      <c r="AA1355" t="n">
        <v>85</v>
      </c>
      <c r="AB1355" t="n">
        <v>2</v>
      </c>
      <c r="AC1355" t="n">
        <v>2</v>
      </c>
      <c r="AD1355" t="n">
        <v>13</v>
      </c>
      <c r="AE1355" t="n">
        <v>15</v>
      </c>
      <c r="AF1355" t="n">
        <v>2</v>
      </c>
      <c r="AG1355" t="n">
        <v>2</v>
      </c>
      <c r="AH1355" t="n">
        <v>5</v>
      </c>
      <c r="AI1355" t="n">
        <v>7</v>
      </c>
      <c r="AJ1355" t="n">
        <v>9</v>
      </c>
      <c r="AK1355" t="n">
        <v>10</v>
      </c>
      <c r="AL1355" t="n">
        <v>0</v>
      </c>
      <c r="AM1355" t="n">
        <v>0</v>
      </c>
      <c r="AN1355" t="n">
        <v>0</v>
      </c>
      <c r="AO1355" t="n">
        <v>0</v>
      </c>
      <c r="AP1355" t="inlineStr">
        <is>
          <t>No</t>
        </is>
      </c>
      <c r="AQ1355" t="inlineStr">
        <is>
          <t>No</t>
        </is>
      </c>
      <c r="AS1355">
        <f>HYPERLINK("https://creighton-primo.hosted.exlibrisgroup.com/primo-explore/search?tab=default_tab&amp;search_scope=EVERYTHING&amp;vid=01CRU&amp;lang=en_US&amp;offset=0&amp;query=any,contains,991003842239702656","Catalog Record")</f>
        <v/>
      </c>
      <c r="AT1355">
        <f>HYPERLINK("http://www.worldcat.org/oclc/1620646","WorldCat Record")</f>
        <v/>
      </c>
      <c r="AU1355" t="inlineStr">
        <is>
          <t>198918514:eng</t>
        </is>
      </c>
      <c r="AV1355" t="inlineStr">
        <is>
          <t>1620646</t>
        </is>
      </c>
      <c r="AW1355" t="inlineStr">
        <is>
          <t>991003842239702656</t>
        </is>
      </c>
      <c r="AX1355" t="inlineStr">
        <is>
          <t>991003842239702656</t>
        </is>
      </c>
      <c r="AY1355" t="inlineStr">
        <is>
          <t>2267536770002656</t>
        </is>
      </c>
      <c r="AZ1355" t="inlineStr">
        <is>
          <t>BOOK</t>
        </is>
      </c>
      <c r="BC1355" t="inlineStr">
        <is>
          <t>32285000810639</t>
        </is>
      </c>
      <c r="BD1355" t="inlineStr">
        <is>
          <t>893410762</t>
        </is>
      </c>
    </row>
    <row r="1356">
      <c r="A1356" t="inlineStr">
        <is>
          <t>No</t>
        </is>
      </c>
      <c r="B1356" t="inlineStr">
        <is>
          <t>BX2265.2 .B323 1975</t>
        </is>
      </c>
      <c r="C1356" t="inlineStr">
        <is>
          <t>0                      BX 2265200B  323         1975</t>
        </is>
      </c>
      <c r="D1356" t="inlineStr">
        <is>
          <t>Guilty, O Lord ; yes, I still go to confession / Bernard Basset.</t>
        </is>
      </c>
      <c r="F1356" t="inlineStr">
        <is>
          <t>No</t>
        </is>
      </c>
      <c r="G1356" t="inlineStr">
        <is>
          <t>1</t>
        </is>
      </c>
      <c r="H1356" t="inlineStr">
        <is>
          <t>No</t>
        </is>
      </c>
      <c r="I1356" t="inlineStr">
        <is>
          <t>No</t>
        </is>
      </c>
      <c r="J1356" t="inlineStr">
        <is>
          <t>0</t>
        </is>
      </c>
      <c r="K1356" t="inlineStr">
        <is>
          <t>Basset, Bernard.</t>
        </is>
      </c>
      <c r="L1356" t="inlineStr">
        <is>
          <t>Garden City, N.Y. : Doubleday, 1975 [c1974]</t>
        </is>
      </c>
      <c r="M1356" t="inlineStr">
        <is>
          <t>1975</t>
        </is>
      </c>
      <c r="N1356" t="inlineStr">
        <is>
          <t>[1st ed. in the United States of America]</t>
        </is>
      </c>
      <c r="O1356" t="inlineStr">
        <is>
          <t>eng</t>
        </is>
      </c>
      <c r="P1356" t="inlineStr">
        <is>
          <t>nyu</t>
        </is>
      </c>
      <c r="R1356" t="inlineStr">
        <is>
          <t xml:space="preserve">BX </t>
        </is>
      </c>
      <c r="S1356" t="n">
        <v>7</v>
      </c>
      <c r="T1356" t="n">
        <v>7</v>
      </c>
      <c r="U1356" t="inlineStr">
        <is>
          <t>2009-08-06</t>
        </is>
      </c>
      <c r="V1356" t="inlineStr">
        <is>
          <t>2009-08-06</t>
        </is>
      </c>
      <c r="W1356" t="inlineStr">
        <is>
          <t>1991-10-21</t>
        </is>
      </c>
      <c r="X1356" t="inlineStr">
        <is>
          <t>1991-10-21</t>
        </is>
      </c>
      <c r="Y1356" t="n">
        <v>172</v>
      </c>
      <c r="Z1356" t="n">
        <v>161</v>
      </c>
      <c r="AA1356" t="n">
        <v>171</v>
      </c>
      <c r="AB1356" t="n">
        <v>4</v>
      </c>
      <c r="AC1356" t="n">
        <v>4</v>
      </c>
      <c r="AD1356" t="n">
        <v>19</v>
      </c>
      <c r="AE1356" t="n">
        <v>20</v>
      </c>
      <c r="AF1356" t="n">
        <v>6</v>
      </c>
      <c r="AG1356" t="n">
        <v>6</v>
      </c>
      <c r="AH1356" t="n">
        <v>3</v>
      </c>
      <c r="AI1356" t="n">
        <v>4</v>
      </c>
      <c r="AJ1356" t="n">
        <v>15</v>
      </c>
      <c r="AK1356" t="n">
        <v>15</v>
      </c>
      <c r="AL1356" t="n">
        <v>1</v>
      </c>
      <c r="AM1356" t="n">
        <v>1</v>
      </c>
      <c r="AN1356" t="n">
        <v>0</v>
      </c>
      <c r="AO1356" t="n">
        <v>0</v>
      </c>
      <c r="AP1356" t="inlineStr">
        <is>
          <t>No</t>
        </is>
      </c>
      <c r="AQ1356" t="inlineStr">
        <is>
          <t>Yes</t>
        </is>
      </c>
      <c r="AR1356">
        <f>HYPERLINK("http://catalog.hathitrust.org/Record/102373855","HathiTrust Record")</f>
        <v/>
      </c>
      <c r="AS1356">
        <f>HYPERLINK("https://creighton-primo.hosted.exlibrisgroup.com/primo-explore/search?tab=default_tab&amp;search_scope=EVERYTHING&amp;vid=01CRU&amp;lang=en_US&amp;offset=0&amp;query=any,contains,991003467789702656","Catalog Record")</f>
        <v/>
      </c>
      <c r="AT1356">
        <f>HYPERLINK("http://www.worldcat.org/oclc/1009334","WorldCat Record")</f>
        <v/>
      </c>
      <c r="AU1356" t="inlineStr">
        <is>
          <t>1987309:eng</t>
        </is>
      </c>
      <c r="AV1356" t="inlineStr">
        <is>
          <t>1009334</t>
        </is>
      </c>
      <c r="AW1356" t="inlineStr">
        <is>
          <t>991003467789702656</t>
        </is>
      </c>
      <c r="AX1356" t="inlineStr">
        <is>
          <t>991003467789702656</t>
        </is>
      </c>
      <c r="AY1356" t="inlineStr">
        <is>
          <t>2263611370002656</t>
        </is>
      </c>
      <c r="AZ1356" t="inlineStr">
        <is>
          <t>BOOK</t>
        </is>
      </c>
      <c r="BB1356" t="inlineStr">
        <is>
          <t>9780385025317</t>
        </is>
      </c>
      <c r="BC1356" t="inlineStr">
        <is>
          <t>32285005539233</t>
        </is>
      </c>
      <c r="BD1356" t="inlineStr">
        <is>
          <t>893441308</t>
        </is>
      </c>
    </row>
    <row r="1357">
      <c r="A1357" t="inlineStr">
        <is>
          <t>No</t>
        </is>
      </c>
      <c r="B1357" t="inlineStr">
        <is>
          <t>BX2265.2 .B34 1970</t>
        </is>
      </c>
      <c r="C1357" t="inlineStr">
        <is>
          <t>0                      BX 2265200B  34          1970</t>
        </is>
      </c>
      <c r="D1357" t="inlineStr">
        <is>
          <t>It is the Lord! Sin and confession revisited / [by] William J. Bausch.</t>
        </is>
      </c>
      <c r="F1357" t="inlineStr">
        <is>
          <t>No</t>
        </is>
      </c>
      <c r="G1357" t="inlineStr">
        <is>
          <t>1</t>
        </is>
      </c>
      <c r="H1357" t="inlineStr">
        <is>
          <t>No</t>
        </is>
      </c>
      <c r="I1357" t="inlineStr">
        <is>
          <t>No</t>
        </is>
      </c>
      <c r="J1357" t="inlineStr">
        <is>
          <t>0</t>
        </is>
      </c>
      <c r="K1357" t="inlineStr">
        <is>
          <t>Bausch, William J.</t>
        </is>
      </c>
      <c r="L1357" t="inlineStr">
        <is>
          <t>Notre Dame, Ind. : Fides Publishers, [1970]</t>
        </is>
      </c>
      <c r="M1357" t="inlineStr">
        <is>
          <t>1970</t>
        </is>
      </c>
      <c r="O1357" t="inlineStr">
        <is>
          <t>eng</t>
        </is>
      </c>
      <c r="P1357" t="inlineStr">
        <is>
          <t>inu</t>
        </is>
      </c>
      <c r="R1357" t="inlineStr">
        <is>
          <t xml:space="preserve">BX </t>
        </is>
      </c>
      <c r="S1357" t="n">
        <v>7</v>
      </c>
      <c r="T1357" t="n">
        <v>7</v>
      </c>
      <c r="U1357" t="inlineStr">
        <is>
          <t>2000-10-04</t>
        </is>
      </c>
      <c r="V1357" t="inlineStr">
        <is>
          <t>2000-10-04</t>
        </is>
      </c>
      <c r="W1357" t="inlineStr">
        <is>
          <t>1990-06-29</t>
        </is>
      </c>
      <c r="X1357" t="inlineStr">
        <is>
          <t>1990-06-29</t>
        </is>
      </c>
      <c r="Y1357" t="n">
        <v>134</v>
      </c>
      <c r="Z1357" t="n">
        <v>119</v>
      </c>
      <c r="AA1357" t="n">
        <v>132</v>
      </c>
      <c r="AB1357" t="n">
        <v>2</v>
      </c>
      <c r="AC1357" t="n">
        <v>2</v>
      </c>
      <c r="AD1357" t="n">
        <v>18</v>
      </c>
      <c r="AE1357" t="n">
        <v>18</v>
      </c>
      <c r="AF1357" t="n">
        <v>6</v>
      </c>
      <c r="AG1357" t="n">
        <v>6</v>
      </c>
      <c r="AH1357" t="n">
        <v>4</v>
      </c>
      <c r="AI1357" t="n">
        <v>4</v>
      </c>
      <c r="AJ1357" t="n">
        <v>15</v>
      </c>
      <c r="AK1357" t="n">
        <v>15</v>
      </c>
      <c r="AL1357" t="n">
        <v>0</v>
      </c>
      <c r="AM1357" t="n">
        <v>0</v>
      </c>
      <c r="AN1357" t="n">
        <v>0</v>
      </c>
      <c r="AO1357" t="n">
        <v>0</v>
      </c>
      <c r="AP1357" t="inlineStr">
        <is>
          <t>No</t>
        </is>
      </c>
      <c r="AQ1357" t="inlineStr">
        <is>
          <t>No</t>
        </is>
      </c>
      <c r="AS1357">
        <f>HYPERLINK("https://creighton-primo.hosted.exlibrisgroup.com/primo-explore/search?tab=default_tab&amp;search_scope=EVERYTHING&amp;vid=01CRU&amp;lang=en_US&amp;offset=0&amp;query=any,contains,991000159289702656","Catalog Record")</f>
        <v/>
      </c>
      <c r="AT1357">
        <f>HYPERLINK("http://www.worldcat.org/oclc/60989","WorldCat Record")</f>
        <v/>
      </c>
      <c r="AU1357" t="inlineStr">
        <is>
          <t>9381067083:eng</t>
        </is>
      </c>
      <c r="AV1357" t="inlineStr">
        <is>
          <t>60989</t>
        </is>
      </c>
      <c r="AW1357" t="inlineStr">
        <is>
          <t>991000159289702656</t>
        </is>
      </c>
      <c r="AX1357" t="inlineStr">
        <is>
          <t>991000159289702656</t>
        </is>
      </c>
      <c r="AY1357" t="inlineStr">
        <is>
          <t>2271590060002656</t>
        </is>
      </c>
      <c r="AZ1357" t="inlineStr">
        <is>
          <t>BOOK</t>
        </is>
      </c>
      <c r="BB1357" t="inlineStr">
        <is>
          <t>9780819005526</t>
        </is>
      </c>
      <c r="BC1357" t="inlineStr">
        <is>
          <t>32285000215565</t>
        </is>
      </c>
      <c r="BD1357" t="inlineStr">
        <is>
          <t>893320870</t>
        </is>
      </c>
    </row>
    <row r="1358">
      <c r="A1358" t="inlineStr">
        <is>
          <t>No</t>
        </is>
      </c>
      <c r="B1358" t="inlineStr">
        <is>
          <t>BX2265.2 .F6 1970</t>
        </is>
      </c>
      <c r="C1358" t="inlineStr">
        <is>
          <t>0                      BX 2265200F  6           1970</t>
        </is>
      </c>
      <c r="D1358" t="inlineStr">
        <is>
          <t>What's happening to confession? / by Leonard Foley.</t>
        </is>
      </c>
      <c r="F1358" t="inlineStr">
        <is>
          <t>No</t>
        </is>
      </c>
      <c r="G1358" t="inlineStr">
        <is>
          <t>1</t>
        </is>
      </c>
      <c r="H1358" t="inlineStr">
        <is>
          <t>No</t>
        </is>
      </c>
      <c r="I1358" t="inlineStr">
        <is>
          <t>No</t>
        </is>
      </c>
      <c r="J1358" t="inlineStr">
        <is>
          <t>0</t>
        </is>
      </c>
      <c r="K1358" t="inlineStr">
        <is>
          <t>Foley, Leonard, 1913-1994.</t>
        </is>
      </c>
      <c r="L1358" t="inlineStr">
        <is>
          <t>[Cincinnati : St. Anthony Messenger Press, 1970]</t>
        </is>
      </c>
      <c r="M1358" t="inlineStr">
        <is>
          <t>1970</t>
        </is>
      </c>
      <c r="O1358" t="inlineStr">
        <is>
          <t>eng</t>
        </is>
      </c>
      <c r="P1358" t="inlineStr">
        <is>
          <t>ohu</t>
        </is>
      </c>
      <c r="R1358" t="inlineStr">
        <is>
          <t xml:space="preserve">BX </t>
        </is>
      </c>
      <c r="S1358" t="n">
        <v>6</v>
      </c>
      <c r="T1358" t="n">
        <v>6</v>
      </c>
      <c r="U1358" t="inlineStr">
        <is>
          <t>1995-11-22</t>
        </is>
      </c>
      <c r="V1358" t="inlineStr">
        <is>
          <t>1995-11-22</t>
        </is>
      </c>
      <c r="W1358" t="inlineStr">
        <is>
          <t>1991-10-21</t>
        </is>
      </c>
      <c r="X1358" t="inlineStr">
        <is>
          <t>1991-10-21</t>
        </is>
      </c>
      <c r="Y1358" t="n">
        <v>79</v>
      </c>
      <c r="Z1358" t="n">
        <v>66</v>
      </c>
      <c r="AA1358" t="n">
        <v>71</v>
      </c>
      <c r="AB1358" t="n">
        <v>2</v>
      </c>
      <c r="AC1358" t="n">
        <v>2</v>
      </c>
      <c r="AD1358" t="n">
        <v>8</v>
      </c>
      <c r="AE1358" t="n">
        <v>8</v>
      </c>
      <c r="AF1358" t="n">
        <v>2</v>
      </c>
      <c r="AG1358" t="n">
        <v>2</v>
      </c>
      <c r="AH1358" t="n">
        <v>2</v>
      </c>
      <c r="AI1358" t="n">
        <v>2</v>
      </c>
      <c r="AJ1358" t="n">
        <v>6</v>
      </c>
      <c r="AK1358" t="n">
        <v>6</v>
      </c>
      <c r="AL1358" t="n">
        <v>0</v>
      </c>
      <c r="AM1358" t="n">
        <v>0</v>
      </c>
      <c r="AN1358" t="n">
        <v>0</v>
      </c>
      <c r="AO1358" t="n">
        <v>0</v>
      </c>
      <c r="AP1358" t="inlineStr">
        <is>
          <t>No</t>
        </is>
      </c>
      <c r="AQ1358" t="inlineStr">
        <is>
          <t>No</t>
        </is>
      </c>
      <c r="AS1358">
        <f>HYPERLINK("https://creighton-primo.hosted.exlibrisgroup.com/primo-explore/search?tab=default_tab&amp;search_scope=EVERYTHING&amp;vid=01CRU&amp;lang=en_US&amp;offset=0&amp;query=any,contains,991000674019702656","Catalog Record")</f>
        <v/>
      </c>
      <c r="AT1358">
        <f>HYPERLINK("http://www.worldcat.org/oclc/119898","WorldCat Record")</f>
        <v/>
      </c>
      <c r="AU1358" t="inlineStr">
        <is>
          <t>1240383:eng</t>
        </is>
      </c>
      <c r="AV1358" t="inlineStr">
        <is>
          <t>119898</t>
        </is>
      </c>
      <c r="AW1358" t="inlineStr">
        <is>
          <t>991000674019702656</t>
        </is>
      </c>
      <c r="AX1358" t="inlineStr">
        <is>
          <t>991000674019702656</t>
        </is>
      </c>
      <c r="AY1358" t="inlineStr">
        <is>
          <t>2264242450002656</t>
        </is>
      </c>
      <c r="AZ1358" t="inlineStr">
        <is>
          <t>BOOK</t>
        </is>
      </c>
      <c r="BB1358" t="inlineStr">
        <is>
          <t>9780912228006</t>
        </is>
      </c>
      <c r="BC1358" t="inlineStr">
        <is>
          <t>32285000810696</t>
        </is>
      </c>
      <c r="BD1358" t="inlineStr">
        <is>
          <t>893339771</t>
        </is>
      </c>
    </row>
    <row r="1359">
      <c r="A1359" t="inlineStr">
        <is>
          <t>No</t>
        </is>
      </c>
      <c r="B1359" t="inlineStr">
        <is>
          <t>BX2265.2 .S613 1961</t>
        </is>
      </c>
      <c r="C1359" t="inlineStr">
        <is>
          <t>0                      BX 2265200S  613         1961</t>
        </is>
      </c>
      <c r="D1359" t="inlineStr">
        <is>
          <t>Confession and pastoral psychology / A. Snoeck. Translated by Theodore Zuydwijk.</t>
        </is>
      </c>
      <c r="F1359" t="inlineStr">
        <is>
          <t>No</t>
        </is>
      </c>
      <c r="G1359" t="inlineStr">
        <is>
          <t>1</t>
        </is>
      </c>
      <c r="H1359" t="inlineStr">
        <is>
          <t>No</t>
        </is>
      </c>
      <c r="I1359" t="inlineStr">
        <is>
          <t>No</t>
        </is>
      </c>
      <c r="J1359" t="inlineStr">
        <is>
          <t>0</t>
        </is>
      </c>
      <c r="K1359" t="inlineStr">
        <is>
          <t>Snoeck, André, 1910-</t>
        </is>
      </c>
      <c r="L1359" t="inlineStr">
        <is>
          <t>Westminster, Md. : Newman Press, 1961.</t>
        </is>
      </c>
      <c r="M1359" t="inlineStr">
        <is>
          <t>1961</t>
        </is>
      </c>
      <c r="O1359" t="inlineStr">
        <is>
          <t>eng</t>
        </is>
      </c>
      <c r="P1359" t="inlineStr">
        <is>
          <t>mdu</t>
        </is>
      </c>
      <c r="R1359" t="inlineStr">
        <is>
          <t xml:space="preserve">BX </t>
        </is>
      </c>
      <c r="S1359" t="n">
        <v>3</v>
      </c>
      <c r="T1359" t="n">
        <v>3</v>
      </c>
      <c r="U1359" t="inlineStr">
        <is>
          <t>2002-03-12</t>
        </is>
      </c>
      <c r="V1359" t="inlineStr">
        <is>
          <t>2002-03-12</t>
        </is>
      </c>
      <c r="W1359" t="inlineStr">
        <is>
          <t>1991-10-21</t>
        </is>
      </c>
      <c r="X1359" t="inlineStr">
        <is>
          <t>1991-10-21</t>
        </is>
      </c>
      <c r="Y1359" t="n">
        <v>145</v>
      </c>
      <c r="Z1359" t="n">
        <v>127</v>
      </c>
      <c r="AA1359" t="n">
        <v>128</v>
      </c>
      <c r="AB1359" t="n">
        <v>3</v>
      </c>
      <c r="AC1359" t="n">
        <v>3</v>
      </c>
      <c r="AD1359" t="n">
        <v>23</v>
      </c>
      <c r="AE1359" t="n">
        <v>23</v>
      </c>
      <c r="AF1359" t="n">
        <v>8</v>
      </c>
      <c r="AG1359" t="n">
        <v>8</v>
      </c>
      <c r="AH1359" t="n">
        <v>6</v>
      </c>
      <c r="AI1359" t="n">
        <v>6</v>
      </c>
      <c r="AJ1359" t="n">
        <v>19</v>
      </c>
      <c r="AK1359" t="n">
        <v>19</v>
      </c>
      <c r="AL1359" t="n">
        <v>0</v>
      </c>
      <c r="AM1359" t="n">
        <v>0</v>
      </c>
      <c r="AN1359" t="n">
        <v>0</v>
      </c>
      <c r="AO1359" t="n">
        <v>0</v>
      </c>
      <c r="AP1359" t="inlineStr">
        <is>
          <t>No</t>
        </is>
      </c>
      <c r="AQ1359" t="inlineStr">
        <is>
          <t>No</t>
        </is>
      </c>
      <c r="AS1359">
        <f>HYPERLINK("https://creighton-primo.hosted.exlibrisgroup.com/primo-explore/search?tab=default_tab&amp;search_scope=EVERYTHING&amp;vid=01CRU&amp;lang=en_US&amp;offset=0&amp;query=any,contains,991004160439702656","Catalog Record")</f>
        <v/>
      </c>
      <c r="AT1359">
        <f>HYPERLINK("http://www.worldcat.org/oclc/2550005","WorldCat Record")</f>
        <v/>
      </c>
      <c r="AU1359" t="inlineStr">
        <is>
          <t>5108617:eng</t>
        </is>
      </c>
      <c r="AV1359" t="inlineStr">
        <is>
          <t>2550005</t>
        </is>
      </c>
      <c r="AW1359" t="inlineStr">
        <is>
          <t>991004160439702656</t>
        </is>
      </c>
      <c r="AX1359" t="inlineStr">
        <is>
          <t>991004160439702656</t>
        </is>
      </c>
      <c r="AY1359" t="inlineStr">
        <is>
          <t>2256729280002656</t>
        </is>
      </c>
      <c r="AZ1359" t="inlineStr">
        <is>
          <t>BOOK</t>
        </is>
      </c>
      <c r="BC1359" t="inlineStr">
        <is>
          <t>32285000810746</t>
        </is>
      </c>
      <c r="BD1359" t="inlineStr">
        <is>
          <t>893722304</t>
        </is>
      </c>
    </row>
    <row r="1360">
      <c r="A1360" t="inlineStr">
        <is>
          <t>No</t>
        </is>
      </c>
      <c r="B1360" t="inlineStr">
        <is>
          <t>BX2266.C5 U54 1973</t>
        </is>
      </c>
      <c r="C1360" t="inlineStr">
        <is>
          <t>0                      BX 2266000C  5                  U  54          1973</t>
        </is>
      </c>
      <c r="D1360" t="inlineStr">
        <is>
          <t>A study paper for first confession.</t>
        </is>
      </c>
      <c r="F1360" t="inlineStr">
        <is>
          <t>No</t>
        </is>
      </c>
      <c r="G1360" t="inlineStr">
        <is>
          <t>1</t>
        </is>
      </c>
      <c r="H1360" t="inlineStr">
        <is>
          <t>No</t>
        </is>
      </c>
      <c r="I1360" t="inlineStr">
        <is>
          <t>No</t>
        </is>
      </c>
      <c r="J1360" t="inlineStr">
        <is>
          <t>0</t>
        </is>
      </c>
      <c r="K1360" t="inlineStr">
        <is>
          <t>United States Catholic Conference. Division of Religious Education--CCD.</t>
        </is>
      </c>
      <c r="L1360" t="inlineStr">
        <is>
          <t>Washington, Publications Office, United States Catholic Conference, 1973.</t>
        </is>
      </c>
      <c r="M1360" t="inlineStr">
        <is>
          <t>1973</t>
        </is>
      </c>
      <c r="O1360" t="inlineStr">
        <is>
          <t>eng</t>
        </is>
      </c>
      <c r="P1360" t="inlineStr">
        <is>
          <t>dcu</t>
        </is>
      </c>
      <c r="R1360" t="inlineStr">
        <is>
          <t xml:space="preserve">BX </t>
        </is>
      </c>
      <c r="S1360" t="n">
        <v>2</v>
      </c>
      <c r="T1360" t="n">
        <v>2</v>
      </c>
      <c r="U1360" t="inlineStr">
        <is>
          <t>1995-11-22</t>
        </is>
      </c>
      <c r="V1360" t="inlineStr">
        <is>
          <t>1995-11-22</t>
        </is>
      </c>
      <c r="W1360" t="inlineStr">
        <is>
          <t>1991-10-21</t>
        </is>
      </c>
      <c r="X1360" t="inlineStr">
        <is>
          <t>1991-10-21</t>
        </is>
      </c>
      <c r="Y1360" t="n">
        <v>70</v>
      </c>
      <c r="Z1360" t="n">
        <v>61</v>
      </c>
      <c r="AA1360" t="n">
        <v>61</v>
      </c>
      <c r="AB1360" t="n">
        <v>2</v>
      </c>
      <c r="AC1360" t="n">
        <v>2</v>
      </c>
      <c r="AD1360" t="n">
        <v>10</v>
      </c>
      <c r="AE1360" t="n">
        <v>10</v>
      </c>
      <c r="AF1360" t="n">
        <v>1</v>
      </c>
      <c r="AG1360" t="n">
        <v>1</v>
      </c>
      <c r="AH1360" t="n">
        <v>5</v>
      </c>
      <c r="AI1360" t="n">
        <v>5</v>
      </c>
      <c r="AJ1360" t="n">
        <v>8</v>
      </c>
      <c r="AK1360" t="n">
        <v>8</v>
      </c>
      <c r="AL1360" t="n">
        <v>0</v>
      </c>
      <c r="AM1360" t="n">
        <v>0</v>
      </c>
      <c r="AN1360" t="n">
        <v>0</v>
      </c>
      <c r="AO1360" t="n">
        <v>0</v>
      </c>
      <c r="AP1360" t="inlineStr">
        <is>
          <t>No</t>
        </is>
      </c>
      <c r="AQ1360" t="inlineStr">
        <is>
          <t>No</t>
        </is>
      </c>
      <c r="AS1360">
        <f>HYPERLINK("https://creighton-primo.hosted.exlibrisgroup.com/primo-explore/search?tab=default_tab&amp;search_scope=EVERYTHING&amp;vid=01CRU&amp;lang=en_US&amp;offset=0&amp;query=any,contains,991003319059702656","Catalog Record")</f>
        <v/>
      </c>
      <c r="AT1360">
        <f>HYPERLINK("http://www.worldcat.org/oclc/845738","WorldCat Record")</f>
        <v/>
      </c>
      <c r="AU1360" t="inlineStr">
        <is>
          <t>1805257:eng</t>
        </is>
      </c>
      <c r="AV1360" t="inlineStr">
        <is>
          <t>845738</t>
        </is>
      </c>
      <c r="AW1360" t="inlineStr">
        <is>
          <t>991003319059702656</t>
        </is>
      </c>
      <c r="AX1360" t="inlineStr">
        <is>
          <t>991003319059702656</t>
        </is>
      </c>
      <c r="AY1360" t="inlineStr">
        <is>
          <t>2271496880002656</t>
        </is>
      </c>
      <c r="AZ1360" t="inlineStr">
        <is>
          <t>BOOK</t>
        </is>
      </c>
      <c r="BC1360" t="inlineStr">
        <is>
          <t>32285000810761</t>
        </is>
      </c>
      <c r="BD1360" t="inlineStr">
        <is>
          <t>893227943</t>
        </is>
      </c>
    </row>
    <row r="1361">
      <c r="A1361" t="inlineStr">
        <is>
          <t>No</t>
        </is>
      </c>
      <c r="B1361" t="inlineStr">
        <is>
          <t>BX2281 .B54 1905</t>
        </is>
      </c>
      <c r="C1361" t="inlineStr">
        <is>
          <t>0                      BX 2281000B  54          1905</t>
        </is>
      </c>
      <c r="D1361" t="inlineStr">
        <is>
          <t>Les Indulgences, leur nature et leur usage : d'après les dernières décisions de la S. Congrégation des Indulgences / par le R.P.F. Beringer, S.J. ; traduction par l'abbé Ph. Mazoyer ...</t>
        </is>
      </c>
      <c r="E1361" t="inlineStr">
        <is>
          <t>V.1</t>
        </is>
      </c>
      <c r="F1361" t="inlineStr">
        <is>
          <t>Yes</t>
        </is>
      </c>
      <c r="G1361" t="inlineStr">
        <is>
          <t>1</t>
        </is>
      </c>
      <c r="H1361" t="inlineStr">
        <is>
          <t>No</t>
        </is>
      </c>
      <c r="I1361" t="inlineStr">
        <is>
          <t>No</t>
        </is>
      </c>
      <c r="J1361" t="inlineStr">
        <is>
          <t>0</t>
        </is>
      </c>
      <c r="K1361" t="inlineStr">
        <is>
          <t>Beringer, Franz, 1838-1909.</t>
        </is>
      </c>
      <c r="L1361" t="inlineStr">
        <is>
          <t>Paris : P. Lethielleux, 1905.</t>
        </is>
      </c>
      <c r="M1361" t="inlineStr">
        <is>
          <t>1905</t>
        </is>
      </c>
      <c r="N1361" t="inlineStr">
        <is>
          <t>[3. éd.]</t>
        </is>
      </c>
      <c r="O1361" t="inlineStr">
        <is>
          <t>fre</t>
        </is>
      </c>
      <c r="P1361" t="inlineStr">
        <is>
          <t xml:space="preserve">fr </t>
        </is>
      </c>
      <c r="R1361" t="inlineStr">
        <is>
          <t xml:space="preserve">BX </t>
        </is>
      </c>
      <c r="S1361" t="n">
        <v>0</v>
      </c>
      <c r="T1361" t="n">
        <v>0</v>
      </c>
      <c r="U1361" t="inlineStr">
        <is>
          <t>2010-02-16</t>
        </is>
      </c>
      <c r="V1361" t="inlineStr">
        <is>
          <t>2010-02-16</t>
        </is>
      </c>
      <c r="W1361" t="inlineStr">
        <is>
          <t>1991-10-21</t>
        </is>
      </c>
      <c r="X1361" t="inlineStr">
        <is>
          <t>1991-10-21</t>
        </is>
      </c>
      <c r="Y1361" t="n">
        <v>22</v>
      </c>
      <c r="Z1361" t="n">
        <v>20</v>
      </c>
      <c r="AA1361" t="n">
        <v>53</v>
      </c>
      <c r="AB1361" t="n">
        <v>1</v>
      </c>
      <c r="AC1361" t="n">
        <v>1</v>
      </c>
      <c r="AD1361" t="n">
        <v>6</v>
      </c>
      <c r="AE1361" t="n">
        <v>11</v>
      </c>
      <c r="AF1361" t="n">
        <v>3</v>
      </c>
      <c r="AG1361" t="n">
        <v>3</v>
      </c>
      <c r="AH1361" t="n">
        <v>1</v>
      </c>
      <c r="AI1361" t="n">
        <v>3</v>
      </c>
      <c r="AJ1361" t="n">
        <v>5</v>
      </c>
      <c r="AK1361" t="n">
        <v>10</v>
      </c>
      <c r="AL1361" t="n">
        <v>0</v>
      </c>
      <c r="AM1361" t="n">
        <v>0</v>
      </c>
      <c r="AN1361" t="n">
        <v>0</v>
      </c>
      <c r="AO1361" t="n">
        <v>0</v>
      </c>
      <c r="AP1361" t="inlineStr">
        <is>
          <t>Yes</t>
        </is>
      </c>
      <c r="AQ1361" t="inlineStr">
        <is>
          <t>No</t>
        </is>
      </c>
      <c r="AR1361">
        <f>HYPERLINK("http://catalog.hathitrust.org/Record/100484321","HathiTrust Record")</f>
        <v/>
      </c>
      <c r="AS1361">
        <f>HYPERLINK("https://creighton-primo.hosted.exlibrisgroup.com/primo-explore/search?tab=default_tab&amp;search_scope=EVERYTHING&amp;vid=01CRU&amp;lang=en_US&amp;offset=0&amp;query=any,contains,991000465649702656","Catalog Record")</f>
        <v/>
      </c>
      <c r="AT1361">
        <f>HYPERLINK("http://www.worldcat.org/oclc/10952075","WorldCat Record")</f>
        <v/>
      </c>
      <c r="AU1361" t="inlineStr">
        <is>
          <t>367953708:fre</t>
        </is>
      </c>
      <c r="AV1361" t="inlineStr">
        <is>
          <t>10952075</t>
        </is>
      </c>
      <c r="AW1361" t="inlineStr">
        <is>
          <t>991000465649702656</t>
        </is>
      </c>
      <c r="AX1361" t="inlineStr">
        <is>
          <t>991000465649702656</t>
        </is>
      </c>
      <c r="AY1361" t="inlineStr">
        <is>
          <t>2260468380002656</t>
        </is>
      </c>
      <c r="AZ1361" t="inlineStr">
        <is>
          <t>BOOK</t>
        </is>
      </c>
      <c r="BC1361" t="inlineStr">
        <is>
          <t>32285000810795</t>
        </is>
      </c>
      <c r="BD1361" t="inlineStr">
        <is>
          <t>893865369</t>
        </is>
      </c>
    </row>
    <row r="1362">
      <c r="A1362" t="inlineStr">
        <is>
          <t>No</t>
        </is>
      </c>
      <c r="B1362" t="inlineStr">
        <is>
          <t>BX2281 .B54 1905</t>
        </is>
      </c>
      <c r="C1362" t="inlineStr">
        <is>
          <t>0                      BX 2281000B  54          1905</t>
        </is>
      </c>
      <c r="D1362" t="inlineStr">
        <is>
          <t>Les Indulgences, leur nature et leur usage : d'après les dernières décisions de la S. Congrégation des Indulgences / par le R.P.F. Beringer, S.J. ; traduction par l'abbé Ph. Mazoyer ...</t>
        </is>
      </c>
      <c r="E1362" t="inlineStr">
        <is>
          <t>V.2</t>
        </is>
      </c>
      <c r="F1362" t="inlineStr">
        <is>
          <t>Yes</t>
        </is>
      </c>
      <c r="G1362" t="inlineStr">
        <is>
          <t>1</t>
        </is>
      </c>
      <c r="H1362" t="inlineStr">
        <is>
          <t>No</t>
        </is>
      </c>
      <c r="I1362" t="inlineStr">
        <is>
          <t>No</t>
        </is>
      </c>
      <c r="J1362" t="inlineStr">
        <is>
          <t>0</t>
        </is>
      </c>
      <c r="K1362" t="inlineStr">
        <is>
          <t>Beringer, Franz, 1838-1909.</t>
        </is>
      </c>
      <c r="L1362" t="inlineStr">
        <is>
          <t>Paris : P. Lethielleux, 1905.</t>
        </is>
      </c>
      <c r="M1362" t="inlineStr">
        <is>
          <t>1905</t>
        </is>
      </c>
      <c r="N1362" t="inlineStr">
        <is>
          <t>[3. éd.]</t>
        </is>
      </c>
      <c r="O1362" t="inlineStr">
        <is>
          <t>fre</t>
        </is>
      </c>
      <c r="P1362" t="inlineStr">
        <is>
          <t xml:space="preserve">fr </t>
        </is>
      </c>
      <c r="R1362" t="inlineStr">
        <is>
          <t xml:space="preserve">BX </t>
        </is>
      </c>
      <c r="S1362" t="n">
        <v>0</v>
      </c>
      <c r="T1362" t="n">
        <v>0</v>
      </c>
      <c r="U1362" t="inlineStr">
        <is>
          <t>2010-02-16</t>
        </is>
      </c>
      <c r="V1362" t="inlineStr">
        <is>
          <t>2010-02-16</t>
        </is>
      </c>
      <c r="W1362" t="inlineStr">
        <is>
          <t>1991-10-21</t>
        </is>
      </c>
      <c r="X1362" t="inlineStr">
        <is>
          <t>1991-10-21</t>
        </is>
      </c>
      <c r="Y1362" t="n">
        <v>22</v>
      </c>
      <c r="Z1362" t="n">
        <v>20</v>
      </c>
      <c r="AA1362" t="n">
        <v>53</v>
      </c>
      <c r="AB1362" t="n">
        <v>1</v>
      </c>
      <c r="AC1362" t="n">
        <v>1</v>
      </c>
      <c r="AD1362" t="n">
        <v>6</v>
      </c>
      <c r="AE1362" t="n">
        <v>11</v>
      </c>
      <c r="AF1362" t="n">
        <v>3</v>
      </c>
      <c r="AG1362" t="n">
        <v>3</v>
      </c>
      <c r="AH1362" t="n">
        <v>1</v>
      </c>
      <c r="AI1362" t="n">
        <v>3</v>
      </c>
      <c r="AJ1362" t="n">
        <v>5</v>
      </c>
      <c r="AK1362" t="n">
        <v>10</v>
      </c>
      <c r="AL1362" t="n">
        <v>0</v>
      </c>
      <c r="AM1362" t="n">
        <v>0</v>
      </c>
      <c r="AN1362" t="n">
        <v>0</v>
      </c>
      <c r="AO1362" t="n">
        <v>0</v>
      </c>
      <c r="AP1362" t="inlineStr">
        <is>
          <t>Yes</t>
        </is>
      </c>
      <c r="AQ1362" t="inlineStr">
        <is>
          <t>No</t>
        </is>
      </c>
      <c r="AR1362">
        <f>HYPERLINK("http://catalog.hathitrust.org/Record/100484321","HathiTrust Record")</f>
        <v/>
      </c>
      <c r="AS1362">
        <f>HYPERLINK("https://creighton-primo.hosted.exlibrisgroup.com/primo-explore/search?tab=default_tab&amp;search_scope=EVERYTHING&amp;vid=01CRU&amp;lang=en_US&amp;offset=0&amp;query=any,contains,991000465649702656","Catalog Record")</f>
        <v/>
      </c>
      <c r="AT1362">
        <f>HYPERLINK("http://www.worldcat.org/oclc/10952075","WorldCat Record")</f>
        <v/>
      </c>
      <c r="AU1362" t="inlineStr">
        <is>
          <t>367953708:fre</t>
        </is>
      </c>
      <c r="AV1362" t="inlineStr">
        <is>
          <t>10952075</t>
        </is>
      </c>
      <c r="AW1362" t="inlineStr">
        <is>
          <t>991000465649702656</t>
        </is>
      </c>
      <c r="AX1362" t="inlineStr">
        <is>
          <t>991000465649702656</t>
        </is>
      </c>
      <c r="AY1362" t="inlineStr">
        <is>
          <t>2260468380002656</t>
        </is>
      </c>
      <c r="AZ1362" t="inlineStr">
        <is>
          <t>BOOK</t>
        </is>
      </c>
      <c r="BC1362" t="inlineStr">
        <is>
          <t>32285000810803</t>
        </is>
      </c>
      <c r="BD1362" t="inlineStr">
        <is>
          <t>893903014</t>
        </is>
      </c>
    </row>
    <row r="1363">
      <c r="A1363" t="inlineStr">
        <is>
          <t>No</t>
        </is>
      </c>
      <c r="B1363" t="inlineStr">
        <is>
          <t>BX2281.2 .F45 1998</t>
        </is>
      </c>
      <c r="C1363" t="inlineStr">
        <is>
          <t>0                      BX 2281200F  45          1998</t>
        </is>
      </c>
      <c r="D1363" t="inlineStr">
        <is>
          <t>Die Ablasstheologie Kardinal Cajetans, 1469-1534 / von Bernhard Alfred R. Felmberg.</t>
        </is>
      </c>
      <c r="F1363" t="inlineStr">
        <is>
          <t>No</t>
        </is>
      </c>
      <c r="G1363" t="inlineStr">
        <is>
          <t>1</t>
        </is>
      </c>
      <c r="H1363" t="inlineStr">
        <is>
          <t>No</t>
        </is>
      </c>
      <c r="I1363" t="inlineStr">
        <is>
          <t>No</t>
        </is>
      </c>
      <c r="J1363" t="inlineStr">
        <is>
          <t>0</t>
        </is>
      </c>
      <c r="K1363" t="inlineStr">
        <is>
          <t>Felmberg, Bernhard Alfred R.</t>
        </is>
      </c>
      <c r="L1363" t="inlineStr">
        <is>
          <t>Leiden ; Boston : Brill, 1998.</t>
        </is>
      </c>
      <c r="M1363" t="inlineStr">
        <is>
          <t>1998</t>
        </is>
      </c>
      <c r="O1363" t="inlineStr">
        <is>
          <t>ger</t>
        </is>
      </c>
      <c r="P1363" t="inlineStr">
        <is>
          <t xml:space="preserve">ne </t>
        </is>
      </c>
      <c r="Q1363" t="inlineStr">
        <is>
          <t>Studies in medieval and Reformation thought, 0585-6914 ; v. 66</t>
        </is>
      </c>
      <c r="R1363" t="inlineStr">
        <is>
          <t xml:space="preserve">BX </t>
        </is>
      </c>
      <c r="S1363" t="n">
        <v>2</v>
      </c>
      <c r="T1363" t="n">
        <v>2</v>
      </c>
      <c r="U1363" t="inlineStr">
        <is>
          <t>1999-07-21</t>
        </is>
      </c>
      <c r="V1363" t="inlineStr">
        <is>
          <t>1999-07-21</t>
        </is>
      </c>
      <c r="W1363" t="inlineStr">
        <is>
          <t>1998-10-21</t>
        </is>
      </c>
      <c r="X1363" t="inlineStr">
        <is>
          <t>1998-10-21</t>
        </is>
      </c>
      <c r="Y1363" t="n">
        <v>205</v>
      </c>
      <c r="Z1363" t="n">
        <v>151</v>
      </c>
      <c r="AA1363" t="n">
        <v>152</v>
      </c>
      <c r="AB1363" t="n">
        <v>2</v>
      </c>
      <c r="AC1363" t="n">
        <v>2</v>
      </c>
      <c r="AD1363" t="n">
        <v>12</v>
      </c>
      <c r="AE1363" t="n">
        <v>12</v>
      </c>
      <c r="AF1363" t="n">
        <v>1</v>
      </c>
      <c r="AG1363" t="n">
        <v>1</v>
      </c>
      <c r="AH1363" t="n">
        <v>2</v>
      </c>
      <c r="AI1363" t="n">
        <v>2</v>
      </c>
      <c r="AJ1363" t="n">
        <v>9</v>
      </c>
      <c r="AK1363" t="n">
        <v>9</v>
      </c>
      <c r="AL1363" t="n">
        <v>1</v>
      </c>
      <c r="AM1363" t="n">
        <v>1</v>
      </c>
      <c r="AN1363" t="n">
        <v>0</v>
      </c>
      <c r="AO1363" t="n">
        <v>0</v>
      </c>
      <c r="AP1363" t="inlineStr">
        <is>
          <t>No</t>
        </is>
      </c>
      <c r="AQ1363" t="inlineStr">
        <is>
          <t>No</t>
        </is>
      </c>
      <c r="AS1363">
        <f>HYPERLINK("https://creighton-primo.hosted.exlibrisgroup.com/primo-explore/search?tab=default_tab&amp;search_scope=EVERYTHING&amp;vid=01CRU&amp;lang=en_US&amp;offset=0&amp;query=any,contains,991002925009702656","Catalog Record")</f>
        <v/>
      </c>
      <c r="AT1363">
        <f>HYPERLINK("http://www.worldcat.org/oclc/38879329","WorldCat Record")</f>
        <v/>
      </c>
      <c r="AU1363" t="inlineStr">
        <is>
          <t>351589875:ger</t>
        </is>
      </c>
      <c r="AV1363" t="inlineStr">
        <is>
          <t>38879329</t>
        </is>
      </c>
      <c r="AW1363" t="inlineStr">
        <is>
          <t>991002925009702656</t>
        </is>
      </c>
      <c r="AX1363" t="inlineStr">
        <is>
          <t>991002925009702656</t>
        </is>
      </c>
      <c r="AY1363" t="inlineStr">
        <is>
          <t>2255638840002656</t>
        </is>
      </c>
      <c r="AZ1363" t="inlineStr">
        <is>
          <t>BOOK</t>
        </is>
      </c>
      <c r="BB1363" t="inlineStr">
        <is>
          <t>9789004110915</t>
        </is>
      </c>
      <c r="BC1363" t="inlineStr">
        <is>
          <t>32285003475927</t>
        </is>
      </c>
      <c r="BD1363" t="inlineStr">
        <is>
          <t>893498718</t>
        </is>
      </c>
    </row>
    <row r="1364">
      <c r="A1364" t="inlineStr">
        <is>
          <t>No</t>
        </is>
      </c>
      <c r="B1364" t="inlineStr">
        <is>
          <t>BX2292 .W3 1928</t>
        </is>
      </c>
      <c r="C1364" t="inlineStr">
        <is>
          <t>0                      BX 2292000W  3           1928</t>
        </is>
      </c>
      <c r="D1364" t="inlineStr">
        <is>
          <t>The Catholic church and healing / by James J. Walsh.</t>
        </is>
      </c>
      <c r="F1364" t="inlineStr">
        <is>
          <t>No</t>
        </is>
      </c>
      <c r="G1364" t="inlineStr">
        <is>
          <t>1</t>
        </is>
      </c>
      <c r="H1364" t="inlineStr">
        <is>
          <t>No</t>
        </is>
      </c>
      <c r="I1364" t="inlineStr">
        <is>
          <t>No</t>
        </is>
      </c>
      <c r="J1364" t="inlineStr">
        <is>
          <t>0</t>
        </is>
      </c>
      <c r="K1364" t="inlineStr">
        <is>
          <t>Walsh, James J. (James Joseph), 1865-1942.</t>
        </is>
      </c>
      <c r="L1364" t="inlineStr">
        <is>
          <t>New York : The Macmillan company, c1928, 1929 printing.</t>
        </is>
      </c>
      <c r="M1364" t="inlineStr">
        <is>
          <t>1928</t>
        </is>
      </c>
      <c r="O1364" t="inlineStr">
        <is>
          <t>eng</t>
        </is>
      </c>
      <c r="P1364" t="inlineStr">
        <is>
          <t>nyu</t>
        </is>
      </c>
      <c r="Q1364" t="inlineStr">
        <is>
          <t>The Calvert series</t>
        </is>
      </c>
      <c r="R1364" t="inlineStr">
        <is>
          <t xml:space="preserve">BX </t>
        </is>
      </c>
      <c r="S1364" t="n">
        <v>5</v>
      </c>
      <c r="T1364" t="n">
        <v>5</v>
      </c>
      <c r="U1364" t="inlineStr">
        <is>
          <t>1994-11-02</t>
        </is>
      </c>
      <c r="V1364" t="inlineStr">
        <is>
          <t>1994-11-02</t>
        </is>
      </c>
      <c r="W1364" t="inlineStr">
        <is>
          <t>1991-10-21</t>
        </is>
      </c>
      <c r="X1364" t="inlineStr">
        <is>
          <t>1991-10-21</t>
        </is>
      </c>
      <c r="Y1364" t="n">
        <v>144</v>
      </c>
      <c r="Z1364" t="n">
        <v>124</v>
      </c>
      <c r="AA1364" t="n">
        <v>133</v>
      </c>
      <c r="AB1364" t="n">
        <v>1</v>
      </c>
      <c r="AC1364" t="n">
        <v>1</v>
      </c>
      <c r="AD1364" t="n">
        <v>22</v>
      </c>
      <c r="AE1364" t="n">
        <v>23</v>
      </c>
      <c r="AF1364" t="n">
        <v>5</v>
      </c>
      <c r="AG1364" t="n">
        <v>5</v>
      </c>
      <c r="AH1364" t="n">
        <v>8</v>
      </c>
      <c r="AI1364" t="n">
        <v>8</v>
      </c>
      <c r="AJ1364" t="n">
        <v>15</v>
      </c>
      <c r="AK1364" t="n">
        <v>16</v>
      </c>
      <c r="AL1364" t="n">
        <v>0</v>
      </c>
      <c r="AM1364" t="n">
        <v>0</v>
      </c>
      <c r="AN1364" t="n">
        <v>0</v>
      </c>
      <c r="AO1364" t="n">
        <v>0</v>
      </c>
      <c r="AP1364" t="inlineStr">
        <is>
          <t>No</t>
        </is>
      </c>
      <c r="AQ1364" t="inlineStr">
        <is>
          <t>No</t>
        </is>
      </c>
      <c r="AS1364">
        <f>HYPERLINK("https://creighton-primo.hosted.exlibrisgroup.com/primo-explore/search?tab=default_tab&amp;search_scope=EVERYTHING&amp;vid=01CRU&amp;lang=en_US&amp;offset=0&amp;query=any,contains,991004977689702656","Catalog Record")</f>
        <v/>
      </c>
      <c r="AT1364">
        <f>HYPERLINK("http://www.worldcat.org/oclc/6410628","WorldCat Record")</f>
        <v/>
      </c>
      <c r="AU1364" t="inlineStr">
        <is>
          <t>375558830:eng</t>
        </is>
      </c>
      <c r="AV1364" t="inlineStr">
        <is>
          <t>6410628</t>
        </is>
      </c>
      <c r="AW1364" t="inlineStr">
        <is>
          <t>991004977689702656</t>
        </is>
      </c>
      <c r="AX1364" t="inlineStr">
        <is>
          <t>991004977689702656</t>
        </is>
      </c>
      <c r="AY1364" t="inlineStr">
        <is>
          <t>2269870170002656</t>
        </is>
      </c>
      <c r="AZ1364" t="inlineStr">
        <is>
          <t>BOOK</t>
        </is>
      </c>
      <c r="BC1364" t="inlineStr">
        <is>
          <t>32285000810886</t>
        </is>
      </c>
      <c r="BD1364" t="inlineStr">
        <is>
          <t>893236124</t>
        </is>
      </c>
    </row>
    <row r="1365">
      <c r="A1365" t="inlineStr">
        <is>
          <t>No</t>
        </is>
      </c>
      <c r="B1365" t="inlineStr">
        <is>
          <t>BX2295 .B74 1984</t>
        </is>
      </c>
      <c r="C1365" t="inlineStr">
        <is>
          <t>0                      BX 2295000B  74          1984</t>
        </is>
      </c>
      <c r="D1365" t="inlineStr">
        <is>
          <t>Redeemed creation : sacramentals today / by Laurence F. X. Brett.</t>
        </is>
      </c>
      <c r="F1365" t="inlineStr">
        <is>
          <t>No</t>
        </is>
      </c>
      <c r="G1365" t="inlineStr">
        <is>
          <t>1</t>
        </is>
      </c>
      <c r="H1365" t="inlineStr">
        <is>
          <t>No</t>
        </is>
      </c>
      <c r="I1365" t="inlineStr">
        <is>
          <t>No</t>
        </is>
      </c>
      <c r="J1365" t="inlineStr">
        <is>
          <t>0</t>
        </is>
      </c>
      <c r="K1365" t="inlineStr">
        <is>
          <t>Brett, Laurence.</t>
        </is>
      </c>
      <c r="L1365" t="inlineStr">
        <is>
          <t>Wilmington, Delaware : Michael Glazier, c1984.</t>
        </is>
      </c>
      <c r="M1365" t="inlineStr">
        <is>
          <t>1984</t>
        </is>
      </c>
      <c r="O1365" t="inlineStr">
        <is>
          <t>eng</t>
        </is>
      </c>
      <c r="P1365" t="inlineStr">
        <is>
          <t>deu</t>
        </is>
      </c>
      <c r="Q1365" t="inlineStr">
        <is>
          <t>Message of the sacraments ; 8</t>
        </is>
      </c>
      <c r="R1365" t="inlineStr">
        <is>
          <t xml:space="preserve">BX </t>
        </is>
      </c>
      <c r="S1365" t="n">
        <v>2</v>
      </c>
      <c r="T1365" t="n">
        <v>2</v>
      </c>
      <c r="U1365" t="inlineStr">
        <is>
          <t>2001-12-01</t>
        </is>
      </c>
      <c r="V1365" t="inlineStr">
        <is>
          <t>2001-12-01</t>
        </is>
      </c>
      <c r="W1365" t="inlineStr">
        <is>
          <t>1991-10-21</t>
        </is>
      </c>
      <c r="X1365" t="inlineStr">
        <is>
          <t>1991-10-21</t>
        </is>
      </c>
      <c r="Y1365" t="n">
        <v>219</v>
      </c>
      <c r="Z1365" t="n">
        <v>181</v>
      </c>
      <c r="AA1365" t="n">
        <v>182</v>
      </c>
      <c r="AB1365" t="n">
        <v>2</v>
      </c>
      <c r="AC1365" t="n">
        <v>2</v>
      </c>
      <c r="AD1365" t="n">
        <v>28</v>
      </c>
      <c r="AE1365" t="n">
        <v>28</v>
      </c>
      <c r="AF1365" t="n">
        <v>9</v>
      </c>
      <c r="AG1365" t="n">
        <v>9</v>
      </c>
      <c r="AH1365" t="n">
        <v>8</v>
      </c>
      <c r="AI1365" t="n">
        <v>8</v>
      </c>
      <c r="AJ1365" t="n">
        <v>21</v>
      </c>
      <c r="AK1365" t="n">
        <v>21</v>
      </c>
      <c r="AL1365" t="n">
        <v>0</v>
      </c>
      <c r="AM1365" t="n">
        <v>0</v>
      </c>
      <c r="AN1365" t="n">
        <v>0</v>
      </c>
      <c r="AO1365" t="n">
        <v>0</v>
      </c>
      <c r="AP1365" t="inlineStr">
        <is>
          <t>No</t>
        </is>
      </c>
      <c r="AQ1365" t="inlineStr">
        <is>
          <t>No</t>
        </is>
      </c>
      <c r="AS1365">
        <f>HYPERLINK("https://creighton-primo.hosted.exlibrisgroup.com/primo-explore/search?tab=default_tab&amp;search_scope=EVERYTHING&amp;vid=01CRU&amp;lang=en_US&amp;offset=0&amp;query=any,contains,991000515399702656","Catalog Record")</f>
        <v/>
      </c>
      <c r="AT1365">
        <f>HYPERLINK("http://www.worldcat.org/oclc/11286661","WorldCat Record")</f>
        <v/>
      </c>
      <c r="AU1365" t="inlineStr">
        <is>
          <t>4051878:eng</t>
        </is>
      </c>
      <c r="AV1365" t="inlineStr">
        <is>
          <t>11286661</t>
        </is>
      </c>
      <c r="AW1365" t="inlineStr">
        <is>
          <t>991000515399702656</t>
        </is>
      </c>
      <c r="AX1365" t="inlineStr">
        <is>
          <t>991000515399702656</t>
        </is>
      </c>
      <c r="AY1365" t="inlineStr">
        <is>
          <t>2256554250002656</t>
        </is>
      </c>
      <c r="AZ1365" t="inlineStr">
        <is>
          <t>BOOK</t>
        </is>
      </c>
      <c r="BB1365" t="inlineStr">
        <is>
          <t>9780717111404</t>
        </is>
      </c>
      <c r="BC1365" t="inlineStr">
        <is>
          <t>32285000810902</t>
        </is>
      </c>
      <c r="BD1365" t="inlineStr">
        <is>
          <t>893865426</t>
        </is>
      </c>
    </row>
    <row r="1366">
      <c r="A1366" t="inlineStr">
        <is>
          <t>No</t>
        </is>
      </c>
      <c r="B1366" t="inlineStr">
        <is>
          <t>BX2295 .G817 1956</t>
        </is>
      </c>
      <c r="C1366" t="inlineStr">
        <is>
          <t>0                      BX 2295000G  817         1956</t>
        </is>
      </c>
      <c r="D1366" t="inlineStr">
        <is>
          <t>Sacred signs / by Romano Guardini ; translated by Grace Branham ; drawings by Wm. V. Cladek.</t>
        </is>
      </c>
      <c r="F1366" t="inlineStr">
        <is>
          <t>No</t>
        </is>
      </c>
      <c r="G1366" t="inlineStr">
        <is>
          <t>1</t>
        </is>
      </c>
      <c r="H1366" t="inlineStr">
        <is>
          <t>No</t>
        </is>
      </c>
      <c r="I1366" t="inlineStr">
        <is>
          <t>No</t>
        </is>
      </c>
      <c r="J1366" t="inlineStr">
        <is>
          <t>0</t>
        </is>
      </c>
      <c r="K1366" t="inlineStr">
        <is>
          <t>Guardini, Romano, 1885-1968.</t>
        </is>
      </c>
      <c r="L1366" t="inlineStr">
        <is>
          <t>St. Louis : Pio Decimo Press, c1956.</t>
        </is>
      </c>
      <c r="M1366" t="inlineStr">
        <is>
          <t>1956</t>
        </is>
      </c>
      <c r="O1366" t="inlineStr">
        <is>
          <t>eng</t>
        </is>
      </c>
      <c r="P1366" t="inlineStr">
        <is>
          <t>mou</t>
        </is>
      </c>
      <c r="R1366" t="inlineStr">
        <is>
          <t xml:space="preserve">BX </t>
        </is>
      </c>
      <c r="S1366" t="n">
        <v>2</v>
      </c>
      <c r="T1366" t="n">
        <v>2</v>
      </c>
      <c r="U1366" t="inlineStr">
        <is>
          <t>2007-12-14</t>
        </is>
      </c>
      <c r="V1366" t="inlineStr">
        <is>
          <t>2007-12-14</t>
        </is>
      </c>
      <c r="W1366" t="inlineStr">
        <is>
          <t>1991-10-21</t>
        </is>
      </c>
      <c r="X1366" t="inlineStr">
        <is>
          <t>1991-10-21</t>
        </is>
      </c>
      <c r="Y1366" t="n">
        <v>165</v>
      </c>
      <c r="Z1366" t="n">
        <v>149</v>
      </c>
      <c r="AA1366" t="n">
        <v>187</v>
      </c>
      <c r="AB1366" t="n">
        <v>2</v>
      </c>
      <c r="AC1366" t="n">
        <v>2</v>
      </c>
      <c r="AD1366" t="n">
        <v>21</v>
      </c>
      <c r="AE1366" t="n">
        <v>26</v>
      </c>
      <c r="AF1366" t="n">
        <v>6</v>
      </c>
      <c r="AG1366" t="n">
        <v>8</v>
      </c>
      <c r="AH1366" t="n">
        <v>4</v>
      </c>
      <c r="AI1366" t="n">
        <v>6</v>
      </c>
      <c r="AJ1366" t="n">
        <v>15</v>
      </c>
      <c r="AK1366" t="n">
        <v>18</v>
      </c>
      <c r="AL1366" t="n">
        <v>1</v>
      </c>
      <c r="AM1366" t="n">
        <v>1</v>
      </c>
      <c r="AN1366" t="n">
        <v>0</v>
      </c>
      <c r="AO1366" t="n">
        <v>0</v>
      </c>
      <c r="AP1366" t="inlineStr">
        <is>
          <t>No</t>
        </is>
      </c>
      <c r="AQ1366" t="inlineStr">
        <is>
          <t>No</t>
        </is>
      </c>
      <c r="AS1366">
        <f>HYPERLINK("https://creighton-primo.hosted.exlibrisgroup.com/primo-explore/search?tab=default_tab&amp;search_scope=EVERYTHING&amp;vid=01CRU&amp;lang=en_US&amp;offset=0&amp;query=any,contains,991003992339702656","Catalog Record")</f>
        <v/>
      </c>
      <c r="AT1366">
        <f>HYPERLINK("http://www.worldcat.org/oclc/2049511","WorldCat Record")</f>
        <v/>
      </c>
      <c r="AU1366" t="inlineStr">
        <is>
          <t>9621704132:eng</t>
        </is>
      </c>
      <c r="AV1366" t="inlineStr">
        <is>
          <t>2049511</t>
        </is>
      </c>
      <c r="AW1366" t="inlineStr">
        <is>
          <t>991003992339702656</t>
        </is>
      </c>
      <c r="AX1366" t="inlineStr">
        <is>
          <t>991003992339702656</t>
        </is>
      </c>
      <c r="AY1366" t="inlineStr">
        <is>
          <t>2265395820002656</t>
        </is>
      </c>
      <c r="AZ1366" t="inlineStr">
        <is>
          <t>BOOK</t>
        </is>
      </c>
      <c r="BC1366" t="inlineStr">
        <is>
          <t>32285000810928</t>
        </is>
      </c>
      <c r="BD1366" t="inlineStr">
        <is>
          <t>893247030</t>
        </is>
      </c>
    </row>
    <row r="1367">
      <c r="A1367" t="inlineStr">
        <is>
          <t>No</t>
        </is>
      </c>
      <c r="B1367" t="inlineStr">
        <is>
          <t>BX2310.R7 D65 1988</t>
        </is>
      </c>
      <c r="C1367" t="inlineStr">
        <is>
          <t>0                      BX 2310000R  7                  D  65          1988</t>
        </is>
      </c>
      <c r="D1367" t="inlineStr">
        <is>
          <t>My rosary, its power and mystery : a book of readings / Charles Dollen ; illustrations by O. Scarpelli.</t>
        </is>
      </c>
      <c r="F1367" t="inlineStr">
        <is>
          <t>No</t>
        </is>
      </c>
      <c r="G1367" t="inlineStr">
        <is>
          <t>1</t>
        </is>
      </c>
      <c r="H1367" t="inlineStr">
        <is>
          <t>No</t>
        </is>
      </c>
      <c r="I1367" t="inlineStr">
        <is>
          <t>No</t>
        </is>
      </c>
      <c r="J1367" t="inlineStr">
        <is>
          <t>0</t>
        </is>
      </c>
      <c r="K1367" t="inlineStr">
        <is>
          <t>Dollen, Charles.</t>
        </is>
      </c>
      <c r="L1367" t="inlineStr">
        <is>
          <t>New York : Alba House, c1988.</t>
        </is>
      </c>
      <c r="M1367" t="inlineStr">
        <is>
          <t>1988</t>
        </is>
      </c>
      <c r="O1367" t="inlineStr">
        <is>
          <t>eng</t>
        </is>
      </c>
      <c r="P1367" t="inlineStr">
        <is>
          <t>nyu</t>
        </is>
      </c>
      <c r="R1367" t="inlineStr">
        <is>
          <t xml:space="preserve">BX </t>
        </is>
      </c>
      <c r="S1367" t="n">
        <v>1</v>
      </c>
      <c r="T1367" t="n">
        <v>1</v>
      </c>
      <c r="U1367" t="inlineStr">
        <is>
          <t>2005-04-13</t>
        </is>
      </c>
      <c r="V1367" t="inlineStr">
        <is>
          <t>2005-04-13</t>
        </is>
      </c>
      <c r="W1367" t="inlineStr">
        <is>
          <t>2005-04-13</t>
        </is>
      </c>
      <c r="X1367" t="inlineStr">
        <is>
          <t>2005-04-13</t>
        </is>
      </c>
      <c r="Y1367" t="n">
        <v>72</v>
      </c>
      <c r="Z1367" t="n">
        <v>67</v>
      </c>
      <c r="AA1367" t="n">
        <v>72</v>
      </c>
      <c r="AB1367" t="n">
        <v>3</v>
      </c>
      <c r="AC1367" t="n">
        <v>3</v>
      </c>
      <c r="AD1367" t="n">
        <v>3</v>
      </c>
      <c r="AE1367" t="n">
        <v>3</v>
      </c>
      <c r="AF1367" t="n">
        <v>1</v>
      </c>
      <c r="AG1367" t="n">
        <v>1</v>
      </c>
      <c r="AH1367" t="n">
        <v>0</v>
      </c>
      <c r="AI1367" t="n">
        <v>0</v>
      </c>
      <c r="AJ1367" t="n">
        <v>3</v>
      </c>
      <c r="AK1367" t="n">
        <v>3</v>
      </c>
      <c r="AL1367" t="n">
        <v>0</v>
      </c>
      <c r="AM1367" t="n">
        <v>0</v>
      </c>
      <c r="AN1367" t="n">
        <v>0</v>
      </c>
      <c r="AO1367" t="n">
        <v>0</v>
      </c>
      <c r="AP1367" t="inlineStr">
        <is>
          <t>No</t>
        </is>
      </c>
      <c r="AQ1367" t="inlineStr">
        <is>
          <t>No</t>
        </is>
      </c>
      <c r="AS1367">
        <f>HYPERLINK("https://creighton-primo.hosted.exlibrisgroup.com/primo-explore/search?tab=default_tab&amp;search_scope=EVERYTHING&amp;vid=01CRU&amp;lang=en_US&amp;offset=0&amp;query=any,contains,991004529079702656","Catalog Record")</f>
        <v/>
      </c>
      <c r="AT1367">
        <f>HYPERLINK("http://www.worldcat.org/oclc/17233605","WorldCat Record")</f>
        <v/>
      </c>
      <c r="AU1367" t="inlineStr">
        <is>
          <t>15968192:eng</t>
        </is>
      </c>
      <c r="AV1367" t="inlineStr">
        <is>
          <t>17233605</t>
        </is>
      </c>
      <c r="AW1367" t="inlineStr">
        <is>
          <t>991004529079702656</t>
        </is>
      </c>
      <c r="AX1367" t="inlineStr">
        <is>
          <t>991004529079702656</t>
        </is>
      </c>
      <c r="AY1367" t="inlineStr">
        <is>
          <t>2269861580002656</t>
        </is>
      </c>
      <c r="AZ1367" t="inlineStr">
        <is>
          <t>BOOK</t>
        </is>
      </c>
      <c r="BB1367" t="inlineStr">
        <is>
          <t>9780818905292</t>
        </is>
      </c>
      <c r="BC1367" t="inlineStr">
        <is>
          <t>32285005030472</t>
        </is>
      </c>
      <c r="BD1367" t="inlineStr">
        <is>
          <t>893500697</t>
        </is>
      </c>
    </row>
    <row r="1368">
      <c r="A1368" t="inlineStr">
        <is>
          <t>No</t>
        </is>
      </c>
      <c r="B1368" t="inlineStr">
        <is>
          <t>BX2310.R7 T5 1961</t>
        </is>
      </c>
      <c r="C1368" t="inlineStr">
        <is>
          <t>0                      BX 2310000R  7                  T  5           1961</t>
        </is>
      </c>
      <c r="D1368" t="inlineStr">
        <is>
          <t>This is the Rosary / by Francis Beauchesne Thornton. With an introd. by Pope John XXIII. Original drawings by Alex Ross.</t>
        </is>
      </c>
      <c r="F1368" t="inlineStr">
        <is>
          <t>No</t>
        </is>
      </c>
      <c r="G1368" t="inlineStr">
        <is>
          <t>1</t>
        </is>
      </c>
      <c r="H1368" t="inlineStr">
        <is>
          <t>No</t>
        </is>
      </c>
      <c r="I1368" t="inlineStr">
        <is>
          <t>No</t>
        </is>
      </c>
      <c r="J1368" t="inlineStr">
        <is>
          <t>0</t>
        </is>
      </c>
      <c r="K1368" t="inlineStr">
        <is>
          <t>Thornton, Francis Beauchesne, 1898-1963.</t>
        </is>
      </c>
      <c r="L1368" t="inlineStr">
        <is>
          <t>New York : Hawthorn Books, [1961]</t>
        </is>
      </c>
      <c r="M1368" t="inlineStr">
        <is>
          <t>1961</t>
        </is>
      </c>
      <c r="N1368" t="inlineStr">
        <is>
          <t>[1st ed.]</t>
        </is>
      </c>
      <c r="O1368" t="inlineStr">
        <is>
          <t>eng</t>
        </is>
      </c>
      <c r="P1368" t="inlineStr">
        <is>
          <t>nyu</t>
        </is>
      </c>
      <c r="R1368" t="inlineStr">
        <is>
          <t xml:space="preserve">BX </t>
        </is>
      </c>
      <c r="S1368" t="n">
        <v>3</v>
      </c>
      <c r="T1368" t="n">
        <v>3</v>
      </c>
      <c r="U1368" t="inlineStr">
        <is>
          <t>2008-11-07</t>
        </is>
      </c>
      <c r="V1368" t="inlineStr">
        <is>
          <t>2008-11-07</t>
        </is>
      </c>
      <c r="W1368" t="inlineStr">
        <is>
          <t>1990-04-09</t>
        </is>
      </c>
      <c r="X1368" t="inlineStr">
        <is>
          <t>1990-04-09</t>
        </is>
      </c>
      <c r="Y1368" t="n">
        <v>201</v>
      </c>
      <c r="Z1368" t="n">
        <v>184</v>
      </c>
      <c r="AA1368" t="n">
        <v>190</v>
      </c>
      <c r="AB1368" t="n">
        <v>3</v>
      </c>
      <c r="AC1368" t="n">
        <v>3</v>
      </c>
      <c r="AD1368" t="n">
        <v>12</v>
      </c>
      <c r="AE1368" t="n">
        <v>12</v>
      </c>
      <c r="AF1368" t="n">
        <v>3</v>
      </c>
      <c r="AG1368" t="n">
        <v>3</v>
      </c>
      <c r="AH1368" t="n">
        <v>4</v>
      </c>
      <c r="AI1368" t="n">
        <v>4</v>
      </c>
      <c r="AJ1368" t="n">
        <v>8</v>
      </c>
      <c r="AK1368" t="n">
        <v>8</v>
      </c>
      <c r="AL1368" t="n">
        <v>0</v>
      </c>
      <c r="AM1368" t="n">
        <v>0</v>
      </c>
      <c r="AN1368" t="n">
        <v>0</v>
      </c>
      <c r="AO1368" t="n">
        <v>0</v>
      </c>
      <c r="AP1368" t="inlineStr">
        <is>
          <t>No</t>
        </is>
      </c>
      <c r="AQ1368" t="inlineStr">
        <is>
          <t>Yes</t>
        </is>
      </c>
      <c r="AR1368">
        <f>HYPERLINK("http://catalog.hathitrust.org/Record/101872477","HathiTrust Record")</f>
        <v/>
      </c>
      <c r="AS1368">
        <f>HYPERLINK("https://creighton-primo.hosted.exlibrisgroup.com/primo-explore/search?tab=default_tab&amp;search_scope=EVERYTHING&amp;vid=01CRU&amp;lang=en_US&amp;offset=0&amp;query=any,contains,991004248669702656","Catalog Record")</f>
        <v/>
      </c>
      <c r="AT1368">
        <f>HYPERLINK("http://www.worldcat.org/oclc/2800701","WorldCat Record")</f>
        <v/>
      </c>
      <c r="AU1368" t="inlineStr">
        <is>
          <t>181222318:eng</t>
        </is>
      </c>
      <c r="AV1368" t="inlineStr">
        <is>
          <t>2800701</t>
        </is>
      </c>
      <c r="AW1368" t="inlineStr">
        <is>
          <t>991004248669702656</t>
        </is>
      </c>
      <c r="AX1368" t="inlineStr">
        <is>
          <t>991004248669702656</t>
        </is>
      </c>
      <c r="AY1368" t="inlineStr">
        <is>
          <t>2260056640002656</t>
        </is>
      </c>
      <c r="AZ1368" t="inlineStr">
        <is>
          <t>BOOK</t>
        </is>
      </c>
      <c r="BC1368" t="inlineStr">
        <is>
          <t>32285000113935</t>
        </is>
      </c>
      <c r="BD1368" t="inlineStr">
        <is>
          <t>893259502</t>
        </is>
      </c>
    </row>
    <row r="1369">
      <c r="A1369" t="inlineStr">
        <is>
          <t>No</t>
        </is>
      </c>
      <c r="B1369" t="inlineStr">
        <is>
          <t>BX2320 .C37</t>
        </is>
      </c>
      <c r="C1369" t="inlineStr">
        <is>
          <t>0                      BX 2320000C  37</t>
        </is>
      </c>
      <c r="D1369" t="inlineStr">
        <is>
          <t>The National Shrine of Our Lady of Czestochowa, Album of Thanks giving = Album Wdzieczności, Sanktuarium Matki Boskiej Częstochowskiej. --</t>
        </is>
      </c>
      <c r="F1369" t="inlineStr">
        <is>
          <t>No</t>
        </is>
      </c>
      <c r="G1369" t="inlineStr">
        <is>
          <t>1</t>
        </is>
      </c>
      <c r="H1369" t="inlineStr">
        <is>
          <t>No</t>
        </is>
      </c>
      <c r="I1369" t="inlineStr">
        <is>
          <t>No</t>
        </is>
      </c>
      <c r="J1369" t="inlineStr">
        <is>
          <t>0</t>
        </is>
      </c>
      <c r="K1369" t="inlineStr">
        <is>
          <t>Catholic Church. Archdiocese of Philadelphia (Pa.)</t>
        </is>
      </c>
      <c r="L1369" t="inlineStr">
        <is>
          <t>[Philadelphia] : Paulinow, 1978.</t>
        </is>
      </c>
      <c r="M1369" t="inlineStr">
        <is>
          <t>1978</t>
        </is>
      </c>
      <c r="O1369" t="inlineStr">
        <is>
          <t>pol</t>
        </is>
      </c>
      <c r="P1369" t="inlineStr">
        <is>
          <t xml:space="preserve">pl </t>
        </is>
      </c>
      <c r="R1369" t="inlineStr">
        <is>
          <t xml:space="preserve">BX </t>
        </is>
      </c>
      <c r="S1369" t="n">
        <v>3</v>
      </c>
      <c r="T1369" t="n">
        <v>3</v>
      </c>
      <c r="U1369" t="inlineStr">
        <is>
          <t>1996-10-26</t>
        </is>
      </c>
      <c r="V1369" t="inlineStr">
        <is>
          <t>1996-10-26</t>
        </is>
      </c>
      <c r="W1369" t="inlineStr">
        <is>
          <t>1991-10-21</t>
        </is>
      </c>
      <c r="X1369" t="inlineStr">
        <is>
          <t>1991-10-21</t>
        </is>
      </c>
      <c r="Y1369" t="n">
        <v>31</v>
      </c>
      <c r="Z1369" t="n">
        <v>31</v>
      </c>
      <c r="AA1369" t="n">
        <v>31</v>
      </c>
      <c r="AB1369" t="n">
        <v>1</v>
      </c>
      <c r="AC1369" t="n">
        <v>1</v>
      </c>
      <c r="AD1369" t="n">
        <v>8</v>
      </c>
      <c r="AE1369" t="n">
        <v>8</v>
      </c>
      <c r="AF1369" t="n">
        <v>4</v>
      </c>
      <c r="AG1369" t="n">
        <v>4</v>
      </c>
      <c r="AH1369" t="n">
        <v>2</v>
      </c>
      <c r="AI1369" t="n">
        <v>2</v>
      </c>
      <c r="AJ1369" t="n">
        <v>6</v>
      </c>
      <c r="AK1369" t="n">
        <v>6</v>
      </c>
      <c r="AL1369" t="n">
        <v>0</v>
      </c>
      <c r="AM1369" t="n">
        <v>0</v>
      </c>
      <c r="AN1369" t="n">
        <v>0</v>
      </c>
      <c r="AO1369" t="n">
        <v>0</v>
      </c>
      <c r="AP1369" t="inlineStr">
        <is>
          <t>No</t>
        </is>
      </c>
      <c r="AQ1369" t="inlineStr">
        <is>
          <t>No</t>
        </is>
      </c>
      <c r="AS1369">
        <f>HYPERLINK("https://creighton-primo.hosted.exlibrisgroup.com/primo-explore/search?tab=default_tab&amp;search_scope=EVERYTHING&amp;vid=01CRU&amp;lang=en_US&amp;offset=0&amp;query=any,contains,991004702989702656","Catalog Record")</f>
        <v/>
      </c>
      <c r="AT1369">
        <f>HYPERLINK("http://www.worldcat.org/oclc/4686880","WorldCat Record")</f>
        <v/>
      </c>
      <c r="AU1369" t="inlineStr">
        <is>
          <t>14919183:pol</t>
        </is>
      </c>
      <c r="AV1369" t="inlineStr">
        <is>
          <t>4686880</t>
        </is>
      </c>
      <c r="AW1369" t="inlineStr">
        <is>
          <t>991004702989702656</t>
        </is>
      </c>
      <c r="AX1369" t="inlineStr">
        <is>
          <t>991004702989702656</t>
        </is>
      </c>
      <c r="AY1369" t="inlineStr">
        <is>
          <t>2269676510002656</t>
        </is>
      </c>
      <c r="AZ1369" t="inlineStr">
        <is>
          <t>BOOK</t>
        </is>
      </c>
      <c r="BC1369" t="inlineStr">
        <is>
          <t>32285000810985</t>
        </is>
      </c>
      <c r="BD1369" t="inlineStr">
        <is>
          <t>893882830</t>
        </is>
      </c>
    </row>
    <row r="1370">
      <c r="A1370" t="inlineStr">
        <is>
          <t>No</t>
        </is>
      </c>
      <c r="B1370" t="inlineStr">
        <is>
          <t>BX2320 .C37 1955</t>
        </is>
      </c>
      <c r="C1370" t="inlineStr">
        <is>
          <t>0                      BX 2320000C  37          1955</t>
        </is>
      </c>
      <c r="D1370" t="inlineStr">
        <is>
          <t>The Catholic shrines of Europe / by John K. Cartwright ; with photos. by Alfred Wagg. Foreword by Martin J. O'Connor.</t>
        </is>
      </c>
      <c r="F1370" t="inlineStr">
        <is>
          <t>No</t>
        </is>
      </c>
      <c r="G1370" t="inlineStr">
        <is>
          <t>1</t>
        </is>
      </c>
      <c r="H1370" t="inlineStr">
        <is>
          <t>No</t>
        </is>
      </c>
      <c r="I1370" t="inlineStr">
        <is>
          <t>No</t>
        </is>
      </c>
      <c r="J1370" t="inlineStr">
        <is>
          <t>0</t>
        </is>
      </c>
      <c r="K1370" t="inlineStr">
        <is>
          <t>Cartwright, John K. (John Keating), 1893-</t>
        </is>
      </c>
      <c r="L1370" t="inlineStr">
        <is>
          <t>New York : McGraw-Hill, [1955]</t>
        </is>
      </c>
      <c r="M1370" t="inlineStr">
        <is>
          <t>1955</t>
        </is>
      </c>
      <c r="O1370" t="inlineStr">
        <is>
          <t>eng</t>
        </is>
      </c>
      <c r="P1370" t="inlineStr">
        <is>
          <t xml:space="preserve">xx </t>
        </is>
      </c>
      <c r="R1370" t="inlineStr">
        <is>
          <t xml:space="preserve">BX </t>
        </is>
      </c>
      <c r="S1370" t="n">
        <v>8</v>
      </c>
      <c r="T1370" t="n">
        <v>8</v>
      </c>
      <c r="U1370" t="inlineStr">
        <is>
          <t>2000-05-11</t>
        </is>
      </c>
      <c r="V1370" t="inlineStr">
        <is>
          <t>2000-05-11</t>
        </is>
      </c>
      <c r="W1370" t="inlineStr">
        <is>
          <t>1991-10-23</t>
        </is>
      </c>
      <c r="X1370" t="inlineStr">
        <is>
          <t>1991-10-23</t>
        </is>
      </c>
      <c r="Y1370" t="n">
        <v>325</v>
      </c>
      <c r="Z1370" t="n">
        <v>299</v>
      </c>
      <c r="AA1370" t="n">
        <v>307</v>
      </c>
      <c r="AB1370" t="n">
        <v>3</v>
      </c>
      <c r="AC1370" t="n">
        <v>3</v>
      </c>
      <c r="AD1370" t="n">
        <v>21</v>
      </c>
      <c r="AE1370" t="n">
        <v>21</v>
      </c>
      <c r="AF1370" t="n">
        <v>6</v>
      </c>
      <c r="AG1370" t="n">
        <v>6</v>
      </c>
      <c r="AH1370" t="n">
        <v>7</v>
      </c>
      <c r="AI1370" t="n">
        <v>7</v>
      </c>
      <c r="AJ1370" t="n">
        <v>16</v>
      </c>
      <c r="AK1370" t="n">
        <v>16</v>
      </c>
      <c r="AL1370" t="n">
        <v>0</v>
      </c>
      <c r="AM1370" t="n">
        <v>0</v>
      </c>
      <c r="AN1370" t="n">
        <v>0</v>
      </c>
      <c r="AO1370" t="n">
        <v>0</v>
      </c>
      <c r="AP1370" t="inlineStr">
        <is>
          <t>No</t>
        </is>
      </c>
      <c r="AQ1370" t="inlineStr">
        <is>
          <t>Yes</t>
        </is>
      </c>
      <c r="AR1370">
        <f>HYPERLINK("http://catalog.hathitrust.org/Record/101652032","HathiTrust Record")</f>
        <v/>
      </c>
      <c r="AS1370">
        <f>HYPERLINK("https://creighton-primo.hosted.exlibrisgroup.com/primo-explore/search?tab=default_tab&amp;search_scope=EVERYTHING&amp;vid=01CRU&amp;lang=en_US&amp;offset=0&amp;query=any,contains,991005360299702656","Catalog Record")</f>
        <v/>
      </c>
      <c r="AT1370">
        <f>HYPERLINK("http://www.worldcat.org/oclc/1457533","WorldCat Record")</f>
        <v/>
      </c>
      <c r="AU1370" t="inlineStr">
        <is>
          <t>2310276:eng</t>
        </is>
      </c>
      <c r="AV1370" t="inlineStr">
        <is>
          <t>1457533</t>
        </is>
      </c>
      <c r="AW1370" t="inlineStr">
        <is>
          <t>991005360299702656</t>
        </is>
      </c>
      <c r="AX1370" t="inlineStr">
        <is>
          <t>991005360299702656</t>
        </is>
      </c>
      <c r="AY1370" t="inlineStr">
        <is>
          <t>2257174350002656</t>
        </is>
      </c>
      <c r="AZ1370" t="inlineStr">
        <is>
          <t>BOOK</t>
        </is>
      </c>
      <c r="BC1370" t="inlineStr">
        <is>
          <t>32285000810993</t>
        </is>
      </c>
      <c r="BD1370" t="inlineStr">
        <is>
          <t>893601055</t>
        </is>
      </c>
    </row>
    <row r="1371">
      <c r="A1371" t="inlineStr">
        <is>
          <t>No</t>
        </is>
      </c>
      <c r="B1371" t="inlineStr">
        <is>
          <t>BX2320 .J47 1977</t>
        </is>
      </c>
      <c r="C1371" t="inlineStr">
        <is>
          <t>0                      BX 2320000J  47          1977</t>
        </is>
      </c>
      <c r="D1371" t="inlineStr">
        <is>
          <t>Jerusalem pilgrims before the Crusades / John Wilkinson.</t>
        </is>
      </c>
      <c r="F1371" t="inlineStr">
        <is>
          <t>No</t>
        </is>
      </c>
      <c r="G1371" t="inlineStr">
        <is>
          <t>1</t>
        </is>
      </c>
      <c r="H1371" t="inlineStr">
        <is>
          <t>No</t>
        </is>
      </c>
      <c r="I1371" t="inlineStr">
        <is>
          <t>No</t>
        </is>
      </c>
      <c r="J1371" t="inlineStr">
        <is>
          <t>0</t>
        </is>
      </c>
      <c r="L1371" t="inlineStr">
        <is>
          <t>Jerusalem : Ariel, 1977.</t>
        </is>
      </c>
      <c r="M1371" t="inlineStr">
        <is>
          <t>1977</t>
        </is>
      </c>
      <c r="O1371" t="inlineStr">
        <is>
          <t>eng</t>
        </is>
      </c>
      <c r="P1371" t="inlineStr">
        <is>
          <t xml:space="preserve">xx </t>
        </is>
      </c>
      <c r="R1371" t="inlineStr">
        <is>
          <t xml:space="preserve">BX </t>
        </is>
      </c>
      <c r="S1371" t="n">
        <v>3</v>
      </c>
      <c r="T1371" t="n">
        <v>3</v>
      </c>
      <c r="U1371" t="inlineStr">
        <is>
          <t>1993-09-23</t>
        </is>
      </c>
      <c r="V1371" t="inlineStr">
        <is>
          <t>1993-09-23</t>
        </is>
      </c>
      <c r="W1371" t="inlineStr">
        <is>
          <t>1991-07-22</t>
        </is>
      </c>
      <c r="X1371" t="inlineStr">
        <is>
          <t>1991-07-22</t>
        </is>
      </c>
      <c r="Y1371" t="n">
        <v>20</v>
      </c>
      <c r="Z1371" t="n">
        <v>12</v>
      </c>
      <c r="AA1371" t="n">
        <v>305</v>
      </c>
      <c r="AB1371" t="n">
        <v>1</v>
      </c>
      <c r="AC1371" t="n">
        <v>2</v>
      </c>
      <c r="AD1371" t="n">
        <v>0</v>
      </c>
      <c r="AE1371" t="n">
        <v>22</v>
      </c>
      <c r="AF1371" t="n">
        <v>0</v>
      </c>
      <c r="AG1371" t="n">
        <v>8</v>
      </c>
      <c r="AH1371" t="n">
        <v>0</v>
      </c>
      <c r="AI1371" t="n">
        <v>6</v>
      </c>
      <c r="AJ1371" t="n">
        <v>0</v>
      </c>
      <c r="AK1371" t="n">
        <v>12</v>
      </c>
      <c r="AL1371" t="n">
        <v>0</v>
      </c>
      <c r="AM1371" t="n">
        <v>1</v>
      </c>
      <c r="AN1371" t="n">
        <v>0</v>
      </c>
      <c r="AO1371" t="n">
        <v>0</v>
      </c>
      <c r="AP1371" t="inlineStr">
        <is>
          <t>No</t>
        </is>
      </c>
      <c r="AQ1371" t="inlineStr">
        <is>
          <t>No</t>
        </is>
      </c>
      <c r="AS1371">
        <f>HYPERLINK("https://creighton-primo.hosted.exlibrisgroup.com/primo-explore/search?tab=default_tab&amp;search_scope=EVERYTHING&amp;vid=01CRU&amp;lang=en_US&amp;offset=0&amp;query=any,contains,991004852569702656","Catalog Record")</f>
        <v/>
      </c>
      <c r="AT1371">
        <f>HYPERLINK("http://www.worldcat.org/oclc/5628121","WorldCat Record")</f>
        <v/>
      </c>
      <c r="AU1371" t="inlineStr">
        <is>
          <t>54241734:eng</t>
        </is>
      </c>
      <c r="AV1371" t="inlineStr">
        <is>
          <t>5628121</t>
        </is>
      </c>
      <c r="AW1371" t="inlineStr">
        <is>
          <t>991004852569702656</t>
        </is>
      </c>
      <c r="AX1371" t="inlineStr">
        <is>
          <t>991004852569702656</t>
        </is>
      </c>
      <c r="AY1371" t="inlineStr">
        <is>
          <t>2266832550002656</t>
        </is>
      </c>
      <c r="AZ1371" t="inlineStr">
        <is>
          <t>BOOK</t>
        </is>
      </c>
      <c r="BB1371" t="inlineStr">
        <is>
          <t>9780856680786</t>
        </is>
      </c>
      <c r="BC1371" t="inlineStr">
        <is>
          <t>32285000677970</t>
        </is>
      </c>
      <c r="BD1371" t="inlineStr">
        <is>
          <t>893229917</t>
        </is>
      </c>
    </row>
    <row r="1372">
      <c r="A1372" t="inlineStr">
        <is>
          <t>No</t>
        </is>
      </c>
      <c r="B1372" t="inlineStr">
        <is>
          <t>BX2320. A7 1954</t>
        </is>
      </c>
      <c r="C1372" t="inlineStr">
        <is>
          <t>0                      BX 2320000A  7           1954</t>
        </is>
      </c>
      <c r="D1372" t="inlineStr">
        <is>
          <t>Shrines to Our Lady around the world / by Zsolt Aradi.</t>
        </is>
      </c>
      <c r="F1372" t="inlineStr">
        <is>
          <t>No</t>
        </is>
      </c>
      <c r="G1372" t="inlineStr">
        <is>
          <t>1</t>
        </is>
      </c>
      <c r="H1372" t="inlineStr">
        <is>
          <t>No</t>
        </is>
      </c>
      <c r="I1372" t="inlineStr">
        <is>
          <t>No</t>
        </is>
      </c>
      <c r="J1372" t="inlineStr">
        <is>
          <t>0</t>
        </is>
      </c>
      <c r="K1372" t="inlineStr">
        <is>
          <t>Aradi, Zsolt, Dr.</t>
        </is>
      </c>
      <c r="L1372" t="inlineStr">
        <is>
          <t>New York : Farrar, Straus and Young, [1954]</t>
        </is>
      </c>
      <c r="M1372" t="inlineStr">
        <is>
          <t>1954</t>
        </is>
      </c>
      <c r="O1372" t="inlineStr">
        <is>
          <t>eng</t>
        </is>
      </c>
      <c r="P1372" t="inlineStr">
        <is>
          <t>___</t>
        </is>
      </c>
      <c r="R1372" t="inlineStr">
        <is>
          <t xml:space="preserve">BX </t>
        </is>
      </c>
      <c r="S1372" t="n">
        <v>2</v>
      </c>
      <c r="T1372" t="n">
        <v>2</v>
      </c>
      <c r="U1372" t="inlineStr">
        <is>
          <t>1996-10-26</t>
        </is>
      </c>
      <c r="V1372" t="inlineStr">
        <is>
          <t>1996-10-26</t>
        </is>
      </c>
      <c r="W1372" t="inlineStr">
        <is>
          <t>1992-06-09</t>
        </is>
      </c>
      <c r="X1372" t="inlineStr">
        <is>
          <t>1992-06-09</t>
        </is>
      </c>
      <c r="Y1372" t="n">
        <v>274</v>
      </c>
      <c r="Z1372" t="n">
        <v>244</v>
      </c>
      <c r="AA1372" t="n">
        <v>249</v>
      </c>
      <c r="AB1372" t="n">
        <v>3</v>
      </c>
      <c r="AC1372" t="n">
        <v>3</v>
      </c>
      <c r="AD1372" t="n">
        <v>30</v>
      </c>
      <c r="AE1372" t="n">
        <v>30</v>
      </c>
      <c r="AF1372" t="n">
        <v>11</v>
      </c>
      <c r="AG1372" t="n">
        <v>11</v>
      </c>
      <c r="AH1372" t="n">
        <v>8</v>
      </c>
      <c r="AI1372" t="n">
        <v>8</v>
      </c>
      <c r="AJ1372" t="n">
        <v>23</v>
      </c>
      <c r="AK1372" t="n">
        <v>23</v>
      </c>
      <c r="AL1372" t="n">
        <v>0</v>
      </c>
      <c r="AM1372" t="n">
        <v>0</v>
      </c>
      <c r="AN1372" t="n">
        <v>0</v>
      </c>
      <c r="AO1372" t="n">
        <v>0</v>
      </c>
      <c r="AP1372" t="inlineStr">
        <is>
          <t>No</t>
        </is>
      </c>
      <c r="AQ1372" t="inlineStr">
        <is>
          <t>No</t>
        </is>
      </c>
      <c r="AS1372">
        <f>HYPERLINK("https://creighton-primo.hosted.exlibrisgroup.com/primo-explore/search?tab=default_tab&amp;search_scope=EVERYTHING&amp;vid=01CRU&amp;lang=en_US&amp;offset=0&amp;query=any,contains,991003639259702656","Catalog Record")</f>
        <v/>
      </c>
      <c r="AT1372">
        <f>HYPERLINK("http://www.worldcat.org/oclc/1234901","WorldCat Record")</f>
        <v/>
      </c>
      <c r="AU1372" t="inlineStr">
        <is>
          <t>427991442:eng</t>
        </is>
      </c>
      <c r="AV1372" t="inlineStr">
        <is>
          <t>1234901</t>
        </is>
      </c>
      <c r="AW1372" t="inlineStr">
        <is>
          <t>991003639259702656</t>
        </is>
      </c>
      <c r="AX1372" t="inlineStr">
        <is>
          <t>991003639259702656</t>
        </is>
      </c>
      <c r="AY1372" t="inlineStr">
        <is>
          <t>2260847660002656</t>
        </is>
      </c>
      <c r="AZ1372" t="inlineStr">
        <is>
          <t>BOOK</t>
        </is>
      </c>
      <c r="BC1372" t="inlineStr">
        <is>
          <t>32285001074698</t>
        </is>
      </c>
      <c r="BD1372" t="inlineStr">
        <is>
          <t>893246564</t>
        </is>
      </c>
    </row>
    <row r="1373">
      <c r="A1373" t="inlineStr">
        <is>
          <t>No</t>
        </is>
      </c>
      <c r="B1373" t="inlineStr">
        <is>
          <t>BX2320.5 F8 M34 2000</t>
        </is>
      </c>
      <c r="C1373" t="inlineStr">
        <is>
          <t>0                      BX 2320500F  8                  M  34          2000</t>
        </is>
      </c>
      <c r="D1373" t="inlineStr">
        <is>
          <t>Walking to the saints : [a little pilgrimage in France] / Anne McPherson.</t>
        </is>
      </c>
      <c r="F1373" t="inlineStr">
        <is>
          <t>No</t>
        </is>
      </c>
      <c r="G1373" t="inlineStr">
        <is>
          <t>1</t>
        </is>
      </c>
      <c r="H1373" t="inlineStr">
        <is>
          <t>No</t>
        </is>
      </c>
      <c r="I1373" t="inlineStr">
        <is>
          <t>No</t>
        </is>
      </c>
      <c r="J1373" t="inlineStr">
        <is>
          <t>0</t>
        </is>
      </c>
      <c r="K1373" t="inlineStr">
        <is>
          <t>McPherson, Anne.</t>
        </is>
      </c>
      <c r="L1373" t="inlineStr">
        <is>
          <t>Ottawa : Novalis ; New York : Paulist Press, 2000.</t>
        </is>
      </c>
      <c r="M1373" t="inlineStr">
        <is>
          <t>2000</t>
        </is>
      </c>
      <c r="O1373" t="inlineStr">
        <is>
          <t>eng</t>
        </is>
      </c>
      <c r="P1373" t="inlineStr">
        <is>
          <t>onc</t>
        </is>
      </c>
      <c r="R1373" t="inlineStr">
        <is>
          <t xml:space="preserve">BX </t>
        </is>
      </c>
      <c r="S1373" t="n">
        <v>5</v>
      </c>
      <c r="T1373" t="n">
        <v>5</v>
      </c>
      <c r="U1373" t="inlineStr">
        <is>
          <t>2009-04-13</t>
        </is>
      </c>
      <c r="V1373" t="inlineStr">
        <is>
          <t>2009-04-13</t>
        </is>
      </c>
      <c r="W1373" t="inlineStr">
        <is>
          <t>2001-03-28</t>
        </is>
      </c>
      <c r="X1373" t="inlineStr">
        <is>
          <t>2001-03-28</t>
        </is>
      </c>
      <c r="Y1373" t="n">
        <v>55</v>
      </c>
      <c r="Z1373" t="n">
        <v>45</v>
      </c>
      <c r="AA1373" t="n">
        <v>58</v>
      </c>
      <c r="AB1373" t="n">
        <v>1</v>
      </c>
      <c r="AC1373" t="n">
        <v>1</v>
      </c>
      <c r="AD1373" t="n">
        <v>6</v>
      </c>
      <c r="AE1373" t="n">
        <v>6</v>
      </c>
      <c r="AF1373" t="n">
        <v>3</v>
      </c>
      <c r="AG1373" t="n">
        <v>3</v>
      </c>
      <c r="AH1373" t="n">
        <v>1</v>
      </c>
      <c r="AI1373" t="n">
        <v>1</v>
      </c>
      <c r="AJ1373" t="n">
        <v>3</v>
      </c>
      <c r="AK1373" t="n">
        <v>3</v>
      </c>
      <c r="AL1373" t="n">
        <v>0</v>
      </c>
      <c r="AM1373" t="n">
        <v>0</v>
      </c>
      <c r="AN1373" t="n">
        <v>0</v>
      </c>
      <c r="AO1373" t="n">
        <v>0</v>
      </c>
      <c r="AP1373" t="inlineStr">
        <is>
          <t>No</t>
        </is>
      </c>
      <c r="AQ1373" t="inlineStr">
        <is>
          <t>Yes</t>
        </is>
      </c>
      <c r="AR1373">
        <f>HYPERLINK("http://catalog.hathitrust.org/Record/102018333","HathiTrust Record")</f>
        <v/>
      </c>
      <c r="AS1373">
        <f>HYPERLINK("https://creighton-primo.hosted.exlibrisgroup.com/primo-explore/search?tab=default_tab&amp;search_scope=EVERYTHING&amp;vid=01CRU&amp;lang=en_US&amp;offset=0&amp;query=any,contains,991003517499702656","Catalog Record")</f>
        <v/>
      </c>
      <c r="AT1373">
        <f>HYPERLINK("http://www.worldcat.org/oclc/44586743","WorldCat Record")</f>
        <v/>
      </c>
      <c r="AU1373" t="inlineStr">
        <is>
          <t>44470197:eng</t>
        </is>
      </c>
      <c r="AV1373" t="inlineStr">
        <is>
          <t>44586743</t>
        </is>
      </c>
      <c r="AW1373" t="inlineStr">
        <is>
          <t>991003517499702656</t>
        </is>
      </c>
      <c r="AX1373" t="inlineStr">
        <is>
          <t>991003517499702656</t>
        </is>
      </c>
      <c r="AY1373" t="inlineStr">
        <is>
          <t>2265608960002656</t>
        </is>
      </c>
      <c r="AZ1373" t="inlineStr">
        <is>
          <t>BOOK</t>
        </is>
      </c>
      <c r="BB1373" t="inlineStr">
        <is>
          <t>9780809140183</t>
        </is>
      </c>
      <c r="BC1373" t="inlineStr">
        <is>
          <t>32285004308374</t>
        </is>
      </c>
      <c r="BD1373" t="inlineStr">
        <is>
          <t>893893803</t>
        </is>
      </c>
    </row>
    <row r="1374">
      <c r="A1374" t="inlineStr">
        <is>
          <t>No</t>
        </is>
      </c>
      <c r="B1374" t="inlineStr">
        <is>
          <t>BX2320.5.E85 T65 1994</t>
        </is>
      </c>
      <c r="C1374" t="inlineStr">
        <is>
          <t>0                      BX 2320500E  85                 T  65          1994</t>
        </is>
      </c>
      <c r="D1374" t="inlineStr">
        <is>
          <t>The sign of the cross : travels in Catholic Europe / Colm Tóibín.</t>
        </is>
      </c>
      <c r="F1374" t="inlineStr">
        <is>
          <t>No</t>
        </is>
      </c>
      <c r="G1374" t="inlineStr">
        <is>
          <t>1</t>
        </is>
      </c>
      <c r="H1374" t="inlineStr">
        <is>
          <t>No</t>
        </is>
      </c>
      <c r="I1374" t="inlineStr">
        <is>
          <t>No</t>
        </is>
      </c>
      <c r="J1374" t="inlineStr">
        <is>
          <t>0</t>
        </is>
      </c>
      <c r="K1374" t="inlineStr">
        <is>
          <t>Tóibín, Colm, 1955-</t>
        </is>
      </c>
      <c r="L1374" t="inlineStr">
        <is>
          <t>London : Jonathan Cape, 1994.</t>
        </is>
      </c>
      <c r="M1374" t="inlineStr">
        <is>
          <t>1994</t>
        </is>
      </c>
      <c r="O1374" t="inlineStr">
        <is>
          <t>eng</t>
        </is>
      </c>
      <c r="P1374" t="inlineStr">
        <is>
          <t>enk</t>
        </is>
      </c>
      <c r="R1374" t="inlineStr">
        <is>
          <t xml:space="preserve">BX </t>
        </is>
      </c>
      <c r="S1374" t="n">
        <v>4</v>
      </c>
      <c r="T1374" t="n">
        <v>4</v>
      </c>
      <c r="U1374" t="inlineStr">
        <is>
          <t>2001-11-01</t>
        </is>
      </c>
      <c r="V1374" t="inlineStr">
        <is>
          <t>2001-11-01</t>
        </is>
      </c>
      <c r="W1374" t="inlineStr">
        <is>
          <t>1995-04-18</t>
        </is>
      </c>
      <c r="X1374" t="inlineStr">
        <is>
          <t>1995-04-18</t>
        </is>
      </c>
      <c r="Y1374" t="n">
        <v>113</v>
      </c>
      <c r="Z1374" t="n">
        <v>40</v>
      </c>
      <c r="AA1374" t="n">
        <v>340</v>
      </c>
      <c r="AB1374" t="n">
        <v>1</v>
      </c>
      <c r="AC1374" t="n">
        <v>2</v>
      </c>
      <c r="AD1374" t="n">
        <v>4</v>
      </c>
      <c r="AE1374" t="n">
        <v>23</v>
      </c>
      <c r="AF1374" t="n">
        <v>0</v>
      </c>
      <c r="AG1374" t="n">
        <v>8</v>
      </c>
      <c r="AH1374" t="n">
        <v>2</v>
      </c>
      <c r="AI1374" t="n">
        <v>6</v>
      </c>
      <c r="AJ1374" t="n">
        <v>4</v>
      </c>
      <c r="AK1374" t="n">
        <v>18</v>
      </c>
      <c r="AL1374" t="n">
        <v>0</v>
      </c>
      <c r="AM1374" t="n">
        <v>0</v>
      </c>
      <c r="AN1374" t="n">
        <v>0</v>
      </c>
      <c r="AO1374" t="n">
        <v>0</v>
      </c>
      <c r="AP1374" t="inlineStr">
        <is>
          <t>No</t>
        </is>
      </c>
      <c r="AQ1374" t="inlineStr">
        <is>
          <t>Yes</t>
        </is>
      </c>
      <c r="AR1374">
        <f>HYPERLINK("http://catalog.hathitrust.org/Record/002915031","HathiTrust Record")</f>
        <v/>
      </c>
      <c r="AS1374">
        <f>HYPERLINK("https://creighton-primo.hosted.exlibrisgroup.com/primo-explore/search?tab=default_tab&amp;search_scope=EVERYTHING&amp;vid=01CRU&amp;lang=en_US&amp;offset=0&amp;query=any,contains,991002450319702656","Catalog Record")</f>
        <v/>
      </c>
      <c r="AT1374">
        <f>HYPERLINK("http://www.worldcat.org/oclc/59941081","WorldCat Record")</f>
        <v/>
      </c>
      <c r="AU1374" t="inlineStr">
        <is>
          <t>20929485:eng</t>
        </is>
      </c>
      <c r="AV1374" t="inlineStr">
        <is>
          <t>59941081</t>
        </is>
      </c>
      <c r="AW1374" t="inlineStr">
        <is>
          <t>991002450319702656</t>
        </is>
      </c>
      <c r="AX1374" t="inlineStr">
        <is>
          <t>991002450319702656</t>
        </is>
      </c>
      <c r="AY1374" t="inlineStr">
        <is>
          <t>2264943340002656</t>
        </is>
      </c>
      <c r="AZ1374" t="inlineStr">
        <is>
          <t>BOOK</t>
        </is>
      </c>
      <c r="BB1374" t="inlineStr">
        <is>
          <t>9780224037679</t>
        </is>
      </c>
      <c r="BC1374" t="inlineStr">
        <is>
          <t>32285002019320</t>
        </is>
      </c>
      <c r="BD1374" t="inlineStr">
        <is>
          <t>893335327</t>
        </is>
      </c>
    </row>
    <row r="1375">
      <c r="A1375" t="inlineStr">
        <is>
          <t>No</t>
        </is>
      </c>
      <c r="B1375" t="inlineStr">
        <is>
          <t>BX2320.5.U5 C37 1998</t>
        </is>
      </c>
      <c r="C1375" t="inlineStr">
        <is>
          <t>0                      BX 2320500U  5                  C  37          1998</t>
        </is>
      </c>
      <c r="D1375" t="inlineStr">
        <is>
          <t>Catholic shrines and places of pilgrimage in the United States / [Office for the Pastoral Care of Migrants and Refugees, National Conference of Catholic Bishops].</t>
        </is>
      </c>
      <c r="F1375" t="inlineStr">
        <is>
          <t>No</t>
        </is>
      </c>
      <c r="G1375" t="inlineStr">
        <is>
          <t>1</t>
        </is>
      </c>
      <c r="H1375" t="inlineStr">
        <is>
          <t>No</t>
        </is>
      </c>
      <c r="I1375" t="inlineStr">
        <is>
          <t>No</t>
        </is>
      </c>
      <c r="J1375" t="inlineStr">
        <is>
          <t>0</t>
        </is>
      </c>
      <c r="L1375" t="inlineStr">
        <is>
          <t>Washington, D.C. : United States Catholic Conference, c1998.</t>
        </is>
      </c>
      <c r="M1375" t="inlineStr">
        <is>
          <t>1998</t>
        </is>
      </c>
      <c r="N1375" t="inlineStr">
        <is>
          <t>Jubilee ed.</t>
        </is>
      </c>
      <c r="O1375" t="inlineStr">
        <is>
          <t>eng</t>
        </is>
      </c>
      <c r="P1375" t="inlineStr">
        <is>
          <t>dcu</t>
        </is>
      </c>
      <c r="Q1375" t="inlineStr">
        <is>
          <t>Publication / United States Catholic Conference ; no. 5-158</t>
        </is>
      </c>
      <c r="R1375" t="inlineStr">
        <is>
          <t xml:space="preserve">BX </t>
        </is>
      </c>
      <c r="S1375" t="n">
        <v>4</v>
      </c>
      <c r="T1375" t="n">
        <v>4</v>
      </c>
      <c r="U1375" t="inlineStr">
        <is>
          <t>2000-05-11</t>
        </is>
      </c>
      <c r="V1375" t="inlineStr">
        <is>
          <t>2000-05-11</t>
        </is>
      </c>
      <c r="W1375" t="inlineStr">
        <is>
          <t>1998-03-10</t>
        </is>
      </c>
      <c r="X1375" t="inlineStr">
        <is>
          <t>1998-03-10</t>
        </is>
      </c>
      <c r="Y1375" t="n">
        <v>90</v>
      </c>
      <c r="Z1375" t="n">
        <v>84</v>
      </c>
      <c r="AA1375" t="n">
        <v>195</v>
      </c>
      <c r="AB1375" t="n">
        <v>1</v>
      </c>
      <c r="AC1375" t="n">
        <v>3</v>
      </c>
      <c r="AD1375" t="n">
        <v>12</v>
      </c>
      <c r="AE1375" t="n">
        <v>21</v>
      </c>
      <c r="AF1375" t="n">
        <v>3</v>
      </c>
      <c r="AG1375" t="n">
        <v>7</v>
      </c>
      <c r="AH1375" t="n">
        <v>5</v>
      </c>
      <c r="AI1375" t="n">
        <v>5</v>
      </c>
      <c r="AJ1375" t="n">
        <v>8</v>
      </c>
      <c r="AK1375" t="n">
        <v>16</v>
      </c>
      <c r="AL1375" t="n">
        <v>0</v>
      </c>
      <c r="AM1375" t="n">
        <v>0</v>
      </c>
      <c r="AN1375" t="n">
        <v>0</v>
      </c>
      <c r="AO1375" t="n">
        <v>0</v>
      </c>
      <c r="AP1375" t="inlineStr">
        <is>
          <t>No</t>
        </is>
      </c>
      <c r="AQ1375" t="inlineStr">
        <is>
          <t>No</t>
        </is>
      </c>
      <c r="AS1375">
        <f>HYPERLINK("https://creighton-primo.hosted.exlibrisgroup.com/primo-explore/search?tab=default_tab&amp;search_scope=EVERYTHING&amp;vid=01CRU&amp;lang=en_US&amp;offset=0&amp;query=any,contains,991005427819702656","Catalog Record")</f>
        <v/>
      </c>
      <c r="AT1375">
        <f>HYPERLINK("http://www.worldcat.org/oclc/38418347","WorldCat Record")</f>
        <v/>
      </c>
      <c r="AU1375" t="inlineStr">
        <is>
          <t>938144:eng</t>
        </is>
      </c>
      <c r="AV1375" t="inlineStr">
        <is>
          <t>38418347</t>
        </is>
      </c>
      <c r="AW1375" t="inlineStr">
        <is>
          <t>991005427819702656</t>
        </is>
      </c>
      <c r="AX1375" t="inlineStr">
        <is>
          <t>991005427819702656</t>
        </is>
      </c>
      <c r="AY1375" t="inlineStr">
        <is>
          <t>2262137740002656</t>
        </is>
      </c>
      <c r="AZ1375" t="inlineStr">
        <is>
          <t>BOOK</t>
        </is>
      </c>
      <c r="BB1375" t="inlineStr">
        <is>
          <t>9781574551587</t>
        </is>
      </c>
      <c r="BC1375" t="inlineStr">
        <is>
          <t>32285003356556</t>
        </is>
      </c>
      <c r="BD1375" t="inlineStr">
        <is>
          <t>893607382</t>
        </is>
      </c>
    </row>
    <row r="1376">
      <c r="A1376" t="inlineStr">
        <is>
          <t>No</t>
        </is>
      </c>
      <c r="B1376" t="inlineStr">
        <is>
          <t>BX2321.A9 D6 1932</t>
        </is>
      </c>
      <c r="C1376" t="inlineStr">
        <is>
          <t>0                      BX 2321000A  9                  D  6           1932</t>
        </is>
      </c>
      <c r="D1376" t="inlineStr">
        <is>
          <t>The story of Auriesville "Land of Crosses" : where the Indian trail of the Jesuit Missioner ended - and the path to heaven began / Hugh Donlon.</t>
        </is>
      </c>
      <c r="F1376" t="inlineStr">
        <is>
          <t>No</t>
        </is>
      </c>
      <c r="G1376" t="inlineStr">
        <is>
          <t>1</t>
        </is>
      </c>
      <c r="H1376" t="inlineStr">
        <is>
          <t>No</t>
        </is>
      </c>
      <c r="I1376" t="inlineStr">
        <is>
          <t>No</t>
        </is>
      </c>
      <c r="J1376" t="inlineStr">
        <is>
          <t>0</t>
        </is>
      </c>
      <c r="K1376" t="inlineStr">
        <is>
          <t>Donlon, Hugh P.</t>
        </is>
      </c>
      <c r="L1376" t="inlineStr">
        <is>
          <t>[Worcester, Mass. : Harrigan Press, 1932]</t>
        </is>
      </c>
      <c r="M1376" t="inlineStr">
        <is>
          <t>1932</t>
        </is>
      </c>
      <c r="O1376" t="inlineStr">
        <is>
          <t>eng</t>
        </is>
      </c>
      <c r="P1376" t="inlineStr">
        <is>
          <t>mau</t>
        </is>
      </c>
      <c r="R1376" t="inlineStr">
        <is>
          <t xml:space="preserve">BX </t>
        </is>
      </c>
      <c r="S1376" t="n">
        <v>3</v>
      </c>
      <c r="T1376" t="n">
        <v>3</v>
      </c>
      <c r="U1376" t="inlineStr">
        <is>
          <t>2010-04-26</t>
        </is>
      </c>
      <c r="V1376" t="inlineStr">
        <is>
          <t>2010-04-26</t>
        </is>
      </c>
      <c r="W1376" t="inlineStr">
        <is>
          <t>1991-10-23</t>
        </is>
      </c>
      <c r="X1376" t="inlineStr">
        <is>
          <t>1991-10-23</t>
        </is>
      </c>
      <c r="Y1376" t="n">
        <v>51</v>
      </c>
      <c r="Z1376" t="n">
        <v>47</v>
      </c>
      <c r="AA1376" t="n">
        <v>56</v>
      </c>
      <c r="AB1376" t="n">
        <v>1</v>
      </c>
      <c r="AC1376" t="n">
        <v>2</v>
      </c>
      <c r="AD1376" t="n">
        <v>10</v>
      </c>
      <c r="AE1376" t="n">
        <v>11</v>
      </c>
      <c r="AF1376" t="n">
        <v>1</v>
      </c>
      <c r="AG1376" t="n">
        <v>1</v>
      </c>
      <c r="AH1376" t="n">
        <v>2</v>
      </c>
      <c r="AI1376" t="n">
        <v>2</v>
      </c>
      <c r="AJ1376" t="n">
        <v>9</v>
      </c>
      <c r="AK1376" t="n">
        <v>10</v>
      </c>
      <c r="AL1376" t="n">
        <v>0</v>
      </c>
      <c r="AM1376" t="n">
        <v>0</v>
      </c>
      <c r="AN1376" t="n">
        <v>0</v>
      </c>
      <c r="AO1376" t="n">
        <v>0</v>
      </c>
      <c r="AP1376" t="inlineStr">
        <is>
          <t>No</t>
        </is>
      </c>
      <c r="AQ1376" t="inlineStr">
        <is>
          <t>Yes</t>
        </is>
      </c>
      <c r="AR1376">
        <f>HYPERLINK("http://catalog.hathitrust.org/Record/100952359","HathiTrust Record")</f>
        <v/>
      </c>
      <c r="AS1376">
        <f>HYPERLINK("https://creighton-primo.hosted.exlibrisgroup.com/primo-explore/search?tab=default_tab&amp;search_scope=EVERYTHING&amp;vid=01CRU&amp;lang=en_US&amp;offset=0&amp;query=any,contains,991003986609702656","Catalog Record")</f>
        <v/>
      </c>
      <c r="AT1376">
        <f>HYPERLINK("http://www.worldcat.org/oclc/2033604","WorldCat Record")</f>
        <v/>
      </c>
      <c r="AU1376" t="inlineStr">
        <is>
          <t>2869221:eng</t>
        </is>
      </c>
      <c r="AV1376" t="inlineStr">
        <is>
          <t>2033604</t>
        </is>
      </c>
      <c r="AW1376" t="inlineStr">
        <is>
          <t>991003986609702656</t>
        </is>
      </c>
      <c r="AX1376" t="inlineStr">
        <is>
          <t>991003986609702656</t>
        </is>
      </c>
      <c r="AY1376" t="inlineStr">
        <is>
          <t>2267341110002656</t>
        </is>
      </c>
      <c r="AZ1376" t="inlineStr">
        <is>
          <t>BOOK</t>
        </is>
      </c>
      <c r="BC1376" t="inlineStr">
        <is>
          <t>32285000811009</t>
        </is>
      </c>
      <c r="BD1376" t="inlineStr">
        <is>
          <t>893417079</t>
        </is>
      </c>
    </row>
    <row r="1377">
      <c r="A1377" t="inlineStr">
        <is>
          <t>No</t>
        </is>
      </c>
      <c r="B1377" t="inlineStr">
        <is>
          <t>BX2323 .M4 1951</t>
        </is>
      </c>
      <c r="C1377" t="inlineStr">
        <is>
          <t>0                      BX 2323000M  4           1951</t>
        </is>
      </c>
      <c r="D1377" t="inlineStr">
        <is>
          <t>Devotedly yours.</t>
        </is>
      </c>
      <c r="F1377" t="inlineStr">
        <is>
          <t>No</t>
        </is>
      </c>
      <c r="G1377" t="inlineStr">
        <is>
          <t>1</t>
        </is>
      </c>
      <c r="H1377" t="inlineStr">
        <is>
          <t>No</t>
        </is>
      </c>
      <c r="I1377" t="inlineStr">
        <is>
          <t>No</t>
        </is>
      </c>
      <c r="J1377" t="inlineStr">
        <is>
          <t>0</t>
        </is>
      </c>
      <c r="K1377" t="inlineStr">
        <is>
          <t>Meyers, Bertrande.</t>
        </is>
      </c>
      <c r="L1377" t="inlineStr">
        <is>
          <t>Westminster, Md. : Newman Press, 1951.</t>
        </is>
      </c>
      <c r="M1377" t="inlineStr">
        <is>
          <t>1951</t>
        </is>
      </c>
      <c r="O1377" t="inlineStr">
        <is>
          <t>eng</t>
        </is>
      </c>
      <c r="P1377" t="inlineStr">
        <is>
          <t>mdu</t>
        </is>
      </c>
      <c r="R1377" t="inlineStr">
        <is>
          <t xml:space="preserve">BX </t>
        </is>
      </c>
      <c r="S1377" t="n">
        <v>2</v>
      </c>
      <c r="T1377" t="n">
        <v>2</v>
      </c>
      <c r="U1377" t="inlineStr">
        <is>
          <t>1992-10-01</t>
        </is>
      </c>
      <c r="V1377" t="inlineStr">
        <is>
          <t>1992-10-01</t>
        </is>
      </c>
      <c r="W1377" t="inlineStr">
        <is>
          <t>1991-10-23</t>
        </is>
      </c>
      <c r="X1377" t="inlineStr">
        <is>
          <t>1991-10-23</t>
        </is>
      </c>
      <c r="Y1377" t="n">
        <v>45</v>
      </c>
      <c r="Z1377" t="n">
        <v>43</v>
      </c>
      <c r="AA1377" t="n">
        <v>75</v>
      </c>
      <c r="AB1377" t="n">
        <v>1</v>
      </c>
      <c r="AC1377" t="n">
        <v>1</v>
      </c>
      <c r="AD1377" t="n">
        <v>8</v>
      </c>
      <c r="AE1377" t="n">
        <v>11</v>
      </c>
      <c r="AF1377" t="n">
        <v>0</v>
      </c>
      <c r="AG1377" t="n">
        <v>0</v>
      </c>
      <c r="AH1377" t="n">
        <v>4</v>
      </c>
      <c r="AI1377" t="n">
        <v>5</v>
      </c>
      <c r="AJ1377" t="n">
        <v>4</v>
      </c>
      <c r="AK1377" t="n">
        <v>7</v>
      </c>
      <c r="AL1377" t="n">
        <v>0</v>
      </c>
      <c r="AM1377" t="n">
        <v>0</v>
      </c>
      <c r="AN1377" t="n">
        <v>0</v>
      </c>
      <c r="AO1377" t="n">
        <v>0</v>
      </c>
      <c r="AP1377" t="inlineStr">
        <is>
          <t>No</t>
        </is>
      </c>
      <c r="AQ1377" t="inlineStr">
        <is>
          <t>No</t>
        </is>
      </c>
      <c r="AS1377">
        <f>HYPERLINK("https://creighton-primo.hosted.exlibrisgroup.com/primo-explore/search?tab=default_tab&amp;search_scope=EVERYTHING&amp;vid=01CRU&amp;lang=en_US&amp;offset=0&amp;query=any,contains,991004771559702656","Catalog Record")</f>
        <v/>
      </c>
      <c r="AT1377">
        <f>HYPERLINK("http://www.worldcat.org/oclc/5067482","WorldCat Record")</f>
        <v/>
      </c>
      <c r="AU1377" t="inlineStr">
        <is>
          <t>43524259:eng</t>
        </is>
      </c>
      <c r="AV1377" t="inlineStr">
        <is>
          <t>5067482</t>
        </is>
      </c>
      <c r="AW1377" t="inlineStr">
        <is>
          <t>991004771559702656</t>
        </is>
      </c>
      <c r="AX1377" t="inlineStr">
        <is>
          <t>991004771559702656</t>
        </is>
      </c>
      <c r="AY1377" t="inlineStr">
        <is>
          <t>2268747560002656</t>
        </is>
      </c>
      <c r="AZ1377" t="inlineStr">
        <is>
          <t>BOOK</t>
        </is>
      </c>
      <c r="BC1377" t="inlineStr">
        <is>
          <t>32285000811033</t>
        </is>
      </c>
      <c r="BD1377" t="inlineStr">
        <is>
          <t>893443030</t>
        </is>
      </c>
    </row>
    <row r="1378">
      <c r="A1378" t="inlineStr">
        <is>
          <t>No</t>
        </is>
      </c>
      <c r="B1378" t="inlineStr">
        <is>
          <t>BX2325 .G21 1966</t>
        </is>
      </c>
      <c r="C1378" t="inlineStr">
        <is>
          <t>0                      BX 2325000G  21          1966</t>
        </is>
      </c>
      <c r="D1378" t="inlineStr">
        <is>
          <t>El culto de los santos en la España romana y visigoda / Carmen García Rodríguez.</t>
        </is>
      </c>
      <c r="F1378" t="inlineStr">
        <is>
          <t>No</t>
        </is>
      </c>
      <c r="G1378" t="inlineStr">
        <is>
          <t>1</t>
        </is>
      </c>
      <c r="H1378" t="inlineStr">
        <is>
          <t>No</t>
        </is>
      </c>
      <c r="I1378" t="inlineStr">
        <is>
          <t>No</t>
        </is>
      </c>
      <c r="J1378" t="inlineStr">
        <is>
          <t>0</t>
        </is>
      </c>
      <c r="K1378" t="inlineStr">
        <is>
          <t>García Rodríguez, Carmen.</t>
        </is>
      </c>
      <c r="L1378" t="inlineStr">
        <is>
          <t>Madrid : C. S. I. C., 1966.</t>
        </is>
      </c>
      <c r="M1378" t="inlineStr">
        <is>
          <t>1966</t>
        </is>
      </c>
      <c r="O1378" t="inlineStr">
        <is>
          <t>spa</t>
        </is>
      </c>
      <c r="P1378" t="inlineStr">
        <is>
          <t xml:space="preserve">sp </t>
        </is>
      </c>
      <c r="Q1378" t="inlineStr">
        <is>
          <t>Monografías de historia eclesiástica ; v. 1</t>
        </is>
      </c>
      <c r="R1378" t="inlineStr">
        <is>
          <t xml:space="preserve">BX </t>
        </is>
      </c>
      <c r="S1378" t="n">
        <v>1</v>
      </c>
      <c r="T1378" t="n">
        <v>1</v>
      </c>
      <c r="U1378" t="inlineStr">
        <is>
          <t>1998-01-19</t>
        </is>
      </c>
      <c r="V1378" t="inlineStr">
        <is>
          <t>1998-01-19</t>
        </is>
      </c>
      <c r="W1378" t="inlineStr">
        <is>
          <t>1991-10-23</t>
        </is>
      </c>
      <c r="X1378" t="inlineStr">
        <is>
          <t>1991-10-23</t>
        </is>
      </c>
      <c r="Y1378" t="n">
        <v>77</v>
      </c>
      <c r="Z1378" t="n">
        <v>54</v>
      </c>
      <c r="AA1378" t="n">
        <v>57</v>
      </c>
      <c r="AB1378" t="n">
        <v>1</v>
      </c>
      <c r="AC1378" t="n">
        <v>1</v>
      </c>
      <c r="AD1378" t="n">
        <v>7</v>
      </c>
      <c r="AE1378" t="n">
        <v>7</v>
      </c>
      <c r="AF1378" t="n">
        <v>0</v>
      </c>
      <c r="AG1378" t="n">
        <v>0</v>
      </c>
      <c r="AH1378" t="n">
        <v>3</v>
      </c>
      <c r="AI1378" t="n">
        <v>3</v>
      </c>
      <c r="AJ1378" t="n">
        <v>4</v>
      </c>
      <c r="AK1378" t="n">
        <v>4</v>
      </c>
      <c r="AL1378" t="n">
        <v>0</v>
      </c>
      <c r="AM1378" t="n">
        <v>0</v>
      </c>
      <c r="AN1378" t="n">
        <v>0</v>
      </c>
      <c r="AO1378" t="n">
        <v>0</v>
      </c>
      <c r="AP1378" t="inlineStr">
        <is>
          <t>No</t>
        </is>
      </c>
      <c r="AQ1378" t="inlineStr">
        <is>
          <t>No</t>
        </is>
      </c>
      <c r="AS1378">
        <f>HYPERLINK("https://creighton-primo.hosted.exlibrisgroup.com/primo-explore/search?tab=default_tab&amp;search_scope=EVERYTHING&amp;vid=01CRU&amp;lang=en_US&amp;offset=0&amp;query=any,contains,991003876329702656","Catalog Record")</f>
        <v/>
      </c>
      <c r="AT1378">
        <f>HYPERLINK("http://www.worldcat.org/oclc/1707176","WorldCat Record")</f>
        <v/>
      </c>
      <c r="AU1378" t="inlineStr">
        <is>
          <t>355075211:spa</t>
        </is>
      </c>
      <c r="AV1378" t="inlineStr">
        <is>
          <t>1707176</t>
        </is>
      </c>
      <c r="AW1378" t="inlineStr">
        <is>
          <t>991003876329702656</t>
        </is>
      </c>
      <c r="AX1378" t="inlineStr">
        <is>
          <t>991003876329702656</t>
        </is>
      </c>
      <c r="AY1378" t="inlineStr">
        <is>
          <t>2268779480002656</t>
        </is>
      </c>
      <c r="AZ1378" t="inlineStr">
        <is>
          <t>BOOK</t>
        </is>
      </c>
      <c r="BC1378" t="inlineStr">
        <is>
          <t>32285000811074</t>
        </is>
      </c>
      <c r="BD1378" t="inlineStr">
        <is>
          <t>893518968</t>
        </is>
      </c>
    </row>
    <row r="1379">
      <c r="A1379" t="inlineStr">
        <is>
          <t>No</t>
        </is>
      </c>
      <c r="B1379" t="inlineStr">
        <is>
          <t>BX2330 .B45</t>
        </is>
      </c>
      <c r="C1379" t="inlineStr">
        <is>
          <t>0                      BX 2330000B  45</t>
        </is>
      </c>
      <c r="D1379" t="inlineStr">
        <is>
          <t>Heroic virtue : a portion of the treatise of Benedict XIV on the beatification and canonization of the servants of God.</t>
        </is>
      </c>
      <c r="E1379" t="inlineStr">
        <is>
          <t>V.3</t>
        </is>
      </c>
      <c r="F1379" t="inlineStr">
        <is>
          <t>Yes</t>
        </is>
      </c>
      <c r="G1379" t="inlineStr">
        <is>
          <t>1</t>
        </is>
      </c>
      <c r="H1379" t="inlineStr">
        <is>
          <t>No</t>
        </is>
      </c>
      <c r="I1379" t="inlineStr">
        <is>
          <t>No</t>
        </is>
      </c>
      <c r="J1379" t="inlineStr">
        <is>
          <t>0</t>
        </is>
      </c>
      <c r="K1379" t="inlineStr">
        <is>
          <t>Benedict XIV, Pope, 1675-1758.</t>
        </is>
      </c>
      <c r="L1379" t="inlineStr">
        <is>
          <t>New York : E. Dunigan, 1950-52.</t>
        </is>
      </c>
      <c r="M1379" t="inlineStr">
        <is>
          <t>1950</t>
        </is>
      </c>
      <c r="O1379" t="inlineStr">
        <is>
          <t>eng</t>
        </is>
      </c>
      <c r="P1379" t="inlineStr">
        <is>
          <t>nyu</t>
        </is>
      </c>
      <c r="Q1379" t="inlineStr">
        <is>
          <t>The saints and servants of God, 29-31</t>
        </is>
      </c>
      <c r="R1379" t="inlineStr">
        <is>
          <t xml:space="preserve">BX </t>
        </is>
      </c>
      <c r="S1379" t="n">
        <v>3</v>
      </c>
      <c r="T1379" t="n">
        <v>10</v>
      </c>
      <c r="U1379" t="inlineStr">
        <is>
          <t>2007-11-28</t>
        </is>
      </c>
      <c r="V1379" t="inlineStr">
        <is>
          <t>2007-11-28</t>
        </is>
      </c>
      <c r="W1379" t="inlineStr">
        <is>
          <t>1991-10-23</t>
        </is>
      </c>
      <c r="X1379" t="inlineStr">
        <is>
          <t>1991-10-23</t>
        </is>
      </c>
      <c r="Y1379" t="n">
        <v>3</v>
      </c>
      <c r="Z1379" t="n">
        <v>3</v>
      </c>
      <c r="AA1379" t="n">
        <v>42</v>
      </c>
      <c r="AB1379" t="n">
        <v>1</v>
      </c>
      <c r="AC1379" t="n">
        <v>1</v>
      </c>
      <c r="AD1379" t="n">
        <v>2</v>
      </c>
      <c r="AE1379" t="n">
        <v>9</v>
      </c>
      <c r="AF1379" t="n">
        <v>0</v>
      </c>
      <c r="AG1379" t="n">
        <v>0</v>
      </c>
      <c r="AH1379" t="n">
        <v>0</v>
      </c>
      <c r="AI1379" t="n">
        <v>3</v>
      </c>
      <c r="AJ1379" t="n">
        <v>2</v>
      </c>
      <c r="AK1379" t="n">
        <v>7</v>
      </c>
      <c r="AL1379" t="n">
        <v>0</v>
      </c>
      <c r="AM1379" t="n">
        <v>0</v>
      </c>
      <c r="AN1379" t="n">
        <v>0</v>
      </c>
      <c r="AO1379" t="n">
        <v>0</v>
      </c>
      <c r="AP1379" t="inlineStr">
        <is>
          <t>No</t>
        </is>
      </c>
      <c r="AQ1379" t="inlineStr">
        <is>
          <t>No</t>
        </is>
      </c>
      <c r="AS1379">
        <f>HYPERLINK("https://creighton-primo.hosted.exlibrisgroup.com/primo-explore/search?tab=default_tab&amp;search_scope=EVERYTHING&amp;vid=01CRU&amp;lang=en_US&amp;offset=0&amp;query=any,contains,991004506719702656","Catalog Record")</f>
        <v/>
      </c>
      <c r="AT1379">
        <f>HYPERLINK("http://www.worldcat.org/oclc/3739072","WorldCat Record")</f>
        <v/>
      </c>
      <c r="AU1379" t="inlineStr">
        <is>
          <t>24412186:eng</t>
        </is>
      </c>
      <c r="AV1379" t="inlineStr">
        <is>
          <t>3739072</t>
        </is>
      </c>
      <c r="AW1379" t="inlineStr">
        <is>
          <t>991004506719702656</t>
        </is>
      </c>
      <c r="AX1379" t="inlineStr">
        <is>
          <t>991004506719702656</t>
        </is>
      </c>
      <c r="AY1379" t="inlineStr">
        <is>
          <t>2266159190002656</t>
        </is>
      </c>
      <c r="AZ1379" t="inlineStr">
        <is>
          <t>BOOK</t>
        </is>
      </c>
      <c r="BC1379" t="inlineStr">
        <is>
          <t>32285000811108</t>
        </is>
      </c>
      <c r="BD1379" t="inlineStr">
        <is>
          <t>893876189</t>
        </is>
      </c>
    </row>
    <row r="1380">
      <c r="A1380" t="inlineStr">
        <is>
          <t>No</t>
        </is>
      </c>
      <c r="B1380" t="inlineStr">
        <is>
          <t>BX2330 .B45</t>
        </is>
      </c>
      <c r="C1380" t="inlineStr">
        <is>
          <t>0                      BX 2330000B  45</t>
        </is>
      </c>
      <c r="D1380" t="inlineStr">
        <is>
          <t>Heroic virtue : a portion of the treatise of Benedict XIV on the beatification and canonization of the servants of God.</t>
        </is>
      </c>
      <c r="E1380" t="inlineStr">
        <is>
          <t>V.1</t>
        </is>
      </c>
      <c r="F1380" t="inlineStr">
        <is>
          <t>Yes</t>
        </is>
      </c>
      <c r="G1380" t="inlineStr">
        <is>
          <t>1</t>
        </is>
      </c>
      <c r="H1380" t="inlineStr">
        <is>
          <t>No</t>
        </is>
      </c>
      <c r="I1380" t="inlineStr">
        <is>
          <t>No</t>
        </is>
      </c>
      <c r="J1380" t="inlineStr">
        <is>
          <t>0</t>
        </is>
      </c>
      <c r="K1380" t="inlineStr">
        <is>
          <t>Benedict XIV, Pope, 1675-1758.</t>
        </is>
      </c>
      <c r="L1380" t="inlineStr">
        <is>
          <t>New York : E. Dunigan, 1950-52.</t>
        </is>
      </c>
      <c r="M1380" t="inlineStr">
        <is>
          <t>1950</t>
        </is>
      </c>
      <c r="O1380" t="inlineStr">
        <is>
          <t>eng</t>
        </is>
      </c>
      <c r="P1380" t="inlineStr">
        <is>
          <t>nyu</t>
        </is>
      </c>
      <c r="Q1380" t="inlineStr">
        <is>
          <t>The saints and servants of God, 29-31</t>
        </is>
      </c>
      <c r="R1380" t="inlineStr">
        <is>
          <t xml:space="preserve">BX </t>
        </is>
      </c>
      <c r="S1380" t="n">
        <v>5</v>
      </c>
      <c r="T1380" t="n">
        <v>10</v>
      </c>
      <c r="U1380" t="inlineStr">
        <is>
          <t>2007-11-28</t>
        </is>
      </c>
      <c r="V1380" t="inlineStr">
        <is>
          <t>2007-11-28</t>
        </is>
      </c>
      <c r="W1380" t="inlineStr">
        <is>
          <t>1991-10-23</t>
        </is>
      </c>
      <c r="X1380" t="inlineStr">
        <is>
          <t>1991-10-23</t>
        </is>
      </c>
      <c r="Y1380" t="n">
        <v>3</v>
      </c>
      <c r="Z1380" t="n">
        <v>3</v>
      </c>
      <c r="AA1380" t="n">
        <v>42</v>
      </c>
      <c r="AB1380" t="n">
        <v>1</v>
      </c>
      <c r="AC1380" t="n">
        <v>1</v>
      </c>
      <c r="AD1380" t="n">
        <v>2</v>
      </c>
      <c r="AE1380" t="n">
        <v>9</v>
      </c>
      <c r="AF1380" t="n">
        <v>0</v>
      </c>
      <c r="AG1380" t="n">
        <v>0</v>
      </c>
      <c r="AH1380" t="n">
        <v>0</v>
      </c>
      <c r="AI1380" t="n">
        <v>3</v>
      </c>
      <c r="AJ1380" t="n">
        <v>2</v>
      </c>
      <c r="AK1380" t="n">
        <v>7</v>
      </c>
      <c r="AL1380" t="n">
        <v>0</v>
      </c>
      <c r="AM1380" t="n">
        <v>0</v>
      </c>
      <c r="AN1380" t="n">
        <v>0</v>
      </c>
      <c r="AO1380" t="n">
        <v>0</v>
      </c>
      <c r="AP1380" t="inlineStr">
        <is>
          <t>No</t>
        </is>
      </c>
      <c r="AQ1380" t="inlineStr">
        <is>
          <t>No</t>
        </is>
      </c>
      <c r="AS1380">
        <f>HYPERLINK("https://creighton-primo.hosted.exlibrisgroup.com/primo-explore/search?tab=default_tab&amp;search_scope=EVERYTHING&amp;vid=01CRU&amp;lang=en_US&amp;offset=0&amp;query=any,contains,991004506719702656","Catalog Record")</f>
        <v/>
      </c>
      <c r="AT1380">
        <f>HYPERLINK("http://www.worldcat.org/oclc/3739072","WorldCat Record")</f>
        <v/>
      </c>
      <c r="AU1380" t="inlineStr">
        <is>
          <t>24412186:eng</t>
        </is>
      </c>
      <c r="AV1380" t="inlineStr">
        <is>
          <t>3739072</t>
        </is>
      </c>
      <c r="AW1380" t="inlineStr">
        <is>
          <t>991004506719702656</t>
        </is>
      </c>
      <c r="AX1380" t="inlineStr">
        <is>
          <t>991004506719702656</t>
        </is>
      </c>
      <c r="AY1380" t="inlineStr">
        <is>
          <t>2266159190002656</t>
        </is>
      </c>
      <c r="AZ1380" t="inlineStr">
        <is>
          <t>BOOK</t>
        </is>
      </c>
      <c r="BC1380" t="inlineStr">
        <is>
          <t>32285000811082</t>
        </is>
      </c>
      <c r="BD1380" t="inlineStr">
        <is>
          <t>893876191</t>
        </is>
      </c>
    </row>
    <row r="1381">
      <c r="A1381" t="inlineStr">
        <is>
          <t>No</t>
        </is>
      </c>
      <c r="B1381" t="inlineStr">
        <is>
          <t>BX2330 .B45</t>
        </is>
      </c>
      <c r="C1381" t="inlineStr">
        <is>
          <t>0                      BX 2330000B  45</t>
        </is>
      </c>
      <c r="D1381" t="inlineStr">
        <is>
          <t>Heroic virtue : a portion of the treatise of Benedict XIV on the beatification and canonization of the servants of God.</t>
        </is>
      </c>
      <c r="E1381" t="inlineStr">
        <is>
          <t>V.2</t>
        </is>
      </c>
      <c r="F1381" t="inlineStr">
        <is>
          <t>Yes</t>
        </is>
      </c>
      <c r="G1381" t="inlineStr">
        <is>
          <t>1</t>
        </is>
      </c>
      <c r="H1381" t="inlineStr">
        <is>
          <t>No</t>
        </is>
      </c>
      <c r="I1381" t="inlineStr">
        <is>
          <t>No</t>
        </is>
      </c>
      <c r="J1381" t="inlineStr">
        <is>
          <t>0</t>
        </is>
      </c>
      <c r="K1381" t="inlineStr">
        <is>
          <t>Benedict XIV, Pope, 1675-1758.</t>
        </is>
      </c>
      <c r="L1381" t="inlineStr">
        <is>
          <t>New York : E. Dunigan, 1950-52.</t>
        </is>
      </c>
      <c r="M1381" t="inlineStr">
        <is>
          <t>1950</t>
        </is>
      </c>
      <c r="O1381" t="inlineStr">
        <is>
          <t>eng</t>
        </is>
      </c>
      <c r="P1381" t="inlineStr">
        <is>
          <t>nyu</t>
        </is>
      </c>
      <c r="Q1381" t="inlineStr">
        <is>
          <t>The saints and servants of God, 29-31</t>
        </is>
      </c>
      <c r="R1381" t="inlineStr">
        <is>
          <t xml:space="preserve">BX </t>
        </is>
      </c>
      <c r="S1381" t="n">
        <v>2</v>
      </c>
      <c r="T1381" t="n">
        <v>10</v>
      </c>
      <c r="U1381" t="inlineStr">
        <is>
          <t>2007-11-28</t>
        </is>
      </c>
      <c r="V1381" t="inlineStr">
        <is>
          <t>2007-11-28</t>
        </is>
      </c>
      <c r="W1381" t="inlineStr">
        <is>
          <t>1991-10-23</t>
        </is>
      </c>
      <c r="X1381" t="inlineStr">
        <is>
          <t>1991-10-23</t>
        </is>
      </c>
      <c r="Y1381" t="n">
        <v>3</v>
      </c>
      <c r="Z1381" t="n">
        <v>3</v>
      </c>
      <c r="AA1381" t="n">
        <v>42</v>
      </c>
      <c r="AB1381" t="n">
        <v>1</v>
      </c>
      <c r="AC1381" t="n">
        <v>1</v>
      </c>
      <c r="AD1381" t="n">
        <v>2</v>
      </c>
      <c r="AE1381" t="n">
        <v>9</v>
      </c>
      <c r="AF1381" t="n">
        <v>0</v>
      </c>
      <c r="AG1381" t="n">
        <v>0</v>
      </c>
      <c r="AH1381" t="n">
        <v>0</v>
      </c>
      <c r="AI1381" t="n">
        <v>3</v>
      </c>
      <c r="AJ1381" t="n">
        <v>2</v>
      </c>
      <c r="AK1381" t="n">
        <v>7</v>
      </c>
      <c r="AL1381" t="n">
        <v>0</v>
      </c>
      <c r="AM1381" t="n">
        <v>0</v>
      </c>
      <c r="AN1381" t="n">
        <v>0</v>
      </c>
      <c r="AO1381" t="n">
        <v>0</v>
      </c>
      <c r="AP1381" t="inlineStr">
        <is>
          <t>No</t>
        </is>
      </c>
      <c r="AQ1381" t="inlineStr">
        <is>
          <t>No</t>
        </is>
      </c>
      <c r="AS1381">
        <f>HYPERLINK("https://creighton-primo.hosted.exlibrisgroup.com/primo-explore/search?tab=default_tab&amp;search_scope=EVERYTHING&amp;vid=01CRU&amp;lang=en_US&amp;offset=0&amp;query=any,contains,991004506719702656","Catalog Record")</f>
        <v/>
      </c>
      <c r="AT1381">
        <f>HYPERLINK("http://www.worldcat.org/oclc/3739072","WorldCat Record")</f>
        <v/>
      </c>
      <c r="AU1381" t="inlineStr">
        <is>
          <t>24412186:eng</t>
        </is>
      </c>
      <c r="AV1381" t="inlineStr">
        <is>
          <t>3739072</t>
        </is>
      </c>
      <c r="AW1381" t="inlineStr">
        <is>
          <t>991004506719702656</t>
        </is>
      </c>
      <c r="AX1381" t="inlineStr">
        <is>
          <t>991004506719702656</t>
        </is>
      </c>
      <c r="AY1381" t="inlineStr">
        <is>
          <t>2266159190002656</t>
        </is>
      </c>
      <c r="AZ1381" t="inlineStr">
        <is>
          <t>BOOK</t>
        </is>
      </c>
      <c r="BC1381" t="inlineStr">
        <is>
          <t>32285000811090</t>
        </is>
      </c>
      <c r="BD1381" t="inlineStr">
        <is>
          <t>893876190</t>
        </is>
      </c>
    </row>
    <row r="1382">
      <c r="A1382" t="inlineStr">
        <is>
          <t>No</t>
        </is>
      </c>
      <c r="B1382" t="inlineStr">
        <is>
          <t>BX2330 .V3813 1997</t>
        </is>
      </c>
      <c r="C1382" t="inlineStr">
        <is>
          <t>0                      BX 2330000V  3813        1997</t>
        </is>
      </c>
      <c r="D1382" t="inlineStr">
        <is>
          <t>Sainthood in the later Middle Ages / André Vauchez ; translated by Jean Birrell.</t>
        </is>
      </c>
      <c r="F1382" t="inlineStr">
        <is>
          <t>No</t>
        </is>
      </c>
      <c r="G1382" t="inlineStr">
        <is>
          <t>1</t>
        </is>
      </c>
      <c r="H1382" t="inlineStr">
        <is>
          <t>No</t>
        </is>
      </c>
      <c r="I1382" t="inlineStr">
        <is>
          <t>No</t>
        </is>
      </c>
      <c r="J1382" t="inlineStr">
        <is>
          <t>0</t>
        </is>
      </c>
      <c r="K1382" t="inlineStr">
        <is>
          <t>Vauchez, André.</t>
        </is>
      </c>
      <c r="L1382" t="inlineStr">
        <is>
          <t>Cambridge ; New York : Cambridge University Press, c1997.</t>
        </is>
      </c>
      <c r="M1382" t="inlineStr">
        <is>
          <t>1997</t>
        </is>
      </c>
      <c r="O1382" t="inlineStr">
        <is>
          <t>eng</t>
        </is>
      </c>
      <c r="P1382" t="inlineStr">
        <is>
          <t>enk</t>
        </is>
      </c>
      <c r="R1382" t="inlineStr">
        <is>
          <t xml:space="preserve">BX </t>
        </is>
      </c>
      <c r="S1382" t="n">
        <v>3</v>
      </c>
      <c r="T1382" t="n">
        <v>3</v>
      </c>
      <c r="U1382" t="inlineStr">
        <is>
          <t>2001-10-18</t>
        </is>
      </c>
      <c r="V1382" t="inlineStr">
        <is>
          <t>2001-10-18</t>
        </is>
      </c>
      <c r="W1382" t="inlineStr">
        <is>
          <t>1997-11-14</t>
        </is>
      </c>
      <c r="X1382" t="inlineStr">
        <is>
          <t>1997-11-14</t>
        </is>
      </c>
      <c r="Y1382" t="n">
        <v>461</v>
      </c>
      <c r="Z1382" t="n">
        <v>344</v>
      </c>
      <c r="AA1382" t="n">
        <v>368</v>
      </c>
      <c r="AB1382" t="n">
        <v>2</v>
      </c>
      <c r="AC1382" t="n">
        <v>3</v>
      </c>
      <c r="AD1382" t="n">
        <v>30</v>
      </c>
      <c r="AE1382" t="n">
        <v>32</v>
      </c>
      <c r="AF1382" t="n">
        <v>13</v>
      </c>
      <c r="AG1382" t="n">
        <v>13</v>
      </c>
      <c r="AH1382" t="n">
        <v>9</v>
      </c>
      <c r="AI1382" t="n">
        <v>10</v>
      </c>
      <c r="AJ1382" t="n">
        <v>16</v>
      </c>
      <c r="AK1382" t="n">
        <v>17</v>
      </c>
      <c r="AL1382" t="n">
        <v>1</v>
      </c>
      <c r="AM1382" t="n">
        <v>2</v>
      </c>
      <c r="AN1382" t="n">
        <v>0</v>
      </c>
      <c r="AO1382" t="n">
        <v>0</v>
      </c>
      <c r="AP1382" t="inlineStr">
        <is>
          <t>No</t>
        </is>
      </c>
      <c r="AQ1382" t="inlineStr">
        <is>
          <t>No</t>
        </is>
      </c>
      <c r="AS1382">
        <f>HYPERLINK("https://creighton-primo.hosted.exlibrisgroup.com/primo-explore/search?tab=default_tab&amp;search_scope=EVERYTHING&amp;vid=01CRU&amp;lang=en_US&amp;offset=0&amp;query=any,contains,991005423229702656","Catalog Record")</f>
        <v/>
      </c>
      <c r="AT1382">
        <f>HYPERLINK("http://www.worldcat.org/oclc/34245100","WorldCat Record")</f>
        <v/>
      </c>
      <c r="AU1382" t="inlineStr">
        <is>
          <t>19090784:eng</t>
        </is>
      </c>
      <c r="AV1382" t="inlineStr">
        <is>
          <t>34245100</t>
        </is>
      </c>
      <c r="AW1382" t="inlineStr">
        <is>
          <t>991005423229702656</t>
        </is>
      </c>
      <c r="AX1382" t="inlineStr">
        <is>
          <t>991005423229702656</t>
        </is>
      </c>
      <c r="AY1382" t="inlineStr">
        <is>
          <t>2264470370002656</t>
        </is>
      </c>
      <c r="AZ1382" t="inlineStr">
        <is>
          <t>BOOK</t>
        </is>
      </c>
      <c r="BB1382" t="inlineStr">
        <is>
          <t>9780521445597</t>
        </is>
      </c>
      <c r="BC1382" t="inlineStr">
        <is>
          <t>32285003279519</t>
        </is>
      </c>
      <c r="BD1382" t="inlineStr">
        <is>
          <t>893345171</t>
        </is>
      </c>
    </row>
    <row r="1383">
      <c r="A1383" t="inlineStr">
        <is>
          <t>No</t>
        </is>
      </c>
      <c r="B1383" t="inlineStr">
        <is>
          <t>BX2347 .S64 2000</t>
        </is>
      </c>
      <c r="C1383" t="inlineStr">
        <is>
          <t>0                      BX 2347000S  64          2000</t>
        </is>
      </c>
      <c r="D1383" t="inlineStr">
        <is>
          <t>Collaboration : uniting our gifts in ministry / Loughlan Sofield, Carroll Juliano.</t>
        </is>
      </c>
      <c r="F1383" t="inlineStr">
        <is>
          <t>No</t>
        </is>
      </c>
      <c r="G1383" t="inlineStr">
        <is>
          <t>1</t>
        </is>
      </c>
      <c r="H1383" t="inlineStr">
        <is>
          <t>No</t>
        </is>
      </c>
      <c r="I1383" t="inlineStr">
        <is>
          <t>No</t>
        </is>
      </c>
      <c r="J1383" t="inlineStr">
        <is>
          <t>0</t>
        </is>
      </c>
      <c r="K1383" t="inlineStr">
        <is>
          <t>Sofield, Loughlan.</t>
        </is>
      </c>
      <c r="L1383" t="inlineStr">
        <is>
          <t>Notre Dame, IN : Ave Maria Press, c2000.</t>
        </is>
      </c>
      <c r="M1383" t="inlineStr">
        <is>
          <t>2000</t>
        </is>
      </c>
      <c r="O1383" t="inlineStr">
        <is>
          <t>eng</t>
        </is>
      </c>
      <c r="P1383" t="inlineStr">
        <is>
          <t>inu</t>
        </is>
      </c>
      <c r="R1383" t="inlineStr">
        <is>
          <t xml:space="preserve">BX </t>
        </is>
      </c>
      <c r="S1383" t="n">
        <v>2</v>
      </c>
      <c r="T1383" t="n">
        <v>2</v>
      </c>
      <c r="U1383" t="inlineStr">
        <is>
          <t>2002-07-19</t>
        </is>
      </c>
      <c r="V1383" t="inlineStr">
        <is>
          <t>2002-07-19</t>
        </is>
      </c>
      <c r="W1383" t="inlineStr">
        <is>
          <t>2001-03-27</t>
        </is>
      </c>
      <c r="X1383" t="inlineStr">
        <is>
          <t>2001-03-27</t>
        </is>
      </c>
      <c r="Y1383" t="n">
        <v>128</v>
      </c>
      <c r="Z1383" t="n">
        <v>102</v>
      </c>
      <c r="AA1383" t="n">
        <v>107</v>
      </c>
      <c r="AB1383" t="n">
        <v>2</v>
      </c>
      <c r="AC1383" t="n">
        <v>2</v>
      </c>
      <c r="AD1383" t="n">
        <v>13</v>
      </c>
      <c r="AE1383" t="n">
        <v>13</v>
      </c>
      <c r="AF1383" t="n">
        <v>4</v>
      </c>
      <c r="AG1383" t="n">
        <v>4</v>
      </c>
      <c r="AH1383" t="n">
        <v>1</v>
      </c>
      <c r="AI1383" t="n">
        <v>1</v>
      </c>
      <c r="AJ1383" t="n">
        <v>10</v>
      </c>
      <c r="AK1383" t="n">
        <v>10</v>
      </c>
      <c r="AL1383" t="n">
        <v>0</v>
      </c>
      <c r="AM1383" t="n">
        <v>0</v>
      </c>
      <c r="AN1383" t="n">
        <v>0</v>
      </c>
      <c r="AO1383" t="n">
        <v>0</v>
      </c>
      <c r="AP1383" t="inlineStr">
        <is>
          <t>No</t>
        </is>
      </c>
      <c r="AQ1383" t="inlineStr">
        <is>
          <t>No</t>
        </is>
      </c>
      <c r="AS1383">
        <f>HYPERLINK("https://creighton-primo.hosted.exlibrisgroup.com/primo-explore/search?tab=default_tab&amp;search_scope=EVERYTHING&amp;vid=01CRU&amp;lang=en_US&amp;offset=0&amp;query=any,contains,991003518549702656","Catalog Record")</f>
        <v/>
      </c>
      <c r="AT1383">
        <f>HYPERLINK("http://www.worldcat.org/oclc/43836337","WorldCat Record")</f>
        <v/>
      </c>
      <c r="AU1383" t="inlineStr">
        <is>
          <t>44178434:eng</t>
        </is>
      </c>
      <c r="AV1383" t="inlineStr">
        <is>
          <t>43836337</t>
        </is>
      </c>
      <c r="AW1383" t="inlineStr">
        <is>
          <t>991003518549702656</t>
        </is>
      </c>
      <c r="AX1383" t="inlineStr">
        <is>
          <t>991003518549702656</t>
        </is>
      </c>
      <c r="AY1383" t="inlineStr">
        <is>
          <t>2269947110002656</t>
        </is>
      </c>
      <c r="AZ1383" t="inlineStr">
        <is>
          <t>BOOK</t>
        </is>
      </c>
      <c r="BB1383" t="inlineStr">
        <is>
          <t>9780877936831</t>
        </is>
      </c>
      <c r="BC1383" t="inlineStr">
        <is>
          <t>32285004307681</t>
        </is>
      </c>
      <c r="BD1383" t="inlineStr">
        <is>
          <t>893627627</t>
        </is>
      </c>
    </row>
    <row r="1384">
      <c r="A1384" t="inlineStr">
        <is>
          <t>No</t>
        </is>
      </c>
      <c r="B1384" t="inlineStr">
        <is>
          <t>BX2347.2 .B53 1995</t>
        </is>
      </c>
      <c r="C1384" t="inlineStr">
        <is>
          <t>0                      BX 2347200B  53          1995</t>
        </is>
      </c>
      <c r="D1384" t="inlineStr">
        <is>
          <t>Loaves and fishes : from faith experience to empowered community / by Virginia A. Blass.</t>
        </is>
      </c>
      <c r="F1384" t="inlineStr">
        <is>
          <t>No</t>
        </is>
      </c>
      <c r="G1384" t="inlineStr">
        <is>
          <t>1</t>
        </is>
      </c>
      <c r="H1384" t="inlineStr">
        <is>
          <t>No</t>
        </is>
      </c>
      <c r="I1384" t="inlineStr">
        <is>
          <t>No</t>
        </is>
      </c>
      <c r="J1384" t="inlineStr">
        <is>
          <t>0</t>
        </is>
      </c>
      <c r="K1384" t="inlineStr">
        <is>
          <t>Blass, Virginia A., 1953-</t>
        </is>
      </c>
      <c r="L1384" t="inlineStr">
        <is>
          <t>New York : Paulist Press, c1995.</t>
        </is>
      </c>
      <c r="M1384" t="inlineStr">
        <is>
          <t>1995</t>
        </is>
      </c>
      <c r="O1384" t="inlineStr">
        <is>
          <t>eng</t>
        </is>
      </c>
      <c r="P1384" t="inlineStr">
        <is>
          <t>nyu</t>
        </is>
      </c>
      <c r="R1384" t="inlineStr">
        <is>
          <t xml:space="preserve">BX </t>
        </is>
      </c>
      <c r="S1384" t="n">
        <v>3</v>
      </c>
      <c r="T1384" t="n">
        <v>3</v>
      </c>
      <c r="U1384" t="inlineStr">
        <is>
          <t>1997-06-20</t>
        </is>
      </c>
      <c r="V1384" t="inlineStr">
        <is>
          <t>1997-06-20</t>
        </is>
      </c>
      <c r="W1384" t="inlineStr">
        <is>
          <t>1996-04-03</t>
        </is>
      </c>
      <c r="X1384" t="inlineStr">
        <is>
          <t>1996-04-03</t>
        </is>
      </c>
      <c r="Y1384" t="n">
        <v>32</v>
      </c>
      <c r="Z1384" t="n">
        <v>29</v>
      </c>
      <c r="AA1384" t="n">
        <v>29</v>
      </c>
      <c r="AB1384" t="n">
        <v>1</v>
      </c>
      <c r="AC1384" t="n">
        <v>1</v>
      </c>
      <c r="AD1384" t="n">
        <v>3</v>
      </c>
      <c r="AE1384" t="n">
        <v>3</v>
      </c>
      <c r="AF1384" t="n">
        <v>0</v>
      </c>
      <c r="AG1384" t="n">
        <v>0</v>
      </c>
      <c r="AH1384" t="n">
        <v>1</v>
      </c>
      <c r="AI1384" t="n">
        <v>1</v>
      </c>
      <c r="AJ1384" t="n">
        <v>2</v>
      </c>
      <c r="AK1384" t="n">
        <v>2</v>
      </c>
      <c r="AL1384" t="n">
        <v>0</v>
      </c>
      <c r="AM1384" t="n">
        <v>0</v>
      </c>
      <c r="AN1384" t="n">
        <v>0</v>
      </c>
      <c r="AO1384" t="n">
        <v>0</v>
      </c>
      <c r="AP1384" t="inlineStr">
        <is>
          <t>No</t>
        </is>
      </c>
      <c r="AQ1384" t="inlineStr">
        <is>
          <t>No</t>
        </is>
      </c>
      <c r="AS1384">
        <f>HYPERLINK("https://creighton-primo.hosted.exlibrisgroup.com/primo-explore/search?tab=default_tab&amp;search_scope=EVERYTHING&amp;vid=01CRU&amp;lang=en_US&amp;offset=0&amp;query=any,contains,991002522719702656","Catalog Record")</f>
        <v/>
      </c>
      <c r="AT1384">
        <f>HYPERLINK("http://www.worldcat.org/oclc/32818835","WorldCat Record")</f>
        <v/>
      </c>
      <c r="AU1384" t="inlineStr">
        <is>
          <t>36680473:eng</t>
        </is>
      </c>
      <c r="AV1384" t="inlineStr">
        <is>
          <t>32818835</t>
        </is>
      </c>
      <c r="AW1384" t="inlineStr">
        <is>
          <t>991002522719702656</t>
        </is>
      </c>
      <c r="AX1384" t="inlineStr">
        <is>
          <t>991002522719702656</t>
        </is>
      </c>
      <c r="AY1384" t="inlineStr">
        <is>
          <t>2262955070002656</t>
        </is>
      </c>
      <c r="AZ1384" t="inlineStr">
        <is>
          <t>BOOK</t>
        </is>
      </c>
      <c r="BB1384" t="inlineStr">
        <is>
          <t>9780809136148</t>
        </is>
      </c>
      <c r="BC1384" t="inlineStr">
        <is>
          <t>32285002149697</t>
        </is>
      </c>
      <c r="BD1384" t="inlineStr">
        <is>
          <t>893409196</t>
        </is>
      </c>
    </row>
    <row r="1385">
      <c r="A1385" t="inlineStr">
        <is>
          <t>No</t>
        </is>
      </c>
      <c r="B1385" t="inlineStr">
        <is>
          <t>BX2347.4 .C38 2004</t>
        </is>
      </c>
      <c r="C1385" t="inlineStr">
        <is>
          <t>0                      BX 2347400C  38          2004</t>
        </is>
      </c>
      <c r="D1385" t="inlineStr">
        <is>
          <t>Catholic evangelization in an ecumenical and interreligious society / Secretariat for Evangelization, United States Conference of Catholic Bishops.</t>
        </is>
      </c>
      <c r="F1385" t="inlineStr">
        <is>
          <t>No</t>
        </is>
      </c>
      <c r="G1385" t="inlineStr">
        <is>
          <t>1</t>
        </is>
      </c>
      <c r="H1385" t="inlineStr">
        <is>
          <t>No</t>
        </is>
      </c>
      <c r="I1385" t="inlineStr">
        <is>
          <t>No</t>
        </is>
      </c>
      <c r="J1385" t="inlineStr">
        <is>
          <t>0</t>
        </is>
      </c>
      <c r="K1385" t="inlineStr">
        <is>
          <t>Catholic Church. United States Conference of Catholic Bishops. Secretariat for Evangelization.</t>
        </is>
      </c>
      <c r="L1385" t="inlineStr">
        <is>
          <t>Washington, D.C. : United States Conference of Catholic Bishops, c2004.</t>
        </is>
      </c>
      <c r="M1385" t="inlineStr">
        <is>
          <t>2004</t>
        </is>
      </c>
      <c r="O1385" t="inlineStr">
        <is>
          <t>eng</t>
        </is>
      </c>
      <c r="P1385" t="inlineStr">
        <is>
          <t>dcu</t>
        </is>
      </c>
      <c r="Q1385" t="inlineStr">
        <is>
          <t>Publication ; no. 5-641</t>
        </is>
      </c>
      <c r="R1385" t="inlineStr">
        <is>
          <t xml:space="preserve">BX </t>
        </is>
      </c>
      <c r="S1385" t="n">
        <v>1</v>
      </c>
      <c r="T1385" t="n">
        <v>1</v>
      </c>
      <c r="U1385" t="inlineStr">
        <is>
          <t>2004-09-22</t>
        </is>
      </c>
      <c r="V1385" t="inlineStr">
        <is>
          <t>2004-09-22</t>
        </is>
      </c>
      <c r="W1385" t="inlineStr">
        <is>
          <t>2004-09-22</t>
        </is>
      </c>
      <c r="X1385" t="inlineStr">
        <is>
          <t>2004-09-22</t>
        </is>
      </c>
      <c r="Y1385" t="n">
        <v>89</v>
      </c>
      <c r="Z1385" t="n">
        <v>82</v>
      </c>
      <c r="AA1385" t="n">
        <v>82</v>
      </c>
      <c r="AB1385" t="n">
        <v>1</v>
      </c>
      <c r="AC1385" t="n">
        <v>1</v>
      </c>
      <c r="AD1385" t="n">
        <v>14</v>
      </c>
      <c r="AE1385" t="n">
        <v>14</v>
      </c>
      <c r="AF1385" t="n">
        <v>3</v>
      </c>
      <c r="AG1385" t="n">
        <v>3</v>
      </c>
      <c r="AH1385" t="n">
        <v>4</v>
      </c>
      <c r="AI1385" t="n">
        <v>4</v>
      </c>
      <c r="AJ1385" t="n">
        <v>11</v>
      </c>
      <c r="AK1385" t="n">
        <v>11</v>
      </c>
      <c r="AL1385" t="n">
        <v>0</v>
      </c>
      <c r="AM1385" t="n">
        <v>0</v>
      </c>
      <c r="AN1385" t="n">
        <v>0</v>
      </c>
      <c r="AO1385" t="n">
        <v>0</v>
      </c>
      <c r="AP1385" t="inlineStr">
        <is>
          <t>No</t>
        </is>
      </c>
      <c r="AQ1385" t="inlineStr">
        <is>
          <t>No</t>
        </is>
      </c>
      <c r="AS1385">
        <f>HYPERLINK("https://creighton-primo.hosted.exlibrisgroup.com/primo-explore/search?tab=default_tab&amp;search_scope=EVERYTHING&amp;vid=01CRU&amp;lang=en_US&amp;offset=0&amp;query=any,contains,991004381319702656","Catalog Record")</f>
        <v/>
      </c>
      <c r="AT1385">
        <f>HYPERLINK("http://www.worldcat.org/oclc/56141082","WorldCat Record")</f>
        <v/>
      </c>
      <c r="AU1385" t="inlineStr">
        <is>
          <t>3859613565:eng</t>
        </is>
      </c>
      <c r="AV1385" t="inlineStr">
        <is>
          <t>56141082</t>
        </is>
      </c>
      <c r="AW1385" t="inlineStr">
        <is>
          <t>991004381319702656</t>
        </is>
      </c>
      <c r="AX1385" t="inlineStr">
        <is>
          <t>991004381319702656</t>
        </is>
      </c>
      <c r="AY1385" t="inlineStr">
        <is>
          <t>2268114870002656</t>
        </is>
      </c>
      <c r="AZ1385" t="inlineStr">
        <is>
          <t>BOOK</t>
        </is>
      </c>
      <c r="BB1385" t="inlineStr">
        <is>
          <t>9781574556414</t>
        </is>
      </c>
      <c r="BC1385" t="inlineStr">
        <is>
          <t>32285004982509</t>
        </is>
      </c>
      <c r="BD1385" t="inlineStr">
        <is>
          <t>893693881</t>
        </is>
      </c>
    </row>
    <row r="1386">
      <c r="A1386" t="inlineStr">
        <is>
          <t>No</t>
        </is>
      </c>
      <c r="B1386" t="inlineStr">
        <is>
          <t>BX2347.4 .E24 2000</t>
        </is>
      </c>
      <c r="C1386" t="inlineStr">
        <is>
          <t>0                      BX 2347400E  24          2000</t>
        </is>
      </c>
      <c r="D1386" t="inlineStr">
        <is>
          <t>The challenge of new evangelization in America : proceedings of CACE Conversations I, Ecclesia in America Evangelization Symposium, April 26, 2000 / Daniel F. Curtin, editor.</t>
        </is>
      </c>
      <c r="F1386" t="inlineStr">
        <is>
          <t>No</t>
        </is>
      </c>
      <c r="G1386" t="inlineStr">
        <is>
          <t>1</t>
        </is>
      </c>
      <c r="H1386" t="inlineStr">
        <is>
          <t>No</t>
        </is>
      </c>
      <c r="I1386" t="inlineStr">
        <is>
          <t>No</t>
        </is>
      </c>
      <c r="J1386" t="inlineStr">
        <is>
          <t>0</t>
        </is>
      </c>
      <c r="K1386" t="inlineStr">
        <is>
          <t>Ecclesia in America Evangelization Symposium (2000 : Baltimore, Md.)</t>
        </is>
      </c>
      <c r="L1386" t="inlineStr">
        <is>
          <t>Washington, DC : National Catholic Educational Association, c2001.</t>
        </is>
      </c>
      <c r="M1386" t="inlineStr">
        <is>
          <t>2001</t>
        </is>
      </c>
      <c r="O1386" t="inlineStr">
        <is>
          <t>eng</t>
        </is>
      </c>
      <c r="P1386" t="inlineStr">
        <is>
          <t>dcu</t>
        </is>
      </c>
      <c r="R1386" t="inlineStr">
        <is>
          <t xml:space="preserve">BX </t>
        </is>
      </c>
      <c r="S1386" t="n">
        <v>1</v>
      </c>
      <c r="T1386" t="n">
        <v>1</v>
      </c>
      <c r="U1386" t="inlineStr">
        <is>
          <t>2003-08-04</t>
        </is>
      </c>
      <c r="V1386" t="inlineStr">
        <is>
          <t>2003-08-04</t>
        </is>
      </c>
      <c r="W1386" t="inlineStr">
        <is>
          <t>2003-08-04</t>
        </is>
      </c>
      <c r="X1386" t="inlineStr">
        <is>
          <t>2003-08-04</t>
        </is>
      </c>
      <c r="Y1386" t="n">
        <v>23</v>
      </c>
      <c r="Z1386" t="n">
        <v>20</v>
      </c>
      <c r="AA1386" t="n">
        <v>20</v>
      </c>
      <c r="AB1386" t="n">
        <v>1</v>
      </c>
      <c r="AC1386" t="n">
        <v>1</v>
      </c>
      <c r="AD1386" t="n">
        <v>6</v>
      </c>
      <c r="AE1386" t="n">
        <v>6</v>
      </c>
      <c r="AF1386" t="n">
        <v>2</v>
      </c>
      <c r="AG1386" t="n">
        <v>2</v>
      </c>
      <c r="AH1386" t="n">
        <v>1</v>
      </c>
      <c r="AI1386" t="n">
        <v>1</v>
      </c>
      <c r="AJ1386" t="n">
        <v>4</v>
      </c>
      <c r="AK1386" t="n">
        <v>4</v>
      </c>
      <c r="AL1386" t="n">
        <v>0</v>
      </c>
      <c r="AM1386" t="n">
        <v>0</v>
      </c>
      <c r="AN1386" t="n">
        <v>0</v>
      </c>
      <c r="AO1386" t="n">
        <v>0</v>
      </c>
      <c r="AP1386" t="inlineStr">
        <is>
          <t>No</t>
        </is>
      </c>
      <c r="AQ1386" t="inlineStr">
        <is>
          <t>No</t>
        </is>
      </c>
      <c r="AS1386">
        <f>HYPERLINK("https://creighton-primo.hosted.exlibrisgroup.com/primo-explore/search?tab=default_tab&amp;search_scope=EVERYTHING&amp;vid=01CRU&amp;lang=en_US&amp;offset=0&amp;query=any,contains,991004097459702656","Catalog Record")</f>
        <v/>
      </c>
      <c r="AT1386">
        <f>HYPERLINK("http://www.worldcat.org/oclc/51327821","WorldCat Record")</f>
        <v/>
      </c>
      <c r="AU1386" t="inlineStr">
        <is>
          <t>8009743:eng</t>
        </is>
      </c>
      <c r="AV1386" t="inlineStr">
        <is>
          <t>51327821</t>
        </is>
      </c>
      <c r="AW1386" t="inlineStr">
        <is>
          <t>991004097459702656</t>
        </is>
      </c>
      <c r="AX1386" t="inlineStr">
        <is>
          <t>991004097459702656</t>
        </is>
      </c>
      <c r="AY1386" t="inlineStr">
        <is>
          <t>2256486010002656</t>
        </is>
      </c>
      <c r="AZ1386" t="inlineStr">
        <is>
          <t>BOOK</t>
        </is>
      </c>
      <c r="BB1386" t="inlineStr">
        <is>
          <t>9781558332676</t>
        </is>
      </c>
      <c r="BC1386" t="inlineStr">
        <is>
          <t>32285004457569</t>
        </is>
      </c>
      <c r="BD1386" t="inlineStr">
        <is>
          <t>893875670</t>
        </is>
      </c>
    </row>
    <row r="1387">
      <c r="A1387" t="inlineStr">
        <is>
          <t>No</t>
        </is>
      </c>
      <c r="B1387" t="inlineStr">
        <is>
          <t>BX2347.4 .G6 1993</t>
        </is>
      </c>
      <c r="C1387" t="inlineStr">
        <is>
          <t>0                      BX 2347400G  6           1993</t>
        </is>
      </c>
      <c r="D1387" t="inlineStr">
        <is>
          <t>Go and make disciples : a national plan and strategy for Catholic evangelization in the United States / [prepared by the Committee on Evangelization, National Conference of Catholic Bishops].</t>
        </is>
      </c>
      <c r="F1387" t="inlineStr">
        <is>
          <t>No</t>
        </is>
      </c>
      <c r="G1387" t="inlineStr">
        <is>
          <t>1</t>
        </is>
      </c>
      <c r="H1387" t="inlineStr">
        <is>
          <t>No</t>
        </is>
      </c>
      <c r="I1387" t="inlineStr">
        <is>
          <t>Yes</t>
        </is>
      </c>
      <c r="J1387" t="inlineStr">
        <is>
          <t>0</t>
        </is>
      </c>
      <c r="L1387" t="inlineStr">
        <is>
          <t>Washington, D.C. : United States Catholic Conference, c1993.</t>
        </is>
      </c>
      <c r="M1387" t="inlineStr">
        <is>
          <t>1993</t>
        </is>
      </c>
      <c r="O1387" t="inlineStr">
        <is>
          <t>eng</t>
        </is>
      </c>
      <c r="P1387" t="inlineStr">
        <is>
          <t>dcu</t>
        </is>
      </c>
      <c r="Q1387" t="inlineStr">
        <is>
          <t>Publication / Office for Publishing and Promotion Services, United States Catholic Conference ; no. 556-9</t>
        </is>
      </c>
      <c r="R1387" t="inlineStr">
        <is>
          <t xml:space="preserve">BX </t>
        </is>
      </c>
      <c r="S1387" t="n">
        <v>3</v>
      </c>
      <c r="T1387" t="n">
        <v>3</v>
      </c>
      <c r="U1387" t="inlineStr">
        <is>
          <t>2002-06-05</t>
        </is>
      </c>
      <c r="V1387" t="inlineStr">
        <is>
          <t>2002-06-05</t>
        </is>
      </c>
      <c r="W1387" t="inlineStr">
        <is>
          <t>1993-05-27</t>
        </is>
      </c>
      <c r="X1387" t="inlineStr">
        <is>
          <t>1993-05-27</t>
        </is>
      </c>
      <c r="Y1387" t="n">
        <v>71</v>
      </c>
      <c r="Z1387" t="n">
        <v>69</v>
      </c>
      <c r="AA1387" t="n">
        <v>127</v>
      </c>
      <c r="AB1387" t="n">
        <v>2</v>
      </c>
      <c r="AC1387" t="n">
        <v>2</v>
      </c>
      <c r="AD1387" t="n">
        <v>6</v>
      </c>
      <c r="AE1387" t="n">
        <v>16</v>
      </c>
      <c r="AF1387" t="n">
        <v>0</v>
      </c>
      <c r="AG1387" t="n">
        <v>5</v>
      </c>
      <c r="AH1387" t="n">
        <v>3</v>
      </c>
      <c r="AI1387" t="n">
        <v>5</v>
      </c>
      <c r="AJ1387" t="n">
        <v>4</v>
      </c>
      <c r="AK1387" t="n">
        <v>10</v>
      </c>
      <c r="AL1387" t="n">
        <v>0</v>
      </c>
      <c r="AM1387" t="n">
        <v>0</v>
      </c>
      <c r="AN1387" t="n">
        <v>0</v>
      </c>
      <c r="AO1387" t="n">
        <v>0</v>
      </c>
      <c r="AP1387" t="inlineStr">
        <is>
          <t>No</t>
        </is>
      </c>
      <c r="AQ1387" t="inlineStr">
        <is>
          <t>No</t>
        </is>
      </c>
      <c r="AS1387">
        <f>HYPERLINK("https://creighton-primo.hosted.exlibrisgroup.com/primo-explore/search?tab=default_tab&amp;search_scope=EVERYTHING&amp;vid=01CRU&amp;lang=en_US&amp;offset=0&amp;query=any,contains,991002178989702656","Catalog Record")</f>
        <v/>
      </c>
      <c r="AT1387">
        <f>HYPERLINK("http://www.worldcat.org/oclc/28055620","WorldCat Record")</f>
        <v/>
      </c>
      <c r="AU1387" t="inlineStr">
        <is>
          <t>30135023:eng</t>
        </is>
      </c>
      <c r="AV1387" t="inlineStr">
        <is>
          <t>28055620</t>
        </is>
      </c>
      <c r="AW1387" t="inlineStr">
        <is>
          <t>991002178989702656</t>
        </is>
      </c>
      <c r="AX1387" t="inlineStr">
        <is>
          <t>991002178989702656</t>
        </is>
      </c>
      <c r="AY1387" t="inlineStr">
        <is>
          <t>2270585580002656</t>
        </is>
      </c>
      <c r="AZ1387" t="inlineStr">
        <is>
          <t>BOOK</t>
        </is>
      </c>
      <c r="BB1387" t="inlineStr">
        <is>
          <t>9781555865566</t>
        </is>
      </c>
      <c r="BC1387" t="inlineStr">
        <is>
          <t>32285001683183</t>
        </is>
      </c>
      <c r="BD1387" t="inlineStr">
        <is>
          <t>893603281</t>
        </is>
      </c>
    </row>
    <row r="1388">
      <c r="A1388" t="inlineStr">
        <is>
          <t>No</t>
        </is>
      </c>
      <c r="B1388" t="inlineStr">
        <is>
          <t>BX2347.4 .G6 2002</t>
        </is>
      </c>
      <c r="C1388" t="inlineStr">
        <is>
          <t>0                      BX 2347400G  6           2002</t>
        </is>
      </c>
      <c r="D1388" t="inlineStr">
        <is>
          <t>Go and make disciples : a national plan and strategy for Catholic evangelization in the United States = Vayan y hagan discípulos : plan y estrategia nacional para la evangelización católica en los Estados Unidos / [developed by the Committee on Evangelization of the National Conference of Catholic Bishops].</t>
        </is>
      </c>
      <c r="F1388" t="inlineStr">
        <is>
          <t>No</t>
        </is>
      </c>
      <c r="G1388" t="inlineStr">
        <is>
          <t>1</t>
        </is>
      </c>
      <c r="H1388" t="inlineStr">
        <is>
          <t>No</t>
        </is>
      </c>
      <c r="I1388" t="inlineStr">
        <is>
          <t>Yes</t>
        </is>
      </c>
      <c r="J1388" t="inlineStr">
        <is>
          <t>0</t>
        </is>
      </c>
      <c r="K1388" t="inlineStr">
        <is>
          <t>Catholic Church. National Conference of Catholic Bishops. Committee on Evangelization.</t>
        </is>
      </c>
      <c r="L1388" t="inlineStr">
        <is>
          <t>Washington, D.C. : United States Conference of Catholic Bishops, c2002.</t>
        </is>
      </c>
      <c r="M1388" t="inlineStr">
        <is>
          <t>2002</t>
        </is>
      </c>
      <c r="N1388" t="inlineStr">
        <is>
          <t>10th anniversary English &amp; Spanish ed.</t>
        </is>
      </c>
      <c r="O1388" t="inlineStr">
        <is>
          <t>eng</t>
        </is>
      </c>
      <c r="P1388" t="inlineStr">
        <is>
          <t>dcu</t>
        </is>
      </c>
      <c r="Q1388" t="inlineStr">
        <is>
          <t>Publication / USCCB Publishing ; no. 5-475</t>
        </is>
      </c>
      <c r="R1388" t="inlineStr">
        <is>
          <t xml:space="preserve">BX </t>
        </is>
      </c>
      <c r="S1388" t="n">
        <v>2</v>
      </c>
      <c r="T1388" t="n">
        <v>2</v>
      </c>
      <c r="U1388" t="inlineStr">
        <is>
          <t>2003-06-12</t>
        </is>
      </c>
      <c r="V1388" t="inlineStr">
        <is>
          <t>2003-06-12</t>
        </is>
      </c>
      <c r="W1388" t="inlineStr">
        <is>
          <t>2002-09-11</t>
        </is>
      </c>
      <c r="X1388" t="inlineStr">
        <is>
          <t>2002-09-11</t>
        </is>
      </c>
      <c r="Y1388" t="n">
        <v>104</v>
      </c>
      <c r="Z1388" t="n">
        <v>102</v>
      </c>
      <c r="AA1388" t="n">
        <v>127</v>
      </c>
      <c r="AB1388" t="n">
        <v>1</v>
      </c>
      <c r="AC1388" t="n">
        <v>2</v>
      </c>
      <c r="AD1388" t="n">
        <v>16</v>
      </c>
      <c r="AE1388" t="n">
        <v>16</v>
      </c>
      <c r="AF1388" t="n">
        <v>5</v>
      </c>
      <c r="AG1388" t="n">
        <v>5</v>
      </c>
      <c r="AH1388" t="n">
        <v>5</v>
      </c>
      <c r="AI1388" t="n">
        <v>5</v>
      </c>
      <c r="AJ1388" t="n">
        <v>10</v>
      </c>
      <c r="AK1388" t="n">
        <v>10</v>
      </c>
      <c r="AL1388" t="n">
        <v>0</v>
      </c>
      <c r="AM1388" t="n">
        <v>0</v>
      </c>
      <c r="AN1388" t="n">
        <v>0</v>
      </c>
      <c r="AO1388" t="n">
        <v>0</v>
      </c>
      <c r="AP1388" t="inlineStr">
        <is>
          <t>No</t>
        </is>
      </c>
      <c r="AQ1388" t="inlineStr">
        <is>
          <t>No</t>
        </is>
      </c>
      <c r="AS1388">
        <f>HYPERLINK("https://creighton-primo.hosted.exlibrisgroup.com/primo-explore/search?tab=default_tab&amp;search_scope=EVERYTHING&amp;vid=01CRU&amp;lang=en_US&amp;offset=0&amp;query=any,contains,991003885749702656","Catalog Record")</f>
        <v/>
      </c>
      <c r="AT1388">
        <f>HYPERLINK("http://www.worldcat.org/oclc/50559188","WorldCat Record")</f>
        <v/>
      </c>
      <c r="AU1388" t="inlineStr">
        <is>
          <t>30135023:eng</t>
        </is>
      </c>
      <c r="AV1388" t="inlineStr">
        <is>
          <t>50559188</t>
        </is>
      </c>
      <c r="AW1388" t="inlineStr">
        <is>
          <t>991003885749702656</t>
        </is>
      </c>
      <c r="AX1388" t="inlineStr">
        <is>
          <t>991003885749702656</t>
        </is>
      </c>
      <c r="AY1388" t="inlineStr">
        <is>
          <t>2257753820002656</t>
        </is>
      </c>
      <c r="AZ1388" t="inlineStr">
        <is>
          <t>BOOK</t>
        </is>
      </c>
      <c r="BB1388" t="inlineStr">
        <is>
          <t>9781574554755</t>
        </is>
      </c>
      <c r="BC1388" t="inlineStr">
        <is>
          <t>32285004647144</t>
        </is>
      </c>
      <c r="BD1388" t="inlineStr">
        <is>
          <t>893868993</t>
        </is>
      </c>
    </row>
    <row r="1389">
      <c r="A1389" t="inlineStr">
        <is>
          <t>No</t>
        </is>
      </c>
      <c r="B1389" t="inlineStr">
        <is>
          <t>BX2347.4 .L4 1983</t>
        </is>
      </c>
      <c r="C1389" t="inlineStr">
        <is>
          <t>0                      BX 2347400L  4           1983</t>
        </is>
      </c>
      <c r="D1389" t="inlineStr">
        <is>
          <t>Welcoming the new Catholic / Ron Lewinski.</t>
        </is>
      </c>
      <c r="F1389" t="inlineStr">
        <is>
          <t>No</t>
        </is>
      </c>
      <c r="G1389" t="inlineStr">
        <is>
          <t>1</t>
        </is>
      </c>
      <c r="H1389" t="inlineStr">
        <is>
          <t>No</t>
        </is>
      </c>
      <c r="I1389" t="inlineStr">
        <is>
          <t>No</t>
        </is>
      </c>
      <c r="J1389" t="inlineStr">
        <is>
          <t>0</t>
        </is>
      </c>
      <c r="K1389" t="inlineStr">
        <is>
          <t>Lewinski, Ron.</t>
        </is>
      </c>
      <c r="L1389" t="inlineStr">
        <is>
          <t>Chicago : Liturgy Training Publications, Archdiocese of Chicago, 1983, c1978.</t>
        </is>
      </c>
      <c r="M1389" t="inlineStr">
        <is>
          <t>1983</t>
        </is>
      </c>
      <c r="N1389" t="inlineStr">
        <is>
          <t>Rev. ed.</t>
        </is>
      </c>
      <c r="O1389" t="inlineStr">
        <is>
          <t>eng</t>
        </is>
      </c>
      <c r="P1389" t="inlineStr">
        <is>
          <t>ilu</t>
        </is>
      </c>
      <c r="R1389" t="inlineStr">
        <is>
          <t xml:space="preserve">BX </t>
        </is>
      </c>
      <c r="S1389" t="n">
        <v>1</v>
      </c>
      <c r="T1389" t="n">
        <v>1</v>
      </c>
      <c r="U1389" t="inlineStr">
        <is>
          <t>2005-04-13</t>
        </is>
      </c>
      <c r="V1389" t="inlineStr">
        <is>
          <t>2005-04-13</t>
        </is>
      </c>
      <c r="W1389" t="inlineStr">
        <is>
          <t>2005-04-13</t>
        </is>
      </c>
      <c r="X1389" t="inlineStr">
        <is>
          <t>2005-04-13</t>
        </is>
      </c>
      <c r="Y1389" t="n">
        <v>40</v>
      </c>
      <c r="Z1389" t="n">
        <v>30</v>
      </c>
      <c r="AA1389" t="n">
        <v>65</v>
      </c>
      <c r="AB1389" t="n">
        <v>1</v>
      </c>
      <c r="AC1389" t="n">
        <v>1</v>
      </c>
      <c r="AD1389" t="n">
        <v>3</v>
      </c>
      <c r="AE1389" t="n">
        <v>8</v>
      </c>
      <c r="AF1389" t="n">
        <v>0</v>
      </c>
      <c r="AG1389" t="n">
        <v>1</v>
      </c>
      <c r="AH1389" t="n">
        <v>1</v>
      </c>
      <c r="AI1389" t="n">
        <v>2</v>
      </c>
      <c r="AJ1389" t="n">
        <v>2</v>
      </c>
      <c r="AK1389" t="n">
        <v>6</v>
      </c>
      <c r="AL1389" t="n">
        <v>0</v>
      </c>
      <c r="AM1389" t="n">
        <v>0</v>
      </c>
      <c r="AN1389" t="n">
        <v>0</v>
      </c>
      <c r="AO1389" t="n">
        <v>0</v>
      </c>
      <c r="AP1389" t="inlineStr">
        <is>
          <t>No</t>
        </is>
      </c>
      <c r="AQ1389" t="inlineStr">
        <is>
          <t>No</t>
        </is>
      </c>
      <c r="AS1389">
        <f>HYPERLINK("https://creighton-primo.hosted.exlibrisgroup.com/primo-explore/search?tab=default_tab&amp;search_scope=EVERYTHING&amp;vid=01CRU&amp;lang=en_US&amp;offset=0&amp;query=any,contains,991004529849702656","Catalog Record")</f>
        <v/>
      </c>
      <c r="AT1389">
        <f>HYPERLINK("http://www.worldcat.org/oclc/10795610","WorldCat Record")</f>
        <v/>
      </c>
      <c r="AU1389" t="inlineStr">
        <is>
          <t>3763321:eng</t>
        </is>
      </c>
      <c r="AV1389" t="inlineStr">
        <is>
          <t>10795610</t>
        </is>
      </c>
      <c r="AW1389" t="inlineStr">
        <is>
          <t>991004529849702656</t>
        </is>
      </c>
      <c r="AX1389" t="inlineStr">
        <is>
          <t>991004529849702656</t>
        </is>
      </c>
      <c r="AY1389" t="inlineStr">
        <is>
          <t>2254971510002656</t>
        </is>
      </c>
      <c r="AZ1389" t="inlineStr">
        <is>
          <t>BOOK</t>
        </is>
      </c>
      <c r="BC1389" t="inlineStr">
        <is>
          <t>32285005030654</t>
        </is>
      </c>
      <c r="BD1389" t="inlineStr">
        <is>
          <t>893712727</t>
        </is>
      </c>
    </row>
    <row r="1390">
      <c r="A1390" t="inlineStr">
        <is>
          <t>No</t>
        </is>
      </c>
      <c r="B1390" t="inlineStr">
        <is>
          <t>BX2347.4 .M56 2004</t>
        </is>
      </c>
      <c r="C1390" t="inlineStr">
        <is>
          <t>0                      BX 2347400M  56          2004</t>
        </is>
      </c>
      <c r="D1390" t="inlineStr">
        <is>
          <t>Ministry through the lens of evangelization : major presentations from the North American Institute for Catholic Evangelization / Secretariat for Evangelization; United States Conference of Catholic Bishops.</t>
        </is>
      </c>
      <c r="F1390" t="inlineStr">
        <is>
          <t>No</t>
        </is>
      </c>
      <c r="G1390" t="inlineStr">
        <is>
          <t>1</t>
        </is>
      </c>
      <c r="H1390" t="inlineStr">
        <is>
          <t>No</t>
        </is>
      </c>
      <c r="I1390" t="inlineStr">
        <is>
          <t>No</t>
        </is>
      </c>
      <c r="J1390" t="inlineStr">
        <is>
          <t>0</t>
        </is>
      </c>
      <c r="K1390" t="inlineStr">
        <is>
          <t>Catholic Church. United States Conference of Catholic Bishops.</t>
        </is>
      </c>
      <c r="L1390" t="inlineStr">
        <is>
          <t>Washington, D.C. : United States Conference of Catholic Bishops, c2004.</t>
        </is>
      </c>
      <c r="M1390" t="inlineStr">
        <is>
          <t>2004</t>
        </is>
      </c>
      <c r="O1390" t="inlineStr">
        <is>
          <t>eng</t>
        </is>
      </c>
      <c r="P1390" t="inlineStr">
        <is>
          <t>dcu</t>
        </is>
      </c>
      <c r="R1390" t="inlineStr">
        <is>
          <t xml:space="preserve">BX </t>
        </is>
      </c>
      <c r="S1390" t="n">
        <v>1</v>
      </c>
      <c r="T1390" t="n">
        <v>1</v>
      </c>
      <c r="U1390" t="inlineStr">
        <is>
          <t>2004-06-10</t>
        </is>
      </c>
      <c r="V1390" t="inlineStr">
        <is>
          <t>2004-06-10</t>
        </is>
      </c>
      <c r="W1390" t="inlineStr">
        <is>
          <t>2004-06-10</t>
        </is>
      </c>
      <c r="X1390" t="inlineStr">
        <is>
          <t>2004-06-10</t>
        </is>
      </c>
      <c r="Y1390" t="n">
        <v>98</v>
      </c>
      <c r="Z1390" t="n">
        <v>91</v>
      </c>
      <c r="AA1390" t="n">
        <v>96</v>
      </c>
      <c r="AB1390" t="n">
        <v>1</v>
      </c>
      <c r="AC1390" t="n">
        <v>1</v>
      </c>
      <c r="AD1390" t="n">
        <v>12</v>
      </c>
      <c r="AE1390" t="n">
        <v>12</v>
      </c>
      <c r="AF1390" t="n">
        <v>2</v>
      </c>
      <c r="AG1390" t="n">
        <v>2</v>
      </c>
      <c r="AH1390" t="n">
        <v>4</v>
      </c>
      <c r="AI1390" t="n">
        <v>4</v>
      </c>
      <c r="AJ1390" t="n">
        <v>10</v>
      </c>
      <c r="AK1390" t="n">
        <v>10</v>
      </c>
      <c r="AL1390" t="n">
        <v>0</v>
      </c>
      <c r="AM1390" t="n">
        <v>0</v>
      </c>
      <c r="AN1390" t="n">
        <v>0</v>
      </c>
      <c r="AO1390" t="n">
        <v>0</v>
      </c>
      <c r="AP1390" t="inlineStr">
        <is>
          <t>No</t>
        </is>
      </c>
      <c r="AQ1390" t="inlineStr">
        <is>
          <t>No</t>
        </is>
      </c>
      <c r="AS1390">
        <f>HYPERLINK("https://creighton-primo.hosted.exlibrisgroup.com/primo-explore/search?tab=default_tab&amp;search_scope=EVERYTHING&amp;vid=01CRU&amp;lang=en_US&amp;offset=0&amp;query=any,contains,991004311019702656","Catalog Record")</f>
        <v/>
      </c>
      <c r="AT1390">
        <f>HYPERLINK("http://www.worldcat.org/oclc/55110509","WorldCat Record")</f>
        <v/>
      </c>
      <c r="AU1390" t="inlineStr">
        <is>
          <t>504204251:eng</t>
        </is>
      </c>
      <c r="AV1390" t="inlineStr">
        <is>
          <t>55110509</t>
        </is>
      </c>
      <c r="AW1390" t="inlineStr">
        <is>
          <t>991004311019702656</t>
        </is>
      </c>
      <c r="AX1390" t="inlineStr">
        <is>
          <t>991004311019702656</t>
        </is>
      </c>
      <c r="AY1390" t="inlineStr">
        <is>
          <t>2261780980002656</t>
        </is>
      </c>
      <c r="AZ1390" t="inlineStr">
        <is>
          <t>BOOK</t>
        </is>
      </c>
      <c r="BB1390" t="inlineStr">
        <is>
          <t>9781574556094</t>
        </is>
      </c>
      <c r="BC1390" t="inlineStr">
        <is>
          <t>32285004909197</t>
        </is>
      </c>
      <c r="BD1390" t="inlineStr">
        <is>
          <t>893718755</t>
        </is>
      </c>
    </row>
    <row r="1391">
      <c r="A1391" t="inlineStr">
        <is>
          <t>No</t>
        </is>
      </c>
      <c r="B1391" t="inlineStr">
        <is>
          <t>BX2347.4 .R35 2003</t>
        </is>
      </c>
      <c r="C1391" t="inlineStr">
        <is>
          <t>0                      BX 2347400R  35          2003</t>
        </is>
      </c>
      <c r="D1391" t="inlineStr">
        <is>
          <t>Toward an evangelizing church / Jane E. Regan.</t>
        </is>
      </c>
      <c r="F1391" t="inlineStr">
        <is>
          <t>No</t>
        </is>
      </c>
      <c r="G1391" t="inlineStr">
        <is>
          <t>1</t>
        </is>
      </c>
      <c r="H1391" t="inlineStr">
        <is>
          <t>No</t>
        </is>
      </c>
      <c r="I1391" t="inlineStr">
        <is>
          <t>No</t>
        </is>
      </c>
      <c r="J1391" t="inlineStr">
        <is>
          <t>0</t>
        </is>
      </c>
      <c r="K1391" t="inlineStr">
        <is>
          <t>Regan, Jane E.</t>
        </is>
      </c>
      <c r="L1391" t="inlineStr">
        <is>
          <t>Washington, D.C. : Dept. of Chief Administrators of Catholic Education, National Catholic Educational Association, c2003.</t>
        </is>
      </c>
      <c r="M1391" t="inlineStr">
        <is>
          <t>2003</t>
        </is>
      </c>
      <c r="O1391" t="inlineStr">
        <is>
          <t>eng</t>
        </is>
      </c>
      <c r="P1391" t="inlineStr">
        <is>
          <t>dcu</t>
        </is>
      </c>
      <c r="R1391" t="inlineStr">
        <is>
          <t xml:space="preserve">BX </t>
        </is>
      </c>
      <c r="S1391" t="n">
        <v>2</v>
      </c>
      <c r="T1391" t="n">
        <v>2</v>
      </c>
      <c r="U1391" t="inlineStr">
        <is>
          <t>2004-02-26</t>
        </is>
      </c>
      <c r="V1391" t="inlineStr">
        <is>
          <t>2004-02-26</t>
        </is>
      </c>
      <c r="W1391" t="inlineStr">
        <is>
          <t>2004-02-26</t>
        </is>
      </c>
      <c r="X1391" t="inlineStr">
        <is>
          <t>2004-02-26</t>
        </is>
      </c>
      <c r="Y1391" t="n">
        <v>17</v>
      </c>
      <c r="Z1391" t="n">
        <v>17</v>
      </c>
      <c r="AA1391" t="n">
        <v>18</v>
      </c>
      <c r="AB1391" t="n">
        <v>1</v>
      </c>
      <c r="AC1391" t="n">
        <v>1</v>
      </c>
      <c r="AD1391" t="n">
        <v>5</v>
      </c>
      <c r="AE1391" t="n">
        <v>5</v>
      </c>
      <c r="AF1391" t="n">
        <v>2</v>
      </c>
      <c r="AG1391" t="n">
        <v>2</v>
      </c>
      <c r="AH1391" t="n">
        <v>1</v>
      </c>
      <c r="AI1391" t="n">
        <v>1</v>
      </c>
      <c r="AJ1391" t="n">
        <v>3</v>
      </c>
      <c r="AK1391" t="n">
        <v>3</v>
      </c>
      <c r="AL1391" t="n">
        <v>0</v>
      </c>
      <c r="AM1391" t="n">
        <v>0</v>
      </c>
      <c r="AN1391" t="n">
        <v>0</v>
      </c>
      <c r="AO1391" t="n">
        <v>0</v>
      </c>
      <c r="AP1391" t="inlineStr">
        <is>
          <t>No</t>
        </is>
      </c>
      <c r="AQ1391" t="inlineStr">
        <is>
          <t>No</t>
        </is>
      </c>
      <c r="AS1391">
        <f>HYPERLINK("https://creighton-primo.hosted.exlibrisgroup.com/primo-explore/search?tab=default_tab&amp;search_scope=EVERYTHING&amp;vid=01CRU&amp;lang=en_US&amp;offset=0&amp;query=any,contains,991004224439702656","Catalog Record")</f>
        <v/>
      </c>
      <c r="AT1391">
        <f>HYPERLINK("http://www.worldcat.org/oclc/54443491","WorldCat Record")</f>
        <v/>
      </c>
      <c r="AU1391" t="inlineStr">
        <is>
          <t>13625397:eng</t>
        </is>
      </c>
      <c r="AV1391" t="inlineStr">
        <is>
          <t>54443491</t>
        </is>
      </c>
      <c r="AW1391" t="inlineStr">
        <is>
          <t>991004224439702656</t>
        </is>
      </c>
      <c r="AX1391" t="inlineStr">
        <is>
          <t>991004224439702656</t>
        </is>
      </c>
      <c r="AY1391" t="inlineStr">
        <is>
          <t>2256889370002656</t>
        </is>
      </c>
      <c r="AZ1391" t="inlineStr">
        <is>
          <t>BOOK</t>
        </is>
      </c>
      <c r="BB1391" t="inlineStr">
        <is>
          <t>9781558333215</t>
        </is>
      </c>
      <c r="BC1391" t="inlineStr">
        <is>
          <t>32285004890884</t>
        </is>
      </c>
      <c r="BD1391" t="inlineStr">
        <is>
          <t>893593432</t>
        </is>
      </c>
    </row>
    <row r="1392">
      <c r="A1392" t="inlineStr">
        <is>
          <t>No</t>
        </is>
      </c>
      <c r="B1392" t="inlineStr">
        <is>
          <t>BX2347.4 .U66 1999</t>
        </is>
      </c>
      <c r="C1392" t="inlineStr">
        <is>
          <t>0                      BX 2347400U  66          1999</t>
        </is>
      </c>
      <c r="D1392" t="inlineStr">
        <is>
          <t>Thy Kingdom come : a manual for evangelization staff.</t>
        </is>
      </c>
      <c r="F1392" t="inlineStr">
        <is>
          <t>No</t>
        </is>
      </c>
      <c r="G1392" t="inlineStr">
        <is>
          <t>1</t>
        </is>
      </c>
      <c r="H1392" t="inlineStr">
        <is>
          <t>No</t>
        </is>
      </c>
      <c r="I1392" t="inlineStr">
        <is>
          <t>No</t>
        </is>
      </c>
      <c r="J1392" t="inlineStr">
        <is>
          <t>0</t>
        </is>
      </c>
      <c r="K1392" t="inlineStr">
        <is>
          <t>United States Catholic Conference.</t>
        </is>
      </c>
      <c r="L1392" t="inlineStr">
        <is>
          <t>Washington, D.C. : United States Catholic Conference, 1999.</t>
        </is>
      </c>
      <c r="M1392" t="inlineStr">
        <is>
          <t>1999</t>
        </is>
      </c>
      <c r="N1392" t="inlineStr">
        <is>
          <t>Rev. ed.</t>
        </is>
      </c>
      <c r="O1392" t="inlineStr">
        <is>
          <t>eng</t>
        </is>
      </c>
      <c r="P1392" t="inlineStr">
        <is>
          <t>dcu</t>
        </is>
      </c>
      <c r="R1392" t="inlineStr">
        <is>
          <t xml:space="preserve">BX </t>
        </is>
      </c>
      <c r="S1392" t="n">
        <v>3</v>
      </c>
      <c r="T1392" t="n">
        <v>3</v>
      </c>
      <c r="U1392" t="inlineStr">
        <is>
          <t>2003-06-12</t>
        </is>
      </c>
      <c r="V1392" t="inlineStr">
        <is>
          <t>2003-06-12</t>
        </is>
      </c>
      <c r="W1392" t="inlineStr">
        <is>
          <t>1999-03-02</t>
        </is>
      </c>
      <c r="X1392" t="inlineStr">
        <is>
          <t>1999-03-02</t>
        </is>
      </c>
      <c r="Y1392" t="n">
        <v>59</v>
      </c>
      <c r="Z1392" t="n">
        <v>58</v>
      </c>
      <c r="AA1392" t="n">
        <v>58</v>
      </c>
      <c r="AB1392" t="n">
        <v>1</v>
      </c>
      <c r="AC1392" t="n">
        <v>1</v>
      </c>
      <c r="AD1392" t="n">
        <v>6</v>
      </c>
      <c r="AE1392" t="n">
        <v>6</v>
      </c>
      <c r="AF1392" t="n">
        <v>0</v>
      </c>
      <c r="AG1392" t="n">
        <v>0</v>
      </c>
      <c r="AH1392" t="n">
        <v>2</v>
      </c>
      <c r="AI1392" t="n">
        <v>2</v>
      </c>
      <c r="AJ1392" t="n">
        <v>5</v>
      </c>
      <c r="AK1392" t="n">
        <v>5</v>
      </c>
      <c r="AL1392" t="n">
        <v>0</v>
      </c>
      <c r="AM1392" t="n">
        <v>0</v>
      </c>
      <c r="AN1392" t="n">
        <v>0</v>
      </c>
      <c r="AO1392" t="n">
        <v>0</v>
      </c>
      <c r="AP1392" t="inlineStr">
        <is>
          <t>No</t>
        </is>
      </c>
      <c r="AQ1392" t="inlineStr">
        <is>
          <t>No</t>
        </is>
      </c>
      <c r="AS1392">
        <f>HYPERLINK("https://creighton-primo.hosted.exlibrisgroup.com/primo-explore/search?tab=default_tab&amp;search_scope=EVERYTHING&amp;vid=01CRU&amp;lang=en_US&amp;offset=0&amp;query=any,contains,991003011189702656","Catalog Record")</f>
        <v/>
      </c>
      <c r="AT1392">
        <f>HYPERLINK("http://www.worldcat.org/oclc/41360576","WorldCat Record")</f>
        <v/>
      </c>
      <c r="AU1392" t="inlineStr">
        <is>
          <t>26691379:eng</t>
        </is>
      </c>
      <c r="AV1392" t="inlineStr">
        <is>
          <t>41360576</t>
        </is>
      </c>
      <c r="AW1392" t="inlineStr">
        <is>
          <t>991003011189702656</t>
        </is>
      </c>
      <c r="AX1392" t="inlineStr">
        <is>
          <t>991003011189702656</t>
        </is>
      </c>
      <c r="AY1392" t="inlineStr">
        <is>
          <t>2262940370002656</t>
        </is>
      </c>
      <c r="AZ1392" t="inlineStr">
        <is>
          <t>BOOK</t>
        </is>
      </c>
      <c r="BB1392" t="inlineStr">
        <is>
          <t>9781574553048</t>
        </is>
      </c>
      <c r="BC1392" t="inlineStr">
        <is>
          <t>32285003528360</t>
        </is>
      </c>
      <c r="BD1392" t="inlineStr">
        <is>
          <t>893498848</t>
        </is>
      </c>
    </row>
    <row r="1393">
      <c r="A1393" t="inlineStr">
        <is>
          <t>No</t>
        </is>
      </c>
      <c r="B1393" t="inlineStr">
        <is>
          <t>BX2347.7 .C68 1992</t>
        </is>
      </c>
      <c r="C1393" t="inlineStr">
        <is>
          <t>0                      BX 2347700C  68          1992</t>
        </is>
      </c>
      <c r="D1393" t="inlineStr">
        <is>
          <t>Covenant community and church : a statement on Catholic covenant community and a selection of documents / edited by Stephen B. Clark.</t>
        </is>
      </c>
      <c r="F1393" t="inlineStr">
        <is>
          <t>No</t>
        </is>
      </c>
      <c r="G1393" t="inlineStr">
        <is>
          <t>1</t>
        </is>
      </c>
      <c r="H1393" t="inlineStr">
        <is>
          <t>No</t>
        </is>
      </c>
      <c r="I1393" t="inlineStr">
        <is>
          <t>No</t>
        </is>
      </c>
      <c r="J1393" t="inlineStr">
        <is>
          <t>0</t>
        </is>
      </c>
      <c r="L1393" t="inlineStr">
        <is>
          <t>Ann Arbor, Michigan : Servant Publications, 1992.</t>
        </is>
      </c>
      <c r="M1393" t="inlineStr">
        <is>
          <t>1992</t>
        </is>
      </c>
      <c r="O1393" t="inlineStr">
        <is>
          <t>eng</t>
        </is>
      </c>
      <c r="P1393" t="inlineStr">
        <is>
          <t>miu</t>
        </is>
      </c>
      <c r="R1393" t="inlineStr">
        <is>
          <t xml:space="preserve">BX </t>
        </is>
      </c>
      <c r="S1393" t="n">
        <v>3</v>
      </c>
      <c r="T1393" t="n">
        <v>3</v>
      </c>
      <c r="U1393" t="inlineStr">
        <is>
          <t>2000-07-13</t>
        </is>
      </c>
      <c r="V1393" t="inlineStr">
        <is>
          <t>2000-07-13</t>
        </is>
      </c>
      <c r="W1393" t="inlineStr">
        <is>
          <t>1994-01-05</t>
        </is>
      </c>
      <c r="X1393" t="inlineStr">
        <is>
          <t>1994-01-05</t>
        </is>
      </c>
      <c r="Y1393" t="n">
        <v>15</v>
      </c>
      <c r="Z1393" t="n">
        <v>15</v>
      </c>
      <c r="AA1393" t="n">
        <v>15</v>
      </c>
      <c r="AB1393" t="n">
        <v>1</v>
      </c>
      <c r="AC1393" t="n">
        <v>1</v>
      </c>
      <c r="AD1393" t="n">
        <v>5</v>
      </c>
      <c r="AE1393" t="n">
        <v>5</v>
      </c>
      <c r="AF1393" t="n">
        <v>2</v>
      </c>
      <c r="AG1393" t="n">
        <v>2</v>
      </c>
      <c r="AH1393" t="n">
        <v>2</v>
      </c>
      <c r="AI1393" t="n">
        <v>2</v>
      </c>
      <c r="AJ1393" t="n">
        <v>3</v>
      </c>
      <c r="AK1393" t="n">
        <v>3</v>
      </c>
      <c r="AL1393" t="n">
        <v>0</v>
      </c>
      <c r="AM1393" t="n">
        <v>0</v>
      </c>
      <c r="AN1393" t="n">
        <v>0</v>
      </c>
      <c r="AO1393" t="n">
        <v>0</v>
      </c>
      <c r="AP1393" t="inlineStr">
        <is>
          <t>No</t>
        </is>
      </c>
      <c r="AQ1393" t="inlineStr">
        <is>
          <t>No</t>
        </is>
      </c>
      <c r="AS1393">
        <f>HYPERLINK("https://creighton-primo.hosted.exlibrisgroup.com/primo-explore/search?tab=default_tab&amp;search_scope=EVERYTHING&amp;vid=01CRU&amp;lang=en_US&amp;offset=0&amp;query=any,contains,991002121019702656","Catalog Record")</f>
        <v/>
      </c>
      <c r="AT1393">
        <f>HYPERLINK("http://www.worldcat.org/oclc/27180347","WorldCat Record")</f>
        <v/>
      </c>
      <c r="AU1393" t="inlineStr">
        <is>
          <t>29921915:eng</t>
        </is>
      </c>
      <c r="AV1393" t="inlineStr">
        <is>
          <t>27180347</t>
        </is>
      </c>
      <c r="AW1393" t="inlineStr">
        <is>
          <t>991002121019702656</t>
        </is>
      </c>
      <c r="AX1393" t="inlineStr">
        <is>
          <t>991002121019702656</t>
        </is>
      </c>
      <c r="AY1393" t="inlineStr">
        <is>
          <t>2257370740002656</t>
        </is>
      </c>
      <c r="AZ1393" t="inlineStr">
        <is>
          <t>BOOK</t>
        </is>
      </c>
      <c r="BB1393" t="inlineStr">
        <is>
          <t>9780892838066</t>
        </is>
      </c>
      <c r="BC1393" t="inlineStr">
        <is>
          <t>32285001819498</t>
        </is>
      </c>
      <c r="BD1393" t="inlineStr">
        <is>
          <t>893433502</t>
        </is>
      </c>
    </row>
    <row r="1394">
      <c r="A1394" t="inlineStr">
        <is>
          <t>No</t>
        </is>
      </c>
      <c r="B1394" t="inlineStr">
        <is>
          <t>BX2347.7 .E44 1987</t>
        </is>
      </c>
      <c r="C1394" t="inlineStr">
        <is>
          <t>0                      BX 2347700E  44          1987</t>
        </is>
      </c>
      <c r="D1394" t="inlineStr">
        <is>
          <t>Effective inculturation and ethnic identity / Maria de la Cruz Aymes...[et al.]</t>
        </is>
      </c>
      <c r="F1394" t="inlineStr">
        <is>
          <t>No</t>
        </is>
      </c>
      <c r="G1394" t="inlineStr">
        <is>
          <t>1</t>
        </is>
      </c>
      <c r="H1394" t="inlineStr">
        <is>
          <t>No</t>
        </is>
      </c>
      <c r="I1394" t="inlineStr">
        <is>
          <t>No</t>
        </is>
      </c>
      <c r="J1394" t="inlineStr">
        <is>
          <t>0</t>
        </is>
      </c>
      <c r="L1394" t="inlineStr">
        <is>
          <t>Rome : Pontifical Gregorian University, 1987.</t>
        </is>
      </c>
      <c r="M1394" t="inlineStr">
        <is>
          <t>1987</t>
        </is>
      </c>
      <c r="O1394" t="inlineStr">
        <is>
          <t>eng</t>
        </is>
      </c>
      <c r="P1394" t="inlineStr">
        <is>
          <t xml:space="preserve">it </t>
        </is>
      </c>
      <c r="Q1394" t="inlineStr">
        <is>
          <t>Inculturation, working papers on living faith and cultures ; 9</t>
        </is>
      </c>
      <c r="R1394" t="inlineStr">
        <is>
          <t xml:space="preserve">BX </t>
        </is>
      </c>
      <c r="S1394" t="n">
        <v>2</v>
      </c>
      <c r="T1394" t="n">
        <v>2</v>
      </c>
      <c r="U1394" t="inlineStr">
        <is>
          <t>1993-10-04</t>
        </is>
      </c>
      <c r="V1394" t="inlineStr">
        <is>
          <t>1993-10-04</t>
        </is>
      </c>
      <c r="W1394" t="inlineStr">
        <is>
          <t>1991-10-23</t>
        </is>
      </c>
      <c r="X1394" t="inlineStr">
        <is>
          <t>1991-10-23</t>
        </is>
      </c>
      <c r="Y1394" t="n">
        <v>100</v>
      </c>
      <c r="Z1394" t="n">
        <v>77</v>
      </c>
      <c r="AA1394" t="n">
        <v>83</v>
      </c>
      <c r="AB1394" t="n">
        <v>1</v>
      </c>
      <c r="AC1394" t="n">
        <v>1</v>
      </c>
      <c r="AD1394" t="n">
        <v>9</v>
      </c>
      <c r="AE1394" t="n">
        <v>10</v>
      </c>
      <c r="AF1394" t="n">
        <v>1</v>
      </c>
      <c r="AG1394" t="n">
        <v>1</v>
      </c>
      <c r="AH1394" t="n">
        <v>2</v>
      </c>
      <c r="AI1394" t="n">
        <v>2</v>
      </c>
      <c r="AJ1394" t="n">
        <v>8</v>
      </c>
      <c r="AK1394" t="n">
        <v>9</v>
      </c>
      <c r="AL1394" t="n">
        <v>0</v>
      </c>
      <c r="AM1394" t="n">
        <v>0</v>
      </c>
      <c r="AN1394" t="n">
        <v>0</v>
      </c>
      <c r="AO1394" t="n">
        <v>0</v>
      </c>
      <c r="AP1394" t="inlineStr">
        <is>
          <t>No</t>
        </is>
      </c>
      <c r="AQ1394" t="inlineStr">
        <is>
          <t>Yes</t>
        </is>
      </c>
      <c r="AR1394">
        <f>HYPERLINK("http://catalog.hathitrust.org/Record/000919245","HathiTrust Record")</f>
        <v/>
      </c>
      <c r="AS1394">
        <f>HYPERLINK("https://creighton-primo.hosted.exlibrisgroup.com/primo-explore/search?tab=default_tab&amp;search_scope=EVERYTHING&amp;vid=01CRU&amp;lang=en_US&amp;offset=0&amp;query=any,contains,991001118369702656","Catalog Record")</f>
        <v/>
      </c>
      <c r="AT1394">
        <f>HYPERLINK("http://www.worldcat.org/oclc/17384874","WorldCat Record")</f>
        <v/>
      </c>
      <c r="AU1394" t="inlineStr">
        <is>
          <t>478924354:eng</t>
        </is>
      </c>
      <c r="AV1394" t="inlineStr">
        <is>
          <t>17384874</t>
        </is>
      </c>
      <c r="AW1394" t="inlineStr">
        <is>
          <t>991001118369702656</t>
        </is>
      </c>
      <c r="AX1394" t="inlineStr">
        <is>
          <t>991001118369702656</t>
        </is>
      </c>
      <c r="AY1394" t="inlineStr">
        <is>
          <t>2271629600002656</t>
        </is>
      </c>
      <c r="AZ1394" t="inlineStr">
        <is>
          <t>BOOK</t>
        </is>
      </c>
      <c r="BB1394" t="inlineStr">
        <is>
          <t>9788876525674</t>
        </is>
      </c>
      <c r="BC1394" t="inlineStr">
        <is>
          <t>32285000811165</t>
        </is>
      </c>
      <c r="BD1394" t="inlineStr">
        <is>
          <t>893885053</t>
        </is>
      </c>
    </row>
    <row r="1395">
      <c r="A1395" t="inlineStr">
        <is>
          <t>No</t>
        </is>
      </c>
      <c r="B1395" t="inlineStr">
        <is>
          <t>BX2347.7 .K44 1991</t>
        </is>
      </c>
      <c r="C1395" t="inlineStr">
        <is>
          <t>0                      BX 2347700K  44          1991</t>
        </is>
      </c>
      <c r="D1395" t="inlineStr">
        <is>
          <t>Small Christian communities : a vision of hope / Thomas A. Kleissler, Margo A. LeBert, Mary C. McGuinness.</t>
        </is>
      </c>
      <c r="F1395" t="inlineStr">
        <is>
          <t>No</t>
        </is>
      </c>
      <c r="G1395" t="inlineStr">
        <is>
          <t>1</t>
        </is>
      </c>
      <c r="H1395" t="inlineStr">
        <is>
          <t>No</t>
        </is>
      </c>
      <c r="I1395" t="inlineStr">
        <is>
          <t>No</t>
        </is>
      </c>
      <c r="J1395" t="inlineStr">
        <is>
          <t>0</t>
        </is>
      </c>
      <c r="K1395" t="inlineStr">
        <is>
          <t>Kleissler, Thomas A., 1931-</t>
        </is>
      </c>
      <c r="L1395" t="inlineStr">
        <is>
          <t>New York : Paulist Press, c1991.</t>
        </is>
      </c>
      <c r="M1395" t="inlineStr">
        <is>
          <t>1991</t>
        </is>
      </c>
      <c r="O1395" t="inlineStr">
        <is>
          <t>eng</t>
        </is>
      </c>
      <c r="P1395" t="inlineStr">
        <is>
          <t>nyu</t>
        </is>
      </c>
      <c r="R1395" t="inlineStr">
        <is>
          <t xml:space="preserve">BX </t>
        </is>
      </c>
      <c r="S1395" t="n">
        <v>6</v>
      </c>
      <c r="T1395" t="n">
        <v>6</v>
      </c>
      <c r="U1395" t="inlineStr">
        <is>
          <t>2000-07-13</t>
        </is>
      </c>
      <c r="V1395" t="inlineStr">
        <is>
          <t>2000-07-13</t>
        </is>
      </c>
      <c r="W1395" t="inlineStr">
        <is>
          <t>1991-12-30</t>
        </is>
      </c>
      <c r="X1395" t="inlineStr">
        <is>
          <t>1991-12-30</t>
        </is>
      </c>
      <c r="Y1395" t="n">
        <v>105</v>
      </c>
      <c r="Z1395" t="n">
        <v>85</v>
      </c>
      <c r="AA1395" t="n">
        <v>172</v>
      </c>
      <c r="AB1395" t="n">
        <v>1</v>
      </c>
      <c r="AC1395" t="n">
        <v>1</v>
      </c>
      <c r="AD1395" t="n">
        <v>8</v>
      </c>
      <c r="AE1395" t="n">
        <v>19</v>
      </c>
      <c r="AF1395" t="n">
        <v>1</v>
      </c>
      <c r="AG1395" t="n">
        <v>6</v>
      </c>
      <c r="AH1395" t="n">
        <v>3</v>
      </c>
      <c r="AI1395" t="n">
        <v>7</v>
      </c>
      <c r="AJ1395" t="n">
        <v>7</v>
      </c>
      <c r="AK1395" t="n">
        <v>13</v>
      </c>
      <c r="AL1395" t="n">
        <v>0</v>
      </c>
      <c r="AM1395" t="n">
        <v>0</v>
      </c>
      <c r="AN1395" t="n">
        <v>0</v>
      </c>
      <c r="AO1395" t="n">
        <v>0</v>
      </c>
      <c r="AP1395" t="inlineStr">
        <is>
          <t>No</t>
        </is>
      </c>
      <c r="AQ1395" t="inlineStr">
        <is>
          <t>No</t>
        </is>
      </c>
      <c r="AS1395">
        <f>HYPERLINK("https://creighton-primo.hosted.exlibrisgroup.com/primo-explore/search?tab=default_tab&amp;search_scope=EVERYTHING&amp;vid=01CRU&amp;lang=en_US&amp;offset=0&amp;query=any,contains,991001827329702656","Catalog Record")</f>
        <v/>
      </c>
      <c r="AT1395">
        <f>HYPERLINK("http://www.worldcat.org/oclc/22954548","WorldCat Record")</f>
        <v/>
      </c>
      <c r="AU1395" t="inlineStr">
        <is>
          <t>1006859:eng</t>
        </is>
      </c>
      <c r="AV1395" t="inlineStr">
        <is>
          <t>22954548</t>
        </is>
      </c>
      <c r="AW1395" t="inlineStr">
        <is>
          <t>991001827329702656</t>
        </is>
      </c>
      <c r="AX1395" t="inlineStr">
        <is>
          <t>991001827329702656</t>
        </is>
      </c>
      <c r="AY1395" t="inlineStr">
        <is>
          <t>2259827320002656</t>
        </is>
      </c>
      <c r="AZ1395" t="inlineStr">
        <is>
          <t>BOOK</t>
        </is>
      </c>
      <c r="BB1395" t="inlineStr">
        <is>
          <t>9780809132171</t>
        </is>
      </c>
      <c r="BC1395" t="inlineStr">
        <is>
          <t>32285000862358</t>
        </is>
      </c>
      <c r="BD1395" t="inlineStr">
        <is>
          <t>893522901</t>
        </is>
      </c>
    </row>
    <row r="1396">
      <c r="A1396" t="inlineStr">
        <is>
          <t>No</t>
        </is>
      </c>
      <c r="B1396" t="inlineStr">
        <is>
          <t>BX2347.72.B6 A9413 1987</t>
        </is>
      </c>
      <c r="C1396" t="inlineStr">
        <is>
          <t>0                      BX 2347720B  6                  A  9413        1987</t>
        </is>
      </c>
      <c r="D1396" t="inlineStr">
        <is>
          <t>Basic ecclesial communities in Brazil : the challenge of a new way of being church / Marcello deC. Azevedo ; translated by John Drury.</t>
        </is>
      </c>
      <c r="F1396" t="inlineStr">
        <is>
          <t>No</t>
        </is>
      </c>
      <c r="G1396" t="inlineStr">
        <is>
          <t>1</t>
        </is>
      </c>
      <c r="H1396" t="inlineStr">
        <is>
          <t>No</t>
        </is>
      </c>
      <c r="I1396" t="inlineStr">
        <is>
          <t>No</t>
        </is>
      </c>
      <c r="J1396" t="inlineStr">
        <is>
          <t>0</t>
        </is>
      </c>
      <c r="K1396" t="inlineStr">
        <is>
          <t>Azevedo, Marcello de Carvalho.</t>
        </is>
      </c>
      <c r="L1396" t="inlineStr">
        <is>
          <t>Washington, D.C. : Georgetown University Press, c1987.</t>
        </is>
      </c>
      <c r="M1396" t="inlineStr">
        <is>
          <t>1987</t>
        </is>
      </c>
      <c r="O1396" t="inlineStr">
        <is>
          <t>eng</t>
        </is>
      </c>
      <c r="P1396" t="inlineStr">
        <is>
          <t>dcu</t>
        </is>
      </c>
      <c r="Q1396" t="inlineStr">
        <is>
          <t>Studies in ethics</t>
        </is>
      </c>
      <c r="R1396" t="inlineStr">
        <is>
          <t xml:space="preserve">BX </t>
        </is>
      </c>
      <c r="S1396" t="n">
        <v>7</v>
      </c>
      <c r="T1396" t="n">
        <v>7</v>
      </c>
      <c r="U1396" t="inlineStr">
        <is>
          <t>2010-11-29</t>
        </is>
      </c>
      <c r="V1396" t="inlineStr">
        <is>
          <t>2010-11-29</t>
        </is>
      </c>
      <c r="W1396" t="inlineStr">
        <is>
          <t>1991-10-23</t>
        </is>
      </c>
      <c r="X1396" t="inlineStr">
        <is>
          <t>1991-10-23</t>
        </is>
      </c>
      <c r="Y1396" t="n">
        <v>293</v>
      </c>
      <c r="Z1396" t="n">
        <v>235</v>
      </c>
      <c r="AA1396" t="n">
        <v>235</v>
      </c>
      <c r="AB1396" t="n">
        <v>1</v>
      </c>
      <c r="AC1396" t="n">
        <v>1</v>
      </c>
      <c r="AD1396" t="n">
        <v>26</v>
      </c>
      <c r="AE1396" t="n">
        <v>26</v>
      </c>
      <c r="AF1396" t="n">
        <v>9</v>
      </c>
      <c r="AG1396" t="n">
        <v>9</v>
      </c>
      <c r="AH1396" t="n">
        <v>6</v>
      </c>
      <c r="AI1396" t="n">
        <v>6</v>
      </c>
      <c r="AJ1396" t="n">
        <v>20</v>
      </c>
      <c r="AK1396" t="n">
        <v>20</v>
      </c>
      <c r="AL1396" t="n">
        <v>0</v>
      </c>
      <c r="AM1396" t="n">
        <v>0</v>
      </c>
      <c r="AN1396" t="n">
        <v>0</v>
      </c>
      <c r="AO1396" t="n">
        <v>0</v>
      </c>
      <c r="AP1396" t="inlineStr">
        <is>
          <t>No</t>
        </is>
      </c>
      <c r="AQ1396" t="inlineStr">
        <is>
          <t>No</t>
        </is>
      </c>
      <c r="AS1396">
        <f>HYPERLINK("https://creighton-primo.hosted.exlibrisgroup.com/primo-explore/search?tab=default_tab&amp;search_scope=EVERYTHING&amp;vid=01CRU&amp;lang=en_US&amp;offset=0&amp;query=any,contains,991001085139702656","Catalog Record")</f>
        <v/>
      </c>
      <c r="AT1396">
        <f>HYPERLINK("http://www.worldcat.org/oclc/16102217","WorldCat Record")</f>
        <v/>
      </c>
      <c r="AU1396" t="inlineStr">
        <is>
          <t>1103699724:eng</t>
        </is>
      </c>
      <c r="AV1396" t="inlineStr">
        <is>
          <t>16102217</t>
        </is>
      </c>
      <c r="AW1396" t="inlineStr">
        <is>
          <t>991001085139702656</t>
        </is>
      </c>
      <c r="AX1396" t="inlineStr">
        <is>
          <t>991001085139702656</t>
        </is>
      </c>
      <c r="AY1396" t="inlineStr">
        <is>
          <t>2265329800002656</t>
        </is>
      </c>
      <c r="AZ1396" t="inlineStr">
        <is>
          <t>BOOK</t>
        </is>
      </c>
      <c r="BB1396" t="inlineStr">
        <is>
          <t>9780878404483</t>
        </is>
      </c>
      <c r="BC1396" t="inlineStr">
        <is>
          <t>32285000811181</t>
        </is>
      </c>
      <c r="BD1396" t="inlineStr">
        <is>
          <t>893885027</t>
        </is>
      </c>
    </row>
    <row r="1397">
      <c r="A1397" t="inlineStr">
        <is>
          <t>No</t>
        </is>
      </c>
      <c r="B1397" t="inlineStr">
        <is>
          <t>BX2347.72.B6 B3613 1987</t>
        </is>
      </c>
      <c r="C1397" t="inlineStr">
        <is>
          <t>0                      BX 2347720B  6                  B  3613        1987</t>
        </is>
      </c>
      <c r="D1397" t="inlineStr">
        <is>
          <t>Grace and power : base communities and nonviolence in Brazil / Dominique Barbé.</t>
        </is>
      </c>
      <c r="F1397" t="inlineStr">
        <is>
          <t>No</t>
        </is>
      </c>
      <c r="G1397" t="inlineStr">
        <is>
          <t>1</t>
        </is>
      </c>
      <c r="H1397" t="inlineStr">
        <is>
          <t>No</t>
        </is>
      </c>
      <c r="I1397" t="inlineStr">
        <is>
          <t>No</t>
        </is>
      </c>
      <c r="J1397" t="inlineStr">
        <is>
          <t>0</t>
        </is>
      </c>
      <c r="K1397" t="inlineStr">
        <is>
          <t>Barbé, Dominique.</t>
        </is>
      </c>
      <c r="L1397" t="inlineStr">
        <is>
          <t>Maryknoll, NY : Orbis Books, c1987.</t>
        </is>
      </c>
      <c r="M1397" t="inlineStr">
        <is>
          <t>1987</t>
        </is>
      </c>
      <c r="O1397" t="inlineStr">
        <is>
          <t>eng</t>
        </is>
      </c>
      <c r="P1397" t="inlineStr">
        <is>
          <t>nyu</t>
        </is>
      </c>
      <c r="R1397" t="inlineStr">
        <is>
          <t xml:space="preserve">BX </t>
        </is>
      </c>
      <c r="S1397" t="n">
        <v>6</v>
      </c>
      <c r="T1397" t="n">
        <v>6</v>
      </c>
      <c r="U1397" t="inlineStr">
        <is>
          <t>2010-04-27</t>
        </is>
      </c>
      <c r="V1397" t="inlineStr">
        <is>
          <t>2010-04-27</t>
        </is>
      </c>
      <c r="W1397" t="inlineStr">
        <is>
          <t>1991-10-23</t>
        </is>
      </c>
      <c r="X1397" t="inlineStr">
        <is>
          <t>1991-10-23</t>
        </is>
      </c>
      <c r="Y1397" t="n">
        <v>291</v>
      </c>
      <c r="Z1397" t="n">
        <v>235</v>
      </c>
      <c r="AA1397" t="n">
        <v>237</v>
      </c>
      <c r="AB1397" t="n">
        <v>2</v>
      </c>
      <c r="AC1397" t="n">
        <v>2</v>
      </c>
      <c r="AD1397" t="n">
        <v>21</v>
      </c>
      <c r="AE1397" t="n">
        <v>21</v>
      </c>
      <c r="AF1397" t="n">
        <v>9</v>
      </c>
      <c r="AG1397" t="n">
        <v>9</v>
      </c>
      <c r="AH1397" t="n">
        <v>5</v>
      </c>
      <c r="AI1397" t="n">
        <v>5</v>
      </c>
      <c r="AJ1397" t="n">
        <v>12</v>
      </c>
      <c r="AK1397" t="n">
        <v>12</v>
      </c>
      <c r="AL1397" t="n">
        <v>1</v>
      </c>
      <c r="AM1397" t="n">
        <v>1</v>
      </c>
      <c r="AN1397" t="n">
        <v>0</v>
      </c>
      <c r="AO1397" t="n">
        <v>0</v>
      </c>
      <c r="AP1397" t="inlineStr">
        <is>
          <t>No</t>
        </is>
      </c>
      <c r="AQ1397" t="inlineStr">
        <is>
          <t>Yes</t>
        </is>
      </c>
      <c r="AR1397">
        <f>HYPERLINK("http://catalog.hathitrust.org/Record/000825359","HathiTrust Record")</f>
        <v/>
      </c>
      <c r="AS1397">
        <f>HYPERLINK("https://creighton-primo.hosted.exlibrisgroup.com/primo-explore/search?tab=default_tab&amp;search_scope=EVERYTHING&amp;vid=01CRU&amp;lang=en_US&amp;offset=0&amp;query=any,contains,991000928229702656","Catalog Record")</f>
        <v/>
      </c>
      <c r="AT1397">
        <f>HYPERLINK("http://www.worldcat.org/oclc/14242243","WorldCat Record")</f>
        <v/>
      </c>
      <c r="AU1397" t="inlineStr">
        <is>
          <t>1151328440:eng</t>
        </is>
      </c>
      <c r="AV1397" t="inlineStr">
        <is>
          <t>14242243</t>
        </is>
      </c>
      <c r="AW1397" t="inlineStr">
        <is>
          <t>991000928229702656</t>
        </is>
      </c>
      <c r="AX1397" t="inlineStr">
        <is>
          <t>991000928229702656</t>
        </is>
      </c>
      <c r="AY1397" t="inlineStr">
        <is>
          <t>2270122570002656</t>
        </is>
      </c>
      <c r="AZ1397" t="inlineStr">
        <is>
          <t>BOOK</t>
        </is>
      </c>
      <c r="BB1397" t="inlineStr">
        <is>
          <t>9780883444184</t>
        </is>
      </c>
      <c r="BC1397" t="inlineStr">
        <is>
          <t>32285000811199</t>
        </is>
      </c>
      <c r="BD1397" t="inlineStr">
        <is>
          <t>893346100</t>
        </is>
      </c>
    </row>
    <row r="1398">
      <c r="A1398" t="inlineStr">
        <is>
          <t>No</t>
        </is>
      </c>
      <c r="B1398" t="inlineStr">
        <is>
          <t>BX2347.72.B6 D39 1999</t>
        </is>
      </c>
      <c r="C1398" t="inlineStr">
        <is>
          <t>0                      BX 2347720B  6                  D  39          1999</t>
        </is>
      </c>
      <c r="D1398" t="inlineStr">
        <is>
          <t>The birth and impact of the base ecclesial community and liberative theological discourse in Brazil / Andrew Dawson.</t>
        </is>
      </c>
      <c r="F1398" t="inlineStr">
        <is>
          <t>No</t>
        </is>
      </c>
      <c r="G1398" t="inlineStr">
        <is>
          <t>1</t>
        </is>
      </c>
      <c r="H1398" t="inlineStr">
        <is>
          <t>No</t>
        </is>
      </c>
      <c r="I1398" t="inlineStr">
        <is>
          <t>No</t>
        </is>
      </c>
      <c r="J1398" t="inlineStr">
        <is>
          <t>0</t>
        </is>
      </c>
      <c r="K1398" t="inlineStr">
        <is>
          <t>Dawson, Andrew, 1966-</t>
        </is>
      </c>
      <c r="L1398" t="inlineStr">
        <is>
          <t>San Francisco, Calif. : catholic Scholars Press, 1999, c1998.</t>
        </is>
      </c>
      <c r="M1398" t="inlineStr">
        <is>
          <t>1999</t>
        </is>
      </c>
      <c r="O1398" t="inlineStr">
        <is>
          <t>eng</t>
        </is>
      </c>
      <c r="P1398" t="inlineStr">
        <is>
          <t>cau</t>
        </is>
      </c>
      <c r="R1398" t="inlineStr">
        <is>
          <t xml:space="preserve">BX </t>
        </is>
      </c>
      <c r="S1398" t="n">
        <v>5</v>
      </c>
      <c r="T1398" t="n">
        <v>5</v>
      </c>
      <c r="U1398" t="inlineStr">
        <is>
          <t>2010-11-29</t>
        </is>
      </c>
      <c r="V1398" t="inlineStr">
        <is>
          <t>2010-11-29</t>
        </is>
      </c>
      <c r="W1398" t="inlineStr">
        <is>
          <t>2000-01-11</t>
        </is>
      </c>
      <c r="X1398" t="inlineStr">
        <is>
          <t>2000-01-11</t>
        </is>
      </c>
      <c r="Y1398" t="n">
        <v>95</v>
      </c>
      <c r="Z1398" t="n">
        <v>92</v>
      </c>
      <c r="AA1398" t="n">
        <v>94</v>
      </c>
      <c r="AB1398" t="n">
        <v>2</v>
      </c>
      <c r="AC1398" t="n">
        <v>2</v>
      </c>
      <c r="AD1398" t="n">
        <v>11</v>
      </c>
      <c r="AE1398" t="n">
        <v>11</v>
      </c>
      <c r="AF1398" t="n">
        <v>1</v>
      </c>
      <c r="AG1398" t="n">
        <v>1</v>
      </c>
      <c r="AH1398" t="n">
        <v>4</v>
      </c>
      <c r="AI1398" t="n">
        <v>4</v>
      </c>
      <c r="AJ1398" t="n">
        <v>8</v>
      </c>
      <c r="AK1398" t="n">
        <v>8</v>
      </c>
      <c r="AL1398" t="n">
        <v>1</v>
      </c>
      <c r="AM1398" t="n">
        <v>1</v>
      </c>
      <c r="AN1398" t="n">
        <v>0</v>
      </c>
      <c r="AO1398" t="n">
        <v>0</v>
      </c>
      <c r="AP1398" t="inlineStr">
        <is>
          <t>No</t>
        </is>
      </c>
      <c r="AQ1398" t="inlineStr">
        <is>
          <t>Yes</t>
        </is>
      </c>
      <c r="AR1398">
        <f>HYPERLINK("http://catalog.hathitrust.org/Record/101534482","HathiTrust Record")</f>
        <v/>
      </c>
      <c r="AS1398">
        <f>HYPERLINK("https://creighton-primo.hosted.exlibrisgroup.com/primo-explore/search?tab=default_tab&amp;search_scope=EVERYTHING&amp;vid=01CRU&amp;lang=en_US&amp;offset=0&amp;query=any,contains,991002941489702656","Catalog Record")</f>
        <v/>
      </c>
      <c r="AT1398">
        <f>HYPERLINK("http://www.worldcat.org/oclc/39157499","WorldCat Record")</f>
        <v/>
      </c>
      <c r="AU1398" t="inlineStr">
        <is>
          <t>35740055:eng</t>
        </is>
      </c>
      <c r="AV1398" t="inlineStr">
        <is>
          <t>39157499</t>
        </is>
      </c>
      <c r="AW1398" t="inlineStr">
        <is>
          <t>991002941489702656</t>
        </is>
      </c>
      <c r="AX1398" t="inlineStr">
        <is>
          <t>991002941489702656</t>
        </is>
      </c>
      <c r="AY1398" t="inlineStr">
        <is>
          <t>2266011700002656</t>
        </is>
      </c>
      <c r="AZ1398" t="inlineStr">
        <is>
          <t>BOOK</t>
        </is>
      </c>
      <c r="BB1398" t="inlineStr">
        <is>
          <t>9781573093149</t>
        </is>
      </c>
      <c r="BC1398" t="inlineStr">
        <is>
          <t>32285003639969</t>
        </is>
      </c>
      <c r="BD1398" t="inlineStr">
        <is>
          <t>893348129</t>
        </is>
      </c>
    </row>
    <row r="1399">
      <c r="A1399" t="inlineStr">
        <is>
          <t>No</t>
        </is>
      </c>
      <c r="B1399" t="inlineStr">
        <is>
          <t>BX2347.8 .P66 1995</t>
        </is>
      </c>
      <c r="C1399" t="inlineStr">
        <is>
          <t>0                      BX 2347800P  66          1995</t>
        </is>
      </c>
      <c r="D1399" t="inlineStr">
        <is>
          <t>Letter of Pope John Paul II to women.</t>
        </is>
      </c>
      <c r="F1399" t="inlineStr">
        <is>
          <t>No</t>
        </is>
      </c>
      <c r="G1399" t="inlineStr">
        <is>
          <t>1</t>
        </is>
      </c>
      <c r="H1399" t="inlineStr">
        <is>
          <t>No</t>
        </is>
      </c>
      <c r="I1399" t="inlineStr">
        <is>
          <t>Yes</t>
        </is>
      </c>
      <c r="J1399" t="inlineStr">
        <is>
          <t>0</t>
        </is>
      </c>
      <c r="K1399" t="inlineStr">
        <is>
          <t>Catholic Church. Pope (1978-2005 : John Paul II).</t>
        </is>
      </c>
      <c r="L1399" t="inlineStr">
        <is>
          <t>Boston : St. Paul Books &amp; Media, [1995]</t>
        </is>
      </c>
      <c r="M1399" t="inlineStr">
        <is>
          <t>1995</t>
        </is>
      </c>
      <c r="O1399" t="inlineStr">
        <is>
          <t>eng</t>
        </is>
      </c>
      <c r="P1399" t="inlineStr">
        <is>
          <t>mau</t>
        </is>
      </c>
      <c r="R1399" t="inlineStr">
        <is>
          <t xml:space="preserve">BX </t>
        </is>
      </c>
      <c r="S1399" t="n">
        <v>1</v>
      </c>
      <c r="T1399" t="n">
        <v>1</v>
      </c>
      <c r="U1399" t="inlineStr">
        <is>
          <t>2008-12-02</t>
        </is>
      </c>
      <c r="V1399" t="inlineStr">
        <is>
          <t>2008-12-02</t>
        </is>
      </c>
      <c r="W1399" t="inlineStr">
        <is>
          <t>2008-12-02</t>
        </is>
      </c>
      <c r="X1399" t="inlineStr">
        <is>
          <t>2008-12-02</t>
        </is>
      </c>
      <c r="Y1399" t="n">
        <v>19</v>
      </c>
      <c r="Z1399" t="n">
        <v>18</v>
      </c>
      <c r="AA1399" t="n">
        <v>110</v>
      </c>
      <c r="AB1399" t="n">
        <v>2</v>
      </c>
      <c r="AC1399" t="n">
        <v>3</v>
      </c>
      <c r="AD1399" t="n">
        <v>0</v>
      </c>
      <c r="AE1399" t="n">
        <v>19</v>
      </c>
      <c r="AF1399" t="n">
        <v>0</v>
      </c>
      <c r="AG1399" t="n">
        <v>5</v>
      </c>
      <c r="AH1399" t="n">
        <v>0</v>
      </c>
      <c r="AI1399" t="n">
        <v>6</v>
      </c>
      <c r="AJ1399" t="n">
        <v>0</v>
      </c>
      <c r="AK1399" t="n">
        <v>13</v>
      </c>
      <c r="AL1399" t="n">
        <v>0</v>
      </c>
      <c r="AM1399" t="n">
        <v>1</v>
      </c>
      <c r="AN1399" t="n">
        <v>0</v>
      </c>
      <c r="AO1399" t="n">
        <v>0</v>
      </c>
      <c r="AP1399" t="inlineStr">
        <is>
          <t>No</t>
        </is>
      </c>
      <c r="AQ1399" t="inlineStr">
        <is>
          <t>No</t>
        </is>
      </c>
      <c r="AS1399">
        <f>HYPERLINK("https://creighton-primo.hosted.exlibrisgroup.com/primo-explore/search?tab=default_tab&amp;search_scope=EVERYTHING&amp;vid=01CRU&amp;lang=en_US&amp;offset=0&amp;query=any,contains,991005279119702656","Catalog Record")</f>
        <v/>
      </c>
      <c r="AT1399">
        <f>HYPERLINK("http://www.worldcat.org/oclc/34725502","WorldCat Record")</f>
        <v/>
      </c>
      <c r="AU1399" t="inlineStr">
        <is>
          <t>1952794658:eng</t>
        </is>
      </c>
      <c r="AV1399" t="inlineStr">
        <is>
          <t>34725502</t>
        </is>
      </c>
      <c r="AW1399" t="inlineStr">
        <is>
          <t>991005279119702656</t>
        </is>
      </c>
      <c r="AX1399" t="inlineStr">
        <is>
          <t>991005279119702656</t>
        </is>
      </c>
      <c r="AY1399" t="inlineStr">
        <is>
          <t>2261939480002656</t>
        </is>
      </c>
      <c r="AZ1399" t="inlineStr">
        <is>
          <t>BOOK</t>
        </is>
      </c>
      <c r="BB1399" t="inlineStr">
        <is>
          <t>9780819844798</t>
        </is>
      </c>
      <c r="BC1399" t="inlineStr">
        <is>
          <t>32285005461321</t>
        </is>
      </c>
      <c r="BD1399" t="inlineStr">
        <is>
          <t>893607127</t>
        </is>
      </c>
    </row>
    <row r="1400">
      <c r="A1400" t="inlineStr">
        <is>
          <t>No</t>
        </is>
      </c>
      <c r="B1400" t="inlineStr">
        <is>
          <t>BX2347.8.A4 C351 1999</t>
        </is>
      </c>
      <c r="C1400" t="inlineStr">
        <is>
          <t>0                      BX 2347800A  4                  C  351         1999</t>
        </is>
      </c>
      <c r="D1400" t="inlineStr">
        <is>
          <t>Letter of His Holiness Pope John Paul II to the elderly.</t>
        </is>
      </c>
      <c r="F1400" t="inlineStr">
        <is>
          <t>No</t>
        </is>
      </c>
      <c r="G1400" t="inlineStr">
        <is>
          <t>1</t>
        </is>
      </c>
      <c r="H1400" t="inlineStr">
        <is>
          <t>No</t>
        </is>
      </c>
      <c r="I1400" t="inlineStr">
        <is>
          <t>No</t>
        </is>
      </c>
      <c r="J1400" t="inlineStr">
        <is>
          <t>0</t>
        </is>
      </c>
      <c r="K1400" t="inlineStr">
        <is>
          <t>Catholic Church. Pope (1978-2005 : John Paul II).</t>
        </is>
      </c>
      <c r="L1400" t="inlineStr">
        <is>
          <t>Washington, D.C. : United States Catholic Conference, 1999.</t>
        </is>
      </c>
      <c r="M1400" t="inlineStr">
        <is>
          <t>1999</t>
        </is>
      </c>
      <c r="O1400" t="inlineStr">
        <is>
          <t>eng</t>
        </is>
      </c>
      <c r="P1400" t="inlineStr">
        <is>
          <t>dcu</t>
        </is>
      </c>
      <c r="Q1400" t="inlineStr">
        <is>
          <t>Publication (United States Catholic Conference) ; no. 5-369</t>
        </is>
      </c>
      <c r="R1400" t="inlineStr">
        <is>
          <t xml:space="preserve">BX </t>
        </is>
      </c>
      <c r="S1400" t="n">
        <v>2</v>
      </c>
      <c r="T1400" t="n">
        <v>2</v>
      </c>
      <c r="U1400" t="inlineStr">
        <is>
          <t>2000-10-30</t>
        </is>
      </c>
      <c r="V1400" t="inlineStr">
        <is>
          <t>2000-10-30</t>
        </is>
      </c>
      <c r="W1400" t="inlineStr">
        <is>
          <t>2000-03-02</t>
        </is>
      </c>
      <c r="X1400" t="inlineStr">
        <is>
          <t>2000-03-02</t>
        </is>
      </c>
      <c r="Y1400" t="n">
        <v>80</v>
      </c>
      <c r="Z1400" t="n">
        <v>78</v>
      </c>
      <c r="AA1400" t="n">
        <v>83</v>
      </c>
      <c r="AB1400" t="n">
        <v>1</v>
      </c>
      <c r="AC1400" t="n">
        <v>1</v>
      </c>
      <c r="AD1400" t="n">
        <v>12</v>
      </c>
      <c r="AE1400" t="n">
        <v>12</v>
      </c>
      <c r="AF1400" t="n">
        <v>2</v>
      </c>
      <c r="AG1400" t="n">
        <v>2</v>
      </c>
      <c r="AH1400" t="n">
        <v>4</v>
      </c>
      <c r="AI1400" t="n">
        <v>4</v>
      </c>
      <c r="AJ1400" t="n">
        <v>9</v>
      </c>
      <c r="AK1400" t="n">
        <v>9</v>
      </c>
      <c r="AL1400" t="n">
        <v>0</v>
      </c>
      <c r="AM1400" t="n">
        <v>0</v>
      </c>
      <c r="AN1400" t="n">
        <v>0</v>
      </c>
      <c r="AO1400" t="n">
        <v>0</v>
      </c>
      <c r="AP1400" t="inlineStr">
        <is>
          <t>No</t>
        </is>
      </c>
      <c r="AQ1400" t="inlineStr">
        <is>
          <t>No</t>
        </is>
      </c>
      <c r="AS1400">
        <f>HYPERLINK("https://creighton-primo.hosted.exlibrisgroup.com/primo-explore/search?tab=default_tab&amp;search_scope=EVERYTHING&amp;vid=01CRU&amp;lang=en_US&amp;offset=0&amp;query=any,contains,991003051959702656","Catalog Record")</f>
        <v/>
      </c>
      <c r="AT1400">
        <f>HYPERLINK("http://www.worldcat.org/oclc/43249851","WorldCat Record")</f>
        <v/>
      </c>
      <c r="AU1400" t="inlineStr">
        <is>
          <t>9161680:eng</t>
        </is>
      </c>
      <c r="AV1400" t="inlineStr">
        <is>
          <t>43249851</t>
        </is>
      </c>
      <c r="AW1400" t="inlineStr">
        <is>
          <t>991003051959702656</t>
        </is>
      </c>
      <c r="AX1400" t="inlineStr">
        <is>
          <t>991003051959702656</t>
        </is>
      </c>
      <c r="AY1400" t="inlineStr">
        <is>
          <t>2263724860002656</t>
        </is>
      </c>
      <c r="AZ1400" t="inlineStr">
        <is>
          <t>BOOK</t>
        </is>
      </c>
      <c r="BB1400" t="inlineStr">
        <is>
          <t>9781574553697</t>
        </is>
      </c>
      <c r="BC1400" t="inlineStr">
        <is>
          <t>32285003666673</t>
        </is>
      </c>
      <c r="BD1400" t="inlineStr">
        <is>
          <t>893893333</t>
        </is>
      </c>
    </row>
    <row r="1401">
      <c r="A1401" t="inlineStr">
        <is>
          <t>No</t>
        </is>
      </c>
      <c r="B1401" t="inlineStr">
        <is>
          <t>BX2347.8.A4 D95 1997</t>
        </is>
      </c>
      <c r="C1401" t="inlineStr">
        <is>
          <t>0                      BX 2347800A  4                  D  95          1997</t>
        </is>
      </c>
      <c r="D1401" t="inlineStr">
        <is>
          <t>A caregiver's companion : ministering to older adults / J. Daniel Dymski.</t>
        </is>
      </c>
      <c r="F1401" t="inlineStr">
        <is>
          <t>No</t>
        </is>
      </c>
      <c r="G1401" t="inlineStr">
        <is>
          <t>1</t>
        </is>
      </c>
      <c r="H1401" t="inlineStr">
        <is>
          <t>No</t>
        </is>
      </c>
      <c r="I1401" t="inlineStr">
        <is>
          <t>No</t>
        </is>
      </c>
      <c r="J1401" t="inlineStr">
        <is>
          <t>0</t>
        </is>
      </c>
      <c r="K1401" t="inlineStr">
        <is>
          <t>Dymski, J. Daniel.</t>
        </is>
      </c>
      <c r="L1401" t="inlineStr">
        <is>
          <t>Notre Dame, Ind. : Ave Maria Press, c1997.</t>
        </is>
      </c>
      <c r="M1401" t="inlineStr">
        <is>
          <t>1997</t>
        </is>
      </c>
      <c r="O1401" t="inlineStr">
        <is>
          <t>eng</t>
        </is>
      </c>
      <c r="P1401" t="inlineStr">
        <is>
          <t>inu</t>
        </is>
      </c>
      <c r="R1401" t="inlineStr">
        <is>
          <t xml:space="preserve">BX </t>
        </is>
      </c>
      <c r="S1401" t="n">
        <v>4</v>
      </c>
      <c r="T1401" t="n">
        <v>4</v>
      </c>
      <c r="U1401" t="inlineStr">
        <is>
          <t>2004-02-26</t>
        </is>
      </c>
      <c r="V1401" t="inlineStr">
        <is>
          <t>2004-02-26</t>
        </is>
      </c>
      <c r="W1401" t="inlineStr">
        <is>
          <t>1999-08-24</t>
        </is>
      </c>
      <c r="X1401" t="inlineStr">
        <is>
          <t>1999-08-24</t>
        </is>
      </c>
      <c r="Y1401" t="n">
        <v>65</v>
      </c>
      <c r="Z1401" t="n">
        <v>62</v>
      </c>
      <c r="AA1401" t="n">
        <v>62</v>
      </c>
      <c r="AB1401" t="n">
        <v>1</v>
      </c>
      <c r="AC1401" t="n">
        <v>1</v>
      </c>
      <c r="AD1401" t="n">
        <v>6</v>
      </c>
      <c r="AE1401" t="n">
        <v>6</v>
      </c>
      <c r="AF1401" t="n">
        <v>1</v>
      </c>
      <c r="AG1401" t="n">
        <v>1</v>
      </c>
      <c r="AH1401" t="n">
        <v>1</v>
      </c>
      <c r="AI1401" t="n">
        <v>1</v>
      </c>
      <c r="AJ1401" t="n">
        <v>5</v>
      </c>
      <c r="AK1401" t="n">
        <v>5</v>
      </c>
      <c r="AL1401" t="n">
        <v>0</v>
      </c>
      <c r="AM1401" t="n">
        <v>0</v>
      </c>
      <c r="AN1401" t="n">
        <v>0</v>
      </c>
      <c r="AO1401" t="n">
        <v>0</v>
      </c>
      <c r="AP1401" t="inlineStr">
        <is>
          <t>No</t>
        </is>
      </c>
      <c r="AQ1401" t="inlineStr">
        <is>
          <t>No</t>
        </is>
      </c>
      <c r="AS1401">
        <f>HYPERLINK("https://creighton-primo.hosted.exlibrisgroup.com/primo-explore/search?tab=default_tab&amp;search_scope=EVERYTHING&amp;vid=01CRU&amp;lang=en_US&amp;offset=0&amp;query=any,contains,991002976369702656","Catalog Record")</f>
        <v/>
      </c>
      <c r="AT1401">
        <f>HYPERLINK("http://www.worldcat.org/oclc/39913236","WorldCat Record")</f>
        <v/>
      </c>
      <c r="AU1401" t="inlineStr">
        <is>
          <t>41735358:eng</t>
        </is>
      </c>
      <c r="AV1401" t="inlineStr">
        <is>
          <t>39913236</t>
        </is>
      </c>
      <c r="AW1401" t="inlineStr">
        <is>
          <t>991002976369702656</t>
        </is>
      </c>
      <c r="AX1401" t="inlineStr">
        <is>
          <t>991002976369702656</t>
        </is>
      </c>
      <c r="AY1401" t="inlineStr">
        <is>
          <t>2266526160002656</t>
        </is>
      </c>
      <c r="AZ1401" t="inlineStr">
        <is>
          <t>BOOK</t>
        </is>
      </c>
      <c r="BB1401" t="inlineStr">
        <is>
          <t>9780877936732</t>
        </is>
      </c>
      <c r="BC1401" t="inlineStr">
        <is>
          <t>32285003584074</t>
        </is>
      </c>
      <c r="BD1401" t="inlineStr">
        <is>
          <t>893592034</t>
        </is>
      </c>
    </row>
    <row r="1402">
      <c r="A1402" t="inlineStr">
        <is>
          <t>No</t>
        </is>
      </c>
      <c r="B1402" t="inlineStr">
        <is>
          <t>BX2347.8.A52 C56 2005</t>
        </is>
      </c>
      <c r="C1402" t="inlineStr">
        <is>
          <t>0                      BX 2347800A  52                 C  56          2005</t>
        </is>
      </c>
      <c r="D1402" t="inlineStr">
        <is>
          <t>When God's people have HIV/AIDS : an approach to ethics / Maria Cimperman.</t>
        </is>
      </c>
      <c r="F1402" t="inlineStr">
        <is>
          <t>No</t>
        </is>
      </c>
      <c r="G1402" t="inlineStr">
        <is>
          <t>1</t>
        </is>
      </c>
      <c r="H1402" t="inlineStr">
        <is>
          <t>No</t>
        </is>
      </c>
      <c r="I1402" t="inlineStr">
        <is>
          <t>No</t>
        </is>
      </c>
      <c r="J1402" t="inlineStr">
        <is>
          <t>0</t>
        </is>
      </c>
      <c r="K1402" t="inlineStr">
        <is>
          <t>Cimperman, Maria.</t>
        </is>
      </c>
      <c r="L1402" t="inlineStr">
        <is>
          <t>Maryknoll, N.Y. : Orbis Books, c2005.</t>
        </is>
      </c>
      <c r="M1402" t="inlineStr">
        <is>
          <t>2005</t>
        </is>
      </c>
      <c r="O1402" t="inlineStr">
        <is>
          <t>eng</t>
        </is>
      </c>
      <c r="P1402" t="inlineStr">
        <is>
          <t>nyu</t>
        </is>
      </c>
      <c r="R1402" t="inlineStr">
        <is>
          <t xml:space="preserve">BX </t>
        </is>
      </c>
      <c r="S1402" t="n">
        <v>1</v>
      </c>
      <c r="T1402" t="n">
        <v>1</v>
      </c>
      <c r="U1402" t="inlineStr">
        <is>
          <t>2007-02-12</t>
        </is>
      </c>
      <c r="V1402" t="inlineStr">
        <is>
          <t>2007-02-12</t>
        </is>
      </c>
      <c r="W1402" t="inlineStr">
        <is>
          <t>2007-02-12</t>
        </is>
      </c>
      <c r="X1402" t="inlineStr">
        <is>
          <t>2007-02-12</t>
        </is>
      </c>
      <c r="Y1402" t="n">
        <v>185</v>
      </c>
      <c r="Z1402" t="n">
        <v>141</v>
      </c>
      <c r="AA1402" t="n">
        <v>142</v>
      </c>
      <c r="AB1402" t="n">
        <v>1</v>
      </c>
      <c r="AC1402" t="n">
        <v>1</v>
      </c>
      <c r="AD1402" t="n">
        <v>17</v>
      </c>
      <c r="AE1402" t="n">
        <v>17</v>
      </c>
      <c r="AF1402" t="n">
        <v>4</v>
      </c>
      <c r="AG1402" t="n">
        <v>4</v>
      </c>
      <c r="AH1402" t="n">
        <v>5</v>
      </c>
      <c r="AI1402" t="n">
        <v>5</v>
      </c>
      <c r="AJ1402" t="n">
        <v>15</v>
      </c>
      <c r="AK1402" t="n">
        <v>15</v>
      </c>
      <c r="AL1402" t="n">
        <v>0</v>
      </c>
      <c r="AM1402" t="n">
        <v>0</v>
      </c>
      <c r="AN1402" t="n">
        <v>0</v>
      </c>
      <c r="AO1402" t="n">
        <v>0</v>
      </c>
      <c r="AP1402" t="inlineStr">
        <is>
          <t>No</t>
        </is>
      </c>
      <c r="AQ1402" t="inlineStr">
        <is>
          <t>Yes</t>
        </is>
      </c>
      <c r="AR1402">
        <f>HYPERLINK("http://catalog.hathitrust.org/Record/006019706","HathiTrust Record")</f>
        <v/>
      </c>
      <c r="AS1402">
        <f>HYPERLINK("https://creighton-primo.hosted.exlibrisgroup.com/primo-explore/search?tab=default_tab&amp;search_scope=EVERYTHING&amp;vid=01CRU&amp;lang=en_US&amp;offset=0&amp;query=any,contains,991005022409702656","Catalog Record")</f>
        <v/>
      </c>
      <c r="AT1402">
        <f>HYPERLINK("http://www.worldcat.org/oclc/59099001","WorldCat Record")</f>
        <v/>
      </c>
      <c r="AU1402" t="inlineStr">
        <is>
          <t>20338786:eng</t>
        </is>
      </c>
      <c r="AV1402" t="inlineStr">
        <is>
          <t>59099001</t>
        </is>
      </c>
      <c r="AW1402" t="inlineStr">
        <is>
          <t>991005022409702656</t>
        </is>
      </c>
      <c r="AX1402" t="inlineStr">
        <is>
          <t>991005022409702656</t>
        </is>
      </c>
      <c r="AY1402" t="inlineStr">
        <is>
          <t>2272145360002656</t>
        </is>
      </c>
      <c r="AZ1402" t="inlineStr">
        <is>
          <t>BOOK</t>
        </is>
      </c>
      <c r="BB1402" t="inlineStr">
        <is>
          <t>9781570756238</t>
        </is>
      </c>
      <c r="BC1402" t="inlineStr">
        <is>
          <t>32285005274989</t>
        </is>
      </c>
      <c r="BD1402" t="inlineStr">
        <is>
          <t>893719665</t>
        </is>
      </c>
    </row>
    <row r="1403">
      <c r="A1403" t="inlineStr">
        <is>
          <t>No</t>
        </is>
      </c>
      <c r="B1403" t="inlineStr">
        <is>
          <t>BX2347.8.C5 W35 1995</t>
        </is>
      </c>
      <c r="C1403" t="inlineStr">
        <is>
          <t>0                      BX 2347800C  5                  W  35          1995</t>
        </is>
      </c>
      <c r="D1403" t="inlineStr">
        <is>
          <t>Walk in the light : a pastoral response to child sexual abuse / a statement by the Bishops' Committees on Women in Society and in the Church, and Marriage and Family.</t>
        </is>
      </c>
      <c r="F1403" t="inlineStr">
        <is>
          <t>No</t>
        </is>
      </c>
      <c r="G1403" t="inlineStr">
        <is>
          <t>1</t>
        </is>
      </c>
      <c r="H1403" t="inlineStr">
        <is>
          <t>No</t>
        </is>
      </c>
      <c r="I1403" t="inlineStr">
        <is>
          <t>No</t>
        </is>
      </c>
      <c r="J1403" t="inlineStr">
        <is>
          <t>0</t>
        </is>
      </c>
      <c r="K1403" t="inlineStr">
        <is>
          <t>Catholic Church. National Conference of Catholic Bishops. Bishops' Committee on Women in Society and in the Church.</t>
        </is>
      </c>
      <c r="L1403" t="inlineStr">
        <is>
          <t>Washington, D.C. : U.S. Catholic Conference, 1995.</t>
        </is>
      </c>
      <c r="M1403" t="inlineStr">
        <is>
          <t>1995</t>
        </is>
      </c>
      <c r="O1403" t="inlineStr">
        <is>
          <t>eng</t>
        </is>
      </c>
      <c r="P1403" t="inlineStr">
        <is>
          <t>dcu</t>
        </is>
      </c>
      <c r="Q1403" t="inlineStr">
        <is>
          <t>Publication ; no. 5-000</t>
        </is>
      </c>
      <c r="R1403" t="inlineStr">
        <is>
          <t xml:space="preserve">BX </t>
        </is>
      </c>
      <c r="S1403" t="n">
        <v>3</v>
      </c>
      <c r="T1403" t="n">
        <v>3</v>
      </c>
      <c r="U1403" t="inlineStr">
        <is>
          <t>1999-06-30</t>
        </is>
      </c>
      <c r="V1403" t="inlineStr">
        <is>
          <t>1999-06-30</t>
        </is>
      </c>
      <c r="W1403" t="inlineStr">
        <is>
          <t>1996-01-23</t>
        </is>
      </c>
      <c r="X1403" t="inlineStr">
        <is>
          <t>1996-01-23</t>
        </is>
      </c>
      <c r="Y1403" t="n">
        <v>48</v>
      </c>
      <c r="Z1403" t="n">
        <v>47</v>
      </c>
      <c r="AA1403" t="n">
        <v>47</v>
      </c>
      <c r="AB1403" t="n">
        <v>1</v>
      </c>
      <c r="AC1403" t="n">
        <v>1</v>
      </c>
      <c r="AD1403" t="n">
        <v>9</v>
      </c>
      <c r="AE1403" t="n">
        <v>9</v>
      </c>
      <c r="AF1403" t="n">
        <v>0</v>
      </c>
      <c r="AG1403" t="n">
        <v>0</v>
      </c>
      <c r="AH1403" t="n">
        <v>4</v>
      </c>
      <c r="AI1403" t="n">
        <v>4</v>
      </c>
      <c r="AJ1403" t="n">
        <v>6</v>
      </c>
      <c r="AK1403" t="n">
        <v>6</v>
      </c>
      <c r="AL1403" t="n">
        <v>0</v>
      </c>
      <c r="AM1403" t="n">
        <v>0</v>
      </c>
      <c r="AN1403" t="n">
        <v>0</v>
      </c>
      <c r="AO1403" t="n">
        <v>0</v>
      </c>
      <c r="AP1403" t="inlineStr">
        <is>
          <t>No</t>
        </is>
      </c>
      <c r="AQ1403" t="inlineStr">
        <is>
          <t>No</t>
        </is>
      </c>
      <c r="AS1403">
        <f>HYPERLINK("https://creighton-primo.hosted.exlibrisgroup.com/primo-explore/search?tab=default_tab&amp;search_scope=EVERYTHING&amp;vid=01CRU&amp;lang=en_US&amp;offset=0&amp;query=any,contains,991002585309702656","Catalog Record")</f>
        <v/>
      </c>
      <c r="AT1403">
        <f>HYPERLINK("http://www.worldcat.org/oclc/33886970","WorldCat Record")</f>
        <v/>
      </c>
      <c r="AU1403" t="inlineStr">
        <is>
          <t>39540852:eng</t>
        </is>
      </c>
      <c r="AV1403" t="inlineStr">
        <is>
          <t>33886970</t>
        </is>
      </c>
      <c r="AW1403" t="inlineStr">
        <is>
          <t>991002585309702656</t>
        </is>
      </c>
      <c r="AX1403" t="inlineStr">
        <is>
          <t>991002585309702656</t>
        </is>
      </c>
      <c r="AY1403" t="inlineStr">
        <is>
          <t>2271479980002656</t>
        </is>
      </c>
      <c r="AZ1403" t="inlineStr">
        <is>
          <t>BOOK</t>
        </is>
      </c>
      <c r="BB1403" t="inlineStr">
        <is>
          <t>9781574550009</t>
        </is>
      </c>
      <c r="BC1403" t="inlineStr">
        <is>
          <t>32285002125390</t>
        </is>
      </c>
      <c r="BD1403" t="inlineStr">
        <is>
          <t>893535093</t>
        </is>
      </c>
    </row>
    <row r="1404">
      <c r="A1404" t="inlineStr">
        <is>
          <t>No</t>
        </is>
      </c>
      <c r="B1404" t="inlineStr">
        <is>
          <t>BX2347.8.E82 D86 1997</t>
        </is>
      </c>
      <c r="C1404" t="inlineStr">
        <is>
          <t>0                      BX 2347800E  82                 D  86          1997</t>
        </is>
      </c>
      <c r="D1404" t="inlineStr">
        <is>
          <t>Could you ever come back to the Catholic Church? / Lorene Hanley Duquin ; afterword by Henry J. Mansell.</t>
        </is>
      </c>
      <c r="F1404" t="inlineStr">
        <is>
          <t>No</t>
        </is>
      </c>
      <c r="G1404" t="inlineStr">
        <is>
          <t>1</t>
        </is>
      </c>
      <c r="H1404" t="inlineStr">
        <is>
          <t>No</t>
        </is>
      </c>
      <c r="I1404" t="inlineStr">
        <is>
          <t>No</t>
        </is>
      </c>
      <c r="J1404" t="inlineStr">
        <is>
          <t>0</t>
        </is>
      </c>
      <c r="K1404" t="inlineStr">
        <is>
          <t>Duquin, Lorene Hanley.</t>
        </is>
      </c>
      <c r="L1404" t="inlineStr">
        <is>
          <t>New York : Alba House, c1997.</t>
        </is>
      </c>
      <c r="M1404" t="inlineStr">
        <is>
          <t>1997</t>
        </is>
      </c>
      <c r="O1404" t="inlineStr">
        <is>
          <t>eng</t>
        </is>
      </c>
      <c r="P1404" t="inlineStr">
        <is>
          <t>nyu</t>
        </is>
      </c>
      <c r="R1404" t="inlineStr">
        <is>
          <t xml:space="preserve">BX </t>
        </is>
      </c>
      <c r="S1404" t="n">
        <v>5</v>
      </c>
      <c r="T1404" t="n">
        <v>5</v>
      </c>
      <c r="U1404" t="inlineStr">
        <is>
          <t>2003-12-18</t>
        </is>
      </c>
      <c r="V1404" t="inlineStr">
        <is>
          <t>2003-12-18</t>
        </is>
      </c>
      <c r="W1404" t="inlineStr">
        <is>
          <t>2002-08-12</t>
        </is>
      </c>
      <c r="X1404" t="inlineStr">
        <is>
          <t>2002-08-12</t>
        </is>
      </c>
      <c r="Y1404" t="n">
        <v>56</v>
      </c>
      <c r="Z1404" t="n">
        <v>48</v>
      </c>
      <c r="AA1404" t="n">
        <v>53</v>
      </c>
      <c r="AB1404" t="n">
        <v>1</v>
      </c>
      <c r="AC1404" t="n">
        <v>1</v>
      </c>
      <c r="AD1404" t="n">
        <v>5</v>
      </c>
      <c r="AE1404" t="n">
        <v>5</v>
      </c>
      <c r="AF1404" t="n">
        <v>1</v>
      </c>
      <c r="AG1404" t="n">
        <v>1</v>
      </c>
      <c r="AH1404" t="n">
        <v>0</v>
      </c>
      <c r="AI1404" t="n">
        <v>0</v>
      </c>
      <c r="AJ1404" t="n">
        <v>5</v>
      </c>
      <c r="AK1404" t="n">
        <v>5</v>
      </c>
      <c r="AL1404" t="n">
        <v>0</v>
      </c>
      <c r="AM1404" t="n">
        <v>0</v>
      </c>
      <c r="AN1404" t="n">
        <v>0</v>
      </c>
      <c r="AO1404" t="n">
        <v>0</v>
      </c>
      <c r="AP1404" t="inlineStr">
        <is>
          <t>No</t>
        </is>
      </c>
      <c r="AQ1404" t="inlineStr">
        <is>
          <t>No</t>
        </is>
      </c>
      <c r="AS1404">
        <f>HYPERLINK("https://creighton-primo.hosted.exlibrisgroup.com/primo-explore/search?tab=default_tab&amp;search_scope=EVERYTHING&amp;vid=01CRU&amp;lang=en_US&amp;offset=0&amp;query=any,contains,991003854799702656","Catalog Record")</f>
        <v/>
      </c>
      <c r="AT1404">
        <f>HYPERLINK("http://www.worldcat.org/oclc/36051197","WorldCat Record")</f>
        <v/>
      </c>
      <c r="AU1404" t="inlineStr">
        <is>
          <t>623549:eng</t>
        </is>
      </c>
      <c r="AV1404" t="inlineStr">
        <is>
          <t>36051197</t>
        </is>
      </c>
      <c r="AW1404" t="inlineStr">
        <is>
          <t>991003854799702656</t>
        </is>
      </c>
      <c r="AX1404" t="inlineStr">
        <is>
          <t>991003854799702656</t>
        </is>
      </c>
      <c r="AY1404" t="inlineStr">
        <is>
          <t>2263660480002656</t>
        </is>
      </c>
      <c r="AZ1404" t="inlineStr">
        <is>
          <t>BOOK</t>
        </is>
      </c>
      <c r="BB1404" t="inlineStr">
        <is>
          <t>9780818907890</t>
        </is>
      </c>
      <c r="BC1404" t="inlineStr">
        <is>
          <t>32285004642608</t>
        </is>
      </c>
      <c r="BD1404" t="inlineStr">
        <is>
          <t>893410800</t>
        </is>
      </c>
    </row>
    <row r="1405">
      <c r="A1405" t="inlineStr">
        <is>
          <t>No</t>
        </is>
      </c>
      <c r="B1405" t="inlineStr">
        <is>
          <t>BX2347.8.E82 F56 2003</t>
        </is>
      </c>
      <c r="C1405" t="inlineStr">
        <is>
          <t>0                      BX 2347800E  82                 F  56          2003</t>
        </is>
      </c>
      <c r="D1405" t="inlineStr">
        <is>
          <t>It's not the same without you : coming home to the Catholic Church / Mitch Finley.</t>
        </is>
      </c>
      <c r="F1405" t="inlineStr">
        <is>
          <t>No</t>
        </is>
      </c>
      <c r="G1405" t="inlineStr">
        <is>
          <t>1</t>
        </is>
      </c>
      <c r="H1405" t="inlineStr">
        <is>
          <t>No</t>
        </is>
      </c>
      <c r="I1405" t="inlineStr">
        <is>
          <t>No</t>
        </is>
      </c>
      <c r="J1405" t="inlineStr">
        <is>
          <t>0</t>
        </is>
      </c>
      <c r="K1405" t="inlineStr">
        <is>
          <t>Finley, Mitch.</t>
        </is>
      </c>
      <c r="L1405" t="inlineStr">
        <is>
          <t>New York : Image Books/Doubleday, 2003.</t>
        </is>
      </c>
      <c r="M1405" t="inlineStr">
        <is>
          <t>2003</t>
        </is>
      </c>
      <c r="N1405" t="inlineStr">
        <is>
          <t>1st ed.</t>
        </is>
      </c>
      <c r="O1405" t="inlineStr">
        <is>
          <t>eng</t>
        </is>
      </c>
      <c r="P1405" t="inlineStr">
        <is>
          <t>nyu</t>
        </is>
      </c>
      <c r="R1405" t="inlineStr">
        <is>
          <t xml:space="preserve">BX </t>
        </is>
      </c>
      <c r="S1405" t="n">
        <v>1</v>
      </c>
      <c r="T1405" t="n">
        <v>1</v>
      </c>
      <c r="U1405" t="inlineStr">
        <is>
          <t>2003-07-24</t>
        </is>
      </c>
      <c r="V1405" t="inlineStr">
        <is>
          <t>2003-07-24</t>
        </is>
      </c>
      <c r="W1405" t="inlineStr">
        <is>
          <t>2003-07-24</t>
        </is>
      </c>
      <c r="X1405" t="inlineStr">
        <is>
          <t>2003-07-24</t>
        </is>
      </c>
      <c r="Y1405" t="n">
        <v>152</v>
      </c>
      <c r="Z1405" t="n">
        <v>146</v>
      </c>
      <c r="AA1405" t="n">
        <v>160</v>
      </c>
      <c r="AB1405" t="n">
        <v>1</v>
      </c>
      <c r="AC1405" t="n">
        <v>2</v>
      </c>
      <c r="AD1405" t="n">
        <v>7</v>
      </c>
      <c r="AE1405" t="n">
        <v>9</v>
      </c>
      <c r="AF1405" t="n">
        <v>3</v>
      </c>
      <c r="AG1405" t="n">
        <v>4</v>
      </c>
      <c r="AH1405" t="n">
        <v>2</v>
      </c>
      <c r="AI1405" t="n">
        <v>3</v>
      </c>
      <c r="AJ1405" t="n">
        <v>5</v>
      </c>
      <c r="AK1405" t="n">
        <v>5</v>
      </c>
      <c r="AL1405" t="n">
        <v>0</v>
      </c>
      <c r="AM1405" t="n">
        <v>1</v>
      </c>
      <c r="AN1405" t="n">
        <v>0</v>
      </c>
      <c r="AO1405" t="n">
        <v>0</v>
      </c>
      <c r="AP1405" t="inlineStr">
        <is>
          <t>No</t>
        </is>
      </c>
      <c r="AQ1405" t="inlineStr">
        <is>
          <t>No</t>
        </is>
      </c>
      <c r="AS1405">
        <f>HYPERLINK("https://creighton-primo.hosted.exlibrisgroup.com/primo-explore/search?tab=default_tab&amp;search_scope=EVERYTHING&amp;vid=01CRU&amp;lang=en_US&amp;offset=0&amp;query=any,contains,991004094189702656","Catalog Record")</f>
        <v/>
      </c>
      <c r="AT1405">
        <f>HYPERLINK("http://www.worldcat.org/oclc/50479235","WorldCat Record")</f>
        <v/>
      </c>
      <c r="AU1405" t="inlineStr">
        <is>
          <t>1823822459:eng</t>
        </is>
      </c>
      <c r="AV1405" t="inlineStr">
        <is>
          <t>50479235</t>
        </is>
      </c>
      <c r="AW1405" t="inlineStr">
        <is>
          <t>991004094189702656</t>
        </is>
      </c>
      <c r="AX1405" t="inlineStr">
        <is>
          <t>991004094189702656</t>
        </is>
      </c>
      <c r="AY1405" t="inlineStr">
        <is>
          <t>2258125640002656</t>
        </is>
      </c>
      <c r="AZ1405" t="inlineStr">
        <is>
          <t>BOOK</t>
        </is>
      </c>
      <c r="BB1405" t="inlineStr">
        <is>
          <t>9780385505680</t>
        </is>
      </c>
      <c r="BC1405" t="inlineStr">
        <is>
          <t>32285004757232</t>
        </is>
      </c>
      <c r="BD1405" t="inlineStr">
        <is>
          <t>893228928</t>
        </is>
      </c>
    </row>
    <row r="1406">
      <c r="A1406" t="inlineStr">
        <is>
          <t>No</t>
        </is>
      </c>
      <c r="B1406" t="inlineStr">
        <is>
          <t>BX2347.8.F3 B87 1988</t>
        </is>
      </c>
      <c r="C1406" t="inlineStr">
        <is>
          <t>0                      BX 2347800F  3                  B  87          1988</t>
        </is>
      </c>
      <c r="D1406" t="inlineStr">
        <is>
          <t>American Catholics and the family crisis, 1930-1962 : an ideological and organizational response / Jeffrey M. Burns.</t>
        </is>
      </c>
      <c r="F1406" t="inlineStr">
        <is>
          <t>No</t>
        </is>
      </c>
      <c r="G1406" t="inlineStr">
        <is>
          <t>1</t>
        </is>
      </c>
      <c r="H1406" t="inlineStr">
        <is>
          <t>No</t>
        </is>
      </c>
      <c r="I1406" t="inlineStr">
        <is>
          <t>No</t>
        </is>
      </c>
      <c r="J1406" t="inlineStr">
        <is>
          <t>0</t>
        </is>
      </c>
      <c r="K1406" t="inlineStr">
        <is>
          <t>Burns, Jeffrey M.</t>
        </is>
      </c>
      <c r="L1406" t="inlineStr">
        <is>
          <t>New York : Garland, 1988.</t>
        </is>
      </c>
      <c r="M1406" t="inlineStr">
        <is>
          <t>1988</t>
        </is>
      </c>
      <c r="O1406" t="inlineStr">
        <is>
          <t>eng</t>
        </is>
      </c>
      <c r="P1406" t="inlineStr">
        <is>
          <t>nyu</t>
        </is>
      </c>
      <c r="Q1406" t="inlineStr">
        <is>
          <t>The Heritage of American Catholicism</t>
        </is>
      </c>
      <c r="R1406" t="inlineStr">
        <is>
          <t xml:space="preserve">BX </t>
        </is>
      </c>
      <c r="S1406" t="n">
        <v>4</v>
      </c>
      <c r="T1406" t="n">
        <v>4</v>
      </c>
      <c r="U1406" t="inlineStr">
        <is>
          <t>2000-11-29</t>
        </is>
      </c>
      <c r="V1406" t="inlineStr">
        <is>
          <t>2000-11-29</t>
        </is>
      </c>
      <c r="W1406" t="inlineStr">
        <is>
          <t>1991-10-23</t>
        </is>
      </c>
      <c r="X1406" t="inlineStr">
        <is>
          <t>1991-10-23</t>
        </is>
      </c>
      <c r="Y1406" t="n">
        <v>130</v>
      </c>
      <c r="Z1406" t="n">
        <v>119</v>
      </c>
      <c r="AA1406" t="n">
        <v>120</v>
      </c>
      <c r="AB1406" t="n">
        <v>1</v>
      </c>
      <c r="AC1406" t="n">
        <v>1</v>
      </c>
      <c r="AD1406" t="n">
        <v>18</v>
      </c>
      <c r="AE1406" t="n">
        <v>18</v>
      </c>
      <c r="AF1406" t="n">
        <v>6</v>
      </c>
      <c r="AG1406" t="n">
        <v>6</v>
      </c>
      <c r="AH1406" t="n">
        <v>4</v>
      </c>
      <c r="AI1406" t="n">
        <v>4</v>
      </c>
      <c r="AJ1406" t="n">
        <v>12</v>
      </c>
      <c r="AK1406" t="n">
        <v>12</v>
      </c>
      <c r="AL1406" t="n">
        <v>0</v>
      </c>
      <c r="AM1406" t="n">
        <v>0</v>
      </c>
      <c r="AN1406" t="n">
        <v>0</v>
      </c>
      <c r="AO1406" t="n">
        <v>0</v>
      </c>
      <c r="AP1406" t="inlineStr">
        <is>
          <t>No</t>
        </is>
      </c>
      <c r="AQ1406" t="inlineStr">
        <is>
          <t>No</t>
        </is>
      </c>
      <c r="AS1406">
        <f>HYPERLINK("https://creighton-primo.hosted.exlibrisgroup.com/primo-explore/search?tab=default_tab&amp;search_scope=EVERYTHING&amp;vid=01CRU&amp;lang=en_US&amp;offset=0&amp;query=any,contains,991001250059702656","Catalog Record")</f>
        <v/>
      </c>
      <c r="AT1406">
        <f>HYPERLINK("http://www.worldcat.org/oclc/17674896","WorldCat Record")</f>
        <v/>
      </c>
      <c r="AU1406" t="inlineStr">
        <is>
          <t>836840039:eng</t>
        </is>
      </c>
      <c r="AV1406" t="inlineStr">
        <is>
          <t>17674896</t>
        </is>
      </c>
      <c r="AW1406" t="inlineStr">
        <is>
          <t>991001250059702656</t>
        </is>
      </c>
      <c r="AX1406" t="inlineStr">
        <is>
          <t>991001250059702656</t>
        </is>
      </c>
      <c r="AY1406" t="inlineStr">
        <is>
          <t>2263687200002656</t>
        </is>
      </c>
      <c r="AZ1406" t="inlineStr">
        <is>
          <t>BOOK</t>
        </is>
      </c>
      <c r="BB1406" t="inlineStr">
        <is>
          <t>9780824040888</t>
        </is>
      </c>
      <c r="BC1406" t="inlineStr">
        <is>
          <t>32285000811249</t>
        </is>
      </c>
      <c r="BD1406" t="inlineStr">
        <is>
          <t>893596324</t>
        </is>
      </c>
    </row>
    <row r="1407">
      <c r="A1407" t="inlineStr">
        <is>
          <t>No</t>
        </is>
      </c>
      <c r="B1407" t="inlineStr">
        <is>
          <t>BX2347.8.H3 O63 2003</t>
        </is>
      </c>
      <c r="C1407" t="inlineStr">
        <is>
          <t>0                      BX 2347800H  3                  O  63          2003</t>
        </is>
      </c>
      <c r="D1407" t="inlineStr">
        <is>
          <t>Opening doors of welcome and justice to parishoners with disabilities : a parish resource guide.</t>
        </is>
      </c>
      <c r="F1407" t="inlineStr">
        <is>
          <t>No</t>
        </is>
      </c>
      <c r="G1407" t="inlineStr">
        <is>
          <t>1</t>
        </is>
      </c>
      <c r="H1407" t="inlineStr">
        <is>
          <t>No</t>
        </is>
      </c>
      <c r="I1407" t="inlineStr">
        <is>
          <t>No</t>
        </is>
      </c>
      <c r="J1407" t="inlineStr">
        <is>
          <t>0</t>
        </is>
      </c>
      <c r="L1407" t="inlineStr">
        <is>
          <t>Washington, D.C. : National Catholic Partnership on Disability, 2003.</t>
        </is>
      </c>
      <c r="M1407" t="inlineStr">
        <is>
          <t>2003</t>
        </is>
      </c>
      <c r="O1407" t="inlineStr">
        <is>
          <t>eng</t>
        </is>
      </c>
      <c r="P1407" t="inlineStr">
        <is>
          <t>dcu</t>
        </is>
      </c>
      <c r="R1407" t="inlineStr">
        <is>
          <t xml:space="preserve">BX </t>
        </is>
      </c>
      <c r="S1407" t="n">
        <v>1</v>
      </c>
      <c r="T1407" t="n">
        <v>1</v>
      </c>
      <c r="U1407" t="inlineStr">
        <is>
          <t>2004-01-21</t>
        </is>
      </c>
      <c r="V1407" t="inlineStr">
        <is>
          <t>2004-01-21</t>
        </is>
      </c>
      <c r="W1407" t="inlineStr">
        <is>
          <t>2004-01-21</t>
        </is>
      </c>
      <c r="X1407" t="inlineStr">
        <is>
          <t>2004-01-21</t>
        </is>
      </c>
      <c r="Y1407" t="n">
        <v>60</v>
      </c>
      <c r="Z1407" t="n">
        <v>57</v>
      </c>
      <c r="AA1407" t="n">
        <v>57</v>
      </c>
      <c r="AB1407" t="n">
        <v>1</v>
      </c>
      <c r="AC1407" t="n">
        <v>1</v>
      </c>
      <c r="AD1407" t="n">
        <v>9</v>
      </c>
      <c r="AE1407" t="n">
        <v>9</v>
      </c>
      <c r="AF1407" t="n">
        <v>2</v>
      </c>
      <c r="AG1407" t="n">
        <v>2</v>
      </c>
      <c r="AH1407" t="n">
        <v>2</v>
      </c>
      <c r="AI1407" t="n">
        <v>2</v>
      </c>
      <c r="AJ1407" t="n">
        <v>7</v>
      </c>
      <c r="AK1407" t="n">
        <v>7</v>
      </c>
      <c r="AL1407" t="n">
        <v>0</v>
      </c>
      <c r="AM1407" t="n">
        <v>0</v>
      </c>
      <c r="AN1407" t="n">
        <v>0</v>
      </c>
      <c r="AO1407" t="n">
        <v>0</v>
      </c>
      <c r="AP1407" t="inlineStr">
        <is>
          <t>No</t>
        </is>
      </c>
      <c r="AQ1407" t="inlineStr">
        <is>
          <t>No</t>
        </is>
      </c>
      <c r="AS1407">
        <f>HYPERLINK("https://creighton-primo.hosted.exlibrisgroup.com/primo-explore/search?tab=default_tab&amp;search_scope=EVERYTHING&amp;vid=01CRU&amp;lang=en_US&amp;offset=0&amp;query=any,contains,991004219999702656","Catalog Record")</f>
        <v/>
      </c>
      <c r="AT1407">
        <f>HYPERLINK("http://www.worldcat.org/oclc/54045956","WorldCat Record")</f>
        <v/>
      </c>
      <c r="AU1407" t="inlineStr">
        <is>
          <t>13381868:eng</t>
        </is>
      </c>
      <c r="AV1407" t="inlineStr">
        <is>
          <t>54045956</t>
        </is>
      </c>
      <c r="AW1407" t="inlineStr">
        <is>
          <t>991004219999702656</t>
        </is>
      </c>
      <c r="AX1407" t="inlineStr">
        <is>
          <t>991004219999702656</t>
        </is>
      </c>
      <c r="AY1407" t="inlineStr">
        <is>
          <t>2259446450002656</t>
        </is>
      </c>
      <c r="AZ1407" t="inlineStr">
        <is>
          <t>BOOK</t>
        </is>
      </c>
      <c r="BB1407" t="inlineStr">
        <is>
          <t>9781574556049</t>
        </is>
      </c>
      <c r="BC1407" t="inlineStr">
        <is>
          <t>32285004635438</t>
        </is>
      </c>
      <c r="BD1407" t="inlineStr">
        <is>
          <t>893429798</t>
        </is>
      </c>
    </row>
    <row r="1408">
      <c r="A1408" t="inlineStr">
        <is>
          <t>No</t>
        </is>
      </c>
      <c r="B1408" t="inlineStr">
        <is>
          <t>BX2347.8.H3 U53</t>
        </is>
      </c>
      <c r="C1408" t="inlineStr">
        <is>
          <t>0                      BX 2347800H  3                  U  53</t>
        </is>
      </c>
      <c r="D1408" t="inlineStr">
        <is>
          <t>Pastoral statement of United States Catholic bishops on handicapped people.</t>
        </is>
      </c>
      <c r="F1408" t="inlineStr">
        <is>
          <t>No</t>
        </is>
      </c>
      <c r="G1408" t="inlineStr">
        <is>
          <t>1</t>
        </is>
      </c>
      <c r="H1408" t="inlineStr">
        <is>
          <t>No</t>
        </is>
      </c>
      <c r="I1408" t="inlineStr">
        <is>
          <t>No</t>
        </is>
      </c>
      <c r="J1408" t="inlineStr">
        <is>
          <t>0</t>
        </is>
      </c>
      <c r="L1408" t="inlineStr">
        <is>
          <t>Washington (D.C.) : Publications Office, United States Catholic Conference, 1978.</t>
        </is>
      </c>
      <c r="M1408" t="inlineStr">
        <is>
          <t>1978</t>
        </is>
      </c>
      <c r="O1408" t="inlineStr">
        <is>
          <t>eng</t>
        </is>
      </c>
      <c r="P1408" t="inlineStr">
        <is>
          <t>dcu</t>
        </is>
      </c>
      <c r="R1408" t="inlineStr">
        <is>
          <t xml:space="preserve">BX </t>
        </is>
      </c>
      <c r="S1408" t="n">
        <v>2</v>
      </c>
      <c r="T1408" t="n">
        <v>2</v>
      </c>
      <c r="U1408" t="inlineStr">
        <is>
          <t>1995-06-21</t>
        </is>
      </c>
      <c r="V1408" t="inlineStr">
        <is>
          <t>1995-06-21</t>
        </is>
      </c>
      <c r="W1408" t="inlineStr">
        <is>
          <t>1991-10-23</t>
        </is>
      </c>
      <c r="X1408" t="inlineStr">
        <is>
          <t>1991-10-23</t>
        </is>
      </c>
      <c r="Y1408" t="n">
        <v>39</v>
      </c>
      <c r="Z1408" t="n">
        <v>39</v>
      </c>
      <c r="AA1408" t="n">
        <v>39</v>
      </c>
      <c r="AB1408" t="n">
        <v>1</v>
      </c>
      <c r="AC1408" t="n">
        <v>1</v>
      </c>
      <c r="AD1408" t="n">
        <v>5</v>
      </c>
      <c r="AE1408" t="n">
        <v>5</v>
      </c>
      <c r="AF1408" t="n">
        <v>0</v>
      </c>
      <c r="AG1408" t="n">
        <v>0</v>
      </c>
      <c r="AH1408" t="n">
        <v>3</v>
      </c>
      <c r="AI1408" t="n">
        <v>3</v>
      </c>
      <c r="AJ1408" t="n">
        <v>3</v>
      </c>
      <c r="AK1408" t="n">
        <v>3</v>
      </c>
      <c r="AL1408" t="n">
        <v>0</v>
      </c>
      <c r="AM1408" t="n">
        <v>0</v>
      </c>
      <c r="AN1408" t="n">
        <v>0</v>
      </c>
      <c r="AO1408" t="n">
        <v>0</v>
      </c>
      <c r="AP1408" t="inlineStr">
        <is>
          <t>No</t>
        </is>
      </c>
      <c r="AQ1408" t="inlineStr">
        <is>
          <t>No</t>
        </is>
      </c>
      <c r="AS1408">
        <f>HYPERLINK("https://creighton-primo.hosted.exlibrisgroup.com/primo-explore/search?tab=default_tab&amp;search_scope=EVERYTHING&amp;vid=01CRU&amp;lang=en_US&amp;offset=0&amp;query=any,contains,991005109549702656","Catalog Record")</f>
        <v/>
      </c>
      <c r="AT1408">
        <f>HYPERLINK("http://www.worldcat.org/oclc/7398557","WorldCat Record")</f>
        <v/>
      </c>
      <c r="AU1408" t="inlineStr">
        <is>
          <t>42758599:eng</t>
        </is>
      </c>
      <c r="AV1408" t="inlineStr">
        <is>
          <t>7398557</t>
        </is>
      </c>
      <c r="AW1408" t="inlineStr">
        <is>
          <t>991005109549702656</t>
        </is>
      </c>
      <c r="AX1408" t="inlineStr">
        <is>
          <t>991005109549702656</t>
        </is>
      </c>
      <c r="AY1408" t="inlineStr">
        <is>
          <t>2263764730002656</t>
        </is>
      </c>
      <c r="AZ1408" t="inlineStr">
        <is>
          <t>BOOK</t>
        </is>
      </c>
      <c r="BC1408" t="inlineStr">
        <is>
          <t>32285000811272</t>
        </is>
      </c>
      <c r="BD1408" t="inlineStr">
        <is>
          <t>893344660</t>
        </is>
      </c>
    </row>
    <row r="1409">
      <c r="A1409" t="inlineStr">
        <is>
          <t>No</t>
        </is>
      </c>
      <c r="B1409" t="inlineStr">
        <is>
          <t>BX2347.8.H65 H37 1987</t>
        </is>
      </c>
      <c r="C1409" t="inlineStr">
        <is>
          <t>0                      BX 2347800H  65                 H  37          1987</t>
        </is>
      </c>
      <c r="D1409" t="inlineStr">
        <is>
          <t>The homosexual person : new thinking in pastoral care / John F. Harvey.</t>
        </is>
      </c>
      <c r="F1409" t="inlineStr">
        <is>
          <t>No</t>
        </is>
      </c>
      <c r="G1409" t="inlineStr">
        <is>
          <t>1</t>
        </is>
      </c>
      <c r="H1409" t="inlineStr">
        <is>
          <t>No</t>
        </is>
      </c>
      <c r="I1409" t="inlineStr">
        <is>
          <t>No</t>
        </is>
      </c>
      <c r="J1409" t="inlineStr">
        <is>
          <t>0</t>
        </is>
      </c>
      <c r="K1409" t="inlineStr">
        <is>
          <t>Harvey, John F. (John Francis), 1918-2010.</t>
        </is>
      </c>
      <c r="L1409" t="inlineStr">
        <is>
          <t>San Francisco : Ignatius Press, c1987.</t>
        </is>
      </c>
      <c r="M1409" t="inlineStr">
        <is>
          <t>1987</t>
        </is>
      </c>
      <c r="O1409" t="inlineStr">
        <is>
          <t>eng</t>
        </is>
      </c>
      <c r="P1409" t="inlineStr">
        <is>
          <t>cau</t>
        </is>
      </c>
      <c r="R1409" t="inlineStr">
        <is>
          <t xml:space="preserve">BX </t>
        </is>
      </c>
      <c r="S1409" t="n">
        <v>3</v>
      </c>
      <c r="T1409" t="n">
        <v>3</v>
      </c>
      <c r="U1409" t="inlineStr">
        <is>
          <t>2002-10-30</t>
        </is>
      </c>
      <c r="V1409" t="inlineStr">
        <is>
          <t>2002-10-30</t>
        </is>
      </c>
      <c r="W1409" t="inlineStr">
        <is>
          <t>2002-08-13</t>
        </is>
      </c>
      <c r="X1409" t="inlineStr">
        <is>
          <t>2002-08-13</t>
        </is>
      </c>
      <c r="Y1409" t="n">
        <v>254</v>
      </c>
      <c r="Z1409" t="n">
        <v>214</v>
      </c>
      <c r="AA1409" t="n">
        <v>219</v>
      </c>
      <c r="AB1409" t="n">
        <v>5</v>
      </c>
      <c r="AC1409" t="n">
        <v>5</v>
      </c>
      <c r="AD1409" t="n">
        <v>19</v>
      </c>
      <c r="AE1409" t="n">
        <v>19</v>
      </c>
      <c r="AF1409" t="n">
        <v>4</v>
      </c>
      <c r="AG1409" t="n">
        <v>4</v>
      </c>
      <c r="AH1409" t="n">
        <v>5</v>
      </c>
      <c r="AI1409" t="n">
        <v>5</v>
      </c>
      <c r="AJ1409" t="n">
        <v>14</v>
      </c>
      <c r="AK1409" t="n">
        <v>14</v>
      </c>
      <c r="AL1409" t="n">
        <v>2</v>
      </c>
      <c r="AM1409" t="n">
        <v>2</v>
      </c>
      <c r="AN1409" t="n">
        <v>0</v>
      </c>
      <c r="AO1409" t="n">
        <v>0</v>
      </c>
      <c r="AP1409" t="inlineStr">
        <is>
          <t>No</t>
        </is>
      </c>
      <c r="AQ1409" t="inlineStr">
        <is>
          <t>No</t>
        </is>
      </c>
      <c r="AS1409">
        <f>HYPERLINK("https://creighton-primo.hosted.exlibrisgroup.com/primo-explore/search?tab=default_tab&amp;search_scope=EVERYTHING&amp;vid=01CRU&amp;lang=en_US&amp;offset=0&amp;query=any,contains,991003855989702656","Catalog Record")</f>
        <v/>
      </c>
      <c r="AT1409">
        <f>HYPERLINK("http://www.worldcat.org/oclc/16933200","WorldCat Record")</f>
        <v/>
      </c>
      <c r="AU1409" t="inlineStr">
        <is>
          <t>2914036:eng</t>
        </is>
      </c>
      <c r="AV1409" t="inlineStr">
        <is>
          <t>16933200</t>
        </is>
      </c>
      <c r="AW1409" t="inlineStr">
        <is>
          <t>991003855989702656</t>
        </is>
      </c>
      <c r="AX1409" t="inlineStr">
        <is>
          <t>991003855989702656</t>
        </is>
      </c>
      <c r="AY1409" t="inlineStr">
        <is>
          <t>2257202240002656</t>
        </is>
      </c>
      <c r="AZ1409" t="inlineStr">
        <is>
          <t>BOOK</t>
        </is>
      </c>
      <c r="BB1409" t="inlineStr">
        <is>
          <t>9780898701692</t>
        </is>
      </c>
      <c r="BC1409" t="inlineStr">
        <is>
          <t>32285004642517</t>
        </is>
      </c>
      <c r="BD1409" t="inlineStr">
        <is>
          <t>893599065</t>
        </is>
      </c>
    </row>
    <row r="1410">
      <c r="A1410" t="inlineStr">
        <is>
          <t>No</t>
        </is>
      </c>
      <c r="B1410" t="inlineStr">
        <is>
          <t>BX2347.8.H65 H38 1996</t>
        </is>
      </c>
      <c r="C1410" t="inlineStr">
        <is>
          <t>0                      BX 2347800H  65                 H  38          1996</t>
        </is>
      </c>
      <c r="D1410" t="inlineStr">
        <is>
          <t>The truth about homosexuality : the cry of the faithful / John F. Harvey.</t>
        </is>
      </c>
      <c r="F1410" t="inlineStr">
        <is>
          <t>No</t>
        </is>
      </c>
      <c r="G1410" t="inlineStr">
        <is>
          <t>1</t>
        </is>
      </c>
      <c r="H1410" t="inlineStr">
        <is>
          <t>No</t>
        </is>
      </c>
      <c r="I1410" t="inlineStr">
        <is>
          <t>No</t>
        </is>
      </c>
      <c r="J1410" t="inlineStr">
        <is>
          <t>0</t>
        </is>
      </c>
      <c r="K1410" t="inlineStr">
        <is>
          <t>Harvey, John F. (John Francis), 1918-2010.</t>
        </is>
      </c>
      <c r="L1410" t="inlineStr">
        <is>
          <t>San Francisco : Ignatius Press, c1996.</t>
        </is>
      </c>
      <c r="M1410" t="inlineStr">
        <is>
          <t>1996</t>
        </is>
      </c>
      <c r="O1410" t="inlineStr">
        <is>
          <t>eng</t>
        </is>
      </c>
      <c r="P1410" t="inlineStr">
        <is>
          <t>cau</t>
        </is>
      </c>
      <c r="R1410" t="inlineStr">
        <is>
          <t xml:space="preserve">BX </t>
        </is>
      </c>
      <c r="S1410" t="n">
        <v>2</v>
      </c>
      <c r="T1410" t="n">
        <v>2</v>
      </c>
      <c r="U1410" t="inlineStr">
        <is>
          <t>2007-06-27</t>
        </is>
      </c>
      <c r="V1410" t="inlineStr">
        <is>
          <t>2007-06-27</t>
        </is>
      </c>
      <c r="W1410" t="inlineStr">
        <is>
          <t>2002-08-13</t>
        </is>
      </c>
      <c r="X1410" t="inlineStr">
        <is>
          <t>2002-08-13</t>
        </is>
      </c>
      <c r="Y1410" t="n">
        <v>256</v>
      </c>
      <c r="Z1410" t="n">
        <v>213</v>
      </c>
      <c r="AA1410" t="n">
        <v>213</v>
      </c>
      <c r="AB1410" t="n">
        <v>4</v>
      </c>
      <c r="AC1410" t="n">
        <v>4</v>
      </c>
      <c r="AD1410" t="n">
        <v>16</v>
      </c>
      <c r="AE1410" t="n">
        <v>16</v>
      </c>
      <c r="AF1410" t="n">
        <v>4</v>
      </c>
      <c r="AG1410" t="n">
        <v>4</v>
      </c>
      <c r="AH1410" t="n">
        <v>2</v>
      </c>
      <c r="AI1410" t="n">
        <v>2</v>
      </c>
      <c r="AJ1410" t="n">
        <v>13</v>
      </c>
      <c r="AK1410" t="n">
        <v>13</v>
      </c>
      <c r="AL1410" t="n">
        <v>1</v>
      </c>
      <c r="AM1410" t="n">
        <v>1</v>
      </c>
      <c r="AN1410" t="n">
        <v>0</v>
      </c>
      <c r="AO1410" t="n">
        <v>0</v>
      </c>
      <c r="AP1410" t="inlineStr">
        <is>
          <t>No</t>
        </is>
      </c>
      <c r="AQ1410" t="inlineStr">
        <is>
          <t>No</t>
        </is>
      </c>
      <c r="AS1410">
        <f>HYPERLINK("https://creighton-primo.hosted.exlibrisgroup.com/primo-explore/search?tab=default_tab&amp;search_scope=EVERYTHING&amp;vid=01CRU&amp;lang=en_US&amp;offset=0&amp;query=any,contains,991003855859702656","Catalog Record")</f>
        <v/>
      </c>
      <c r="AT1410">
        <f>HYPERLINK("http://www.worldcat.org/oclc/35699319","WorldCat Record")</f>
        <v/>
      </c>
      <c r="AU1410" t="inlineStr">
        <is>
          <t>45706406:eng</t>
        </is>
      </c>
      <c r="AV1410" t="inlineStr">
        <is>
          <t>35699319</t>
        </is>
      </c>
      <c r="AW1410" t="inlineStr">
        <is>
          <t>991003855859702656</t>
        </is>
      </c>
      <c r="AX1410" t="inlineStr">
        <is>
          <t>991003855859702656</t>
        </is>
      </c>
      <c r="AY1410" t="inlineStr">
        <is>
          <t>2259751730002656</t>
        </is>
      </c>
      <c r="AZ1410" t="inlineStr">
        <is>
          <t>BOOK</t>
        </is>
      </c>
      <c r="BB1410" t="inlineStr">
        <is>
          <t>9780898705836</t>
        </is>
      </c>
      <c r="BC1410" t="inlineStr">
        <is>
          <t>32285004642525</t>
        </is>
      </c>
      <c r="BD1410" t="inlineStr">
        <is>
          <t>893787901</t>
        </is>
      </c>
    </row>
    <row r="1411">
      <c r="A1411" t="inlineStr">
        <is>
          <t>No</t>
        </is>
      </c>
      <c r="B1411" t="inlineStr">
        <is>
          <t>BX2347.8.I49 P46 1992</t>
        </is>
      </c>
      <c r="C1411" t="inlineStr">
        <is>
          <t>0                      BX 2347800I  49                 P  46          1992</t>
        </is>
      </c>
      <c r="D1411" t="inlineStr">
        <is>
          <t>The People : reflections of native peoples on the Catholic experience in North America / [edited by Suzanne E. Hall].</t>
        </is>
      </c>
      <c r="F1411" t="inlineStr">
        <is>
          <t>No</t>
        </is>
      </c>
      <c r="G1411" t="inlineStr">
        <is>
          <t>1</t>
        </is>
      </c>
      <c r="H1411" t="inlineStr">
        <is>
          <t>No</t>
        </is>
      </c>
      <c r="I1411" t="inlineStr">
        <is>
          <t>No</t>
        </is>
      </c>
      <c r="J1411" t="inlineStr">
        <is>
          <t>0</t>
        </is>
      </c>
      <c r="L1411" t="inlineStr">
        <is>
          <t>Washington, D.C. : National Catholic Educational Association, 1992.</t>
        </is>
      </c>
      <c r="M1411" t="inlineStr">
        <is>
          <t>1992</t>
        </is>
      </c>
      <c r="O1411" t="inlineStr">
        <is>
          <t>eng</t>
        </is>
      </c>
      <c r="P1411" t="inlineStr">
        <is>
          <t>dcu</t>
        </is>
      </c>
      <c r="R1411" t="inlineStr">
        <is>
          <t xml:space="preserve">BX </t>
        </is>
      </c>
      <c r="S1411" t="n">
        <v>1</v>
      </c>
      <c r="T1411" t="n">
        <v>1</v>
      </c>
      <c r="U1411" t="inlineStr">
        <is>
          <t>2010-03-19</t>
        </is>
      </c>
      <c r="V1411" t="inlineStr">
        <is>
          <t>2010-03-19</t>
        </is>
      </c>
      <c r="W1411" t="inlineStr">
        <is>
          <t>1997-02-06</t>
        </is>
      </c>
      <c r="X1411" t="inlineStr">
        <is>
          <t>1997-02-06</t>
        </is>
      </c>
      <c r="Y1411" t="n">
        <v>63</v>
      </c>
      <c r="Z1411" t="n">
        <v>57</v>
      </c>
      <c r="AA1411" t="n">
        <v>59</v>
      </c>
      <c r="AB1411" t="n">
        <v>1</v>
      </c>
      <c r="AC1411" t="n">
        <v>1</v>
      </c>
      <c r="AD1411" t="n">
        <v>10</v>
      </c>
      <c r="AE1411" t="n">
        <v>10</v>
      </c>
      <c r="AF1411" t="n">
        <v>2</v>
      </c>
      <c r="AG1411" t="n">
        <v>2</v>
      </c>
      <c r="AH1411" t="n">
        <v>3</v>
      </c>
      <c r="AI1411" t="n">
        <v>3</v>
      </c>
      <c r="AJ1411" t="n">
        <v>8</v>
      </c>
      <c r="AK1411" t="n">
        <v>8</v>
      </c>
      <c r="AL1411" t="n">
        <v>0</v>
      </c>
      <c r="AM1411" t="n">
        <v>0</v>
      </c>
      <c r="AN1411" t="n">
        <v>0</v>
      </c>
      <c r="AO1411" t="n">
        <v>0</v>
      </c>
      <c r="AP1411" t="inlineStr">
        <is>
          <t>No</t>
        </is>
      </c>
      <c r="AQ1411" t="inlineStr">
        <is>
          <t>No</t>
        </is>
      </c>
      <c r="AS1411">
        <f>HYPERLINK("https://creighton-primo.hosted.exlibrisgroup.com/primo-explore/search?tab=default_tab&amp;search_scope=EVERYTHING&amp;vid=01CRU&amp;lang=en_US&amp;offset=0&amp;query=any,contains,991002078859702656","Catalog Record")</f>
        <v/>
      </c>
      <c r="AT1411">
        <f>HYPERLINK("http://www.worldcat.org/oclc/26653718","WorldCat Record")</f>
        <v/>
      </c>
      <c r="AU1411" t="inlineStr">
        <is>
          <t>1910915480:eng</t>
        </is>
      </c>
      <c r="AV1411" t="inlineStr">
        <is>
          <t>26653718</t>
        </is>
      </c>
      <c r="AW1411" t="inlineStr">
        <is>
          <t>991002078859702656</t>
        </is>
      </c>
      <c r="AX1411" t="inlineStr">
        <is>
          <t>991002078859702656</t>
        </is>
      </c>
      <c r="AY1411" t="inlineStr">
        <is>
          <t>2270609050002656</t>
        </is>
      </c>
      <c r="AZ1411" t="inlineStr">
        <is>
          <t>BOOK</t>
        </is>
      </c>
      <c r="BB1411" t="inlineStr">
        <is>
          <t>9781558331174</t>
        </is>
      </c>
      <c r="BC1411" t="inlineStr">
        <is>
          <t>32285002414646</t>
        </is>
      </c>
      <c r="BD1411" t="inlineStr">
        <is>
          <t>893316351</t>
        </is>
      </c>
    </row>
    <row r="1412">
      <c r="A1412" t="inlineStr">
        <is>
          <t>No</t>
        </is>
      </c>
      <c r="B1412" t="inlineStr">
        <is>
          <t>BX2347.8.M5 N3 1997</t>
        </is>
      </c>
      <c r="C1412" t="inlineStr">
        <is>
          <t>0                      BX 2347800M  5                  N  3           1997</t>
        </is>
      </c>
      <c r="D1412" t="inlineStr">
        <is>
          <t>Reconciled through Christ : on reconciliation and greater collaboration between Hispanic American Catholics and African American Catholics / Committee on African American Catholics &amp; Committee on Hispanic Affairs.</t>
        </is>
      </c>
      <c r="F1412" t="inlineStr">
        <is>
          <t>No</t>
        </is>
      </c>
      <c r="G1412" t="inlineStr">
        <is>
          <t>1</t>
        </is>
      </c>
      <c r="H1412" t="inlineStr">
        <is>
          <t>No</t>
        </is>
      </c>
      <c r="I1412" t="inlineStr">
        <is>
          <t>No</t>
        </is>
      </c>
      <c r="J1412" t="inlineStr">
        <is>
          <t>0</t>
        </is>
      </c>
      <c r="K1412" t="inlineStr">
        <is>
          <t>McGlone, Mary M.</t>
        </is>
      </c>
      <c r="L1412" t="inlineStr">
        <is>
          <t>Washington, D.C. : United States Catholic Conference, c1997.</t>
        </is>
      </c>
      <c r="M1412" t="inlineStr">
        <is>
          <t>1997</t>
        </is>
      </c>
      <c r="N1412" t="inlineStr">
        <is>
          <t>Bilingual ed.</t>
        </is>
      </c>
      <c r="O1412" t="inlineStr">
        <is>
          <t>eng</t>
        </is>
      </c>
      <c r="P1412" t="inlineStr">
        <is>
          <t>dcu</t>
        </is>
      </c>
      <c r="R1412" t="inlineStr">
        <is>
          <t xml:space="preserve">BX </t>
        </is>
      </c>
      <c r="S1412" t="n">
        <v>2</v>
      </c>
      <c r="T1412" t="n">
        <v>2</v>
      </c>
      <c r="U1412" t="inlineStr">
        <is>
          <t>2008-04-13</t>
        </is>
      </c>
      <c r="V1412" t="inlineStr">
        <is>
          <t>2008-04-13</t>
        </is>
      </c>
      <c r="W1412" t="inlineStr">
        <is>
          <t>1997-04-29</t>
        </is>
      </c>
      <c r="X1412" t="inlineStr">
        <is>
          <t>1997-04-29</t>
        </is>
      </c>
      <c r="Y1412" t="n">
        <v>98</v>
      </c>
      <c r="Z1412" t="n">
        <v>93</v>
      </c>
      <c r="AA1412" t="n">
        <v>94</v>
      </c>
      <c r="AB1412" t="n">
        <v>1</v>
      </c>
      <c r="AC1412" t="n">
        <v>1</v>
      </c>
      <c r="AD1412" t="n">
        <v>14</v>
      </c>
      <c r="AE1412" t="n">
        <v>14</v>
      </c>
      <c r="AF1412" t="n">
        <v>5</v>
      </c>
      <c r="AG1412" t="n">
        <v>5</v>
      </c>
      <c r="AH1412" t="n">
        <v>4</v>
      </c>
      <c r="AI1412" t="n">
        <v>4</v>
      </c>
      <c r="AJ1412" t="n">
        <v>10</v>
      </c>
      <c r="AK1412" t="n">
        <v>10</v>
      </c>
      <c r="AL1412" t="n">
        <v>0</v>
      </c>
      <c r="AM1412" t="n">
        <v>0</v>
      </c>
      <c r="AN1412" t="n">
        <v>0</v>
      </c>
      <c r="AO1412" t="n">
        <v>0</v>
      </c>
      <c r="AP1412" t="inlineStr">
        <is>
          <t>No</t>
        </is>
      </c>
      <c r="AQ1412" t="inlineStr">
        <is>
          <t>No</t>
        </is>
      </c>
      <c r="AS1412">
        <f>HYPERLINK("https://creighton-primo.hosted.exlibrisgroup.com/primo-explore/search?tab=default_tab&amp;search_scope=EVERYTHING&amp;vid=01CRU&amp;lang=en_US&amp;offset=0&amp;query=any,contains,991002801789702656","Catalog Record")</f>
        <v/>
      </c>
      <c r="AT1412">
        <f>HYPERLINK("http://www.worldcat.org/oclc/37862854","WorldCat Record")</f>
        <v/>
      </c>
      <c r="AU1412" t="inlineStr">
        <is>
          <t>45331757:eng</t>
        </is>
      </c>
      <c r="AV1412" t="inlineStr">
        <is>
          <t>37862854</t>
        </is>
      </c>
      <c r="AW1412" t="inlineStr">
        <is>
          <t>991002801789702656</t>
        </is>
      </c>
      <c r="AX1412" t="inlineStr">
        <is>
          <t>991002801789702656</t>
        </is>
      </c>
      <c r="AY1412" t="inlineStr">
        <is>
          <t>2264278850002656</t>
        </is>
      </c>
      <c r="AZ1412" t="inlineStr">
        <is>
          <t>BOOK</t>
        </is>
      </c>
      <c r="BC1412" t="inlineStr">
        <is>
          <t>32285002542735</t>
        </is>
      </c>
      <c r="BD1412" t="inlineStr">
        <is>
          <t>893698288</t>
        </is>
      </c>
    </row>
    <row r="1413">
      <c r="A1413" t="inlineStr">
        <is>
          <t>No</t>
        </is>
      </c>
      <c r="B1413" t="inlineStr">
        <is>
          <t>BX2347.8.P66 C37 1999</t>
        </is>
      </c>
      <c r="C1413" t="inlineStr">
        <is>
          <t>0                      BX 2347800P  66                 C  37          1999</t>
        </is>
      </c>
      <c r="D1413" t="inlineStr">
        <is>
          <t>In all things charity : a pastoral challenge for the new millennium.</t>
        </is>
      </c>
      <c r="F1413" t="inlineStr">
        <is>
          <t>No</t>
        </is>
      </c>
      <c r="G1413" t="inlineStr">
        <is>
          <t>1</t>
        </is>
      </c>
      <c r="H1413" t="inlineStr">
        <is>
          <t>No</t>
        </is>
      </c>
      <c r="I1413" t="inlineStr">
        <is>
          <t>No</t>
        </is>
      </c>
      <c r="J1413" t="inlineStr">
        <is>
          <t>0</t>
        </is>
      </c>
      <c r="K1413" t="inlineStr">
        <is>
          <t>Catholic Church. National Conference of Catholic Bishops.</t>
        </is>
      </c>
      <c r="L1413" t="inlineStr">
        <is>
          <t>Washington, D.C. : United States Catholic Conference, c1999</t>
        </is>
      </c>
      <c r="M1413" t="inlineStr">
        <is>
          <t>1999</t>
        </is>
      </c>
      <c r="O1413" t="inlineStr">
        <is>
          <t>eng</t>
        </is>
      </c>
      <c r="P1413" t="inlineStr">
        <is>
          <t>dcu</t>
        </is>
      </c>
      <c r="Q1413" t="inlineStr">
        <is>
          <t>Publication (United States Catholic Conference) ; no. 5-358</t>
        </is>
      </c>
      <c r="R1413" t="inlineStr">
        <is>
          <t xml:space="preserve">BX </t>
        </is>
      </c>
      <c r="S1413" t="n">
        <v>2</v>
      </c>
      <c r="T1413" t="n">
        <v>2</v>
      </c>
      <c r="U1413" t="inlineStr">
        <is>
          <t>2000-11-27</t>
        </is>
      </c>
      <c r="V1413" t="inlineStr">
        <is>
          <t>2000-11-27</t>
        </is>
      </c>
      <c r="W1413" t="inlineStr">
        <is>
          <t>2000-03-02</t>
        </is>
      </c>
      <c r="X1413" t="inlineStr">
        <is>
          <t>2000-03-02</t>
        </is>
      </c>
      <c r="Y1413" t="n">
        <v>84</v>
      </c>
      <c r="Z1413" t="n">
        <v>82</v>
      </c>
      <c r="AA1413" t="n">
        <v>82</v>
      </c>
      <c r="AB1413" t="n">
        <v>1</v>
      </c>
      <c r="AC1413" t="n">
        <v>1</v>
      </c>
      <c r="AD1413" t="n">
        <v>12</v>
      </c>
      <c r="AE1413" t="n">
        <v>12</v>
      </c>
      <c r="AF1413" t="n">
        <v>3</v>
      </c>
      <c r="AG1413" t="n">
        <v>3</v>
      </c>
      <c r="AH1413" t="n">
        <v>2</v>
      </c>
      <c r="AI1413" t="n">
        <v>2</v>
      </c>
      <c r="AJ1413" t="n">
        <v>10</v>
      </c>
      <c r="AK1413" t="n">
        <v>10</v>
      </c>
      <c r="AL1413" t="n">
        <v>0</v>
      </c>
      <c r="AM1413" t="n">
        <v>0</v>
      </c>
      <c r="AN1413" t="n">
        <v>0</v>
      </c>
      <c r="AO1413" t="n">
        <v>0</v>
      </c>
      <c r="AP1413" t="inlineStr">
        <is>
          <t>No</t>
        </is>
      </c>
      <c r="AQ1413" t="inlineStr">
        <is>
          <t>No</t>
        </is>
      </c>
      <c r="AS1413">
        <f>HYPERLINK("https://creighton-primo.hosted.exlibrisgroup.com/primo-explore/search?tab=default_tab&amp;search_scope=EVERYTHING&amp;vid=01CRU&amp;lang=en_US&amp;offset=0&amp;query=any,contains,991003053909702656","Catalog Record")</f>
        <v/>
      </c>
      <c r="AT1413">
        <f>HYPERLINK("http://www.worldcat.org/oclc/43518863","WorldCat Record")</f>
        <v/>
      </c>
      <c r="AU1413" t="inlineStr">
        <is>
          <t>44435526:eng</t>
        </is>
      </c>
      <c r="AV1413" t="inlineStr">
        <is>
          <t>43518863</t>
        </is>
      </c>
      <c r="AW1413" t="inlineStr">
        <is>
          <t>991003053909702656</t>
        </is>
      </c>
      <c r="AX1413" t="inlineStr">
        <is>
          <t>991003053909702656</t>
        </is>
      </c>
      <c r="AY1413" t="inlineStr">
        <is>
          <t>2270652080002656</t>
        </is>
      </c>
      <c r="AZ1413" t="inlineStr">
        <is>
          <t>BOOK</t>
        </is>
      </c>
      <c r="BB1413" t="inlineStr">
        <is>
          <t>9781574553581</t>
        </is>
      </c>
      <c r="BC1413" t="inlineStr">
        <is>
          <t>32285003666624</t>
        </is>
      </c>
      <c r="BD1413" t="inlineStr">
        <is>
          <t>893251982</t>
        </is>
      </c>
    </row>
    <row r="1414">
      <c r="A1414" t="inlineStr">
        <is>
          <t>No</t>
        </is>
      </c>
      <c r="B1414" t="inlineStr">
        <is>
          <t>BX2347.8.R44 R45 1992</t>
        </is>
      </c>
      <c r="C1414" t="inlineStr">
        <is>
          <t>0                      BX 2347800R  44                 R  45          1992</t>
        </is>
      </c>
      <c r="D1414" t="inlineStr">
        <is>
          <t>Refugees : a challenge to solidarity.</t>
        </is>
      </c>
      <c r="F1414" t="inlineStr">
        <is>
          <t>No</t>
        </is>
      </c>
      <c r="G1414" t="inlineStr">
        <is>
          <t>1</t>
        </is>
      </c>
      <c r="H1414" t="inlineStr">
        <is>
          <t>No</t>
        </is>
      </c>
      <c r="I1414" t="inlineStr">
        <is>
          <t>No</t>
        </is>
      </c>
      <c r="J1414" t="inlineStr">
        <is>
          <t>0</t>
        </is>
      </c>
      <c r="L1414" t="inlineStr">
        <is>
          <t>Washington, D.C. : United States Catholic Conference, 1992.</t>
        </is>
      </c>
      <c r="M1414" t="inlineStr">
        <is>
          <t>1992</t>
        </is>
      </c>
      <c r="O1414" t="inlineStr">
        <is>
          <t>eng</t>
        </is>
      </c>
      <c r="P1414" t="inlineStr">
        <is>
          <t>dcu</t>
        </is>
      </c>
      <c r="Q1414" t="inlineStr">
        <is>
          <t>Publication / Office for Publishing and Promotion Services, United States Catholic Conference ; no. 576-3</t>
        </is>
      </c>
      <c r="R1414" t="inlineStr">
        <is>
          <t xml:space="preserve">BX </t>
        </is>
      </c>
      <c r="S1414" t="n">
        <v>2</v>
      </c>
      <c r="T1414" t="n">
        <v>2</v>
      </c>
      <c r="U1414" t="inlineStr">
        <is>
          <t>2010-03-09</t>
        </is>
      </c>
      <c r="V1414" t="inlineStr">
        <is>
          <t>2010-03-09</t>
        </is>
      </c>
      <c r="W1414" t="inlineStr">
        <is>
          <t>1993-05-27</t>
        </is>
      </c>
      <c r="X1414" t="inlineStr">
        <is>
          <t>1993-05-27</t>
        </is>
      </c>
      <c r="Y1414" t="n">
        <v>57</v>
      </c>
      <c r="Z1414" t="n">
        <v>55</v>
      </c>
      <c r="AA1414" t="n">
        <v>58</v>
      </c>
      <c r="AB1414" t="n">
        <v>1</v>
      </c>
      <c r="AC1414" t="n">
        <v>1</v>
      </c>
      <c r="AD1414" t="n">
        <v>9</v>
      </c>
      <c r="AE1414" t="n">
        <v>9</v>
      </c>
      <c r="AF1414" t="n">
        <v>2</v>
      </c>
      <c r="AG1414" t="n">
        <v>2</v>
      </c>
      <c r="AH1414" t="n">
        <v>4</v>
      </c>
      <c r="AI1414" t="n">
        <v>4</v>
      </c>
      <c r="AJ1414" t="n">
        <v>5</v>
      </c>
      <c r="AK1414" t="n">
        <v>5</v>
      </c>
      <c r="AL1414" t="n">
        <v>0</v>
      </c>
      <c r="AM1414" t="n">
        <v>0</v>
      </c>
      <c r="AN1414" t="n">
        <v>0</v>
      </c>
      <c r="AO1414" t="n">
        <v>0</v>
      </c>
      <c r="AP1414" t="inlineStr">
        <is>
          <t>No</t>
        </is>
      </c>
      <c r="AQ1414" t="inlineStr">
        <is>
          <t>No</t>
        </is>
      </c>
      <c r="AS1414">
        <f>HYPERLINK("https://creighton-primo.hosted.exlibrisgroup.com/primo-explore/search?tab=default_tab&amp;search_scope=EVERYTHING&amp;vid=01CRU&amp;lang=en_US&amp;offset=0&amp;query=any,contains,991002179069702656","Catalog Record")</f>
        <v/>
      </c>
      <c r="AT1414">
        <f>HYPERLINK("http://www.worldcat.org/oclc/28055935","WorldCat Record")</f>
        <v/>
      </c>
      <c r="AU1414" t="inlineStr">
        <is>
          <t>1007367583:eng</t>
        </is>
      </c>
      <c r="AV1414" t="inlineStr">
        <is>
          <t>28055935</t>
        </is>
      </c>
      <c r="AW1414" t="inlineStr">
        <is>
          <t>991002179069702656</t>
        </is>
      </c>
      <c r="AX1414" t="inlineStr">
        <is>
          <t>991002179069702656</t>
        </is>
      </c>
      <c r="AY1414" t="inlineStr">
        <is>
          <t>2268923740002656</t>
        </is>
      </c>
      <c r="AZ1414" t="inlineStr">
        <is>
          <t>BOOK</t>
        </is>
      </c>
      <c r="BB1414" t="inlineStr">
        <is>
          <t>9781555865764</t>
        </is>
      </c>
      <c r="BC1414" t="inlineStr">
        <is>
          <t>32285001683191</t>
        </is>
      </c>
      <c r="BD1414" t="inlineStr">
        <is>
          <t>893785808</t>
        </is>
      </c>
    </row>
    <row r="1415">
      <c r="A1415" t="inlineStr">
        <is>
          <t>No</t>
        </is>
      </c>
      <c r="B1415" t="inlineStr">
        <is>
          <t>BX2347.8.S5 C37 1983</t>
        </is>
      </c>
      <c r="C1415" t="inlineStr">
        <is>
          <t>0                      BX 2347800S  5                  C  37          1983</t>
        </is>
      </c>
      <c r="D1415" t="inlineStr">
        <is>
          <t>Pastoral care of the sick : introduction and pastoral notes.</t>
        </is>
      </c>
      <c r="F1415" t="inlineStr">
        <is>
          <t>No</t>
        </is>
      </c>
      <c r="G1415" t="inlineStr">
        <is>
          <t>1</t>
        </is>
      </c>
      <c r="H1415" t="inlineStr">
        <is>
          <t>No</t>
        </is>
      </c>
      <c r="I1415" t="inlineStr">
        <is>
          <t>No</t>
        </is>
      </c>
      <c r="J1415" t="inlineStr">
        <is>
          <t>0</t>
        </is>
      </c>
      <c r="K1415" t="inlineStr">
        <is>
          <t>Catholic Church.</t>
        </is>
      </c>
      <c r="L1415" t="inlineStr">
        <is>
          <t>Washington, D.C. (1312 Massachusetts Ave., N.W., Washington 20005) : Office of Pub. Services, U.S. Catholic Conference, c1983.</t>
        </is>
      </c>
      <c r="M1415" t="inlineStr">
        <is>
          <t>1983</t>
        </is>
      </c>
      <c r="O1415" t="inlineStr">
        <is>
          <t>eng</t>
        </is>
      </c>
      <c r="P1415" t="inlineStr">
        <is>
          <t>dcu</t>
        </is>
      </c>
      <c r="Q1415" t="inlineStr">
        <is>
          <t>Liturgy documentary series ; 3</t>
        </is>
      </c>
      <c r="R1415" t="inlineStr">
        <is>
          <t xml:space="preserve">BX </t>
        </is>
      </c>
      <c r="S1415" t="n">
        <v>4</v>
      </c>
      <c r="T1415" t="n">
        <v>4</v>
      </c>
      <c r="U1415" t="inlineStr">
        <is>
          <t>2001-06-14</t>
        </is>
      </c>
      <c r="V1415" t="inlineStr">
        <is>
          <t>2001-06-14</t>
        </is>
      </c>
      <c r="W1415" t="inlineStr">
        <is>
          <t>1992-01-10</t>
        </is>
      </c>
      <c r="X1415" t="inlineStr">
        <is>
          <t>1992-01-10</t>
        </is>
      </c>
      <c r="Y1415" t="n">
        <v>124</v>
      </c>
      <c r="Z1415" t="n">
        <v>110</v>
      </c>
      <c r="AA1415" t="n">
        <v>110</v>
      </c>
      <c r="AB1415" t="n">
        <v>1</v>
      </c>
      <c r="AC1415" t="n">
        <v>1</v>
      </c>
      <c r="AD1415" t="n">
        <v>18</v>
      </c>
      <c r="AE1415" t="n">
        <v>18</v>
      </c>
      <c r="AF1415" t="n">
        <v>7</v>
      </c>
      <c r="AG1415" t="n">
        <v>7</v>
      </c>
      <c r="AH1415" t="n">
        <v>4</v>
      </c>
      <c r="AI1415" t="n">
        <v>4</v>
      </c>
      <c r="AJ1415" t="n">
        <v>14</v>
      </c>
      <c r="AK1415" t="n">
        <v>14</v>
      </c>
      <c r="AL1415" t="n">
        <v>0</v>
      </c>
      <c r="AM1415" t="n">
        <v>0</v>
      </c>
      <c r="AN1415" t="n">
        <v>0</v>
      </c>
      <c r="AO1415" t="n">
        <v>0</v>
      </c>
      <c r="AP1415" t="inlineStr">
        <is>
          <t>No</t>
        </is>
      </c>
      <c r="AQ1415" t="inlineStr">
        <is>
          <t>No</t>
        </is>
      </c>
      <c r="AS1415">
        <f>HYPERLINK("https://creighton-primo.hosted.exlibrisgroup.com/primo-explore/search?tab=default_tab&amp;search_scope=EVERYTHING&amp;vid=01CRU&amp;lang=en_US&amp;offset=0&amp;query=any,contains,991000373769702656","Catalog Record")</f>
        <v/>
      </c>
      <c r="AT1415">
        <f>HYPERLINK("http://www.worldcat.org/oclc/10456496","WorldCat Record")</f>
        <v/>
      </c>
      <c r="AU1415" t="inlineStr">
        <is>
          <t>2840743:eng</t>
        </is>
      </c>
      <c r="AV1415" t="inlineStr">
        <is>
          <t>10456496</t>
        </is>
      </c>
      <c r="AW1415" t="inlineStr">
        <is>
          <t>991000373769702656</t>
        </is>
      </c>
      <c r="AX1415" t="inlineStr">
        <is>
          <t>991000373769702656</t>
        </is>
      </c>
      <c r="AY1415" t="inlineStr">
        <is>
          <t>2262743090002656</t>
        </is>
      </c>
      <c r="AZ1415" t="inlineStr">
        <is>
          <t>BOOK</t>
        </is>
      </c>
      <c r="BC1415" t="inlineStr">
        <is>
          <t>32285000864040</t>
        </is>
      </c>
      <c r="BD1415" t="inlineStr">
        <is>
          <t>893714520</t>
        </is>
      </c>
    </row>
    <row r="1416">
      <c r="A1416" t="inlineStr">
        <is>
          <t>No</t>
        </is>
      </c>
      <c r="B1416" t="inlineStr">
        <is>
          <t>BX2347.8.S5 N3 1967</t>
        </is>
      </c>
      <c r="C1416" t="inlineStr">
        <is>
          <t>0                      BX 2347800S  5                  N  3           1967</t>
        </is>
      </c>
      <c r="D1416" t="inlineStr">
        <is>
          <t>The apostolate to the sick : a guide for the Catholic chaplain in health care facilities.</t>
        </is>
      </c>
      <c r="F1416" t="inlineStr">
        <is>
          <t>No</t>
        </is>
      </c>
      <c r="G1416" t="inlineStr">
        <is>
          <t>1</t>
        </is>
      </c>
      <c r="H1416" t="inlineStr">
        <is>
          <t>No</t>
        </is>
      </c>
      <c r="I1416" t="inlineStr">
        <is>
          <t>No</t>
        </is>
      </c>
      <c r="J1416" t="inlineStr">
        <is>
          <t>0</t>
        </is>
      </c>
      <c r="K1416" t="inlineStr">
        <is>
          <t>National Association of Catholic Chaplains (U.S.)</t>
        </is>
      </c>
      <c r="L1416" t="inlineStr">
        <is>
          <t>St. Louis : Catholic Hospital Association, [1967]</t>
        </is>
      </c>
      <c r="M1416" t="inlineStr">
        <is>
          <t>1967</t>
        </is>
      </c>
      <c r="O1416" t="inlineStr">
        <is>
          <t>eng</t>
        </is>
      </c>
      <c r="P1416" t="inlineStr">
        <is>
          <t>mou</t>
        </is>
      </c>
      <c r="R1416" t="inlineStr">
        <is>
          <t xml:space="preserve">BX </t>
        </is>
      </c>
      <c r="S1416" t="n">
        <v>2</v>
      </c>
      <c r="T1416" t="n">
        <v>2</v>
      </c>
      <c r="U1416" t="inlineStr">
        <is>
          <t>1994-11-02</t>
        </is>
      </c>
      <c r="V1416" t="inlineStr">
        <is>
          <t>1994-11-02</t>
        </is>
      </c>
      <c r="W1416" t="inlineStr">
        <is>
          <t>1991-10-23</t>
        </is>
      </c>
      <c r="X1416" t="inlineStr">
        <is>
          <t>1991-10-23</t>
        </is>
      </c>
      <c r="Y1416" t="n">
        <v>73</v>
      </c>
      <c r="Z1416" t="n">
        <v>70</v>
      </c>
      <c r="AA1416" t="n">
        <v>70</v>
      </c>
      <c r="AB1416" t="n">
        <v>2</v>
      </c>
      <c r="AC1416" t="n">
        <v>2</v>
      </c>
      <c r="AD1416" t="n">
        <v>10</v>
      </c>
      <c r="AE1416" t="n">
        <v>10</v>
      </c>
      <c r="AF1416" t="n">
        <v>1</v>
      </c>
      <c r="AG1416" t="n">
        <v>1</v>
      </c>
      <c r="AH1416" t="n">
        <v>3</v>
      </c>
      <c r="AI1416" t="n">
        <v>3</v>
      </c>
      <c r="AJ1416" t="n">
        <v>7</v>
      </c>
      <c r="AK1416" t="n">
        <v>7</v>
      </c>
      <c r="AL1416" t="n">
        <v>0</v>
      </c>
      <c r="AM1416" t="n">
        <v>0</v>
      </c>
      <c r="AN1416" t="n">
        <v>0</v>
      </c>
      <c r="AO1416" t="n">
        <v>0</v>
      </c>
      <c r="AP1416" t="inlineStr">
        <is>
          <t>No</t>
        </is>
      </c>
      <c r="AQ1416" t="inlineStr">
        <is>
          <t>No</t>
        </is>
      </c>
      <c r="AS1416">
        <f>HYPERLINK("https://creighton-primo.hosted.exlibrisgroup.com/primo-explore/search?tab=default_tab&amp;search_scope=EVERYTHING&amp;vid=01CRU&amp;lang=en_US&amp;offset=0&amp;query=any,contains,991002138619702656","Catalog Record")</f>
        <v/>
      </c>
      <c r="AT1416">
        <f>HYPERLINK("http://www.worldcat.org/oclc/270384","WorldCat Record")</f>
        <v/>
      </c>
      <c r="AU1416" t="inlineStr">
        <is>
          <t>1397470:eng</t>
        </is>
      </c>
      <c r="AV1416" t="inlineStr">
        <is>
          <t>270384</t>
        </is>
      </c>
      <c r="AW1416" t="inlineStr">
        <is>
          <t>991002138619702656</t>
        </is>
      </c>
      <c r="AX1416" t="inlineStr">
        <is>
          <t>991002138619702656</t>
        </is>
      </c>
      <c r="AY1416" t="inlineStr">
        <is>
          <t>2263862350002656</t>
        </is>
      </c>
      <c r="AZ1416" t="inlineStr">
        <is>
          <t>BOOK</t>
        </is>
      </c>
      <c r="BC1416" t="inlineStr">
        <is>
          <t>32285000811306</t>
        </is>
      </c>
      <c r="BD1416" t="inlineStr">
        <is>
          <t>893590957</t>
        </is>
      </c>
    </row>
    <row r="1417">
      <c r="A1417" t="inlineStr">
        <is>
          <t>No</t>
        </is>
      </c>
      <c r="B1417" t="inlineStr">
        <is>
          <t>BX2347.8.W6 A74 1996</t>
        </is>
      </c>
      <c r="C1417" t="inlineStr">
        <is>
          <t>0                      BX 2347800W  6                  A  74          1996</t>
        </is>
      </c>
      <c r="D1417" t="inlineStr">
        <is>
          <t>Justice in the church : gender and participation / Benedict M. Ashley.</t>
        </is>
      </c>
      <c r="F1417" t="inlineStr">
        <is>
          <t>No</t>
        </is>
      </c>
      <c r="G1417" t="inlineStr">
        <is>
          <t>1</t>
        </is>
      </c>
      <c r="H1417" t="inlineStr">
        <is>
          <t>Yes</t>
        </is>
      </c>
      <c r="I1417" t="inlineStr">
        <is>
          <t>No</t>
        </is>
      </c>
      <c r="J1417" t="inlineStr">
        <is>
          <t>0</t>
        </is>
      </c>
      <c r="K1417" t="inlineStr">
        <is>
          <t>Ashley, Benedict M.</t>
        </is>
      </c>
      <c r="L1417" t="inlineStr">
        <is>
          <t>Washington, D.C. : Catholic University of America Press, c1996.</t>
        </is>
      </c>
      <c r="M1417" t="inlineStr">
        <is>
          <t>1996</t>
        </is>
      </c>
      <c r="O1417" t="inlineStr">
        <is>
          <t>eng</t>
        </is>
      </c>
      <c r="P1417" t="inlineStr">
        <is>
          <t>dcu</t>
        </is>
      </c>
      <c r="Q1417" t="inlineStr">
        <is>
          <t>The Michael J. McGivney lectures of the John Paul II Institute for Studies on Marriage and Family ; 1992</t>
        </is>
      </c>
      <c r="R1417" t="inlineStr">
        <is>
          <t xml:space="preserve">BX </t>
        </is>
      </c>
      <c r="S1417" t="n">
        <v>3</v>
      </c>
      <c r="T1417" t="n">
        <v>3</v>
      </c>
      <c r="U1417" t="inlineStr">
        <is>
          <t>2002-02-06</t>
        </is>
      </c>
      <c r="V1417" t="inlineStr">
        <is>
          <t>2002-02-06</t>
        </is>
      </c>
      <c r="W1417" t="inlineStr">
        <is>
          <t>1997-03-20</t>
        </is>
      </c>
      <c r="X1417" t="inlineStr">
        <is>
          <t>1997-04-02</t>
        </is>
      </c>
      <c r="Y1417" t="n">
        <v>326</v>
      </c>
      <c r="Z1417" t="n">
        <v>269</v>
      </c>
      <c r="AA1417" t="n">
        <v>275</v>
      </c>
      <c r="AB1417" t="n">
        <v>3</v>
      </c>
      <c r="AC1417" t="n">
        <v>3</v>
      </c>
      <c r="AD1417" t="n">
        <v>32</v>
      </c>
      <c r="AE1417" t="n">
        <v>32</v>
      </c>
      <c r="AF1417" t="n">
        <v>12</v>
      </c>
      <c r="AG1417" t="n">
        <v>12</v>
      </c>
      <c r="AH1417" t="n">
        <v>9</v>
      </c>
      <c r="AI1417" t="n">
        <v>9</v>
      </c>
      <c r="AJ1417" t="n">
        <v>17</v>
      </c>
      <c r="AK1417" t="n">
        <v>17</v>
      </c>
      <c r="AL1417" t="n">
        <v>1</v>
      </c>
      <c r="AM1417" t="n">
        <v>1</v>
      </c>
      <c r="AN1417" t="n">
        <v>3</v>
      </c>
      <c r="AO1417" t="n">
        <v>3</v>
      </c>
      <c r="AP1417" t="inlineStr">
        <is>
          <t>No</t>
        </is>
      </c>
      <c r="AQ1417" t="inlineStr">
        <is>
          <t>Yes</t>
        </is>
      </c>
      <c r="AR1417">
        <f>HYPERLINK("http://catalog.hathitrust.org/Record/003141851","HathiTrust Record")</f>
        <v/>
      </c>
      <c r="AS1417">
        <f>HYPERLINK("https://creighton-primo.hosted.exlibrisgroup.com/primo-explore/search?tab=default_tab&amp;search_scope=EVERYTHING&amp;vid=01CRU&amp;lang=en_US&amp;offset=0&amp;query=any,contains,991001670929702656","Catalog Record")</f>
        <v/>
      </c>
      <c r="AT1417">
        <f>HYPERLINK("http://www.worldcat.org/oclc/34354789","WorldCat Record")</f>
        <v/>
      </c>
      <c r="AU1417" t="inlineStr">
        <is>
          <t>891374557:eng</t>
        </is>
      </c>
      <c r="AV1417" t="inlineStr">
        <is>
          <t>34354789</t>
        </is>
      </c>
      <c r="AW1417" t="inlineStr">
        <is>
          <t>991001670929702656</t>
        </is>
      </c>
      <c r="AX1417" t="inlineStr">
        <is>
          <t>991001670929702656</t>
        </is>
      </c>
      <c r="AY1417" t="inlineStr">
        <is>
          <t>2265242130002656</t>
        </is>
      </c>
      <c r="AZ1417" t="inlineStr">
        <is>
          <t>BOOK</t>
        </is>
      </c>
      <c r="BB1417" t="inlineStr">
        <is>
          <t>9780813208572</t>
        </is>
      </c>
      <c r="BC1417" t="inlineStr">
        <is>
          <t>32285002475183</t>
        </is>
      </c>
      <c r="BD1417" t="inlineStr">
        <is>
          <t>893426751</t>
        </is>
      </c>
    </row>
    <row r="1418">
      <c r="A1418" t="inlineStr">
        <is>
          <t>No</t>
        </is>
      </c>
      <c r="B1418" t="inlineStr">
        <is>
          <t>BX2347.8.W6 B69 2006</t>
        </is>
      </c>
      <c r="C1418" t="inlineStr">
        <is>
          <t>0                      BX 2347800W  6                  B  69          2006</t>
        </is>
      </c>
      <c r="D1418" t="inlineStr">
        <is>
          <t>Seeking wholeness : women dealing with abuse of power in the Catholic Church / Marie Evans Bouclin.</t>
        </is>
      </c>
      <c r="F1418" t="inlineStr">
        <is>
          <t>No</t>
        </is>
      </c>
      <c r="G1418" t="inlineStr">
        <is>
          <t>1</t>
        </is>
      </c>
      <c r="H1418" t="inlineStr">
        <is>
          <t>No</t>
        </is>
      </c>
      <c r="I1418" t="inlineStr">
        <is>
          <t>No</t>
        </is>
      </c>
      <c r="J1418" t="inlineStr">
        <is>
          <t>0</t>
        </is>
      </c>
      <c r="K1418" t="inlineStr">
        <is>
          <t>Bouclin, Marie Evans.</t>
        </is>
      </c>
      <c r="L1418" t="inlineStr">
        <is>
          <t>Collegeville, Minn. : Liturgical Press, c2006.</t>
        </is>
      </c>
      <c r="M1418" t="inlineStr">
        <is>
          <t>2006</t>
        </is>
      </c>
      <c r="O1418" t="inlineStr">
        <is>
          <t>eng</t>
        </is>
      </c>
      <c r="P1418" t="inlineStr">
        <is>
          <t>mnu</t>
        </is>
      </c>
      <c r="R1418" t="inlineStr">
        <is>
          <t xml:space="preserve">BX </t>
        </is>
      </c>
      <c r="S1418" t="n">
        <v>1</v>
      </c>
      <c r="T1418" t="n">
        <v>1</v>
      </c>
      <c r="U1418" t="inlineStr">
        <is>
          <t>2006-08-02</t>
        </is>
      </c>
      <c r="V1418" t="inlineStr">
        <is>
          <t>2006-08-02</t>
        </is>
      </c>
      <c r="W1418" t="inlineStr">
        <is>
          <t>2006-08-02</t>
        </is>
      </c>
      <c r="X1418" t="inlineStr">
        <is>
          <t>2006-08-02</t>
        </is>
      </c>
      <c r="Y1418" t="n">
        <v>150</v>
      </c>
      <c r="Z1418" t="n">
        <v>123</v>
      </c>
      <c r="AA1418" t="n">
        <v>123</v>
      </c>
      <c r="AB1418" t="n">
        <v>1</v>
      </c>
      <c r="AC1418" t="n">
        <v>1</v>
      </c>
      <c r="AD1418" t="n">
        <v>14</v>
      </c>
      <c r="AE1418" t="n">
        <v>14</v>
      </c>
      <c r="AF1418" t="n">
        <v>2</v>
      </c>
      <c r="AG1418" t="n">
        <v>2</v>
      </c>
      <c r="AH1418" t="n">
        <v>5</v>
      </c>
      <c r="AI1418" t="n">
        <v>5</v>
      </c>
      <c r="AJ1418" t="n">
        <v>11</v>
      </c>
      <c r="AK1418" t="n">
        <v>11</v>
      </c>
      <c r="AL1418" t="n">
        <v>0</v>
      </c>
      <c r="AM1418" t="n">
        <v>0</v>
      </c>
      <c r="AN1418" t="n">
        <v>0</v>
      </c>
      <c r="AO1418" t="n">
        <v>0</v>
      </c>
      <c r="AP1418" t="inlineStr">
        <is>
          <t>No</t>
        </is>
      </c>
      <c r="AQ1418" t="inlineStr">
        <is>
          <t>No</t>
        </is>
      </c>
      <c r="AS1418">
        <f>HYPERLINK("https://creighton-primo.hosted.exlibrisgroup.com/primo-explore/search?tab=default_tab&amp;search_scope=EVERYTHING&amp;vid=01CRU&amp;lang=en_US&amp;offset=0&amp;query=any,contains,991004863949702656","Catalog Record")</f>
        <v/>
      </c>
      <c r="AT1418">
        <f>HYPERLINK("http://www.worldcat.org/oclc/61130644","WorldCat Record")</f>
        <v/>
      </c>
      <c r="AU1418" t="inlineStr">
        <is>
          <t>48214425:eng</t>
        </is>
      </c>
      <c r="AV1418" t="inlineStr">
        <is>
          <t>61130644</t>
        </is>
      </c>
      <c r="AW1418" t="inlineStr">
        <is>
          <t>991004863949702656</t>
        </is>
      </c>
      <c r="AX1418" t="inlineStr">
        <is>
          <t>991004863949702656</t>
        </is>
      </c>
      <c r="AY1418" t="inlineStr">
        <is>
          <t>2270663670002656</t>
        </is>
      </c>
      <c r="AZ1418" t="inlineStr">
        <is>
          <t>BOOK</t>
        </is>
      </c>
      <c r="BB1418" t="inlineStr">
        <is>
          <t>9780814622407</t>
        </is>
      </c>
      <c r="BC1418" t="inlineStr">
        <is>
          <t>32285005199566</t>
        </is>
      </c>
      <c r="BD1418" t="inlineStr">
        <is>
          <t>893229936</t>
        </is>
      </c>
    </row>
    <row r="1419">
      <c r="A1419" t="inlineStr">
        <is>
          <t>No</t>
        </is>
      </c>
      <c r="B1419" t="inlineStr">
        <is>
          <t>BX2347.8.W6 C384 1991</t>
        </is>
      </c>
      <c r="C1419" t="inlineStr">
        <is>
          <t>0                      BX 2347800W  6                  C  384         1991</t>
        </is>
      </c>
      <c r="D1419" t="inlineStr">
        <is>
          <t>The Catholic woman : papers presented at a conference sponsored by the Wethersfield Institute, New York City, September 28, 1990 / edited, with a preface by Ralph McInerny.</t>
        </is>
      </c>
      <c r="F1419" t="inlineStr">
        <is>
          <t>No</t>
        </is>
      </c>
      <c r="G1419" t="inlineStr">
        <is>
          <t>1</t>
        </is>
      </c>
      <c r="H1419" t="inlineStr">
        <is>
          <t>No</t>
        </is>
      </c>
      <c r="I1419" t="inlineStr">
        <is>
          <t>No</t>
        </is>
      </c>
      <c r="J1419" t="inlineStr">
        <is>
          <t>0</t>
        </is>
      </c>
      <c r="L1419" t="inlineStr">
        <is>
          <t>San Francisco : Ignatius Press, 1991.</t>
        </is>
      </c>
      <c r="M1419" t="inlineStr">
        <is>
          <t>1991</t>
        </is>
      </c>
      <c r="O1419" t="inlineStr">
        <is>
          <t>eng</t>
        </is>
      </c>
      <c r="P1419" t="inlineStr">
        <is>
          <t>cau</t>
        </is>
      </c>
      <c r="Q1419" t="inlineStr">
        <is>
          <t>The Proceedings of the Wethersfield Institute ; v. 3</t>
        </is>
      </c>
      <c r="R1419" t="inlineStr">
        <is>
          <t xml:space="preserve">BX </t>
        </is>
      </c>
      <c r="S1419" t="n">
        <v>3</v>
      </c>
      <c r="T1419" t="n">
        <v>3</v>
      </c>
      <c r="U1419" t="inlineStr">
        <is>
          <t>1998-12-06</t>
        </is>
      </c>
      <c r="V1419" t="inlineStr">
        <is>
          <t>1998-12-06</t>
        </is>
      </c>
      <c r="W1419" t="inlineStr">
        <is>
          <t>1994-05-06</t>
        </is>
      </c>
      <c r="X1419" t="inlineStr">
        <is>
          <t>1994-05-06</t>
        </is>
      </c>
      <c r="Y1419" t="n">
        <v>223</v>
      </c>
      <c r="Z1419" t="n">
        <v>204</v>
      </c>
      <c r="AA1419" t="n">
        <v>205</v>
      </c>
      <c r="AB1419" t="n">
        <v>4</v>
      </c>
      <c r="AC1419" t="n">
        <v>4</v>
      </c>
      <c r="AD1419" t="n">
        <v>31</v>
      </c>
      <c r="AE1419" t="n">
        <v>31</v>
      </c>
      <c r="AF1419" t="n">
        <v>10</v>
      </c>
      <c r="AG1419" t="n">
        <v>10</v>
      </c>
      <c r="AH1419" t="n">
        <v>8</v>
      </c>
      <c r="AI1419" t="n">
        <v>8</v>
      </c>
      <c r="AJ1419" t="n">
        <v>24</v>
      </c>
      <c r="AK1419" t="n">
        <v>24</v>
      </c>
      <c r="AL1419" t="n">
        <v>1</v>
      </c>
      <c r="AM1419" t="n">
        <v>1</v>
      </c>
      <c r="AN1419" t="n">
        <v>0</v>
      </c>
      <c r="AO1419" t="n">
        <v>0</v>
      </c>
      <c r="AP1419" t="inlineStr">
        <is>
          <t>No</t>
        </is>
      </c>
      <c r="AQ1419" t="inlineStr">
        <is>
          <t>Yes</t>
        </is>
      </c>
      <c r="AR1419">
        <f>HYPERLINK("http://catalog.hathitrust.org/Record/002877993","HathiTrust Record")</f>
        <v/>
      </c>
      <c r="AS1419">
        <f>HYPERLINK("https://creighton-primo.hosted.exlibrisgroup.com/primo-explore/search?tab=default_tab&amp;search_scope=EVERYTHING&amp;vid=01CRU&amp;lang=en_US&amp;offset=0&amp;query=any,contains,991001940729702656","Catalog Record")</f>
        <v/>
      </c>
      <c r="AT1419">
        <f>HYPERLINK("http://www.worldcat.org/oclc/24507436","WorldCat Record")</f>
        <v/>
      </c>
      <c r="AU1419" t="inlineStr">
        <is>
          <t>910712422:eng</t>
        </is>
      </c>
      <c r="AV1419" t="inlineStr">
        <is>
          <t>24507436</t>
        </is>
      </c>
      <c r="AW1419" t="inlineStr">
        <is>
          <t>991001940729702656</t>
        </is>
      </c>
      <c r="AX1419" t="inlineStr">
        <is>
          <t>991001940729702656</t>
        </is>
      </c>
      <c r="AY1419" t="inlineStr">
        <is>
          <t>2259688140002656</t>
        </is>
      </c>
      <c r="AZ1419" t="inlineStr">
        <is>
          <t>BOOK</t>
        </is>
      </c>
      <c r="BB1419" t="inlineStr">
        <is>
          <t>9780898703696</t>
        </is>
      </c>
      <c r="BC1419" t="inlineStr">
        <is>
          <t>32285001864510</t>
        </is>
      </c>
      <c r="BD1419" t="inlineStr">
        <is>
          <t>893773045</t>
        </is>
      </c>
    </row>
    <row r="1420">
      <c r="A1420" t="inlineStr">
        <is>
          <t>No</t>
        </is>
      </c>
      <c r="B1420" t="inlineStr">
        <is>
          <t>BX2347.8.W6 C39 1998</t>
        </is>
      </c>
      <c r="C1420" t="inlineStr">
        <is>
          <t>0                      BX 2347800W  6                  C  39          1998</t>
        </is>
      </c>
      <c r="D1420" t="inlineStr">
        <is>
          <t>From words to deeds: continuing reflections on the role of women in the Church.</t>
        </is>
      </c>
      <c r="F1420" t="inlineStr">
        <is>
          <t>No</t>
        </is>
      </c>
      <c r="G1420" t="inlineStr">
        <is>
          <t>1</t>
        </is>
      </c>
      <c r="H1420" t="inlineStr">
        <is>
          <t>No</t>
        </is>
      </c>
      <c r="I1420" t="inlineStr">
        <is>
          <t>No</t>
        </is>
      </c>
      <c r="J1420" t="inlineStr">
        <is>
          <t>0</t>
        </is>
      </c>
      <c r="K1420" t="inlineStr">
        <is>
          <t>United States Catholic Conference. Committee on Women in Society and in the Church.</t>
        </is>
      </c>
      <c r="L1420" t="inlineStr">
        <is>
          <t>Washington, D.C.: United States Catholic Conference, 1998.</t>
        </is>
      </c>
      <c r="M1420" t="inlineStr">
        <is>
          <t>1998</t>
        </is>
      </c>
      <c r="O1420" t="inlineStr">
        <is>
          <t>eng</t>
        </is>
      </c>
      <c r="P1420" t="inlineStr">
        <is>
          <t>xxu</t>
        </is>
      </c>
      <c r="Q1420" t="inlineStr">
        <is>
          <t>Publication (United States Catholic Conference) ; no. 5-266</t>
        </is>
      </c>
      <c r="R1420" t="inlineStr">
        <is>
          <t xml:space="preserve">BX </t>
        </is>
      </c>
      <c r="S1420" t="n">
        <v>2</v>
      </c>
      <c r="T1420" t="n">
        <v>2</v>
      </c>
      <c r="U1420" t="inlineStr">
        <is>
          <t>2008-03-22</t>
        </is>
      </c>
      <c r="V1420" t="inlineStr">
        <is>
          <t>2008-03-22</t>
        </is>
      </c>
      <c r="W1420" t="inlineStr">
        <is>
          <t>1998-12-03</t>
        </is>
      </c>
      <c r="X1420" t="inlineStr">
        <is>
          <t>1998-12-03</t>
        </is>
      </c>
      <c r="Y1420" t="n">
        <v>85</v>
      </c>
      <c r="Z1420" t="n">
        <v>81</v>
      </c>
      <c r="AA1420" t="n">
        <v>85</v>
      </c>
      <c r="AB1420" t="n">
        <v>1</v>
      </c>
      <c r="AC1420" t="n">
        <v>1</v>
      </c>
      <c r="AD1420" t="n">
        <v>12</v>
      </c>
      <c r="AE1420" t="n">
        <v>12</v>
      </c>
      <c r="AF1420" t="n">
        <v>3</v>
      </c>
      <c r="AG1420" t="n">
        <v>3</v>
      </c>
      <c r="AH1420" t="n">
        <v>3</v>
      </c>
      <c r="AI1420" t="n">
        <v>3</v>
      </c>
      <c r="AJ1420" t="n">
        <v>10</v>
      </c>
      <c r="AK1420" t="n">
        <v>10</v>
      </c>
      <c r="AL1420" t="n">
        <v>0</v>
      </c>
      <c r="AM1420" t="n">
        <v>0</v>
      </c>
      <c r="AN1420" t="n">
        <v>0</v>
      </c>
      <c r="AO1420" t="n">
        <v>0</v>
      </c>
      <c r="AP1420" t="inlineStr">
        <is>
          <t>No</t>
        </is>
      </c>
      <c r="AQ1420" t="inlineStr">
        <is>
          <t>No</t>
        </is>
      </c>
      <c r="AS1420">
        <f>HYPERLINK("https://creighton-primo.hosted.exlibrisgroup.com/primo-explore/search?tab=default_tab&amp;search_scope=EVERYTHING&amp;vid=01CRU&amp;lang=en_US&amp;offset=0&amp;query=any,contains,991002987279702656","Catalog Record")</f>
        <v/>
      </c>
      <c r="AT1420">
        <f>HYPERLINK("http://www.worldcat.org/oclc/40266422","WorldCat Record")</f>
        <v/>
      </c>
      <c r="AU1420" t="inlineStr">
        <is>
          <t>10249342406:eng</t>
        </is>
      </c>
      <c r="AV1420" t="inlineStr">
        <is>
          <t>40266422</t>
        </is>
      </c>
      <c r="AW1420" t="inlineStr">
        <is>
          <t>991002987279702656</t>
        </is>
      </c>
      <c r="AX1420" t="inlineStr">
        <is>
          <t>991002987279702656</t>
        </is>
      </c>
      <c r="AY1420" t="inlineStr">
        <is>
          <t>2255255490002656</t>
        </is>
      </c>
      <c r="AZ1420" t="inlineStr">
        <is>
          <t>BOOK</t>
        </is>
      </c>
      <c r="BB1420" t="inlineStr">
        <is>
          <t>9781574552669</t>
        </is>
      </c>
      <c r="BC1420" t="inlineStr">
        <is>
          <t>32285003493656</t>
        </is>
      </c>
      <c r="BD1420" t="inlineStr">
        <is>
          <t>893505064</t>
        </is>
      </c>
    </row>
    <row r="1421">
      <c r="A1421" t="inlineStr">
        <is>
          <t>No</t>
        </is>
      </c>
      <c r="B1421" t="inlineStr">
        <is>
          <t>BX2347.8.W6 I58 1987</t>
        </is>
      </c>
      <c r="C1421" t="inlineStr">
        <is>
          <t>0                      BX 2347800W  6                  I  58          1987</t>
        </is>
      </c>
      <c r="D1421" t="inlineStr">
        <is>
          <t>The Inside stories : 13 valiant women challenging the church / edited by Annie Lally Milhaven ; foreword by Rosemary Radford Ruether.</t>
        </is>
      </c>
      <c r="F1421" t="inlineStr">
        <is>
          <t>No</t>
        </is>
      </c>
      <c r="G1421" t="inlineStr">
        <is>
          <t>1</t>
        </is>
      </c>
      <c r="H1421" t="inlineStr">
        <is>
          <t>No</t>
        </is>
      </c>
      <c r="I1421" t="inlineStr">
        <is>
          <t>No</t>
        </is>
      </c>
      <c r="J1421" t="inlineStr">
        <is>
          <t>0</t>
        </is>
      </c>
      <c r="L1421" t="inlineStr">
        <is>
          <t>Mystic, Conn. : Twenty-Third Publications, c1987.</t>
        </is>
      </c>
      <c r="M1421" t="inlineStr">
        <is>
          <t>1987</t>
        </is>
      </c>
      <c r="O1421" t="inlineStr">
        <is>
          <t>eng</t>
        </is>
      </c>
      <c r="P1421" t="inlineStr">
        <is>
          <t>ctu</t>
        </is>
      </c>
      <c r="R1421" t="inlineStr">
        <is>
          <t xml:space="preserve">BX </t>
        </is>
      </c>
      <c r="S1421" t="n">
        <v>3</v>
      </c>
      <c r="T1421" t="n">
        <v>3</v>
      </c>
      <c r="U1421" t="inlineStr">
        <is>
          <t>2002-10-03</t>
        </is>
      </c>
      <c r="V1421" t="inlineStr">
        <is>
          <t>2002-10-03</t>
        </is>
      </c>
      <c r="W1421" t="inlineStr">
        <is>
          <t>1990-07-11</t>
        </is>
      </c>
      <c r="X1421" t="inlineStr">
        <is>
          <t>1990-07-11</t>
        </is>
      </c>
      <c r="Y1421" t="n">
        <v>353</v>
      </c>
      <c r="Z1421" t="n">
        <v>317</v>
      </c>
      <c r="AA1421" t="n">
        <v>323</v>
      </c>
      <c r="AB1421" t="n">
        <v>3</v>
      </c>
      <c r="AC1421" t="n">
        <v>3</v>
      </c>
      <c r="AD1421" t="n">
        <v>27</v>
      </c>
      <c r="AE1421" t="n">
        <v>27</v>
      </c>
      <c r="AF1421" t="n">
        <v>11</v>
      </c>
      <c r="AG1421" t="n">
        <v>11</v>
      </c>
      <c r="AH1421" t="n">
        <v>8</v>
      </c>
      <c r="AI1421" t="n">
        <v>8</v>
      </c>
      <c r="AJ1421" t="n">
        <v>16</v>
      </c>
      <c r="AK1421" t="n">
        <v>16</v>
      </c>
      <c r="AL1421" t="n">
        <v>2</v>
      </c>
      <c r="AM1421" t="n">
        <v>2</v>
      </c>
      <c r="AN1421" t="n">
        <v>0</v>
      </c>
      <c r="AO1421" t="n">
        <v>0</v>
      </c>
      <c r="AP1421" t="inlineStr">
        <is>
          <t>No</t>
        </is>
      </c>
      <c r="AQ1421" t="inlineStr">
        <is>
          <t>No</t>
        </is>
      </c>
      <c r="AS1421">
        <f>HYPERLINK("https://creighton-primo.hosted.exlibrisgroup.com/primo-explore/search?tab=default_tab&amp;search_scope=EVERYTHING&amp;vid=01CRU&amp;lang=en_US&amp;offset=0&amp;query=any,contains,991001176049702656","Catalog Record")</f>
        <v/>
      </c>
      <c r="AT1421">
        <f>HYPERLINK("http://www.worldcat.org/oclc/17012030","WorldCat Record")</f>
        <v/>
      </c>
      <c r="AU1421" t="inlineStr">
        <is>
          <t>2281286754:eng</t>
        </is>
      </c>
      <c r="AV1421" t="inlineStr">
        <is>
          <t>17012030</t>
        </is>
      </c>
      <c r="AW1421" t="inlineStr">
        <is>
          <t>991001176049702656</t>
        </is>
      </c>
      <c r="AX1421" t="inlineStr">
        <is>
          <t>991001176049702656</t>
        </is>
      </c>
      <c r="AY1421" t="inlineStr">
        <is>
          <t>2264218330002656</t>
        </is>
      </c>
      <c r="AZ1421" t="inlineStr">
        <is>
          <t>BOOK</t>
        </is>
      </c>
      <c r="BB1421" t="inlineStr">
        <is>
          <t>9780896223509</t>
        </is>
      </c>
      <c r="BC1421" t="inlineStr">
        <is>
          <t>32285000224187</t>
        </is>
      </c>
      <c r="BD1421" t="inlineStr">
        <is>
          <t>893414017</t>
        </is>
      </c>
    </row>
    <row r="1422">
      <c r="A1422" t="inlineStr">
        <is>
          <t>No</t>
        </is>
      </c>
      <c r="B1422" t="inlineStr">
        <is>
          <t>BX2347.8.W6 M36 2000</t>
        </is>
      </c>
      <c r="C1422" t="inlineStr">
        <is>
          <t>0                      BX 2347800W  6                  M  36          2000</t>
        </is>
      </c>
      <c r="D1422" t="inlineStr">
        <is>
          <t>Is the Pope Catholic? : a woman confronts her church / Joanna Manning.</t>
        </is>
      </c>
      <c r="F1422" t="inlineStr">
        <is>
          <t>No</t>
        </is>
      </c>
      <c r="G1422" t="inlineStr">
        <is>
          <t>1</t>
        </is>
      </c>
      <c r="H1422" t="inlineStr">
        <is>
          <t>No</t>
        </is>
      </c>
      <c r="I1422" t="inlineStr">
        <is>
          <t>No</t>
        </is>
      </c>
      <c r="J1422" t="inlineStr">
        <is>
          <t>0</t>
        </is>
      </c>
      <c r="K1422" t="inlineStr">
        <is>
          <t>Manning, Joanna, 1943-</t>
        </is>
      </c>
      <c r="L1422" t="inlineStr">
        <is>
          <t>New York : Crossroad Pub., 2000.</t>
        </is>
      </c>
      <c r="M1422" t="inlineStr">
        <is>
          <t>2000</t>
        </is>
      </c>
      <c r="O1422" t="inlineStr">
        <is>
          <t>eng</t>
        </is>
      </c>
      <c r="P1422" t="inlineStr">
        <is>
          <t>nyu</t>
        </is>
      </c>
      <c r="R1422" t="inlineStr">
        <is>
          <t xml:space="preserve">BX </t>
        </is>
      </c>
      <c r="S1422" t="n">
        <v>6</v>
      </c>
      <c r="T1422" t="n">
        <v>6</v>
      </c>
      <c r="U1422" t="inlineStr">
        <is>
          <t>2008-03-22</t>
        </is>
      </c>
      <c r="V1422" t="inlineStr">
        <is>
          <t>2008-03-22</t>
        </is>
      </c>
      <c r="W1422" t="inlineStr">
        <is>
          <t>2001-04-19</t>
        </is>
      </c>
      <c r="X1422" t="inlineStr">
        <is>
          <t>2001-04-19</t>
        </is>
      </c>
      <c r="Y1422" t="n">
        <v>143</v>
      </c>
      <c r="Z1422" t="n">
        <v>127</v>
      </c>
      <c r="AA1422" t="n">
        <v>147</v>
      </c>
      <c r="AB1422" t="n">
        <v>3</v>
      </c>
      <c r="AC1422" t="n">
        <v>3</v>
      </c>
      <c r="AD1422" t="n">
        <v>18</v>
      </c>
      <c r="AE1422" t="n">
        <v>19</v>
      </c>
      <c r="AF1422" t="n">
        <v>6</v>
      </c>
      <c r="AG1422" t="n">
        <v>6</v>
      </c>
      <c r="AH1422" t="n">
        <v>5</v>
      </c>
      <c r="AI1422" t="n">
        <v>5</v>
      </c>
      <c r="AJ1422" t="n">
        <v>10</v>
      </c>
      <c r="AK1422" t="n">
        <v>11</v>
      </c>
      <c r="AL1422" t="n">
        <v>2</v>
      </c>
      <c r="AM1422" t="n">
        <v>2</v>
      </c>
      <c r="AN1422" t="n">
        <v>0</v>
      </c>
      <c r="AO1422" t="n">
        <v>0</v>
      </c>
      <c r="AP1422" t="inlineStr">
        <is>
          <t>No</t>
        </is>
      </c>
      <c r="AQ1422" t="inlineStr">
        <is>
          <t>No</t>
        </is>
      </c>
      <c r="AS1422">
        <f>HYPERLINK("https://creighton-primo.hosted.exlibrisgroup.com/primo-explore/search?tab=default_tab&amp;search_scope=EVERYTHING&amp;vid=01CRU&amp;lang=en_US&amp;offset=0&amp;query=any,contains,991003527249702656","Catalog Record")</f>
        <v/>
      </c>
      <c r="AT1422">
        <f>HYPERLINK("http://www.worldcat.org/oclc/45163257","WorldCat Record")</f>
        <v/>
      </c>
      <c r="AU1422" t="inlineStr">
        <is>
          <t>837080635:eng</t>
        </is>
      </c>
      <c r="AV1422" t="inlineStr">
        <is>
          <t>45163257</t>
        </is>
      </c>
      <c r="AW1422" t="inlineStr">
        <is>
          <t>991003527249702656</t>
        </is>
      </c>
      <c r="AX1422" t="inlineStr">
        <is>
          <t>991003527249702656</t>
        </is>
      </c>
      <c r="AY1422" t="inlineStr">
        <is>
          <t>2267026280002656</t>
        </is>
      </c>
      <c r="AZ1422" t="inlineStr">
        <is>
          <t>BOOK</t>
        </is>
      </c>
      <c r="BB1422" t="inlineStr">
        <is>
          <t>9780824518691</t>
        </is>
      </c>
      <c r="BC1422" t="inlineStr">
        <is>
          <t>32285004313739</t>
        </is>
      </c>
      <c r="BD1422" t="inlineStr">
        <is>
          <t>893686619</t>
        </is>
      </c>
    </row>
    <row r="1423">
      <c r="A1423" t="inlineStr">
        <is>
          <t>No</t>
        </is>
      </c>
      <c r="B1423" t="inlineStr">
        <is>
          <t>BX2347.8.W6 O38 1980</t>
        </is>
      </c>
      <c r="C1423" t="inlineStr">
        <is>
          <t>0                      BX 2347800W  6                  O  38          1980</t>
        </is>
      </c>
      <c r="D1423" t="inlineStr">
        <is>
          <t>Woman : survivor in the Church / by Joan Ohanneson.</t>
        </is>
      </c>
      <c r="F1423" t="inlineStr">
        <is>
          <t>No</t>
        </is>
      </c>
      <c r="G1423" t="inlineStr">
        <is>
          <t>1</t>
        </is>
      </c>
      <c r="H1423" t="inlineStr">
        <is>
          <t>No</t>
        </is>
      </c>
      <c r="I1423" t="inlineStr">
        <is>
          <t>No</t>
        </is>
      </c>
      <c r="J1423" t="inlineStr">
        <is>
          <t>0</t>
        </is>
      </c>
      <c r="K1423" t="inlineStr">
        <is>
          <t>Ohanneson, Joan.</t>
        </is>
      </c>
      <c r="L1423" t="inlineStr">
        <is>
          <t>Minneapolis, Minn. : Winston Press, c1980.</t>
        </is>
      </c>
      <c r="M1423" t="inlineStr">
        <is>
          <t>1980</t>
        </is>
      </c>
      <c r="O1423" t="inlineStr">
        <is>
          <t>eng</t>
        </is>
      </c>
      <c r="P1423" t="inlineStr">
        <is>
          <t>mnu</t>
        </is>
      </c>
      <c r="R1423" t="inlineStr">
        <is>
          <t xml:space="preserve">BX </t>
        </is>
      </c>
      <c r="S1423" t="n">
        <v>1</v>
      </c>
      <c r="T1423" t="n">
        <v>1</v>
      </c>
      <c r="U1423" t="inlineStr">
        <is>
          <t>2009-07-28</t>
        </is>
      </c>
      <c r="V1423" t="inlineStr">
        <is>
          <t>2009-07-28</t>
        </is>
      </c>
      <c r="W1423" t="inlineStr">
        <is>
          <t>2009-07-28</t>
        </is>
      </c>
      <c r="X1423" t="inlineStr">
        <is>
          <t>2009-07-28</t>
        </is>
      </c>
      <c r="Y1423" t="n">
        <v>263</v>
      </c>
      <c r="Z1423" t="n">
        <v>217</v>
      </c>
      <c r="AA1423" t="n">
        <v>236</v>
      </c>
      <c r="AB1423" t="n">
        <v>2</v>
      </c>
      <c r="AC1423" t="n">
        <v>2</v>
      </c>
      <c r="AD1423" t="n">
        <v>18</v>
      </c>
      <c r="AE1423" t="n">
        <v>20</v>
      </c>
      <c r="AF1423" t="n">
        <v>1</v>
      </c>
      <c r="AG1423" t="n">
        <v>2</v>
      </c>
      <c r="AH1423" t="n">
        <v>7</v>
      </c>
      <c r="AI1423" t="n">
        <v>7</v>
      </c>
      <c r="AJ1423" t="n">
        <v>13</v>
      </c>
      <c r="AK1423" t="n">
        <v>14</v>
      </c>
      <c r="AL1423" t="n">
        <v>1</v>
      </c>
      <c r="AM1423" t="n">
        <v>1</v>
      </c>
      <c r="AN1423" t="n">
        <v>0</v>
      </c>
      <c r="AO1423" t="n">
        <v>0</v>
      </c>
      <c r="AP1423" t="inlineStr">
        <is>
          <t>No</t>
        </is>
      </c>
      <c r="AQ1423" t="inlineStr">
        <is>
          <t>Yes</t>
        </is>
      </c>
      <c r="AR1423">
        <f>HYPERLINK("http://catalog.hathitrust.org/Record/006019618","HathiTrust Record")</f>
        <v/>
      </c>
      <c r="AS1423">
        <f>HYPERLINK("https://creighton-primo.hosted.exlibrisgroup.com/primo-explore/search?tab=default_tab&amp;search_scope=EVERYTHING&amp;vid=01CRU&amp;lang=en_US&amp;offset=0&amp;query=any,contains,991005328389702656","Catalog Record")</f>
        <v/>
      </c>
      <c r="AT1423">
        <f>HYPERLINK("http://www.worldcat.org/oclc/6707910","WorldCat Record")</f>
        <v/>
      </c>
      <c r="AU1423" t="inlineStr">
        <is>
          <t>513234:eng</t>
        </is>
      </c>
      <c r="AV1423" t="inlineStr">
        <is>
          <t>6707910</t>
        </is>
      </c>
      <c r="AW1423" t="inlineStr">
        <is>
          <t>991005328389702656</t>
        </is>
      </c>
      <c r="AX1423" t="inlineStr">
        <is>
          <t>991005328389702656</t>
        </is>
      </c>
      <c r="AY1423" t="inlineStr">
        <is>
          <t>2257603320002656</t>
        </is>
      </c>
      <c r="AZ1423" t="inlineStr">
        <is>
          <t>BOOK</t>
        </is>
      </c>
      <c r="BB1423" t="inlineStr">
        <is>
          <t>9780030566714</t>
        </is>
      </c>
      <c r="BC1423" t="inlineStr">
        <is>
          <t>32285005539696</t>
        </is>
      </c>
      <c r="BD1423" t="inlineStr">
        <is>
          <t>893236658</t>
        </is>
      </c>
    </row>
    <row r="1424">
      <c r="A1424" t="inlineStr">
        <is>
          <t>No</t>
        </is>
      </c>
      <c r="B1424" t="inlineStr">
        <is>
          <t>BX2347.8.W6 R43 1992</t>
        </is>
      </c>
      <c r="C1424" t="inlineStr">
        <is>
          <t>0                      BX 2347800W  6                  R  43          1992</t>
        </is>
      </c>
      <c r="D1424" t="inlineStr">
        <is>
          <t>Generous lives : American Catholic women today / Jane Redmont.</t>
        </is>
      </c>
      <c r="F1424" t="inlineStr">
        <is>
          <t>No</t>
        </is>
      </c>
      <c r="G1424" t="inlineStr">
        <is>
          <t>1</t>
        </is>
      </c>
      <c r="H1424" t="inlineStr">
        <is>
          <t>No</t>
        </is>
      </c>
      <c r="I1424" t="inlineStr">
        <is>
          <t>No</t>
        </is>
      </c>
      <c r="J1424" t="inlineStr">
        <is>
          <t>0</t>
        </is>
      </c>
      <c r="K1424" t="inlineStr">
        <is>
          <t>Redmont, Jane.</t>
        </is>
      </c>
      <c r="L1424" t="inlineStr">
        <is>
          <t>New York : W. Morrow and Co., c1992.</t>
        </is>
      </c>
      <c r="M1424" t="inlineStr">
        <is>
          <t>1992</t>
        </is>
      </c>
      <c r="N1424" t="inlineStr">
        <is>
          <t>1st ed.</t>
        </is>
      </c>
      <c r="O1424" t="inlineStr">
        <is>
          <t>eng</t>
        </is>
      </c>
      <c r="P1424" t="inlineStr">
        <is>
          <t>nyu</t>
        </is>
      </c>
      <c r="R1424" t="inlineStr">
        <is>
          <t xml:space="preserve">BX </t>
        </is>
      </c>
      <c r="S1424" t="n">
        <v>1</v>
      </c>
      <c r="T1424" t="n">
        <v>1</v>
      </c>
      <c r="U1424" t="inlineStr">
        <is>
          <t>1998-12-06</t>
        </is>
      </c>
      <c r="V1424" t="inlineStr">
        <is>
          <t>1998-12-06</t>
        </is>
      </c>
      <c r="W1424" t="inlineStr">
        <is>
          <t>1993-09-13</t>
        </is>
      </c>
      <c r="X1424" t="inlineStr">
        <is>
          <t>1993-09-13</t>
        </is>
      </c>
      <c r="Y1424" t="n">
        <v>467</v>
      </c>
      <c r="Z1424" t="n">
        <v>444</v>
      </c>
      <c r="AA1424" t="n">
        <v>485</v>
      </c>
      <c r="AB1424" t="n">
        <v>2</v>
      </c>
      <c r="AC1424" t="n">
        <v>2</v>
      </c>
      <c r="AD1424" t="n">
        <v>32</v>
      </c>
      <c r="AE1424" t="n">
        <v>34</v>
      </c>
      <c r="AF1424" t="n">
        <v>11</v>
      </c>
      <c r="AG1424" t="n">
        <v>12</v>
      </c>
      <c r="AH1424" t="n">
        <v>7</v>
      </c>
      <c r="AI1424" t="n">
        <v>8</v>
      </c>
      <c r="AJ1424" t="n">
        <v>22</v>
      </c>
      <c r="AK1424" t="n">
        <v>24</v>
      </c>
      <c r="AL1424" t="n">
        <v>1</v>
      </c>
      <c r="AM1424" t="n">
        <v>1</v>
      </c>
      <c r="AN1424" t="n">
        <v>0</v>
      </c>
      <c r="AO1424" t="n">
        <v>0</v>
      </c>
      <c r="AP1424" t="inlineStr">
        <is>
          <t>No</t>
        </is>
      </c>
      <c r="AQ1424" t="inlineStr">
        <is>
          <t>Yes</t>
        </is>
      </c>
      <c r="AR1424">
        <f>HYPERLINK("http://catalog.hathitrust.org/Record/002568697","HathiTrust Record")</f>
        <v/>
      </c>
      <c r="AS1424">
        <f>HYPERLINK("https://creighton-primo.hosted.exlibrisgroup.com/primo-explore/search?tab=default_tab&amp;search_scope=EVERYTHING&amp;vid=01CRU&amp;lang=en_US&amp;offset=0&amp;query=any,contains,991002001259702656","Catalog Record")</f>
        <v/>
      </c>
      <c r="AT1424">
        <f>HYPERLINK("http://www.worldcat.org/oclc/25412284","WorldCat Record")</f>
        <v/>
      </c>
      <c r="AU1424" t="inlineStr">
        <is>
          <t>378892:eng</t>
        </is>
      </c>
      <c r="AV1424" t="inlineStr">
        <is>
          <t>25412284</t>
        </is>
      </c>
      <c r="AW1424" t="inlineStr">
        <is>
          <t>991002001259702656</t>
        </is>
      </c>
      <c r="AX1424" t="inlineStr">
        <is>
          <t>991002001259702656</t>
        </is>
      </c>
      <c r="AY1424" t="inlineStr">
        <is>
          <t>2256815380002656</t>
        </is>
      </c>
      <c r="AZ1424" t="inlineStr">
        <is>
          <t>BOOK</t>
        </is>
      </c>
      <c r="BB1424" t="inlineStr">
        <is>
          <t>9780688067076</t>
        </is>
      </c>
      <c r="BC1424" t="inlineStr">
        <is>
          <t>32285001765709</t>
        </is>
      </c>
      <c r="BD1424" t="inlineStr">
        <is>
          <t>893596918</t>
        </is>
      </c>
    </row>
    <row r="1425">
      <c r="A1425" t="inlineStr">
        <is>
          <t>No</t>
        </is>
      </c>
      <c r="B1425" t="inlineStr">
        <is>
          <t>BX2347.8.Y7 S44 1991</t>
        </is>
      </c>
      <c r="C1425" t="inlineStr">
        <is>
          <t>0                      BX 2347800Y  7                  S  44          1991</t>
        </is>
      </c>
      <c r="D1425" t="inlineStr">
        <is>
          <t>World Youth Day 1991 : seeing with new eyes, acting in solidarity.</t>
        </is>
      </c>
      <c r="F1425" t="inlineStr">
        <is>
          <t>No</t>
        </is>
      </c>
      <c r="G1425" t="inlineStr">
        <is>
          <t>1</t>
        </is>
      </c>
      <c r="H1425" t="inlineStr">
        <is>
          <t>No</t>
        </is>
      </c>
      <c r="I1425" t="inlineStr">
        <is>
          <t>No</t>
        </is>
      </c>
      <c r="J1425" t="inlineStr">
        <is>
          <t>0</t>
        </is>
      </c>
      <c r="L1425" t="inlineStr">
        <is>
          <t>Washington, D.C. : United States Catholic Conference, c1991.</t>
        </is>
      </c>
      <c r="M1425" t="inlineStr">
        <is>
          <t>1991</t>
        </is>
      </c>
      <c r="O1425" t="inlineStr">
        <is>
          <t>eng</t>
        </is>
      </c>
      <c r="P1425" t="inlineStr">
        <is>
          <t>dcu</t>
        </is>
      </c>
      <c r="R1425" t="inlineStr">
        <is>
          <t xml:space="preserve">BX </t>
        </is>
      </c>
      <c r="S1425" t="n">
        <v>1</v>
      </c>
      <c r="T1425" t="n">
        <v>1</v>
      </c>
      <c r="U1425" t="inlineStr">
        <is>
          <t>1992-11-19</t>
        </is>
      </c>
      <c r="V1425" t="inlineStr">
        <is>
          <t>1992-11-19</t>
        </is>
      </c>
      <c r="W1425" t="inlineStr">
        <is>
          <t>1991-07-10</t>
        </is>
      </c>
      <c r="X1425" t="inlineStr">
        <is>
          <t>1991-07-10</t>
        </is>
      </c>
      <c r="Y1425" t="n">
        <v>63</v>
      </c>
      <c r="Z1425" t="n">
        <v>61</v>
      </c>
      <c r="AA1425" t="n">
        <v>61</v>
      </c>
      <c r="AB1425" t="n">
        <v>1</v>
      </c>
      <c r="AC1425" t="n">
        <v>1</v>
      </c>
      <c r="AD1425" t="n">
        <v>11</v>
      </c>
      <c r="AE1425" t="n">
        <v>11</v>
      </c>
      <c r="AF1425" t="n">
        <v>3</v>
      </c>
      <c r="AG1425" t="n">
        <v>3</v>
      </c>
      <c r="AH1425" t="n">
        <v>2</v>
      </c>
      <c r="AI1425" t="n">
        <v>2</v>
      </c>
      <c r="AJ1425" t="n">
        <v>9</v>
      </c>
      <c r="AK1425" t="n">
        <v>9</v>
      </c>
      <c r="AL1425" t="n">
        <v>0</v>
      </c>
      <c r="AM1425" t="n">
        <v>0</v>
      </c>
      <c r="AN1425" t="n">
        <v>0</v>
      </c>
      <c r="AO1425" t="n">
        <v>0</v>
      </c>
      <c r="AP1425" t="inlineStr">
        <is>
          <t>No</t>
        </is>
      </c>
      <c r="AQ1425" t="inlineStr">
        <is>
          <t>No</t>
        </is>
      </c>
      <c r="AS1425">
        <f>HYPERLINK("https://creighton-primo.hosted.exlibrisgroup.com/primo-explore/search?tab=default_tab&amp;search_scope=EVERYTHING&amp;vid=01CRU&amp;lang=en_US&amp;offset=0&amp;query=any,contains,991001899209702656","Catalog Record")</f>
        <v/>
      </c>
      <c r="AT1425">
        <f>HYPERLINK("http://www.worldcat.org/oclc/23982127","WorldCat Record")</f>
        <v/>
      </c>
      <c r="AU1425" t="inlineStr">
        <is>
          <t>25532947:eng</t>
        </is>
      </c>
      <c r="AV1425" t="inlineStr">
        <is>
          <t>23982127</t>
        </is>
      </c>
      <c r="AW1425" t="inlineStr">
        <is>
          <t>991001899209702656</t>
        </is>
      </c>
      <c r="AX1425" t="inlineStr">
        <is>
          <t>991001899209702656</t>
        </is>
      </c>
      <c r="AY1425" t="inlineStr">
        <is>
          <t>2255919040002656</t>
        </is>
      </c>
      <c r="AZ1425" t="inlineStr">
        <is>
          <t>BOOK</t>
        </is>
      </c>
      <c r="BB1425" t="inlineStr">
        <is>
          <t>9781555863845</t>
        </is>
      </c>
      <c r="BC1425" t="inlineStr">
        <is>
          <t>32285000648864</t>
        </is>
      </c>
      <c r="BD1425" t="inlineStr">
        <is>
          <t>893433219</t>
        </is>
      </c>
    </row>
    <row r="1426">
      <c r="A1426" t="inlineStr">
        <is>
          <t>No</t>
        </is>
      </c>
      <c r="B1426" t="inlineStr">
        <is>
          <t>BX2347.8.Y7 W67 1992</t>
        </is>
      </c>
      <c r="C1426" t="inlineStr">
        <is>
          <t>0                      BX 2347800Y  7                  W  67          1992</t>
        </is>
      </c>
      <c r="D1426" t="inlineStr">
        <is>
          <t>World Youth Day 1992 : live the faith, share the story / prepared by Mr. Paul Henderson ... in consultation with the staff of the Secretariat for Family, Laity, Women and Youth, National Conference of Catholic Bishops.</t>
        </is>
      </c>
      <c r="F1426" t="inlineStr">
        <is>
          <t>No</t>
        </is>
      </c>
      <c r="G1426" t="inlineStr">
        <is>
          <t>1</t>
        </is>
      </c>
      <c r="H1426" t="inlineStr">
        <is>
          <t>No</t>
        </is>
      </c>
      <c r="I1426" t="inlineStr">
        <is>
          <t>No</t>
        </is>
      </c>
      <c r="J1426" t="inlineStr">
        <is>
          <t>0</t>
        </is>
      </c>
      <c r="L1426" t="inlineStr">
        <is>
          <t>Washington, D.C. : United States Catholic Conference, c1992.</t>
        </is>
      </c>
      <c r="M1426" t="inlineStr">
        <is>
          <t>1992</t>
        </is>
      </c>
      <c r="O1426" t="inlineStr">
        <is>
          <t>eng</t>
        </is>
      </c>
      <c r="P1426" t="inlineStr">
        <is>
          <t>dcu</t>
        </is>
      </c>
      <c r="Q1426" t="inlineStr">
        <is>
          <t>Publication / Office of Publishing and Promotion Services, United States Catholic Conference ; no. 499-6</t>
        </is>
      </c>
      <c r="R1426" t="inlineStr">
        <is>
          <t xml:space="preserve">BX </t>
        </is>
      </c>
      <c r="S1426" t="n">
        <v>2</v>
      </c>
      <c r="T1426" t="n">
        <v>2</v>
      </c>
      <c r="U1426" t="inlineStr">
        <is>
          <t>1992-11-19</t>
        </is>
      </c>
      <c r="V1426" t="inlineStr">
        <is>
          <t>1992-11-19</t>
        </is>
      </c>
      <c r="W1426" t="inlineStr">
        <is>
          <t>1992-09-23</t>
        </is>
      </c>
      <c r="X1426" t="inlineStr">
        <is>
          <t>1992-09-23</t>
        </is>
      </c>
      <c r="Y1426" t="n">
        <v>43</v>
      </c>
      <c r="Z1426" t="n">
        <v>42</v>
      </c>
      <c r="AA1426" t="n">
        <v>42</v>
      </c>
      <c r="AB1426" t="n">
        <v>1</v>
      </c>
      <c r="AC1426" t="n">
        <v>1</v>
      </c>
      <c r="AD1426" t="n">
        <v>5</v>
      </c>
      <c r="AE1426" t="n">
        <v>5</v>
      </c>
      <c r="AF1426" t="n">
        <v>2</v>
      </c>
      <c r="AG1426" t="n">
        <v>2</v>
      </c>
      <c r="AH1426" t="n">
        <v>2</v>
      </c>
      <c r="AI1426" t="n">
        <v>2</v>
      </c>
      <c r="AJ1426" t="n">
        <v>4</v>
      </c>
      <c r="AK1426" t="n">
        <v>4</v>
      </c>
      <c r="AL1426" t="n">
        <v>0</v>
      </c>
      <c r="AM1426" t="n">
        <v>0</v>
      </c>
      <c r="AN1426" t="n">
        <v>0</v>
      </c>
      <c r="AO1426" t="n">
        <v>0</v>
      </c>
      <c r="AP1426" t="inlineStr">
        <is>
          <t>No</t>
        </is>
      </c>
      <c r="AQ1426" t="inlineStr">
        <is>
          <t>No</t>
        </is>
      </c>
      <c r="AS1426">
        <f>HYPERLINK("https://creighton-primo.hosted.exlibrisgroup.com/primo-explore/search?tab=default_tab&amp;search_scope=EVERYTHING&amp;vid=01CRU&amp;lang=en_US&amp;offset=0&amp;query=any,contains,991002067469702656","Catalog Record")</f>
        <v/>
      </c>
      <c r="AT1426">
        <f>HYPERLINK("http://www.worldcat.org/oclc/26487859","WorldCat Record")</f>
        <v/>
      </c>
      <c r="AU1426" t="inlineStr">
        <is>
          <t>4066060197:eng</t>
        </is>
      </c>
      <c r="AV1426" t="inlineStr">
        <is>
          <t>26487859</t>
        </is>
      </c>
      <c r="AW1426" t="inlineStr">
        <is>
          <t>991002067469702656</t>
        </is>
      </c>
      <c r="AX1426" t="inlineStr">
        <is>
          <t>991002067469702656</t>
        </is>
      </c>
      <c r="AY1426" t="inlineStr">
        <is>
          <t>2255822120002656</t>
        </is>
      </c>
      <c r="AZ1426" t="inlineStr">
        <is>
          <t>BOOK</t>
        </is>
      </c>
      <c r="BB1426" t="inlineStr">
        <is>
          <t>9781555864996</t>
        </is>
      </c>
      <c r="BC1426" t="inlineStr">
        <is>
          <t>32285001309094</t>
        </is>
      </c>
      <c r="BD1426" t="inlineStr">
        <is>
          <t>893510252</t>
        </is>
      </c>
    </row>
    <row r="1427">
      <c r="A1427" t="inlineStr">
        <is>
          <t>No</t>
        </is>
      </c>
      <c r="B1427" t="inlineStr">
        <is>
          <t>BX2347.8.Y7 Y4 1992</t>
        </is>
      </c>
      <c r="C1427" t="inlineStr">
        <is>
          <t>0                      BX 2347800Y  7                  Y  4           1992</t>
        </is>
      </c>
      <c r="D1427" t="inlineStr">
        <is>
          <t>A year of preparation : World Youth Day '93 resource manual.</t>
        </is>
      </c>
      <c r="F1427" t="inlineStr">
        <is>
          <t>No</t>
        </is>
      </c>
      <c r="G1427" t="inlineStr">
        <is>
          <t>1</t>
        </is>
      </c>
      <c r="H1427" t="inlineStr">
        <is>
          <t>No</t>
        </is>
      </c>
      <c r="I1427" t="inlineStr">
        <is>
          <t>No</t>
        </is>
      </c>
      <c r="J1427" t="inlineStr">
        <is>
          <t>0</t>
        </is>
      </c>
      <c r="L1427" t="inlineStr">
        <is>
          <t>[Washington, D.C. : United States Catholic Conference], c1992.</t>
        </is>
      </c>
      <c r="M1427" t="inlineStr">
        <is>
          <t>1992</t>
        </is>
      </c>
      <c r="O1427" t="inlineStr">
        <is>
          <t>eng</t>
        </is>
      </c>
      <c r="P1427" t="inlineStr">
        <is>
          <t>dcu</t>
        </is>
      </c>
      <c r="Q1427" t="inlineStr">
        <is>
          <t>Publication / Office for Publishing and Promotion Services, United States Catholic Conference ; no. 528-3</t>
        </is>
      </c>
      <c r="R1427" t="inlineStr">
        <is>
          <t xml:space="preserve">BX </t>
        </is>
      </c>
      <c r="S1427" t="n">
        <v>5</v>
      </c>
      <c r="T1427" t="n">
        <v>5</v>
      </c>
      <c r="U1427" t="inlineStr">
        <is>
          <t>1993-11-15</t>
        </is>
      </c>
      <c r="V1427" t="inlineStr">
        <is>
          <t>1993-11-15</t>
        </is>
      </c>
      <c r="W1427" t="inlineStr">
        <is>
          <t>1992-12-10</t>
        </is>
      </c>
      <c r="X1427" t="inlineStr">
        <is>
          <t>1992-12-10</t>
        </is>
      </c>
      <c r="Y1427" t="n">
        <v>49</v>
      </c>
      <c r="Z1427" t="n">
        <v>48</v>
      </c>
      <c r="AA1427" t="n">
        <v>48</v>
      </c>
      <c r="AB1427" t="n">
        <v>1</v>
      </c>
      <c r="AC1427" t="n">
        <v>1</v>
      </c>
      <c r="AD1427" t="n">
        <v>7</v>
      </c>
      <c r="AE1427" t="n">
        <v>7</v>
      </c>
      <c r="AF1427" t="n">
        <v>1</v>
      </c>
      <c r="AG1427" t="n">
        <v>1</v>
      </c>
      <c r="AH1427" t="n">
        <v>3</v>
      </c>
      <c r="AI1427" t="n">
        <v>3</v>
      </c>
      <c r="AJ1427" t="n">
        <v>5</v>
      </c>
      <c r="AK1427" t="n">
        <v>5</v>
      </c>
      <c r="AL1427" t="n">
        <v>0</v>
      </c>
      <c r="AM1427" t="n">
        <v>0</v>
      </c>
      <c r="AN1427" t="n">
        <v>0</v>
      </c>
      <c r="AO1427" t="n">
        <v>0</v>
      </c>
      <c r="AP1427" t="inlineStr">
        <is>
          <t>No</t>
        </is>
      </c>
      <c r="AQ1427" t="inlineStr">
        <is>
          <t>No</t>
        </is>
      </c>
      <c r="AS1427">
        <f>HYPERLINK("https://creighton-primo.hosted.exlibrisgroup.com/primo-explore/search?tab=default_tab&amp;search_scope=EVERYTHING&amp;vid=01CRU&amp;lang=en_US&amp;offset=0&amp;query=any,contains,991002107079702656","Catalog Record")</f>
        <v/>
      </c>
      <c r="AT1427">
        <f>HYPERLINK("http://www.worldcat.org/oclc/27017900","WorldCat Record")</f>
        <v/>
      </c>
      <c r="AU1427" t="inlineStr">
        <is>
          <t>8908222114:eng</t>
        </is>
      </c>
      <c r="AV1427" t="inlineStr">
        <is>
          <t>27017900</t>
        </is>
      </c>
      <c r="AW1427" t="inlineStr">
        <is>
          <t>991002107079702656</t>
        </is>
      </c>
      <c r="AX1427" t="inlineStr">
        <is>
          <t>991002107079702656</t>
        </is>
      </c>
      <c r="AY1427" t="inlineStr">
        <is>
          <t>2254761460002656</t>
        </is>
      </c>
      <c r="AZ1427" t="inlineStr">
        <is>
          <t>BOOK</t>
        </is>
      </c>
      <c r="BB1427" t="inlineStr">
        <is>
          <t>9781555865283</t>
        </is>
      </c>
      <c r="BC1427" t="inlineStr">
        <is>
          <t>32285001439636</t>
        </is>
      </c>
      <c r="BD1427" t="inlineStr">
        <is>
          <t>893316394</t>
        </is>
      </c>
    </row>
    <row r="1428">
      <c r="A1428" t="inlineStr">
        <is>
          <t>No</t>
        </is>
      </c>
      <c r="B1428" t="inlineStr">
        <is>
          <t>BX2348 .D4 1953</t>
        </is>
      </c>
      <c r="C1428" t="inlineStr">
        <is>
          <t>0                      BX 2348000D  4           1953</t>
        </is>
      </c>
      <c r="D1428" t="inlineStr">
        <is>
          <t>Where love is, God is / Catherine de Hueck Doherty.</t>
        </is>
      </c>
      <c r="F1428" t="inlineStr">
        <is>
          <t>No</t>
        </is>
      </c>
      <c r="G1428" t="inlineStr">
        <is>
          <t>1</t>
        </is>
      </c>
      <c r="H1428" t="inlineStr">
        <is>
          <t>No</t>
        </is>
      </c>
      <c r="I1428" t="inlineStr">
        <is>
          <t>No</t>
        </is>
      </c>
      <c r="J1428" t="inlineStr">
        <is>
          <t>0</t>
        </is>
      </c>
      <c r="K1428" t="inlineStr">
        <is>
          <t>Doherty, Catherine de Hueck, 1896-1985.</t>
        </is>
      </c>
      <c r="L1428" t="inlineStr">
        <is>
          <t>Milwaukee : Bruce Pub. Co., [1953]</t>
        </is>
      </c>
      <c r="M1428" t="inlineStr">
        <is>
          <t>1953</t>
        </is>
      </c>
      <c r="O1428" t="inlineStr">
        <is>
          <t>eng</t>
        </is>
      </c>
      <c r="P1428" t="inlineStr">
        <is>
          <t>wiu</t>
        </is>
      </c>
      <c r="R1428" t="inlineStr">
        <is>
          <t xml:space="preserve">BX </t>
        </is>
      </c>
      <c r="S1428" t="n">
        <v>5</v>
      </c>
      <c r="T1428" t="n">
        <v>5</v>
      </c>
      <c r="U1428" t="inlineStr">
        <is>
          <t>2009-07-21</t>
        </is>
      </c>
      <c r="V1428" t="inlineStr">
        <is>
          <t>2009-07-21</t>
        </is>
      </c>
      <c r="W1428" t="inlineStr">
        <is>
          <t>1991-10-25</t>
        </is>
      </c>
      <c r="X1428" t="inlineStr">
        <is>
          <t>1991-10-25</t>
        </is>
      </c>
      <c r="Y1428" t="n">
        <v>140</v>
      </c>
      <c r="Z1428" t="n">
        <v>130</v>
      </c>
      <c r="AA1428" t="n">
        <v>135</v>
      </c>
      <c r="AB1428" t="n">
        <v>3</v>
      </c>
      <c r="AC1428" t="n">
        <v>3</v>
      </c>
      <c r="AD1428" t="n">
        <v>24</v>
      </c>
      <c r="AE1428" t="n">
        <v>24</v>
      </c>
      <c r="AF1428" t="n">
        <v>7</v>
      </c>
      <c r="AG1428" t="n">
        <v>7</v>
      </c>
      <c r="AH1428" t="n">
        <v>5</v>
      </c>
      <c r="AI1428" t="n">
        <v>5</v>
      </c>
      <c r="AJ1428" t="n">
        <v>20</v>
      </c>
      <c r="AK1428" t="n">
        <v>20</v>
      </c>
      <c r="AL1428" t="n">
        <v>0</v>
      </c>
      <c r="AM1428" t="n">
        <v>0</v>
      </c>
      <c r="AN1428" t="n">
        <v>0</v>
      </c>
      <c r="AO1428" t="n">
        <v>0</v>
      </c>
      <c r="AP1428" t="inlineStr">
        <is>
          <t>No</t>
        </is>
      </c>
      <c r="AQ1428" t="inlineStr">
        <is>
          <t>No</t>
        </is>
      </c>
      <c r="AS1428">
        <f>HYPERLINK("https://creighton-primo.hosted.exlibrisgroup.com/primo-explore/search?tab=default_tab&amp;search_scope=EVERYTHING&amp;vid=01CRU&amp;lang=en_US&amp;offset=0&amp;query=any,contains,991004230269702656","Catalog Record")</f>
        <v/>
      </c>
      <c r="AT1428">
        <f>HYPERLINK("http://www.worldcat.org/oclc/2744939","WorldCat Record")</f>
        <v/>
      </c>
      <c r="AU1428" t="inlineStr">
        <is>
          <t>6275540:eng</t>
        </is>
      </c>
      <c r="AV1428" t="inlineStr">
        <is>
          <t>2744939</t>
        </is>
      </c>
      <c r="AW1428" t="inlineStr">
        <is>
          <t>991004230269702656</t>
        </is>
      </c>
      <c r="AX1428" t="inlineStr">
        <is>
          <t>991004230269702656</t>
        </is>
      </c>
      <c r="AY1428" t="inlineStr">
        <is>
          <t>2260716510002656</t>
        </is>
      </c>
      <c r="AZ1428" t="inlineStr">
        <is>
          <t>BOOK</t>
        </is>
      </c>
      <c r="BC1428" t="inlineStr">
        <is>
          <t>32285000811926</t>
        </is>
      </c>
      <c r="BD1428" t="inlineStr">
        <is>
          <t>893875845</t>
        </is>
      </c>
    </row>
    <row r="1429">
      <c r="A1429" t="inlineStr">
        <is>
          <t>No</t>
        </is>
      </c>
      <c r="B1429" t="inlineStr">
        <is>
          <t>BX2348 .Q5 1963</t>
        </is>
      </c>
      <c r="C1429" t="inlineStr">
        <is>
          <t>0                      BX 2348000Q  5           1963</t>
        </is>
      </c>
      <c r="D1429" t="inlineStr">
        <is>
          <t>Catholic action in practice : family life, education, international life / [by] Martin Quigley, Jr., and Edward M. Connors.</t>
        </is>
      </c>
      <c r="F1429" t="inlineStr">
        <is>
          <t>No</t>
        </is>
      </c>
      <c r="G1429" t="inlineStr">
        <is>
          <t>1</t>
        </is>
      </c>
      <c r="H1429" t="inlineStr">
        <is>
          <t>No</t>
        </is>
      </c>
      <c r="I1429" t="inlineStr">
        <is>
          <t>No</t>
        </is>
      </c>
      <c r="J1429" t="inlineStr">
        <is>
          <t>0</t>
        </is>
      </c>
      <c r="K1429" t="inlineStr">
        <is>
          <t>Quigley, Martin, 1917-2011.</t>
        </is>
      </c>
      <c r="L1429" t="inlineStr">
        <is>
          <t>New York : Random House, [1963]</t>
        </is>
      </c>
      <c r="M1429" t="inlineStr">
        <is>
          <t>1963</t>
        </is>
      </c>
      <c r="O1429" t="inlineStr">
        <is>
          <t>eng</t>
        </is>
      </c>
      <c r="P1429" t="inlineStr">
        <is>
          <t xml:space="preserve">xx </t>
        </is>
      </c>
      <c r="R1429" t="inlineStr">
        <is>
          <t xml:space="preserve">BX </t>
        </is>
      </c>
      <c r="S1429" t="n">
        <v>4</v>
      </c>
      <c r="T1429" t="n">
        <v>4</v>
      </c>
      <c r="U1429" t="inlineStr">
        <is>
          <t>2010-10-22</t>
        </is>
      </c>
      <c r="V1429" t="inlineStr">
        <is>
          <t>2010-10-22</t>
        </is>
      </c>
      <c r="W1429" t="inlineStr">
        <is>
          <t>1991-10-28</t>
        </is>
      </c>
      <c r="X1429" t="inlineStr">
        <is>
          <t>1991-10-28</t>
        </is>
      </c>
      <c r="Y1429" t="n">
        <v>161</v>
      </c>
      <c r="Z1429" t="n">
        <v>148</v>
      </c>
      <c r="AA1429" t="n">
        <v>153</v>
      </c>
      <c r="AB1429" t="n">
        <v>2</v>
      </c>
      <c r="AC1429" t="n">
        <v>2</v>
      </c>
      <c r="AD1429" t="n">
        <v>19</v>
      </c>
      <c r="AE1429" t="n">
        <v>19</v>
      </c>
      <c r="AF1429" t="n">
        <v>7</v>
      </c>
      <c r="AG1429" t="n">
        <v>7</v>
      </c>
      <c r="AH1429" t="n">
        <v>5</v>
      </c>
      <c r="AI1429" t="n">
        <v>5</v>
      </c>
      <c r="AJ1429" t="n">
        <v>15</v>
      </c>
      <c r="AK1429" t="n">
        <v>15</v>
      </c>
      <c r="AL1429" t="n">
        <v>0</v>
      </c>
      <c r="AM1429" t="n">
        <v>0</v>
      </c>
      <c r="AN1429" t="n">
        <v>0</v>
      </c>
      <c r="AO1429" t="n">
        <v>0</v>
      </c>
      <c r="AP1429" t="inlineStr">
        <is>
          <t>No</t>
        </is>
      </c>
      <c r="AQ1429" t="inlineStr">
        <is>
          <t>No</t>
        </is>
      </c>
      <c r="AS1429">
        <f>HYPERLINK("https://creighton-primo.hosted.exlibrisgroup.com/primo-explore/search?tab=default_tab&amp;search_scope=EVERYTHING&amp;vid=01CRU&amp;lang=en_US&amp;offset=0&amp;query=any,contains,991003411979702656","Catalog Record")</f>
        <v/>
      </c>
      <c r="AT1429">
        <f>HYPERLINK("http://www.worldcat.org/oclc/950055","WorldCat Record")</f>
        <v/>
      </c>
      <c r="AU1429" t="inlineStr">
        <is>
          <t>366674406:eng</t>
        </is>
      </c>
      <c r="AV1429" t="inlineStr">
        <is>
          <t>950055</t>
        </is>
      </c>
      <c r="AW1429" t="inlineStr">
        <is>
          <t>991003411979702656</t>
        </is>
      </c>
      <c r="AX1429" t="inlineStr">
        <is>
          <t>991003411979702656</t>
        </is>
      </c>
      <c r="AY1429" t="inlineStr">
        <is>
          <t>2262075150002656</t>
        </is>
      </c>
      <c r="AZ1429" t="inlineStr">
        <is>
          <t>BOOK</t>
        </is>
      </c>
      <c r="BC1429" t="inlineStr">
        <is>
          <t>32285000811991</t>
        </is>
      </c>
      <c r="BD1429" t="inlineStr">
        <is>
          <t>893445647</t>
        </is>
      </c>
    </row>
    <row r="1430">
      <c r="A1430" t="inlineStr">
        <is>
          <t>No</t>
        </is>
      </c>
      <c r="B1430" t="inlineStr">
        <is>
          <t>BX2348.A3 S8 1948</t>
        </is>
      </c>
      <c r="C1430" t="inlineStr">
        <is>
          <t>0                      BX 2348000A  3                  S  8           1948</t>
        </is>
      </c>
      <c r="D1430" t="inlineStr">
        <is>
          <t>Studies in Catholic action : a practical approach / compiled by the Australian National Secretariat of Catholic Action.</t>
        </is>
      </c>
      <c r="F1430" t="inlineStr">
        <is>
          <t>No</t>
        </is>
      </c>
      <c r="G1430" t="inlineStr">
        <is>
          <t>1</t>
        </is>
      </c>
      <c r="H1430" t="inlineStr">
        <is>
          <t>No</t>
        </is>
      </c>
      <c r="I1430" t="inlineStr">
        <is>
          <t>No</t>
        </is>
      </c>
      <c r="J1430" t="inlineStr">
        <is>
          <t>0</t>
        </is>
      </c>
      <c r="L1430" t="inlineStr">
        <is>
          <t>[Melbourne : Hawthorn Press] 1948.</t>
        </is>
      </c>
      <c r="M1430" t="inlineStr">
        <is>
          <t>1948</t>
        </is>
      </c>
      <c r="O1430" t="inlineStr">
        <is>
          <t>eng</t>
        </is>
      </c>
      <c r="P1430" t="inlineStr">
        <is>
          <t xml:space="preserve">at </t>
        </is>
      </c>
      <c r="R1430" t="inlineStr">
        <is>
          <t xml:space="preserve">BX </t>
        </is>
      </c>
      <c r="S1430" t="n">
        <v>1</v>
      </c>
      <c r="T1430" t="n">
        <v>1</v>
      </c>
      <c r="U1430" t="inlineStr">
        <is>
          <t>2010-10-22</t>
        </is>
      </c>
      <c r="V1430" t="inlineStr">
        <is>
          <t>2010-10-22</t>
        </is>
      </c>
      <c r="W1430" t="inlineStr">
        <is>
          <t>1991-10-25</t>
        </is>
      </c>
      <c r="X1430" t="inlineStr">
        <is>
          <t>1991-10-25</t>
        </is>
      </c>
      <c r="Y1430" t="n">
        <v>27</v>
      </c>
      <c r="Z1430" t="n">
        <v>19</v>
      </c>
      <c r="AA1430" t="n">
        <v>19</v>
      </c>
      <c r="AB1430" t="n">
        <v>1</v>
      </c>
      <c r="AC1430" t="n">
        <v>1</v>
      </c>
      <c r="AD1430" t="n">
        <v>6</v>
      </c>
      <c r="AE1430" t="n">
        <v>6</v>
      </c>
      <c r="AF1430" t="n">
        <v>1</v>
      </c>
      <c r="AG1430" t="n">
        <v>1</v>
      </c>
      <c r="AH1430" t="n">
        <v>4</v>
      </c>
      <c r="AI1430" t="n">
        <v>4</v>
      </c>
      <c r="AJ1430" t="n">
        <v>4</v>
      </c>
      <c r="AK1430" t="n">
        <v>4</v>
      </c>
      <c r="AL1430" t="n">
        <v>0</v>
      </c>
      <c r="AM1430" t="n">
        <v>0</v>
      </c>
      <c r="AN1430" t="n">
        <v>0</v>
      </c>
      <c r="AO1430" t="n">
        <v>0</v>
      </c>
      <c r="AP1430" t="inlineStr">
        <is>
          <t>No</t>
        </is>
      </c>
      <c r="AQ1430" t="inlineStr">
        <is>
          <t>No</t>
        </is>
      </c>
      <c r="AS1430">
        <f>HYPERLINK("https://creighton-primo.hosted.exlibrisgroup.com/primo-explore/search?tab=default_tab&amp;search_scope=EVERYTHING&amp;vid=01CRU&amp;lang=en_US&amp;offset=0&amp;query=any,contains,991004609069702656","Catalog Record")</f>
        <v/>
      </c>
      <c r="AT1430">
        <f>HYPERLINK("http://www.worldcat.org/oclc/4206022","WorldCat Record")</f>
        <v/>
      </c>
      <c r="AU1430" t="inlineStr">
        <is>
          <t>2973826087:eng</t>
        </is>
      </c>
      <c r="AV1430" t="inlineStr">
        <is>
          <t>4206022</t>
        </is>
      </c>
      <c r="AW1430" t="inlineStr">
        <is>
          <t>991004609069702656</t>
        </is>
      </c>
      <c r="AX1430" t="inlineStr">
        <is>
          <t>991004609069702656</t>
        </is>
      </c>
      <c r="AY1430" t="inlineStr">
        <is>
          <t>2268323780002656</t>
        </is>
      </c>
      <c r="AZ1430" t="inlineStr">
        <is>
          <t>BOOK</t>
        </is>
      </c>
      <c r="BC1430" t="inlineStr">
        <is>
          <t>32285000811918</t>
        </is>
      </c>
      <c r="BD1430" t="inlineStr">
        <is>
          <t>893325548</t>
        </is>
      </c>
    </row>
    <row r="1431">
      <c r="A1431" t="inlineStr">
        <is>
          <t>No</t>
        </is>
      </c>
      <c r="B1431" t="inlineStr">
        <is>
          <t>BX2348.Z5 D6 1952</t>
        </is>
      </c>
      <c r="C1431" t="inlineStr">
        <is>
          <t>0                      BX 2348000Z  5                  D  6           1952</t>
        </is>
      </c>
      <c r="D1431" t="inlineStr">
        <is>
          <t>My hay ain't in.</t>
        </is>
      </c>
      <c r="F1431" t="inlineStr">
        <is>
          <t>No</t>
        </is>
      </c>
      <c r="G1431" t="inlineStr">
        <is>
          <t>1</t>
        </is>
      </c>
      <c r="H1431" t="inlineStr">
        <is>
          <t>No</t>
        </is>
      </c>
      <c r="I1431" t="inlineStr">
        <is>
          <t>No</t>
        </is>
      </c>
      <c r="J1431" t="inlineStr">
        <is>
          <t>0</t>
        </is>
      </c>
      <c r="K1431" t="inlineStr">
        <is>
          <t>Doherty, Eddie, 1890-1975.</t>
        </is>
      </c>
      <c r="L1431" t="inlineStr">
        <is>
          <t>Milwaukee : Bruce Pub. Co., [1952]</t>
        </is>
      </c>
      <c r="M1431" t="inlineStr">
        <is>
          <t>1952</t>
        </is>
      </c>
      <c r="O1431" t="inlineStr">
        <is>
          <t>eng</t>
        </is>
      </c>
      <c r="P1431" t="inlineStr">
        <is>
          <t>wiu</t>
        </is>
      </c>
      <c r="R1431" t="inlineStr">
        <is>
          <t xml:space="preserve">BX </t>
        </is>
      </c>
      <c r="S1431" t="n">
        <v>3</v>
      </c>
      <c r="T1431" t="n">
        <v>3</v>
      </c>
      <c r="U1431" t="inlineStr">
        <is>
          <t>1995-10-31</t>
        </is>
      </c>
      <c r="V1431" t="inlineStr">
        <is>
          <t>1995-10-31</t>
        </is>
      </c>
      <c r="W1431" t="inlineStr">
        <is>
          <t>1991-10-28</t>
        </is>
      </c>
      <c r="X1431" t="inlineStr">
        <is>
          <t>1991-10-28</t>
        </is>
      </c>
      <c r="Y1431" t="n">
        <v>100</v>
      </c>
      <c r="Z1431" t="n">
        <v>92</v>
      </c>
      <c r="AA1431" t="n">
        <v>98</v>
      </c>
      <c r="AB1431" t="n">
        <v>2</v>
      </c>
      <c r="AC1431" t="n">
        <v>2</v>
      </c>
      <c r="AD1431" t="n">
        <v>16</v>
      </c>
      <c r="AE1431" t="n">
        <v>16</v>
      </c>
      <c r="AF1431" t="n">
        <v>4</v>
      </c>
      <c r="AG1431" t="n">
        <v>4</v>
      </c>
      <c r="AH1431" t="n">
        <v>5</v>
      </c>
      <c r="AI1431" t="n">
        <v>5</v>
      </c>
      <c r="AJ1431" t="n">
        <v>14</v>
      </c>
      <c r="AK1431" t="n">
        <v>14</v>
      </c>
      <c r="AL1431" t="n">
        <v>0</v>
      </c>
      <c r="AM1431" t="n">
        <v>0</v>
      </c>
      <c r="AN1431" t="n">
        <v>0</v>
      </c>
      <c r="AO1431" t="n">
        <v>0</v>
      </c>
      <c r="AP1431" t="inlineStr">
        <is>
          <t>Yes</t>
        </is>
      </c>
      <c r="AQ1431" t="inlineStr">
        <is>
          <t>No</t>
        </is>
      </c>
      <c r="AR1431">
        <f>HYPERLINK("http://catalog.hathitrust.org/Record/005922004","HathiTrust Record")</f>
        <v/>
      </c>
      <c r="AS1431">
        <f>HYPERLINK("https://creighton-primo.hosted.exlibrisgroup.com/primo-explore/search?tab=default_tab&amp;search_scope=EVERYTHING&amp;vid=01CRU&amp;lang=en_US&amp;offset=0&amp;query=any,contains,991004179399702656","Catalog Record")</f>
        <v/>
      </c>
      <c r="AT1431">
        <f>HYPERLINK("http://www.worldcat.org/oclc/2600060","WorldCat Record")</f>
        <v/>
      </c>
      <c r="AU1431" t="inlineStr">
        <is>
          <t>5370579:eng</t>
        </is>
      </c>
      <c r="AV1431" t="inlineStr">
        <is>
          <t>2600060</t>
        </is>
      </c>
      <c r="AW1431" t="inlineStr">
        <is>
          <t>991004179399702656</t>
        </is>
      </c>
      <c r="AX1431" t="inlineStr">
        <is>
          <t>991004179399702656</t>
        </is>
      </c>
      <c r="AY1431" t="inlineStr">
        <is>
          <t>2270924850002656</t>
        </is>
      </c>
      <c r="AZ1431" t="inlineStr">
        <is>
          <t>BOOK</t>
        </is>
      </c>
      <c r="BC1431" t="inlineStr">
        <is>
          <t>32285000812007</t>
        </is>
      </c>
      <c r="BD1431" t="inlineStr">
        <is>
          <t>893775727</t>
        </is>
      </c>
    </row>
    <row r="1432">
      <c r="A1432" t="inlineStr">
        <is>
          <t>No</t>
        </is>
      </c>
      <c r="B1432" t="inlineStr">
        <is>
          <t>BX2349 .A84 1988</t>
        </is>
      </c>
      <c r="C1432" t="inlineStr">
        <is>
          <t>0                      BX 2349000A  84          1988</t>
        </is>
      </c>
      <c r="D1432" t="inlineStr">
        <is>
          <t>The pursuit of wisdom and other works / by the author of the Cloud of unknowing ; translated, edited, and annotated by James A. Walsh ; preface by George A. Maloney.</t>
        </is>
      </c>
      <c r="F1432" t="inlineStr">
        <is>
          <t>No</t>
        </is>
      </c>
      <c r="G1432" t="inlineStr">
        <is>
          <t>1</t>
        </is>
      </c>
      <c r="H1432" t="inlineStr">
        <is>
          <t>No</t>
        </is>
      </c>
      <c r="I1432" t="inlineStr">
        <is>
          <t>No</t>
        </is>
      </c>
      <c r="J1432" t="inlineStr">
        <is>
          <t>0</t>
        </is>
      </c>
      <c r="K1432" t="inlineStr">
        <is>
          <t>Author of The cloud of unknowing.</t>
        </is>
      </c>
      <c r="L1432" t="inlineStr">
        <is>
          <t>New York : Paulist Press, c1988.</t>
        </is>
      </c>
      <c r="M1432" t="inlineStr">
        <is>
          <t>1988</t>
        </is>
      </c>
      <c r="O1432" t="inlineStr">
        <is>
          <t>eng</t>
        </is>
      </c>
      <c r="P1432" t="inlineStr">
        <is>
          <t>nyu</t>
        </is>
      </c>
      <c r="Q1432" t="inlineStr">
        <is>
          <t>The Classics of Western spirituality</t>
        </is>
      </c>
      <c r="R1432" t="inlineStr">
        <is>
          <t xml:space="preserve">BX </t>
        </is>
      </c>
      <c r="S1432" t="n">
        <v>5</v>
      </c>
      <c r="T1432" t="n">
        <v>5</v>
      </c>
      <c r="U1432" t="inlineStr">
        <is>
          <t>2010-09-20</t>
        </is>
      </c>
      <c r="V1432" t="inlineStr">
        <is>
          <t>2010-09-20</t>
        </is>
      </c>
      <c r="W1432" t="inlineStr">
        <is>
          <t>1991-10-28</t>
        </is>
      </c>
      <c r="X1432" t="inlineStr">
        <is>
          <t>1991-10-28</t>
        </is>
      </c>
      <c r="Y1432" t="n">
        <v>605</v>
      </c>
      <c r="Z1432" t="n">
        <v>516</v>
      </c>
      <c r="AA1432" t="n">
        <v>518</v>
      </c>
      <c r="AB1432" t="n">
        <v>6</v>
      </c>
      <c r="AC1432" t="n">
        <v>6</v>
      </c>
      <c r="AD1432" t="n">
        <v>38</v>
      </c>
      <c r="AE1432" t="n">
        <v>38</v>
      </c>
      <c r="AF1432" t="n">
        <v>15</v>
      </c>
      <c r="AG1432" t="n">
        <v>15</v>
      </c>
      <c r="AH1432" t="n">
        <v>8</v>
      </c>
      <c r="AI1432" t="n">
        <v>8</v>
      </c>
      <c r="AJ1432" t="n">
        <v>21</v>
      </c>
      <c r="AK1432" t="n">
        <v>21</v>
      </c>
      <c r="AL1432" t="n">
        <v>4</v>
      </c>
      <c r="AM1432" t="n">
        <v>4</v>
      </c>
      <c r="AN1432" t="n">
        <v>0</v>
      </c>
      <c r="AO1432" t="n">
        <v>0</v>
      </c>
      <c r="AP1432" t="inlineStr">
        <is>
          <t>No</t>
        </is>
      </c>
      <c r="AQ1432" t="inlineStr">
        <is>
          <t>Yes</t>
        </is>
      </c>
      <c r="AR1432">
        <f>HYPERLINK("http://catalog.hathitrust.org/Record/002815892","HathiTrust Record")</f>
        <v/>
      </c>
      <c r="AS1432">
        <f>HYPERLINK("https://creighton-primo.hosted.exlibrisgroup.com/primo-explore/search?tab=default_tab&amp;search_scope=EVERYTHING&amp;vid=01CRU&amp;lang=en_US&amp;offset=0&amp;query=any,contains,991001274749702656","Catalog Record")</f>
        <v/>
      </c>
      <c r="AT1432">
        <f>HYPERLINK("http://www.worldcat.org/oclc/17872843","WorldCat Record")</f>
        <v/>
      </c>
      <c r="AU1432" t="inlineStr">
        <is>
          <t>16659609:eng</t>
        </is>
      </c>
      <c r="AV1432" t="inlineStr">
        <is>
          <t>17872843</t>
        </is>
      </c>
      <c r="AW1432" t="inlineStr">
        <is>
          <t>991001274749702656</t>
        </is>
      </c>
      <c r="AX1432" t="inlineStr">
        <is>
          <t>991001274749702656</t>
        </is>
      </c>
      <c r="AY1432" t="inlineStr">
        <is>
          <t>2270803480002656</t>
        </is>
      </c>
      <c r="AZ1432" t="inlineStr">
        <is>
          <t>BOOK</t>
        </is>
      </c>
      <c r="BB1432" t="inlineStr">
        <is>
          <t>9780809104048</t>
        </is>
      </c>
      <c r="BC1432" t="inlineStr">
        <is>
          <t>32285000812023</t>
        </is>
      </c>
      <c r="BD1432" t="inlineStr">
        <is>
          <t>893797447</t>
        </is>
      </c>
    </row>
    <row r="1433">
      <c r="A1433" t="inlineStr">
        <is>
          <t>No</t>
        </is>
      </c>
      <c r="B1433" t="inlineStr">
        <is>
          <t>BX2349 .C36 1997</t>
        </is>
      </c>
      <c r="C1433" t="inlineStr">
        <is>
          <t>0                      BX 2349000C  36          1997</t>
        </is>
      </c>
      <c r="D1433" t="inlineStr">
        <is>
          <t>Carthusian spirituality : the writings of Hugh of Balma and Guigo de Ponte / translated and introduced by Dennis D. Martin ; preface by John Van Engen.</t>
        </is>
      </c>
      <c r="F1433" t="inlineStr">
        <is>
          <t>No</t>
        </is>
      </c>
      <c r="G1433" t="inlineStr">
        <is>
          <t>1</t>
        </is>
      </c>
      <c r="H1433" t="inlineStr">
        <is>
          <t>No</t>
        </is>
      </c>
      <c r="I1433" t="inlineStr">
        <is>
          <t>No</t>
        </is>
      </c>
      <c r="J1433" t="inlineStr">
        <is>
          <t>0</t>
        </is>
      </c>
      <c r="L1433" t="inlineStr">
        <is>
          <t>New York : Paulist Press, c1997.</t>
        </is>
      </c>
      <c r="M1433" t="inlineStr">
        <is>
          <t>1997</t>
        </is>
      </c>
      <c r="O1433" t="inlineStr">
        <is>
          <t>eng</t>
        </is>
      </c>
      <c r="P1433" t="inlineStr">
        <is>
          <t>nyu</t>
        </is>
      </c>
      <c r="Q1433" t="inlineStr">
        <is>
          <t>The classics of Western spirituality</t>
        </is>
      </c>
      <c r="R1433" t="inlineStr">
        <is>
          <t xml:space="preserve">BX </t>
        </is>
      </c>
      <c r="S1433" t="n">
        <v>7</v>
      </c>
      <c r="T1433" t="n">
        <v>7</v>
      </c>
      <c r="U1433" t="inlineStr">
        <is>
          <t>2010-06-17</t>
        </is>
      </c>
      <c r="V1433" t="inlineStr">
        <is>
          <t>2010-06-17</t>
        </is>
      </c>
      <c r="W1433" t="inlineStr">
        <is>
          <t>1997-02-21</t>
        </is>
      </c>
      <c r="X1433" t="inlineStr">
        <is>
          <t>1997-02-21</t>
        </is>
      </c>
      <c r="Y1433" t="n">
        <v>541</v>
      </c>
      <c r="Z1433" t="n">
        <v>468</v>
      </c>
      <c r="AA1433" t="n">
        <v>471</v>
      </c>
      <c r="AB1433" t="n">
        <v>6</v>
      </c>
      <c r="AC1433" t="n">
        <v>6</v>
      </c>
      <c r="AD1433" t="n">
        <v>38</v>
      </c>
      <c r="AE1433" t="n">
        <v>38</v>
      </c>
      <c r="AF1433" t="n">
        <v>16</v>
      </c>
      <c r="AG1433" t="n">
        <v>16</v>
      </c>
      <c r="AH1433" t="n">
        <v>8</v>
      </c>
      <c r="AI1433" t="n">
        <v>8</v>
      </c>
      <c r="AJ1433" t="n">
        <v>22</v>
      </c>
      <c r="AK1433" t="n">
        <v>22</v>
      </c>
      <c r="AL1433" t="n">
        <v>3</v>
      </c>
      <c r="AM1433" t="n">
        <v>3</v>
      </c>
      <c r="AN1433" t="n">
        <v>0</v>
      </c>
      <c r="AO1433" t="n">
        <v>0</v>
      </c>
      <c r="AP1433" t="inlineStr">
        <is>
          <t>No</t>
        </is>
      </c>
      <c r="AQ1433" t="inlineStr">
        <is>
          <t>No</t>
        </is>
      </c>
      <c r="AS1433">
        <f>HYPERLINK("https://creighton-primo.hosted.exlibrisgroup.com/primo-explore/search?tab=default_tab&amp;search_scope=EVERYTHING&amp;vid=01CRU&amp;lang=en_US&amp;offset=0&amp;query=any,contains,991002681739702656","Catalog Record")</f>
        <v/>
      </c>
      <c r="AT1433">
        <f>HYPERLINK("http://www.worldcat.org/oclc/35042670","WorldCat Record")</f>
        <v/>
      </c>
      <c r="AU1433" t="inlineStr">
        <is>
          <t>909254628:eng</t>
        </is>
      </c>
      <c r="AV1433" t="inlineStr">
        <is>
          <t>35042670</t>
        </is>
      </c>
      <c r="AW1433" t="inlineStr">
        <is>
          <t>991002681739702656</t>
        </is>
      </c>
      <c r="AX1433" t="inlineStr">
        <is>
          <t>991002681739702656</t>
        </is>
      </c>
      <c r="AY1433" t="inlineStr">
        <is>
          <t>2257801050002656</t>
        </is>
      </c>
      <c r="AZ1433" t="inlineStr">
        <is>
          <t>BOOK</t>
        </is>
      </c>
      <c r="BB1433" t="inlineStr">
        <is>
          <t>9780809104802</t>
        </is>
      </c>
      <c r="BC1433" t="inlineStr">
        <is>
          <t>32285002432564</t>
        </is>
      </c>
      <c r="BD1433" t="inlineStr">
        <is>
          <t>893251515</t>
        </is>
      </c>
    </row>
    <row r="1434">
      <c r="A1434" t="inlineStr">
        <is>
          <t>No</t>
        </is>
      </c>
      <c r="B1434" t="inlineStr">
        <is>
          <t>BX2349 .G42513 1989</t>
        </is>
      </c>
      <c r="C1434" t="inlineStr">
        <is>
          <t>0                      BX 2349000G  42513       1989</t>
        </is>
      </c>
      <c r="D1434" t="inlineStr">
        <is>
          <t>Spiritual exercises / Gertrud the Great of Helfta ; translation, introduction, notes, and indexes by Gertrud Jaron Lewis and Jack Lewis.</t>
        </is>
      </c>
      <c r="F1434" t="inlineStr">
        <is>
          <t>No</t>
        </is>
      </c>
      <c r="G1434" t="inlineStr">
        <is>
          <t>1</t>
        </is>
      </c>
      <c r="H1434" t="inlineStr">
        <is>
          <t>No</t>
        </is>
      </c>
      <c r="I1434" t="inlineStr">
        <is>
          <t>No</t>
        </is>
      </c>
      <c r="J1434" t="inlineStr">
        <is>
          <t>0</t>
        </is>
      </c>
      <c r="K1434" t="inlineStr">
        <is>
          <t>Gertrude, the Great, Saint, 1256-1302.</t>
        </is>
      </c>
      <c r="L1434" t="inlineStr">
        <is>
          <t>Kalamazoo : Cistercian Publications, 1989.</t>
        </is>
      </c>
      <c r="M1434" t="inlineStr">
        <is>
          <t>1989</t>
        </is>
      </c>
      <c r="O1434" t="inlineStr">
        <is>
          <t>eng</t>
        </is>
      </c>
      <c r="P1434" t="inlineStr">
        <is>
          <t>miu</t>
        </is>
      </c>
      <c r="Q1434" t="inlineStr">
        <is>
          <t>Cistercian Fathers series ; no. 49</t>
        </is>
      </c>
      <c r="R1434" t="inlineStr">
        <is>
          <t xml:space="preserve">BX </t>
        </is>
      </c>
      <c r="S1434" t="n">
        <v>5</v>
      </c>
      <c r="T1434" t="n">
        <v>5</v>
      </c>
      <c r="U1434" t="inlineStr">
        <is>
          <t>2009-04-15</t>
        </is>
      </c>
      <c r="V1434" t="inlineStr">
        <is>
          <t>2009-04-15</t>
        </is>
      </c>
      <c r="W1434" t="inlineStr">
        <is>
          <t>1997-11-13</t>
        </is>
      </c>
      <c r="X1434" t="inlineStr">
        <is>
          <t>1997-11-13</t>
        </is>
      </c>
      <c r="Y1434" t="n">
        <v>267</v>
      </c>
      <c r="Z1434" t="n">
        <v>219</v>
      </c>
      <c r="AA1434" t="n">
        <v>229</v>
      </c>
      <c r="AB1434" t="n">
        <v>1</v>
      </c>
      <c r="AC1434" t="n">
        <v>1</v>
      </c>
      <c r="AD1434" t="n">
        <v>22</v>
      </c>
      <c r="AE1434" t="n">
        <v>22</v>
      </c>
      <c r="AF1434" t="n">
        <v>7</v>
      </c>
      <c r="AG1434" t="n">
        <v>7</v>
      </c>
      <c r="AH1434" t="n">
        <v>6</v>
      </c>
      <c r="AI1434" t="n">
        <v>6</v>
      </c>
      <c r="AJ1434" t="n">
        <v>16</v>
      </c>
      <c r="AK1434" t="n">
        <v>16</v>
      </c>
      <c r="AL1434" t="n">
        <v>0</v>
      </c>
      <c r="AM1434" t="n">
        <v>0</v>
      </c>
      <c r="AN1434" t="n">
        <v>0</v>
      </c>
      <c r="AO1434" t="n">
        <v>0</v>
      </c>
      <c r="AP1434" t="inlineStr">
        <is>
          <t>No</t>
        </is>
      </c>
      <c r="AQ1434" t="inlineStr">
        <is>
          <t>Yes</t>
        </is>
      </c>
      <c r="AR1434">
        <f>HYPERLINK("http://catalog.hathitrust.org/Record/001092893","HathiTrust Record")</f>
        <v/>
      </c>
      <c r="AS1434">
        <f>HYPERLINK("https://creighton-primo.hosted.exlibrisgroup.com/primo-explore/search?tab=default_tab&amp;search_scope=EVERYTHING&amp;vid=01CRU&amp;lang=en_US&amp;offset=0&amp;query=any,contains,991001302219702656","Catalog Record")</f>
        <v/>
      </c>
      <c r="AT1434">
        <f>HYPERLINK("http://www.worldcat.org/oclc/18071044","WorldCat Record")</f>
        <v/>
      </c>
      <c r="AU1434" t="inlineStr">
        <is>
          <t>3768503693:eng</t>
        </is>
      </c>
      <c r="AV1434" t="inlineStr">
        <is>
          <t>18071044</t>
        </is>
      </c>
      <c r="AW1434" t="inlineStr">
        <is>
          <t>991001302219702656</t>
        </is>
      </c>
      <c r="AX1434" t="inlineStr">
        <is>
          <t>991001302219702656</t>
        </is>
      </c>
      <c r="AY1434" t="inlineStr">
        <is>
          <t>2270293590002656</t>
        </is>
      </c>
      <c r="AZ1434" t="inlineStr">
        <is>
          <t>BOOK</t>
        </is>
      </c>
      <c r="BB1434" t="inlineStr">
        <is>
          <t>9780879070496</t>
        </is>
      </c>
      <c r="BC1434" t="inlineStr">
        <is>
          <t>32285003278552</t>
        </is>
      </c>
      <c r="BD1434" t="inlineStr">
        <is>
          <t>893522483</t>
        </is>
      </c>
    </row>
    <row r="1435">
      <c r="A1435" t="inlineStr">
        <is>
          <t>No</t>
        </is>
      </c>
      <c r="B1435" t="inlineStr">
        <is>
          <t>BX2349 .G693213 1990</t>
        </is>
      </c>
      <c r="C1435" t="inlineStr">
        <is>
          <t>0                      BX 2349000G  693213      1990</t>
        </is>
      </c>
      <c r="D1435" t="inlineStr">
        <is>
          <t>Be friends of God : spiritual reading from Gregory the Great : in an English version / by John Leinenweber.</t>
        </is>
      </c>
      <c r="F1435" t="inlineStr">
        <is>
          <t>No</t>
        </is>
      </c>
      <c r="G1435" t="inlineStr">
        <is>
          <t>1</t>
        </is>
      </c>
      <c r="H1435" t="inlineStr">
        <is>
          <t>No</t>
        </is>
      </c>
      <c r="I1435" t="inlineStr">
        <is>
          <t>No</t>
        </is>
      </c>
      <c r="J1435" t="inlineStr">
        <is>
          <t>0</t>
        </is>
      </c>
      <c r="K1435" t="inlineStr">
        <is>
          <t>Gregory I, Pope, approximately 540-604.</t>
        </is>
      </c>
      <c r="L1435" t="inlineStr">
        <is>
          <t>Cambridge, Mass. : Cowley Publications, c1990.</t>
        </is>
      </c>
      <c r="M1435" t="inlineStr">
        <is>
          <t>1990</t>
        </is>
      </c>
      <c r="O1435" t="inlineStr">
        <is>
          <t>eng</t>
        </is>
      </c>
      <c r="P1435" t="inlineStr">
        <is>
          <t>mau</t>
        </is>
      </c>
      <c r="R1435" t="inlineStr">
        <is>
          <t xml:space="preserve">BX </t>
        </is>
      </c>
      <c r="S1435" t="n">
        <v>9</v>
      </c>
      <c r="T1435" t="n">
        <v>9</v>
      </c>
      <c r="U1435" t="inlineStr">
        <is>
          <t>2006-12-03</t>
        </is>
      </c>
      <c r="V1435" t="inlineStr">
        <is>
          <t>2006-12-03</t>
        </is>
      </c>
      <c r="W1435" t="inlineStr">
        <is>
          <t>1993-10-04</t>
        </is>
      </c>
      <c r="X1435" t="inlineStr">
        <is>
          <t>1993-10-04</t>
        </is>
      </c>
      <c r="Y1435" t="n">
        <v>107</v>
      </c>
      <c r="Z1435" t="n">
        <v>92</v>
      </c>
      <c r="AA1435" t="n">
        <v>93</v>
      </c>
      <c r="AB1435" t="n">
        <v>1</v>
      </c>
      <c r="AC1435" t="n">
        <v>1</v>
      </c>
      <c r="AD1435" t="n">
        <v>5</v>
      </c>
      <c r="AE1435" t="n">
        <v>5</v>
      </c>
      <c r="AF1435" t="n">
        <v>0</v>
      </c>
      <c r="AG1435" t="n">
        <v>0</v>
      </c>
      <c r="AH1435" t="n">
        <v>2</v>
      </c>
      <c r="AI1435" t="n">
        <v>2</v>
      </c>
      <c r="AJ1435" t="n">
        <v>4</v>
      </c>
      <c r="AK1435" t="n">
        <v>4</v>
      </c>
      <c r="AL1435" t="n">
        <v>0</v>
      </c>
      <c r="AM1435" t="n">
        <v>0</v>
      </c>
      <c r="AN1435" t="n">
        <v>0</v>
      </c>
      <c r="AO1435" t="n">
        <v>0</v>
      </c>
      <c r="AP1435" t="inlineStr">
        <is>
          <t>No</t>
        </is>
      </c>
      <c r="AQ1435" t="inlineStr">
        <is>
          <t>Yes</t>
        </is>
      </c>
      <c r="AR1435">
        <f>HYPERLINK("http://catalog.hathitrust.org/Record/006019725","HathiTrust Record")</f>
        <v/>
      </c>
      <c r="AS1435">
        <f>HYPERLINK("https://creighton-primo.hosted.exlibrisgroup.com/primo-explore/search?tab=default_tab&amp;search_scope=EVERYTHING&amp;vid=01CRU&amp;lang=en_US&amp;offset=0&amp;query=any,contains,991001686049702656","Catalog Record")</f>
        <v/>
      </c>
      <c r="AT1435">
        <f>HYPERLINK("http://www.worldcat.org/oclc/21406540","WorldCat Record")</f>
        <v/>
      </c>
      <c r="AU1435" t="inlineStr">
        <is>
          <t>22901991:eng</t>
        </is>
      </c>
      <c r="AV1435" t="inlineStr">
        <is>
          <t>21406540</t>
        </is>
      </c>
      <c r="AW1435" t="inlineStr">
        <is>
          <t>991001686049702656</t>
        </is>
      </c>
      <c r="AX1435" t="inlineStr">
        <is>
          <t>991001686049702656</t>
        </is>
      </c>
      <c r="AY1435" t="inlineStr">
        <is>
          <t>2269992450002656</t>
        </is>
      </c>
      <c r="AZ1435" t="inlineStr">
        <is>
          <t>BOOK</t>
        </is>
      </c>
      <c r="BB1435" t="inlineStr">
        <is>
          <t>9781561010097</t>
        </is>
      </c>
      <c r="BC1435" t="inlineStr">
        <is>
          <t>32285001769263</t>
        </is>
      </c>
      <c r="BD1435" t="inlineStr">
        <is>
          <t>893516405</t>
        </is>
      </c>
    </row>
    <row r="1436">
      <c r="A1436" t="inlineStr">
        <is>
          <t>No</t>
        </is>
      </c>
      <c r="B1436" t="inlineStr">
        <is>
          <t>BX2349 .G72 1961</t>
        </is>
      </c>
      <c r="C1436" t="inlineStr">
        <is>
          <t>0                      BX 2349000G  72          1961</t>
        </is>
      </c>
      <c r="D1436" t="inlineStr">
        <is>
          <t>Spiritual maxims / John Nicholas Grou ; newly translated and edited by a monk of Parkminster.</t>
        </is>
      </c>
      <c r="F1436" t="inlineStr">
        <is>
          <t>No</t>
        </is>
      </c>
      <c r="G1436" t="inlineStr">
        <is>
          <t>1</t>
        </is>
      </c>
      <c r="H1436" t="inlineStr">
        <is>
          <t>No</t>
        </is>
      </c>
      <c r="I1436" t="inlineStr">
        <is>
          <t>No</t>
        </is>
      </c>
      <c r="J1436" t="inlineStr">
        <is>
          <t>0</t>
        </is>
      </c>
      <c r="K1436" t="inlineStr">
        <is>
          <t>Grou, Jean Nicolas, 1731-1803.</t>
        </is>
      </c>
      <c r="L1436" t="inlineStr">
        <is>
          <t>Springfield, Ill. : Templegate, 1961.</t>
        </is>
      </c>
      <c r="M1436" t="inlineStr">
        <is>
          <t>1961</t>
        </is>
      </c>
      <c r="O1436" t="inlineStr">
        <is>
          <t>eng</t>
        </is>
      </c>
      <c r="P1436" t="inlineStr">
        <is>
          <t>ilu</t>
        </is>
      </c>
      <c r="Q1436" t="inlineStr">
        <is>
          <t>Orchard series</t>
        </is>
      </c>
      <c r="R1436" t="inlineStr">
        <is>
          <t xml:space="preserve">BX </t>
        </is>
      </c>
      <c r="S1436" t="n">
        <v>4</v>
      </c>
      <c r="T1436" t="n">
        <v>4</v>
      </c>
      <c r="U1436" t="inlineStr">
        <is>
          <t>2010-06-17</t>
        </is>
      </c>
      <c r="V1436" t="inlineStr">
        <is>
          <t>2010-06-17</t>
        </is>
      </c>
      <c r="W1436" t="inlineStr">
        <is>
          <t>1991-10-28</t>
        </is>
      </c>
      <c r="X1436" t="inlineStr">
        <is>
          <t>1991-10-28</t>
        </is>
      </c>
      <c r="Y1436" t="n">
        <v>32</v>
      </c>
      <c r="Z1436" t="n">
        <v>28</v>
      </c>
      <c r="AA1436" t="n">
        <v>45</v>
      </c>
      <c r="AB1436" t="n">
        <v>1</v>
      </c>
      <c r="AC1436" t="n">
        <v>1</v>
      </c>
      <c r="AD1436" t="n">
        <v>9</v>
      </c>
      <c r="AE1436" t="n">
        <v>11</v>
      </c>
      <c r="AF1436" t="n">
        <v>2</v>
      </c>
      <c r="AG1436" t="n">
        <v>2</v>
      </c>
      <c r="AH1436" t="n">
        <v>2</v>
      </c>
      <c r="AI1436" t="n">
        <v>3</v>
      </c>
      <c r="AJ1436" t="n">
        <v>7</v>
      </c>
      <c r="AK1436" t="n">
        <v>9</v>
      </c>
      <c r="AL1436" t="n">
        <v>0</v>
      </c>
      <c r="AM1436" t="n">
        <v>0</v>
      </c>
      <c r="AN1436" t="n">
        <v>0</v>
      </c>
      <c r="AO1436" t="n">
        <v>0</v>
      </c>
      <c r="AP1436" t="inlineStr">
        <is>
          <t>No</t>
        </is>
      </c>
      <c r="AQ1436" t="inlineStr">
        <is>
          <t>No</t>
        </is>
      </c>
      <c r="AS1436">
        <f>HYPERLINK("https://creighton-primo.hosted.exlibrisgroup.com/primo-explore/search?tab=default_tab&amp;search_scope=EVERYTHING&amp;vid=01CRU&amp;lang=en_US&amp;offset=0&amp;query=any,contains,991004193719702656","Catalog Record")</f>
        <v/>
      </c>
      <c r="AT1436">
        <f>HYPERLINK("http://www.worldcat.org/oclc/2637880","WorldCat Record")</f>
        <v/>
      </c>
      <c r="AU1436" t="inlineStr">
        <is>
          <t>10792251435:eng</t>
        </is>
      </c>
      <c r="AV1436" t="inlineStr">
        <is>
          <t>2637880</t>
        </is>
      </c>
      <c r="AW1436" t="inlineStr">
        <is>
          <t>991004193719702656</t>
        </is>
      </c>
      <c r="AX1436" t="inlineStr">
        <is>
          <t>991004193719702656</t>
        </is>
      </c>
      <c r="AY1436" t="inlineStr">
        <is>
          <t>2267233490002656</t>
        </is>
      </c>
      <c r="AZ1436" t="inlineStr">
        <is>
          <t>BOOK</t>
        </is>
      </c>
      <c r="BC1436" t="inlineStr">
        <is>
          <t>32285000812122</t>
        </is>
      </c>
      <c r="BD1436" t="inlineStr">
        <is>
          <t>893888405</t>
        </is>
      </c>
    </row>
    <row r="1437">
      <c r="A1437" t="inlineStr">
        <is>
          <t>No</t>
        </is>
      </c>
      <c r="B1437" t="inlineStr">
        <is>
          <t>BX2349 .G8513</t>
        </is>
      </c>
      <c r="C1437" t="inlineStr">
        <is>
          <t>0                      BX 2349000G  8513</t>
        </is>
      </c>
      <c r="D1437" t="inlineStr">
        <is>
          <t>The ladder of monks : a letter on the contemplative life and Twelve meditations / by Guigo II ; translated, with an introd. by Edmund Colledge and James Walsh.</t>
        </is>
      </c>
      <c r="F1437" t="inlineStr">
        <is>
          <t>No</t>
        </is>
      </c>
      <c r="G1437" t="inlineStr">
        <is>
          <t>1</t>
        </is>
      </c>
      <c r="H1437" t="inlineStr">
        <is>
          <t>No</t>
        </is>
      </c>
      <c r="I1437" t="inlineStr">
        <is>
          <t>No</t>
        </is>
      </c>
      <c r="J1437" t="inlineStr">
        <is>
          <t>0</t>
        </is>
      </c>
      <c r="K1437" t="inlineStr">
        <is>
          <t>Guigo II, -1188.</t>
        </is>
      </c>
      <c r="L1437" t="inlineStr">
        <is>
          <t>Garden City, N.Y. : Image Books, 1978.</t>
        </is>
      </c>
      <c r="M1437" t="inlineStr">
        <is>
          <t>1978</t>
        </is>
      </c>
      <c r="N1437" t="inlineStr">
        <is>
          <t>1st ed.</t>
        </is>
      </c>
      <c r="O1437" t="inlineStr">
        <is>
          <t>eng</t>
        </is>
      </c>
      <c r="P1437" t="inlineStr">
        <is>
          <t>nyu</t>
        </is>
      </c>
      <c r="R1437" t="inlineStr">
        <is>
          <t xml:space="preserve">BX </t>
        </is>
      </c>
      <c r="S1437" t="n">
        <v>4</v>
      </c>
      <c r="T1437" t="n">
        <v>4</v>
      </c>
      <c r="U1437" t="inlineStr">
        <is>
          <t>1996-02-19</t>
        </is>
      </c>
      <c r="V1437" t="inlineStr">
        <is>
          <t>1996-02-19</t>
        </is>
      </c>
      <c r="W1437" t="inlineStr">
        <is>
          <t>1995-07-21</t>
        </is>
      </c>
      <c r="X1437" t="inlineStr">
        <is>
          <t>1995-07-21</t>
        </is>
      </c>
      <c r="Y1437" t="n">
        <v>150</v>
      </c>
      <c r="Z1437" t="n">
        <v>132</v>
      </c>
      <c r="AA1437" t="n">
        <v>270</v>
      </c>
      <c r="AB1437" t="n">
        <v>2</v>
      </c>
      <c r="AC1437" t="n">
        <v>2</v>
      </c>
      <c r="AD1437" t="n">
        <v>7</v>
      </c>
      <c r="AE1437" t="n">
        <v>23</v>
      </c>
      <c r="AF1437" t="n">
        <v>3</v>
      </c>
      <c r="AG1437" t="n">
        <v>7</v>
      </c>
      <c r="AH1437" t="n">
        <v>3</v>
      </c>
      <c r="AI1437" t="n">
        <v>7</v>
      </c>
      <c r="AJ1437" t="n">
        <v>5</v>
      </c>
      <c r="AK1437" t="n">
        <v>19</v>
      </c>
      <c r="AL1437" t="n">
        <v>0</v>
      </c>
      <c r="AM1437" t="n">
        <v>0</v>
      </c>
      <c r="AN1437" t="n">
        <v>0</v>
      </c>
      <c r="AO1437" t="n">
        <v>0</v>
      </c>
      <c r="AP1437" t="inlineStr">
        <is>
          <t>No</t>
        </is>
      </c>
      <c r="AQ1437" t="inlineStr">
        <is>
          <t>Yes</t>
        </is>
      </c>
      <c r="AR1437">
        <f>HYPERLINK("http://catalog.hathitrust.org/Record/009492779","HathiTrust Record")</f>
        <v/>
      </c>
      <c r="AS1437">
        <f>HYPERLINK("https://creighton-primo.hosted.exlibrisgroup.com/primo-explore/search?tab=default_tab&amp;search_scope=EVERYTHING&amp;vid=01CRU&amp;lang=en_US&amp;offset=0&amp;query=any,contains,991004432869702656","Catalog Record")</f>
        <v/>
      </c>
      <c r="AT1437">
        <f>HYPERLINK("http://www.worldcat.org/oclc/3431893","WorldCat Record")</f>
        <v/>
      </c>
      <c r="AU1437" t="inlineStr">
        <is>
          <t>478402765:eng</t>
        </is>
      </c>
      <c r="AV1437" t="inlineStr">
        <is>
          <t>3431893</t>
        </is>
      </c>
      <c r="AW1437" t="inlineStr">
        <is>
          <t>991004432869702656</t>
        </is>
      </c>
      <c r="AX1437" t="inlineStr">
        <is>
          <t>991004432869702656</t>
        </is>
      </c>
      <c r="AY1437" t="inlineStr">
        <is>
          <t>2267853130002656</t>
        </is>
      </c>
      <c r="AZ1437" t="inlineStr">
        <is>
          <t>BOOK</t>
        </is>
      </c>
      <c r="BB1437" t="inlineStr">
        <is>
          <t>9780385135962</t>
        </is>
      </c>
      <c r="BC1437" t="inlineStr">
        <is>
          <t>32285001795763</t>
        </is>
      </c>
      <c r="BD1437" t="inlineStr">
        <is>
          <t>893612339</t>
        </is>
      </c>
    </row>
    <row r="1438">
      <c r="A1438" t="inlineStr">
        <is>
          <t>No</t>
        </is>
      </c>
      <c r="B1438" t="inlineStr">
        <is>
          <t>BX2349 .H54 1991</t>
        </is>
      </c>
      <c r="C1438" t="inlineStr">
        <is>
          <t>0                      BX 2349000H  54          1991</t>
        </is>
      </c>
      <c r="D1438" t="inlineStr">
        <is>
          <t>The scale of perfection / by Walter Hilton ; translated from the Middle English with introduction and notes by John P.H. Clark and Rosemary Dorward.</t>
        </is>
      </c>
      <c r="F1438" t="inlineStr">
        <is>
          <t>No</t>
        </is>
      </c>
      <c r="G1438" t="inlineStr">
        <is>
          <t>1</t>
        </is>
      </c>
      <c r="H1438" t="inlineStr">
        <is>
          <t>No</t>
        </is>
      </c>
      <c r="I1438" t="inlineStr">
        <is>
          <t>No</t>
        </is>
      </c>
      <c r="J1438" t="inlineStr">
        <is>
          <t>0</t>
        </is>
      </c>
      <c r="K1438" t="inlineStr">
        <is>
          <t>Hilton, Walter, -1396.</t>
        </is>
      </c>
      <c r="L1438" t="inlineStr">
        <is>
          <t>New York : Paulist Press, c1991.</t>
        </is>
      </c>
      <c r="M1438" t="inlineStr">
        <is>
          <t>1991</t>
        </is>
      </c>
      <c r="O1438" t="inlineStr">
        <is>
          <t>eng</t>
        </is>
      </c>
      <c r="P1438" t="inlineStr">
        <is>
          <t>nyu</t>
        </is>
      </c>
      <c r="Q1438" t="inlineStr">
        <is>
          <t>The Classics of Western spirituality</t>
        </is>
      </c>
      <c r="R1438" t="inlineStr">
        <is>
          <t xml:space="preserve">BX </t>
        </is>
      </c>
      <c r="S1438" t="n">
        <v>5</v>
      </c>
      <c r="T1438" t="n">
        <v>5</v>
      </c>
      <c r="U1438" t="inlineStr">
        <is>
          <t>2010-06-17</t>
        </is>
      </c>
      <c r="V1438" t="inlineStr">
        <is>
          <t>2010-06-17</t>
        </is>
      </c>
      <c r="W1438" t="inlineStr">
        <is>
          <t>1991-06-04</t>
        </is>
      </c>
      <c r="X1438" t="inlineStr">
        <is>
          <t>1991-06-04</t>
        </is>
      </c>
      <c r="Y1438" t="n">
        <v>564</v>
      </c>
      <c r="Z1438" t="n">
        <v>493</v>
      </c>
      <c r="AA1438" t="n">
        <v>496</v>
      </c>
      <c r="AB1438" t="n">
        <v>8</v>
      </c>
      <c r="AC1438" t="n">
        <v>8</v>
      </c>
      <c r="AD1438" t="n">
        <v>41</v>
      </c>
      <c r="AE1438" t="n">
        <v>41</v>
      </c>
      <c r="AF1438" t="n">
        <v>17</v>
      </c>
      <c r="AG1438" t="n">
        <v>17</v>
      </c>
      <c r="AH1438" t="n">
        <v>8</v>
      </c>
      <c r="AI1438" t="n">
        <v>8</v>
      </c>
      <c r="AJ1438" t="n">
        <v>24</v>
      </c>
      <c r="AK1438" t="n">
        <v>24</v>
      </c>
      <c r="AL1438" t="n">
        <v>5</v>
      </c>
      <c r="AM1438" t="n">
        <v>5</v>
      </c>
      <c r="AN1438" t="n">
        <v>0</v>
      </c>
      <c r="AO1438" t="n">
        <v>0</v>
      </c>
      <c r="AP1438" t="inlineStr">
        <is>
          <t>No</t>
        </is>
      </c>
      <c r="AQ1438" t="inlineStr">
        <is>
          <t>Yes</t>
        </is>
      </c>
      <c r="AR1438">
        <f>HYPERLINK("http://catalog.hathitrust.org/Record/002815937","HathiTrust Record")</f>
        <v/>
      </c>
      <c r="AS1438">
        <f>HYPERLINK("https://creighton-primo.hosted.exlibrisgroup.com/primo-explore/search?tab=default_tab&amp;search_scope=EVERYTHING&amp;vid=01CRU&amp;lang=en_US&amp;offset=0&amp;query=any,contains,991001802819702656","Catalog Record")</f>
        <v/>
      </c>
      <c r="AT1438">
        <f>HYPERLINK("http://www.worldcat.org/oclc/22663439","WorldCat Record")</f>
        <v/>
      </c>
      <c r="AU1438" t="inlineStr">
        <is>
          <t>9593676159:eng</t>
        </is>
      </c>
      <c r="AV1438" t="inlineStr">
        <is>
          <t>22663439</t>
        </is>
      </c>
      <c r="AW1438" t="inlineStr">
        <is>
          <t>991001802819702656</t>
        </is>
      </c>
      <c r="AX1438" t="inlineStr">
        <is>
          <t>991001802819702656</t>
        </is>
      </c>
      <c r="AY1438" t="inlineStr">
        <is>
          <t>2258069540002656</t>
        </is>
      </c>
      <c r="AZ1438" t="inlineStr">
        <is>
          <t>BOOK</t>
        </is>
      </c>
      <c r="BB1438" t="inlineStr">
        <is>
          <t>9780809131945</t>
        </is>
      </c>
      <c r="BC1438" t="inlineStr">
        <is>
          <t>32285000644590</t>
        </is>
      </c>
      <c r="BD1438" t="inlineStr">
        <is>
          <t>893516511</t>
        </is>
      </c>
    </row>
    <row r="1439">
      <c r="A1439" t="inlineStr">
        <is>
          <t>No</t>
        </is>
      </c>
      <c r="B1439" t="inlineStr">
        <is>
          <t>BX2349 .J8513 1976b</t>
        </is>
      </c>
      <c r="C1439" t="inlineStr">
        <is>
          <t>0                      BX 2349000J  8513        1976b</t>
        </is>
      </c>
      <c r="D1439" t="inlineStr">
        <is>
          <t>The voice of the spirit : the spirituality of St. John of the Cross / edited and introduced by Elizabeth Hamilton.</t>
        </is>
      </c>
      <c r="F1439" t="inlineStr">
        <is>
          <t>No</t>
        </is>
      </c>
      <c r="G1439" t="inlineStr">
        <is>
          <t>1</t>
        </is>
      </c>
      <c r="H1439" t="inlineStr">
        <is>
          <t>No</t>
        </is>
      </c>
      <c r="I1439" t="inlineStr">
        <is>
          <t>No</t>
        </is>
      </c>
      <c r="J1439" t="inlineStr">
        <is>
          <t>0</t>
        </is>
      </c>
      <c r="K1439" t="inlineStr">
        <is>
          <t>John of the Cross, Saint, 1542-1591.</t>
        </is>
      </c>
      <c r="L1439" t="inlineStr">
        <is>
          <t>Huntington, IN : Our Sunday Visitor, c1976.</t>
        </is>
      </c>
      <c r="M1439" t="inlineStr">
        <is>
          <t>1976</t>
        </is>
      </c>
      <c r="O1439" t="inlineStr">
        <is>
          <t>eng</t>
        </is>
      </c>
      <c r="P1439" t="inlineStr">
        <is>
          <t>inu</t>
        </is>
      </c>
      <c r="R1439" t="inlineStr">
        <is>
          <t xml:space="preserve">BX </t>
        </is>
      </c>
      <c r="S1439" t="n">
        <v>1</v>
      </c>
      <c r="T1439" t="n">
        <v>1</v>
      </c>
      <c r="U1439" t="inlineStr">
        <is>
          <t>2007-02-23</t>
        </is>
      </c>
      <c r="V1439" t="inlineStr">
        <is>
          <t>2007-02-23</t>
        </is>
      </c>
      <c r="W1439" t="inlineStr">
        <is>
          <t>1991-10-28</t>
        </is>
      </c>
      <c r="X1439" t="inlineStr">
        <is>
          <t>1991-10-28</t>
        </is>
      </c>
      <c r="Y1439" t="n">
        <v>62</v>
      </c>
      <c r="Z1439" t="n">
        <v>59</v>
      </c>
      <c r="AA1439" t="n">
        <v>97</v>
      </c>
      <c r="AB1439" t="n">
        <v>1</v>
      </c>
      <c r="AC1439" t="n">
        <v>1</v>
      </c>
      <c r="AD1439" t="n">
        <v>6</v>
      </c>
      <c r="AE1439" t="n">
        <v>7</v>
      </c>
      <c r="AF1439" t="n">
        <v>1</v>
      </c>
      <c r="AG1439" t="n">
        <v>1</v>
      </c>
      <c r="AH1439" t="n">
        <v>2</v>
      </c>
      <c r="AI1439" t="n">
        <v>2</v>
      </c>
      <c r="AJ1439" t="n">
        <v>4</v>
      </c>
      <c r="AK1439" t="n">
        <v>5</v>
      </c>
      <c r="AL1439" t="n">
        <v>0</v>
      </c>
      <c r="AM1439" t="n">
        <v>0</v>
      </c>
      <c r="AN1439" t="n">
        <v>0</v>
      </c>
      <c r="AO1439" t="n">
        <v>0</v>
      </c>
      <c r="AP1439" t="inlineStr">
        <is>
          <t>No</t>
        </is>
      </c>
      <c r="AQ1439" t="inlineStr">
        <is>
          <t>No</t>
        </is>
      </c>
      <c r="AS1439">
        <f>HYPERLINK("https://creighton-primo.hosted.exlibrisgroup.com/primo-explore/search?tab=default_tab&amp;search_scope=EVERYTHING&amp;vid=01CRU&amp;lang=en_US&amp;offset=0&amp;query=any,contains,991004301349702656","Catalog Record")</f>
        <v/>
      </c>
      <c r="AT1439">
        <f>HYPERLINK("http://www.worldcat.org/oclc/2968435","WorldCat Record")</f>
        <v/>
      </c>
      <c r="AU1439" t="inlineStr">
        <is>
          <t>5783758:eng</t>
        </is>
      </c>
      <c r="AV1439" t="inlineStr">
        <is>
          <t>2968435</t>
        </is>
      </c>
      <c r="AW1439" t="inlineStr">
        <is>
          <t>991004301349702656</t>
        </is>
      </c>
      <c r="AX1439" t="inlineStr">
        <is>
          <t>991004301349702656</t>
        </is>
      </c>
      <c r="AY1439" t="inlineStr">
        <is>
          <t>2268952760002656</t>
        </is>
      </c>
      <c r="AZ1439" t="inlineStr">
        <is>
          <t>BOOK</t>
        </is>
      </c>
      <c r="BB1439" t="inlineStr">
        <is>
          <t>9780879736866</t>
        </is>
      </c>
      <c r="BC1439" t="inlineStr">
        <is>
          <t>32285000812171</t>
        </is>
      </c>
      <c r="BD1439" t="inlineStr">
        <is>
          <t>893337541</t>
        </is>
      </c>
    </row>
    <row r="1440">
      <c r="A1440" t="inlineStr">
        <is>
          <t>No</t>
        </is>
      </c>
      <c r="B1440" t="inlineStr">
        <is>
          <t>BX2349 .L3513 1990</t>
        </is>
      </c>
      <c r="C1440" t="inlineStr">
        <is>
          <t>0                      BX 2349000L  3513        1990</t>
        </is>
      </c>
      <c r="D1440" t="inlineStr">
        <is>
          <t>A letter from Jesus Christ : the mystical work of John of Landsberg / [John of Landsberg] ; edited, introduced, and translated by John Griffiths.</t>
        </is>
      </c>
      <c r="F1440" t="inlineStr">
        <is>
          <t>No</t>
        </is>
      </c>
      <c r="G1440" t="inlineStr">
        <is>
          <t>1</t>
        </is>
      </c>
      <c r="H1440" t="inlineStr">
        <is>
          <t>No</t>
        </is>
      </c>
      <c r="I1440" t="inlineStr">
        <is>
          <t>No</t>
        </is>
      </c>
      <c r="J1440" t="inlineStr">
        <is>
          <t>0</t>
        </is>
      </c>
      <c r="K1440" t="inlineStr">
        <is>
          <t>Lansperger, Johannes Justus, 1489-1539.</t>
        </is>
      </c>
      <c r="L1440" t="inlineStr">
        <is>
          <t>New York : Crossroad, 1990.</t>
        </is>
      </c>
      <c r="M1440" t="inlineStr">
        <is>
          <t>1990</t>
        </is>
      </c>
      <c r="O1440" t="inlineStr">
        <is>
          <t>eng</t>
        </is>
      </c>
      <c r="P1440" t="inlineStr">
        <is>
          <t>nyu</t>
        </is>
      </c>
      <c r="Q1440" t="inlineStr">
        <is>
          <t>Spiritual classics</t>
        </is>
      </c>
      <c r="R1440" t="inlineStr">
        <is>
          <t xml:space="preserve">BX </t>
        </is>
      </c>
      <c r="S1440" t="n">
        <v>5</v>
      </c>
      <c r="T1440" t="n">
        <v>5</v>
      </c>
      <c r="U1440" t="inlineStr">
        <is>
          <t>2001-06-12</t>
        </is>
      </c>
      <c r="V1440" t="inlineStr">
        <is>
          <t>2001-06-12</t>
        </is>
      </c>
      <c r="W1440" t="inlineStr">
        <is>
          <t>1991-11-18</t>
        </is>
      </c>
      <c r="X1440" t="inlineStr">
        <is>
          <t>1991-11-18</t>
        </is>
      </c>
      <c r="Y1440" t="n">
        <v>49</v>
      </c>
      <c r="Z1440" t="n">
        <v>45</v>
      </c>
      <c r="AA1440" t="n">
        <v>158</v>
      </c>
      <c r="AB1440" t="n">
        <v>1</v>
      </c>
      <c r="AC1440" t="n">
        <v>3</v>
      </c>
      <c r="AD1440" t="n">
        <v>2</v>
      </c>
      <c r="AE1440" t="n">
        <v>15</v>
      </c>
      <c r="AF1440" t="n">
        <v>0</v>
      </c>
      <c r="AG1440" t="n">
        <v>4</v>
      </c>
      <c r="AH1440" t="n">
        <v>1</v>
      </c>
      <c r="AI1440" t="n">
        <v>6</v>
      </c>
      <c r="AJ1440" t="n">
        <v>1</v>
      </c>
      <c r="AK1440" t="n">
        <v>5</v>
      </c>
      <c r="AL1440" t="n">
        <v>0</v>
      </c>
      <c r="AM1440" t="n">
        <v>2</v>
      </c>
      <c r="AN1440" t="n">
        <v>0</v>
      </c>
      <c r="AO1440" t="n">
        <v>1</v>
      </c>
      <c r="AP1440" t="inlineStr">
        <is>
          <t>No</t>
        </is>
      </c>
      <c r="AQ1440" t="inlineStr">
        <is>
          <t>No</t>
        </is>
      </c>
      <c r="AS1440">
        <f>HYPERLINK("https://creighton-primo.hosted.exlibrisgroup.com/primo-explore/search?tab=default_tab&amp;search_scope=EVERYTHING&amp;vid=01CRU&amp;lang=en_US&amp;offset=0&amp;query=any,contains,991001713279702656","Catalog Record")</f>
        <v/>
      </c>
      <c r="AT1440">
        <f>HYPERLINK("http://www.worldcat.org/oclc/21654860","WorldCat Record")</f>
        <v/>
      </c>
      <c r="AU1440" t="inlineStr">
        <is>
          <t>10227451542:eng</t>
        </is>
      </c>
      <c r="AV1440" t="inlineStr">
        <is>
          <t>21654860</t>
        </is>
      </c>
      <c r="AW1440" t="inlineStr">
        <is>
          <t>991001713279702656</t>
        </is>
      </c>
      <c r="AX1440" t="inlineStr">
        <is>
          <t>991001713279702656</t>
        </is>
      </c>
      <c r="AY1440" t="inlineStr">
        <is>
          <t>2266669100002656</t>
        </is>
      </c>
      <c r="AZ1440" t="inlineStr">
        <is>
          <t>BOOK</t>
        </is>
      </c>
      <c r="BB1440" t="inlineStr">
        <is>
          <t>9780824509965</t>
        </is>
      </c>
      <c r="BC1440" t="inlineStr">
        <is>
          <t>32285000816362</t>
        </is>
      </c>
      <c r="BD1440" t="inlineStr">
        <is>
          <t>893522762</t>
        </is>
      </c>
    </row>
    <row r="1441">
      <c r="A1441" t="inlineStr">
        <is>
          <t>No</t>
        </is>
      </c>
      <c r="B1441" t="inlineStr">
        <is>
          <t>BX2349 .L843</t>
        </is>
      </c>
      <c r="C1441" t="inlineStr">
        <is>
          <t>0                      BX 2349000L  843</t>
        </is>
      </c>
      <c r="D1441" t="inlineStr">
        <is>
          <t>Summa of the Christian life ; selected texts from the writings of Louis of Granada / translated and adapted by Jordan Aumann.</t>
        </is>
      </c>
      <c r="E1441" t="inlineStr">
        <is>
          <t>V.1</t>
        </is>
      </c>
      <c r="F1441" t="inlineStr">
        <is>
          <t>Yes</t>
        </is>
      </c>
      <c r="G1441" t="inlineStr">
        <is>
          <t>1</t>
        </is>
      </c>
      <c r="H1441" t="inlineStr">
        <is>
          <t>No</t>
        </is>
      </c>
      <c r="I1441" t="inlineStr">
        <is>
          <t>No</t>
        </is>
      </c>
      <c r="J1441" t="inlineStr">
        <is>
          <t>0</t>
        </is>
      </c>
      <c r="K1441" t="inlineStr">
        <is>
          <t>Luis, de Granada, 1504-1588.</t>
        </is>
      </c>
      <c r="L1441" t="inlineStr">
        <is>
          <t>St. Louis : Herder, c1954-1958.</t>
        </is>
      </c>
      <c r="M1441" t="inlineStr">
        <is>
          <t>1954</t>
        </is>
      </c>
      <c r="O1441" t="inlineStr">
        <is>
          <t>eng</t>
        </is>
      </c>
      <c r="P1441" t="inlineStr">
        <is>
          <t>mou</t>
        </is>
      </c>
      <c r="Q1441" t="inlineStr">
        <is>
          <t>Cross and crown series of spirituality ; no. 3</t>
        </is>
      </c>
      <c r="R1441" t="inlineStr">
        <is>
          <t xml:space="preserve">BX </t>
        </is>
      </c>
      <c r="S1441" t="n">
        <v>1</v>
      </c>
      <c r="T1441" t="n">
        <v>5</v>
      </c>
      <c r="V1441" t="inlineStr">
        <is>
          <t>2005-06-16</t>
        </is>
      </c>
      <c r="W1441" t="inlineStr">
        <is>
          <t>1991-10-28</t>
        </is>
      </c>
      <c r="X1441" t="inlineStr">
        <is>
          <t>1991-10-28</t>
        </is>
      </c>
      <c r="Y1441" t="n">
        <v>172</v>
      </c>
      <c r="Z1441" t="n">
        <v>161</v>
      </c>
      <c r="AA1441" t="n">
        <v>195</v>
      </c>
      <c r="AB1441" t="n">
        <v>3</v>
      </c>
      <c r="AC1441" t="n">
        <v>3</v>
      </c>
      <c r="AD1441" t="n">
        <v>22</v>
      </c>
      <c r="AE1441" t="n">
        <v>23</v>
      </c>
      <c r="AF1441" t="n">
        <v>7</v>
      </c>
      <c r="AG1441" t="n">
        <v>8</v>
      </c>
      <c r="AH1441" t="n">
        <v>6</v>
      </c>
      <c r="AI1441" t="n">
        <v>7</v>
      </c>
      <c r="AJ1441" t="n">
        <v>16</v>
      </c>
      <c r="AK1441" t="n">
        <v>16</v>
      </c>
      <c r="AL1441" t="n">
        <v>0</v>
      </c>
      <c r="AM1441" t="n">
        <v>0</v>
      </c>
      <c r="AN1441" t="n">
        <v>0</v>
      </c>
      <c r="AO1441" t="n">
        <v>0</v>
      </c>
      <c r="AP1441" t="inlineStr">
        <is>
          <t>No</t>
        </is>
      </c>
      <c r="AQ1441" t="inlineStr">
        <is>
          <t>Yes</t>
        </is>
      </c>
      <c r="AR1441">
        <f>HYPERLINK("http://catalog.hathitrust.org/Record/009367691","HathiTrust Record")</f>
        <v/>
      </c>
      <c r="AS1441">
        <f>HYPERLINK("https://creighton-primo.hosted.exlibrisgroup.com/primo-explore/search?tab=default_tab&amp;search_scope=EVERYTHING&amp;vid=01CRU&amp;lang=en_US&amp;offset=0&amp;query=any,contains,991004118219702656","Catalog Record")</f>
        <v/>
      </c>
      <c r="AT1441">
        <f>HYPERLINK("http://www.worldcat.org/oclc/2422423","WorldCat Record")</f>
        <v/>
      </c>
      <c r="AU1441" t="inlineStr">
        <is>
          <t>3372865328:eng</t>
        </is>
      </c>
      <c r="AV1441" t="inlineStr">
        <is>
          <t>2422423</t>
        </is>
      </c>
      <c r="AW1441" t="inlineStr">
        <is>
          <t>991004118219702656</t>
        </is>
      </c>
      <c r="AX1441" t="inlineStr">
        <is>
          <t>991004118219702656</t>
        </is>
      </c>
      <c r="AY1441" t="inlineStr">
        <is>
          <t>2265920780002656</t>
        </is>
      </c>
      <c r="AZ1441" t="inlineStr">
        <is>
          <t>BOOK</t>
        </is>
      </c>
      <c r="BC1441" t="inlineStr">
        <is>
          <t>32285000812197</t>
        </is>
      </c>
      <c r="BD1441" t="inlineStr">
        <is>
          <t>893712176</t>
        </is>
      </c>
    </row>
    <row r="1442">
      <c r="A1442" t="inlineStr">
        <is>
          <t>No</t>
        </is>
      </c>
      <c r="B1442" t="inlineStr">
        <is>
          <t>BX2349 .L843</t>
        </is>
      </c>
      <c r="C1442" t="inlineStr">
        <is>
          <t>0                      BX 2349000L  843</t>
        </is>
      </c>
      <c r="D1442" t="inlineStr">
        <is>
          <t>Summa of the Christian life ; selected texts from the writings of Louis of Granada / translated and adapted by Jordan Aumann.</t>
        </is>
      </c>
      <c r="E1442" t="inlineStr">
        <is>
          <t>V.3</t>
        </is>
      </c>
      <c r="F1442" t="inlineStr">
        <is>
          <t>Yes</t>
        </is>
      </c>
      <c r="G1442" t="inlineStr">
        <is>
          <t>1</t>
        </is>
      </c>
      <c r="H1442" t="inlineStr">
        <is>
          <t>No</t>
        </is>
      </c>
      <c r="I1442" t="inlineStr">
        <is>
          <t>No</t>
        </is>
      </c>
      <c r="J1442" t="inlineStr">
        <is>
          <t>0</t>
        </is>
      </c>
      <c r="K1442" t="inlineStr">
        <is>
          <t>Luis, de Granada, 1504-1588.</t>
        </is>
      </c>
      <c r="L1442" t="inlineStr">
        <is>
          <t>St. Louis : Herder, c1954-1958.</t>
        </is>
      </c>
      <c r="M1442" t="inlineStr">
        <is>
          <t>1954</t>
        </is>
      </c>
      <c r="O1442" t="inlineStr">
        <is>
          <t>eng</t>
        </is>
      </c>
      <c r="P1442" t="inlineStr">
        <is>
          <t>mou</t>
        </is>
      </c>
      <c r="Q1442" t="inlineStr">
        <is>
          <t>Cross and crown series of spirituality ; no. 3</t>
        </is>
      </c>
      <c r="R1442" t="inlineStr">
        <is>
          <t xml:space="preserve">BX </t>
        </is>
      </c>
      <c r="S1442" t="n">
        <v>2</v>
      </c>
      <c r="T1442" t="n">
        <v>5</v>
      </c>
      <c r="U1442" t="inlineStr">
        <is>
          <t>2005-06-16</t>
        </is>
      </c>
      <c r="V1442" t="inlineStr">
        <is>
          <t>2005-06-16</t>
        </is>
      </c>
      <c r="W1442" t="inlineStr">
        <is>
          <t>1991-10-28</t>
        </is>
      </c>
      <c r="X1442" t="inlineStr">
        <is>
          <t>1991-10-28</t>
        </is>
      </c>
      <c r="Y1442" t="n">
        <v>172</v>
      </c>
      <c r="Z1442" t="n">
        <v>161</v>
      </c>
      <c r="AA1442" t="n">
        <v>195</v>
      </c>
      <c r="AB1442" t="n">
        <v>3</v>
      </c>
      <c r="AC1442" t="n">
        <v>3</v>
      </c>
      <c r="AD1442" t="n">
        <v>22</v>
      </c>
      <c r="AE1442" t="n">
        <v>23</v>
      </c>
      <c r="AF1442" t="n">
        <v>7</v>
      </c>
      <c r="AG1442" t="n">
        <v>8</v>
      </c>
      <c r="AH1442" t="n">
        <v>6</v>
      </c>
      <c r="AI1442" t="n">
        <v>7</v>
      </c>
      <c r="AJ1442" t="n">
        <v>16</v>
      </c>
      <c r="AK1442" t="n">
        <v>16</v>
      </c>
      <c r="AL1442" t="n">
        <v>0</v>
      </c>
      <c r="AM1442" t="n">
        <v>0</v>
      </c>
      <c r="AN1442" t="n">
        <v>0</v>
      </c>
      <c r="AO1442" t="n">
        <v>0</v>
      </c>
      <c r="AP1442" t="inlineStr">
        <is>
          <t>No</t>
        </is>
      </c>
      <c r="AQ1442" t="inlineStr">
        <is>
          <t>Yes</t>
        </is>
      </c>
      <c r="AR1442">
        <f>HYPERLINK("http://catalog.hathitrust.org/Record/009367691","HathiTrust Record")</f>
        <v/>
      </c>
      <c r="AS1442">
        <f>HYPERLINK("https://creighton-primo.hosted.exlibrisgroup.com/primo-explore/search?tab=default_tab&amp;search_scope=EVERYTHING&amp;vid=01CRU&amp;lang=en_US&amp;offset=0&amp;query=any,contains,991004118219702656","Catalog Record")</f>
        <v/>
      </c>
      <c r="AT1442">
        <f>HYPERLINK("http://www.worldcat.org/oclc/2422423","WorldCat Record")</f>
        <v/>
      </c>
      <c r="AU1442" t="inlineStr">
        <is>
          <t>3372865328:eng</t>
        </is>
      </c>
      <c r="AV1442" t="inlineStr">
        <is>
          <t>2422423</t>
        </is>
      </c>
      <c r="AW1442" t="inlineStr">
        <is>
          <t>991004118219702656</t>
        </is>
      </c>
      <c r="AX1442" t="inlineStr">
        <is>
          <t>991004118219702656</t>
        </is>
      </c>
      <c r="AY1442" t="inlineStr">
        <is>
          <t>2265920780002656</t>
        </is>
      </c>
      <c r="AZ1442" t="inlineStr">
        <is>
          <t>BOOK</t>
        </is>
      </c>
      <c r="BC1442" t="inlineStr">
        <is>
          <t>32285000812213</t>
        </is>
      </c>
      <c r="BD1442" t="inlineStr">
        <is>
          <t>893712175</t>
        </is>
      </c>
    </row>
    <row r="1443">
      <c r="A1443" t="inlineStr">
        <is>
          <t>No</t>
        </is>
      </c>
      <c r="B1443" t="inlineStr">
        <is>
          <t>BX2349 .L843</t>
        </is>
      </c>
      <c r="C1443" t="inlineStr">
        <is>
          <t>0                      BX 2349000L  843</t>
        </is>
      </c>
      <c r="D1443" t="inlineStr">
        <is>
          <t>Summa of the Christian life ; selected texts from the writings of Louis of Granada / translated and adapted by Jordan Aumann.</t>
        </is>
      </c>
      <c r="E1443" t="inlineStr">
        <is>
          <t>V.2</t>
        </is>
      </c>
      <c r="F1443" t="inlineStr">
        <is>
          <t>Yes</t>
        </is>
      </c>
      <c r="G1443" t="inlineStr">
        <is>
          <t>1</t>
        </is>
      </c>
      <c r="H1443" t="inlineStr">
        <is>
          <t>No</t>
        </is>
      </c>
      <c r="I1443" t="inlineStr">
        <is>
          <t>No</t>
        </is>
      </c>
      <c r="J1443" t="inlineStr">
        <is>
          <t>0</t>
        </is>
      </c>
      <c r="K1443" t="inlineStr">
        <is>
          <t>Luis, de Granada, 1504-1588.</t>
        </is>
      </c>
      <c r="L1443" t="inlineStr">
        <is>
          <t>St. Louis : Herder, c1954-1958.</t>
        </is>
      </c>
      <c r="M1443" t="inlineStr">
        <is>
          <t>1954</t>
        </is>
      </c>
      <c r="O1443" t="inlineStr">
        <is>
          <t>eng</t>
        </is>
      </c>
      <c r="P1443" t="inlineStr">
        <is>
          <t>mou</t>
        </is>
      </c>
      <c r="Q1443" t="inlineStr">
        <is>
          <t>Cross and crown series of spirituality ; no. 3</t>
        </is>
      </c>
      <c r="R1443" t="inlineStr">
        <is>
          <t xml:space="preserve">BX </t>
        </is>
      </c>
      <c r="S1443" t="n">
        <v>2</v>
      </c>
      <c r="T1443" t="n">
        <v>5</v>
      </c>
      <c r="V1443" t="inlineStr">
        <is>
          <t>2005-06-16</t>
        </is>
      </c>
      <c r="W1443" t="inlineStr">
        <is>
          <t>1991-10-28</t>
        </is>
      </c>
      <c r="X1443" t="inlineStr">
        <is>
          <t>1991-10-28</t>
        </is>
      </c>
      <c r="Y1443" t="n">
        <v>172</v>
      </c>
      <c r="Z1443" t="n">
        <v>161</v>
      </c>
      <c r="AA1443" t="n">
        <v>195</v>
      </c>
      <c r="AB1443" t="n">
        <v>3</v>
      </c>
      <c r="AC1443" t="n">
        <v>3</v>
      </c>
      <c r="AD1443" t="n">
        <v>22</v>
      </c>
      <c r="AE1443" t="n">
        <v>23</v>
      </c>
      <c r="AF1443" t="n">
        <v>7</v>
      </c>
      <c r="AG1443" t="n">
        <v>8</v>
      </c>
      <c r="AH1443" t="n">
        <v>6</v>
      </c>
      <c r="AI1443" t="n">
        <v>7</v>
      </c>
      <c r="AJ1443" t="n">
        <v>16</v>
      </c>
      <c r="AK1443" t="n">
        <v>16</v>
      </c>
      <c r="AL1443" t="n">
        <v>0</v>
      </c>
      <c r="AM1443" t="n">
        <v>0</v>
      </c>
      <c r="AN1443" t="n">
        <v>0</v>
      </c>
      <c r="AO1443" t="n">
        <v>0</v>
      </c>
      <c r="AP1443" t="inlineStr">
        <is>
          <t>No</t>
        </is>
      </c>
      <c r="AQ1443" t="inlineStr">
        <is>
          <t>Yes</t>
        </is>
      </c>
      <c r="AR1443">
        <f>HYPERLINK("http://catalog.hathitrust.org/Record/009367691","HathiTrust Record")</f>
        <v/>
      </c>
      <c r="AS1443">
        <f>HYPERLINK("https://creighton-primo.hosted.exlibrisgroup.com/primo-explore/search?tab=default_tab&amp;search_scope=EVERYTHING&amp;vid=01CRU&amp;lang=en_US&amp;offset=0&amp;query=any,contains,991004118219702656","Catalog Record")</f>
        <v/>
      </c>
      <c r="AT1443">
        <f>HYPERLINK("http://www.worldcat.org/oclc/2422423","WorldCat Record")</f>
        <v/>
      </c>
      <c r="AU1443" t="inlineStr">
        <is>
          <t>3372865328:eng</t>
        </is>
      </c>
      <c r="AV1443" t="inlineStr">
        <is>
          <t>2422423</t>
        </is>
      </c>
      <c r="AW1443" t="inlineStr">
        <is>
          <t>991004118219702656</t>
        </is>
      </c>
      <c r="AX1443" t="inlineStr">
        <is>
          <t>991004118219702656</t>
        </is>
      </c>
      <c r="AY1443" t="inlineStr">
        <is>
          <t>2265920780002656</t>
        </is>
      </c>
      <c r="AZ1443" t="inlineStr">
        <is>
          <t>BOOK</t>
        </is>
      </c>
      <c r="BC1443" t="inlineStr">
        <is>
          <t>32285000812205</t>
        </is>
      </c>
      <c r="BD1443" t="inlineStr">
        <is>
          <t>893722275</t>
        </is>
      </c>
    </row>
    <row r="1444">
      <c r="A1444" t="inlineStr">
        <is>
          <t>No</t>
        </is>
      </c>
      <c r="B1444" t="inlineStr">
        <is>
          <t>BX2350 .B762 1956</t>
        </is>
      </c>
      <c r="C1444" t="inlineStr">
        <is>
          <t>0                      BX 2350000B  762         1956</t>
        </is>
      </c>
      <c r="D1444" t="inlineStr">
        <is>
          <t>A new creation : towards a theology of the Christian life / by August Brunner. [Translation from the original German made by Ruth Mary Bethell]</t>
        </is>
      </c>
      <c r="F1444" t="inlineStr">
        <is>
          <t>No</t>
        </is>
      </c>
      <c r="G1444" t="inlineStr">
        <is>
          <t>1</t>
        </is>
      </c>
      <c r="H1444" t="inlineStr">
        <is>
          <t>No</t>
        </is>
      </c>
      <c r="I1444" t="inlineStr">
        <is>
          <t>No</t>
        </is>
      </c>
      <c r="J1444" t="inlineStr">
        <is>
          <t>0</t>
        </is>
      </c>
      <c r="K1444" t="inlineStr">
        <is>
          <t>Brunner, August, 1894-</t>
        </is>
      </c>
      <c r="L1444" t="inlineStr">
        <is>
          <t>New York : Philosophical Library, [1956]</t>
        </is>
      </c>
      <c r="M1444" t="inlineStr">
        <is>
          <t>1956</t>
        </is>
      </c>
      <c r="O1444" t="inlineStr">
        <is>
          <t>eng</t>
        </is>
      </c>
      <c r="P1444" t="inlineStr">
        <is>
          <t xml:space="preserve">xx </t>
        </is>
      </c>
      <c r="R1444" t="inlineStr">
        <is>
          <t xml:space="preserve">BX </t>
        </is>
      </c>
      <c r="S1444" t="n">
        <v>2</v>
      </c>
      <c r="T1444" t="n">
        <v>2</v>
      </c>
      <c r="U1444" t="inlineStr">
        <is>
          <t>1992-06-23</t>
        </is>
      </c>
      <c r="V1444" t="inlineStr">
        <is>
          <t>1992-06-23</t>
        </is>
      </c>
      <c r="W1444" t="inlineStr">
        <is>
          <t>1991-10-28</t>
        </is>
      </c>
      <c r="X1444" t="inlineStr">
        <is>
          <t>1991-10-28</t>
        </is>
      </c>
      <c r="Y1444" t="n">
        <v>67</v>
      </c>
      <c r="Z1444" t="n">
        <v>60</v>
      </c>
      <c r="AA1444" t="n">
        <v>125</v>
      </c>
      <c r="AB1444" t="n">
        <v>3</v>
      </c>
      <c r="AC1444" t="n">
        <v>3</v>
      </c>
      <c r="AD1444" t="n">
        <v>6</v>
      </c>
      <c r="AE1444" t="n">
        <v>18</v>
      </c>
      <c r="AF1444" t="n">
        <v>2</v>
      </c>
      <c r="AG1444" t="n">
        <v>5</v>
      </c>
      <c r="AH1444" t="n">
        <v>1</v>
      </c>
      <c r="AI1444" t="n">
        <v>3</v>
      </c>
      <c r="AJ1444" t="n">
        <v>3</v>
      </c>
      <c r="AK1444" t="n">
        <v>13</v>
      </c>
      <c r="AL1444" t="n">
        <v>1</v>
      </c>
      <c r="AM1444" t="n">
        <v>1</v>
      </c>
      <c r="AN1444" t="n">
        <v>0</v>
      </c>
      <c r="AO1444" t="n">
        <v>0</v>
      </c>
      <c r="AP1444" t="inlineStr">
        <is>
          <t>No</t>
        </is>
      </c>
      <c r="AQ1444" t="inlineStr">
        <is>
          <t>No</t>
        </is>
      </c>
      <c r="AS1444">
        <f>HYPERLINK("https://creighton-primo.hosted.exlibrisgroup.com/primo-explore/search?tab=default_tab&amp;search_scope=EVERYTHING&amp;vid=01CRU&amp;lang=en_US&amp;offset=0&amp;query=any,contains,991004243289702656","Catalog Record")</f>
        <v/>
      </c>
      <c r="AT1444">
        <f>HYPERLINK("http://www.worldcat.org/oclc/2795391","WorldCat Record")</f>
        <v/>
      </c>
      <c r="AU1444" t="inlineStr">
        <is>
          <t>4980722:eng</t>
        </is>
      </c>
      <c r="AV1444" t="inlineStr">
        <is>
          <t>2795391</t>
        </is>
      </c>
      <c r="AW1444" t="inlineStr">
        <is>
          <t>991004243289702656</t>
        </is>
      </c>
      <c r="AX1444" t="inlineStr">
        <is>
          <t>991004243289702656</t>
        </is>
      </c>
      <c r="AY1444" t="inlineStr">
        <is>
          <t>2265002520002656</t>
        </is>
      </c>
      <c r="AZ1444" t="inlineStr">
        <is>
          <t>BOOK</t>
        </is>
      </c>
      <c r="BC1444" t="inlineStr">
        <is>
          <t>32285000812361</t>
        </is>
      </c>
      <c r="BD1444" t="inlineStr">
        <is>
          <t>893888461</t>
        </is>
      </c>
    </row>
    <row r="1445">
      <c r="A1445" t="inlineStr">
        <is>
          <t>No</t>
        </is>
      </c>
      <c r="B1445" t="inlineStr">
        <is>
          <t>BX2350 .D383 1953</t>
        </is>
      </c>
      <c r="C1445" t="inlineStr">
        <is>
          <t>0                      BX 2350000D  383         1953</t>
        </is>
      </c>
      <c r="D1445" t="inlineStr">
        <is>
          <t>Living in God / Robert de Langeac [Fr. Delage, priest of St. Sulpice] ; with an introduction by François de Sainte-Marie ; English translation by P. Moloney.</t>
        </is>
      </c>
      <c r="F1445" t="inlineStr">
        <is>
          <t>No</t>
        </is>
      </c>
      <c r="G1445" t="inlineStr">
        <is>
          <t>1</t>
        </is>
      </c>
      <c r="H1445" t="inlineStr">
        <is>
          <t>No</t>
        </is>
      </c>
      <c r="I1445" t="inlineStr">
        <is>
          <t>No</t>
        </is>
      </c>
      <c r="J1445" t="inlineStr">
        <is>
          <t>0</t>
        </is>
      </c>
      <c r="K1445" t="inlineStr">
        <is>
          <t>Langeac, Robert de, 1877-1947.</t>
        </is>
      </c>
      <c r="L1445" t="inlineStr">
        <is>
          <t>Westminster, Md. : Newman Press, [1953]</t>
        </is>
      </c>
      <c r="M1445" t="inlineStr">
        <is>
          <t>1953</t>
        </is>
      </c>
      <c r="O1445" t="inlineStr">
        <is>
          <t>eng</t>
        </is>
      </c>
      <c r="P1445" t="inlineStr">
        <is>
          <t>xxu</t>
        </is>
      </c>
      <c r="R1445" t="inlineStr">
        <is>
          <t xml:space="preserve">BX </t>
        </is>
      </c>
      <c r="S1445" t="n">
        <v>1</v>
      </c>
      <c r="T1445" t="n">
        <v>1</v>
      </c>
      <c r="U1445" t="inlineStr">
        <is>
          <t>2010-07-23</t>
        </is>
      </c>
      <c r="V1445" t="inlineStr">
        <is>
          <t>2010-07-23</t>
        </is>
      </c>
      <c r="W1445" t="inlineStr">
        <is>
          <t>1991-10-28</t>
        </is>
      </c>
      <c r="X1445" t="inlineStr">
        <is>
          <t>1991-10-28</t>
        </is>
      </c>
      <c r="Y1445" t="n">
        <v>30</v>
      </c>
      <c r="Z1445" t="n">
        <v>29</v>
      </c>
      <c r="AA1445" t="n">
        <v>39</v>
      </c>
      <c r="AB1445" t="n">
        <v>1</v>
      </c>
      <c r="AC1445" t="n">
        <v>1</v>
      </c>
      <c r="AD1445" t="n">
        <v>12</v>
      </c>
      <c r="AE1445" t="n">
        <v>14</v>
      </c>
      <c r="AF1445" t="n">
        <v>1</v>
      </c>
      <c r="AG1445" t="n">
        <v>1</v>
      </c>
      <c r="AH1445" t="n">
        <v>3</v>
      </c>
      <c r="AI1445" t="n">
        <v>3</v>
      </c>
      <c r="AJ1445" t="n">
        <v>10</v>
      </c>
      <c r="AK1445" t="n">
        <v>12</v>
      </c>
      <c r="AL1445" t="n">
        <v>0</v>
      </c>
      <c r="AM1445" t="n">
        <v>0</v>
      </c>
      <c r="AN1445" t="n">
        <v>0</v>
      </c>
      <c r="AO1445" t="n">
        <v>0</v>
      </c>
      <c r="AP1445" t="inlineStr">
        <is>
          <t>No</t>
        </is>
      </c>
      <c r="AQ1445" t="inlineStr">
        <is>
          <t>No</t>
        </is>
      </c>
      <c r="AS1445">
        <f>HYPERLINK("https://creighton-primo.hosted.exlibrisgroup.com/primo-explore/search?tab=default_tab&amp;search_scope=EVERYTHING&amp;vid=01CRU&amp;lang=en_US&amp;offset=0&amp;query=any,contains,991004532629702656","Catalog Record")</f>
        <v/>
      </c>
      <c r="AT1445">
        <f>HYPERLINK("http://www.worldcat.org/oclc/3856479","WorldCat Record")</f>
        <v/>
      </c>
      <c r="AU1445" t="inlineStr">
        <is>
          <t>12531752:eng</t>
        </is>
      </c>
      <c r="AV1445" t="inlineStr">
        <is>
          <t>3856479</t>
        </is>
      </c>
      <c r="AW1445" t="inlineStr">
        <is>
          <t>991004532629702656</t>
        </is>
      </c>
      <c r="AX1445" t="inlineStr">
        <is>
          <t>991004532629702656</t>
        </is>
      </c>
      <c r="AY1445" t="inlineStr">
        <is>
          <t>2266673540002656</t>
        </is>
      </c>
      <c r="AZ1445" t="inlineStr">
        <is>
          <t>BOOK</t>
        </is>
      </c>
      <c r="BC1445" t="inlineStr">
        <is>
          <t>32285000812437</t>
        </is>
      </c>
      <c r="BD1445" t="inlineStr">
        <is>
          <t>893807187</t>
        </is>
      </c>
    </row>
    <row r="1446">
      <c r="A1446" t="inlineStr">
        <is>
          <t>No</t>
        </is>
      </c>
      <c r="B1446" t="inlineStr">
        <is>
          <t>BX2350 .D56 1890</t>
        </is>
      </c>
      <c r="C1446" t="inlineStr">
        <is>
          <t>0                      BX 2350000D  56          1890</t>
        </is>
      </c>
      <c r="D1446" t="inlineStr">
        <is>
          <t>Principles of religious life / by Francis Cuthbert Doyle.</t>
        </is>
      </c>
      <c r="F1446" t="inlineStr">
        <is>
          <t>No</t>
        </is>
      </c>
      <c r="G1446" t="inlineStr">
        <is>
          <t>1</t>
        </is>
      </c>
      <c r="H1446" t="inlineStr">
        <is>
          <t>No</t>
        </is>
      </c>
      <c r="I1446" t="inlineStr">
        <is>
          <t>No</t>
        </is>
      </c>
      <c r="J1446" t="inlineStr">
        <is>
          <t>0</t>
        </is>
      </c>
      <c r="K1446" t="inlineStr">
        <is>
          <t>Doyle, Francis Cuthbert, 1842-1932.</t>
        </is>
      </c>
      <c r="L1446" t="inlineStr">
        <is>
          <t>London : R. Washbourne, 1890.</t>
        </is>
      </c>
      <c r="M1446" t="inlineStr">
        <is>
          <t>1890</t>
        </is>
      </c>
      <c r="N1446" t="inlineStr">
        <is>
          <t>2d ed.</t>
        </is>
      </c>
      <c r="O1446" t="inlineStr">
        <is>
          <t>eng</t>
        </is>
      </c>
      <c r="P1446" t="inlineStr">
        <is>
          <t>enk</t>
        </is>
      </c>
      <c r="R1446" t="inlineStr">
        <is>
          <t xml:space="preserve">BX </t>
        </is>
      </c>
      <c r="S1446" t="n">
        <v>1</v>
      </c>
      <c r="T1446" t="n">
        <v>1</v>
      </c>
      <c r="U1446" t="inlineStr">
        <is>
          <t>2007-06-28</t>
        </is>
      </c>
      <c r="V1446" t="inlineStr">
        <is>
          <t>2007-06-28</t>
        </is>
      </c>
      <c r="W1446" t="inlineStr">
        <is>
          <t>1991-10-28</t>
        </is>
      </c>
      <c r="X1446" t="inlineStr">
        <is>
          <t>1991-10-28</t>
        </is>
      </c>
      <c r="Y1446" t="n">
        <v>22</v>
      </c>
      <c r="Z1446" t="n">
        <v>16</v>
      </c>
      <c r="AA1446" t="n">
        <v>57</v>
      </c>
      <c r="AB1446" t="n">
        <v>1</v>
      </c>
      <c r="AC1446" t="n">
        <v>1</v>
      </c>
      <c r="AD1446" t="n">
        <v>3</v>
      </c>
      <c r="AE1446" t="n">
        <v>8</v>
      </c>
      <c r="AF1446" t="n">
        <v>0</v>
      </c>
      <c r="AG1446" t="n">
        <v>0</v>
      </c>
      <c r="AH1446" t="n">
        <v>1</v>
      </c>
      <c r="AI1446" t="n">
        <v>3</v>
      </c>
      <c r="AJ1446" t="n">
        <v>3</v>
      </c>
      <c r="AK1446" t="n">
        <v>6</v>
      </c>
      <c r="AL1446" t="n">
        <v>0</v>
      </c>
      <c r="AM1446" t="n">
        <v>0</v>
      </c>
      <c r="AN1446" t="n">
        <v>0</v>
      </c>
      <c r="AO1446" t="n">
        <v>0</v>
      </c>
      <c r="AP1446" t="inlineStr">
        <is>
          <t>No</t>
        </is>
      </c>
      <c r="AQ1446" t="inlineStr">
        <is>
          <t>No</t>
        </is>
      </c>
      <c r="AS1446">
        <f>HYPERLINK("https://creighton-primo.hosted.exlibrisgroup.com/primo-explore/search?tab=default_tab&amp;search_scope=EVERYTHING&amp;vid=01CRU&amp;lang=en_US&amp;offset=0&amp;query=any,contains,991005218869702656","Catalog Record")</f>
        <v/>
      </c>
      <c r="AT1446">
        <f>HYPERLINK("http://www.worldcat.org/oclc/8215143","WorldCat Record")</f>
        <v/>
      </c>
      <c r="AU1446" t="inlineStr">
        <is>
          <t>11320916:eng</t>
        </is>
      </c>
      <c r="AV1446" t="inlineStr">
        <is>
          <t>8215143</t>
        </is>
      </c>
      <c r="AW1446" t="inlineStr">
        <is>
          <t>991005218869702656</t>
        </is>
      </c>
      <c r="AX1446" t="inlineStr">
        <is>
          <t>991005218869702656</t>
        </is>
      </c>
      <c r="AY1446" t="inlineStr">
        <is>
          <t>2267403220002656</t>
        </is>
      </c>
      <c r="AZ1446" t="inlineStr">
        <is>
          <t>BOOK</t>
        </is>
      </c>
      <c r="BC1446" t="inlineStr">
        <is>
          <t>32285000812445</t>
        </is>
      </c>
      <c r="BD1446" t="inlineStr">
        <is>
          <t>893418571</t>
        </is>
      </c>
    </row>
    <row r="1447">
      <c r="A1447" t="inlineStr">
        <is>
          <t>No</t>
        </is>
      </c>
      <c r="B1447" t="inlineStr">
        <is>
          <t>BX2350 .F3 1854</t>
        </is>
      </c>
      <c r="C1447" t="inlineStr">
        <is>
          <t>0                      BX 2350000F  3           1854</t>
        </is>
      </c>
      <c r="D1447" t="inlineStr">
        <is>
          <t>All for Jesus ; or, The easy ways of divine love / by Frederick William Faber.</t>
        </is>
      </c>
      <c r="F1447" t="inlineStr">
        <is>
          <t>No</t>
        </is>
      </c>
      <c r="G1447" t="inlineStr">
        <is>
          <t>1</t>
        </is>
      </c>
      <c r="H1447" t="inlineStr">
        <is>
          <t>No</t>
        </is>
      </c>
      <c r="I1447" t="inlineStr">
        <is>
          <t>No</t>
        </is>
      </c>
      <c r="J1447" t="inlineStr">
        <is>
          <t>0</t>
        </is>
      </c>
      <c r="K1447" t="inlineStr">
        <is>
          <t>Faber, Frederick William, 1814-1863.</t>
        </is>
      </c>
      <c r="L1447" t="inlineStr">
        <is>
          <t>London : Burns, 1854.</t>
        </is>
      </c>
      <c r="M1447" t="inlineStr">
        <is>
          <t>1854</t>
        </is>
      </c>
      <c r="O1447" t="inlineStr">
        <is>
          <t>eng</t>
        </is>
      </c>
      <c r="P1447" t="inlineStr">
        <is>
          <t>enk</t>
        </is>
      </c>
      <c r="R1447" t="inlineStr">
        <is>
          <t xml:space="preserve">BX </t>
        </is>
      </c>
      <c r="S1447" t="n">
        <v>3</v>
      </c>
      <c r="T1447" t="n">
        <v>3</v>
      </c>
      <c r="U1447" t="inlineStr">
        <is>
          <t>1993-10-27</t>
        </is>
      </c>
      <c r="V1447" t="inlineStr">
        <is>
          <t>1993-10-27</t>
        </is>
      </c>
      <c r="W1447" t="inlineStr">
        <is>
          <t>1991-10-28</t>
        </is>
      </c>
      <c r="X1447" t="inlineStr">
        <is>
          <t>1991-10-28</t>
        </is>
      </c>
      <c r="Y1447" t="n">
        <v>16</v>
      </c>
      <c r="Z1447" t="n">
        <v>11</v>
      </c>
      <c r="AA1447" t="n">
        <v>210</v>
      </c>
      <c r="AB1447" t="n">
        <v>1</v>
      </c>
      <c r="AC1447" t="n">
        <v>3</v>
      </c>
      <c r="AD1447" t="n">
        <v>4</v>
      </c>
      <c r="AE1447" t="n">
        <v>27</v>
      </c>
      <c r="AF1447" t="n">
        <v>0</v>
      </c>
      <c r="AG1447" t="n">
        <v>9</v>
      </c>
      <c r="AH1447" t="n">
        <v>1</v>
      </c>
      <c r="AI1447" t="n">
        <v>8</v>
      </c>
      <c r="AJ1447" t="n">
        <v>3</v>
      </c>
      <c r="AK1447" t="n">
        <v>19</v>
      </c>
      <c r="AL1447" t="n">
        <v>0</v>
      </c>
      <c r="AM1447" t="n">
        <v>1</v>
      </c>
      <c r="AN1447" t="n">
        <v>0</v>
      </c>
      <c r="AO1447" t="n">
        <v>0</v>
      </c>
      <c r="AP1447" t="inlineStr">
        <is>
          <t>No</t>
        </is>
      </c>
      <c r="AQ1447" t="inlineStr">
        <is>
          <t>No</t>
        </is>
      </c>
      <c r="AS1447">
        <f>HYPERLINK("https://creighton-primo.hosted.exlibrisgroup.com/primo-explore/search?tab=default_tab&amp;search_scope=EVERYTHING&amp;vid=01CRU&amp;lang=en_US&amp;offset=0&amp;query=any,contains,991005231259702656","Catalog Record")</f>
        <v/>
      </c>
      <c r="AT1447">
        <f>HYPERLINK("http://www.worldcat.org/oclc/8332033","WorldCat Record")</f>
        <v/>
      </c>
      <c r="AU1447" t="inlineStr">
        <is>
          <t>6363399:eng</t>
        </is>
      </c>
      <c r="AV1447" t="inlineStr">
        <is>
          <t>8332033</t>
        </is>
      </c>
      <c r="AW1447" t="inlineStr">
        <is>
          <t>991005231259702656</t>
        </is>
      </c>
      <c r="AX1447" t="inlineStr">
        <is>
          <t>991005231259702656</t>
        </is>
      </c>
      <c r="AY1447" t="inlineStr">
        <is>
          <t>2262314950002656</t>
        </is>
      </c>
      <c r="AZ1447" t="inlineStr">
        <is>
          <t>BOOK</t>
        </is>
      </c>
      <c r="BC1447" t="inlineStr">
        <is>
          <t>32285000812494</t>
        </is>
      </c>
      <c r="BD1447" t="inlineStr">
        <is>
          <t>893625664</t>
        </is>
      </c>
    </row>
    <row r="1448">
      <c r="A1448" t="inlineStr">
        <is>
          <t>No</t>
        </is>
      </c>
      <c r="B1448" t="inlineStr">
        <is>
          <t>BX2350 .F3 1960</t>
        </is>
      </c>
      <c r="C1448" t="inlineStr">
        <is>
          <t>0                      BX 2350000F  3           1960</t>
        </is>
      </c>
      <c r="D1448" t="inlineStr">
        <is>
          <t>Growth in holiness ; or, The progress of the spiritual life / by Frederick William Faber ; with a preface by Ronald Chapman.</t>
        </is>
      </c>
      <c r="F1448" t="inlineStr">
        <is>
          <t>No</t>
        </is>
      </c>
      <c r="G1448" t="inlineStr">
        <is>
          <t>1</t>
        </is>
      </c>
      <c r="H1448" t="inlineStr">
        <is>
          <t>No</t>
        </is>
      </c>
      <c r="I1448" t="inlineStr">
        <is>
          <t>No</t>
        </is>
      </c>
      <c r="J1448" t="inlineStr">
        <is>
          <t>0</t>
        </is>
      </c>
      <c r="K1448" t="inlineStr">
        <is>
          <t>Faber, Frederick William, 1814-1863.</t>
        </is>
      </c>
      <c r="L1448" t="inlineStr">
        <is>
          <t>Westminster, Md. : Newman Press, [1960]</t>
        </is>
      </c>
      <c r="M1448" t="inlineStr">
        <is>
          <t>1960</t>
        </is>
      </c>
      <c r="O1448" t="inlineStr">
        <is>
          <t>eng</t>
        </is>
      </c>
      <c r="P1448" t="inlineStr">
        <is>
          <t>mdu</t>
        </is>
      </c>
      <c r="Q1448" t="inlineStr">
        <is>
          <t>Orchard books</t>
        </is>
      </c>
      <c r="R1448" t="inlineStr">
        <is>
          <t xml:space="preserve">BX </t>
        </is>
      </c>
      <c r="S1448" t="n">
        <v>1</v>
      </c>
      <c r="T1448" t="n">
        <v>1</v>
      </c>
      <c r="U1448" t="inlineStr">
        <is>
          <t>2010-07-01</t>
        </is>
      </c>
      <c r="V1448" t="inlineStr">
        <is>
          <t>2010-07-01</t>
        </is>
      </c>
      <c r="W1448" t="inlineStr">
        <is>
          <t>2010-07-01</t>
        </is>
      </c>
      <c r="X1448" t="inlineStr">
        <is>
          <t>2010-07-01</t>
        </is>
      </c>
      <c r="Y1448" t="n">
        <v>61</v>
      </c>
      <c r="Z1448" t="n">
        <v>59</v>
      </c>
      <c r="AA1448" t="n">
        <v>306</v>
      </c>
      <c r="AB1448" t="n">
        <v>1</v>
      </c>
      <c r="AC1448" t="n">
        <v>5</v>
      </c>
      <c r="AD1448" t="n">
        <v>5</v>
      </c>
      <c r="AE1448" t="n">
        <v>29</v>
      </c>
      <c r="AF1448" t="n">
        <v>1</v>
      </c>
      <c r="AG1448" t="n">
        <v>9</v>
      </c>
      <c r="AH1448" t="n">
        <v>1</v>
      </c>
      <c r="AI1448" t="n">
        <v>7</v>
      </c>
      <c r="AJ1448" t="n">
        <v>4</v>
      </c>
      <c r="AK1448" t="n">
        <v>20</v>
      </c>
      <c r="AL1448" t="n">
        <v>0</v>
      </c>
      <c r="AM1448" t="n">
        <v>2</v>
      </c>
      <c r="AN1448" t="n">
        <v>0</v>
      </c>
      <c r="AO1448" t="n">
        <v>0</v>
      </c>
      <c r="AP1448" t="inlineStr">
        <is>
          <t>Yes</t>
        </is>
      </c>
      <c r="AQ1448" t="inlineStr">
        <is>
          <t>No</t>
        </is>
      </c>
      <c r="AR1448">
        <f>HYPERLINK("http://catalog.hathitrust.org/Record/008372604","HathiTrust Record")</f>
        <v/>
      </c>
      <c r="AS1448">
        <f>HYPERLINK("https://creighton-primo.hosted.exlibrisgroup.com/primo-explore/search?tab=default_tab&amp;search_scope=EVERYTHING&amp;vid=01CRU&amp;lang=en_US&amp;offset=0&amp;query=any,contains,991000017199702656","Catalog Record")</f>
        <v/>
      </c>
      <c r="AT1448">
        <f>HYPERLINK("http://www.worldcat.org/oclc/4585347","WorldCat Record")</f>
        <v/>
      </c>
      <c r="AU1448" t="inlineStr">
        <is>
          <t>4130779:eng</t>
        </is>
      </c>
      <c r="AV1448" t="inlineStr">
        <is>
          <t>4585347</t>
        </is>
      </c>
      <c r="AW1448" t="inlineStr">
        <is>
          <t>991000017199702656</t>
        </is>
      </c>
      <c r="AX1448" t="inlineStr">
        <is>
          <t>991000017199702656</t>
        </is>
      </c>
      <c r="AY1448" t="inlineStr">
        <is>
          <t>2268889300002656</t>
        </is>
      </c>
      <c r="AZ1448" t="inlineStr">
        <is>
          <t>BOOK</t>
        </is>
      </c>
      <c r="BC1448" t="inlineStr">
        <is>
          <t>32285005589386</t>
        </is>
      </c>
      <c r="BD1448" t="inlineStr">
        <is>
          <t>893689328</t>
        </is>
      </c>
    </row>
    <row r="1449">
      <c r="A1449" t="inlineStr">
        <is>
          <t>No</t>
        </is>
      </c>
      <c r="B1449" t="inlineStr">
        <is>
          <t>BX2350 .G643 1955</t>
        </is>
      </c>
      <c r="C1449" t="inlineStr">
        <is>
          <t>0                      BX 2350000G  643         1955</t>
        </is>
      </c>
      <c r="D1449" t="inlineStr">
        <is>
          <t>Holiness is wholeness / by Josef Goldbrunner.</t>
        </is>
      </c>
      <c r="F1449" t="inlineStr">
        <is>
          <t>No</t>
        </is>
      </c>
      <c r="G1449" t="inlineStr">
        <is>
          <t>1</t>
        </is>
      </c>
      <c r="H1449" t="inlineStr">
        <is>
          <t>No</t>
        </is>
      </c>
      <c r="I1449" t="inlineStr">
        <is>
          <t>No</t>
        </is>
      </c>
      <c r="J1449" t="inlineStr">
        <is>
          <t>0</t>
        </is>
      </c>
      <c r="K1449" t="inlineStr">
        <is>
          <t>Goldbrunner, Josef.</t>
        </is>
      </c>
      <c r="L1449" t="inlineStr">
        <is>
          <t>[New York] : Pantheon, [1955]</t>
        </is>
      </c>
      <c r="M1449" t="inlineStr">
        <is>
          <t>1955</t>
        </is>
      </c>
      <c r="O1449" t="inlineStr">
        <is>
          <t>eng</t>
        </is>
      </c>
      <c r="P1449" t="inlineStr">
        <is>
          <t>nyu</t>
        </is>
      </c>
      <c r="R1449" t="inlineStr">
        <is>
          <t xml:space="preserve">BX </t>
        </is>
      </c>
      <c r="S1449" t="n">
        <v>5</v>
      </c>
      <c r="T1449" t="n">
        <v>5</v>
      </c>
      <c r="U1449" t="inlineStr">
        <is>
          <t>2006-07-03</t>
        </is>
      </c>
      <c r="V1449" t="inlineStr">
        <is>
          <t>2006-07-03</t>
        </is>
      </c>
      <c r="W1449" t="inlineStr">
        <is>
          <t>1991-10-28</t>
        </is>
      </c>
      <c r="X1449" t="inlineStr">
        <is>
          <t>1991-10-28</t>
        </is>
      </c>
      <c r="Y1449" t="n">
        <v>237</v>
      </c>
      <c r="Z1449" t="n">
        <v>221</v>
      </c>
      <c r="AA1449" t="n">
        <v>356</v>
      </c>
      <c r="AB1449" t="n">
        <v>1</v>
      </c>
      <c r="AC1449" t="n">
        <v>4</v>
      </c>
      <c r="AD1449" t="n">
        <v>19</v>
      </c>
      <c r="AE1449" t="n">
        <v>35</v>
      </c>
      <c r="AF1449" t="n">
        <v>7</v>
      </c>
      <c r="AG1449" t="n">
        <v>13</v>
      </c>
      <c r="AH1449" t="n">
        <v>7</v>
      </c>
      <c r="AI1449" t="n">
        <v>8</v>
      </c>
      <c r="AJ1449" t="n">
        <v>14</v>
      </c>
      <c r="AK1449" t="n">
        <v>23</v>
      </c>
      <c r="AL1449" t="n">
        <v>0</v>
      </c>
      <c r="AM1449" t="n">
        <v>2</v>
      </c>
      <c r="AN1449" t="n">
        <v>0</v>
      </c>
      <c r="AO1449" t="n">
        <v>0</v>
      </c>
      <c r="AP1449" t="inlineStr">
        <is>
          <t>No</t>
        </is>
      </c>
      <c r="AQ1449" t="inlineStr">
        <is>
          <t>No</t>
        </is>
      </c>
      <c r="AR1449">
        <f>HYPERLINK("http://catalog.hathitrust.org/Record/007951201","HathiTrust Record")</f>
        <v/>
      </c>
      <c r="AS1449">
        <f>HYPERLINK("https://creighton-primo.hosted.exlibrisgroup.com/primo-explore/search?tab=default_tab&amp;search_scope=EVERYTHING&amp;vid=01CRU&amp;lang=en_US&amp;offset=0&amp;query=any,contains,991002971899702656","Catalog Record")</f>
        <v/>
      </c>
      <c r="AT1449">
        <f>HYPERLINK("http://www.worldcat.org/oclc/549688","WorldCat Record")</f>
        <v/>
      </c>
      <c r="AU1449" t="inlineStr">
        <is>
          <t>3901342233:eng</t>
        </is>
      </c>
      <c r="AV1449" t="inlineStr">
        <is>
          <t>549688</t>
        </is>
      </c>
      <c r="AW1449" t="inlineStr">
        <is>
          <t>991002971899702656</t>
        </is>
      </c>
      <c r="AX1449" t="inlineStr">
        <is>
          <t>991002971899702656</t>
        </is>
      </c>
      <c r="AY1449" t="inlineStr">
        <is>
          <t>2262299010002656</t>
        </is>
      </c>
      <c r="AZ1449" t="inlineStr">
        <is>
          <t>BOOK</t>
        </is>
      </c>
      <c r="BC1449" t="inlineStr">
        <is>
          <t>32285000812627</t>
        </is>
      </c>
      <c r="BD1449" t="inlineStr">
        <is>
          <t>893415869</t>
        </is>
      </c>
    </row>
    <row r="1450">
      <c r="A1450" t="inlineStr">
        <is>
          <t>No</t>
        </is>
      </c>
      <c r="B1450" t="inlineStr">
        <is>
          <t>BX2350 .M14 1953</t>
        </is>
      </c>
      <c r="C1450" t="inlineStr">
        <is>
          <t>0                      BX 2350000M  14          1953</t>
        </is>
      </c>
      <c r="D1450" t="inlineStr">
        <is>
          <t>Nothing but Christ : a Benedictine approach to lay spirituality.</t>
        </is>
      </c>
      <c r="F1450" t="inlineStr">
        <is>
          <t>No</t>
        </is>
      </c>
      <c r="G1450" t="inlineStr">
        <is>
          <t>1</t>
        </is>
      </c>
      <c r="H1450" t="inlineStr">
        <is>
          <t>No</t>
        </is>
      </c>
      <c r="I1450" t="inlineStr">
        <is>
          <t>No</t>
        </is>
      </c>
      <c r="J1450" t="inlineStr">
        <is>
          <t>0</t>
        </is>
      </c>
      <c r="K1450" t="inlineStr">
        <is>
          <t>McDonnell, Kilian.</t>
        </is>
      </c>
      <c r="L1450" t="inlineStr">
        <is>
          <t>St. Meinrad, Ind. : Grail, 1953.</t>
        </is>
      </c>
      <c r="M1450" t="inlineStr">
        <is>
          <t>1953</t>
        </is>
      </c>
      <c r="O1450" t="inlineStr">
        <is>
          <t>eng</t>
        </is>
      </c>
      <c r="P1450" t="inlineStr">
        <is>
          <t xml:space="preserve">xx </t>
        </is>
      </c>
      <c r="R1450" t="inlineStr">
        <is>
          <t xml:space="preserve">BX </t>
        </is>
      </c>
      <c r="S1450" t="n">
        <v>2</v>
      </c>
      <c r="T1450" t="n">
        <v>2</v>
      </c>
      <c r="U1450" t="inlineStr">
        <is>
          <t>1994-06-17</t>
        </is>
      </c>
      <c r="V1450" t="inlineStr">
        <is>
          <t>1994-06-17</t>
        </is>
      </c>
      <c r="W1450" t="inlineStr">
        <is>
          <t>1991-10-28</t>
        </is>
      </c>
      <c r="X1450" t="inlineStr">
        <is>
          <t>1991-10-28</t>
        </is>
      </c>
      <c r="Y1450" t="n">
        <v>80</v>
      </c>
      <c r="Z1450" t="n">
        <v>73</v>
      </c>
      <c r="AA1450" t="n">
        <v>80</v>
      </c>
      <c r="AB1450" t="n">
        <v>2</v>
      </c>
      <c r="AC1450" t="n">
        <v>2</v>
      </c>
      <c r="AD1450" t="n">
        <v>10</v>
      </c>
      <c r="AE1450" t="n">
        <v>11</v>
      </c>
      <c r="AF1450" t="n">
        <v>0</v>
      </c>
      <c r="AG1450" t="n">
        <v>0</v>
      </c>
      <c r="AH1450" t="n">
        <v>4</v>
      </c>
      <c r="AI1450" t="n">
        <v>4</v>
      </c>
      <c r="AJ1450" t="n">
        <v>8</v>
      </c>
      <c r="AK1450" t="n">
        <v>9</v>
      </c>
      <c r="AL1450" t="n">
        <v>0</v>
      </c>
      <c r="AM1450" t="n">
        <v>0</v>
      </c>
      <c r="AN1450" t="n">
        <v>0</v>
      </c>
      <c r="AO1450" t="n">
        <v>0</v>
      </c>
      <c r="AP1450" t="inlineStr">
        <is>
          <t>No</t>
        </is>
      </c>
      <c r="AQ1450" t="inlineStr">
        <is>
          <t>No</t>
        </is>
      </c>
      <c r="AS1450">
        <f>HYPERLINK("https://creighton-primo.hosted.exlibrisgroup.com/primo-explore/search?tab=default_tab&amp;search_scope=EVERYTHING&amp;vid=01CRU&amp;lang=en_US&amp;offset=0&amp;query=any,contains,991004435469702656","Catalog Record")</f>
        <v/>
      </c>
      <c r="AT1450">
        <f>HYPERLINK("http://www.worldcat.org/oclc/3441019","WorldCat Record")</f>
        <v/>
      </c>
      <c r="AU1450" t="inlineStr">
        <is>
          <t>52357171:eng</t>
        </is>
      </c>
      <c r="AV1450" t="inlineStr">
        <is>
          <t>3441019</t>
        </is>
      </c>
      <c r="AW1450" t="inlineStr">
        <is>
          <t>991004435469702656</t>
        </is>
      </c>
      <c r="AX1450" t="inlineStr">
        <is>
          <t>991004435469702656</t>
        </is>
      </c>
      <c r="AY1450" t="inlineStr">
        <is>
          <t>2269340500002656</t>
        </is>
      </c>
      <c r="AZ1450" t="inlineStr">
        <is>
          <t>BOOK</t>
        </is>
      </c>
      <c r="BC1450" t="inlineStr">
        <is>
          <t>32285000812791</t>
        </is>
      </c>
      <c r="BD1450" t="inlineStr">
        <is>
          <t>893247579</t>
        </is>
      </c>
    </row>
    <row r="1451">
      <c r="A1451" t="inlineStr">
        <is>
          <t>No</t>
        </is>
      </c>
      <c r="B1451" t="inlineStr">
        <is>
          <t>BX2350 .M3 1934</t>
        </is>
      </c>
      <c r="C1451" t="inlineStr">
        <is>
          <t>0                      BX 2350000M  3           1934</t>
        </is>
      </c>
      <c r="D1451" t="inlineStr">
        <is>
          <t>Union with God : according to the letters of direction of Dom Marmion / by Dom Raymond Thibaut ; introductory letter of Archbishop Goodier, S. J. Translated from the French by Mother Mary St. Thomas.</t>
        </is>
      </c>
      <c r="F1451" t="inlineStr">
        <is>
          <t>No</t>
        </is>
      </c>
      <c r="G1451" t="inlineStr">
        <is>
          <t>1</t>
        </is>
      </c>
      <c r="H1451" t="inlineStr">
        <is>
          <t>No</t>
        </is>
      </c>
      <c r="I1451" t="inlineStr">
        <is>
          <t>No</t>
        </is>
      </c>
      <c r="J1451" t="inlineStr">
        <is>
          <t>0</t>
        </is>
      </c>
      <c r="K1451" t="inlineStr">
        <is>
          <t>Marmion, Columba, 1858-1923.</t>
        </is>
      </c>
      <c r="L1451" t="inlineStr">
        <is>
          <t>London ; Edinburgh [etc.] : Sands &amp; Co., [1934]</t>
        </is>
      </c>
      <c r="M1451" t="inlineStr">
        <is>
          <t>1934</t>
        </is>
      </c>
      <c r="O1451" t="inlineStr">
        <is>
          <t>eng</t>
        </is>
      </c>
      <c r="P1451" t="inlineStr">
        <is>
          <t>enk</t>
        </is>
      </c>
      <c r="R1451" t="inlineStr">
        <is>
          <t xml:space="preserve">BX </t>
        </is>
      </c>
      <c r="S1451" t="n">
        <v>1</v>
      </c>
      <c r="T1451" t="n">
        <v>1</v>
      </c>
      <c r="U1451" t="inlineStr">
        <is>
          <t>2010-07-26</t>
        </is>
      </c>
      <c r="V1451" t="inlineStr">
        <is>
          <t>2010-07-26</t>
        </is>
      </c>
      <c r="W1451" t="inlineStr">
        <is>
          <t>1991-10-28</t>
        </is>
      </c>
      <c r="X1451" t="inlineStr">
        <is>
          <t>1991-10-28</t>
        </is>
      </c>
      <c r="Y1451" t="n">
        <v>52</v>
      </c>
      <c r="Z1451" t="n">
        <v>36</v>
      </c>
      <c r="AA1451" t="n">
        <v>127</v>
      </c>
      <c r="AB1451" t="n">
        <v>1</v>
      </c>
      <c r="AC1451" t="n">
        <v>3</v>
      </c>
      <c r="AD1451" t="n">
        <v>7</v>
      </c>
      <c r="AE1451" t="n">
        <v>19</v>
      </c>
      <c r="AF1451" t="n">
        <v>0</v>
      </c>
      <c r="AG1451" t="n">
        <v>6</v>
      </c>
      <c r="AH1451" t="n">
        <v>3</v>
      </c>
      <c r="AI1451" t="n">
        <v>4</v>
      </c>
      <c r="AJ1451" t="n">
        <v>5</v>
      </c>
      <c r="AK1451" t="n">
        <v>15</v>
      </c>
      <c r="AL1451" t="n">
        <v>0</v>
      </c>
      <c r="AM1451" t="n">
        <v>0</v>
      </c>
      <c r="AN1451" t="n">
        <v>0</v>
      </c>
      <c r="AO1451" t="n">
        <v>0</v>
      </c>
      <c r="AP1451" t="inlineStr">
        <is>
          <t>No</t>
        </is>
      </c>
      <c r="AQ1451" t="inlineStr">
        <is>
          <t>No</t>
        </is>
      </c>
      <c r="AS1451">
        <f>HYPERLINK("https://creighton-primo.hosted.exlibrisgroup.com/primo-explore/search?tab=default_tab&amp;search_scope=EVERYTHING&amp;vid=01CRU&amp;lang=en_US&amp;offset=0&amp;query=any,contains,991000894389702656","Catalog Record")</f>
        <v/>
      </c>
      <c r="AT1451">
        <f>HYPERLINK("http://www.worldcat.org/oclc/13949136","WorldCat Record")</f>
        <v/>
      </c>
      <c r="AU1451" t="inlineStr">
        <is>
          <t>2973871403:eng</t>
        </is>
      </c>
      <c r="AV1451" t="inlineStr">
        <is>
          <t>13949136</t>
        </is>
      </c>
      <c r="AW1451" t="inlineStr">
        <is>
          <t>991000894389702656</t>
        </is>
      </c>
      <c r="AX1451" t="inlineStr">
        <is>
          <t>991000894389702656</t>
        </is>
      </c>
      <c r="AY1451" t="inlineStr">
        <is>
          <t>2256678850002656</t>
        </is>
      </c>
      <c r="AZ1451" t="inlineStr">
        <is>
          <t>BOOK</t>
        </is>
      </c>
      <c r="BC1451" t="inlineStr">
        <is>
          <t>32285000812825</t>
        </is>
      </c>
      <c r="BD1451" t="inlineStr">
        <is>
          <t>893432395</t>
        </is>
      </c>
    </row>
    <row r="1452">
      <c r="A1452" t="inlineStr">
        <is>
          <t>No</t>
        </is>
      </c>
      <c r="B1452" t="inlineStr">
        <is>
          <t>BX2350 .O52 1952</t>
        </is>
      </c>
      <c r="C1452" t="inlineStr">
        <is>
          <t>0                      BX 2350000O  52          1952</t>
        </is>
      </c>
      <c r="D1452" t="inlineStr">
        <is>
          <t>The secret of holiness / by Father James.</t>
        </is>
      </c>
      <c r="F1452" t="inlineStr">
        <is>
          <t>No</t>
        </is>
      </c>
      <c r="G1452" t="inlineStr">
        <is>
          <t>1</t>
        </is>
      </c>
      <c r="H1452" t="inlineStr">
        <is>
          <t>No</t>
        </is>
      </c>
      <c r="I1452" t="inlineStr">
        <is>
          <t>No</t>
        </is>
      </c>
      <c r="J1452" t="inlineStr">
        <is>
          <t>0</t>
        </is>
      </c>
      <c r="K1452" t="inlineStr">
        <is>
          <t>O'Mahony, James E. (James Edward), 1897-1962.</t>
        </is>
      </c>
      <c r="L1452" t="inlineStr">
        <is>
          <t>Westminster, Md. : Newman Press, 1952.</t>
        </is>
      </c>
      <c r="M1452" t="inlineStr">
        <is>
          <t>1952</t>
        </is>
      </c>
      <c r="O1452" t="inlineStr">
        <is>
          <t>eng</t>
        </is>
      </c>
      <c r="P1452" t="inlineStr">
        <is>
          <t>mdu</t>
        </is>
      </c>
      <c r="R1452" t="inlineStr">
        <is>
          <t xml:space="preserve">BX </t>
        </is>
      </c>
      <c r="S1452" t="n">
        <v>1</v>
      </c>
      <c r="T1452" t="n">
        <v>1</v>
      </c>
      <c r="U1452" t="inlineStr">
        <is>
          <t>2005-03-28</t>
        </is>
      </c>
      <c r="V1452" t="inlineStr">
        <is>
          <t>2005-03-28</t>
        </is>
      </c>
      <c r="W1452" t="inlineStr">
        <is>
          <t>1991-10-28</t>
        </is>
      </c>
      <c r="X1452" t="inlineStr">
        <is>
          <t>1991-10-28</t>
        </is>
      </c>
      <c r="Y1452" t="n">
        <v>51</v>
      </c>
      <c r="Z1452" t="n">
        <v>49</v>
      </c>
      <c r="AA1452" t="n">
        <v>50</v>
      </c>
      <c r="AB1452" t="n">
        <v>2</v>
      </c>
      <c r="AC1452" t="n">
        <v>2</v>
      </c>
      <c r="AD1452" t="n">
        <v>11</v>
      </c>
      <c r="AE1452" t="n">
        <v>12</v>
      </c>
      <c r="AF1452" t="n">
        <v>2</v>
      </c>
      <c r="AG1452" t="n">
        <v>2</v>
      </c>
      <c r="AH1452" t="n">
        <v>3</v>
      </c>
      <c r="AI1452" t="n">
        <v>4</v>
      </c>
      <c r="AJ1452" t="n">
        <v>8</v>
      </c>
      <c r="AK1452" t="n">
        <v>9</v>
      </c>
      <c r="AL1452" t="n">
        <v>0</v>
      </c>
      <c r="AM1452" t="n">
        <v>0</v>
      </c>
      <c r="AN1452" t="n">
        <v>0</v>
      </c>
      <c r="AO1452" t="n">
        <v>0</v>
      </c>
      <c r="AP1452" t="inlineStr">
        <is>
          <t>No</t>
        </is>
      </c>
      <c r="AQ1452" t="inlineStr">
        <is>
          <t>No</t>
        </is>
      </c>
      <c r="AS1452">
        <f>HYPERLINK("https://creighton-primo.hosted.exlibrisgroup.com/primo-explore/search?tab=default_tab&amp;search_scope=EVERYTHING&amp;vid=01CRU&amp;lang=en_US&amp;offset=0&amp;query=any,contains,991005106349702656","Catalog Record")</f>
        <v/>
      </c>
      <c r="AT1452">
        <f>HYPERLINK("http://www.worldcat.org/oclc/7339883","WorldCat Record")</f>
        <v/>
      </c>
      <c r="AU1452" t="inlineStr">
        <is>
          <t>22304531:eng</t>
        </is>
      </c>
      <c r="AV1452" t="inlineStr">
        <is>
          <t>7339883</t>
        </is>
      </c>
      <c r="AW1452" t="inlineStr">
        <is>
          <t>991005106349702656</t>
        </is>
      </c>
      <c r="AX1452" t="inlineStr">
        <is>
          <t>991005106349702656</t>
        </is>
      </c>
      <c r="AY1452" t="inlineStr">
        <is>
          <t>2269785250002656</t>
        </is>
      </c>
      <c r="AZ1452" t="inlineStr">
        <is>
          <t>BOOK</t>
        </is>
      </c>
      <c r="BC1452" t="inlineStr">
        <is>
          <t>32285000812940</t>
        </is>
      </c>
      <c r="BD1452" t="inlineStr">
        <is>
          <t>893600621</t>
        </is>
      </c>
    </row>
    <row r="1453">
      <c r="A1453" t="inlineStr">
        <is>
          <t>No</t>
        </is>
      </c>
      <c r="B1453" t="inlineStr">
        <is>
          <t>BX2350 .P534 1924</t>
        </is>
      </c>
      <c r="C1453" t="inlineStr">
        <is>
          <t>0                      BX 2350000P  534         1924</t>
        </is>
      </c>
      <c r="D1453" t="inlineStr">
        <is>
          <t>God within us / by Raoul Plus ; with a prefatory letter by Germain Foch ; done into English by Edith Cowell.</t>
        </is>
      </c>
      <c r="F1453" t="inlineStr">
        <is>
          <t>No</t>
        </is>
      </c>
      <c r="G1453" t="inlineStr">
        <is>
          <t>1</t>
        </is>
      </c>
      <c r="H1453" t="inlineStr">
        <is>
          <t>No</t>
        </is>
      </c>
      <c r="I1453" t="inlineStr">
        <is>
          <t>No</t>
        </is>
      </c>
      <c r="J1453" t="inlineStr">
        <is>
          <t>0</t>
        </is>
      </c>
      <c r="K1453" t="inlineStr">
        <is>
          <t>Plus, Raoul, 1882-1958.</t>
        </is>
      </c>
      <c r="L1453" t="inlineStr">
        <is>
          <t>New York : Kenedy, 1924.</t>
        </is>
      </c>
      <c r="M1453" t="inlineStr">
        <is>
          <t>1924</t>
        </is>
      </c>
      <c r="O1453" t="inlineStr">
        <is>
          <t>eng</t>
        </is>
      </c>
      <c r="P1453" t="inlineStr">
        <is>
          <t>nyu</t>
        </is>
      </c>
      <c r="R1453" t="inlineStr">
        <is>
          <t xml:space="preserve">BX </t>
        </is>
      </c>
      <c r="S1453" t="n">
        <v>2</v>
      </c>
      <c r="T1453" t="n">
        <v>2</v>
      </c>
      <c r="U1453" t="inlineStr">
        <is>
          <t>2006-06-12</t>
        </is>
      </c>
      <c r="V1453" t="inlineStr">
        <is>
          <t>2006-06-12</t>
        </is>
      </c>
      <c r="W1453" t="inlineStr">
        <is>
          <t>1991-10-28</t>
        </is>
      </c>
      <c r="X1453" t="inlineStr">
        <is>
          <t>1991-10-28</t>
        </is>
      </c>
      <c r="Y1453" t="n">
        <v>60</v>
      </c>
      <c r="Z1453" t="n">
        <v>56</v>
      </c>
      <c r="AA1453" t="n">
        <v>128</v>
      </c>
      <c r="AB1453" t="n">
        <v>1</v>
      </c>
      <c r="AC1453" t="n">
        <v>2</v>
      </c>
      <c r="AD1453" t="n">
        <v>16</v>
      </c>
      <c r="AE1453" t="n">
        <v>27</v>
      </c>
      <c r="AF1453" t="n">
        <v>5</v>
      </c>
      <c r="AG1453" t="n">
        <v>6</v>
      </c>
      <c r="AH1453" t="n">
        <v>3</v>
      </c>
      <c r="AI1453" t="n">
        <v>7</v>
      </c>
      <c r="AJ1453" t="n">
        <v>13</v>
      </c>
      <c r="AK1453" t="n">
        <v>23</v>
      </c>
      <c r="AL1453" t="n">
        <v>0</v>
      </c>
      <c r="AM1453" t="n">
        <v>0</v>
      </c>
      <c r="AN1453" t="n">
        <v>0</v>
      </c>
      <c r="AO1453" t="n">
        <v>0</v>
      </c>
      <c r="AP1453" t="inlineStr">
        <is>
          <t>No</t>
        </is>
      </c>
      <c r="AQ1453" t="inlineStr">
        <is>
          <t>No</t>
        </is>
      </c>
      <c r="AS1453">
        <f>HYPERLINK("https://creighton-primo.hosted.exlibrisgroup.com/primo-explore/search?tab=default_tab&amp;search_scope=EVERYTHING&amp;vid=01CRU&amp;lang=en_US&amp;offset=0&amp;query=any,contains,991000122169702656","Catalog Record")</f>
        <v/>
      </c>
      <c r="AT1453">
        <f>HYPERLINK("http://www.worldcat.org/oclc/9076724","WorldCat Record")</f>
        <v/>
      </c>
      <c r="AU1453" t="inlineStr">
        <is>
          <t>2348082:eng</t>
        </is>
      </c>
      <c r="AV1453" t="inlineStr">
        <is>
          <t>9076724</t>
        </is>
      </c>
      <c r="AW1453" t="inlineStr">
        <is>
          <t>991000122169702656</t>
        </is>
      </c>
      <c r="AX1453" t="inlineStr">
        <is>
          <t>991000122169702656</t>
        </is>
      </c>
      <c r="AY1453" t="inlineStr">
        <is>
          <t>2268828500002656</t>
        </is>
      </c>
      <c r="AZ1453" t="inlineStr">
        <is>
          <t>BOOK</t>
        </is>
      </c>
      <c r="BC1453" t="inlineStr">
        <is>
          <t>32285000813229</t>
        </is>
      </c>
      <c r="BD1453" t="inlineStr">
        <is>
          <t>893515031</t>
        </is>
      </c>
    </row>
    <row r="1454">
      <c r="A1454" t="inlineStr">
        <is>
          <t>No</t>
        </is>
      </c>
      <c r="B1454" t="inlineStr">
        <is>
          <t>BX2350 .S52 1956</t>
        </is>
      </c>
      <c r="C1454" t="inlineStr">
        <is>
          <t>0                      BX 2350000S  52          1956</t>
        </is>
      </c>
      <c r="D1454" t="inlineStr">
        <is>
          <t>Thoughts for daily living / by Fulton J. Sheen.</t>
        </is>
      </c>
      <c r="F1454" t="inlineStr">
        <is>
          <t>No</t>
        </is>
      </c>
      <c r="G1454" t="inlineStr">
        <is>
          <t>1</t>
        </is>
      </c>
      <c r="H1454" t="inlineStr">
        <is>
          <t>No</t>
        </is>
      </c>
      <c r="I1454" t="inlineStr">
        <is>
          <t>No</t>
        </is>
      </c>
      <c r="J1454" t="inlineStr">
        <is>
          <t>0</t>
        </is>
      </c>
      <c r="K1454" t="inlineStr">
        <is>
          <t>Sheen, Fulton J. (Fulton John), 1895-1979.</t>
        </is>
      </c>
      <c r="L1454" t="inlineStr">
        <is>
          <t>Garden City, N.Y. : Garden City Books, [1956]</t>
        </is>
      </c>
      <c r="M1454" t="inlineStr">
        <is>
          <t>1956</t>
        </is>
      </c>
      <c r="N1454" t="inlineStr">
        <is>
          <t>[1st ed.]</t>
        </is>
      </c>
      <c r="O1454" t="inlineStr">
        <is>
          <t>eng</t>
        </is>
      </c>
      <c r="P1454" t="inlineStr">
        <is>
          <t>nyu</t>
        </is>
      </c>
      <c r="R1454" t="inlineStr">
        <is>
          <t xml:space="preserve">BX </t>
        </is>
      </c>
      <c r="S1454" t="n">
        <v>3</v>
      </c>
      <c r="T1454" t="n">
        <v>3</v>
      </c>
      <c r="U1454" t="inlineStr">
        <is>
          <t>2008-06-13</t>
        </is>
      </c>
      <c r="V1454" t="inlineStr">
        <is>
          <t>2008-06-13</t>
        </is>
      </c>
      <c r="W1454" t="inlineStr">
        <is>
          <t>1991-10-28</t>
        </is>
      </c>
      <c r="X1454" t="inlineStr">
        <is>
          <t>1991-10-28</t>
        </is>
      </c>
      <c r="Y1454" t="n">
        <v>133</v>
      </c>
      <c r="Z1454" t="n">
        <v>126</v>
      </c>
      <c r="AA1454" t="n">
        <v>154</v>
      </c>
      <c r="AB1454" t="n">
        <v>2</v>
      </c>
      <c r="AC1454" t="n">
        <v>2</v>
      </c>
      <c r="AD1454" t="n">
        <v>10</v>
      </c>
      <c r="AE1454" t="n">
        <v>11</v>
      </c>
      <c r="AF1454" t="n">
        <v>1</v>
      </c>
      <c r="AG1454" t="n">
        <v>2</v>
      </c>
      <c r="AH1454" t="n">
        <v>4</v>
      </c>
      <c r="AI1454" t="n">
        <v>4</v>
      </c>
      <c r="AJ1454" t="n">
        <v>6</v>
      </c>
      <c r="AK1454" t="n">
        <v>6</v>
      </c>
      <c r="AL1454" t="n">
        <v>0</v>
      </c>
      <c r="AM1454" t="n">
        <v>0</v>
      </c>
      <c r="AN1454" t="n">
        <v>0</v>
      </c>
      <c r="AO1454" t="n">
        <v>0</v>
      </c>
      <c r="AP1454" t="inlineStr">
        <is>
          <t>No</t>
        </is>
      </c>
      <c r="AQ1454" t="inlineStr">
        <is>
          <t>Yes</t>
        </is>
      </c>
      <c r="AR1454">
        <f>HYPERLINK("http://catalog.hathitrust.org/Record/006017723","HathiTrust Record")</f>
        <v/>
      </c>
      <c r="AS1454">
        <f>HYPERLINK("https://creighton-primo.hosted.exlibrisgroup.com/primo-explore/search?tab=default_tab&amp;search_scope=EVERYTHING&amp;vid=01CRU&amp;lang=en_US&amp;offset=0&amp;query=any,contains,991003642549702656","Catalog Record")</f>
        <v/>
      </c>
      <c r="AT1454">
        <f>HYPERLINK("http://www.worldcat.org/oclc/1240735","WorldCat Record")</f>
        <v/>
      </c>
      <c r="AU1454" t="inlineStr">
        <is>
          <t>2908509486:eng</t>
        </is>
      </c>
      <c r="AV1454" t="inlineStr">
        <is>
          <t>1240735</t>
        </is>
      </c>
      <c r="AW1454" t="inlineStr">
        <is>
          <t>991003642549702656</t>
        </is>
      </c>
      <c r="AX1454" t="inlineStr">
        <is>
          <t>991003642549702656</t>
        </is>
      </c>
      <c r="AY1454" t="inlineStr">
        <is>
          <t>2257723170002656</t>
        </is>
      </c>
      <c r="AZ1454" t="inlineStr">
        <is>
          <t>BOOK</t>
        </is>
      </c>
      <c r="BC1454" t="inlineStr">
        <is>
          <t>32285000813013</t>
        </is>
      </c>
      <c r="BD1454" t="inlineStr">
        <is>
          <t>893900209</t>
        </is>
      </c>
    </row>
    <row r="1455">
      <c r="A1455" t="inlineStr">
        <is>
          <t>No</t>
        </is>
      </c>
      <c r="B1455" t="inlineStr">
        <is>
          <t>BX2350 .V15 1964</t>
        </is>
      </c>
      <c r="C1455" t="inlineStr">
        <is>
          <t>0                      BX 2350000V  15          1964</t>
        </is>
      </c>
      <c r="D1455" t="inlineStr">
        <is>
          <t>Religion and personality / [by] Adrian van Kaam.</t>
        </is>
      </c>
      <c r="F1455" t="inlineStr">
        <is>
          <t>No</t>
        </is>
      </c>
      <c r="G1455" t="inlineStr">
        <is>
          <t>1</t>
        </is>
      </c>
      <c r="H1455" t="inlineStr">
        <is>
          <t>No</t>
        </is>
      </c>
      <c r="I1455" t="inlineStr">
        <is>
          <t>No</t>
        </is>
      </c>
      <c r="J1455" t="inlineStr">
        <is>
          <t>0</t>
        </is>
      </c>
      <c r="K1455" t="inlineStr">
        <is>
          <t>Van Kaam, Adrian L., 1920-2007.</t>
        </is>
      </c>
      <c r="L1455" t="inlineStr">
        <is>
          <t>Englewood Cliffs, N.J. : Prentice-Hall, [1964]</t>
        </is>
      </c>
      <c r="M1455" t="inlineStr">
        <is>
          <t>1964</t>
        </is>
      </c>
      <c r="O1455" t="inlineStr">
        <is>
          <t>eng</t>
        </is>
      </c>
      <c r="P1455" t="inlineStr">
        <is>
          <t>nju</t>
        </is>
      </c>
      <c r="R1455" t="inlineStr">
        <is>
          <t xml:space="preserve">BX </t>
        </is>
      </c>
      <c r="S1455" t="n">
        <v>2</v>
      </c>
      <c r="T1455" t="n">
        <v>2</v>
      </c>
      <c r="U1455" t="inlineStr">
        <is>
          <t>1992-10-08</t>
        </is>
      </c>
      <c r="V1455" t="inlineStr">
        <is>
          <t>1992-10-08</t>
        </is>
      </c>
      <c r="W1455" t="inlineStr">
        <is>
          <t>1991-10-28</t>
        </is>
      </c>
      <c r="X1455" t="inlineStr">
        <is>
          <t>1991-10-28</t>
        </is>
      </c>
      <c r="Y1455" t="n">
        <v>475</v>
      </c>
      <c r="Z1455" t="n">
        <v>431</v>
      </c>
      <c r="AA1455" t="n">
        <v>517</v>
      </c>
      <c r="AB1455" t="n">
        <v>6</v>
      </c>
      <c r="AC1455" t="n">
        <v>6</v>
      </c>
      <c r="AD1455" t="n">
        <v>39</v>
      </c>
      <c r="AE1455" t="n">
        <v>42</v>
      </c>
      <c r="AF1455" t="n">
        <v>15</v>
      </c>
      <c r="AG1455" t="n">
        <v>16</v>
      </c>
      <c r="AH1455" t="n">
        <v>9</v>
      </c>
      <c r="AI1455" t="n">
        <v>9</v>
      </c>
      <c r="AJ1455" t="n">
        <v>24</v>
      </c>
      <c r="AK1455" t="n">
        <v>26</v>
      </c>
      <c r="AL1455" t="n">
        <v>4</v>
      </c>
      <c r="AM1455" t="n">
        <v>4</v>
      </c>
      <c r="AN1455" t="n">
        <v>0</v>
      </c>
      <c r="AO1455" t="n">
        <v>0</v>
      </c>
      <c r="AP1455" t="inlineStr">
        <is>
          <t>No</t>
        </is>
      </c>
      <c r="AQ1455" t="inlineStr">
        <is>
          <t>No</t>
        </is>
      </c>
      <c r="AS1455">
        <f>HYPERLINK("https://creighton-primo.hosted.exlibrisgroup.com/primo-explore/search?tab=default_tab&amp;search_scope=EVERYTHING&amp;vid=01CRU&amp;lang=en_US&amp;offset=0&amp;query=any,contains,991005254349702656","Catalog Record")</f>
        <v/>
      </c>
      <c r="AT1455">
        <f>HYPERLINK("http://www.worldcat.org/oclc/563563","WorldCat Record")</f>
        <v/>
      </c>
      <c r="AU1455" t="inlineStr">
        <is>
          <t>1644703:eng</t>
        </is>
      </c>
      <c r="AV1455" t="inlineStr">
        <is>
          <t>563563</t>
        </is>
      </c>
      <c r="AW1455" t="inlineStr">
        <is>
          <t>991005254349702656</t>
        </is>
      </c>
      <c r="AX1455" t="inlineStr">
        <is>
          <t>991005254349702656</t>
        </is>
      </c>
      <c r="AY1455" t="inlineStr">
        <is>
          <t>2255599100002656</t>
        </is>
      </c>
      <c r="AZ1455" t="inlineStr">
        <is>
          <t>BOOK</t>
        </is>
      </c>
      <c r="BC1455" t="inlineStr">
        <is>
          <t>32285000813070</t>
        </is>
      </c>
      <c r="BD1455" t="inlineStr">
        <is>
          <t>893254722</t>
        </is>
      </c>
    </row>
    <row r="1456">
      <c r="A1456" t="inlineStr">
        <is>
          <t>No</t>
        </is>
      </c>
      <c r="B1456" t="inlineStr">
        <is>
          <t>BX2350 .V224 1957</t>
        </is>
      </c>
      <c r="C1456" t="inlineStr">
        <is>
          <t>0                      BX 2350000V  224         1957</t>
        </is>
      </c>
      <c r="D1456" t="inlineStr">
        <is>
          <t>The inner search / by Hubert Van Zeller.</t>
        </is>
      </c>
      <c r="F1456" t="inlineStr">
        <is>
          <t>No</t>
        </is>
      </c>
      <c r="G1456" t="inlineStr">
        <is>
          <t>1</t>
        </is>
      </c>
      <c r="H1456" t="inlineStr">
        <is>
          <t>No</t>
        </is>
      </c>
      <c r="I1456" t="inlineStr">
        <is>
          <t>No</t>
        </is>
      </c>
      <c r="J1456" t="inlineStr">
        <is>
          <t>0</t>
        </is>
      </c>
      <c r="K1456" t="inlineStr">
        <is>
          <t>Van Zeller, Hubert, 1905-1984.</t>
        </is>
      </c>
      <c r="L1456" t="inlineStr">
        <is>
          <t>New York : Sheed and Ward, [1957]</t>
        </is>
      </c>
      <c r="M1456" t="inlineStr">
        <is>
          <t>1957</t>
        </is>
      </c>
      <c r="O1456" t="inlineStr">
        <is>
          <t>eng</t>
        </is>
      </c>
      <c r="P1456" t="inlineStr">
        <is>
          <t>nyu</t>
        </is>
      </c>
      <c r="R1456" t="inlineStr">
        <is>
          <t xml:space="preserve">BX </t>
        </is>
      </c>
      <c r="S1456" t="n">
        <v>0</v>
      </c>
      <c r="T1456" t="n">
        <v>0</v>
      </c>
      <c r="U1456" t="inlineStr">
        <is>
          <t>2005-08-29</t>
        </is>
      </c>
      <c r="V1456" t="inlineStr">
        <is>
          <t>2005-08-29</t>
        </is>
      </c>
      <c r="W1456" t="inlineStr">
        <is>
          <t>1991-10-28</t>
        </is>
      </c>
      <c r="X1456" t="inlineStr">
        <is>
          <t>1991-10-28</t>
        </is>
      </c>
      <c r="Y1456" t="n">
        <v>213</v>
      </c>
      <c r="Z1456" t="n">
        <v>191</v>
      </c>
      <c r="AA1456" t="n">
        <v>215</v>
      </c>
      <c r="AB1456" t="n">
        <v>1</v>
      </c>
      <c r="AC1456" t="n">
        <v>1</v>
      </c>
      <c r="AD1456" t="n">
        <v>30</v>
      </c>
      <c r="AE1456" t="n">
        <v>31</v>
      </c>
      <c r="AF1456" t="n">
        <v>9</v>
      </c>
      <c r="AG1456" t="n">
        <v>10</v>
      </c>
      <c r="AH1456" t="n">
        <v>8</v>
      </c>
      <c r="AI1456" t="n">
        <v>9</v>
      </c>
      <c r="AJ1456" t="n">
        <v>24</v>
      </c>
      <c r="AK1456" t="n">
        <v>24</v>
      </c>
      <c r="AL1456" t="n">
        <v>0</v>
      </c>
      <c r="AM1456" t="n">
        <v>0</v>
      </c>
      <c r="AN1456" t="n">
        <v>0</v>
      </c>
      <c r="AO1456" t="n">
        <v>0</v>
      </c>
      <c r="AP1456" t="inlineStr">
        <is>
          <t>No</t>
        </is>
      </c>
      <c r="AQ1456" t="inlineStr">
        <is>
          <t>Yes</t>
        </is>
      </c>
      <c r="AR1456">
        <f>HYPERLINK("http://catalog.hathitrust.org/Record/101667795","HathiTrust Record")</f>
        <v/>
      </c>
      <c r="AS1456">
        <f>HYPERLINK("https://creighton-primo.hosted.exlibrisgroup.com/primo-explore/search?tab=default_tab&amp;search_scope=EVERYTHING&amp;vid=01CRU&amp;lang=en_US&amp;offset=0&amp;query=any,contains,991003749239702656","Catalog Record")</f>
        <v/>
      </c>
      <c r="AT1456">
        <f>HYPERLINK("http://www.worldcat.org/oclc/1423252","WorldCat Record")</f>
        <v/>
      </c>
      <c r="AU1456" t="inlineStr">
        <is>
          <t>134865058:eng</t>
        </is>
      </c>
      <c r="AV1456" t="inlineStr">
        <is>
          <t>1423252</t>
        </is>
      </c>
      <c r="AW1456" t="inlineStr">
        <is>
          <t>991003749239702656</t>
        </is>
      </c>
      <c r="AX1456" t="inlineStr">
        <is>
          <t>991003749239702656</t>
        </is>
      </c>
      <c r="AY1456" t="inlineStr">
        <is>
          <t>2269713810002656</t>
        </is>
      </c>
      <c r="AZ1456" t="inlineStr">
        <is>
          <t>BOOK</t>
        </is>
      </c>
      <c r="BC1456" t="inlineStr">
        <is>
          <t>32285000813096</t>
        </is>
      </c>
      <c r="BD1456" t="inlineStr">
        <is>
          <t>893787699</t>
        </is>
      </c>
    </row>
    <row r="1457">
      <c r="A1457" t="inlineStr">
        <is>
          <t>No</t>
        </is>
      </c>
      <c r="B1457" t="inlineStr">
        <is>
          <t>BX2350 .V36 1954</t>
        </is>
      </c>
      <c r="C1457" t="inlineStr">
        <is>
          <t>0                      BX 2350000V  36          1954</t>
        </is>
      </c>
      <c r="D1457" t="inlineStr">
        <is>
          <t>The water and the fire.</t>
        </is>
      </c>
      <c r="F1457" t="inlineStr">
        <is>
          <t>No</t>
        </is>
      </c>
      <c r="G1457" t="inlineStr">
        <is>
          <t>1</t>
        </is>
      </c>
      <c r="H1457" t="inlineStr">
        <is>
          <t>No</t>
        </is>
      </c>
      <c r="I1457" t="inlineStr">
        <is>
          <t>No</t>
        </is>
      </c>
      <c r="J1457" t="inlineStr">
        <is>
          <t>0</t>
        </is>
      </c>
      <c r="K1457" t="inlineStr">
        <is>
          <t>Vann, Gerald, 1906-1963.</t>
        </is>
      </c>
      <c r="L1457" t="inlineStr">
        <is>
          <t>New York : Sheed and Ward, [c1954]</t>
        </is>
      </c>
      <c r="M1457" t="inlineStr">
        <is>
          <t>1954</t>
        </is>
      </c>
      <c r="O1457" t="inlineStr">
        <is>
          <t>eng</t>
        </is>
      </c>
      <c r="P1457" t="inlineStr">
        <is>
          <t>nyu</t>
        </is>
      </c>
      <c r="R1457" t="inlineStr">
        <is>
          <t xml:space="preserve">BX </t>
        </is>
      </c>
      <c r="S1457" t="n">
        <v>4</v>
      </c>
      <c r="T1457" t="n">
        <v>4</v>
      </c>
      <c r="U1457" t="inlineStr">
        <is>
          <t>2000-04-26</t>
        </is>
      </c>
      <c r="V1457" t="inlineStr">
        <is>
          <t>2000-04-26</t>
        </is>
      </c>
      <c r="W1457" t="inlineStr">
        <is>
          <t>1991-10-28</t>
        </is>
      </c>
      <c r="X1457" t="inlineStr">
        <is>
          <t>1991-10-28</t>
        </is>
      </c>
      <c r="Y1457" t="n">
        <v>147</v>
      </c>
      <c r="Z1457" t="n">
        <v>134</v>
      </c>
      <c r="AA1457" t="n">
        <v>206</v>
      </c>
      <c r="AB1457" t="n">
        <v>3</v>
      </c>
      <c r="AC1457" t="n">
        <v>4</v>
      </c>
      <c r="AD1457" t="n">
        <v>17</v>
      </c>
      <c r="AE1457" t="n">
        <v>24</v>
      </c>
      <c r="AF1457" t="n">
        <v>4</v>
      </c>
      <c r="AG1457" t="n">
        <v>7</v>
      </c>
      <c r="AH1457" t="n">
        <v>5</v>
      </c>
      <c r="AI1457" t="n">
        <v>7</v>
      </c>
      <c r="AJ1457" t="n">
        <v>12</v>
      </c>
      <c r="AK1457" t="n">
        <v>18</v>
      </c>
      <c r="AL1457" t="n">
        <v>1</v>
      </c>
      <c r="AM1457" t="n">
        <v>1</v>
      </c>
      <c r="AN1457" t="n">
        <v>0</v>
      </c>
      <c r="AO1457" t="n">
        <v>0</v>
      </c>
      <c r="AP1457" t="inlineStr">
        <is>
          <t>No</t>
        </is>
      </c>
      <c r="AQ1457" t="inlineStr">
        <is>
          <t>No</t>
        </is>
      </c>
      <c r="AS1457">
        <f>HYPERLINK("https://creighton-primo.hosted.exlibrisgroup.com/primo-explore/search?tab=default_tab&amp;search_scope=EVERYTHING&amp;vid=01CRU&amp;lang=en_US&amp;offset=0&amp;query=any,contains,991003477519702656","Catalog Record")</f>
        <v/>
      </c>
      <c r="AT1457">
        <f>HYPERLINK("http://www.worldcat.org/oclc/1022911","WorldCat Record")</f>
        <v/>
      </c>
      <c r="AU1457" t="inlineStr">
        <is>
          <t>1952278:eng</t>
        </is>
      </c>
      <c r="AV1457" t="inlineStr">
        <is>
          <t>1022911</t>
        </is>
      </c>
      <c r="AW1457" t="inlineStr">
        <is>
          <t>991003477519702656</t>
        </is>
      </c>
      <c r="AX1457" t="inlineStr">
        <is>
          <t>991003477519702656</t>
        </is>
      </c>
      <c r="AY1457" t="inlineStr">
        <is>
          <t>2272469530002656</t>
        </is>
      </c>
      <c r="AZ1457" t="inlineStr">
        <is>
          <t>BOOK</t>
        </is>
      </c>
      <c r="BC1457" t="inlineStr">
        <is>
          <t>32285000813138</t>
        </is>
      </c>
      <c r="BD1457" t="inlineStr">
        <is>
          <t>893868447</t>
        </is>
      </c>
    </row>
    <row r="1458">
      <c r="A1458" t="inlineStr">
        <is>
          <t>No</t>
        </is>
      </c>
      <c r="B1458" t="inlineStr">
        <is>
          <t>BX2350 .V52525 1995</t>
        </is>
      </c>
      <c r="C1458" t="inlineStr">
        <is>
          <t>0                      BX 2350000V  52525       1995</t>
        </is>
      </c>
      <c r="D1458" t="inlineStr">
        <is>
          <t>Vincent de Paul and Louise de Marillac : rules, conferences, and writings / edited by Frances Ryan and John E. Rybolt ; introduced by Hugh F. O'Donnell ... [et al.] ; preface by Amin A. de Tarrazi.</t>
        </is>
      </c>
      <c r="F1458" t="inlineStr">
        <is>
          <t>No</t>
        </is>
      </c>
      <c r="G1458" t="inlineStr">
        <is>
          <t>1</t>
        </is>
      </c>
      <c r="H1458" t="inlineStr">
        <is>
          <t>No</t>
        </is>
      </c>
      <c r="I1458" t="inlineStr">
        <is>
          <t>No</t>
        </is>
      </c>
      <c r="J1458" t="inlineStr">
        <is>
          <t>0</t>
        </is>
      </c>
      <c r="K1458" t="inlineStr">
        <is>
          <t>Vincent de Paul, Saint, 1581-1660.</t>
        </is>
      </c>
      <c r="L1458" t="inlineStr">
        <is>
          <t>New York : Paulist Press, c1995.</t>
        </is>
      </c>
      <c r="M1458" t="inlineStr">
        <is>
          <t>1995</t>
        </is>
      </c>
      <c r="O1458" t="inlineStr">
        <is>
          <t>eng</t>
        </is>
      </c>
      <c r="P1458" t="inlineStr">
        <is>
          <t>nyu</t>
        </is>
      </c>
      <c r="Q1458" t="inlineStr">
        <is>
          <t>The classics of Western spirituality</t>
        </is>
      </c>
      <c r="R1458" t="inlineStr">
        <is>
          <t xml:space="preserve">BX </t>
        </is>
      </c>
      <c r="S1458" t="n">
        <v>6</v>
      </c>
      <c r="T1458" t="n">
        <v>6</v>
      </c>
      <c r="U1458" t="inlineStr">
        <is>
          <t>2007-03-28</t>
        </is>
      </c>
      <c r="V1458" t="inlineStr">
        <is>
          <t>2007-03-28</t>
        </is>
      </c>
      <c r="W1458" t="inlineStr">
        <is>
          <t>1996-02-09</t>
        </is>
      </c>
      <c r="X1458" t="inlineStr">
        <is>
          <t>1996-02-09</t>
        </is>
      </c>
      <c r="Y1458" t="n">
        <v>508</v>
      </c>
      <c r="Z1458" t="n">
        <v>435</v>
      </c>
      <c r="AA1458" t="n">
        <v>437</v>
      </c>
      <c r="AB1458" t="n">
        <v>7</v>
      </c>
      <c r="AC1458" t="n">
        <v>7</v>
      </c>
      <c r="AD1458" t="n">
        <v>38</v>
      </c>
      <c r="AE1458" t="n">
        <v>38</v>
      </c>
      <c r="AF1458" t="n">
        <v>16</v>
      </c>
      <c r="AG1458" t="n">
        <v>16</v>
      </c>
      <c r="AH1458" t="n">
        <v>9</v>
      </c>
      <c r="AI1458" t="n">
        <v>9</v>
      </c>
      <c r="AJ1458" t="n">
        <v>20</v>
      </c>
      <c r="AK1458" t="n">
        <v>20</v>
      </c>
      <c r="AL1458" t="n">
        <v>4</v>
      </c>
      <c r="AM1458" t="n">
        <v>4</v>
      </c>
      <c r="AN1458" t="n">
        <v>0</v>
      </c>
      <c r="AO1458" t="n">
        <v>0</v>
      </c>
      <c r="AP1458" t="inlineStr">
        <is>
          <t>No</t>
        </is>
      </c>
      <c r="AQ1458" t="inlineStr">
        <is>
          <t>Yes</t>
        </is>
      </c>
      <c r="AR1458">
        <f>HYPERLINK("http://catalog.hathitrust.org/Record/003002489","HathiTrust Record")</f>
        <v/>
      </c>
      <c r="AS1458">
        <f>HYPERLINK("https://creighton-primo.hosted.exlibrisgroup.com/primo-explore/search?tab=default_tab&amp;search_scope=EVERYTHING&amp;vid=01CRU&amp;lang=en_US&amp;offset=0&amp;query=any,contains,991002450399702656","Catalog Record")</f>
        <v/>
      </c>
      <c r="AT1458">
        <f>HYPERLINK("http://www.worldcat.org/oclc/31969022","WorldCat Record")</f>
        <v/>
      </c>
      <c r="AU1458" t="inlineStr">
        <is>
          <t>1059102586:eng</t>
        </is>
      </c>
      <c r="AV1458" t="inlineStr">
        <is>
          <t>31969022</t>
        </is>
      </c>
      <c r="AW1458" t="inlineStr">
        <is>
          <t>991002450399702656</t>
        </is>
      </c>
      <c r="AX1458" t="inlineStr">
        <is>
          <t>991002450399702656</t>
        </is>
      </c>
      <c r="AY1458" t="inlineStr">
        <is>
          <t>2263092120002656</t>
        </is>
      </c>
      <c r="AZ1458" t="inlineStr">
        <is>
          <t>BOOK</t>
        </is>
      </c>
      <c r="BB1458" t="inlineStr">
        <is>
          <t>9780809104710</t>
        </is>
      </c>
      <c r="BC1458" t="inlineStr">
        <is>
          <t>32285002128774</t>
        </is>
      </c>
      <c r="BD1458" t="inlineStr">
        <is>
          <t>893232969</t>
        </is>
      </c>
    </row>
    <row r="1459">
      <c r="A1459" t="inlineStr">
        <is>
          <t>No</t>
        </is>
      </c>
      <c r="B1459" t="inlineStr">
        <is>
          <t>BX2350 .V59 1948</t>
        </is>
      </c>
      <c r="C1459" t="inlineStr">
        <is>
          <t>0                      BX 2350000V  59          1948</t>
        </is>
      </c>
      <c r="D1459" t="inlineStr">
        <is>
          <t>Transformation in Christ : on the Christian attitude of mind.</t>
        </is>
      </c>
      <c r="F1459" t="inlineStr">
        <is>
          <t>No</t>
        </is>
      </c>
      <c r="G1459" t="inlineStr">
        <is>
          <t>1</t>
        </is>
      </c>
      <c r="H1459" t="inlineStr">
        <is>
          <t>No</t>
        </is>
      </c>
      <c r="I1459" t="inlineStr">
        <is>
          <t>No</t>
        </is>
      </c>
      <c r="J1459" t="inlineStr">
        <is>
          <t>0</t>
        </is>
      </c>
      <c r="K1459" t="inlineStr">
        <is>
          <t>Von Hildebrand, Dietrich, 1889-1977.</t>
        </is>
      </c>
      <c r="L1459" t="inlineStr">
        <is>
          <t>New York : Longmans, Green, 1948.</t>
        </is>
      </c>
      <c r="M1459" t="inlineStr">
        <is>
          <t>1948</t>
        </is>
      </c>
      <c r="N1459" t="inlineStr">
        <is>
          <t>[1st ed.]</t>
        </is>
      </c>
      <c r="O1459" t="inlineStr">
        <is>
          <t>eng</t>
        </is>
      </c>
      <c r="P1459" t="inlineStr">
        <is>
          <t>___</t>
        </is>
      </c>
      <c r="R1459" t="inlineStr">
        <is>
          <t xml:space="preserve">BX </t>
        </is>
      </c>
      <c r="S1459" t="n">
        <v>6</v>
      </c>
      <c r="T1459" t="n">
        <v>6</v>
      </c>
      <c r="U1459" t="inlineStr">
        <is>
          <t>2008-05-29</t>
        </is>
      </c>
      <c r="V1459" t="inlineStr">
        <is>
          <t>2008-05-29</t>
        </is>
      </c>
      <c r="W1459" t="inlineStr">
        <is>
          <t>1991-10-28</t>
        </is>
      </c>
      <c r="X1459" t="inlineStr">
        <is>
          <t>1991-10-28</t>
        </is>
      </c>
      <c r="Y1459" t="n">
        <v>193</v>
      </c>
      <c r="Z1459" t="n">
        <v>176</v>
      </c>
      <c r="AA1459" t="n">
        <v>423</v>
      </c>
      <c r="AB1459" t="n">
        <v>1</v>
      </c>
      <c r="AC1459" t="n">
        <v>3</v>
      </c>
      <c r="AD1459" t="n">
        <v>24</v>
      </c>
      <c r="AE1459" t="n">
        <v>37</v>
      </c>
      <c r="AF1459" t="n">
        <v>8</v>
      </c>
      <c r="AG1459" t="n">
        <v>15</v>
      </c>
      <c r="AH1459" t="n">
        <v>7</v>
      </c>
      <c r="AI1459" t="n">
        <v>9</v>
      </c>
      <c r="AJ1459" t="n">
        <v>19</v>
      </c>
      <c r="AK1459" t="n">
        <v>26</v>
      </c>
      <c r="AL1459" t="n">
        <v>0</v>
      </c>
      <c r="AM1459" t="n">
        <v>0</v>
      </c>
      <c r="AN1459" t="n">
        <v>0</v>
      </c>
      <c r="AO1459" t="n">
        <v>0</v>
      </c>
      <c r="AP1459" t="inlineStr">
        <is>
          <t>No</t>
        </is>
      </c>
      <c r="AQ1459" t="inlineStr">
        <is>
          <t>Yes</t>
        </is>
      </c>
      <c r="AR1459">
        <f>HYPERLINK("http://catalog.hathitrust.org/Record/001590932","HathiTrust Record")</f>
        <v/>
      </c>
      <c r="AS1459">
        <f>HYPERLINK("https://creighton-primo.hosted.exlibrisgroup.com/primo-explore/search?tab=default_tab&amp;search_scope=EVERYTHING&amp;vid=01CRU&amp;lang=en_US&amp;offset=0&amp;query=any,contains,991003439489702656","Catalog Record")</f>
        <v/>
      </c>
      <c r="AT1459">
        <f>HYPERLINK("http://www.worldcat.org/oclc/975562","WorldCat Record")</f>
        <v/>
      </c>
      <c r="AU1459" t="inlineStr">
        <is>
          <t>4928277427:eng</t>
        </is>
      </c>
      <c r="AV1459" t="inlineStr">
        <is>
          <t>975562</t>
        </is>
      </c>
      <c r="AW1459" t="inlineStr">
        <is>
          <t>991003439489702656</t>
        </is>
      </c>
      <c r="AX1459" t="inlineStr">
        <is>
          <t>991003439489702656</t>
        </is>
      </c>
      <c r="AY1459" t="inlineStr">
        <is>
          <t>2257142090002656</t>
        </is>
      </c>
      <c r="AZ1459" t="inlineStr">
        <is>
          <t>BOOK</t>
        </is>
      </c>
      <c r="BC1459" t="inlineStr">
        <is>
          <t>32285000813153</t>
        </is>
      </c>
      <c r="BD1459" t="inlineStr">
        <is>
          <t>893317981</t>
        </is>
      </c>
    </row>
    <row r="1460">
      <c r="A1460" t="inlineStr">
        <is>
          <t>No</t>
        </is>
      </c>
      <c r="B1460" t="inlineStr">
        <is>
          <t>BX2350.2 .A38 1982</t>
        </is>
      </c>
      <c r="C1460" t="inlineStr">
        <is>
          <t>0                      BX 2350200A  38          1982</t>
        </is>
      </c>
      <c r="D1460" t="inlineStr">
        <is>
          <t>J. Alberione, thoughts : fragments of apostolic spirituality from his writings and talks / [Prepared by the Center of Pauline Spirituality. Presentation and introductory notes by John Roatta. English translation by Aloysius Milella.</t>
        </is>
      </c>
      <c r="F1460" t="inlineStr">
        <is>
          <t>No</t>
        </is>
      </c>
      <c r="G1460" t="inlineStr">
        <is>
          <t>1</t>
        </is>
      </c>
      <c r="H1460" t="inlineStr">
        <is>
          <t>No</t>
        </is>
      </c>
      <c r="I1460" t="inlineStr">
        <is>
          <t>No</t>
        </is>
      </c>
      <c r="J1460" t="inlineStr">
        <is>
          <t>0</t>
        </is>
      </c>
      <c r="K1460" t="inlineStr">
        <is>
          <t>Alberione, James, 1884-1971.</t>
        </is>
      </c>
      <c r="L1460" t="inlineStr">
        <is>
          <t>Boston] : St. Paul Editions, 1982, c1974.</t>
        </is>
      </c>
      <c r="M1460" t="inlineStr">
        <is>
          <t>1974</t>
        </is>
      </c>
      <c r="O1460" t="inlineStr">
        <is>
          <t>eng</t>
        </is>
      </c>
      <c r="P1460" t="inlineStr">
        <is>
          <t>mau</t>
        </is>
      </c>
      <c r="R1460" t="inlineStr">
        <is>
          <t xml:space="preserve">BX </t>
        </is>
      </c>
      <c r="S1460" t="n">
        <v>1</v>
      </c>
      <c r="T1460" t="n">
        <v>1</v>
      </c>
      <c r="U1460" t="inlineStr">
        <is>
          <t>1992-07-06</t>
        </is>
      </c>
      <c r="V1460" t="inlineStr">
        <is>
          <t>1992-07-06</t>
        </is>
      </c>
      <c r="W1460" t="inlineStr">
        <is>
          <t>1991-10-28</t>
        </is>
      </c>
      <c r="X1460" t="inlineStr">
        <is>
          <t>1991-10-28</t>
        </is>
      </c>
      <c r="Y1460" t="n">
        <v>15</v>
      </c>
      <c r="Z1460" t="n">
        <v>13</v>
      </c>
      <c r="AA1460" t="n">
        <v>13</v>
      </c>
      <c r="AB1460" t="n">
        <v>1</v>
      </c>
      <c r="AC1460" t="n">
        <v>1</v>
      </c>
      <c r="AD1460" t="n">
        <v>3</v>
      </c>
      <c r="AE1460" t="n">
        <v>3</v>
      </c>
      <c r="AF1460" t="n">
        <v>0</v>
      </c>
      <c r="AG1460" t="n">
        <v>0</v>
      </c>
      <c r="AH1460" t="n">
        <v>0</v>
      </c>
      <c r="AI1460" t="n">
        <v>0</v>
      </c>
      <c r="AJ1460" t="n">
        <v>3</v>
      </c>
      <c r="AK1460" t="n">
        <v>3</v>
      </c>
      <c r="AL1460" t="n">
        <v>0</v>
      </c>
      <c r="AM1460" t="n">
        <v>0</v>
      </c>
      <c r="AN1460" t="n">
        <v>0</v>
      </c>
      <c r="AO1460" t="n">
        <v>0</v>
      </c>
      <c r="AP1460" t="inlineStr">
        <is>
          <t>No</t>
        </is>
      </c>
      <c r="AQ1460" t="inlineStr">
        <is>
          <t>No</t>
        </is>
      </c>
      <c r="AS1460">
        <f>HYPERLINK("https://creighton-primo.hosted.exlibrisgroup.com/primo-explore/search?tab=default_tab&amp;search_scope=EVERYTHING&amp;vid=01CRU&amp;lang=en_US&amp;offset=0&amp;query=any,contains,991003368089702656","Catalog Record")</f>
        <v/>
      </c>
      <c r="AT1460">
        <f>HYPERLINK("http://www.worldcat.org/oclc/903452","WorldCat Record")</f>
        <v/>
      </c>
      <c r="AU1460" t="inlineStr">
        <is>
          <t>8913626984:eng</t>
        </is>
      </c>
      <c r="AV1460" t="inlineStr">
        <is>
          <t>903452</t>
        </is>
      </c>
      <c r="AW1460" t="inlineStr">
        <is>
          <t>991003368089702656</t>
        </is>
      </c>
      <c r="AX1460" t="inlineStr">
        <is>
          <t>991003368089702656</t>
        </is>
      </c>
      <c r="AY1460" t="inlineStr">
        <is>
          <t>2263128850002656</t>
        </is>
      </c>
      <c r="AZ1460" t="inlineStr">
        <is>
          <t>BOOK</t>
        </is>
      </c>
      <c r="BC1460" t="inlineStr">
        <is>
          <t>32285000813187</t>
        </is>
      </c>
      <c r="BD1460" t="inlineStr">
        <is>
          <t>893348618</t>
        </is>
      </c>
    </row>
    <row r="1461">
      <c r="A1461" t="inlineStr">
        <is>
          <t>No</t>
        </is>
      </c>
      <c r="B1461" t="inlineStr">
        <is>
          <t>BX2350.2 .A72 1996</t>
        </is>
      </c>
      <c r="C1461" t="inlineStr">
        <is>
          <t>0                      BX 2350200A  72          1996</t>
        </is>
      </c>
      <c r="D1461" t="inlineStr">
        <is>
          <t>From chaos to mission : refounding religious life formation / Gerald A. Arbuckle.</t>
        </is>
      </c>
      <c r="F1461" t="inlineStr">
        <is>
          <t>No</t>
        </is>
      </c>
      <c r="G1461" t="inlineStr">
        <is>
          <t>1</t>
        </is>
      </c>
      <c r="H1461" t="inlineStr">
        <is>
          <t>No</t>
        </is>
      </c>
      <c r="I1461" t="inlineStr">
        <is>
          <t>No</t>
        </is>
      </c>
      <c r="J1461" t="inlineStr">
        <is>
          <t>0</t>
        </is>
      </c>
      <c r="K1461" t="inlineStr">
        <is>
          <t>Arbuckle, Gerald A.</t>
        </is>
      </c>
      <c r="L1461" t="inlineStr">
        <is>
          <t>Collegeville, Minnesota : Liturgical Press, 1996.</t>
        </is>
      </c>
      <c r="M1461" t="inlineStr">
        <is>
          <t>1996</t>
        </is>
      </c>
      <c r="O1461" t="inlineStr">
        <is>
          <t>eng</t>
        </is>
      </c>
      <c r="P1461" t="inlineStr">
        <is>
          <t>mnu</t>
        </is>
      </c>
      <c r="R1461" t="inlineStr">
        <is>
          <t xml:space="preserve">BX </t>
        </is>
      </c>
      <c r="S1461" t="n">
        <v>2</v>
      </c>
      <c r="T1461" t="n">
        <v>2</v>
      </c>
      <c r="U1461" t="inlineStr">
        <is>
          <t>1997-06-21</t>
        </is>
      </c>
      <c r="V1461" t="inlineStr">
        <is>
          <t>1997-06-21</t>
        </is>
      </c>
      <c r="W1461" t="inlineStr">
        <is>
          <t>1997-05-20</t>
        </is>
      </c>
      <c r="X1461" t="inlineStr">
        <is>
          <t>1997-05-20</t>
        </is>
      </c>
      <c r="Y1461" t="n">
        <v>83</v>
      </c>
      <c r="Z1461" t="n">
        <v>63</v>
      </c>
      <c r="AA1461" t="n">
        <v>370</v>
      </c>
      <c r="AB1461" t="n">
        <v>2</v>
      </c>
      <c r="AC1461" t="n">
        <v>4</v>
      </c>
      <c r="AD1461" t="n">
        <v>6</v>
      </c>
      <c r="AE1461" t="n">
        <v>14</v>
      </c>
      <c r="AF1461" t="n">
        <v>1</v>
      </c>
      <c r="AG1461" t="n">
        <v>4</v>
      </c>
      <c r="AH1461" t="n">
        <v>1</v>
      </c>
      <c r="AI1461" t="n">
        <v>2</v>
      </c>
      <c r="AJ1461" t="n">
        <v>3</v>
      </c>
      <c r="AK1461" t="n">
        <v>7</v>
      </c>
      <c r="AL1461" t="n">
        <v>1</v>
      </c>
      <c r="AM1461" t="n">
        <v>3</v>
      </c>
      <c r="AN1461" t="n">
        <v>0</v>
      </c>
      <c r="AO1461" t="n">
        <v>0</v>
      </c>
      <c r="AP1461" t="inlineStr">
        <is>
          <t>No</t>
        </is>
      </c>
      <c r="AQ1461" t="inlineStr">
        <is>
          <t>No</t>
        </is>
      </c>
      <c r="AS1461">
        <f>HYPERLINK("https://creighton-primo.hosted.exlibrisgroup.com/primo-explore/search?tab=default_tab&amp;search_scope=EVERYTHING&amp;vid=01CRU&amp;lang=en_US&amp;offset=0&amp;query=any,contains,991002803279702656","Catalog Record")</f>
        <v/>
      </c>
      <c r="AT1461">
        <f>HYPERLINK("http://www.worldcat.org/oclc/36823552","WorldCat Record")</f>
        <v/>
      </c>
      <c r="AU1461" t="inlineStr">
        <is>
          <t>621548:eng</t>
        </is>
      </c>
      <c r="AV1461" t="inlineStr">
        <is>
          <t>36823552</t>
        </is>
      </c>
      <c r="AW1461" t="inlineStr">
        <is>
          <t>991002803279702656</t>
        </is>
      </c>
      <c r="AX1461" t="inlineStr">
        <is>
          <t>991002803279702656</t>
        </is>
      </c>
      <c r="AY1461" t="inlineStr">
        <is>
          <t>2268996830002656</t>
        </is>
      </c>
      <c r="AZ1461" t="inlineStr">
        <is>
          <t>BOOK</t>
        </is>
      </c>
      <c r="BB1461" t="inlineStr">
        <is>
          <t>9780814624630</t>
        </is>
      </c>
      <c r="BC1461" t="inlineStr">
        <is>
          <t>32285002609773</t>
        </is>
      </c>
      <c r="BD1461" t="inlineStr">
        <is>
          <t>893805058</t>
        </is>
      </c>
    </row>
    <row r="1462">
      <c r="A1462" t="inlineStr">
        <is>
          <t>No</t>
        </is>
      </c>
      <c r="B1462" t="inlineStr">
        <is>
          <t>BX2350.2 .A815 2000</t>
        </is>
      </c>
      <c r="C1462" t="inlineStr">
        <is>
          <t>0                      BX 2350200A  815         2000</t>
        </is>
      </c>
      <c r="D1462" t="inlineStr">
        <is>
          <t>The enduring heart : spirituality for the long haul / Wilkie Au.</t>
        </is>
      </c>
      <c r="F1462" t="inlineStr">
        <is>
          <t>No</t>
        </is>
      </c>
      <c r="G1462" t="inlineStr">
        <is>
          <t>1</t>
        </is>
      </c>
      <c r="H1462" t="inlineStr">
        <is>
          <t>No</t>
        </is>
      </c>
      <c r="I1462" t="inlineStr">
        <is>
          <t>No</t>
        </is>
      </c>
      <c r="J1462" t="inlineStr">
        <is>
          <t>0</t>
        </is>
      </c>
      <c r="K1462" t="inlineStr">
        <is>
          <t>Au, Wilkie, 1944-</t>
        </is>
      </c>
      <c r="L1462" t="inlineStr">
        <is>
          <t>New York : Paulist Press, c2000.</t>
        </is>
      </c>
      <c r="M1462" t="inlineStr">
        <is>
          <t>2000</t>
        </is>
      </c>
      <c r="O1462" t="inlineStr">
        <is>
          <t>eng</t>
        </is>
      </c>
      <c r="P1462" t="inlineStr">
        <is>
          <t>nyu</t>
        </is>
      </c>
      <c r="R1462" t="inlineStr">
        <is>
          <t xml:space="preserve">BX </t>
        </is>
      </c>
      <c r="S1462" t="n">
        <v>6</v>
      </c>
      <c r="T1462" t="n">
        <v>6</v>
      </c>
      <c r="U1462" t="inlineStr">
        <is>
          <t>2006-10-04</t>
        </is>
      </c>
      <c r="V1462" t="inlineStr">
        <is>
          <t>2006-10-04</t>
        </is>
      </c>
      <c r="W1462" t="inlineStr">
        <is>
          <t>2001-08-23</t>
        </is>
      </c>
      <c r="X1462" t="inlineStr">
        <is>
          <t>2001-08-23</t>
        </is>
      </c>
      <c r="Y1462" t="n">
        <v>115</v>
      </c>
      <c r="Z1462" t="n">
        <v>101</v>
      </c>
      <c r="AA1462" t="n">
        <v>118</v>
      </c>
      <c r="AB1462" t="n">
        <v>1</v>
      </c>
      <c r="AC1462" t="n">
        <v>1</v>
      </c>
      <c r="AD1462" t="n">
        <v>14</v>
      </c>
      <c r="AE1462" t="n">
        <v>14</v>
      </c>
      <c r="AF1462" t="n">
        <v>5</v>
      </c>
      <c r="AG1462" t="n">
        <v>5</v>
      </c>
      <c r="AH1462" t="n">
        <v>2</v>
      </c>
      <c r="AI1462" t="n">
        <v>2</v>
      </c>
      <c r="AJ1462" t="n">
        <v>12</v>
      </c>
      <c r="AK1462" t="n">
        <v>12</v>
      </c>
      <c r="AL1462" t="n">
        <v>0</v>
      </c>
      <c r="AM1462" t="n">
        <v>0</v>
      </c>
      <c r="AN1462" t="n">
        <v>0</v>
      </c>
      <c r="AO1462" t="n">
        <v>0</v>
      </c>
      <c r="AP1462" t="inlineStr">
        <is>
          <t>No</t>
        </is>
      </c>
      <c r="AQ1462" t="inlineStr">
        <is>
          <t>No</t>
        </is>
      </c>
      <c r="AS1462">
        <f>HYPERLINK("https://creighton-primo.hosted.exlibrisgroup.com/primo-explore/search?tab=default_tab&amp;search_scope=EVERYTHING&amp;vid=01CRU&amp;lang=en_US&amp;offset=0&amp;query=any,contains,991003575579702656","Catalog Record")</f>
        <v/>
      </c>
      <c r="AT1462">
        <f>HYPERLINK("http://www.worldcat.org/oclc/44019053","WorldCat Record")</f>
        <v/>
      </c>
      <c r="AU1462" t="inlineStr">
        <is>
          <t>4163707775:eng</t>
        </is>
      </c>
      <c r="AV1462" t="inlineStr">
        <is>
          <t>44019053</t>
        </is>
      </c>
      <c r="AW1462" t="inlineStr">
        <is>
          <t>991003575579702656</t>
        </is>
      </c>
      <c r="AX1462" t="inlineStr">
        <is>
          <t>991003575579702656</t>
        </is>
      </c>
      <c r="AY1462" t="inlineStr">
        <is>
          <t>2262467330002656</t>
        </is>
      </c>
      <c r="AZ1462" t="inlineStr">
        <is>
          <t>BOOK</t>
        </is>
      </c>
      <c r="BB1462" t="inlineStr">
        <is>
          <t>9780809105243</t>
        </is>
      </c>
      <c r="BC1462" t="inlineStr">
        <is>
          <t>32285004380233</t>
        </is>
      </c>
      <c r="BD1462" t="inlineStr">
        <is>
          <t>893617483</t>
        </is>
      </c>
    </row>
    <row r="1463">
      <c r="A1463" t="inlineStr">
        <is>
          <t>No</t>
        </is>
      </c>
      <c r="B1463" t="inlineStr">
        <is>
          <t>BX2350.2 .A82 1984</t>
        </is>
      </c>
      <c r="C1463" t="inlineStr">
        <is>
          <t>0                      BX 2350200A  82          1984</t>
        </is>
      </c>
      <c r="D1463" t="inlineStr">
        <is>
          <t>A God for a dark journey / by George A. Aschenbrenner.</t>
        </is>
      </c>
      <c r="F1463" t="inlineStr">
        <is>
          <t>No</t>
        </is>
      </c>
      <c r="G1463" t="inlineStr">
        <is>
          <t>1</t>
        </is>
      </c>
      <c r="H1463" t="inlineStr">
        <is>
          <t>No</t>
        </is>
      </c>
      <c r="I1463" t="inlineStr">
        <is>
          <t>No</t>
        </is>
      </c>
      <c r="J1463" t="inlineStr">
        <is>
          <t>0</t>
        </is>
      </c>
      <c r="K1463" t="inlineStr">
        <is>
          <t>Aschenbrenner, George A.</t>
        </is>
      </c>
      <c r="L1463" t="inlineStr">
        <is>
          <t>Denville, N.J. : Dimension Books, 1984.</t>
        </is>
      </c>
      <c r="M1463" t="inlineStr">
        <is>
          <t>1984</t>
        </is>
      </c>
      <c r="N1463" t="inlineStr">
        <is>
          <t>1st Amer. ed.</t>
        </is>
      </c>
      <c r="O1463" t="inlineStr">
        <is>
          <t>eng</t>
        </is>
      </c>
      <c r="P1463" t="inlineStr">
        <is>
          <t>nju</t>
        </is>
      </c>
      <c r="R1463" t="inlineStr">
        <is>
          <t xml:space="preserve">BX </t>
        </is>
      </c>
      <c r="S1463" t="n">
        <v>2</v>
      </c>
      <c r="T1463" t="n">
        <v>2</v>
      </c>
      <c r="U1463" t="inlineStr">
        <is>
          <t>1994-07-20</t>
        </is>
      </c>
      <c r="V1463" t="inlineStr">
        <is>
          <t>1994-07-20</t>
        </is>
      </c>
      <c r="W1463" t="inlineStr">
        <is>
          <t>1991-11-07</t>
        </is>
      </c>
      <c r="X1463" t="inlineStr">
        <is>
          <t>1991-11-07</t>
        </is>
      </c>
      <c r="Y1463" t="n">
        <v>83</v>
      </c>
      <c r="Z1463" t="n">
        <v>70</v>
      </c>
      <c r="AA1463" t="n">
        <v>70</v>
      </c>
      <c r="AB1463" t="n">
        <v>2</v>
      </c>
      <c r="AC1463" t="n">
        <v>2</v>
      </c>
      <c r="AD1463" t="n">
        <v>11</v>
      </c>
      <c r="AE1463" t="n">
        <v>11</v>
      </c>
      <c r="AF1463" t="n">
        <v>3</v>
      </c>
      <c r="AG1463" t="n">
        <v>3</v>
      </c>
      <c r="AH1463" t="n">
        <v>4</v>
      </c>
      <c r="AI1463" t="n">
        <v>4</v>
      </c>
      <c r="AJ1463" t="n">
        <v>9</v>
      </c>
      <c r="AK1463" t="n">
        <v>9</v>
      </c>
      <c r="AL1463" t="n">
        <v>0</v>
      </c>
      <c r="AM1463" t="n">
        <v>0</v>
      </c>
      <c r="AN1463" t="n">
        <v>0</v>
      </c>
      <c r="AO1463" t="n">
        <v>0</v>
      </c>
      <c r="AP1463" t="inlineStr">
        <is>
          <t>No</t>
        </is>
      </c>
      <c r="AQ1463" t="inlineStr">
        <is>
          <t>No</t>
        </is>
      </c>
      <c r="AS1463">
        <f>HYPERLINK("https://creighton-primo.hosted.exlibrisgroup.com/primo-explore/search?tab=default_tab&amp;search_scope=EVERYTHING&amp;vid=01CRU&amp;lang=en_US&amp;offset=0&amp;query=any,contains,991000396429702656","Catalog Record")</f>
        <v/>
      </c>
      <c r="AT1463">
        <f>HYPERLINK("http://www.worldcat.org/oclc/10593049","WorldCat Record")</f>
        <v/>
      </c>
      <c r="AU1463" t="inlineStr">
        <is>
          <t>3382244:eng</t>
        </is>
      </c>
      <c r="AV1463" t="inlineStr">
        <is>
          <t>10593049</t>
        </is>
      </c>
      <c r="AW1463" t="inlineStr">
        <is>
          <t>991000396429702656</t>
        </is>
      </c>
      <c r="AX1463" t="inlineStr">
        <is>
          <t>991000396429702656</t>
        </is>
      </c>
      <c r="AY1463" t="inlineStr">
        <is>
          <t>2268390570002656</t>
        </is>
      </c>
      <c r="AZ1463" t="inlineStr">
        <is>
          <t>BOOK</t>
        </is>
      </c>
      <c r="BB1463" t="inlineStr">
        <is>
          <t>9780871932112</t>
        </is>
      </c>
      <c r="BC1463" t="inlineStr">
        <is>
          <t>32285000815018</t>
        </is>
      </c>
      <c r="BD1463" t="inlineStr">
        <is>
          <t>893327255</t>
        </is>
      </c>
    </row>
    <row r="1464">
      <c r="A1464" t="inlineStr">
        <is>
          <t>No</t>
        </is>
      </c>
      <c r="B1464" t="inlineStr">
        <is>
          <t>BX2350.2 .B29 1997</t>
        </is>
      </c>
      <c r="C1464" t="inlineStr">
        <is>
          <t>0                      BX 2350200B  29          1997</t>
        </is>
      </c>
      <c r="D1464" t="inlineStr">
        <is>
          <t>Spirituality in action / James J. Bacik.</t>
        </is>
      </c>
      <c r="F1464" t="inlineStr">
        <is>
          <t>No</t>
        </is>
      </c>
      <c r="G1464" t="inlineStr">
        <is>
          <t>1</t>
        </is>
      </c>
      <c r="H1464" t="inlineStr">
        <is>
          <t>No</t>
        </is>
      </c>
      <c r="I1464" t="inlineStr">
        <is>
          <t>No</t>
        </is>
      </c>
      <c r="J1464" t="inlineStr">
        <is>
          <t>0</t>
        </is>
      </c>
      <c r="K1464" t="inlineStr">
        <is>
          <t>Bacik, James J., 1936-</t>
        </is>
      </c>
      <c r="L1464" t="inlineStr">
        <is>
          <t>Kansas City, MO : Sheed &amp; Ward, c1997.</t>
        </is>
      </c>
      <c r="M1464" t="inlineStr">
        <is>
          <t>1997</t>
        </is>
      </c>
      <c r="O1464" t="inlineStr">
        <is>
          <t>eng</t>
        </is>
      </c>
      <c r="P1464" t="inlineStr">
        <is>
          <t>mou</t>
        </is>
      </c>
      <c r="R1464" t="inlineStr">
        <is>
          <t xml:space="preserve">BX </t>
        </is>
      </c>
      <c r="S1464" t="n">
        <v>1</v>
      </c>
      <c r="T1464" t="n">
        <v>1</v>
      </c>
      <c r="U1464" t="inlineStr">
        <is>
          <t>2002-01-02</t>
        </is>
      </c>
      <c r="V1464" t="inlineStr">
        <is>
          <t>2002-01-02</t>
        </is>
      </c>
      <c r="W1464" t="inlineStr">
        <is>
          <t>1997-11-13</t>
        </is>
      </c>
      <c r="X1464" t="inlineStr">
        <is>
          <t>1997-11-13</t>
        </is>
      </c>
      <c r="Y1464" t="n">
        <v>79</v>
      </c>
      <c r="Z1464" t="n">
        <v>72</v>
      </c>
      <c r="AA1464" t="n">
        <v>72</v>
      </c>
      <c r="AB1464" t="n">
        <v>1</v>
      </c>
      <c r="AC1464" t="n">
        <v>1</v>
      </c>
      <c r="AD1464" t="n">
        <v>11</v>
      </c>
      <c r="AE1464" t="n">
        <v>11</v>
      </c>
      <c r="AF1464" t="n">
        <v>2</v>
      </c>
      <c r="AG1464" t="n">
        <v>2</v>
      </c>
      <c r="AH1464" t="n">
        <v>3</v>
      </c>
      <c r="AI1464" t="n">
        <v>3</v>
      </c>
      <c r="AJ1464" t="n">
        <v>10</v>
      </c>
      <c r="AK1464" t="n">
        <v>10</v>
      </c>
      <c r="AL1464" t="n">
        <v>0</v>
      </c>
      <c r="AM1464" t="n">
        <v>0</v>
      </c>
      <c r="AN1464" t="n">
        <v>0</v>
      </c>
      <c r="AO1464" t="n">
        <v>0</v>
      </c>
      <c r="AP1464" t="inlineStr">
        <is>
          <t>No</t>
        </is>
      </c>
      <c r="AQ1464" t="inlineStr">
        <is>
          <t>No</t>
        </is>
      </c>
      <c r="AS1464">
        <f>HYPERLINK("https://creighton-primo.hosted.exlibrisgroup.com/primo-explore/search?tab=default_tab&amp;search_scope=EVERYTHING&amp;vid=01CRU&amp;lang=en_US&amp;offset=0&amp;query=any,contains,991002821669702656","Catalog Record")</f>
        <v/>
      </c>
      <c r="AT1464">
        <f>HYPERLINK("http://www.worldcat.org/oclc/37132542","WorldCat Record")</f>
        <v/>
      </c>
      <c r="AU1464" t="inlineStr">
        <is>
          <t>666385:eng</t>
        </is>
      </c>
      <c r="AV1464" t="inlineStr">
        <is>
          <t>37132542</t>
        </is>
      </c>
      <c r="AW1464" t="inlineStr">
        <is>
          <t>991002821669702656</t>
        </is>
      </c>
      <c r="AX1464" t="inlineStr">
        <is>
          <t>991002821669702656</t>
        </is>
      </c>
      <c r="AY1464" t="inlineStr">
        <is>
          <t>2272434040002656</t>
        </is>
      </c>
      <c r="AZ1464" t="inlineStr">
        <is>
          <t>BOOK</t>
        </is>
      </c>
      <c r="BB1464" t="inlineStr">
        <is>
          <t>9781556129582</t>
        </is>
      </c>
      <c r="BC1464" t="inlineStr">
        <is>
          <t>32285003278677</t>
        </is>
      </c>
      <c r="BD1464" t="inlineStr">
        <is>
          <t>893530521</t>
        </is>
      </c>
    </row>
    <row r="1465">
      <c r="A1465" t="inlineStr">
        <is>
          <t>No</t>
        </is>
      </c>
      <c r="B1465" t="inlineStr">
        <is>
          <t>BX2350.2 .B3183 1969</t>
        </is>
      </c>
      <c r="C1465" t="inlineStr">
        <is>
          <t>0                      BX 2350200B  3183        1969</t>
        </is>
      </c>
      <c r="D1465" t="inlineStr">
        <is>
          <t>The moment of Christian witness / by Hans Urs von Balthasar. Translated by Richard Beckley.</t>
        </is>
      </c>
      <c r="F1465" t="inlineStr">
        <is>
          <t>No</t>
        </is>
      </c>
      <c r="G1465" t="inlineStr">
        <is>
          <t>1</t>
        </is>
      </c>
      <c r="H1465" t="inlineStr">
        <is>
          <t>No</t>
        </is>
      </c>
      <c r="I1465" t="inlineStr">
        <is>
          <t>No</t>
        </is>
      </c>
      <c r="J1465" t="inlineStr">
        <is>
          <t>0</t>
        </is>
      </c>
      <c r="K1465" t="inlineStr">
        <is>
          <t>Balthasar, Hans Urs von, 1905-1988.</t>
        </is>
      </c>
      <c r="L1465" t="inlineStr">
        <is>
          <t>Glen Rock, N.J. : Newman Press, [1969]</t>
        </is>
      </c>
      <c r="M1465" t="inlineStr">
        <is>
          <t>1969</t>
        </is>
      </c>
      <c r="O1465" t="inlineStr">
        <is>
          <t>eng</t>
        </is>
      </c>
      <c r="P1465" t="inlineStr">
        <is>
          <t>nju</t>
        </is>
      </c>
      <c r="R1465" t="inlineStr">
        <is>
          <t xml:space="preserve">BX </t>
        </is>
      </c>
      <c r="S1465" t="n">
        <v>7</v>
      </c>
      <c r="T1465" t="n">
        <v>7</v>
      </c>
      <c r="U1465" t="inlineStr">
        <is>
          <t>1996-05-14</t>
        </is>
      </c>
      <c r="V1465" t="inlineStr">
        <is>
          <t>1996-05-14</t>
        </is>
      </c>
      <c r="W1465" t="inlineStr">
        <is>
          <t>1992-09-28</t>
        </is>
      </c>
      <c r="X1465" t="inlineStr">
        <is>
          <t>1992-09-28</t>
        </is>
      </c>
      <c r="Y1465" t="n">
        <v>163</v>
      </c>
      <c r="Z1465" t="n">
        <v>146</v>
      </c>
      <c r="AA1465" t="n">
        <v>220</v>
      </c>
      <c r="AB1465" t="n">
        <v>1</v>
      </c>
      <c r="AC1465" t="n">
        <v>1</v>
      </c>
      <c r="AD1465" t="n">
        <v>20</v>
      </c>
      <c r="AE1465" t="n">
        <v>25</v>
      </c>
      <c r="AF1465" t="n">
        <v>7</v>
      </c>
      <c r="AG1465" t="n">
        <v>11</v>
      </c>
      <c r="AH1465" t="n">
        <v>8</v>
      </c>
      <c r="AI1465" t="n">
        <v>8</v>
      </c>
      <c r="AJ1465" t="n">
        <v>14</v>
      </c>
      <c r="AK1465" t="n">
        <v>18</v>
      </c>
      <c r="AL1465" t="n">
        <v>0</v>
      </c>
      <c r="AM1465" t="n">
        <v>0</v>
      </c>
      <c r="AN1465" t="n">
        <v>0</v>
      </c>
      <c r="AO1465" t="n">
        <v>0</v>
      </c>
      <c r="AP1465" t="inlineStr">
        <is>
          <t>No</t>
        </is>
      </c>
      <c r="AQ1465" t="inlineStr">
        <is>
          <t>No</t>
        </is>
      </c>
      <c r="AS1465">
        <f>HYPERLINK("https://creighton-primo.hosted.exlibrisgroup.com/primo-explore/search?tab=default_tab&amp;search_scope=EVERYTHING&amp;vid=01CRU&amp;lang=en_US&amp;offset=0&amp;query=any,contains,991005434899702656","Catalog Record")</f>
        <v/>
      </c>
      <c r="AT1465">
        <f>HYPERLINK("http://www.worldcat.org/oclc/2667","WorldCat Record")</f>
        <v/>
      </c>
      <c r="AU1465" t="inlineStr">
        <is>
          <t>48536005:eng</t>
        </is>
      </c>
      <c r="AV1465" t="inlineStr">
        <is>
          <t>2667</t>
        </is>
      </c>
      <c r="AW1465" t="inlineStr">
        <is>
          <t>991005434899702656</t>
        </is>
      </c>
      <c r="AX1465" t="inlineStr">
        <is>
          <t>991005434899702656</t>
        </is>
      </c>
      <c r="AY1465" t="inlineStr">
        <is>
          <t>2262733800002656</t>
        </is>
      </c>
      <c r="AZ1465" t="inlineStr">
        <is>
          <t>BOOK</t>
        </is>
      </c>
      <c r="BC1465" t="inlineStr">
        <is>
          <t>32285001321321</t>
        </is>
      </c>
      <c r="BD1465" t="inlineStr">
        <is>
          <t>893628769</t>
        </is>
      </c>
    </row>
    <row r="1466">
      <c r="A1466" t="inlineStr">
        <is>
          <t>No</t>
        </is>
      </c>
      <c r="B1466" t="inlineStr">
        <is>
          <t>BX2350.2 .B3248 1999</t>
        </is>
      </c>
      <c r="C1466" t="inlineStr">
        <is>
          <t>0                      BX 2350200B  3248        1999</t>
        </is>
      </c>
      <c r="D1466" t="inlineStr">
        <is>
          <t>With an everlasting love : developing an intimate relationship with God / William A. Barry.</t>
        </is>
      </c>
      <c r="F1466" t="inlineStr">
        <is>
          <t>No</t>
        </is>
      </c>
      <c r="G1466" t="inlineStr">
        <is>
          <t>1</t>
        </is>
      </c>
      <c r="H1466" t="inlineStr">
        <is>
          <t>No</t>
        </is>
      </c>
      <c r="I1466" t="inlineStr">
        <is>
          <t>No</t>
        </is>
      </c>
      <c r="J1466" t="inlineStr">
        <is>
          <t>0</t>
        </is>
      </c>
      <c r="K1466" t="inlineStr">
        <is>
          <t>Barry, William A.</t>
        </is>
      </c>
      <c r="L1466" t="inlineStr">
        <is>
          <t>New York : Paulist Press, c1999.</t>
        </is>
      </c>
      <c r="M1466" t="inlineStr">
        <is>
          <t>1999</t>
        </is>
      </c>
      <c r="O1466" t="inlineStr">
        <is>
          <t>eng</t>
        </is>
      </c>
      <c r="P1466" t="inlineStr">
        <is>
          <t>nyu</t>
        </is>
      </c>
      <c r="R1466" t="inlineStr">
        <is>
          <t xml:space="preserve">BX </t>
        </is>
      </c>
      <c r="S1466" t="n">
        <v>6</v>
      </c>
      <c r="T1466" t="n">
        <v>6</v>
      </c>
      <c r="U1466" t="inlineStr">
        <is>
          <t>2008-03-13</t>
        </is>
      </c>
      <c r="V1466" t="inlineStr">
        <is>
          <t>2008-03-13</t>
        </is>
      </c>
      <c r="W1466" t="inlineStr">
        <is>
          <t>2002-08-12</t>
        </is>
      </c>
      <c r="X1466" t="inlineStr">
        <is>
          <t>2002-08-12</t>
        </is>
      </c>
      <c r="Y1466" t="n">
        <v>92</v>
      </c>
      <c r="Z1466" t="n">
        <v>77</v>
      </c>
      <c r="AA1466" t="n">
        <v>82</v>
      </c>
      <c r="AB1466" t="n">
        <v>1</v>
      </c>
      <c r="AC1466" t="n">
        <v>1</v>
      </c>
      <c r="AD1466" t="n">
        <v>11</v>
      </c>
      <c r="AE1466" t="n">
        <v>11</v>
      </c>
      <c r="AF1466" t="n">
        <v>2</v>
      </c>
      <c r="AG1466" t="n">
        <v>2</v>
      </c>
      <c r="AH1466" t="n">
        <v>2</v>
      </c>
      <c r="AI1466" t="n">
        <v>2</v>
      </c>
      <c r="AJ1466" t="n">
        <v>9</v>
      </c>
      <c r="AK1466" t="n">
        <v>9</v>
      </c>
      <c r="AL1466" t="n">
        <v>0</v>
      </c>
      <c r="AM1466" t="n">
        <v>0</v>
      </c>
      <c r="AN1466" t="n">
        <v>0</v>
      </c>
      <c r="AO1466" t="n">
        <v>0</v>
      </c>
      <c r="AP1466" t="inlineStr">
        <is>
          <t>No</t>
        </is>
      </c>
      <c r="AQ1466" t="inlineStr">
        <is>
          <t>No</t>
        </is>
      </c>
      <c r="AS1466">
        <f>HYPERLINK("https://creighton-primo.hosted.exlibrisgroup.com/primo-explore/search?tab=default_tab&amp;search_scope=EVERYTHING&amp;vid=01CRU&amp;lang=en_US&amp;offset=0&amp;query=any,contains,991003855439702656","Catalog Record")</f>
        <v/>
      </c>
      <c r="AT1466">
        <f>HYPERLINK("http://www.worldcat.org/oclc/41880323","WorldCat Record")</f>
        <v/>
      </c>
      <c r="AU1466" t="inlineStr">
        <is>
          <t>27276692:eng</t>
        </is>
      </c>
      <c r="AV1466" t="inlineStr">
        <is>
          <t>41880323</t>
        </is>
      </c>
      <c r="AW1466" t="inlineStr">
        <is>
          <t>991003855439702656</t>
        </is>
      </c>
      <c r="AX1466" t="inlineStr">
        <is>
          <t>991003855439702656</t>
        </is>
      </c>
      <c r="AY1466" t="inlineStr">
        <is>
          <t>2258318790002656</t>
        </is>
      </c>
      <c r="AZ1466" t="inlineStr">
        <is>
          <t>BOOK</t>
        </is>
      </c>
      <c r="BB1466" t="inlineStr">
        <is>
          <t>9780809138920</t>
        </is>
      </c>
      <c r="BC1466" t="inlineStr">
        <is>
          <t>32285004642715</t>
        </is>
      </c>
      <c r="BD1466" t="inlineStr">
        <is>
          <t>893240675</t>
        </is>
      </c>
    </row>
    <row r="1467">
      <c r="A1467" t="inlineStr">
        <is>
          <t>No</t>
        </is>
      </c>
      <c r="B1467" t="inlineStr">
        <is>
          <t>BX2350.2 .B38 1983</t>
        </is>
      </c>
      <c r="C1467" t="inlineStr">
        <is>
          <t>0                      BX 2350200B  38          1983</t>
        </is>
      </c>
      <c r="D1467" t="inlineStr">
        <is>
          <t>Life in abundance : a contemporary spirituality / Francis Baur.</t>
        </is>
      </c>
      <c r="F1467" t="inlineStr">
        <is>
          <t>No</t>
        </is>
      </c>
      <c r="G1467" t="inlineStr">
        <is>
          <t>1</t>
        </is>
      </c>
      <c r="H1467" t="inlineStr">
        <is>
          <t>No</t>
        </is>
      </c>
      <c r="I1467" t="inlineStr">
        <is>
          <t>No</t>
        </is>
      </c>
      <c r="J1467" t="inlineStr">
        <is>
          <t>0</t>
        </is>
      </c>
      <c r="K1467" t="inlineStr">
        <is>
          <t>Baur, Francis.</t>
        </is>
      </c>
      <c r="L1467" t="inlineStr">
        <is>
          <t>New York : Paulist Press, c1983.</t>
        </is>
      </c>
      <c r="M1467" t="inlineStr">
        <is>
          <t>1983</t>
        </is>
      </c>
      <c r="O1467" t="inlineStr">
        <is>
          <t>eng</t>
        </is>
      </c>
      <c r="P1467" t="inlineStr">
        <is>
          <t>nyu</t>
        </is>
      </c>
      <c r="R1467" t="inlineStr">
        <is>
          <t xml:space="preserve">BX </t>
        </is>
      </c>
      <c r="S1467" t="n">
        <v>2</v>
      </c>
      <c r="T1467" t="n">
        <v>2</v>
      </c>
      <c r="U1467" t="inlineStr">
        <is>
          <t>1996-07-17</t>
        </is>
      </c>
      <c r="V1467" t="inlineStr">
        <is>
          <t>1996-07-17</t>
        </is>
      </c>
      <c r="W1467" t="inlineStr">
        <is>
          <t>1991-10-29</t>
        </is>
      </c>
      <c r="X1467" t="inlineStr">
        <is>
          <t>1991-10-29</t>
        </is>
      </c>
      <c r="Y1467" t="n">
        <v>117</v>
      </c>
      <c r="Z1467" t="n">
        <v>99</v>
      </c>
      <c r="AA1467" t="n">
        <v>99</v>
      </c>
      <c r="AB1467" t="n">
        <v>1</v>
      </c>
      <c r="AC1467" t="n">
        <v>1</v>
      </c>
      <c r="AD1467" t="n">
        <v>15</v>
      </c>
      <c r="AE1467" t="n">
        <v>15</v>
      </c>
      <c r="AF1467" t="n">
        <v>4</v>
      </c>
      <c r="AG1467" t="n">
        <v>4</v>
      </c>
      <c r="AH1467" t="n">
        <v>3</v>
      </c>
      <c r="AI1467" t="n">
        <v>3</v>
      </c>
      <c r="AJ1467" t="n">
        <v>12</v>
      </c>
      <c r="AK1467" t="n">
        <v>12</v>
      </c>
      <c r="AL1467" t="n">
        <v>0</v>
      </c>
      <c r="AM1467" t="n">
        <v>0</v>
      </c>
      <c r="AN1467" t="n">
        <v>0</v>
      </c>
      <c r="AO1467" t="n">
        <v>0</v>
      </c>
      <c r="AP1467" t="inlineStr">
        <is>
          <t>No</t>
        </is>
      </c>
      <c r="AQ1467" t="inlineStr">
        <is>
          <t>No</t>
        </is>
      </c>
      <c r="AS1467">
        <f>HYPERLINK("https://creighton-primo.hosted.exlibrisgroup.com/primo-explore/search?tab=default_tab&amp;search_scope=EVERYTHING&amp;vid=01CRU&amp;lang=en_US&amp;offset=0&amp;query=any,contains,991000193449702656","Catalog Record")</f>
        <v/>
      </c>
      <c r="AT1467">
        <f>HYPERLINK("http://www.worldcat.org/oclc/9421148","WorldCat Record")</f>
        <v/>
      </c>
      <c r="AU1467" t="inlineStr">
        <is>
          <t>43718881:eng</t>
        </is>
      </c>
      <c r="AV1467" t="inlineStr">
        <is>
          <t>9421148</t>
        </is>
      </c>
      <c r="AW1467" t="inlineStr">
        <is>
          <t>991000193449702656</t>
        </is>
      </c>
      <c r="AX1467" t="inlineStr">
        <is>
          <t>991000193449702656</t>
        </is>
      </c>
      <c r="AY1467" t="inlineStr">
        <is>
          <t>2259404730002656</t>
        </is>
      </c>
      <c r="AZ1467" t="inlineStr">
        <is>
          <t>BOOK</t>
        </is>
      </c>
      <c r="BB1467" t="inlineStr">
        <is>
          <t>9780809125074</t>
        </is>
      </c>
      <c r="BC1467" t="inlineStr">
        <is>
          <t>32285000813252</t>
        </is>
      </c>
      <c r="BD1467" t="inlineStr">
        <is>
          <t>893714401</t>
        </is>
      </c>
    </row>
    <row r="1468">
      <c r="A1468" t="inlineStr">
        <is>
          <t>No</t>
        </is>
      </c>
      <c r="B1468" t="inlineStr">
        <is>
          <t>BX2350.2 .B7 1983</t>
        </is>
      </c>
      <c r="C1468" t="inlineStr">
        <is>
          <t>0                      BX 2350200B  7           1983</t>
        </is>
      </c>
      <c r="D1468" t="inlineStr">
        <is>
          <t>Reflective living : a spiritual approach to everyday living / Claire M. Brissette.</t>
        </is>
      </c>
      <c r="F1468" t="inlineStr">
        <is>
          <t>No</t>
        </is>
      </c>
      <c r="G1468" t="inlineStr">
        <is>
          <t>1</t>
        </is>
      </c>
      <c r="H1468" t="inlineStr">
        <is>
          <t>No</t>
        </is>
      </c>
      <c r="I1468" t="inlineStr">
        <is>
          <t>No</t>
        </is>
      </c>
      <c r="J1468" t="inlineStr">
        <is>
          <t>0</t>
        </is>
      </c>
      <c r="K1468" t="inlineStr">
        <is>
          <t>Brissette, Claire M.</t>
        </is>
      </c>
      <c r="L1468" t="inlineStr">
        <is>
          <t>Whitinsville, Mass. : Affirmation Books, [c1983]</t>
        </is>
      </c>
      <c r="M1468" t="inlineStr">
        <is>
          <t>1983</t>
        </is>
      </c>
      <c r="N1468" t="inlineStr">
        <is>
          <t>1st ed.</t>
        </is>
      </c>
      <c r="O1468" t="inlineStr">
        <is>
          <t>eng</t>
        </is>
      </c>
      <c r="P1468" t="inlineStr">
        <is>
          <t>mau</t>
        </is>
      </c>
      <c r="R1468" t="inlineStr">
        <is>
          <t xml:space="preserve">BX </t>
        </is>
      </c>
      <c r="S1468" t="n">
        <v>4</v>
      </c>
      <c r="T1468" t="n">
        <v>4</v>
      </c>
      <c r="U1468" t="inlineStr">
        <is>
          <t>2002-07-21</t>
        </is>
      </c>
      <c r="V1468" t="inlineStr">
        <is>
          <t>2002-07-21</t>
        </is>
      </c>
      <c r="W1468" t="inlineStr">
        <is>
          <t>1991-07-11</t>
        </is>
      </c>
      <c r="X1468" t="inlineStr">
        <is>
          <t>1991-07-11</t>
        </is>
      </c>
      <c r="Y1468" t="n">
        <v>43</v>
      </c>
      <c r="Z1468" t="n">
        <v>38</v>
      </c>
      <c r="AA1468" t="n">
        <v>38</v>
      </c>
      <c r="AB1468" t="n">
        <v>1</v>
      </c>
      <c r="AC1468" t="n">
        <v>1</v>
      </c>
      <c r="AD1468" t="n">
        <v>6</v>
      </c>
      <c r="AE1468" t="n">
        <v>6</v>
      </c>
      <c r="AF1468" t="n">
        <v>0</v>
      </c>
      <c r="AG1468" t="n">
        <v>0</v>
      </c>
      <c r="AH1468" t="n">
        <v>0</v>
      </c>
      <c r="AI1468" t="n">
        <v>0</v>
      </c>
      <c r="AJ1468" t="n">
        <v>6</v>
      </c>
      <c r="AK1468" t="n">
        <v>6</v>
      </c>
      <c r="AL1468" t="n">
        <v>0</v>
      </c>
      <c r="AM1468" t="n">
        <v>0</v>
      </c>
      <c r="AN1468" t="n">
        <v>0</v>
      </c>
      <c r="AO1468" t="n">
        <v>0</v>
      </c>
      <c r="AP1468" t="inlineStr">
        <is>
          <t>No</t>
        </is>
      </c>
      <c r="AQ1468" t="inlineStr">
        <is>
          <t>No</t>
        </is>
      </c>
      <c r="AS1468">
        <f>HYPERLINK("https://creighton-primo.hosted.exlibrisgroup.com/primo-explore/search?tab=default_tab&amp;search_scope=EVERYTHING&amp;vid=01CRU&amp;lang=en_US&amp;offset=0&amp;query=any,contains,991000331949702656","Catalog Record")</f>
        <v/>
      </c>
      <c r="AT1468">
        <f>HYPERLINK("http://www.worldcat.org/oclc/10207594","WorldCat Record")</f>
        <v/>
      </c>
      <c r="AU1468" t="inlineStr">
        <is>
          <t>2875497:eng</t>
        </is>
      </c>
      <c r="AV1468" t="inlineStr">
        <is>
          <t>10207594</t>
        </is>
      </c>
      <c r="AW1468" t="inlineStr">
        <is>
          <t>991000331949702656</t>
        </is>
      </c>
      <c r="AX1468" t="inlineStr">
        <is>
          <t>991000331949702656</t>
        </is>
      </c>
      <c r="AY1468" t="inlineStr">
        <is>
          <t>2264966450002656</t>
        </is>
      </c>
      <c r="AZ1468" t="inlineStr">
        <is>
          <t>BOOK</t>
        </is>
      </c>
      <c r="BB1468" t="inlineStr">
        <is>
          <t>9780895710192</t>
        </is>
      </c>
      <c r="BC1468" t="inlineStr">
        <is>
          <t>32285000637750</t>
        </is>
      </c>
      <c r="BD1468" t="inlineStr">
        <is>
          <t>893796566</t>
        </is>
      </c>
    </row>
    <row r="1469">
      <c r="A1469" t="inlineStr">
        <is>
          <t>No</t>
        </is>
      </c>
      <c r="B1469" t="inlineStr">
        <is>
          <t>BX2350.2 .B78 1997</t>
        </is>
      </c>
      <c r="C1469" t="inlineStr">
        <is>
          <t>0                      BX 2350200B  78          1997</t>
        </is>
      </c>
      <c r="D1469" t="inlineStr">
        <is>
          <t>A shepherd speaks / Fabian Bruskewitz.</t>
        </is>
      </c>
      <c r="F1469" t="inlineStr">
        <is>
          <t>No</t>
        </is>
      </c>
      <c r="G1469" t="inlineStr">
        <is>
          <t>1</t>
        </is>
      </c>
      <c r="H1469" t="inlineStr">
        <is>
          <t>No</t>
        </is>
      </c>
      <c r="I1469" t="inlineStr">
        <is>
          <t>No</t>
        </is>
      </c>
      <c r="J1469" t="inlineStr">
        <is>
          <t>0</t>
        </is>
      </c>
      <c r="K1469" t="inlineStr">
        <is>
          <t>Bruskewitz, Fabian W.</t>
        </is>
      </c>
      <c r="L1469" t="inlineStr">
        <is>
          <t>San Francisco : Ignatius Press, c1997.</t>
        </is>
      </c>
      <c r="M1469" t="inlineStr">
        <is>
          <t>1997</t>
        </is>
      </c>
      <c r="O1469" t="inlineStr">
        <is>
          <t>eng</t>
        </is>
      </c>
      <c r="P1469" t="inlineStr">
        <is>
          <t>cau</t>
        </is>
      </c>
      <c r="R1469" t="inlineStr">
        <is>
          <t xml:space="preserve">BX </t>
        </is>
      </c>
      <c r="S1469" t="n">
        <v>3</v>
      </c>
      <c r="T1469" t="n">
        <v>3</v>
      </c>
      <c r="U1469" t="inlineStr">
        <is>
          <t>2008-07-21</t>
        </is>
      </c>
      <c r="V1469" t="inlineStr">
        <is>
          <t>2008-07-21</t>
        </is>
      </c>
      <c r="W1469" t="inlineStr">
        <is>
          <t>1997-12-23</t>
        </is>
      </c>
      <c r="X1469" t="inlineStr">
        <is>
          <t>1997-12-23</t>
        </is>
      </c>
      <c r="Y1469" t="n">
        <v>71</v>
      </c>
      <c r="Z1469" t="n">
        <v>69</v>
      </c>
      <c r="AA1469" t="n">
        <v>69</v>
      </c>
      <c r="AB1469" t="n">
        <v>7</v>
      </c>
      <c r="AC1469" t="n">
        <v>7</v>
      </c>
      <c r="AD1469" t="n">
        <v>11</v>
      </c>
      <c r="AE1469" t="n">
        <v>11</v>
      </c>
      <c r="AF1469" t="n">
        <v>1</v>
      </c>
      <c r="AG1469" t="n">
        <v>1</v>
      </c>
      <c r="AH1469" t="n">
        <v>3</v>
      </c>
      <c r="AI1469" t="n">
        <v>3</v>
      </c>
      <c r="AJ1469" t="n">
        <v>6</v>
      </c>
      <c r="AK1469" t="n">
        <v>6</v>
      </c>
      <c r="AL1469" t="n">
        <v>2</v>
      </c>
      <c r="AM1469" t="n">
        <v>2</v>
      </c>
      <c r="AN1469" t="n">
        <v>0</v>
      </c>
      <c r="AO1469" t="n">
        <v>0</v>
      </c>
      <c r="AP1469" t="inlineStr">
        <is>
          <t>No</t>
        </is>
      </c>
      <c r="AQ1469" t="inlineStr">
        <is>
          <t>No</t>
        </is>
      </c>
      <c r="AS1469">
        <f>HYPERLINK("https://creighton-primo.hosted.exlibrisgroup.com/primo-explore/search?tab=default_tab&amp;search_scope=EVERYTHING&amp;vid=01CRU&amp;lang=en_US&amp;offset=0&amp;query=any,contains,991002887039702656","Catalog Record")</f>
        <v/>
      </c>
      <c r="AT1469">
        <f>HYPERLINK("http://www.worldcat.org/oclc/38045334","WorldCat Record")</f>
        <v/>
      </c>
      <c r="AU1469" t="inlineStr">
        <is>
          <t>652262:eng</t>
        </is>
      </c>
      <c r="AV1469" t="inlineStr">
        <is>
          <t>38045334</t>
        </is>
      </c>
      <c r="AW1469" t="inlineStr">
        <is>
          <t>991002887039702656</t>
        </is>
      </c>
      <c r="AX1469" t="inlineStr">
        <is>
          <t>991002887039702656</t>
        </is>
      </c>
      <c r="AY1469" t="inlineStr">
        <is>
          <t>2258388580002656</t>
        </is>
      </c>
      <c r="AZ1469" t="inlineStr">
        <is>
          <t>BOOK</t>
        </is>
      </c>
      <c r="BB1469" t="inlineStr">
        <is>
          <t>9780898706260</t>
        </is>
      </c>
      <c r="BC1469" t="inlineStr">
        <is>
          <t>32285003284261</t>
        </is>
      </c>
      <c r="BD1469" t="inlineStr">
        <is>
          <t>893793057</t>
        </is>
      </c>
    </row>
    <row r="1470">
      <c r="A1470" t="inlineStr">
        <is>
          <t>No</t>
        </is>
      </c>
      <c r="B1470" t="inlineStr">
        <is>
          <t>BX2350.2 .B795 2000</t>
        </is>
      </c>
      <c r="C1470" t="inlineStr">
        <is>
          <t>0                      BX 2350200B  795         2000</t>
        </is>
      </c>
      <c r="D1470" t="inlineStr">
        <is>
          <t>Growing in the church : from birth to death / Francis J. Buckley.</t>
        </is>
      </c>
      <c r="F1470" t="inlineStr">
        <is>
          <t>No</t>
        </is>
      </c>
      <c r="G1470" t="inlineStr">
        <is>
          <t>1</t>
        </is>
      </c>
      <c r="H1470" t="inlineStr">
        <is>
          <t>No</t>
        </is>
      </c>
      <c r="I1470" t="inlineStr">
        <is>
          <t>No</t>
        </is>
      </c>
      <c r="J1470" t="inlineStr">
        <is>
          <t>0</t>
        </is>
      </c>
      <c r="K1470" t="inlineStr">
        <is>
          <t>Buckley, Francis J., 1928-2013.</t>
        </is>
      </c>
      <c r="L1470" t="inlineStr">
        <is>
          <t>Lanham, Md. : University Press of America, c2000.</t>
        </is>
      </c>
      <c r="M1470" t="inlineStr">
        <is>
          <t>2000</t>
        </is>
      </c>
      <c r="O1470" t="inlineStr">
        <is>
          <t>eng</t>
        </is>
      </c>
      <c r="P1470" t="inlineStr">
        <is>
          <t>mdu</t>
        </is>
      </c>
      <c r="R1470" t="inlineStr">
        <is>
          <t xml:space="preserve">BX </t>
        </is>
      </c>
      <c r="S1470" t="n">
        <v>3</v>
      </c>
      <c r="T1470" t="n">
        <v>3</v>
      </c>
      <c r="U1470" t="inlineStr">
        <is>
          <t>2007-08-13</t>
        </is>
      </c>
      <c r="V1470" t="inlineStr">
        <is>
          <t>2007-08-13</t>
        </is>
      </c>
      <c r="W1470" t="inlineStr">
        <is>
          <t>2000-11-07</t>
        </is>
      </c>
      <c r="X1470" t="inlineStr">
        <is>
          <t>2000-11-07</t>
        </is>
      </c>
      <c r="Y1470" t="n">
        <v>89</v>
      </c>
      <c r="Z1470" t="n">
        <v>80</v>
      </c>
      <c r="AA1470" t="n">
        <v>80</v>
      </c>
      <c r="AB1470" t="n">
        <v>2</v>
      </c>
      <c r="AC1470" t="n">
        <v>2</v>
      </c>
      <c r="AD1470" t="n">
        <v>13</v>
      </c>
      <c r="AE1470" t="n">
        <v>13</v>
      </c>
      <c r="AF1470" t="n">
        <v>2</v>
      </c>
      <c r="AG1470" t="n">
        <v>2</v>
      </c>
      <c r="AH1470" t="n">
        <v>4</v>
      </c>
      <c r="AI1470" t="n">
        <v>4</v>
      </c>
      <c r="AJ1470" t="n">
        <v>9</v>
      </c>
      <c r="AK1470" t="n">
        <v>9</v>
      </c>
      <c r="AL1470" t="n">
        <v>1</v>
      </c>
      <c r="AM1470" t="n">
        <v>1</v>
      </c>
      <c r="AN1470" t="n">
        <v>0</v>
      </c>
      <c r="AO1470" t="n">
        <v>0</v>
      </c>
      <c r="AP1470" t="inlineStr">
        <is>
          <t>No</t>
        </is>
      </c>
      <c r="AQ1470" t="inlineStr">
        <is>
          <t>No</t>
        </is>
      </c>
      <c r="AS1470">
        <f>HYPERLINK("https://creighton-primo.hosted.exlibrisgroup.com/primo-explore/search?tab=default_tab&amp;search_scope=EVERYTHING&amp;vid=01CRU&amp;lang=en_US&amp;offset=0&amp;query=any,contains,991003315679702656","Catalog Record")</f>
        <v/>
      </c>
      <c r="AT1470">
        <f>HYPERLINK("http://www.worldcat.org/oclc/43728907","WorldCat Record")</f>
        <v/>
      </c>
      <c r="AU1470" t="inlineStr">
        <is>
          <t>891745904:eng</t>
        </is>
      </c>
      <c r="AV1470" t="inlineStr">
        <is>
          <t>43728907</t>
        </is>
      </c>
      <c r="AW1470" t="inlineStr">
        <is>
          <t>991003315679702656</t>
        </is>
      </c>
      <c r="AX1470" t="inlineStr">
        <is>
          <t>991003315679702656</t>
        </is>
      </c>
      <c r="AY1470" t="inlineStr">
        <is>
          <t>2270359500002656</t>
        </is>
      </c>
      <c r="AZ1470" t="inlineStr">
        <is>
          <t>BOOK</t>
        </is>
      </c>
      <c r="BB1470" t="inlineStr">
        <is>
          <t>9780761816805</t>
        </is>
      </c>
      <c r="BC1470" t="inlineStr">
        <is>
          <t>32285004263769</t>
        </is>
      </c>
      <c r="BD1470" t="inlineStr">
        <is>
          <t>893258307</t>
        </is>
      </c>
    </row>
    <row r="1471">
      <c r="A1471" t="inlineStr">
        <is>
          <t>No</t>
        </is>
      </c>
      <c r="B1471" t="inlineStr">
        <is>
          <t>BX2350.2 .B865 1981</t>
        </is>
      </c>
      <c r="C1471" t="inlineStr">
        <is>
          <t>0                      BX 2350200B  865         1981</t>
        </is>
      </c>
      <c r="D1471" t="inlineStr">
        <is>
          <t>To believe in Jesus / [by] Ruth Burrows.</t>
        </is>
      </c>
      <c r="F1471" t="inlineStr">
        <is>
          <t>No</t>
        </is>
      </c>
      <c r="G1471" t="inlineStr">
        <is>
          <t>1</t>
        </is>
      </c>
      <c r="H1471" t="inlineStr">
        <is>
          <t>No</t>
        </is>
      </c>
      <c r="I1471" t="inlineStr">
        <is>
          <t>No</t>
        </is>
      </c>
      <c r="J1471" t="inlineStr">
        <is>
          <t>0</t>
        </is>
      </c>
      <c r="K1471" t="inlineStr">
        <is>
          <t>Burrows, Ruth.</t>
        </is>
      </c>
      <c r="L1471" t="inlineStr">
        <is>
          <t>Denville, N.J. : Dimension Books, 1981.</t>
        </is>
      </c>
      <c r="M1471" t="inlineStr">
        <is>
          <t>1981</t>
        </is>
      </c>
      <c r="N1471" t="inlineStr">
        <is>
          <t>1st American ed.</t>
        </is>
      </c>
      <c r="O1471" t="inlineStr">
        <is>
          <t>eng</t>
        </is>
      </c>
      <c r="P1471" t="inlineStr">
        <is>
          <t>nju</t>
        </is>
      </c>
      <c r="R1471" t="inlineStr">
        <is>
          <t xml:space="preserve">BX </t>
        </is>
      </c>
      <c r="S1471" t="n">
        <v>5</v>
      </c>
      <c r="T1471" t="n">
        <v>5</v>
      </c>
      <c r="U1471" t="inlineStr">
        <is>
          <t>2007-10-17</t>
        </is>
      </c>
      <c r="V1471" t="inlineStr">
        <is>
          <t>2007-10-17</t>
        </is>
      </c>
      <c r="W1471" t="inlineStr">
        <is>
          <t>1990-03-27</t>
        </is>
      </c>
      <c r="X1471" t="inlineStr">
        <is>
          <t>1990-03-27</t>
        </is>
      </c>
      <c r="Y1471" t="n">
        <v>52</v>
      </c>
      <c r="Z1471" t="n">
        <v>44</v>
      </c>
      <c r="AA1471" t="n">
        <v>270</v>
      </c>
      <c r="AB1471" t="n">
        <v>2</v>
      </c>
      <c r="AC1471" t="n">
        <v>3</v>
      </c>
      <c r="AD1471" t="n">
        <v>7</v>
      </c>
      <c r="AE1471" t="n">
        <v>13</v>
      </c>
      <c r="AF1471" t="n">
        <v>0</v>
      </c>
      <c r="AG1471" t="n">
        <v>1</v>
      </c>
      <c r="AH1471" t="n">
        <v>2</v>
      </c>
      <c r="AI1471" t="n">
        <v>4</v>
      </c>
      <c r="AJ1471" t="n">
        <v>6</v>
      </c>
      <c r="AK1471" t="n">
        <v>8</v>
      </c>
      <c r="AL1471" t="n">
        <v>0</v>
      </c>
      <c r="AM1471" t="n">
        <v>1</v>
      </c>
      <c r="AN1471" t="n">
        <v>0</v>
      </c>
      <c r="AO1471" t="n">
        <v>0</v>
      </c>
      <c r="AP1471" t="inlineStr">
        <is>
          <t>No</t>
        </is>
      </c>
      <c r="AQ1471" t="inlineStr">
        <is>
          <t>No</t>
        </is>
      </c>
      <c r="AS1471">
        <f>HYPERLINK("https://creighton-primo.hosted.exlibrisgroup.com/primo-explore/search?tab=default_tab&amp;search_scope=EVERYTHING&amp;vid=01CRU&amp;lang=en_US&amp;offset=0&amp;query=any,contains,991000021219702656","Catalog Record")</f>
        <v/>
      </c>
      <c r="AT1471">
        <f>HYPERLINK("http://www.worldcat.org/oclc/8571307","WorldCat Record")</f>
        <v/>
      </c>
      <c r="AU1471" t="inlineStr">
        <is>
          <t>20998860:eng</t>
        </is>
      </c>
      <c r="AV1471" t="inlineStr">
        <is>
          <t>8571307</t>
        </is>
      </c>
      <c r="AW1471" t="inlineStr">
        <is>
          <t>991000021219702656</t>
        </is>
      </c>
      <c r="AX1471" t="inlineStr">
        <is>
          <t>991000021219702656</t>
        </is>
      </c>
      <c r="AY1471" t="inlineStr">
        <is>
          <t>2257138750002656</t>
        </is>
      </c>
      <c r="AZ1471" t="inlineStr">
        <is>
          <t>BOOK</t>
        </is>
      </c>
      <c r="BB1471" t="inlineStr">
        <is>
          <t>9780871931542</t>
        </is>
      </c>
      <c r="BC1471" t="inlineStr">
        <is>
          <t>32285000098482</t>
        </is>
      </c>
      <c r="BD1471" t="inlineStr">
        <is>
          <t>893777601</t>
        </is>
      </c>
    </row>
    <row r="1472">
      <c r="A1472" t="inlineStr">
        <is>
          <t>No</t>
        </is>
      </c>
      <c r="B1472" t="inlineStr">
        <is>
          <t>BX2350.2 .B875 1980</t>
        </is>
      </c>
      <c r="C1472" t="inlineStr">
        <is>
          <t>0                      BX 2350200B  875         1980</t>
        </is>
      </c>
      <c r="D1472" t="inlineStr">
        <is>
          <t>The examined life / by Robert E. Burns ; [with a foreword by Martin E. Marty].</t>
        </is>
      </c>
      <c r="F1472" t="inlineStr">
        <is>
          <t>No</t>
        </is>
      </c>
      <c r="G1472" t="inlineStr">
        <is>
          <t>1</t>
        </is>
      </c>
      <c r="H1472" t="inlineStr">
        <is>
          <t>No</t>
        </is>
      </c>
      <c r="I1472" t="inlineStr">
        <is>
          <t>No</t>
        </is>
      </c>
      <c r="J1472" t="inlineStr">
        <is>
          <t>0</t>
        </is>
      </c>
      <c r="K1472" t="inlineStr">
        <is>
          <t>Burns, Robert E., 1927-</t>
        </is>
      </c>
      <c r="L1472" t="inlineStr">
        <is>
          <t>Chicago, IL : The Thomas More Press, c1980.</t>
        </is>
      </c>
      <c r="M1472" t="inlineStr">
        <is>
          <t>1980</t>
        </is>
      </c>
      <c r="O1472" t="inlineStr">
        <is>
          <t>eng</t>
        </is>
      </c>
      <c r="P1472" t="inlineStr">
        <is>
          <t>ilu</t>
        </is>
      </c>
      <c r="R1472" t="inlineStr">
        <is>
          <t xml:space="preserve">BX </t>
        </is>
      </c>
      <c r="S1472" t="n">
        <v>1</v>
      </c>
      <c r="T1472" t="n">
        <v>1</v>
      </c>
      <c r="U1472" t="inlineStr">
        <is>
          <t>2009-07-28</t>
        </is>
      </c>
      <c r="V1472" t="inlineStr">
        <is>
          <t>2009-07-28</t>
        </is>
      </c>
      <c r="W1472" t="inlineStr">
        <is>
          <t>2009-07-27</t>
        </is>
      </c>
      <c r="X1472" t="inlineStr">
        <is>
          <t>2009-07-27</t>
        </is>
      </c>
      <c r="Y1472" t="n">
        <v>73</v>
      </c>
      <c r="Z1472" t="n">
        <v>68</v>
      </c>
      <c r="AA1472" t="n">
        <v>68</v>
      </c>
      <c r="AB1472" t="n">
        <v>3</v>
      </c>
      <c r="AC1472" t="n">
        <v>3</v>
      </c>
      <c r="AD1472" t="n">
        <v>10</v>
      </c>
      <c r="AE1472" t="n">
        <v>10</v>
      </c>
      <c r="AF1472" t="n">
        <v>3</v>
      </c>
      <c r="AG1472" t="n">
        <v>3</v>
      </c>
      <c r="AH1472" t="n">
        <v>1</v>
      </c>
      <c r="AI1472" t="n">
        <v>1</v>
      </c>
      <c r="AJ1472" t="n">
        <v>8</v>
      </c>
      <c r="AK1472" t="n">
        <v>8</v>
      </c>
      <c r="AL1472" t="n">
        <v>1</v>
      </c>
      <c r="AM1472" t="n">
        <v>1</v>
      </c>
      <c r="AN1472" t="n">
        <v>0</v>
      </c>
      <c r="AO1472" t="n">
        <v>0</v>
      </c>
      <c r="AP1472" t="inlineStr">
        <is>
          <t>No</t>
        </is>
      </c>
      <c r="AQ1472" t="inlineStr">
        <is>
          <t>No</t>
        </is>
      </c>
      <c r="AS1472">
        <f>HYPERLINK("https://creighton-primo.hosted.exlibrisgroup.com/primo-explore/search?tab=default_tab&amp;search_scope=EVERYTHING&amp;vid=01CRU&amp;lang=en_US&amp;offset=0&amp;query=any,contains,991005328109702656","Catalog Record")</f>
        <v/>
      </c>
      <c r="AT1472">
        <f>HYPERLINK("http://www.worldcat.org/oclc/6946291","WorldCat Record")</f>
        <v/>
      </c>
      <c r="AU1472" t="inlineStr">
        <is>
          <t>25217968:eng</t>
        </is>
      </c>
      <c r="AV1472" t="inlineStr">
        <is>
          <t>6946291</t>
        </is>
      </c>
      <c r="AW1472" t="inlineStr">
        <is>
          <t>991005328109702656</t>
        </is>
      </c>
      <c r="AX1472" t="inlineStr">
        <is>
          <t>991005328109702656</t>
        </is>
      </c>
      <c r="AY1472" t="inlineStr">
        <is>
          <t>2255752920002656</t>
        </is>
      </c>
      <c r="AZ1472" t="inlineStr">
        <is>
          <t>BOOK</t>
        </is>
      </c>
      <c r="BB1472" t="inlineStr">
        <is>
          <t>9780883471210</t>
        </is>
      </c>
      <c r="BC1472" t="inlineStr">
        <is>
          <t>32285005539456</t>
        </is>
      </c>
      <c r="BD1472" t="inlineStr">
        <is>
          <t>893600990</t>
        </is>
      </c>
    </row>
    <row r="1473">
      <c r="A1473" t="inlineStr">
        <is>
          <t>No</t>
        </is>
      </c>
      <c r="B1473" t="inlineStr">
        <is>
          <t>BX2350.2 .C3614 1984</t>
        </is>
      </c>
      <c r="C1473" t="inlineStr">
        <is>
          <t>0                      BX 2350200C  3614        1984</t>
        </is>
      </c>
      <c r="D1473" t="inlineStr">
        <is>
          <t>Response to God's love : a view of the spiritual life / Edward Carter.</t>
        </is>
      </c>
      <c r="F1473" t="inlineStr">
        <is>
          <t>No</t>
        </is>
      </c>
      <c r="G1473" t="inlineStr">
        <is>
          <t>1</t>
        </is>
      </c>
      <c r="H1473" t="inlineStr">
        <is>
          <t>No</t>
        </is>
      </c>
      <c r="I1473" t="inlineStr">
        <is>
          <t>No</t>
        </is>
      </c>
      <c r="J1473" t="inlineStr">
        <is>
          <t>0</t>
        </is>
      </c>
      <c r="K1473" t="inlineStr">
        <is>
          <t>Carter, Edward, 1929-</t>
        </is>
      </c>
      <c r="L1473" t="inlineStr">
        <is>
          <t>Chicago : Loyola University Press, 1984.</t>
        </is>
      </c>
      <c r="M1473" t="inlineStr">
        <is>
          <t>1984</t>
        </is>
      </c>
      <c r="O1473" t="inlineStr">
        <is>
          <t>eng</t>
        </is>
      </c>
      <c r="P1473" t="inlineStr">
        <is>
          <t>ilu</t>
        </is>
      </c>
      <c r="R1473" t="inlineStr">
        <is>
          <t xml:space="preserve">BX </t>
        </is>
      </c>
      <c r="S1473" t="n">
        <v>5</v>
      </c>
      <c r="T1473" t="n">
        <v>5</v>
      </c>
      <c r="U1473" t="inlineStr">
        <is>
          <t>1999-06-29</t>
        </is>
      </c>
      <c r="V1473" t="inlineStr">
        <is>
          <t>1999-06-29</t>
        </is>
      </c>
      <c r="W1473" t="inlineStr">
        <is>
          <t>1991-07-11</t>
        </is>
      </c>
      <c r="X1473" t="inlineStr">
        <is>
          <t>1991-07-11</t>
        </is>
      </c>
      <c r="Y1473" t="n">
        <v>149</v>
      </c>
      <c r="Z1473" t="n">
        <v>142</v>
      </c>
      <c r="AA1473" t="n">
        <v>149</v>
      </c>
      <c r="AB1473" t="n">
        <v>2</v>
      </c>
      <c r="AC1473" t="n">
        <v>2</v>
      </c>
      <c r="AD1473" t="n">
        <v>15</v>
      </c>
      <c r="AE1473" t="n">
        <v>15</v>
      </c>
      <c r="AF1473" t="n">
        <v>3</v>
      </c>
      <c r="AG1473" t="n">
        <v>3</v>
      </c>
      <c r="AH1473" t="n">
        <v>4</v>
      </c>
      <c r="AI1473" t="n">
        <v>4</v>
      </c>
      <c r="AJ1473" t="n">
        <v>14</v>
      </c>
      <c r="AK1473" t="n">
        <v>14</v>
      </c>
      <c r="AL1473" t="n">
        <v>0</v>
      </c>
      <c r="AM1473" t="n">
        <v>0</v>
      </c>
      <c r="AN1473" t="n">
        <v>0</v>
      </c>
      <c r="AO1473" t="n">
        <v>0</v>
      </c>
      <c r="AP1473" t="inlineStr">
        <is>
          <t>No</t>
        </is>
      </c>
      <c r="AQ1473" t="inlineStr">
        <is>
          <t>No</t>
        </is>
      </c>
      <c r="AS1473">
        <f>HYPERLINK("https://creighton-primo.hosted.exlibrisgroup.com/primo-explore/search?tab=default_tab&amp;search_scope=EVERYTHING&amp;vid=01CRU&amp;lang=en_US&amp;offset=0&amp;query=any,contains,991000363289702656","Catalog Record")</f>
        <v/>
      </c>
      <c r="AT1473">
        <f>HYPERLINK("http://www.worldcat.org/oclc/10375741","WorldCat Record")</f>
        <v/>
      </c>
      <c r="AU1473" t="inlineStr">
        <is>
          <t>321818969:eng</t>
        </is>
      </c>
      <c r="AV1473" t="inlineStr">
        <is>
          <t>10375741</t>
        </is>
      </c>
      <c r="AW1473" t="inlineStr">
        <is>
          <t>991000363289702656</t>
        </is>
      </c>
      <c r="AX1473" t="inlineStr">
        <is>
          <t>991000363289702656</t>
        </is>
      </c>
      <c r="AY1473" t="inlineStr">
        <is>
          <t>2258019320002656</t>
        </is>
      </c>
      <c r="AZ1473" t="inlineStr">
        <is>
          <t>BOOK</t>
        </is>
      </c>
      <c r="BB1473" t="inlineStr">
        <is>
          <t>9780829404517</t>
        </is>
      </c>
      <c r="BC1473" t="inlineStr">
        <is>
          <t>32285000637743</t>
        </is>
      </c>
      <c r="BD1473" t="inlineStr">
        <is>
          <t>893255359</t>
        </is>
      </c>
    </row>
    <row r="1474">
      <c r="A1474" t="inlineStr">
        <is>
          <t>No</t>
        </is>
      </c>
      <c r="B1474" t="inlineStr">
        <is>
          <t>BX2350.2 .C378 1981</t>
        </is>
      </c>
      <c r="C1474" t="inlineStr">
        <is>
          <t>0                      BX 2350200C  378         1981</t>
        </is>
      </c>
      <c r="D1474" t="inlineStr">
        <is>
          <t>In praise of chaos / Sean Caulfield.</t>
        </is>
      </c>
      <c r="F1474" t="inlineStr">
        <is>
          <t>No</t>
        </is>
      </c>
      <c r="G1474" t="inlineStr">
        <is>
          <t>1</t>
        </is>
      </c>
      <c r="H1474" t="inlineStr">
        <is>
          <t>No</t>
        </is>
      </c>
      <c r="I1474" t="inlineStr">
        <is>
          <t>No</t>
        </is>
      </c>
      <c r="J1474" t="inlineStr">
        <is>
          <t>0</t>
        </is>
      </c>
      <c r="K1474" t="inlineStr">
        <is>
          <t>Caulfield, Sean.</t>
        </is>
      </c>
      <c r="L1474" t="inlineStr">
        <is>
          <t>New York : Paulist Press, c1981.</t>
        </is>
      </c>
      <c r="M1474" t="inlineStr">
        <is>
          <t>1981</t>
        </is>
      </c>
      <c r="O1474" t="inlineStr">
        <is>
          <t>eng</t>
        </is>
      </c>
      <c r="P1474" t="inlineStr">
        <is>
          <t>nyu</t>
        </is>
      </c>
      <c r="R1474" t="inlineStr">
        <is>
          <t xml:space="preserve">BX </t>
        </is>
      </c>
      <c r="S1474" t="n">
        <v>3</v>
      </c>
      <c r="T1474" t="n">
        <v>3</v>
      </c>
      <c r="U1474" t="inlineStr">
        <is>
          <t>1995-06-18</t>
        </is>
      </c>
      <c r="V1474" t="inlineStr">
        <is>
          <t>1995-06-18</t>
        </is>
      </c>
      <c r="W1474" t="inlineStr">
        <is>
          <t>1991-10-29</t>
        </is>
      </c>
      <c r="X1474" t="inlineStr">
        <is>
          <t>1991-10-29</t>
        </is>
      </c>
      <c r="Y1474" t="n">
        <v>92</v>
      </c>
      <c r="Z1474" t="n">
        <v>83</v>
      </c>
      <c r="AA1474" t="n">
        <v>83</v>
      </c>
      <c r="AB1474" t="n">
        <v>1</v>
      </c>
      <c r="AC1474" t="n">
        <v>1</v>
      </c>
      <c r="AD1474" t="n">
        <v>5</v>
      </c>
      <c r="AE1474" t="n">
        <v>5</v>
      </c>
      <c r="AF1474" t="n">
        <v>2</v>
      </c>
      <c r="AG1474" t="n">
        <v>2</v>
      </c>
      <c r="AH1474" t="n">
        <v>1</v>
      </c>
      <c r="AI1474" t="n">
        <v>1</v>
      </c>
      <c r="AJ1474" t="n">
        <v>3</v>
      </c>
      <c r="AK1474" t="n">
        <v>3</v>
      </c>
      <c r="AL1474" t="n">
        <v>0</v>
      </c>
      <c r="AM1474" t="n">
        <v>0</v>
      </c>
      <c r="AN1474" t="n">
        <v>0</v>
      </c>
      <c r="AO1474" t="n">
        <v>0</v>
      </c>
      <c r="AP1474" t="inlineStr">
        <is>
          <t>No</t>
        </is>
      </c>
      <c r="AQ1474" t="inlineStr">
        <is>
          <t>No</t>
        </is>
      </c>
      <c r="AS1474">
        <f>HYPERLINK("https://creighton-primo.hosted.exlibrisgroup.com/primo-explore/search?tab=default_tab&amp;search_scope=EVERYTHING&amp;vid=01CRU&amp;lang=en_US&amp;offset=0&amp;query=any,contains,991005201879702656","Catalog Record")</f>
        <v/>
      </c>
      <c r="AT1474">
        <f>HYPERLINK("http://www.worldcat.org/oclc/8090078","WorldCat Record")</f>
        <v/>
      </c>
      <c r="AU1474" t="inlineStr">
        <is>
          <t>466308:eng</t>
        </is>
      </c>
      <c r="AV1474" t="inlineStr">
        <is>
          <t>8090078</t>
        </is>
      </c>
      <c r="AW1474" t="inlineStr">
        <is>
          <t>991005201879702656</t>
        </is>
      </c>
      <c r="AX1474" t="inlineStr">
        <is>
          <t>991005201879702656</t>
        </is>
      </c>
      <c r="AY1474" t="inlineStr">
        <is>
          <t>2266274380002656</t>
        </is>
      </c>
      <c r="AZ1474" t="inlineStr">
        <is>
          <t>BOOK</t>
        </is>
      </c>
      <c r="BB1474" t="inlineStr">
        <is>
          <t>9780809123964</t>
        </is>
      </c>
      <c r="BC1474" t="inlineStr">
        <is>
          <t>32285000813385</t>
        </is>
      </c>
      <c r="BD1474" t="inlineStr">
        <is>
          <t>893783192</t>
        </is>
      </c>
    </row>
    <row r="1475">
      <c r="A1475" t="inlineStr">
        <is>
          <t>No</t>
        </is>
      </c>
      <c r="B1475" t="inlineStr">
        <is>
          <t>BX2350.2 .C513 1965</t>
        </is>
      </c>
      <c r="C1475" t="inlineStr">
        <is>
          <t>0                      BX 2350200C  513         1965</t>
        </is>
      </c>
      <c r="D1475" t="inlineStr">
        <is>
          <t>Gospel spirituality / by B. M. Chevignard. Translated by Angèle Demand.</t>
        </is>
      </c>
      <c r="F1475" t="inlineStr">
        <is>
          <t>No</t>
        </is>
      </c>
      <c r="G1475" t="inlineStr">
        <is>
          <t>1</t>
        </is>
      </c>
      <c r="H1475" t="inlineStr">
        <is>
          <t>No</t>
        </is>
      </c>
      <c r="I1475" t="inlineStr">
        <is>
          <t>No</t>
        </is>
      </c>
      <c r="J1475" t="inlineStr">
        <is>
          <t>0</t>
        </is>
      </c>
      <c r="K1475" t="inlineStr">
        <is>
          <t>Chevignard, Bernard Marie.</t>
        </is>
      </c>
      <c r="L1475" t="inlineStr">
        <is>
          <t>New York : Sheed and Ward, [1965]</t>
        </is>
      </c>
      <c r="M1475" t="inlineStr">
        <is>
          <t>1965</t>
        </is>
      </c>
      <c r="O1475" t="inlineStr">
        <is>
          <t>eng</t>
        </is>
      </c>
      <c r="P1475" t="inlineStr">
        <is>
          <t>nyu</t>
        </is>
      </c>
      <c r="R1475" t="inlineStr">
        <is>
          <t xml:space="preserve">BX </t>
        </is>
      </c>
      <c r="S1475" t="n">
        <v>0</v>
      </c>
      <c r="T1475" t="n">
        <v>0</v>
      </c>
      <c r="U1475" t="inlineStr">
        <is>
          <t>2004-04-07</t>
        </is>
      </c>
      <c r="V1475" t="inlineStr">
        <is>
          <t>2004-04-07</t>
        </is>
      </c>
      <c r="W1475" t="inlineStr">
        <is>
          <t>1991-10-29</t>
        </is>
      </c>
      <c r="X1475" t="inlineStr">
        <is>
          <t>1991-10-29</t>
        </is>
      </c>
      <c r="Y1475" t="n">
        <v>169</v>
      </c>
      <c r="Z1475" t="n">
        <v>146</v>
      </c>
      <c r="AA1475" t="n">
        <v>146</v>
      </c>
      <c r="AB1475" t="n">
        <v>2</v>
      </c>
      <c r="AC1475" t="n">
        <v>2</v>
      </c>
      <c r="AD1475" t="n">
        <v>23</v>
      </c>
      <c r="AE1475" t="n">
        <v>23</v>
      </c>
      <c r="AF1475" t="n">
        <v>8</v>
      </c>
      <c r="AG1475" t="n">
        <v>8</v>
      </c>
      <c r="AH1475" t="n">
        <v>7</v>
      </c>
      <c r="AI1475" t="n">
        <v>7</v>
      </c>
      <c r="AJ1475" t="n">
        <v>18</v>
      </c>
      <c r="AK1475" t="n">
        <v>18</v>
      </c>
      <c r="AL1475" t="n">
        <v>0</v>
      </c>
      <c r="AM1475" t="n">
        <v>0</v>
      </c>
      <c r="AN1475" t="n">
        <v>0</v>
      </c>
      <c r="AO1475" t="n">
        <v>0</v>
      </c>
      <c r="AP1475" t="inlineStr">
        <is>
          <t>No</t>
        </is>
      </c>
      <c r="AQ1475" t="inlineStr">
        <is>
          <t>No</t>
        </is>
      </c>
      <c r="AS1475">
        <f>HYPERLINK("https://creighton-primo.hosted.exlibrisgroup.com/primo-explore/search?tab=default_tab&amp;search_scope=EVERYTHING&amp;vid=01CRU&amp;lang=en_US&amp;offset=0&amp;query=any,contains,991003842349702656","Catalog Record")</f>
        <v/>
      </c>
      <c r="AT1475">
        <f>HYPERLINK("http://www.worldcat.org/oclc/1620842","WorldCat Record")</f>
        <v/>
      </c>
      <c r="AU1475" t="inlineStr">
        <is>
          <t>1806517398:eng</t>
        </is>
      </c>
      <c r="AV1475" t="inlineStr">
        <is>
          <t>1620842</t>
        </is>
      </c>
      <c r="AW1475" t="inlineStr">
        <is>
          <t>991003842349702656</t>
        </is>
      </c>
      <c r="AX1475" t="inlineStr">
        <is>
          <t>991003842349702656</t>
        </is>
      </c>
      <c r="AY1475" t="inlineStr">
        <is>
          <t>2269951450002656</t>
        </is>
      </c>
      <c r="AZ1475" t="inlineStr">
        <is>
          <t>BOOK</t>
        </is>
      </c>
      <c r="BC1475" t="inlineStr">
        <is>
          <t>32285000813393</t>
        </is>
      </c>
      <c r="BD1475" t="inlineStr">
        <is>
          <t>893881614</t>
        </is>
      </c>
    </row>
    <row r="1476">
      <c r="A1476" t="inlineStr">
        <is>
          <t>No</t>
        </is>
      </c>
      <c r="B1476" t="inlineStr">
        <is>
          <t>BX2350.2 .C526 2000</t>
        </is>
      </c>
      <c r="C1476" t="inlineStr">
        <is>
          <t>0                      BX 2350200C  526         2000</t>
        </is>
      </c>
      <c r="D1476" t="inlineStr">
        <is>
          <t>Illuminated life : monastic wisdom for seekers of light / Joan Chittister.</t>
        </is>
      </c>
      <c r="F1476" t="inlineStr">
        <is>
          <t>No</t>
        </is>
      </c>
      <c r="G1476" t="inlineStr">
        <is>
          <t>1</t>
        </is>
      </c>
      <c r="H1476" t="inlineStr">
        <is>
          <t>No</t>
        </is>
      </c>
      <c r="I1476" t="inlineStr">
        <is>
          <t>No</t>
        </is>
      </c>
      <c r="J1476" t="inlineStr">
        <is>
          <t>0</t>
        </is>
      </c>
      <c r="K1476" t="inlineStr">
        <is>
          <t>Chittister, Joan.</t>
        </is>
      </c>
      <c r="L1476" t="inlineStr">
        <is>
          <t>Maryknoll, N,Y. : Orbis Books, 2000.</t>
        </is>
      </c>
      <c r="M1476" t="inlineStr">
        <is>
          <t>2000</t>
        </is>
      </c>
      <c r="O1476" t="inlineStr">
        <is>
          <t>eng</t>
        </is>
      </c>
      <c r="P1476" t="inlineStr">
        <is>
          <t>nyu</t>
        </is>
      </c>
      <c r="R1476" t="inlineStr">
        <is>
          <t xml:space="preserve">BX </t>
        </is>
      </c>
      <c r="S1476" t="n">
        <v>1</v>
      </c>
      <c r="T1476" t="n">
        <v>1</v>
      </c>
      <c r="U1476" t="inlineStr">
        <is>
          <t>2002-04-23</t>
        </is>
      </c>
      <c r="V1476" t="inlineStr">
        <is>
          <t>2002-04-23</t>
        </is>
      </c>
      <c r="W1476" t="inlineStr">
        <is>
          <t>2000-06-29</t>
        </is>
      </c>
      <c r="X1476" t="inlineStr">
        <is>
          <t>2000-06-29</t>
        </is>
      </c>
      <c r="Y1476" t="n">
        <v>201</v>
      </c>
      <c r="Z1476" t="n">
        <v>179</v>
      </c>
      <c r="AA1476" t="n">
        <v>193</v>
      </c>
      <c r="AB1476" t="n">
        <v>1</v>
      </c>
      <c r="AC1476" t="n">
        <v>1</v>
      </c>
      <c r="AD1476" t="n">
        <v>10</v>
      </c>
      <c r="AE1476" t="n">
        <v>11</v>
      </c>
      <c r="AF1476" t="n">
        <v>4</v>
      </c>
      <c r="AG1476" t="n">
        <v>5</v>
      </c>
      <c r="AH1476" t="n">
        <v>3</v>
      </c>
      <c r="AI1476" t="n">
        <v>3</v>
      </c>
      <c r="AJ1476" t="n">
        <v>6</v>
      </c>
      <c r="AK1476" t="n">
        <v>6</v>
      </c>
      <c r="AL1476" t="n">
        <v>0</v>
      </c>
      <c r="AM1476" t="n">
        <v>0</v>
      </c>
      <c r="AN1476" t="n">
        <v>0</v>
      </c>
      <c r="AO1476" t="n">
        <v>0</v>
      </c>
      <c r="AP1476" t="inlineStr">
        <is>
          <t>No</t>
        </is>
      </c>
      <c r="AQ1476" t="inlineStr">
        <is>
          <t>No</t>
        </is>
      </c>
      <c r="AS1476">
        <f>HYPERLINK("https://creighton-primo.hosted.exlibrisgroup.com/primo-explore/search?tab=default_tab&amp;search_scope=EVERYTHING&amp;vid=01CRU&amp;lang=en_US&amp;offset=0&amp;query=any,contains,991003196269702656","Catalog Record")</f>
        <v/>
      </c>
      <c r="AT1476">
        <f>HYPERLINK("http://www.worldcat.org/oclc/42882947","WorldCat Record")</f>
        <v/>
      </c>
      <c r="AU1476" t="inlineStr">
        <is>
          <t>837012669:eng</t>
        </is>
      </c>
      <c r="AV1476" t="inlineStr">
        <is>
          <t>42882947</t>
        </is>
      </c>
      <c r="AW1476" t="inlineStr">
        <is>
          <t>991003196269702656</t>
        </is>
      </c>
      <c r="AX1476" t="inlineStr">
        <is>
          <t>991003196269702656</t>
        </is>
      </c>
      <c r="AY1476" t="inlineStr">
        <is>
          <t>2267964040002656</t>
        </is>
      </c>
      <c r="AZ1476" t="inlineStr">
        <is>
          <t>BOOK</t>
        </is>
      </c>
      <c r="BB1476" t="inlineStr">
        <is>
          <t>9781570752339</t>
        </is>
      </c>
      <c r="BC1476" t="inlineStr">
        <is>
          <t>32285003713285</t>
        </is>
      </c>
      <c r="BD1476" t="inlineStr">
        <is>
          <t>893774492</t>
        </is>
      </c>
    </row>
    <row r="1477">
      <c r="A1477" t="inlineStr">
        <is>
          <t>No</t>
        </is>
      </c>
      <c r="B1477" t="inlineStr">
        <is>
          <t>BX2350.2 .C54</t>
        </is>
      </c>
      <c r="C1477" t="inlineStr">
        <is>
          <t>0                      BX 2350200C  54</t>
        </is>
      </c>
      <c r="D1477" t="inlineStr">
        <is>
          <t>The conversational word of God : a commentary on the doctrine of St. Ignatius of Loyola concerning spiritual conversation, with four early Jesuit texts / Thomas H. Clancy.</t>
        </is>
      </c>
      <c r="F1477" t="inlineStr">
        <is>
          <t>No</t>
        </is>
      </c>
      <c r="G1477" t="inlineStr">
        <is>
          <t>1</t>
        </is>
      </c>
      <c r="H1477" t="inlineStr">
        <is>
          <t>No</t>
        </is>
      </c>
      <c r="I1477" t="inlineStr">
        <is>
          <t>No</t>
        </is>
      </c>
      <c r="J1477" t="inlineStr">
        <is>
          <t>0</t>
        </is>
      </c>
      <c r="K1477" t="inlineStr">
        <is>
          <t>Clancy, Thomas H.</t>
        </is>
      </c>
      <c r="L1477" t="inlineStr">
        <is>
          <t>St. Louis : Institute of Jesuit Sources, 1978</t>
        </is>
      </c>
      <c r="M1477" t="inlineStr">
        <is>
          <t>1978</t>
        </is>
      </c>
      <c r="O1477" t="inlineStr">
        <is>
          <t>eng</t>
        </is>
      </c>
      <c r="P1477" t="inlineStr">
        <is>
          <t>mou</t>
        </is>
      </c>
      <c r="Q1477" t="inlineStr">
        <is>
          <t>Study aids on Jesuit topics ; no. 8</t>
        </is>
      </c>
      <c r="R1477" t="inlineStr">
        <is>
          <t xml:space="preserve">BX </t>
        </is>
      </c>
      <c r="S1477" t="n">
        <v>2</v>
      </c>
      <c r="T1477" t="n">
        <v>2</v>
      </c>
      <c r="U1477" t="inlineStr">
        <is>
          <t>2004-05-25</t>
        </is>
      </c>
      <c r="V1477" t="inlineStr">
        <is>
          <t>2004-05-25</t>
        </is>
      </c>
      <c r="W1477" t="inlineStr">
        <is>
          <t>1990-07-11</t>
        </is>
      </c>
      <c r="X1477" t="inlineStr">
        <is>
          <t>1990-07-11</t>
        </is>
      </c>
      <c r="Y1477" t="n">
        <v>115</v>
      </c>
      <c r="Z1477" t="n">
        <v>100</v>
      </c>
      <c r="AA1477" t="n">
        <v>100</v>
      </c>
      <c r="AB1477" t="n">
        <v>2</v>
      </c>
      <c r="AC1477" t="n">
        <v>2</v>
      </c>
      <c r="AD1477" t="n">
        <v>25</v>
      </c>
      <c r="AE1477" t="n">
        <v>25</v>
      </c>
      <c r="AF1477" t="n">
        <v>7</v>
      </c>
      <c r="AG1477" t="n">
        <v>7</v>
      </c>
      <c r="AH1477" t="n">
        <v>5</v>
      </c>
      <c r="AI1477" t="n">
        <v>5</v>
      </c>
      <c r="AJ1477" t="n">
        <v>23</v>
      </c>
      <c r="AK1477" t="n">
        <v>23</v>
      </c>
      <c r="AL1477" t="n">
        <v>0</v>
      </c>
      <c r="AM1477" t="n">
        <v>0</v>
      </c>
      <c r="AN1477" t="n">
        <v>0</v>
      </c>
      <c r="AO1477" t="n">
        <v>0</v>
      </c>
      <c r="AP1477" t="inlineStr">
        <is>
          <t>No</t>
        </is>
      </c>
      <c r="AQ1477" t="inlineStr">
        <is>
          <t>No</t>
        </is>
      </c>
      <c r="AS1477">
        <f>HYPERLINK("https://creighton-primo.hosted.exlibrisgroup.com/primo-explore/search?tab=default_tab&amp;search_scope=EVERYTHING&amp;vid=01CRU&amp;lang=en_US&amp;offset=0&amp;query=any,contains,991004742039702656","Catalog Record")</f>
        <v/>
      </c>
      <c r="AT1477">
        <f>HYPERLINK("http://www.worldcat.org/oclc/4884361","WorldCat Record")</f>
        <v/>
      </c>
      <c r="AU1477" t="inlineStr">
        <is>
          <t>197485157:eng</t>
        </is>
      </c>
      <c r="AV1477" t="inlineStr">
        <is>
          <t>4884361</t>
        </is>
      </c>
      <c r="AW1477" t="inlineStr">
        <is>
          <t>991004742039702656</t>
        </is>
      </c>
      <c r="AX1477" t="inlineStr">
        <is>
          <t>991004742039702656</t>
        </is>
      </c>
      <c r="AY1477" t="inlineStr">
        <is>
          <t>2262210390002656</t>
        </is>
      </c>
      <c r="AZ1477" t="inlineStr">
        <is>
          <t>BOOK</t>
        </is>
      </c>
      <c r="BB1477" t="inlineStr">
        <is>
          <t>9780912422343</t>
        </is>
      </c>
      <c r="BC1477" t="inlineStr">
        <is>
          <t>32285000224203</t>
        </is>
      </c>
      <c r="BD1477" t="inlineStr">
        <is>
          <t>893247926</t>
        </is>
      </c>
    </row>
    <row r="1478">
      <c r="A1478" t="inlineStr">
        <is>
          <t>No</t>
        </is>
      </c>
      <c r="B1478" t="inlineStr">
        <is>
          <t>BX2350.2 .C6137 1982</t>
        </is>
      </c>
      <c r="C1478" t="inlineStr">
        <is>
          <t>0                      BX 2350200C  6137        1982</t>
        </is>
      </c>
      <c r="D1478" t="inlineStr">
        <is>
          <t>Contemporary psychology and Carmel / John Sullivan, editor.</t>
        </is>
      </c>
      <c r="F1478" t="inlineStr">
        <is>
          <t>No</t>
        </is>
      </c>
      <c r="G1478" t="inlineStr">
        <is>
          <t>1</t>
        </is>
      </c>
      <c r="H1478" t="inlineStr">
        <is>
          <t>No</t>
        </is>
      </c>
      <c r="I1478" t="inlineStr">
        <is>
          <t>No</t>
        </is>
      </c>
      <c r="J1478" t="inlineStr">
        <is>
          <t>0</t>
        </is>
      </c>
      <c r="L1478" t="inlineStr">
        <is>
          <t>Washington, DC : ICS Publications, 1982.</t>
        </is>
      </c>
      <c r="M1478" t="inlineStr">
        <is>
          <t>1982</t>
        </is>
      </c>
      <c r="O1478" t="inlineStr">
        <is>
          <t>eng</t>
        </is>
      </c>
      <c r="P1478" t="inlineStr">
        <is>
          <t>dcu</t>
        </is>
      </c>
      <c r="Q1478" t="inlineStr">
        <is>
          <t>Carmelite studies</t>
        </is>
      </c>
      <c r="R1478" t="inlineStr">
        <is>
          <t xml:space="preserve">BX </t>
        </is>
      </c>
      <c r="S1478" t="n">
        <v>4</v>
      </c>
      <c r="T1478" t="n">
        <v>4</v>
      </c>
      <c r="U1478" t="inlineStr">
        <is>
          <t>1993-03-30</t>
        </is>
      </c>
      <c r="V1478" t="inlineStr">
        <is>
          <t>1993-03-30</t>
        </is>
      </c>
      <c r="W1478" t="inlineStr">
        <is>
          <t>1991-10-29</t>
        </is>
      </c>
      <c r="X1478" t="inlineStr">
        <is>
          <t>1991-10-29</t>
        </is>
      </c>
      <c r="Y1478" t="n">
        <v>105</v>
      </c>
      <c r="Z1478" t="n">
        <v>82</v>
      </c>
      <c r="AA1478" t="n">
        <v>87</v>
      </c>
      <c r="AB1478" t="n">
        <v>4</v>
      </c>
      <c r="AC1478" t="n">
        <v>4</v>
      </c>
      <c r="AD1478" t="n">
        <v>12</v>
      </c>
      <c r="AE1478" t="n">
        <v>12</v>
      </c>
      <c r="AF1478" t="n">
        <v>1</v>
      </c>
      <c r="AG1478" t="n">
        <v>1</v>
      </c>
      <c r="AH1478" t="n">
        <v>5</v>
      </c>
      <c r="AI1478" t="n">
        <v>5</v>
      </c>
      <c r="AJ1478" t="n">
        <v>8</v>
      </c>
      <c r="AK1478" t="n">
        <v>8</v>
      </c>
      <c r="AL1478" t="n">
        <v>1</v>
      </c>
      <c r="AM1478" t="n">
        <v>1</v>
      </c>
      <c r="AN1478" t="n">
        <v>0</v>
      </c>
      <c r="AO1478" t="n">
        <v>0</v>
      </c>
      <c r="AP1478" t="inlineStr">
        <is>
          <t>No</t>
        </is>
      </c>
      <c r="AQ1478" t="inlineStr">
        <is>
          <t>No</t>
        </is>
      </c>
      <c r="AS1478">
        <f>HYPERLINK("https://creighton-primo.hosted.exlibrisgroup.com/primo-explore/search?tab=default_tab&amp;search_scope=EVERYTHING&amp;vid=01CRU&amp;lang=en_US&amp;offset=0&amp;query=any,contains,991005224899702656","Catalog Record")</f>
        <v/>
      </c>
      <c r="AT1478">
        <f>HYPERLINK("http://www.worldcat.org/oclc/8280172","WorldCat Record")</f>
        <v/>
      </c>
      <c r="AU1478" t="inlineStr">
        <is>
          <t>152209220:eng</t>
        </is>
      </c>
      <c r="AV1478" t="inlineStr">
        <is>
          <t>8280172</t>
        </is>
      </c>
      <c r="AW1478" t="inlineStr">
        <is>
          <t>991005224899702656</t>
        </is>
      </c>
      <c r="AX1478" t="inlineStr">
        <is>
          <t>991005224899702656</t>
        </is>
      </c>
      <c r="AY1478" t="inlineStr">
        <is>
          <t>2257357410002656</t>
        </is>
      </c>
      <c r="AZ1478" t="inlineStr">
        <is>
          <t>BOOK</t>
        </is>
      </c>
      <c r="BB1478" t="inlineStr">
        <is>
          <t>9780935216004</t>
        </is>
      </c>
      <c r="BC1478" t="inlineStr">
        <is>
          <t>32285000813401</t>
        </is>
      </c>
      <c r="BD1478" t="inlineStr">
        <is>
          <t>893801962</t>
        </is>
      </c>
    </row>
    <row r="1479">
      <c r="A1479" t="inlineStr">
        <is>
          <t>No</t>
        </is>
      </c>
      <c r="B1479" t="inlineStr">
        <is>
          <t>BX2350.2 .C62</t>
        </is>
      </c>
      <c r="C1479" t="inlineStr">
        <is>
          <t>0                      BX 2350200C  62</t>
        </is>
      </c>
      <c r="D1479" t="inlineStr">
        <is>
          <t>New dimensions in Catholic life / by Bernard J. Cooke.</t>
        </is>
      </c>
      <c r="F1479" t="inlineStr">
        <is>
          <t>No</t>
        </is>
      </c>
      <c r="G1479" t="inlineStr">
        <is>
          <t>1</t>
        </is>
      </c>
      <c r="H1479" t="inlineStr">
        <is>
          <t>No</t>
        </is>
      </c>
      <c r="I1479" t="inlineStr">
        <is>
          <t>No</t>
        </is>
      </c>
      <c r="J1479" t="inlineStr">
        <is>
          <t>0</t>
        </is>
      </c>
      <c r="K1479" t="inlineStr">
        <is>
          <t>Cooke, Bernard J., 1922-</t>
        </is>
      </c>
      <c r="L1479" t="inlineStr">
        <is>
          <t>Wilkes-Barre, Pa. : Dimension Books, 1968.</t>
        </is>
      </c>
      <c r="M1479" t="inlineStr">
        <is>
          <t>1968</t>
        </is>
      </c>
      <c r="O1479" t="inlineStr">
        <is>
          <t>eng</t>
        </is>
      </c>
      <c r="P1479" t="inlineStr">
        <is>
          <t>pau</t>
        </is>
      </c>
      <c r="R1479" t="inlineStr">
        <is>
          <t xml:space="preserve">BX </t>
        </is>
      </c>
      <c r="S1479" t="n">
        <v>2</v>
      </c>
      <c r="T1479" t="n">
        <v>2</v>
      </c>
      <c r="U1479" t="inlineStr">
        <is>
          <t>1994-04-13</t>
        </is>
      </c>
      <c r="V1479" t="inlineStr">
        <is>
          <t>1994-04-13</t>
        </is>
      </c>
      <c r="W1479" t="inlineStr">
        <is>
          <t>1991-09-03</t>
        </is>
      </c>
      <c r="X1479" t="inlineStr">
        <is>
          <t>1991-09-03</t>
        </is>
      </c>
      <c r="Y1479" t="n">
        <v>158</v>
      </c>
      <c r="Z1479" t="n">
        <v>140</v>
      </c>
      <c r="AA1479" t="n">
        <v>140</v>
      </c>
      <c r="AB1479" t="n">
        <v>3</v>
      </c>
      <c r="AC1479" t="n">
        <v>3</v>
      </c>
      <c r="AD1479" t="n">
        <v>28</v>
      </c>
      <c r="AE1479" t="n">
        <v>28</v>
      </c>
      <c r="AF1479" t="n">
        <v>8</v>
      </c>
      <c r="AG1479" t="n">
        <v>8</v>
      </c>
      <c r="AH1479" t="n">
        <v>7</v>
      </c>
      <c r="AI1479" t="n">
        <v>7</v>
      </c>
      <c r="AJ1479" t="n">
        <v>21</v>
      </c>
      <c r="AK1479" t="n">
        <v>21</v>
      </c>
      <c r="AL1479" t="n">
        <v>1</v>
      </c>
      <c r="AM1479" t="n">
        <v>1</v>
      </c>
      <c r="AN1479" t="n">
        <v>0</v>
      </c>
      <c r="AO1479" t="n">
        <v>0</v>
      </c>
      <c r="AP1479" t="inlineStr">
        <is>
          <t>No</t>
        </is>
      </c>
      <c r="AQ1479" t="inlineStr">
        <is>
          <t>No</t>
        </is>
      </c>
      <c r="AS1479">
        <f>HYPERLINK("https://creighton-primo.hosted.exlibrisgroup.com/primo-explore/search?tab=default_tab&amp;search_scope=EVERYTHING&amp;vid=01CRU&amp;lang=en_US&amp;offset=0&amp;query=any,contains,991000147649702656","Catalog Record")</f>
        <v/>
      </c>
      <c r="AT1479">
        <f>HYPERLINK("http://www.worldcat.org/oclc/59286","WorldCat Record")</f>
        <v/>
      </c>
      <c r="AU1479" t="inlineStr">
        <is>
          <t>1199196:eng</t>
        </is>
      </c>
      <c r="AV1479" t="inlineStr">
        <is>
          <t>59286</t>
        </is>
      </c>
      <c r="AW1479" t="inlineStr">
        <is>
          <t>991000147649702656</t>
        </is>
      </c>
      <c r="AX1479" t="inlineStr">
        <is>
          <t>991000147649702656</t>
        </is>
      </c>
      <c r="AY1479" t="inlineStr">
        <is>
          <t>2260582390002656</t>
        </is>
      </c>
      <c r="AZ1479" t="inlineStr">
        <is>
          <t>BOOK</t>
        </is>
      </c>
      <c r="BC1479" t="inlineStr">
        <is>
          <t>32285000734631</t>
        </is>
      </c>
      <c r="BD1479" t="inlineStr">
        <is>
          <t>893595330</t>
        </is>
      </c>
    </row>
    <row r="1480">
      <c r="A1480" t="inlineStr">
        <is>
          <t>No</t>
        </is>
      </c>
      <c r="B1480" t="inlineStr">
        <is>
          <t>BX2350.2 .C77 1998</t>
        </is>
      </c>
      <c r="C1480" t="inlineStr">
        <is>
          <t>0                      BX 2350200C  77          1998</t>
        </is>
      </c>
      <c r="D1480" t="inlineStr">
        <is>
          <t>Walking in virtue : moral decisions and spiritual growth in daily life / John W. Crossin.</t>
        </is>
      </c>
      <c r="F1480" t="inlineStr">
        <is>
          <t>No</t>
        </is>
      </c>
      <c r="G1480" t="inlineStr">
        <is>
          <t>1</t>
        </is>
      </c>
      <c r="H1480" t="inlineStr">
        <is>
          <t>No</t>
        </is>
      </c>
      <c r="I1480" t="inlineStr">
        <is>
          <t>No</t>
        </is>
      </c>
      <c r="J1480" t="inlineStr">
        <is>
          <t>0</t>
        </is>
      </c>
      <c r="K1480" t="inlineStr">
        <is>
          <t>Crossin, John W.</t>
        </is>
      </c>
      <c r="L1480" t="inlineStr">
        <is>
          <t>New York : Paulist Press, c1998.</t>
        </is>
      </c>
      <c r="M1480" t="inlineStr">
        <is>
          <t>1998</t>
        </is>
      </c>
      <c r="O1480" t="inlineStr">
        <is>
          <t>eng</t>
        </is>
      </c>
      <c r="P1480" t="inlineStr">
        <is>
          <t>nyu</t>
        </is>
      </c>
      <c r="R1480" t="inlineStr">
        <is>
          <t xml:space="preserve">BX </t>
        </is>
      </c>
      <c r="S1480" t="n">
        <v>5</v>
      </c>
      <c r="T1480" t="n">
        <v>5</v>
      </c>
      <c r="U1480" t="inlineStr">
        <is>
          <t>2007-06-01</t>
        </is>
      </c>
      <c r="V1480" t="inlineStr">
        <is>
          <t>2007-06-01</t>
        </is>
      </c>
      <c r="W1480" t="inlineStr">
        <is>
          <t>1999-09-16</t>
        </is>
      </c>
      <c r="X1480" t="inlineStr">
        <is>
          <t>1999-09-16</t>
        </is>
      </c>
      <c r="Y1480" t="n">
        <v>114</v>
      </c>
      <c r="Z1480" t="n">
        <v>99</v>
      </c>
      <c r="AA1480" t="n">
        <v>99</v>
      </c>
      <c r="AB1480" t="n">
        <v>1</v>
      </c>
      <c r="AC1480" t="n">
        <v>1</v>
      </c>
      <c r="AD1480" t="n">
        <v>7</v>
      </c>
      <c r="AE1480" t="n">
        <v>7</v>
      </c>
      <c r="AF1480" t="n">
        <v>3</v>
      </c>
      <c r="AG1480" t="n">
        <v>3</v>
      </c>
      <c r="AH1480" t="n">
        <v>1</v>
      </c>
      <c r="AI1480" t="n">
        <v>1</v>
      </c>
      <c r="AJ1480" t="n">
        <v>5</v>
      </c>
      <c r="AK1480" t="n">
        <v>5</v>
      </c>
      <c r="AL1480" t="n">
        <v>0</v>
      </c>
      <c r="AM1480" t="n">
        <v>0</v>
      </c>
      <c r="AN1480" t="n">
        <v>0</v>
      </c>
      <c r="AO1480" t="n">
        <v>0</v>
      </c>
      <c r="AP1480" t="inlineStr">
        <is>
          <t>No</t>
        </is>
      </c>
      <c r="AQ1480" t="inlineStr">
        <is>
          <t>No</t>
        </is>
      </c>
      <c r="AS1480">
        <f>HYPERLINK("https://creighton-primo.hosted.exlibrisgroup.com/primo-explore/search?tab=default_tab&amp;search_scope=EVERYTHING&amp;vid=01CRU&amp;lang=en_US&amp;offset=0&amp;query=any,contains,991002962389702656","Catalog Record")</f>
        <v/>
      </c>
      <c r="AT1480">
        <f>HYPERLINK("http://www.worldcat.org/oclc/39627609","WorldCat Record")</f>
        <v/>
      </c>
      <c r="AU1480" t="inlineStr">
        <is>
          <t>42109137:eng</t>
        </is>
      </c>
      <c r="AV1480" t="inlineStr">
        <is>
          <t>39627609</t>
        </is>
      </c>
      <c r="AW1480" t="inlineStr">
        <is>
          <t>991002962389702656</t>
        </is>
      </c>
      <c r="AX1480" t="inlineStr">
        <is>
          <t>991002962389702656</t>
        </is>
      </c>
      <c r="AY1480" t="inlineStr">
        <is>
          <t>2263104280002656</t>
        </is>
      </c>
      <c r="AZ1480" t="inlineStr">
        <is>
          <t>BOOK</t>
        </is>
      </c>
      <c r="BB1480" t="inlineStr">
        <is>
          <t>9780809138340</t>
        </is>
      </c>
      <c r="BC1480" t="inlineStr">
        <is>
          <t>32285003589222</t>
        </is>
      </c>
      <c r="BD1480" t="inlineStr">
        <is>
          <t>893233667</t>
        </is>
      </c>
    </row>
    <row r="1481">
      <c r="A1481" t="inlineStr">
        <is>
          <t>No</t>
        </is>
      </c>
      <c r="B1481" t="inlineStr">
        <is>
          <t>BX2350.2 .C835 1982</t>
        </is>
      </c>
      <c r="C1481" t="inlineStr">
        <is>
          <t>0                      BX 2350200C  835         1982</t>
        </is>
      </c>
      <c r="D1481" t="inlineStr">
        <is>
          <t>The mystery of the ordinary / Charles Cummings.</t>
        </is>
      </c>
      <c r="F1481" t="inlineStr">
        <is>
          <t>No</t>
        </is>
      </c>
      <c r="G1481" t="inlineStr">
        <is>
          <t>1</t>
        </is>
      </c>
      <c r="H1481" t="inlineStr">
        <is>
          <t>No</t>
        </is>
      </c>
      <c r="I1481" t="inlineStr">
        <is>
          <t>No</t>
        </is>
      </c>
      <c r="J1481" t="inlineStr">
        <is>
          <t>0</t>
        </is>
      </c>
      <c r="K1481" t="inlineStr">
        <is>
          <t>Cummings, Charles, 1940-</t>
        </is>
      </c>
      <c r="L1481" t="inlineStr">
        <is>
          <t>San Francisco : Harper &amp; Row, c1982.</t>
        </is>
      </c>
      <c r="M1481" t="inlineStr">
        <is>
          <t>1982</t>
        </is>
      </c>
      <c r="N1481" t="inlineStr">
        <is>
          <t>1st ed.</t>
        </is>
      </c>
      <c r="O1481" t="inlineStr">
        <is>
          <t>eng</t>
        </is>
      </c>
      <c r="P1481" t="inlineStr">
        <is>
          <t>cau</t>
        </is>
      </c>
      <c r="R1481" t="inlineStr">
        <is>
          <t xml:space="preserve">BX </t>
        </is>
      </c>
      <c r="S1481" t="n">
        <v>2</v>
      </c>
      <c r="T1481" t="n">
        <v>2</v>
      </c>
      <c r="U1481" t="inlineStr">
        <is>
          <t>1998-07-25</t>
        </is>
      </c>
      <c r="V1481" t="inlineStr">
        <is>
          <t>1998-07-25</t>
        </is>
      </c>
      <c r="W1481" t="inlineStr">
        <is>
          <t>1991-10-29</t>
        </is>
      </c>
      <c r="X1481" t="inlineStr">
        <is>
          <t>1991-10-29</t>
        </is>
      </c>
      <c r="Y1481" t="n">
        <v>290</v>
      </c>
      <c r="Z1481" t="n">
        <v>269</v>
      </c>
      <c r="AA1481" t="n">
        <v>269</v>
      </c>
      <c r="AB1481" t="n">
        <v>4</v>
      </c>
      <c r="AC1481" t="n">
        <v>4</v>
      </c>
      <c r="AD1481" t="n">
        <v>13</v>
      </c>
      <c r="AE1481" t="n">
        <v>13</v>
      </c>
      <c r="AF1481" t="n">
        <v>5</v>
      </c>
      <c r="AG1481" t="n">
        <v>5</v>
      </c>
      <c r="AH1481" t="n">
        <v>1</v>
      </c>
      <c r="AI1481" t="n">
        <v>1</v>
      </c>
      <c r="AJ1481" t="n">
        <v>9</v>
      </c>
      <c r="AK1481" t="n">
        <v>9</v>
      </c>
      <c r="AL1481" t="n">
        <v>1</v>
      </c>
      <c r="AM1481" t="n">
        <v>1</v>
      </c>
      <c r="AN1481" t="n">
        <v>0</v>
      </c>
      <c r="AO1481" t="n">
        <v>0</v>
      </c>
      <c r="AP1481" t="inlineStr">
        <is>
          <t>No</t>
        </is>
      </c>
      <c r="AQ1481" t="inlineStr">
        <is>
          <t>No</t>
        </is>
      </c>
      <c r="AS1481">
        <f>HYPERLINK("https://creighton-primo.hosted.exlibrisgroup.com/primo-explore/search?tab=default_tab&amp;search_scope=EVERYTHING&amp;vid=01CRU&amp;lang=en_US&amp;offset=0&amp;query=any,contains,991005166749702656","Catalog Record")</f>
        <v/>
      </c>
      <c r="AT1481">
        <f>HYPERLINK("http://www.worldcat.org/oclc/7836158","WorldCat Record")</f>
        <v/>
      </c>
      <c r="AU1481" t="inlineStr">
        <is>
          <t>403707:eng</t>
        </is>
      </c>
      <c r="AV1481" t="inlineStr">
        <is>
          <t>7836158</t>
        </is>
      </c>
      <c r="AW1481" t="inlineStr">
        <is>
          <t>991005166749702656</t>
        </is>
      </c>
      <c r="AX1481" t="inlineStr">
        <is>
          <t>991005166749702656</t>
        </is>
      </c>
      <c r="AY1481" t="inlineStr">
        <is>
          <t>2255358420002656</t>
        </is>
      </c>
      <c r="AZ1481" t="inlineStr">
        <is>
          <t>BOOK</t>
        </is>
      </c>
      <c r="BB1481" t="inlineStr">
        <is>
          <t>9780060616526</t>
        </is>
      </c>
      <c r="BC1481" t="inlineStr">
        <is>
          <t>32285000813427</t>
        </is>
      </c>
      <c r="BD1481" t="inlineStr">
        <is>
          <t>893707376</t>
        </is>
      </c>
    </row>
    <row r="1482">
      <c r="A1482" t="inlineStr">
        <is>
          <t>No</t>
        </is>
      </c>
      <c r="B1482" t="inlineStr">
        <is>
          <t>BX2350.2 .C84 1959</t>
        </is>
      </c>
      <c r="C1482" t="inlineStr">
        <is>
          <t>0                      BX 2350200C  84          1959</t>
        </is>
      </c>
      <c r="D1482" t="inlineStr">
        <is>
          <t>The Christian life / edited by Francis L.B. Cunningham.</t>
        </is>
      </c>
      <c r="F1482" t="inlineStr">
        <is>
          <t>No</t>
        </is>
      </c>
      <c r="G1482" t="inlineStr">
        <is>
          <t>1</t>
        </is>
      </c>
      <c r="H1482" t="inlineStr">
        <is>
          <t>No</t>
        </is>
      </c>
      <c r="I1482" t="inlineStr">
        <is>
          <t>No</t>
        </is>
      </c>
      <c r="J1482" t="inlineStr">
        <is>
          <t>0</t>
        </is>
      </c>
      <c r="K1482" t="inlineStr">
        <is>
          <t>Cunningham, Francis L. B., editor.</t>
        </is>
      </c>
      <c r="L1482" t="inlineStr">
        <is>
          <t>Dubuque [Iowa] : Priory Press, 1959.</t>
        </is>
      </c>
      <c r="M1482" t="inlineStr">
        <is>
          <t>1959</t>
        </is>
      </c>
      <c r="O1482" t="inlineStr">
        <is>
          <t>eng</t>
        </is>
      </c>
      <c r="P1482" t="inlineStr">
        <is>
          <t>___</t>
        </is>
      </c>
      <c r="Q1482" t="inlineStr">
        <is>
          <t>College texts in theology</t>
        </is>
      </c>
      <c r="R1482" t="inlineStr">
        <is>
          <t xml:space="preserve">BX </t>
        </is>
      </c>
      <c r="S1482" t="n">
        <v>2</v>
      </c>
      <c r="T1482" t="n">
        <v>2</v>
      </c>
      <c r="U1482" t="inlineStr">
        <is>
          <t>1998-04-07</t>
        </is>
      </c>
      <c r="V1482" t="inlineStr">
        <is>
          <t>1998-04-07</t>
        </is>
      </c>
      <c r="W1482" t="inlineStr">
        <is>
          <t>1991-10-29</t>
        </is>
      </c>
      <c r="X1482" t="inlineStr">
        <is>
          <t>1991-10-29</t>
        </is>
      </c>
      <c r="Y1482" t="n">
        <v>176</v>
      </c>
      <c r="Z1482" t="n">
        <v>148</v>
      </c>
      <c r="AA1482" t="n">
        <v>159</v>
      </c>
      <c r="AB1482" t="n">
        <v>2</v>
      </c>
      <c r="AC1482" t="n">
        <v>2</v>
      </c>
      <c r="AD1482" t="n">
        <v>21</v>
      </c>
      <c r="AE1482" t="n">
        <v>21</v>
      </c>
      <c r="AF1482" t="n">
        <v>7</v>
      </c>
      <c r="AG1482" t="n">
        <v>7</v>
      </c>
      <c r="AH1482" t="n">
        <v>5</v>
      </c>
      <c r="AI1482" t="n">
        <v>5</v>
      </c>
      <c r="AJ1482" t="n">
        <v>15</v>
      </c>
      <c r="AK1482" t="n">
        <v>15</v>
      </c>
      <c r="AL1482" t="n">
        <v>0</v>
      </c>
      <c r="AM1482" t="n">
        <v>0</v>
      </c>
      <c r="AN1482" t="n">
        <v>0</v>
      </c>
      <c r="AO1482" t="n">
        <v>0</v>
      </c>
      <c r="AP1482" t="inlineStr">
        <is>
          <t>No</t>
        </is>
      </c>
      <c r="AQ1482" t="inlineStr">
        <is>
          <t>No</t>
        </is>
      </c>
      <c r="AS1482">
        <f>HYPERLINK("https://creighton-primo.hosted.exlibrisgroup.com/primo-explore/search?tab=default_tab&amp;search_scope=EVERYTHING&amp;vid=01CRU&amp;lang=en_US&amp;offset=0&amp;query=any,contains,991002306979702656","Catalog Record")</f>
        <v/>
      </c>
      <c r="AT1482">
        <f>HYPERLINK("http://www.worldcat.org/oclc/318834","WorldCat Record")</f>
        <v/>
      </c>
      <c r="AU1482" t="inlineStr">
        <is>
          <t>1393696:eng</t>
        </is>
      </c>
      <c r="AV1482" t="inlineStr">
        <is>
          <t>318834</t>
        </is>
      </c>
      <c r="AW1482" t="inlineStr">
        <is>
          <t>991002306979702656</t>
        </is>
      </c>
      <c r="AX1482" t="inlineStr">
        <is>
          <t>991002306979702656</t>
        </is>
      </c>
      <c r="AY1482" t="inlineStr">
        <is>
          <t>2270363030002656</t>
        </is>
      </c>
      <c r="AZ1482" t="inlineStr">
        <is>
          <t>BOOK</t>
        </is>
      </c>
      <c r="BC1482" t="inlineStr">
        <is>
          <t>32285000813435</t>
        </is>
      </c>
      <c r="BD1482" t="inlineStr">
        <is>
          <t>893534953</t>
        </is>
      </c>
    </row>
    <row r="1483">
      <c r="A1483" t="inlineStr">
        <is>
          <t>No</t>
        </is>
      </c>
      <c r="B1483" t="inlineStr">
        <is>
          <t>BX2350.2 .D29 1970</t>
        </is>
      </c>
      <c r="C1483" t="inlineStr">
        <is>
          <t>0                      BX 2350200D  29          1970</t>
        </is>
      </c>
      <c r="D1483" t="inlineStr">
        <is>
          <t>Theology and spirituality / by John Dalrymple.</t>
        </is>
      </c>
      <c r="F1483" t="inlineStr">
        <is>
          <t>No</t>
        </is>
      </c>
      <c r="G1483" t="inlineStr">
        <is>
          <t>1</t>
        </is>
      </c>
      <c r="H1483" t="inlineStr">
        <is>
          <t>No</t>
        </is>
      </c>
      <c r="I1483" t="inlineStr">
        <is>
          <t>No</t>
        </is>
      </c>
      <c r="J1483" t="inlineStr">
        <is>
          <t>0</t>
        </is>
      </c>
      <c r="K1483" t="inlineStr">
        <is>
          <t>Dalrymple, John.</t>
        </is>
      </c>
      <c r="L1483" t="inlineStr">
        <is>
          <t>Notre Dame, Ind. : Fides Publishers, [c1970]</t>
        </is>
      </c>
      <c r="M1483" t="inlineStr">
        <is>
          <t>1970</t>
        </is>
      </c>
      <c r="O1483" t="inlineStr">
        <is>
          <t>eng</t>
        </is>
      </c>
      <c r="P1483" t="inlineStr">
        <is>
          <t>inu</t>
        </is>
      </c>
      <c r="Q1483" t="inlineStr">
        <is>
          <t>Theology today ; no. 18</t>
        </is>
      </c>
      <c r="R1483" t="inlineStr">
        <is>
          <t xml:space="preserve">BX </t>
        </is>
      </c>
      <c r="S1483" t="n">
        <v>2</v>
      </c>
      <c r="T1483" t="n">
        <v>2</v>
      </c>
      <c r="U1483" t="inlineStr">
        <is>
          <t>1998-04-07</t>
        </is>
      </c>
      <c r="V1483" t="inlineStr">
        <is>
          <t>1998-04-07</t>
        </is>
      </c>
      <c r="W1483" t="inlineStr">
        <is>
          <t>1991-10-29</t>
        </is>
      </c>
      <c r="X1483" t="inlineStr">
        <is>
          <t>1991-10-29</t>
        </is>
      </c>
      <c r="Y1483" t="n">
        <v>132</v>
      </c>
      <c r="Z1483" t="n">
        <v>118</v>
      </c>
      <c r="AA1483" t="n">
        <v>146</v>
      </c>
      <c r="AB1483" t="n">
        <v>2</v>
      </c>
      <c r="AC1483" t="n">
        <v>2</v>
      </c>
      <c r="AD1483" t="n">
        <v>16</v>
      </c>
      <c r="AE1483" t="n">
        <v>19</v>
      </c>
      <c r="AF1483" t="n">
        <v>2</v>
      </c>
      <c r="AG1483" t="n">
        <v>3</v>
      </c>
      <c r="AH1483" t="n">
        <v>4</v>
      </c>
      <c r="AI1483" t="n">
        <v>4</v>
      </c>
      <c r="AJ1483" t="n">
        <v>13</v>
      </c>
      <c r="AK1483" t="n">
        <v>16</v>
      </c>
      <c r="AL1483" t="n">
        <v>0</v>
      </c>
      <c r="AM1483" t="n">
        <v>0</v>
      </c>
      <c r="AN1483" t="n">
        <v>0</v>
      </c>
      <c r="AO1483" t="n">
        <v>0</v>
      </c>
      <c r="AP1483" t="inlineStr">
        <is>
          <t>No</t>
        </is>
      </c>
      <c r="AQ1483" t="inlineStr">
        <is>
          <t>No</t>
        </is>
      </c>
      <c r="AS1483">
        <f>HYPERLINK("https://creighton-primo.hosted.exlibrisgroup.com/primo-explore/search?tab=default_tab&amp;search_scope=EVERYTHING&amp;vid=01CRU&amp;lang=en_US&amp;offset=0&amp;query=any,contains,991000736889702656","Catalog Record")</f>
        <v/>
      </c>
      <c r="AT1483">
        <f>HYPERLINK("http://www.worldcat.org/oclc/128683","WorldCat Record")</f>
        <v/>
      </c>
      <c r="AU1483" t="inlineStr">
        <is>
          <t>2961079:eng</t>
        </is>
      </c>
      <c r="AV1483" t="inlineStr">
        <is>
          <t>128683</t>
        </is>
      </c>
      <c r="AW1483" t="inlineStr">
        <is>
          <t>991000736889702656</t>
        </is>
      </c>
      <c r="AX1483" t="inlineStr">
        <is>
          <t>991000736889702656</t>
        </is>
      </c>
      <c r="AY1483" t="inlineStr">
        <is>
          <t>2261622900002656</t>
        </is>
      </c>
      <c r="AZ1483" t="inlineStr">
        <is>
          <t>BOOK</t>
        </is>
      </c>
      <c r="BC1483" t="inlineStr">
        <is>
          <t>32285000813468</t>
        </is>
      </c>
      <c r="BD1483" t="inlineStr">
        <is>
          <t>893897169</t>
        </is>
      </c>
    </row>
    <row r="1484">
      <c r="A1484" t="inlineStr">
        <is>
          <t>No</t>
        </is>
      </c>
      <c r="B1484" t="inlineStr">
        <is>
          <t>BX2350.2 .D35</t>
        </is>
      </c>
      <c r="C1484" t="inlineStr">
        <is>
          <t>0                      BX 2350200D  35</t>
        </is>
      </c>
      <c r="D1484" t="inlineStr">
        <is>
          <t>Toward the heart of God : journey to Christian maturity / by John Dalyrmple.</t>
        </is>
      </c>
      <c r="F1484" t="inlineStr">
        <is>
          <t>No</t>
        </is>
      </c>
      <c r="G1484" t="inlineStr">
        <is>
          <t>1</t>
        </is>
      </c>
      <c r="H1484" t="inlineStr">
        <is>
          <t>No</t>
        </is>
      </c>
      <c r="I1484" t="inlineStr">
        <is>
          <t>No</t>
        </is>
      </c>
      <c r="J1484" t="inlineStr">
        <is>
          <t>0</t>
        </is>
      </c>
      <c r="K1484" t="inlineStr">
        <is>
          <t>Dalrymple, John.</t>
        </is>
      </c>
      <c r="L1484" t="inlineStr">
        <is>
          <t>Minneapolis, Minn. : Winston Press, [1981?]</t>
        </is>
      </c>
      <c r="M1484" t="inlineStr">
        <is>
          <t>1981</t>
        </is>
      </c>
      <c r="O1484" t="inlineStr">
        <is>
          <t>eng</t>
        </is>
      </c>
      <c r="P1484" t="inlineStr">
        <is>
          <t>mnu</t>
        </is>
      </c>
      <c r="R1484" t="inlineStr">
        <is>
          <t xml:space="preserve">BX </t>
        </is>
      </c>
      <c r="S1484" t="n">
        <v>5</v>
      </c>
      <c r="T1484" t="n">
        <v>5</v>
      </c>
      <c r="U1484" t="inlineStr">
        <is>
          <t>1997-11-25</t>
        </is>
      </c>
      <c r="V1484" t="inlineStr">
        <is>
          <t>1997-11-25</t>
        </is>
      </c>
      <c r="W1484" t="inlineStr">
        <is>
          <t>1991-10-29</t>
        </is>
      </c>
      <c r="X1484" t="inlineStr">
        <is>
          <t>1991-10-29</t>
        </is>
      </c>
      <c r="Y1484" t="n">
        <v>42</v>
      </c>
      <c r="Z1484" t="n">
        <v>41</v>
      </c>
      <c r="AA1484" t="n">
        <v>41</v>
      </c>
      <c r="AB1484" t="n">
        <v>2</v>
      </c>
      <c r="AC1484" t="n">
        <v>2</v>
      </c>
      <c r="AD1484" t="n">
        <v>5</v>
      </c>
      <c r="AE1484" t="n">
        <v>5</v>
      </c>
      <c r="AF1484" t="n">
        <v>0</v>
      </c>
      <c r="AG1484" t="n">
        <v>0</v>
      </c>
      <c r="AH1484" t="n">
        <v>2</v>
      </c>
      <c r="AI1484" t="n">
        <v>2</v>
      </c>
      <c r="AJ1484" t="n">
        <v>3</v>
      </c>
      <c r="AK1484" t="n">
        <v>3</v>
      </c>
      <c r="AL1484" t="n">
        <v>0</v>
      </c>
      <c r="AM1484" t="n">
        <v>0</v>
      </c>
      <c r="AN1484" t="n">
        <v>0</v>
      </c>
      <c r="AO1484" t="n">
        <v>0</v>
      </c>
      <c r="AP1484" t="inlineStr">
        <is>
          <t>No</t>
        </is>
      </c>
      <c r="AQ1484" t="inlineStr">
        <is>
          <t>No</t>
        </is>
      </c>
      <c r="AS1484">
        <f>HYPERLINK("https://creighton-primo.hosted.exlibrisgroup.com/primo-explore/search?tab=default_tab&amp;search_scope=EVERYTHING&amp;vid=01CRU&amp;lang=en_US&amp;offset=0&amp;query=any,contains,991005223229702656","Catalog Record")</f>
        <v/>
      </c>
      <c r="AT1484">
        <f>HYPERLINK("http://www.worldcat.org/oclc/8249950","WorldCat Record")</f>
        <v/>
      </c>
      <c r="AU1484" t="inlineStr">
        <is>
          <t>513231:eng</t>
        </is>
      </c>
      <c r="AV1484" t="inlineStr">
        <is>
          <t>8249950</t>
        </is>
      </c>
      <c r="AW1484" t="inlineStr">
        <is>
          <t>991005223229702656</t>
        </is>
      </c>
      <c r="AX1484" t="inlineStr">
        <is>
          <t>991005223229702656</t>
        </is>
      </c>
      <c r="AY1484" t="inlineStr">
        <is>
          <t>2261463180002656</t>
        </is>
      </c>
      <c r="AZ1484" t="inlineStr">
        <is>
          <t>BOOK</t>
        </is>
      </c>
      <c r="BB1484" t="inlineStr">
        <is>
          <t>9780866836029</t>
        </is>
      </c>
      <c r="BC1484" t="inlineStr">
        <is>
          <t>32285000813484</t>
        </is>
      </c>
      <c r="BD1484" t="inlineStr">
        <is>
          <t>893431073</t>
        </is>
      </c>
    </row>
    <row r="1485">
      <c r="A1485" t="inlineStr">
        <is>
          <t>No</t>
        </is>
      </c>
      <c r="B1485" t="inlineStr">
        <is>
          <t>BX2350.2 .D63 1977</t>
        </is>
      </c>
      <c r="C1485" t="inlineStr">
        <is>
          <t>0                      BX 2350200D  63          1977</t>
        </is>
      </c>
      <c r="D1485" t="inlineStr">
        <is>
          <t>Desert windows / by Eddie Doherty.</t>
        </is>
      </c>
      <c r="F1485" t="inlineStr">
        <is>
          <t>No</t>
        </is>
      </c>
      <c r="G1485" t="inlineStr">
        <is>
          <t>1</t>
        </is>
      </c>
      <c r="H1485" t="inlineStr">
        <is>
          <t>No</t>
        </is>
      </c>
      <c r="I1485" t="inlineStr">
        <is>
          <t>No</t>
        </is>
      </c>
      <c r="J1485" t="inlineStr">
        <is>
          <t>0</t>
        </is>
      </c>
      <c r="K1485" t="inlineStr">
        <is>
          <t>Doherty, Eddie.</t>
        </is>
      </c>
      <c r="L1485" t="inlineStr">
        <is>
          <t>Denville, N.J. : Dimension Books, c1977.</t>
        </is>
      </c>
      <c r="M1485" t="inlineStr">
        <is>
          <t>1977</t>
        </is>
      </c>
      <c r="O1485" t="inlineStr">
        <is>
          <t>eng</t>
        </is>
      </c>
      <c r="P1485" t="inlineStr">
        <is>
          <t>nju</t>
        </is>
      </c>
      <c r="R1485" t="inlineStr">
        <is>
          <t xml:space="preserve">BX </t>
        </is>
      </c>
      <c r="S1485" t="n">
        <v>2</v>
      </c>
      <c r="T1485" t="n">
        <v>2</v>
      </c>
      <c r="U1485" t="inlineStr">
        <is>
          <t>1995-11-02</t>
        </is>
      </c>
      <c r="V1485" t="inlineStr">
        <is>
          <t>1995-11-02</t>
        </is>
      </c>
      <c r="W1485" t="inlineStr">
        <is>
          <t>1991-10-29</t>
        </is>
      </c>
      <c r="X1485" t="inlineStr">
        <is>
          <t>1991-10-29</t>
        </is>
      </c>
      <c r="Y1485" t="n">
        <v>41</v>
      </c>
      <c r="Z1485" t="n">
        <v>31</v>
      </c>
      <c r="AA1485" t="n">
        <v>31</v>
      </c>
      <c r="AB1485" t="n">
        <v>1</v>
      </c>
      <c r="AC1485" t="n">
        <v>1</v>
      </c>
      <c r="AD1485" t="n">
        <v>4</v>
      </c>
      <c r="AE1485" t="n">
        <v>4</v>
      </c>
      <c r="AF1485" t="n">
        <v>1</v>
      </c>
      <c r="AG1485" t="n">
        <v>1</v>
      </c>
      <c r="AH1485" t="n">
        <v>1</v>
      </c>
      <c r="AI1485" t="n">
        <v>1</v>
      </c>
      <c r="AJ1485" t="n">
        <v>3</v>
      </c>
      <c r="AK1485" t="n">
        <v>3</v>
      </c>
      <c r="AL1485" t="n">
        <v>0</v>
      </c>
      <c r="AM1485" t="n">
        <v>0</v>
      </c>
      <c r="AN1485" t="n">
        <v>0</v>
      </c>
      <c r="AO1485" t="n">
        <v>0</v>
      </c>
      <c r="AP1485" t="inlineStr">
        <is>
          <t>No</t>
        </is>
      </c>
      <c r="AQ1485" t="inlineStr">
        <is>
          <t>No</t>
        </is>
      </c>
      <c r="AS1485">
        <f>HYPERLINK("https://creighton-primo.hosted.exlibrisgroup.com/primo-explore/search?tab=default_tab&amp;search_scope=EVERYTHING&amp;vid=01CRU&amp;lang=en_US&amp;offset=0&amp;query=any,contains,991004410399702656","Catalog Record")</f>
        <v/>
      </c>
      <c r="AT1485">
        <f>HYPERLINK("http://www.worldcat.org/oclc/3336897","WorldCat Record")</f>
        <v/>
      </c>
      <c r="AU1485" t="inlineStr">
        <is>
          <t>9950774:eng</t>
        </is>
      </c>
      <c r="AV1485" t="inlineStr">
        <is>
          <t>3336897</t>
        </is>
      </c>
      <c r="AW1485" t="inlineStr">
        <is>
          <t>991004410399702656</t>
        </is>
      </c>
      <c r="AX1485" t="inlineStr">
        <is>
          <t>991004410399702656</t>
        </is>
      </c>
      <c r="AY1485" t="inlineStr">
        <is>
          <t>2272514200002656</t>
        </is>
      </c>
      <c r="AZ1485" t="inlineStr">
        <is>
          <t>BOOK</t>
        </is>
      </c>
      <c r="BC1485" t="inlineStr">
        <is>
          <t>32285000813542</t>
        </is>
      </c>
      <c r="BD1485" t="inlineStr">
        <is>
          <t>893241394</t>
        </is>
      </c>
    </row>
    <row r="1486">
      <c r="A1486" t="inlineStr">
        <is>
          <t>No</t>
        </is>
      </c>
      <c r="B1486" t="inlineStr">
        <is>
          <t>BX2350.2 .D635 1975</t>
        </is>
      </c>
      <c r="C1486" t="inlineStr">
        <is>
          <t>0                      BX 2350200D  635         1975</t>
        </is>
      </c>
      <c r="D1486" t="inlineStr">
        <is>
          <t>Affirming the human personality : psychological essays in Christian living / Jack Dominian.</t>
        </is>
      </c>
      <c r="F1486" t="inlineStr">
        <is>
          <t>No</t>
        </is>
      </c>
      <c r="G1486" t="inlineStr">
        <is>
          <t>1</t>
        </is>
      </c>
      <c r="H1486" t="inlineStr">
        <is>
          <t>No</t>
        </is>
      </c>
      <c r="I1486" t="inlineStr">
        <is>
          <t>No</t>
        </is>
      </c>
      <c r="J1486" t="inlineStr">
        <is>
          <t>0</t>
        </is>
      </c>
      <c r="K1486" t="inlineStr">
        <is>
          <t>Dominian, Jack, 1929-2014.</t>
        </is>
      </c>
      <c r="L1486" t="inlineStr">
        <is>
          <t>Huntington, Ind. : Our Sunday Visitor, inc., c1975.</t>
        </is>
      </c>
      <c r="M1486" t="inlineStr">
        <is>
          <t>1975</t>
        </is>
      </c>
      <c r="O1486" t="inlineStr">
        <is>
          <t>eng</t>
        </is>
      </c>
      <c r="P1486" t="inlineStr">
        <is>
          <t>inu</t>
        </is>
      </c>
      <c r="R1486" t="inlineStr">
        <is>
          <t xml:space="preserve">BX </t>
        </is>
      </c>
      <c r="S1486" t="n">
        <v>4</v>
      </c>
      <c r="T1486" t="n">
        <v>4</v>
      </c>
      <c r="U1486" t="inlineStr">
        <is>
          <t>2000-06-22</t>
        </is>
      </c>
      <c r="V1486" t="inlineStr">
        <is>
          <t>2000-06-22</t>
        </is>
      </c>
      <c r="W1486" t="inlineStr">
        <is>
          <t>1991-10-30</t>
        </is>
      </c>
      <c r="X1486" t="inlineStr">
        <is>
          <t>1991-10-30</t>
        </is>
      </c>
      <c r="Y1486" t="n">
        <v>92</v>
      </c>
      <c r="Z1486" t="n">
        <v>81</v>
      </c>
      <c r="AA1486" t="n">
        <v>86</v>
      </c>
      <c r="AB1486" t="n">
        <v>2</v>
      </c>
      <c r="AC1486" t="n">
        <v>2</v>
      </c>
      <c r="AD1486" t="n">
        <v>8</v>
      </c>
      <c r="AE1486" t="n">
        <v>8</v>
      </c>
      <c r="AF1486" t="n">
        <v>1</v>
      </c>
      <c r="AG1486" t="n">
        <v>1</v>
      </c>
      <c r="AH1486" t="n">
        <v>1</v>
      </c>
      <c r="AI1486" t="n">
        <v>1</v>
      </c>
      <c r="AJ1486" t="n">
        <v>7</v>
      </c>
      <c r="AK1486" t="n">
        <v>7</v>
      </c>
      <c r="AL1486" t="n">
        <v>0</v>
      </c>
      <c r="AM1486" t="n">
        <v>0</v>
      </c>
      <c r="AN1486" t="n">
        <v>0</v>
      </c>
      <c r="AO1486" t="n">
        <v>0</v>
      </c>
      <c r="AP1486" t="inlineStr">
        <is>
          <t>No</t>
        </is>
      </c>
      <c r="AQ1486" t="inlineStr">
        <is>
          <t>No</t>
        </is>
      </c>
      <c r="AS1486">
        <f>HYPERLINK("https://creighton-primo.hosted.exlibrisgroup.com/primo-explore/search?tab=default_tab&amp;search_scope=EVERYTHING&amp;vid=01CRU&amp;lang=en_US&amp;offset=0&amp;query=any,contains,991004424519702656","Catalog Record")</f>
        <v/>
      </c>
      <c r="AT1486">
        <f>HYPERLINK("http://www.worldcat.org/oclc/3396540","WorldCat Record")</f>
        <v/>
      </c>
      <c r="AU1486" t="inlineStr">
        <is>
          <t>10268527:eng</t>
        </is>
      </c>
      <c r="AV1486" t="inlineStr">
        <is>
          <t>3396540</t>
        </is>
      </c>
      <c r="AW1486" t="inlineStr">
        <is>
          <t>991004424519702656</t>
        </is>
      </c>
      <c r="AX1486" t="inlineStr">
        <is>
          <t>991004424519702656</t>
        </is>
      </c>
      <c r="AY1486" t="inlineStr">
        <is>
          <t>2267286760002656</t>
        </is>
      </c>
      <c r="AZ1486" t="inlineStr">
        <is>
          <t>BOOK</t>
        </is>
      </c>
      <c r="BB1486" t="inlineStr">
        <is>
          <t>9780879736774</t>
        </is>
      </c>
      <c r="BC1486" t="inlineStr">
        <is>
          <t>32285000830066</t>
        </is>
      </c>
      <c r="BD1486" t="inlineStr">
        <is>
          <t>893417617</t>
        </is>
      </c>
    </row>
    <row r="1487">
      <c r="A1487" t="inlineStr">
        <is>
          <t>No</t>
        </is>
      </c>
      <c r="B1487" t="inlineStr">
        <is>
          <t>BX2350.2 .D638 1986</t>
        </is>
      </c>
      <c r="C1487" t="inlineStr">
        <is>
          <t>0                      BX 2350200D  638         1986</t>
        </is>
      </c>
      <c r="D1487" t="inlineStr">
        <is>
          <t>The global believer : toward a new imitation of Christ / Joseph G. Donders ; foreword by Richard Rohr.</t>
        </is>
      </c>
      <c r="F1487" t="inlineStr">
        <is>
          <t>No</t>
        </is>
      </c>
      <c r="G1487" t="inlineStr">
        <is>
          <t>1</t>
        </is>
      </c>
      <c r="H1487" t="inlineStr">
        <is>
          <t>No</t>
        </is>
      </c>
      <c r="I1487" t="inlineStr">
        <is>
          <t>No</t>
        </is>
      </c>
      <c r="J1487" t="inlineStr">
        <is>
          <t>0</t>
        </is>
      </c>
      <c r="K1487" t="inlineStr">
        <is>
          <t>Donders, Joseph G.</t>
        </is>
      </c>
      <c r="L1487" t="inlineStr">
        <is>
          <t>Mystic, Conn. : Twenty-Third Publications, c1986.</t>
        </is>
      </c>
      <c r="M1487" t="inlineStr">
        <is>
          <t>1986</t>
        </is>
      </c>
      <c r="O1487" t="inlineStr">
        <is>
          <t>eng</t>
        </is>
      </c>
      <c r="P1487" t="inlineStr">
        <is>
          <t>ctu</t>
        </is>
      </c>
      <c r="R1487" t="inlineStr">
        <is>
          <t xml:space="preserve">BX </t>
        </is>
      </c>
      <c r="S1487" t="n">
        <v>3</v>
      </c>
      <c r="T1487" t="n">
        <v>3</v>
      </c>
      <c r="U1487" t="inlineStr">
        <is>
          <t>2000-07-26</t>
        </is>
      </c>
      <c r="V1487" t="inlineStr">
        <is>
          <t>2000-07-26</t>
        </is>
      </c>
      <c r="W1487" t="inlineStr">
        <is>
          <t>1989-10-19</t>
        </is>
      </c>
      <c r="X1487" t="inlineStr">
        <is>
          <t>1989-10-19</t>
        </is>
      </c>
      <c r="Y1487" t="n">
        <v>112</v>
      </c>
      <c r="Z1487" t="n">
        <v>98</v>
      </c>
      <c r="AA1487" t="n">
        <v>98</v>
      </c>
      <c r="AB1487" t="n">
        <v>1</v>
      </c>
      <c r="AC1487" t="n">
        <v>1</v>
      </c>
      <c r="AD1487" t="n">
        <v>13</v>
      </c>
      <c r="AE1487" t="n">
        <v>13</v>
      </c>
      <c r="AF1487" t="n">
        <v>3</v>
      </c>
      <c r="AG1487" t="n">
        <v>3</v>
      </c>
      <c r="AH1487" t="n">
        <v>4</v>
      </c>
      <c r="AI1487" t="n">
        <v>4</v>
      </c>
      <c r="AJ1487" t="n">
        <v>9</v>
      </c>
      <c r="AK1487" t="n">
        <v>9</v>
      </c>
      <c r="AL1487" t="n">
        <v>0</v>
      </c>
      <c r="AM1487" t="n">
        <v>0</v>
      </c>
      <c r="AN1487" t="n">
        <v>0</v>
      </c>
      <c r="AO1487" t="n">
        <v>0</v>
      </c>
      <c r="AP1487" t="inlineStr">
        <is>
          <t>No</t>
        </is>
      </c>
      <c r="AQ1487" t="inlineStr">
        <is>
          <t>No</t>
        </is>
      </c>
      <c r="AS1487">
        <f>HYPERLINK("https://creighton-primo.hosted.exlibrisgroup.com/primo-explore/search?tab=default_tab&amp;search_scope=EVERYTHING&amp;vid=01CRU&amp;lang=en_US&amp;offset=0&amp;query=any,contains,991001025859702656","Catalog Record")</f>
        <v/>
      </c>
      <c r="AT1487">
        <f>HYPERLINK("http://www.worldcat.org/oclc/15478084","WorldCat Record")</f>
        <v/>
      </c>
      <c r="AU1487" t="inlineStr">
        <is>
          <t>10283087:eng</t>
        </is>
      </c>
      <c r="AV1487" t="inlineStr">
        <is>
          <t>15478084</t>
        </is>
      </c>
      <c r="AW1487" t="inlineStr">
        <is>
          <t>991001025859702656</t>
        </is>
      </c>
      <c r="AX1487" t="inlineStr">
        <is>
          <t>991001025859702656</t>
        </is>
      </c>
      <c r="AY1487" t="inlineStr">
        <is>
          <t>2265842780002656</t>
        </is>
      </c>
      <c r="AZ1487" t="inlineStr">
        <is>
          <t>BOOK</t>
        </is>
      </c>
      <c r="BB1487" t="inlineStr">
        <is>
          <t>9780896222946</t>
        </is>
      </c>
      <c r="BC1487" t="inlineStr">
        <is>
          <t>32285000000140</t>
        </is>
      </c>
      <c r="BD1487" t="inlineStr">
        <is>
          <t>893803272</t>
        </is>
      </c>
    </row>
    <row r="1488">
      <c r="A1488" t="inlineStr">
        <is>
          <t>No</t>
        </is>
      </c>
      <c r="B1488" t="inlineStr">
        <is>
          <t>BX2350.2 .D6465 1998</t>
        </is>
      </c>
      <c r="C1488" t="inlineStr">
        <is>
          <t>0                      BX 2350200D  6465        1998</t>
        </is>
      </c>
      <c r="D1488" t="inlineStr">
        <is>
          <t>Simply soulstirring : writing as a meditative practice / Francis Dorff.</t>
        </is>
      </c>
      <c r="F1488" t="inlineStr">
        <is>
          <t>No</t>
        </is>
      </c>
      <c r="G1488" t="inlineStr">
        <is>
          <t>1</t>
        </is>
      </c>
      <c r="H1488" t="inlineStr">
        <is>
          <t>No</t>
        </is>
      </c>
      <c r="I1488" t="inlineStr">
        <is>
          <t>No</t>
        </is>
      </c>
      <c r="J1488" t="inlineStr">
        <is>
          <t>0</t>
        </is>
      </c>
      <c r="K1488" t="inlineStr">
        <is>
          <t>Dorff, Francis.</t>
        </is>
      </c>
      <c r="L1488" t="inlineStr">
        <is>
          <t>New York : Paulist Press, c1998.</t>
        </is>
      </c>
      <c r="M1488" t="inlineStr">
        <is>
          <t>1998</t>
        </is>
      </c>
      <c r="O1488" t="inlineStr">
        <is>
          <t>eng</t>
        </is>
      </c>
      <c r="P1488" t="inlineStr">
        <is>
          <t>nyu</t>
        </is>
      </c>
      <c r="R1488" t="inlineStr">
        <is>
          <t xml:space="preserve">BX </t>
        </is>
      </c>
      <c r="S1488" t="n">
        <v>4</v>
      </c>
      <c r="T1488" t="n">
        <v>4</v>
      </c>
      <c r="U1488" t="inlineStr">
        <is>
          <t>2009-06-05</t>
        </is>
      </c>
      <c r="V1488" t="inlineStr">
        <is>
          <t>2009-06-05</t>
        </is>
      </c>
      <c r="W1488" t="inlineStr">
        <is>
          <t>1998-04-01</t>
        </is>
      </c>
      <c r="X1488" t="inlineStr">
        <is>
          <t>1998-04-01</t>
        </is>
      </c>
      <c r="Y1488" t="n">
        <v>126</v>
      </c>
      <c r="Z1488" t="n">
        <v>114</v>
      </c>
      <c r="AA1488" t="n">
        <v>114</v>
      </c>
      <c r="AB1488" t="n">
        <v>1</v>
      </c>
      <c r="AC1488" t="n">
        <v>1</v>
      </c>
      <c r="AD1488" t="n">
        <v>11</v>
      </c>
      <c r="AE1488" t="n">
        <v>11</v>
      </c>
      <c r="AF1488" t="n">
        <v>2</v>
      </c>
      <c r="AG1488" t="n">
        <v>2</v>
      </c>
      <c r="AH1488" t="n">
        <v>4</v>
      </c>
      <c r="AI1488" t="n">
        <v>4</v>
      </c>
      <c r="AJ1488" t="n">
        <v>8</v>
      </c>
      <c r="AK1488" t="n">
        <v>8</v>
      </c>
      <c r="AL1488" t="n">
        <v>0</v>
      </c>
      <c r="AM1488" t="n">
        <v>0</v>
      </c>
      <c r="AN1488" t="n">
        <v>0</v>
      </c>
      <c r="AO1488" t="n">
        <v>0</v>
      </c>
      <c r="AP1488" t="inlineStr">
        <is>
          <t>No</t>
        </is>
      </c>
      <c r="AQ1488" t="inlineStr">
        <is>
          <t>No</t>
        </is>
      </c>
      <c r="AS1488">
        <f>HYPERLINK("https://creighton-primo.hosted.exlibrisgroup.com/primo-explore/search?tab=default_tab&amp;search_scope=EVERYTHING&amp;vid=01CRU&amp;lang=en_US&amp;offset=0&amp;query=any,contains,991002884499702656","Catalog Record")</f>
        <v/>
      </c>
      <c r="AT1488">
        <f>HYPERLINK("http://www.worldcat.org/oclc/38013975","WorldCat Record")</f>
        <v/>
      </c>
      <c r="AU1488" t="inlineStr">
        <is>
          <t>616858:eng</t>
        </is>
      </c>
      <c r="AV1488" t="inlineStr">
        <is>
          <t>38013975</t>
        </is>
      </c>
      <c r="AW1488" t="inlineStr">
        <is>
          <t>991002884499702656</t>
        </is>
      </c>
      <c r="AX1488" t="inlineStr">
        <is>
          <t>991002884499702656</t>
        </is>
      </c>
      <c r="AY1488" t="inlineStr">
        <is>
          <t>2267627310002656</t>
        </is>
      </c>
      <c r="AZ1488" t="inlineStr">
        <is>
          <t>BOOK</t>
        </is>
      </c>
      <c r="BB1488" t="inlineStr">
        <is>
          <t>9780809104963</t>
        </is>
      </c>
      <c r="BC1488" t="inlineStr">
        <is>
          <t>32285003382313</t>
        </is>
      </c>
      <c r="BD1488" t="inlineStr">
        <is>
          <t>893524158</t>
        </is>
      </c>
    </row>
    <row r="1489">
      <c r="A1489" t="inlineStr">
        <is>
          <t>No</t>
        </is>
      </c>
      <c r="B1489" t="inlineStr">
        <is>
          <t>BX2350.2 .D85 1987</t>
        </is>
      </c>
      <c r="C1489" t="inlineStr">
        <is>
          <t>0                      BX 2350200D  85          1987</t>
        </is>
      </c>
      <c r="D1489" t="inlineStr">
        <is>
          <t>The homing spirit : a pilgrimage of the mind, of the heart, of the soul / John S. Dunne.</t>
        </is>
      </c>
      <c r="F1489" t="inlineStr">
        <is>
          <t>No</t>
        </is>
      </c>
      <c r="G1489" t="inlineStr">
        <is>
          <t>1</t>
        </is>
      </c>
      <c r="H1489" t="inlineStr">
        <is>
          <t>No</t>
        </is>
      </c>
      <c r="I1489" t="inlineStr">
        <is>
          <t>No</t>
        </is>
      </c>
      <c r="J1489" t="inlineStr">
        <is>
          <t>0</t>
        </is>
      </c>
      <c r="K1489" t="inlineStr">
        <is>
          <t>Dunne, John S., 1929-2013.</t>
        </is>
      </c>
      <c r="L1489" t="inlineStr">
        <is>
          <t>New York : Crossroad, c1987.</t>
        </is>
      </c>
      <c r="M1489" t="inlineStr">
        <is>
          <t>1987</t>
        </is>
      </c>
      <c r="O1489" t="inlineStr">
        <is>
          <t>eng</t>
        </is>
      </c>
      <c r="P1489" t="inlineStr">
        <is>
          <t>nyu</t>
        </is>
      </c>
      <c r="R1489" t="inlineStr">
        <is>
          <t xml:space="preserve">BX </t>
        </is>
      </c>
      <c r="S1489" t="n">
        <v>2</v>
      </c>
      <c r="T1489" t="n">
        <v>2</v>
      </c>
      <c r="U1489" t="inlineStr">
        <is>
          <t>2007-01-04</t>
        </is>
      </c>
      <c r="V1489" t="inlineStr">
        <is>
          <t>2007-01-04</t>
        </is>
      </c>
      <c r="W1489" t="inlineStr">
        <is>
          <t>1991-10-29</t>
        </is>
      </c>
      <c r="X1489" t="inlineStr">
        <is>
          <t>1991-10-29</t>
        </is>
      </c>
      <c r="Y1489" t="n">
        <v>275</v>
      </c>
      <c r="Z1489" t="n">
        <v>247</v>
      </c>
      <c r="AA1489" t="n">
        <v>269</v>
      </c>
      <c r="AB1489" t="n">
        <v>2</v>
      </c>
      <c r="AC1489" t="n">
        <v>2</v>
      </c>
      <c r="AD1489" t="n">
        <v>20</v>
      </c>
      <c r="AE1489" t="n">
        <v>22</v>
      </c>
      <c r="AF1489" t="n">
        <v>6</v>
      </c>
      <c r="AG1489" t="n">
        <v>8</v>
      </c>
      <c r="AH1489" t="n">
        <v>5</v>
      </c>
      <c r="AI1489" t="n">
        <v>5</v>
      </c>
      <c r="AJ1489" t="n">
        <v>14</v>
      </c>
      <c r="AK1489" t="n">
        <v>16</v>
      </c>
      <c r="AL1489" t="n">
        <v>0</v>
      </c>
      <c r="AM1489" t="n">
        <v>0</v>
      </c>
      <c r="AN1489" t="n">
        <v>0</v>
      </c>
      <c r="AO1489" t="n">
        <v>0</v>
      </c>
      <c r="AP1489" t="inlineStr">
        <is>
          <t>No</t>
        </is>
      </c>
      <c r="AQ1489" t="inlineStr">
        <is>
          <t>No</t>
        </is>
      </c>
      <c r="AS1489">
        <f>HYPERLINK("https://creighton-primo.hosted.exlibrisgroup.com/primo-explore/search?tab=default_tab&amp;search_scope=EVERYTHING&amp;vid=01CRU&amp;lang=en_US&amp;offset=0&amp;query=any,contains,991001083639702656","Catalog Record")</f>
        <v/>
      </c>
      <c r="AT1489">
        <f>HYPERLINK("http://www.worldcat.org/oclc/16092034","WorldCat Record")</f>
        <v/>
      </c>
      <c r="AU1489" t="inlineStr">
        <is>
          <t>604073:eng</t>
        </is>
      </c>
      <c r="AV1489" t="inlineStr">
        <is>
          <t>16092034</t>
        </is>
      </c>
      <c r="AW1489" t="inlineStr">
        <is>
          <t>991001083639702656</t>
        </is>
      </c>
      <c r="AX1489" t="inlineStr">
        <is>
          <t>991001083639702656</t>
        </is>
      </c>
      <c r="AY1489" t="inlineStr">
        <is>
          <t>2263772390002656</t>
        </is>
      </c>
      <c r="AZ1489" t="inlineStr">
        <is>
          <t>BOOK</t>
        </is>
      </c>
      <c r="BB1489" t="inlineStr">
        <is>
          <t>9780824508371</t>
        </is>
      </c>
      <c r="BC1489" t="inlineStr">
        <is>
          <t>32285000813575</t>
        </is>
      </c>
      <c r="BD1489" t="inlineStr">
        <is>
          <t>893791148</t>
        </is>
      </c>
    </row>
    <row r="1490">
      <c r="A1490" t="inlineStr">
        <is>
          <t>No</t>
        </is>
      </c>
      <c r="B1490" t="inlineStr">
        <is>
          <t>BX2350.2 .D86 1985</t>
        </is>
      </c>
      <c r="C1490" t="inlineStr">
        <is>
          <t>0                      BX 2350200D  86          1985</t>
        </is>
      </c>
      <c r="D1490" t="inlineStr">
        <is>
          <t>The house of wisdom : a pilgrimage / John S. Dunne.</t>
        </is>
      </c>
      <c r="F1490" t="inlineStr">
        <is>
          <t>No</t>
        </is>
      </c>
      <c r="G1490" t="inlineStr">
        <is>
          <t>1</t>
        </is>
      </c>
      <c r="H1490" t="inlineStr">
        <is>
          <t>No</t>
        </is>
      </c>
      <c r="I1490" t="inlineStr">
        <is>
          <t>No</t>
        </is>
      </c>
      <c r="J1490" t="inlineStr">
        <is>
          <t>0</t>
        </is>
      </c>
      <c r="K1490" t="inlineStr">
        <is>
          <t>Dunne, John S., 1929-2013.</t>
        </is>
      </c>
      <c r="L1490" t="inlineStr">
        <is>
          <t>San Francisco : Harper &amp; Row, c1985.</t>
        </is>
      </c>
      <c r="M1490" t="inlineStr">
        <is>
          <t>1985</t>
        </is>
      </c>
      <c r="N1490" t="inlineStr">
        <is>
          <t>1st ed.</t>
        </is>
      </c>
      <c r="O1490" t="inlineStr">
        <is>
          <t>eng</t>
        </is>
      </c>
      <c r="P1490" t="inlineStr">
        <is>
          <t>cau</t>
        </is>
      </c>
      <c r="R1490" t="inlineStr">
        <is>
          <t xml:space="preserve">BX </t>
        </is>
      </c>
      <c r="S1490" t="n">
        <v>2</v>
      </c>
      <c r="T1490" t="n">
        <v>2</v>
      </c>
      <c r="U1490" t="inlineStr">
        <is>
          <t>2007-01-04</t>
        </is>
      </c>
      <c r="V1490" t="inlineStr">
        <is>
          <t>2007-01-04</t>
        </is>
      </c>
      <c r="W1490" t="inlineStr">
        <is>
          <t>1991-10-29</t>
        </is>
      </c>
      <c r="X1490" t="inlineStr">
        <is>
          <t>1991-10-29</t>
        </is>
      </c>
      <c r="Y1490" t="n">
        <v>332</v>
      </c>
      <c r="Z1490" t="n">
        <v>307</v>
      </c>
      <c r="AA1490" t="n">
        <v>335</v>
      </c>
      <c r="AB1490" t="n">
        <v>3</v>
      </c>
      <c r="AC1490" t="n">
        <v>3</v>
      </c>
      <c r="AD1490" t="n">
        <v>32</v>
      </c>
      <c r="AE1490" t="n">
        <v>32</v>
      </c>
      <c r="AF1490" t="n">
        <v>10</v>
      </c>
      <c r="AG1490" t="n">
        <v>10</v>
      </c>
      <c r="AH1490" t="n">
        <v>8</v>
      </c>
      <c r="AI1490" t="n">
        <v>8</v>
      </c>
      <c r="AJ1490" t="n">
        <v>24</v>
      </c>
      <c r="AK1490" t="n">
        <v>24</v>
      </c>
      <c r="AL1490" t="n">
        <v>1</v>
      </c>
      <c r="AM1490" t="n">
        <v>1</v>
      </c>
      <c r="AN1490" t="n">
        <v>0</v>
      </c>
      <c r="AO1490" t="n">
        <v>0</v>
      </c>
      <c r="AP1490" t="inlineStr">
        <is>
          <t>No</t>
        </is>
      </c>
      <c r="AQ1490" t="inlineStr">
        <is>
          <t>No</t>
        </is>
      </c>
      <c r="AS1490">
        <f>HYPERLINK("https://creighton-primo.hosted.exlibrisgroup.com/primo-explore/search?tab=default_tab&amp;search_scope=EVERYTHING&amp;vid=01CRU&amp;lang=en_US&amp;offset=0&amp;query=any,contains,991000551209702656","Catalog Record")</f>
        <v/>
      </c>
      <c r="AT1490">
        <f>HYPERLINK("http://www.worldcat.org/oclc/11533248","WorldCat Record")</f>
        <v/>
      </c>
      <c r="AU1490" t="inlineStr">
        <is>
          <t>4160331:eng</t>
        </is>
      </c>
      <c r="AV1490" t="inlineStr">
        <is>
          <t>11533248</t>
        </is>
      </c>
      <c r="AW1490" t="inlineStr">
        <is>
          <t>991000551209702656</t>
        </is>
      </c>
      <c r="AX1490" t="inlineStr">
        <is>
          <t>991000551209702656</t>
        </is>
      </c>
      <c r="AY1490" t="inlineStr">
        <is>
          <t>2258272040002656</t>
        </is>
      </c>
      <c r="AZ1490" t="inlineStr">
        <is>
          <t>BOOK</t>
        </is>
      </c>
      <c r="BB1490" t="inlineStr">
        <is>
          <t>9780060621063</t>
        </is>
      </c>
      <c r="BC1490" t="inlineStr">
        <is>
          <t>32285000813583</t>
        </is>
      </c>
      <c r="BD1490" t="inlineStr">
        <is>
          <t>893345770</t>
        </is>
      </c>
    </row>
    <row r="1491">
      <c r="A1491" t="inlineStr">
        <is>
          <t>No</t>
        </is>
      </c>
      <c r="B1491" t="inlineStr">
        <is>
          <t>BX2350.2 .D89 1987</t>
        </is>
      </c>
      <c r="C1491" t="inlineStr">
        <is>
          <t>0                      BX 2350200D  89          1987</t>
        </is>
      </c>
      <c r="D1491" t="inlineStr">
        <is>
          <t>Lift your sails : the challenge of being a Christian / Vincent Dwyer.</t>
        </is>
      </c>
      <c r="F1491" t="inlineStr">
        <is>
          <t>No</t>
        </is>
      </c>
      <c r="G1491" t="inlineStr">
        <is>
          <t>1</t>
        </is>
      </c>
      <c r="H1491" t="inlineStr">
        <is>
          <t>No</t>
        </is>
      </c>
      <c r="I1491" t="inlineStr">
        <is>
          <t>No</t>
        </is>
      </c>
      <c r="J1491" t="inlineStr">
        <is>
          <t>0</t>
        </is>
      </c>
      <c r="K1491" t="inlineStr">
        <is>
          <t>Dwyer, Vincent, 1928-</t>
        </is>
      </c>
      <c r="L1491" t="inlineStr">
        <is>
          <t>New York : Doubleday, 1987.</t>
        </is>
      </c>
      <c r="M1491" t="inlineStr">
        <is>
          <t>1987</t>
        </is>
      </c>
      <c r="N1491" t="inlineStr">
        <is>
          <t>1st ed.</t>
        </is>
      </c>
      <c r="O1491" t="inlineStr">
        <is>
          <t>eng</t>
        </is>
      </c>
      <c r="P1491" t="inlineStr">
        <is>
          <t>nyu</t>
        </is>
      </c>
      <c r="R1491" t="inlineStr">
        <is>
          <t xml:space="preserve">BX </t>
        </is>
      </c>
      <c r="S1491" t="n">
        <v>7</v>
      </c>
      <c r="T1491" t="n">
        <v>7</v>
      </c>
      <c r="U1491" t="inlineStr">
        <is>
          <t>2005-10-10</t>
        </is>
      </c>
      <c r="V1491" t="inlineStr">
        <is>
          <t>2005-10-10</t>
        </is>
      </c>
      <c r="W1491" t="inlineStr">
        <is>
          <t>1990-08-14</t>
        </is>
      </c>
      <c r="X1491" t="inlineStr">
        <is>
          <t>1990-08-14</t>
        </is>
      </c>
      <c r="Y1491" t="n">
        <v>132</v>
      </c>
      <c r="Z1491" t="n">
        <v>115</v>
      </c>
      <c r="AA1491" t="n">
        <v>167</v>
      </c>
      <c r="AB1491" t="n">
        <v>2</v>
      </c>
      <c r="AC1491" t="n">
        <v>2</v>
      </c>
      <c r="AD1491" t="n">
        <v>11</v>
      </c>
      <c r="AE1491" t="n">
        <v>11</v>
      </c>
      <c r="AF1491" t="n">
        <v>3</v>
      </c>
      <c r="AG1491" t="n">
        <v>3</v>
      </c>
      <c r="AH1491" t="n">
        <v>2</v>
      </c>
      <c r="AI1491" t="n">
        <v>2</v>
      </c>
      <c r="AJ1491" t="n">
        <v>10</v>
      </c>
      <c r="AK1491" t="n">
        <v>10</v>
      </c>
      <c r="AL1491" t="n">
        <v>0</v>
      </c>
      <c r="AM1491" t="n">
        <v>0</v>
      </c>
      <c r="AN1491" t="n">
        <v>0</v>
      </c>
      <c r="AO1491" t="n">
        <v>0</v>
      </c>
      <c r="AP1491" t="inlineStr">
        <is>
          <t>No</t>
        </is>
      </c>
      <c r="AQ1491" t="inlineStr">
        <is>
          <t>No</t>
        </is>
      </c>
      <c r="AS1491">
        <f>HYPERLINK("https://creighton-primo.hosted.exlibrisgroup.com/primo-explore/search?tab=default_tab&amp;search_scope=EVERYTHING&amp;vid=01CRU&amp;lang=en_US&amp;offset=0&amp;query=any,contains,991001024149702656","Catalog Record")</f>
        <v/>
      </c>
      <c r="AT1491">
        <f>HYPERLINK("http://www.worldcat.org/oclc/15428385","WorldCat Record")</f>
        <v/>
      </c>
      <c r="AU1491" t="inlineStr">
        <is>
          <t>10502319:eng</t>
        </is>
      </c>
      <c r="AV1491" t="inlineStr">
        <is>
          <t>15428385</t>
        </is>
      </c>
      <c r="AW1491" t="inlineStr">
        <is>
          <t>991001024149702656</t>
        </is>
      </c>
      <c r="AX1491" t="inlineStr">
        <is>
          <t>991001024149702656</t>
        </is>
      </c>
      <c r="AY1491" t="inlineStr">
        <is>
          <t>2262011470002656</t>
        </is>
      </c>
      <c r="AZ1491" t="inlineStr">
        <is>
          <t>BOOK</t>
        </is>
      </c>
      <c r="BB1491" t="inlineStr">
        <is>
          <t>9780385242561</t>
        </is>
      </c>
      <c r="BC1491" t="inlineStr">
        <is>
          <t>32285000268481</t>
        </is>
      </c>
      <c r="BD1491" t="inlineStr">
        <is>
          <t>893715100</t>
        </is>
      </c>
    </row>
    <row r="1492">
      <c r="A1492" t="inlineStr">
        <is>
          <t>No</t>
        </is>
      </c>
      <c r="B1492" t="inlineStr">
        <is>
          <t>BX2350.2 .E8313 1969</t>
        </is>
      </c>
      <c r="C1492" t="inlineStr">
        <is>
          <t>0                      BX 2350200E  8313        1969</t>
        </is>
      </c>
      <c r="D1492" t="inlineStr">
        <is>
          <t>In the Christian spirit / Louis Evely. Translated by Brian and Marie-Claude Thompson.</t>
        </is>
      </c>
      <c r="F1492" t="inlineStr">
        <is>
          <t>No</t>
        </is>
      </c>
      <c r="G1492" t="inlineStr">
        <is>
          <t>1</t>
        </is>
      </c>
      <c r="H1492" t="inlineStr">
        <is>
          <t>No</t>
        </is>
      </c>
      <c r="I1492" t="inlineStr">
        <is>
          <t>No</t>
        </is>
      </c>
      <c r="J1492" t="inlineStr">
        <is>
          <t>0</t>
        </is>
      </c>
      <c r="K1492" t="inlineStr">
        <is>
          <t>Évely, Louis, 1910-1985.</t>
        </is>
      </c>
      <c r="L1492" t="inlineStr">
        <is>
          <t>[New York] : Herder and Herder, [1969]</t>
        </is>
      </c>
      <c r="M1492" t="inlineStr">
        <is>
          <t>1969</t>
        </is>
      </c>
      <c r="O1492" t="inlineStr">
        <is>
          <t>eng</t>
        </is>
      </c>
      <c r="P1492" t="inlineStr">
        <is>
          <t>nyu</t>
        </is>
      </c>
      <c r="R1492" t="inlineStr">
        <is>
          <t xml:space="preserve">BX </t>
        </is>
      </c>
      <c r="S1492" t="n">
        <v>2</v>
      </c>
      <c r="T1492" t="n">
        <v>2</v>
      </c>
      <c r="U1492" t="inlineStr">
        <is>
          <t>1992-03-28</t>
        </is>
      </c>
      <c r="V1492" t="inlineStr">
        <is>
          <t>1992-03-28</t>
        </is>
      </c>
      <c r="W1492" t="inlineStr">
        <is>
          <t>1991-10-29</t>
        </is>
      </c>
      <c r="X1492" t="inlineStr">
        <is>
          <t>1991-10-29</t>
        </is>
      </c>
      <c r="Y1492" t="n">
        <v>157</v>
      </c>
      <c r="Z1492" t="n">
        <v>143</v>
      </c>
      <c r="AA1492" t="n">
        <v>166</v>
      </c>
      <c r="AB1492" t="n">
        <v>2</v>
      </c>
      <c r="AC1492" t="n">
        <v>2</v>
      </c>
      <c r="AD1492" t="n">
        <v>19</v>
      </c>
      <c r="AE1492" t="n">
        <v>21</v>
      </c>
      <c r="AF1492" t="n">
        <v>7</v>
      </c>
      <c r="AG1492" t="n">
        <v>7</v>
      </c>
      <c r="AH1492" t="n">
        <v>6</v>
      </c>
      <c r="AI1492" t="n">
        <v>7</v>
      </c>
      <c r="AJ1492" t="n">
        <v>15</v>
      </c>
      <c r="AK1492" t="n">
        <v>16</v>
      </c>
      <c r="AL1492" t="n">
        <v>0</v>
      </c>
      <c r="AM1492" t="n">
        <v>0</v>
      </c>
      <c r="AN1492" t="n">
        <v>0</v>
      </c>
      <c r="AO1492" t="n">
        <v>0</v>
      </c>
      <c r="AP1492" t="inlineStr">
        <is>
          <t>No</t>
        </is>
      </c>
      <c r="AQ1492" t="inlineStr">
        <is>
          <t>No</t>
        </is>
      </c>
      <c r="AS1492">
        <f>HYPERLINK("https://creighton-primo.hosted.exlibrisgroup.com/primo-explore/search?tab=default_tab&amp;search_scope=EVERYTHING&amp;vid=01CRU&amp;lang=en_US&amp;offset=0&amp;query=any,contains,991003837849702656","Catalog Record")</f>
        <v/>
      </c>
      <c r="AT1492">
        <f>HYPERLINK("http://www.worldcat.org/oclc/1609278","WorldCat Record")</f>
        <v/>
      </c>
      <c r="AU1492" t="inlineStr">
        <is>
          <t>326054477:eng</t>
        </is>
      </c>
      <c r="AV1492" t="inlineStr">
        <is>
          <t>1609278</t>
        </is>
      </c>
      <c r="AW1492" t="inlineStr">
        <is>
          <t>991003837849702656</t>
        </is>
      </c>
      <c r="AX1492" t="inlineStr">
        <is>
          <t>991003837849702656</t>
        </is>
      </c>
      <c r="AY1492" t="inlineStr">
        <is>
          <t>2263797970002656</t>
        </is>
      </c>
      <c r="AZ1492" t="inlineStr">
        <is>
          <t>BOOK</t>
        </is>
      </c>
      <c r="BC1492" t="inlineStr">
        <is>
          <t>32285000813591</t>
        </is>
      </c>
      <c r="BD1492" t="inlineStr">
        <is>
          <t>893228534</t>
        </is>
      </c>
    </row>
    <row r="1493">
      <c r="A1493" t="inlineStr">
        <is>
          <t>No</t>
        </is>
      </c>
      <c r="B1493" t="inlineStr">
        <is>
          <t>BX2350.2 .E8513 1967</t>
        </is>
      </c>
      <c r="C1493" t="inlineStr">
        <is>
          <t>0                      BX 2350200E  8513        1967</t>
        </is>
      </c>
      <c r="D1493" t="inlineStr">
        <is>
          <t>We are all brothers / Louis Evely. Translated by Sister Mary Agnes.</t>
        </is>
      </c>
      <c r="F1493" t="inlineStr">
        <is>
          <t>No</t>
        </is>
      </c>
      <c r="G1493" t="inlineStr">
        <is>
          <t>1</t>
        </is>
      </c>
      <c r="H1493" t="inlineStr">
        <is>
          <t>No</t>
        </is>
      </c>
      <c r="I1493" t="inlineStr">
        <is>
          <t>No</t>
        </is>
      </c>
      <c r="J1493" t="inlineStr">
        <is>
          <t>0</t>
        </is>
      </c>
      <c r="K1493" t="inlineStr">
        <is>
          <t>Évely, Louis, 1910-1985.</t>
        </is>
      </c>
      <c r="L1493" t="inlineStr">
        <is>
          <t>[New York] : Herder and Herder, [1967]</t>
        </is>
      </c>
      <c r="M1493" t="inlineStr">
        <is>
          <t>1967</t>
        </is>
      </c>
      <c r="O1493" t="inlineStr">
        <is>
          <t>eng</t>
        </is>
      </c>
      <c r="P1493" t="inlineStr">
        <is>
          <t>nyu</t>
        </is>
      </c>
      <c r="R1493" t="inlineStr">
        <is>
          <t xml:space="preserve">BX </t>
        </is>
      </c>
      <c r="S1493" t="n">
        <v>7</v>
      </c>
      <c r="T1493" t="n">
        <v>7</v>
      </c>
      <c r="U1493" t="inlineStr">
        <is>
          <t>1998-11-10</t>
        </is>
      </c>
      <c r="V1493" t="inlineStr">
        <is>
          <t>1998-11-10</t>
        </is>
      </c>
      <c r="W1493" t="inlineStr">
        <is>
          <t>1991-10-29</t>
        </is>
      </c>
      <c r="X1493" t="inlineStr">
        <is>
          <t>1991-10-29</t>
        </is>
      </c>
      <c r="Y1493" t="n">
        <v>250</v>
      </c>
      <c r="Z1493" t="n">
        <v>225</v>
      </c>
      <c r="AA1493" t="n">
        <v>249</v>
      </c>
      <c r="AB1493" t="n">
        <v>2</v>
      </c>
      <c r="AC1493" t="n">
        <v>2</v>
      </c>
      <c r="AD1493" t="n">
        <v>24</v>
      </c>
      <c r="AE1493" t="n">
        <v>25</v>
      </c>
      <c r="AF1493" t="n">
        <v>7</v>
      </c>
      <c r="AG1493" t="n">
        <v>7</v>
      </c>
      <c r="AH1493" t="n">
        <v>7</v>
      </c>
      <c r="AI1493" t="n">
        <v>7</v>
      </c>
      <c r="AJ1493" t="n">
        <v>20</v>
      </c>
      <c r="AK1493" t="n">
        <v>21</v>
      </c>
      <c r="AL1493" t="n">
        <v>0</v>
      </c>
      <c r="AM1493" t="n">
        <v>0</v>
      </c>
      <c r="AN1493" t="n">
        <v>0</v>
      </c>
      <c r="AO1493" t="n">
        <v>0</v>
      </c>
      <c r="AP1493" t="inlineStr">
        <is>
          <t>No</t>
        </is>
      </c>
      <c r="AQ1493" t="inlineStr">
        <is>
          <t>No</t>
        </is>
      </c>
      <c r="AS1493">
        <f>HYPERLINK("https://creighton-primo.hosted.exlibrisgroup.com/primo-explore/search?tab=default_tab&amp;search_scope=EVERYTHING&amp;vid=01CRU&amp;lang=en_US&amp;offset=0&amp;query=any,contains,991003490069702656","Catalog Record")</f>
        <v/>
      </c>
      <c r="AT1493">
        <f>HYPERLINK("http://www.worldcat.org/oclc/1039208","WorldCat Record")</f>
        <v/>
      </c>
      <c r="AU1493" t="inlineStr">
        <is>
          <t>8909777095:eng</t>
        </is>
      </c>
      <c r="AV1493" t="inlineStr">
        <is>
          <t>1039208</t>
        </is>
      </c>
      <c r="AW1493" t="inlineStr">
        <is>
          <t>991003490069702656</t>
        </is>
      </c>
      <c r="AX1493" t="inlineStr">
        <is>
          <t>991003490069702656</t>
        </is>
      </c>
      <c r="AY1493" t="inlineStr">
        <is>
          <t>2264708330002656</t>
        </is>
      </c>
      <c r="AZ1493" t="inlineStr">
        <is>
          <t>BOOK</t>
        </is>
      </c>
      <c r="BC1493" t="inlineStr">
        <is>
          <t>32285000813609</t>
        </is>
      </c>
      <c r="BD1493" t="inlineStr">
        <is>
          <t>893627610</t>
        </is>
      </c>
    </row>
    <row r="1494">
      <c r="A1494" t="inlineStr">
        <is>
          <t>No</t>
        </is>
      </c>
      <c r="B1494" t="inlineStr">
        <is>
          <t>BX2350.2 .E85513 1968</t>
        </is>
      </c>
      <c r="C1494" t="inlineStr">
        <is>
          <t>0                      BX 2350200E  85513       1968</t>
        </is>
      </c>
      <c r="D1494" t="inlineStr">
        <is>
          <t>The prayer of a modern man / by Louis Evely. Translated from the French by Noel Rae.</t>
        </is>
      </c>
      <c r="F1494" t="inlineStr">
        <is>
          <t>No</t>
        </is>
      </c>
      <c r="G1494" t="inlineStr">
        <is>
          <t>1</t>
        </is>
      </c>
      <c r="H1494" t="inlineStr">
        <is>
          <t>No</t>
        </is>
      </c>
      <c r="I1494" t="inlineStr">
        <is>
          <t>Yes</t>
        </is>
      </c>
      <c r="J1494" t="inlineStr">
        <is>
          <t>0</t>
        </is>
      </c>
      <c r="K1494" t="inlineStr">
        <is>
          <t>Évely, Louis, 1910-1985.</t>
        </is>
      </c>
      <c r="L1494" t="inlineStr">
        <is>
          <t>Wilkes-Barre, Pa. : Dimension Books, [c1968]</t>
        </is>
      </c>
      <c r="M1494" t="inlineStr">
        <is>
          <t>1968</t>
        </is>
      </c>
      <c r="O1494" t="inlineStr">
        <is>
          <t>eng</t>
        </is>
      </c>
      <c r="P1494" t="inlineStr">
        <is>
          <t>pau</t>
        </is>
      </c>
      <c r="R1494" t="inlineStr">
        <is>
          <t xml:space="preserve">BX </t>
        </is>
      </c>
      <c r="S1494" t="n">
        <v>2</v>
      </c>
      <c r="T1494" t="n">
        <v>2</v>
      </c>
      <c r="U1494" t="inlineStr">
        <is>
          <t>1992-03-28</t>
        </is>
      </c>
      <c r="V1494" t="inlineStr">
        <is>
          <t>1992-03-28</t>
        </is>
      </c>
      <c r="W1494" t="inlineStr">
        <is>
          <t>1991-10-29</t>
        </is>
      </c>
      <c r="X1494" t="inlineStr">
        <is>
          <t>1991-10-29</t>
        </is>
      </c>
      <c r="Y1494" t="n">
        <v>185</v>
      </c>
      <c r="Z1494" t="n">
        <v>160</v>
      </c>
      <c r="AA1494" t="n">
        <v>288</v>
      </c>
      <c r="AB1494" t="n">
        <v>3</v>
      </c>
      <c r="AC1494" t="n">
        <v>4</v>
      </c>
      <c r="AD1494" t="n">
        <v>24</v>
      </c>
      <c r="AE1494" t="n">
        <v>31</v>
      </c>
      <c r="AF1494" t="n">
        <v>7</v>
      </c>
      <c r="AG1494" t="n">
        <v>11</v>
      </c>
      <c r="AH1494" t="n">
        <v>7</v>
      </c>
      <c r="AI1494" t="n">
        <v>7</v>
      </c>
      <c r="AJ1494" t="n">
        <v>19</v>
      </c>
      <c r="AK1494" t="n">
        <v>24</v>
      </c>
      <c r="AL1494" t="n">
        <v>0</v>
      </c>
      <c r="AM1494" t="n">
        <v>1</v>
      </c>
      <c r="AN1494" t="n">
        <v>0</v>
      </c>
      <c r="AO1494" t="n">
        <v>0</v>
      </c>
      <c r="AP1494" t="inlineStr">
        <is>
          <t>No</t>
        </is>
      </c>
      <c r="AQ1494" t="inlineStr">
        <is>
          <t>No</t>
        </is>
      </c>
      <c r="AS1494">
        <f>HYPERLINK("https://creighton-primo.hosted.exlibrisgroup.com/primo-explore/search?tab=default_tab&amp;search_scope=EVERYTHING&amp;vid=01CRU&amp;lang=en_US&amp;offset=0&amp;query=any,contains,991000157469702656","Catalog Record")</f>
        <v/>
      </c>
      <c r="AT1494">
        <f>HYPERLINK("http://www.worldcat.org/oclc/60540","WorldCat Record")</f>
        <v/>
      </c>
      <c r="AU1494" t="inlineStr">
        <is>
          <t>9349344185:eng</t>
        </is>
      </c>
      <c r="AV1494" t="inlineStr">
        <is>
          <t>60540</t>
        </is>
      </c>
      <c r="AW1494" t="inlineStr">
        <is>
          <t>991000157469702656</t>
        </is>
      </c>
      <c r="AX1494" t="inlineStr">
        <is>
          <t>991000157469702656</t>
        </is>
      </c>
      <c r="AY1494" t="inlineStr">
        <is>
          <t>2271627340002656</t>
        </is>
      </c>
      <c r="AZ1494" t="inlineStr">
        <is>
          <t>BOOK</t>
        </is>
      </c>
      <c r="BC1494" t="inlineStr">
        <is>
          <t>32285000813617</t>
        </is>
      </c>
      <c r="BD1494" t="inlineStr">
        <is>
          <t>893438065</t>
        </is>
      </c>
    </row>
    <row r="1495">
      <c r="A1495" t="inlineStr">
        <is>
          <t>No</t>
        </is>
      </c>
      <c r="B1495" t="inlineStr">
        <is>
          <t>BX2350.2 .F37 1974</t>
        </is>
      </c>
      <c r="C1495" t="inlineStr">
        <is>
          <t>0                      BX 2350200F  37          1974</t>
        </is>
      </c>
      <c r="D1495" t="inlineStr">
        <is>
          <t>Disciples and other strangers / by Edward J. Farrell.</t>
        </is>
      </c>
      <c r="F1495" t="inlineStr">
        <is>
          <t>No</t>
        </is>
      </c>
      <c r="G1495" t="inlineStr">
        <is>
          <t>1</t>
        </is>
      </c>
      <c r="H1495" t="inlineStr">
        <is>
          <t>No</t>
        </is>
      </c>
      <c r="I1495" t="inlineStr">
        <is>
          <t>No</t>
        </is>
      </c>
      <c r="J1495" t="inlineStr">
        <is>
          <t>0</t>
        </is>
      </c>
      <c r="K1495" t="inlineStr">
        <is>
          <t>Farrell, Edward J., Rev.</t>
        </is>
      </c>
      <c r="L1495" t="inlineStr">
        <is>
          <t>Denville, N.J. : Dimension Books, [c1974]</t>
        </is>
      </c>
      <c r="M1495" t="inlineStr">
        <is>
          <t>1974</t>
        </is>
      </c>
      <c r="O1495" t="inlineStr">
        <is>
          <t>eng</t>
        </is>
      </c>
      <c r="P1495" t="inlineStr">
        <is>
          <t>nju</t>
        </is>
      </c>
      <c r="R1495" t="inlineStr">
        <is>
          <t xml:space="preserve">BX </t>
        </is>
      </c>
      <c r="S1495" t="n">
        <v>1</v>
      </c>
      <c r="T1495" t="n">
        <v>1</v>
      </c>
      <c r="U1495" t="inlineStr">
        <is>
          <t>2009-07-28</t>
        </is>
      </c>
      <c r="V1495" t="inlineStr">
        <is>
          <t>2009-07-28</t>
        </is>
      </c>
      <c r="W1495" t="inlineStr">
        <is>
          <t>2009-07-27</t>
        </is>
      </c>
      <c r="X1495" t="inlineStr">
        <is>
          <t>2009-07-27</t>
        </is>
      </c>
      <c r="Y1495" t="n">
        <v>154</v>
      </c>
      <c r="Z1495" t="n">
        <v>127</v>
      </c>
      <c r="AA1495" t="n">
        <v>133</v>
      </c>
      <c r="AB1495" t="n">
        <v>3</v>
      </c>
      <c r="AC1495" t="n">
        <v>3</v>
      </c>
      <c r="AD1495" t="n">
        <v>18</v>
      </c>
      <c r="AE1495" t="n">
        <v>18</v>
      </c>
      <c r="AF1495" t="n">
        <v>2</v>
      </c>
      <c r="AG1495" t="n">
        <v>2</v>
      </c>
      <c r="AH1495" t="n">
        <v>4</v>
      </c>
      <c r="AI1495" t="n">
        <v>4</v>
      </c>
      <c r="AJ1495" t="n">
        <v>13</v>
      </c>
      <c r="AK1495" t="n">
        <v>13</v>
      </c>
      <c r="AL1495" t="n">
        <v>1</v>
      </c>
      <c r="AM1495" t="n">
        <v>1</v>
      </c>
      <c r="AN1495" t="n">
        <v>0</v>
      </c>
      <c r="AO1495" t="n">
        <v>0</v>
      </c>
      <c r="AP1495" t="inlineStr">
        <is>
          <t>No</t>
        </is>
      </c>
      <c r="AQ1495" t="inlineStr">
        <is>
          <t>No</t>
        </is>
      </c>
      <c r="AS1495">
        <f>HYPERLINK("https://creighton-primo.hosted.exlibrisgroup.com/primo-explore/search?tab=default_tab&amp;search_scope=EVERYTHING&amp;vid=01CRU&amp;lang=en_US&amp;offset=0&amp;query=any,contains,991005328099702656","Catalog Record")</f>
        <v/>
      </c>
      <c r="AT1495">
        <f>HYPERLINK("http://www.worldcat.org/oclc/988328","WorldCat Record")</f>
        <v/>
      </c>
      <c r="AU1495" t="inlineStr">
        <is>
          <t>4163063444:eng</t>
        </is>
      </c>
      <c r="AV1495" t="inlineStr">
        <is>
          <t>988328</t>
        </is>
      </c>
      <c r="AW1495" t="inlineStr">
        <is>
          <t>991005328099702656</t>
        </is>
      </c>
      <c r="AX1495" t="inlineStr">
        <is>
          <t>991005328099702656</t>
        </is>
      </c>
      <c r="AY1495" t="inlineStr">
        <is>
          <t>2268919090002656</t>
        </is>
      </c>
      <c r="AZ1495" t="inlineStr">
        <is>
          <t>BOOK</t>
        </is>
      </c>
      <c r="BC1495" t="inlineStr">
        <is>
          <t>32285005539365</t>
        </is>
      </c>
      <c r="BD1495" t="inlineStr">
        <is>
          <t>893412679</t>
        </is>
      </c>
    </row>
    <row r="1496">
      <c r="A1496" t="inlineStr">
        <is>
          <t>No</t>
        </is>
      </c>
      <c r="B1496" t="inlineStr">
        <is>
          <t>BX2350.2 .F434 1989</t>
        </is>
      </c>
      <c r="C1496" t="inlineStr">
        <is>
          <t>0                      BX 2350200F  434         1989</t>
        </is>
      </c>
      <c r="D1496" t="inlineStr">
        <is>
          <t>Recovering the sacred : Catholic faith, worship and practice : proceedings of the Fellowship of Catholic Scholars Twel[f]th Convention / edited by Paul L. Williams.</t>
        </is>
      </c>
      <c r="F1496" t="inlineStr">
        <is>
          <t>No</t>
        </is>
      </c>
      <c r="G1496" t="inlineStr">
        <is>
          <t>1</t>
        </is>
      </c>
      <c r="H1496" t="inlineStr">
        <is>
          <t>No</t>
        </is>
      </c>
      <c r="I1496" t="inlineStr">
        <is>
          <t>No</t>
        </is>
      </c>
      <c r="J1496" t="inlineStr">
        <is>
          <t>0</t>
        </is>
      </c>
      <c r="K1496" t="inlineStr">
        <is>
          <t>Fellowship of Catholic Scholars. Convention (12th : 1989 : Atlanta, Ga.)</t>
        </is>
      </c>
      <c r="L1496" t="inlineStr">
        <is>
          <t>Pittston, Pa. : Northeast Books, 1990.</t>
        </is>
      </c>
      <c r="M1496" t="inlineStr">
        <is>
          <t>1990</t>
        </is>
      </c>
      <c r="O1496" t="inlineStr">
        <is>
          <t>eng</t>
        </is>
      </c>
      <c r="P1496" t="inlineStr">
        <is>
          <t>pau</t>
        </is>
      </c>
      <c r="R1496" t="inlineStr">
        <is>
          <t xml:space="preserve">BX </t>
        </is>
      </c>
      <c r="S1496" t="n">
        <v>1</v>
      </c>
      <c r="T1496" t="n">
        <v>1</v>
      </c>
      <c r="U1496" t="inlineStr">
        <is>
          <t>2008-05-20</t>
        </is>
      </c>
      <c r="V1496" t="inlineStr">
        <is>
          <t>2008-05-20</t>
        </is>
      </c>
      <c r="W1496" t="inlineStr">
        <is>
          <t>2008-05-20</t>
        </is>
      </c>
      <c r="X1496" t="inlineStr">
        <is>
          <t>2008-05-20</t>
        </is>
      </c>
      <c r="Y1496" t="n">
        <v>38</v>
      </c>
      <c r="Z1496" t="n">
        <v>35</v>
      </c>
      <c r="AA1496" t="n">
        <v>35</v>
      </c>
      <c r="AB1496" t="n">
        <v>2</v>
      </c>
      <c r="AC1496" t="n">
        <v>2</v>
      </c>
      <c r="AD1496" t="n">
        <v>8</v>
      </c>
      <c r="AE1496" t="n">
        <v>8</v>
      </c>
      <c r="AF1496" t="n">
        <v>2</v>
      </c>
      <c r="AG1496" t="n">
        <v>2</v>
      </c>
      <c r="AH1496" t="n">
        <v>3</v>
      </c>
      <c r="AI1496" t="n">
        <v>3</v>
      </c>
      <c r="AJ1496" t="n">
        <v>5</v>
      </c>
      <c r="AK1496" t="n">
        <v>5</v>
      </c>
      <c r="AL1496" t="n">
        <v>0</v>
      </c>
      <c r="AM1496" t="n">
        <v>0</v>
      </c>
      <c r="AN1496" t="n">
        <v>0</v>
      </c>
      <c r="AO1496" t="n">
        <v>0</v>
      </c>
      <c r="AP1496" t="inlineStr">
        <is>
          <t>No</t>
        </is>
      </c>
      <c r="AQ1496" t="inlineStr">
        <is>
          <t>No</t>
        </is>
      </c>
      <c r="AS1496">
        <f>HYPERLINK("https://creighton-primo.hosted.exlibrisgroup.com/primo-explore/search?tab=default_tab&amp;search_scope=EVERYTHING&amp;vid=01CRU&amp;lang=en_US&amp;offset=0&amp;query=any,contains,991005223869702656","Catalog Record")</f>
        <v/>
      </c>
      <c r="AT1496">
        <f>HYPERLINK("http://www.worldcat.org/oclc/22970213","WorldCat Record")</f>
        <v/>
      </c>
      <c r="AU1496" t="inlineStr">
        <is>
          <t>2290701173:eng</t>
        </is>
      </c>
      <c r="AV1496" t="inlineStr">
        <is>
          <t>22970213</t>
        </is>
      </c>
      <c r="AW1496" t="inlineStr">
        <is>
          <t>991005223869702656</t>
        </is>
      </c>
      <c r="AX1496" t="inlineStr">
        <is>
          <t>991005223869702656</t>
        </is>
      </c>
      <c r="AY1496" t="inlineStr">
        <is>
          <t>2272146830002656</t>
        </is>
      </c>
      <c r="AZ1496" t="inlineStr">
        <is>
          <t>BOOK</t>
        </is>
      </c>
      <c r="BC1496" t="inlineStr">
        <is>
          <t>32285005409916</t>
        </is>
      </c>
      <c r="BD1496" t="inlineStr">
        <is>
          <t>893260762</t>
        </is>
      </c>
    </row>
    <row r="1497">
      <c r="A1497" t="inlineStr">
        <is>
          <t>No</t>
        </is>
      </c>
      <c r="B1497" t="inlineStr">
        <is>
          <t>BX2350.2 .F69 1986</t>
        </is>
      </c>
      <c r="C1497" t="inlineStr">
        <is>
          <t>0                      BX 2350200F  69          1986</t>
        </is>
      </c>
      <c r="D1497" t="inlineStr">
        <is>
          <t>God within us : movements, powers, and joys / by Peter A. Fraile.</t>
        </is>
      </c>
      <c r="F1497" t="inlineStr">
        <is>
          <t>No</t>
        </is>
      </c>
      <c r="G1497" t="inlineStr">
        <is>
          <t>1</t>
        </is>
      </c>
      <c r="H1497" t="inlineStr">
        <is>
          <t>No</t>
        </is>
      </c>
      <c r="I1497" t="inlineStr">
        <is>
          <t>No</t>
        </is>
      </c>
      <c r="J1497" t="inlineStr">
        <is>
          <t>0</t>
        </is>
      </c>
      <c r="K1497" t="inlineStr">
        <is>
          <t>Fraile, Peter A., 1937-</t>
        </is>
      </c>
      <c r="L1497" t="inlineStr">
        <is>
          <t>Chicago : Loyola University Press, c1986.</t>
        </is>
      </c>
      <c r="M1497" t="inlineStr">
        <is>
          <t>1986</t>
        </is>
      </c>
      <c r="O1497" t="inlineStr">
        <is>
          <t>eng</t>
        </is>
      </c>
      <c r="P1497" t="inlineStr">
        <is>
          <t>ilu</t>
        </is>
      </c>
      <c r="R1497" t="inlineStr">
        <is>
          <t xml:space="preserve">BX </t>
        </is>
      </c>
      <c r="S1497" t="n">
        <v>6</v>
      </c>
      <c r="T1497" t="n">
        <v>6</v>
      </c>
      <c r="U1497" t="inlineStr">
        <is>
          <t>1997-10-08</t>
        </is>
      </c>
      <c r="V1497" t="inlineStr">
        <is>
          <t>1997-10-08</t>
        </is>
      </c>
      <c r="W1497" t="inlineStr">
        <is>
          <t>1990-07-31</t>
        </is>
      </c>
      <c r="X1497" t="inlineStr">
        <is>
          <t>1990-07-31</t>
        </is>
      </c>
      <c r="Y1497" t="n">
        <v>88</v>
      </c>
      <c r="Z1497" t="n">
        <v>85</v>
      </c>
      <c r="AA1497" t="n">
        <v>85</v>
      </c>
      <c r="AB1497" t="n">
        <v>1</v>
      </c>
      <c r="AC1497" t="n">
        <v>1</v>
      </c>
      <c r="AD1497" t="n">
        <v>6</v>
      </c>
      <c r="AE1497" t="n">
        <v>6</v>
      </c>
      <c r="AF1497" t="n">
        <v>2</v>
      </c>
      <c r="AG1497" t="n">
        <v>2</v>
      </c>
      <c r="AH1497" t="n">
        <v>1</v>
      </c>
      <c r="AI1497" t="n">
        <v>1</v>
      </c>
      <c r="AJ1497" t="n">
        <v>6</v>
      </c>
      <c r="AK1497" t="n">
        <v>6</v>
      </c>
      <c r="AL1497" t="n">
        <v>0</v>
      </c>
      <c r="AM1497" t="n">
        <v>0</v>
      </c>
      <c r="AN1497" t="n">
        <v>0</v>
      </c>
      <c r="AO1497" t="n">
        <v>0</v>
      </c>
      <c r="AP1497" t="inlineStr">
        <is>
          <t>No</t>
        </is>
      </c>
      <c r="AQ1497" t="inlineStr">
        <is>
          <t>No</t>
        </is>
      </c>
      <c r="AS1497">
        <f>HYPERLINK("https://creighton-primo.hosted.exlibrisgroup.com/primo-explore/search?tab=default_tab&amp;search_scope=EVERYTHING&amp;vid=01CRU&amp;lang=en_US&amp;offset=0&amp;query=any,contains,991000811219702656","Catalog Record")</f>
        <v/>
      </c>
      <c r="AT1497">
        <f>HYPERLINK("http://www.worldcat.org/oclc/13331937","WorldCat Record")</f>
        <v/>
      </c>
      <c r="AU1497" t="inlineStr">
        <is>
          <t>4152893545:eng</t>
        </is>
      </c>
      <c r="AV1497" t="inlineStr">
        <is>
          <t>13331937</t>
        </is>
      </c>
      <c r="AW1497" t="inlineStr">
        <is>
          <t>991000811219702656</t>
        </is>
      </c>
      <c r="AX1497" t="inlineStr">
        <is>
          <t>991000811219702656</t>
        </is>
      </c>
      <c r="AY1497" t="inlineStr">
        <is>
          <t>2263533620002656</t>
        </is>
      </c>
      <c r="AZ1497" t="inlineStr">
        <is>
          <t>BOOK</t>
        </is>
      </c>
      <c r="BB1497" t="inlineStr">
        <is>
          <t>9780829405033</t>
        </is>
      </c>
      <c r="BC1497" t="inlineStr">
        <is>
          <t>32285000260223</t>
        </is>
      </c>
      <c r="BD1497" t="inlineStr">
        <is>
          <t>893589755</t>
        </is>
      </c>
    </row>
    <row r="1498">
      <c r="A1498" t="inlineStr">
        <is>
          <t>No</t>
        </is>
      </c>
      <c r="B1498" t="inlineStr">
        <is>
          <t>BX2350.2 .G3176 1985</t>
        </is>
      </c>
      <c r="C1498" t="inlineStr">
        <is>
          <t>0                      BX 2350200G  3176        1985</t>
        </is>
      </c>
      <c r="D1498" t="inlineStr">
        <is>
          <t>The future of our past : the Spanish mystics speak to contemporary spirituality / Segundo Galilea.</t>
        </is>
      </c>
      <c r="F1498" t="inlineStr">
        <is>
          <t>No</t>
        </is>
      </c>
      <c r="G1498" t="inlineStr">
        <is>
          <t>1</t>
        </is>
      </c>
      <c r="H1498" t="inlineStr">
        <is>
          <t>No</t>
        </is>
      </c>
      <c r="I1498" t="inlineStr">
        <is>
          <t>No</t>
        </is>
      </c>
      <c r="J1498" t="inlineStr">
        <is>
          <t>0</t>
        </is>
      </c>
      <c r="K1498" t="inlineStr">
        <is>
          <t>Galilea, Segundo.</t>
        </is>
      </c>
      <c r="L1498" t="inlineStr">
        <is>
          <t>Notre Dame, Ind. : Ave Maria Press, c1985.</t>
        </is>
      </c>
      <c r="M1498" t="inlineStr">
        <is>
          <t>1985</t>
        </is>
      </c>
      <c r="O1498" t="inlineStr">
        <is>
          <t>eng</t>
        </is>
      </c>
      <c r="P1498" t="inlineStr">
        <is>
          <t>inu</t>
        </is>
      </c>
      <c r="R1498" t="inlineStr">
        <is>
          <t xml:space="preserve">BX </t>
        </is>
      </c>
      <c r="S1498" t="n">
        <v>3</v>
      </c>
      <c r="T1498" t="n">
        <v>3</v>
      </c>
      <c r="U1498" t="inlineStr">
        <is>
          <t>1998-06-16</t>
        </is>
      </c>
      <c r="V1498" t="inlineStr">
        <is>
          <t>1998-06-16</t>
        </is>
      </c>
      <c r="W1498" t="inlineStr">
        <is>
          <t>1990-09-04</t>
        </is>
      </c>
      <c r="X1498" t="inlineStr">
        <is>
          <t>1990-09-04</t>
        </is>
      </c>
      <c r="Y1498" t="n">
        <v>174</v>
      </c>
      <c r="Z1498" t="n">
        <v>148</v>
      </c>
      <c r="AA1498" t="n">
        <v>148</v>
      </c>
      <c r="AB1498" t="n">
        <v>3</v>
      </c>
      <c r="AC1498" t="n">
        <v>3</v>
      </c>
      <c r="AD1498" t="n">
        <v>17</v>
      </c>
      <c r="AE1498" t="n">
        <v>17</v>
      </c>
      <c r="AF1498" t="n">
        <v>6</v>
      </c>
      <c r="AG1498" t="n">
        <v>6</v>
      </c>
      <c r="AH1498" t="n">
        <v>5</v>
      </c>
      <c r="AI1498" t="n">
        <v>5</v>
      </c>
      <c r="AJ1498" t="n">
        <v>12</v>
      </c>
      <c r="AK1498" t="n">
        <v>12</v>
      </c>
      <c r="AL1498" t="n">
        <v>0</v>
      </c>
      <c r="AM1498" t="n">
        <v>0</v>
      </c>
      <c r="AN1498" t="n">
        <v>0</v>
      </c>
      <c r="AO1498" t="n">
        <v>0</v>
      </c>
      <c r="AP1498" t="inlineStr">
        <is>
          <t>No</t>
        </is>
      </c>
      <c r="AQ1498" t="inlineStr">
        <is>
          <t>No</t>
        </is>
      </c>
      <c r="AS1498">
        <f>HYPERLINK("https://creighton-primo.hosted.exlibrisgroup.com/primo-explore/search?tab=default_tab&amp;search_scope=EVERYTHING&amp;vid=01CRU&amp;lang=en_US&amp;offset=0&amp;query=any,contains,991000736199702656","Catalog Record")</f>
        <v/>
      </c>
      <c r="AT1498">
        <f>HYPERLINK("http://www.worldcat.org/oclc/12779673","WorldCat Record")</f>
        <v/>
      </c>
      <c r="AU1498" t="inlineStr">
        <is>
          <t>3855272704:eng</t>
        </is>
      </c>
      <c r="AV1498" t="inlineStr">
        <is>
          <t>12779673</t>
        </is>
      </c>
      <c r="AW1498" t="inlineStr">
        <is>
          <t>991000736199702656</t>
        </is>
      </c>
      <c r="AX1498" t="inlineStr">
        <is>
          <t>991000736199702656</t>
        </is>
      </c>
      <c r="AY1498" t="inlineStr">
        <is>
          <t>2271215750002656</t>
        </is>
      </c>
      <c r="AZ1498" t="inlineStr">
        <is>
          <t>BOOK</t>
        </is>
      </c>
      <c r="BB1498" t="inlineStr">
        <is>
          <t>9780877932956</t>
        </is>
      </c>
      <c r="BC1498" t="inlineStr">
        <is>
          <t>32285000024785</t>
        </is>
      </c>
      <c r="BD1498" t="inlineStr">
        <is>
          <t>893871963</t>
        </is>
      </c>
    </row>
    <row r="1499">
      <c r="A1499" t="inlineStr">
        <is>
          <t>No</t>
        </is>
      </c>
      <c r="B1499" t="inlineStr">
        <is>
          <t>BX2350.2 .G353 1959</t>
        </is>
      </c>
      <c r="C1499" t="inlineStr">
        <is>
          <t>0                      BX 2350200G  353         1959</t>
        </is>
      </c>
      <c r="D1499" t="inlineStr">
        <is>
          <t>Some schools of Catholic spirituality / [by] Jean Gautier, aided by Eugène Masure [and others] Translated by Kathryn Sullivan.</t>
        </is>
      </c>
      <c r="F1499" t="inlineStr">
        <is>
          <t>No</t>
        </is>
      </c>
      <c r="G1499" t="inlineStr">
        <is>
          <t>1</t>
        </is>
      </c>
      <c r="H1499" t="inlineStr">
        <is>
          <t>No</t>
        </is>
      </c>
      <c r="I1499" t="inlineStr">
        <is>
          <t>No</t>
        </is>
      </c>
      <c r="J1499" t="inlineStr">
        <is>
          <t>0</t>
        </is>
      </c>
      <c r="K1499" t="inlineStr">
        <is>
          <t>Gautier, Jean.</t>
        </is>
      </c>
      <c r="L1499" t="inlineStr">
        <is>
          <t>Paris ; New York : Desclee Co., [1959]</t>
        </is>
      </c>
      <c r="M1499" t="inlineStr">
        <is>
          <t>1959</t>
        </is>
      </c>
      <c r="O1499" t="inlineStr">
        <is>
          <t>eng</t>
        </is>
      </c>
      <c r="P1499" t="inlineStr">
        <is>
          <t xml:space="preserve">fr </t>
        </is>
      </c>
      <c r="R1499" t="inlineStr">
        <is>
          <t xml:space="preserve">BX </t>
        </is>
      </c>
      <c r="S1499" t="n">
        <v>3</v>
      </c>
      <c r="T1499" t="n">
        <v>3</v>
      </c>
      <c r="U1499" t="inlineStr">
        <is>
          <t>1998-11-21</t>
        </is>
      </c>
      <c r="V1499" t="inlineStr">
        <is>
          <t>1998-11-21</t>
        </is>
      </c>
      <c r="W1499" t="inlineStr">
        <is>
          <t>1991-10-29</t>
        </is>
      </c>
      <c r="X1499" t="inlineStr">
        <is>
          <t>1991-10-29</t>
        </is>
      </c>
      <c r="Y1499" t="n">
        <v>160</v>
      </c>
      <c r="Z1499" t="n">
        <v>138</v>
      </c>
      <c r="AA1499" t="n">
        <v>140</v>
      </c>
      <c r="AB1499" t="n">
        <v>1</v>
      </c>
      <c r="AC1499" t="n">
        <v>1</v>
      </c>
      <c r="AD1499" t="n">
        <v>23</v>
      </c>
      <c r="AE1499" t="n">
        <v>23</v>
      </c>
      <c r="AF1499" t="n">
        <v>6</v>
      </c>
      <c r="AG1499" t="n">
        <v>6</v>
      </c>
      <c r="AH1499" t="n">
        <v>5</v>
      </c>
      <c r="AI1499" t="n">
        <v>5</v>
      </c>
      <c r="AJ1499" t="n">
        <v>20</v>
      </c>
      <c r="AK1499" t="n">
        <v>20</v>
      </c>
      <c r="AL1499" t="n">
        <v>0</v>
      </c>
      <c r="AM1499" t="n">
        <v>0</v>
      </c>
      <c r="AN1499" t="n">
        <v>0</v>
      </c>
      <c r="AO1499" t="n">
        <v>0</v>
      </c>
      <c r="AP1499" t="inlineStr">
        <is>
          <t>No</t>
        </is>
      </c>
      <c r="AQ1499" t="inlineStr">
        <is>
          <t>No</t>
        </is>
      </c>
      <c r="AS1499">
        <f>HYPERLINK("https://creighton-primo.hosted.exlibrisgroup.com/primo-explore/search?tab=default_tab&amp;search_scope=EVERYTHING&amp;vid=01CRU&amp;lang=en_US&amp;offset=0&amp;query=any,contains,991004095509702656","Catalog Record")</f>
        <v/>
      </c>
      <c r="AT1499">
        <f>HYPERLINK("http://www.worldcat.org/oclc/2358524","WorldCat Record")</f>
        <v/>
      </c>
      <c r="AU1499" t="inlineStr">
        <is>
          <t>2754319471:eng</t>
        </is>
      </c>
      <c r="AV1499" t="inlineStr">
        <is>
          <t>2358524</t>
        </is>
      </c>
      <c r="AW1499" t="inlineStr">
        <is>
          <t>991004095509702656</t>
        </is>
      </c>
      <c r="AX1499" t="inlineStr">
        <is>
          <t>991004095509702656</t>
        </is>
      </c>
      <c r="AY1499" t="inlineStr">
        <is>
          <t>2260971650002656</t>
        </is>
      </c>
      <c r="AZ1499" t="inlineStr">
        <is>
          <t>BOOK</t>
        </is>
      </c>
      <c r="BC1499" t="inlineStr">
        <is>
          <t>32285000814037</t>
        </is>
      </c>
      <c r="BD1499" t="inlineStr">
        <is>
          <t>893235050</t>
        </is>
      </c>
    </row>
    <row r="1500">
      <c r="A1500" t="inlineStr">
        <is>
          <t>No</t>
        </is>
      </c>
      <c r="B1500" t="inlineStr">
        <is>
          <t>BX2350.2 .G4 1959</t>
        </is>
      </c>
      <c r="C1500" t="inlineStr">
        <is>
          <t>0                      BX 2350200G  4           1959</t>
        </is>
      </c>
      <c r="D1500" t="inlineStr">
        <is>
          <t>Christians in a changing world / Dennis J. Geaney.</t>
        </is>
      </c>
      <c r="F1500" t="inlineStr">
        <is>
          <t>No</t>
        </is>
      </c>
      <c r="G1500" t="inlineStr">
        <is>
          <t>1</t>
        </is>
      </c>
      <c r="H1500" t="inlineStr">
        <is>
          <t>No</t>
        </is>
      </c>
      <c r="I1500" t="inlineStr">
        <is>
          <t>No</t>
        </is>
      </c>
      <c r="J1500" t="inlineStr">
        <is>
          <t>0</t>
        </is>
      </c>
      <c r="K1500" t="inlineStr">
        <is>
          <t>Geaney, Dennis J.</t>
        </is>
      </c>
      <c r="L1500" t="inlineStr">
        <is>
          <t>Chicago : Fides Publishers Association, [1959]</t>
        </is>
      </c>
      <c r="M1500" t="inlineStr">
        <is>
          <t>1959</t>
        </is>
      </c>
      <c r="O1500" t="inlineStr">
        <is>
          <t>eng</t>
        </is>
      </c>
      <c r="P1500" t="inlineStr">
        <is>
          <t xml:space="preserve">xx </t>
        </is>
      </c>
      <c r="R1500" t="inlineStr">
        <is>
          <t xml:space="preserve">BX </t>
        </is>
      </c>
      <c r="S1500" t="n">
        <v>4</v>
      </c>
      <c r="T1500" t="n">
        <v>4</v>
      </c>
      <c r="U1500" t="inlineStr">
        <is>
          <t>1998-04-07</t>
        </is>
      </c>
      <c r="V1500" t="inlineStr">
        <is>
          <t>1998-04-07</t>
        </is>
      </c>
      <c r="W1500" t="inlineStr">
        <is>
          <t>1991-10-29</t>
        </is>
      </c>
      <c r="X1500" t="inlineStr">
        <is>
          <t>1991-10-29</t>
        </is>
      </c>
      <c r="Y1500" t="n">
        <v>112</v>
      </c>
      <c r="Z1500" t="n">
        <v>103</v>
      </c>
      <c r="AA1500" t="n">
        <v>103</v>
      </c>
      <c r="AB1500" t="n">
        <v>1</v>
      </c>
      <c r="AC1500" t="n">
        <v>1</v>
      </c>
      <c r="AD1500" t="n">
        <v>23</v>
      </c>
      <c r="AE1500" t="n">
        <v>23</v>
      </c>
      <c r="AF1500" t="n">
        <v>5</v>
      </c>
      <c r="AG1500" t="n">
        <v>5</v>
      </c>
      <c r="AH1500" t="n">
        <v>7</v>
      </c>
      <c r="AI1500" t="n">
        <v>7</v>
      </c>
      <c r="AJ1500" t="n">
        <v>18</v>
      </c>
      <c r="AK1500" t="n">
        <v>18</v>
      </c>
      <c r="AL1500" t="n">
        <v>0</v>
      </c>
      <c r="AM1500" t="n">
        <v>0</v>
      </c>
      <c r="AN1500" t="n">
        <v>0</v>
      </c>
      <c r="AO1500" t="n">
        <v>0</v>
      </c>
      <c r="AP1500" t="inlineStr">
        <is>
          <t>No</t>
        </is>
      </c>
      <c r="AQ1500" t="inlineStr">
        <is>
          <t>No</t>
        </is>
      </c>
      <c r="AS1500">
        <f>HYPERLINK("https://creighton-primo.hosted.exlibrisgroup.com/primo-explore/search?tab=default_tab&amp;search_scope=EVERYTHING&amp;vid=01CRU&amp;lang=en_US&amp;offset=0&amp;query=any,contains,991004383539702656","Catalog Record")</f>
        <v/>
      </c>
      <c r="AT1500">
        <f>HYPERLINK("http://www.worldcat.org/oclc/3233803","WorldCat Record")</f>
        <v/>
      </c>
      <c r="AU1500" t="inlineStr">
        <is>
          <t>1780637074:eng</t>
        </is>
      </c>
      <c r="AV1500" t="inlineStr">
        <is>
          <t>3233803</t>
        </is>
      </c>
      <c r="AW1500" t="inlineStr">
        <is>
          <t>991004383539702656</t>
        </is>
      </c>
      <c r="AX1500" t="inlineStr">
        <is>
          <t>991004383539702656</t>
        </is>
      </c>
      <c r="AY1500" t="inlineStr">
        <is>
          <t>2260702580002656</t>
        </is>
      </c>
      <c r="AZ1500" t="inlineStr">
        <is>
          <t>BOOK</t>
        </is>
      </c>
      <c r="BC1500" t="inlineStr">
        <is>
          <t>32285000813666</t>
        </is>
      </c>
      <c r="BD1500" t="inlineStr">
        <is>
          <t>893775955</t>
        </is>
      </c>
    </row>
    <row r="1501">
      <c r="A1501" t="inlineStr">
        <is>
          <t>No</t>
        </is>
      </c>
      <c r="B1501" t="inlineStr">
        <is>
          <t>BX2350.2 .G62 1968</t>
        </is>
      </c>
      <c r="C1501" t="inlineStr">
        <is>
          <t>0                      BX 2350200G  62          1968</t>
        </is>
      </c>
      <c r="D1501" t="inlineStr">
        <is>
          <t>Contemporary spirituality : current problems in religious life / edited by Robert W. Gleason.</t>
        </is>
      </c>
      <c r="F1501" t="inlineStr">
        <is>
          <t>No</t>
        </is>
      </c>
      <c r="G1501" t="inlineStr">
        <is>
          <t>1</t>
        </is>
      </c>
      <c r="H1501" t="inlineStr">
        <is>
          <t>No</t>
        </is>
      </c>
      <c r="I1501" t="inlineStr">
        <is>
          <t>No</t>
        </is>
      </c>
      <c r="J1501" t="inlineStr">
        <is>
          <t>0</t>
        </is>
      </c>
      <c r="K1501" t="inlineStr">
        <is>
          <t>Gleason, Robert W. compiler.</t>
        </is>
      </c>
      <c r="L1501" t="inlineStr">
        <is>
          <t>New York : Macmillan, [1968]</t>
        </is>
      </c>
      <c r="M1501" t="inlineStr">
        <is>
          <t>1968</t>
        </is>
      </c>
      <c r="O1501" t="inlineStr">
        <is>
          <t>eng</t>
        </is>
      </c>
      <c r="P1501" t="inlineStr">
        <is>
          <t>nyu</t>
        </is>
      </c>
      <c r="R1501" t="inlineStr">
        <is>
          <t xml:space="preserve">BX </t>
        </is>
      </c>
      <c r="S1501" t="n">
        <v>2</v>
      </c>
      <c r="T1501" t="n">
        <v>2</v>
      </c>
      <c r="U1501" t="inlineStr">
        <is>
          <t>2010-09-27</t>
        </is>
      </c>
      <c r="V1501" t="inlineStr">
        <is>
          <t>2010-09-27</t>
        </is>
      </c>
      <c r="W1501" t="inlineStr">
        <is>
          <t>1991-10-29</t>
        </is>
      </c>
      <c r="X1501" t="inlineStr">
        <is>
          <t>1991-10-29</t>
        </is>
      </c>
      <c r="Y1501" t="n">
        <v>325</v>
      </c>
      <c r="Z1501" t="n">
        <v>283</v>
      </c>
      <c r="AA1501" t="n">
        <v>283</v>
      </c>
      <c r="AB1501" t="n">
        <v>3</v>
      </c>
      <c r="AC1501" t="n">
        <v>3</v>
      </c>
      <c r="AD1501" t="n">
        <v>27</v>
      </c>
      <c r="AE1501" t="n">
        <v>27</v>
      </c>
      <c r="AF1501" t="n">
        <v>8</v>
      </c>
      <c r="AG1501" t="n">
        <v>8</v>
      </c>
      <c r="AH1501" t="n">
        <v>7</v>
      </c>
      <c r="AI1501" t="n">
        <v>7</v>
      </c>
      <c r="AJ1501" t="n">
        <v>20</v>
      </c>
      <c r="AK1501" t="n">
        <v>20</v>
      </c>
      <c r="AL1501" t="n">
        <v>1</v>
      </c>
      <c r="AM1501" t="n">
        <v>1</v>
      </c>
      <c r="AN1501" t="n">
        <v>0</v>
      </c>
      <c r="AO1501" t="n">
        <v>0</v>
      </c>
      <c r="AP1501" t="inlineStr">
        <is>
          <t>No</t>
        </is>
      </c>
      <c r="AQ1501" t="inlineStr">
        <is>
          <t>No</t>
        </is>
      </c>
      <c r="AS1501">
        <f>HYPERLINK("https://creighton-primo.hosted.exlibrisgroup.com/primo-explore/search?tab=default_tab&amp;search_scope=EVERYTHING&amp;vid=01CRU&amp;lang=en_US&amp;offset=0&amp;query=any,contains,991002777669702656","Catalog Record")</f>
        <v/>
      </c>
      <c r="AT1501">
        <f>HYPERLINK("http://www.worldcat.org/oclc/439198","WorldCat Record")</f>
        <v/>
      </c>
      <c r="AU1501" t="inlineStr">
        <is>
          <t>293825000:eng</t>
        </is>
      </c>
      <c r="AV1501" t="inlineStr">
        <is>
          <t>439198</t>
        </is>
      </c>
      <c r="AW1501" t="inlineStr">
        <is>
          <t>991002777669702656</t>
        </is>
      </c>
      <c r="AX1501" t="inlineStr">
        <is>
          <t>991002777669702656</t>
        </is>
      </c>
      <c r="AY1501" t="inlineStr">
        <is>
          <t>2267795460002656</t>
        </is>
      </c>
      <c r="AZ1501" t="inlineStr">
        <is>
          <t>BOOK</t>
        </is>
      </c>
      <c r="BC1501" t="inlineStr">
        <is>
          <t>32285000813690</t>
        </is>
      </c>
      <c r="BD1501" t="inlineStr">
        <is>
          <t>893239479</t>
        </is>
      </c>
    </row>
    <row r="1502">
      <c r="A1502" t="inlineStr">
        <is>
          <t>No</t>
        </is>
      </c>
      <c r="B1502" t="inlineStr">
        <is>
          <t>BX2350.2 .G7 1964</t>
        </is>
      </c>
      <c r="C1502" t="inlineStr">
        <is>
          <t>0                      BX 2350200G  7           1964</t>
        </is>
      </c>
      <c r="D1502" t="inlineStr">
        <is>
          <t>And young men shall see visions : letters from Andrew Greeley.</t>
        </is>
      </c>
      <c r="F1502" t="inlineStr">
        <is>
          <t>No</t>
        </is>
      </c>
      <c r="G1502" t="inlineStr">
        <is>
          <t>1</t>
        </is>
      </c>
      <c r="H1502" t="inlineStr">
        <is>
          <t>No</t>
        </is>
      </c>
      <c r="I1502" t="inlineStr">
        <is>
          <t>No</t>
        </is>
      </c>
      <c r="J1502" t="inlineStr">
        <is>
          <t>0</t>
        </is>
      </c>
      <c r="K1502" t="inlineStr">
        <is>
          <t>Greeley, Andrew M., 1928-2013.</t>
        </is>
      </c>
      <c r="L1502" t="inlineStr">
        <is>
          <t>New York : Sheed and Ward, [1964]</t>
        </is>
      </c>
      <c r="M1502" t="inlineStr">
        <is>
          <t>1964</t>
        </is>
      </c>
      <c r="O1502" t="inlineStr">
        <is>
          <t>eng</t>
        </is>
      </c>
      <c r="P1502" t="inlineStr">
        <is>
          <t xml:space="preserve">xx </t>
        </is>
      </c>
      <c r="R1502" t="inlineStr">
        <is>
          <t xml:space="preserve">BX </t>
        </is>
      </c>
      <c r="S1502" t="n">
        <v>4</v>
      </c>
      <c r="T1502" t="n">
        <v>4</v>
      </c>
      <c r="U1502" t="inlineStr">
        <is>
          <t>1999-12-08</t>
        </is>
      </c>
      <c r="V1502" t="inlineStr">
        <is>
          <t>1999-12-08</t>
        </is>
      </c>
      <c r="W1502" t="inlineStr">
        <is>
          <t>1991-10-29</t>
        </is>
      </c>
      <c r="X1502" t="inlineStr">
        <is>
          <t>1991-10-29</t>
        </is>
      </c>
      <c r="Y1502" t="n">
        <v>149</v>
      </c>
      <c r="Z1502" t="n">
        <v>136</v>
      </c>
      <c r="AA1502" t="n">
        <v>141</v>
      </c>
      <c r="AB1502" t="n">
        <v>2</v>
      </c>
      <c r="AC1502" t="n">
        <v>2</v>
      </c>
      <c r="AD1502" t="n">
        <v>17</v>
      </c>
      <c r="AE1502" t="n">
        <v>17</v>
      </c>
      <c r="AF1502" t="n">
        <v>5</v>
      </c>
      <c r="AG1502" t="n">
        <v>5</v>
      </c>
      <c r="AH1502" t="n">
        <v>7</v>
      </c>
      <c r="AI1502" t="n">
        <v>7</v>
      </c>
      <c r="AJ1502" t="n">
        <v>12</v>
      </c>
      <c r="AK1502" t="n">
        <v>12</v>
      </c>
      <c r="AL1502" t="n">
        <v>0</v>
      </c>
      <c r="AM1502" t="n">
        <v>0</v>
      </c>
      <c r="AN1502" t="n">
        <v>0</v>
      </c>
      <c r="AO1502" t="n">
        <v>0</v>
      </c>
      <c r="AP1502" t="inlineStr">
        <is>
          <t>No</t>
        </is>
      </c>
      <c r="AQ1502" t="inlineStr">
        <is>
          <t>No</t>
        </is>
      </c>
      <c r="AS1502">
        <f>HYPERLINK("https://creighton-primo.hosted.exlibrisgroup.com/primo-explore/search?tab=default_tab&amp;search_scope=EVERYTHING&amp;vid=01CRU&amp;lang=en_US&amp;offset=0&amp;query=any,contains,991003325799702656","Catalog Record")</f>
        <v/>
      </c>
      <c r="AT1502">
        <f>HYPERLINK("http://www.worldcat.org/oclc/854980","WorldCat Record")</f>
        <v/>
      </c>
      <c r="AU1502" t="inlineStr">
        <is>
          <t>3944555049:eng</t>
        </is>
      </c>
      <c r="AV1502" t="inlineStr">
        <is>
          <t>854980</t>
        </is>
      </c>
      <c r="AW1502" t="inlineStr">
        <is>
          <t>991003325799702656</t>
        </is>
      </c>
      <c r="AX1502" t="inlineStr">
        <is>
          <t>991003325799702656</t>
        </is>
      </c>
      <c r="AY1502" t="inlineStr">
        <is>
          <t>2265186470002656</t>
        </is>
      </c>
      <c r="AZ1502" t="inlineStr">
        <is>
          <t>BOOK</t>
        </is>
      </c>
      <c r="BC1502" t="inlineStr">
        <is>
          <t>32285000813708</t>
        </is>
      </c>
      <c r="BD1502" t="inlineStr">
        <is>
          <t>893887363</t>
        </is>
      </c>
    </row>
    <row r="1503">
      <c r="A1503" t="inlineStr">
        <is>
          <t>No</t>
        </is>
      </c>
      <c r="B1503" t="inlineStr">
        <is>
          <t>BX2350.2 .G73</t>
        </is>
      </c>
      <c r="C1503" t="inlineStr">
        <is>
          <t>0                      BX 2350200G  73</t>
        </is>
      </c>
      <c r="D1503" t="inlineStr">
        <is>
          <t>Guidelines for spiritual direction / Carolyn Gratton.</t>
        </is>
      </c>
      <c r="F1503" t="inlineStr">
        <is>
          <t>No</t>
        </is>
      </c>
      <c r="G1503" t="inlineStr">
        <is>
          <t>1</t>
        </is>
      </c>
      <c r="H1503" t="inlineStr">
        <is>
          <t>No</t>
        </is>
      </c>
      <c r="I1503" t="inlineStr">
        <is>
          <t>No</t>
        </is>
      </c>
      <c r="J1503" t="inlineStr">
        <is>
          <t>0</t>
        </is>
      </c>
      <c r="K1503" t="inlineStr">
        <is>
          <t>Gratton, Carolyn.</t>
        </is>
      </c>
      <c r="L1503" t="inlineStr">
        <is>
          <t>Denville, N.J. : Dimensions Books, 1980.</t>
        </is>
      </c>
      <c r="M1503" t="inlineStr">
        <is>
          <t>1980</t>
        </is>
      </c>
      <c r="O1503" t="inlineStr">
        <is>
          <t>eng</t>
        </is>
      </c>
      <c r="P1503" t="inlineStr">
        <is>
          <t>nju</t>
        </is>
      </c>
      <c r="Q1503" t="inlineStr">
        <is>
          <t>Studies in formative spirituality ; v. 3</t>
        </is>
      </c>
      <c r="R1503" t="inlineStr">
        <is>
          <t xml:space="preserve">BX </t>
        </is>
      </c>
      <c r="S1503" t="n">
        <v>4</v>
      </c>
      <c r="T1503" t="n">
        <v>4</v>
      </c>
      <c r="U1503" t="inlineStr">
        <is>
          <t>1998-03-28</t>
        </is>
      </c>
      <c r="V1503" t="inlineStr">
        <is>
          <t>1998-03-28</t>
        </is>
      </c>
      <c r="W1503" t="inlineStr">
        <is>
          <t>1991-10-29</t>
        </is>
      </c>
      <c r="X1503" t="inlineStr">
        <is>
          <t>1991-10-29</t>
        </is>
      </c>
      <c r="Y1503" t="n">
        <v>91</v>
      </c>
      <c r="Z1503" t="n">
        <v>77</v>
      </c>
      <c r="AA1503" t="n">
        <v>77</v>
      </c>
      <c r="AB1503" t="n">
        <v>1</v>
      </c>
      <c r="AC1503" t="n">
        <v>1</v>
      </c>
      <c r="AD1503" t="n">
        <v>4</v>
      </c>
      <c r="AE1503" t="n">
        <v>4</v>
      </c>
      <c r="AF1503" t="n">
        <v>0</v>
      </c>
      <c r="AG1503" t="n">
        <v>0</v>
      </c>
      <c r="AH1503" t="n">
        <v>1</v>
      </c>
      <c r="AI1503" t="n">
        <v>1</v>
      </c>
      <c r="AJ1503" t="n">
        <v>3</v>
      </c>
      <c r="AK1503" t="n">
        <v>3</v>
      </c>
      <c r="AL1503" t="n">
        <v>0</v>
      </c>
      <c r="AM1503" t="n">
        <v>0</v>
      </c>
      <c r="AN1503" t="n">
        <v>0</v>
      </c>
      <c r="AO1503" t="n">
        <v>0</v>
      </c>
      <c r="AP1503" t="inlineStr">
        <is>
          <t>No</t>
        </is>
      </c>
      <c r="AQ1503" t="inlineStr">
        <is>
          <t>No</t>
        </is>
      </c>
      <c r="AS1503">
        <f>HYPERLINK("https://creighton-primo.hosted.exlibrisgroup.com/primo-explore/search?tab=default_tab&amp;search_scope=EVERYTHING&amp;vid=01CRU&amp;lang=en_US&amp;offset=0&amp;query=any,contains,991005042679702656","Catalog Record")</f>
        <v/>
      </c>
      <c r="AT1503">
        <f>HYPERLINK("http://www.worldcat.org/oclc/6811144","WorldCat Record")</f>
        <v/>
      </c>
      <c r="AU1503" t="inlineStr">
        <is>
          <t>10624524007:eng</t>
        </is>
      </c>
      <c r="AV1503" t="inlineStr">
        <is>
          <t>6811144</t>
        </is>
      </c>
      <c r="AW1503" t="inlineStr">
        <is>
          <t>991005042679702656</t>
        </is>
      </c>
      <c r="AX1503" t="inlineStr">
        <is>
          <t>991005042679702656</t>
        </is>
      </c>
      <c r="AY1503" t="inlineStr">
        <is>
          <t>2262641290002656</t>
        </is>
      </c>
      <c r="AZ1503" t="inlineStr">
        <is>
          <t>BOOK</t>
        </is>
      </c>
      <c r="BC1503" t="inlineStr">
        <is>
          <t>32285000813716</t>
        </is>
      </c>
      <c r="BD1503" t="inlineStr">
        <is>
          <t>893254363</t>
        </is>
      </c>
    </row>
    <row r="1504">
      <c r="A1504" t="inlineStr">
        <is>
          <t>No</t>
        </is>
      </c>
      <c r="B1504" t="inlineStr">
        <is>
          <t>BX2350.2 .G748 1981</t>
        </is>
      </c>
      <c r="C1504" t="inlineStr">
        <is>
          <t>0                      BX 2350200G  748         1981</t>
        </is>
      </c>
      <c r="D1504" t="inlineStr">
        <is>
          <t>Darkness in the marketplace : the Christian at prayer in the world / Thomas H. Green.</t>
        </is>
      </c>
      <c r="F1504" t="inlineStr">
        <is>
          <t>No</t>
        </is>
      </c>
      <c r="G1504" t="inlineStr">
        <is>
          <t>1</t>
        </is>
      </c>
      <c r="H1504" t="inlineStr">
        <is>
          <t>No</t>
        </is>
      </c>
      <c r="I1504" t="inlineStr">
        <is>
          <t>No</t>
        </is>
      </c>
      <c r="J1504" t="inlineStr">
        <is>
          <t>0</t>
        </is>
      </c>
      <c r="K1504" t="inlineStr">
        <is>
          <t>Green, Thomas H. (Thomas Henry), 1932-</t>
        </is>
      </c>
      <c r="L1504" t="inlineStr">
        <is>
          <t>Notre Dame, Ind. : Ave Maria Press, c1981.</t>
        </is>
      </c>
      <c r="M1504" t="inlineStr">
        <is>
          <t>1981</t>
        </is>
      </c>
      <c r="O1504" t="inlineStr">
        <is>
          <t>eng</t>
        </is>
      </c>
      <c r="P1504" t="inlineStr">
        <is>
          <t>inu</t>
        </is>
      </c>
      <c r="R1504" t="inlineStr">
        <is>
          <t xml:space="preserve">BX </t>
        </is>
      </c>
      <c r="S1504" t="n">
        <v>3</v>
      </c>
      <c r="T1504" t="n">
        <v>3</v>
      </c>
      <c r="U1504" t="inlineStr">
        <is>
          <t>1999-06-16</t>
        </is>
      </c>
      <c r="V1504" t="inlineStr">
        <is>
          <t>1999-06-16</t>
        </is>
      </c>
      <c r="W1504" t="inlineStr">
        <is>
          <t>1992-03-06</t>
        </is>
      </c>
      <c r="X1504" t="inlineStr">
        <is>
          <t>1992-03-06</t>
        </is>
      </c>
      <c r="Y1504" t="n">
        <v>234</v>
      </c>
      <c r="Z1504" t="n">
        <v>189</v>
      </c>
      <c r="AA1504" t="n">
        <v>189</v>
      </c>
      <c r="AB1504" t="n">
        <v>2</v>
      </c>
      <c r="AC1504" t="n">
        <v>2</v>
      </c>
      <c r="AD1504" t="n">
        <v>22</v>
      </c>
      <c r="AE1504" t="n">
        <v>22</v>
      </c>
      <c r="AF1504" t="n">
        <v>7</v>
      </c>
      <c r="AG1504" t="n">
        <v>7</v>
      </c>
      <c r="AH1504" t="n">
        <v>4</v>
      </c>
      <c r="AI1504" t="n">
        <v>4</v>
      </c>
      <c r="AJ1504" t="n">
        <v>19</v>
      </c>
      <c r="AK1504" t="n">
        <v>19</v>
      </c>
      <c r="AL1504" t="n">
        <v>0</v>
      </c>
      <c r="AM1504" t="n">
        <v>0</v>
      </c>
      <c r="AN1504" t="n">
        <v>0</v>
      </c>
      <c r="AO1504" t="n">
        <v>0</v>
      </c>
      <c r="AP1504" t="inlineStr">
        <is>
          <t>No</t>
        </is>
      </c>
      <c r="AQ1504" t="inlineStr">
        <is>
          <t>No</t>
        </is>
      </c>
      <c r="AS1504">
        <f>HYPERLINK("https://creighton-primo.hosted.exlibrisgroup.com/primo-explore/search?tab=default_tab&amp;search_scope=EVERYTHING&amp;vid=01CRU&amp;lang=en_US&amp;offset=0&amp;query=any,contains,991005164859702656","Catalog Record")</f>
        <v/>
      </c>
      <c r="AT1504">
        <f>HYPERLINK("http://www.worldcat.org/oclc/7818494","WorldCat Record")</f>
        <v/>
      </c>
      <c r="AU1504" t="inlineStr">
        <is>
          <t>1814063090:eng</t>
        </is>
      </c>
      <c r="AV1504" t="inlineStr">
        <is>
          <t>7818494</t>
        </is>
      </c>
      <c r="AW1504" t="inlineStr">
        <is>
          <t>991005164859702656</t>
        </is>
      </c>
      <c r="AX1504" t="inlineStr">
        <is>
          <t>991005164859702656</t>
        </is>
      </c>
      <c r="AY1504" t="inlineStr">
        <is>
          <t>2258070800002656</t>
        </is>
      </c>
      <c r="AZ1504" t="inlineStr">
        <is>
          <t>BOOK</t>
        </is>
      </c>
      <c r="BB1504" t="inlineStr">
        <is>
          <t>9780877932291</t>
        </is>
      </c>
      <c r="BC1504" t="inlineStr">
        <is>
          <t>32285000938497</t>
        </is>
      </c>
      <c r="BD1504" t="inlineStr">
        <is>
          <t>893807914</t>
        </is>
      </c>
    </row>
    <row r="1505">
      <c r="A1505" t="inlineStr">
        <is>
          <t>No</t>
        </is>
      </c>
      <c r="B1505" t="inlineStr">
        <is>
          <t>BX2350.2 .G783 1988</t>
        </is>
      </c>
      <c r="C1505" t="inlineStr">
        <is>
          <t>0                      BX 2350200G  783         1988</t>
        </is>
      </c>
      <c r="D1505" t="inlineStr">
        <is>
          <t>Quest for sanctity : seven passages to growth in faith / by Gerald R. Grosh.</t>
        </is>
      </c>
      <c r="F1505" t="inlineStr">
        <is>
          <t>No</t>
        </is>
      </c>
      <c r="G1505" t="inlineStr">
        <is>
          <t>1</t>
        </is>
      </c>
      <c r="H1505" t="inlineStr">
        <is>
          <t>No</t>
        </is>
      </c>
      <c r="I1505" t="inlineStr">
        <is>
          <t>No</t>
        </is>
      </c>
      <c r="J1505" t="inlineStr">
        <is>
          <t>0</t>
        </is>
      </c>
      <c r="K1505" t="inlineStr">
        <is>
          <t>Grosh, Gerald R., 1938-</t>
        </is>
      </c>
      <c r="L1505" t="inlineStr">
        <is>
          <t>Wilmington, Del. : Michael Glazier, 1988</t>
        </is>
      </c>
      <c r="M1505" t="inlineStr">
        <is>
          <t>1988</t>
        </is>
      </c>
      <c r="O1505" t="inlineStr">
        <is>
          <t>eng</t>
        </is>
      </c>
      <c r="P1505" t="inlineStr">
        <is>
          <t>deu</t>
        </is>
      </c>
      <c r="R1505" t="inlineStr">
        <is>
          <t xml:space="preserve">BX </t>
        </is>
      </c>
      <c r="S1505" t="n">
        <v>5</v>
      </c>
      <c r="T1505" t="n">
        <v>5</v>
      </c>
      <c r="U1505" t="inlineStr">
        <is>
          <t>1992-10-08</t>
        </is>
      </c>
      <c r="V1505" t="inlineStr">
        <is>
          <t>1992-10-08</t>
        </is>
      </c>
      <c r="W1505" t="inlineStr">
        <is>
          <t>1991-10-29</t>
        </is>
      </c>
      <c r="X1505" t="inlineStr">
        <is>
          <t>1991-10-29</t>
        </is>
      </c>
      <c r="Y1505" t="n">
        <v>82</v>
      </c>
      <c r="Z1505" t="n">
        <v>70</v>
      </c>
      <c r="AA1505" t="n">
        <v>70</v>
      </c>
      <c r="AB1505" t="n">
        <v>1</v>
      </c>
      <c r="AC1505" t="n">
        <v>1</v>
      </c>
      <c r="AD1505" t="n">
        <v>7</v>
      </c>
      <c r="AE1505" t="n">
        <v>7</v>
      </c>
      <c r="AF1505" t="n">
        <v>1</v>
      </c>
      <c r="AG1505" t="n">
        <v>1</v>
      </c>
      <c r="AH1505" t="n">
        <v>2</v>
      </c>
      <c r="AI1505" t="n">
        <v>2</v>
      </c>
      <c r="AJ1505" t="n">
        <v>4</v>
      </c>
      <c r="AK1505" t="n">
        <v>4</v>
      </c>
      <c r="AL1505" t="n">
        <v>0</v>
      </c>
      <c r="AM1505" t="n">
        <v>0</v>
      </c>
      <c r="AN1505" t="n">
        <v>0</v>
      </c>
      <c r="AO1505" t="n">
        <v>0</v>
      </c>
      <c r="AP1505" t="inlineStr">
        <is>
          <t>No</t>
        </is>
      </c>
      <c r="AQ1505" t="inlineStr">
        <is>
          <t>No</t>
        </is>
      </c>
      <c r="AS1505">
        <f>HYPERLINK("https://creighton-primo.hosted.exlibrisgroup.com/primo-explore/search?tab=default_tab&amp;search_scope=EVERYTHING&amp;vid=01CRU&amp;lang=en_US&amp;offset=0&amp;query=any,contains,991001303719702656","Catalog Record")</f>
        <v/>
      </c>
      <c r="AT1505">
        <f>HYPERLINK("http://www.worldcat.org/oclc/18077847","WorldCat Record")</f>
        <v/>
      </c>
      <c r="AU1505" t="inlineStr">
        <is>
          <t>16780658:eng</t>
        </is>
      </c>
      <c r="AV1505" t="inlineStr">
        <is>
          <t>18077847</t>
        </is>
      </c>
      <c r="AW1505" t="inlineStr">
        <is>
          <t>991001303719702656</t>
        </is>
      </c>
      <c r="AX1505" t="inlineStr">
        <is>
          <t>991001303719702656</t>
        </is>
      </c>
      <c r="AY1505" t="inlineStr">
        <is>
          <t>2264629530002656</t>
        </is>
      </c>
      <c r="AZ1505" t="inlineStr">
        <is>
          <t>BOOK</t>
        </is>
      </c>
      <c r="BB1505" t="inlineStr">
        <is>
          <t>9780894536359</t>
        </is>
      </c>
      <c r="BC1505" t="inlineStr">
        <is>
          <t>32285000813724</t>
        </is>
      </c>
      <c r="BD1505" t="inlineStr">
        <is>
          <t>893709172</t>
        </is>
      </c>
    </row>
    <row r="1506">
      <c r="A1506" t="inlineStr">
        <is>
          <t>No</t>
        </is>
      </c>
      <c r="B1506" t="inlineStr">
        <is>
          <t>BX2350.2 .H313 1964</t>
        </is>
      </c>
      <c r="C1506" t="inlineStr">
        <is>
          <t>0                      BX 2350200H  313         1964</t>
        </is>
      </c>
      <c r="D1506" t="inlineStr">
        <is>
          <t>Christian renewal in a changing world / [by] Bernard Häring. [Translated by M. Lucidia Häring.</t>
        </is>
      </c>
      <c r="F1506" t="inlineStr">
        <is>
          <t>No</t>
        </is>
      </c>
      <c r="G1506" t="inlineStr">
        <is>
          <t>1</t>
        </is>
      </c>
      <c r="H1506" t="inlineStr">
        <is>
          <t>No</t>
        </is>
      </c>
      <c r="I1506" t="inlineStr">
        <is>
          <t>No</t>
        </is>
      </c>
      <c r="J1506" t="inlineStr">
        <is>
          <t>0</t>
        </is>
      </c>
      <c r="K1506" t="inlineStr">
        <is>
          <t>Häring, Bernhard, 1912-1998.</t>
        </is>
      </c>
      <c r="L1506" t="inlineStr">
        <is>
          <t>New York : Desclee Co., [c1964]</t>
        </is>
      </c>
      <c r="M1506" t="inlineStr">
        <is>
          <t>1964</t>
        </is>
      </c>
      <c r="N1506" t="inlineStr">
        <is>
          <t>Rev. ed.]</t>
        </is>
      </c>
      <c r="O1506" t="inlineStr">
        <is>
          <t>eng</t>
        </is>
      </c>
      <c r="P1506" t="inlineStr">
        <is>
          <t>nyu</t>
        </is>
      </c>
      <c r="R1506" t="inlineStr">
        <is>
          <t xml:space="preserve">BX </t>
        </is>
      </c>
      <c r="S1506" t="n">
        <v>1</v>
      </c>
      <c r="T1506" t="n">
        <v>1</v>
      </c>
      <c r="U1506" t="inlineStr">
        <is>
          <t>1992-09-21</t>
        </is>
      </c>
      <c r="V1506" t="inlineStr">
        <is>
          <t>1992-09-21</t>
        </is>
      </c>
      <c r="W1506" t="inlineStr">
        <is>
          <t>1991-10-18</t>
        </is>
      </c>
      <c r="X1506" t="inlineStr">
        <is>
          <t>1991-10-18</t>
        </is>
      </c>
      <c r="Y1506" t="n">
        <v>313</v>
      </c>
      <c r="Z1506" t="n">
        <v>290</v>
      </c>
      <c r="AA1506" t="n">
        <v>349</v>
      </c>
      <c r="AB1506" t="n">
        <v>4</v>
      </c>
      <c r="AC1506" t="n">
        <v>4</v>
      </c>
      <c r="AD1506" t="n">
        <v>31</v>
      </c>
      <c r="AE1506" t="n">
        <v>34</v>
      </c>
      <c r="AF1506" t="n">
        <v>8</v>
      </c>
      <c r="AG1506" t="n">
        <v>10</v>
      </c>
      <c r="AH1506" t="n">
        <v>8</v>
      </c>
      <c r="AI1506" t="n">
        <v>9</v>
      </c>
      <c r="AJ1506" t="n">
        <v>23</v>
      </c>
      <c r="AK1506" t="n">
        <v>25</v>
      </c>
      <c r="AL1506" t="n">
        <v>2</v>
      </c>
      <c r="AM1506" t="n">
        <v>2</v>
      </c>
      <c r="AN1506" t="n">
        <v>0</v>
      </c>
      <c r="AO1506" t="n">
        <v>0</v>
      </c>
      <c r="AP1506" t="inlineStr">
        <is>
          <t>No</t>
        </is>
      </c>
      <c r="AQ1506" t="inlineStr">
        <is>
          <t>No</t>
        </is>
      </c>
      <c r="AS1506">
        <f>HYPERLINK("https://creighton-primo.hosted.exlibrisgroup.com/primo-explore/search?tab=default_tab&amp;search_scope=EVERYTHING&amp;vid=01CRU&amp;lang=en_US&amp;offset=0&amp;query=any,contains,991005254369702656","Catalog Record")</f>
        <v/>
      </c>
      <c r="AT1506">
        <f>HYPERLINK("http://www.worldcat.org/oclc/388073","WorldCat Record")</f>
        <v/>
      </c>
      <c r="AU1506" t="inlineStr">
        <is>
          <t>1320689884:eng</t>
        </is>
      </c>
      <c r="AV1506" t="inlineStr">
        <is>
          <t>388073</t>
        </is>
      </c>
      <c r="AW1506" t="inlineStr">
        <is>
          <t>991005254369702656</t>
        </is>
      </c>
      <c r="AX1506" t="inlineStr">
        <is>
          <t>991005254369702656</t>
        </is>
      </c>
      <c r="AY1506" t="inlineStr">
        <is>
          <t>2255010480002656</t>
        </is>
      </c>
      <c r="AZ1506" t="inlineStr">
        <is>
          <t>BOOK</t>
        </is>
      </c>
      <c r="BC1506" t="inlineStr">
        <is>
          <t>32285000776350</t>
        </is>
      </c>
      <c r="BD1506" t="inlineStr">
        <is>
          <t>893877203</t>
        </is>
      </c>
    </row>
    <row r="1507">
      <c r="A1507" t="inlineStr">
        <is>
          <t>No</t>
        </is>
      </c>
      <c r="B1507" t="inlineStr">
        <is>
          <t>BX2350.2 .H3214 1967</t>
        </is>
      </c>
      <c r="C1507" t="inlineStr">
        <is>
          <t>0                      BX 2350200H  3214        1967</t>
        </is>
      </c>
      <c r="D1507" t="inlineStr">
        <is>
          <t>Christian maturity / [by] Bernard Häring. Translated by Arlene Swidler.</t>
        </is>
      </c>
      <c r="F1507" t="inlineStr">
        <is>
          <t>No</t>
        </is>
      </c>
      <c r="G1507" t="inlineStr">
        <is>
          <t>1</t>
        </is>
      </c>
      <c r="H1507" t="inlineStr">
        <is>
          <t>No</t>
        </is>
      </c>
      <c r="I1507" t="inlineStr">
        <is>
          <t>No</t>
        </is>
      </c>
      <c r="J1507" t="inlineStr">
        <is>
          <t>0</t>
        </is>
      </c>
      <c r="K1507" t="inlineStr">
        <is>
          <t>Häring, Bernhard, 1912-1998.</t>
        </is>
      </c>
      <c r="L1507" t="inlineStr">
        <is>
          <t>[New York] : Herder and Herder, [1967]</t>
        </is>
      </c>
      <c r="M1507" t="inlineStr">
        <is>
          <t>1967</t>
        </is>
      </c>
      <c r="O1507" t="inlineStr">
        <is>
          <t>eng</t>
        </is>
      </c>
      <c r="P1507" t="inlineStr">
        <is>
          <t>nyu</t>
        </is>
      </c>
      <c r="R1507" t="inlineStr">
        <is>
          <t xml:space="preserve">BX </t>
        </is>
      </c>
      <c r="S1507" t="n">
        <v>3</v>
      </c>
      <c r="T1507" t="n">
        <v>3</v>
      </c>
      <c r="U1507" t="inlineStr">
        <is>
          <t>1995-06-29</t>
        </is>
      </c>
      <c r="V1507" t="inlineStr">
        <is>
          <t>1995-06-29</t>
        </is>
      </c>
      <c r="W1507" t="inlineStr">
        <is>
          <t>1991-07-22</t>
        </is>
      </c>
      <c r="X1507" t="inlineStr">
        <is>
          <t>1991-07-22</t>
        </is>
      </c>
      <c r="Y1507" t="n">
        <v>281</v>
      </c>
      <c r="Z1507" t="n">
        <v>260</v>
      </c>
      <c r="AA1507" t="n">
        <v>279</v>
      </c>
      <c r="AB1507" t="n">
        <v>3</v>
      </c>
      <c r="AC1507" t="n">
        <v>3</v>
      </c>
      <c r="AD1507" t="n">
        <v>31</v>
      </c>
      <c r="AE1507" t="n">
        <v>32</v>
      </c>
      <c r="AF1507" t="n">
        <v>9</v>
      </c>
      <c r="AG1507" t="n">
        <v>10</v>
      </c>
      <c r="AH1507" t="n">
        <v>9</v>
      </c>
      <c r="AI1507" t="n">
        <v>9</v>
      </c>
      <c r="AJ1507" t="n">
        <v>21</v>
      </c>
      <c r="AK1507" t="n">
        <v>22</v>
      </c>
      <c r="AL1507" t="n">
        <v>1</v>
      </c>
      <c r="AM1507" t="n">
        <v>1</v>
      </c>
      <c r="AN1507" t="n">
        <v>0</v>
      </c>
      <c r="AO1507" t="n">
        <v>0</v>
      </c>
      <c r="AP1507" t="inlineStr">
        <is>
          <t>No</t>
        </is>
      </c>
      <c r="AQ1507" t="inlineStr">
        <is>
          <t>No</t>
        </is>
      </c>
      <c r="AS1507">
        <f>HYPERLINK("https://creighton-primo.hosted.exlibrisgroup.com/primo-explore/search?tab=default_tab&amp;search_scope=EVERYTHING&amp;vid=01CRU&amp;lang=en_US&amp;offset=0&amp;query=any,contains,991003610109702656","Catalog Record")</f>
        <v/>
      </c>
      <c r="AT1507">
        <f>HYPERLINK("http://www.worldcat.org/oclc/1192686","WorldCat Record")</f>
        <v/>
      </c>
      <c r="AU1507" t="inlineStr">
        <is>
          <t>2150413:eng</t>
        </is>
      </c>
      <c r="AV1507" t="inlineStr">
        <is>
          <t>1192686</t>
        </is>
      </c>
      <c r="AW1507" t="inlineStr">
        <is>
          <t>991003610109702656</t>
        </is>
      </c>
      <c r="AX1507" t="inlineStr">
        <is>
          <t>991003610109702656</t>
        </is>
      </c>
      <c r="AY1507" t="inlineStr">
        <is>
          <t>2261521820002656</t>
        </is>
      </c>
      <c r="AZ1507" t="inlineStr">
        <is>
          <t>BOOK</t>
        </is>
      </c>
      <c r="BC1507" t="inlineStr">
        <is>
          <t>32285000677962</t>
        </is>
      </c>
      <c r="BD1507" t="inlineStr">
        <is>
          <t>893598756</t>
        </is>
      </c>
    </row>
    <row r="1508">
      <c r="A1508" t="inlineStr">
        <is>
          <t>No</t>
        </is>
      </c>
      <c r="B1508" t="inlineStr">
        <is>
          <t>BX2350.2 .H354 1976</t>
        </is>
      </c>
      <c r="C1508" t="inlineStr">
        <is>
          <t>0                      BX 2350200H  354         1976</t>
        </is>
      </c>
      <c r="D1508" t="inlineStr">
        <is>
          <t>Holiness in the church / by John A. Hardon.</t>
        </is>
      </c>
      <c r="F1508" t="inlineStr">
        <is>
          <t>No</t>
        </is>
      </c>
      <c r="G1508" t="inlineStr">
        <is>
          <t>1</t>
        </is>
      </c>
      <c r="H1508" t="inlineStr">
        <is>
          <t>No</t>
        </is>
      </c>
      <c r="I1508" t="inlineStr">
        <is>
          <t>No</t>
        </is>
      </c>
      <c r="J1508" t="inlineStr">
        <is>
          <t>0</t>
        </is>
      </c>
      <c r="K1508" t="inlineStr">
        <is>
          <t>Hardon, John A.</t>
        </is>
      </c>
      <c r="L1508" t="inlineStr">
        <is>
          <t>Boston : St. Paul Editions, c1976.</t>
        </is>
      </c>
      <c r="M1508" t="inlineStr">
        <is>
          <t>1976</t>
        </is>
      </c>
      <c r="O1508" t="inlineStr">
        <is>
          <t>eng</t>
        </is>
      </c>
      <c r="P1508" t="inlineStr">
        <is>
          <t>mau</t>
        </is>
      </c>
      <c r="R1508" t="inlineStr">
        <is>
          <t xml:space="preserve">BX </t>
        </is>
      </c>
      <c r="S1508" t="n">
        <v>4</v>
      </c>
      <c r="T1508" t="n">
        <v>4</v>
      </c>
      <c r="U1508" t="inlineStr">
        <is>
          <t>2003-11-18</t>
        </is>
      </c>
      <c r="V1508" t="inlineStr">
        <is>
          <t>2003-11-18</t>
        </is>
      </c>
      <c r="W1508" t="inlineStr">
        <is>
          <t>1991-10-29</t>
        </is>
      </c>
      <c r="X1508" t="inlineStr">
        <is>
          <t>1991-10-29</t>
        </is>
      </c>
      <c r="Y1508" t="n">
        <v>42</v>
      </c>
      <c r="Z1508" t="n">
        <v>39</v>
      </c>
      <c r="AA1508" t="n">
        <v>47</v>
      </c>
      <c r="AB1508" t="n">
        <v>2</v>
      </c>
      <c r="AC1508" t="n">
        <v>2</v>
      </c>
      <c r="AD1508" t="n">
        <v>4</v>
      </c>
      <c r="AE1508" t="n">
        <v>6</v>
      </c>
      <c r="AF1508" t="n">
        <v>0</v>
      </c>
      <c r="AG1508" t="n">
        <v>0</v>
      </c>
      <c r="AH1508" t="n">
        <v>1</v>
      </c>
      <c r="AI1508" t="n">
        <v>3</v>
      </c>
      <c r="AJ1508" t="n">
        <v>3</v>
      </c>
      <c r="AK1508" t="n">
        <v>5</v>
      </c>
      <c r="AL1508" t="n">
        <v>0</v>
      </c>
      <c r="AM1508" t="n">
        <v>0</v>
      </c>
      <c r="AN1508" t="n">
        <v>0</v>
      </c>
      <c r="AO1508" t="n">
        <v>0</v>
      </c>
      <c r="AP1508" t="inlineStr">
        <is>
          <t>No</t>
        </is>
      </c>
      <c r="AQ1508" t="inlineStr">
        <is>
          <t>No</t>
        </is>
      </c>
      <c r="AS1508">
        <f>HYPERLINK("https://creighton-primo.hosted.exlibrisgroup.com/primo-explore/search?tab=default_tab&amp;search_scope=EVERYTHING&amp;vid=01CRU&amp;lang=en_US&amp;offset=0&amp;query=any,contains,991004042789702656","Catalog Record")</f>
        <v/>
      </c>
      <c r="AT1508">
        <f>HYPERLINK("http://www.worldcat.org/oclc/2189437","WorldCat Record")</f>
        <v/>
      </c>
      <c r="AU1508" t="inlineStr">
        <is>
          <t>4288339:eng</t>
        </is>
      </c>
      <c r="AV1508" t="inlineStr">
        <is>
          <t>2189437</t>
        </is>
      </c>
      <c r="AW1508" t="inlineStr">
        <is>
          <t>991004042789702656</t>
        </is>
      </c>
      <c r="AX1508" t="inlineStr">
        <is>
          <t>991004042789702656</t>
        </is>
      </c>
      <c r="AY1508" t="inlineStr">
        <is>
          <t>2265363450002656</t>
        </is>
      </c>
      <c r="AZ1508" t="inlineStr">
        <is>
          <t>BOOK</t>
        </is>
      </c>
      <c r="BC1508" t="inlineStr">
        <is>
          <t>32285000813757</t>
        </is>
      </c>
      <c r="BD1508" t="inlineStr">
        <is>
          <t>893512735</t>
        </is>
      </c>
    </row>
    <row r="1509">
      <c r="A1509" t="inlineStr">
        <is>
          <t>No</t>
        </is>
      </c>
      <c r="B1509" t="inlineStr">
        <is>
          <t>BX2350.2 .H366</t>
        </is>
      </c>
      <c r="C1509" t="inlineStr">
        <is>
          <t>0                      BX 2350200H  366</t>
        </is>
      </c>
      <c r="D1509" t="inlineStr">
        <is>
          <t>Our journey toward God / by John Heagle. --</t>
        </is>
      </c>
      <c r="F1509" t="inlineStr">
        <is>
          <t>No</t>
        </is>
      </c>
      <c r="G1509" t="inlineStr">
        <is>
          <t>1</t>
        </is>
      </c>
      <c r="H1509" t="inlineStr">
        <is>
          <t>No</t>
        </is>
      </c>
      <c r="I1509" t="inlineStr">
        <is>
          <t>No</t>
        </is>
      </c>
      <c r="J1509" t="inlineStr">
        <is>
          <t>0</t>
        </is>
      </c>
      <c r="K1509" t="inlineStr">
        <is>
          <t>Heagle, John.</t>
        </is>
      </c>
      <c r="L1509" t="inlineStr">
        <is>
          <t>Chicago : Thomas More Press, c1977.</t>
        </is>
      </c>
      <c r="M1509" t="inlineStr">
        <is>
          <t>1977</t>
        </is>
      </c>
      <c r="O1509" t="inlineStr">
        <is>
          <t>eng</t>
        </is>
      </c>
      <c r="P1509" t="inlineStr">
        <is>
          <t>ilu</t>
        </is>
      </c>
      <c r="R1509" t="inlineStr">
        <is>
          <t xml:space="preserve">BX </t>
        </is>
      </c>
      <c r="S1509" t="n">
        <v>2</v>
      </c>
      <c r="T1509" t="n">
        <v>2</v>
      </c>
      <c r="U1509" t="inlineStr">
        <is>
          <t>1999-07-23</t>
        </is>
      </c>
      <c r="V1509" t="inlineStr">
        <is>
          <t>1999-07-23</t>
        </is>
      </c>
      <c r="W1509" t="inlineStr">
        <is>
          <t>1991-10-29</t>
        </is>
      </c>
      <c r="X1509" t="inlineStr">
        <is>
          <t>1991-10-29</t>
        </is>
      </c>
      <c r="Y1509" t="n">
        <v>67</v>
      </c>
      <c r="Z1509" t="n">
        <v>63</v>
      </c>
      <c r="AA1509" t="n">
        <v>68</v>
      </c>
      <c r="AB1509" t="n">
        <v>2</v>
      </c>
      <c r="AC1509" t="n">
        <v>2</v>
      </c>
      <c r="AD1509" t="n">
        <v>8</v>
      </c>
      <c r="AE1509" t="n">
        <v>8</v>
      </c>
      <c r="AF1509" t="n">
        <v>1</v>
      </c>
      <c r="AG1509" t="n">
        <v>1</v>
      </c>
      <c r="AH1509" t="n">
        <v>1</v>
      </c>
      <c r="AI1509" t="n">
        <v>1</v>
      </c>
      <c r="AJ1509" t="n">
        <v>6</v>
      </c>
      <c r="AK1509" t="n">
        <v>6</v>
      </c>
      <c r="AL1509" t="n">
        <v>1</v>
      </c>
      <c r="AM1509" t="n">
        <v>1</v>
      </c>
      <c r="AN1509" t="n">
        <v>0</v>
      </c>
      <c r="AO1509" t="n">
        <v>0</v>
      </c>
      <c r="AP1509" t="inlineStr">
        <is>
          <t>No</t>
        </is>
      </c>
      <c r="AQ1509" t="inlineStr">
        <is>
          <t>No</t>
        </is>
      </c>
      <c r="AS1509">
        <f>HYPERLINK("https://creighton-primo.hosted.exlibrisgroup.com/primo-explore/search?tab=default_tab&amp;search_scope=EVERYTHING&amp;vid=01CRU&amp;lang=en_US&amp;offset=0&amp;query=any,contains,991004367319702656","Catalog Record")</f>
        <v/>
      </c>
      <c r="AT1509">
        <f>HYPERLINK("http://www.worldcat.org/oclc/3174064","WorldCat Record")</f>
        <v/>
      </c>
      <c r="AU1509" t="inlineStr">
        <is>
          <t>5164246094:eng</t>
        </is>
      </c>
      <c r="AV1509" t="inlineStr">
        <is>
          <t>3174064</t>
        </is>
      </c>
      <c r="AW1509" t="inlineStr">
        <is>
          <t>991004367319702656</t>
        </is>
      </c>
      <c r="AX1509" t="inlineStr">
        <is>
          <t>991004367319702656</t>
        </is>
      </c>
      <c r="AY1509" t="inlineStr">
        <is>
          <t>2268058760002656</t>
        </is>
      </c>
      <c r="AZ1509" t="inlineStr">
        <is>
          <t>BOOK</t>
        </is>
      </c>
      <c r="BB1509" t="inlineStr">
        <is>
          <t>9780883470718</t>
        </is>
      </c>
      <c r="BC1509" t="inlineStr">
        <is>
          <t>32285000813765</t>
        </is>
      </c>
      <c r="BD1509" t="inlineStr">
        <is>
          <t>893532316</t>
        </is>
      </c>
    </row>
    <row r="1510">
      <c r="A1510" t="inlineStr">
        <is>
          <t>No</t>
        </is>
      </c>
      <c r="B1510" t="inlineStr">
        <is>
          <t>BX2350.2 .H367 1991</t>
        </is>
      </c>
      <c r="C1510" t="inlineStr">
        <is>
          <t>0                      BX 2350200H  367         1991</t>
        </is>
      </c>
      <c r="D1510" t="inlineStr">
        <is>
          <t>A new song to the Lord : hope and trust renewed / Charles J. Healey.</t>
        </is>
      </c>
      <c r="F1510" t="inlineStr">
        <is>
          <t>No</t>
        </is>
      </c>
      <c r="G1510" t="inlineStr">
        <is>
          <t>1</t>
        </is>
      </c>
      <c r="H1510" t="inlineStr">
        <is>
          <t>No</t>
        </is>
      </c>
      <c r="I1510" t="inlineStr">
        <is>
          <t>No</t>
        </is>
      </c>
      <c r="J1510" t="inlineStr">
        <is>
          <t>0</t>
        </is>
      </c>
      <c r="K1510" t="inlineStr">
        <is>
          <t>Healey, Charles J.</t>
        </is>
      </c>
      <c r="L1510" t="inlineStr">
        <is>
          <t>New York : Alba House, c1991.</t>
        </is>
      </c>
      <c r="M1510" t="inlineStr">
        <is>
          <t>1991</t>
        </is>
      </c>
      <c r="O1510" t="inlineStr">
        <is>
          <t>eng</t>
        </is>
      </c>
      <c r="P1510" t="inlineStr">
        <is>
          <t>nyu</t>
        </is>
      </c>
      <c r="R1510" t="inlineStr">
        <is>
          <t xml:space="preserve">BX </t>
        </is>
      </c>
      <c r="S1510" t="n">
        <v>3</v>
      </c>
      <c r="T1510" t="n">
        <v>3</v>
      </c>
      <c r="U1510" t="inlineStr">
        <is>
          <t>2004-06-16</t>
        </is>
      </c>
      <c r="V1510" t="inlineStr">
        <is>
          <t>2004-06-16</t>
        </is>
      </c>
      <c r="W1510" t="inlineStr">
        <is>
          <t>2002-08-20</t>
        </is>
      </c>
      <c r="X1510" t="inlineStr">
        <is>
          <t>2002-08-20</t>
        </is>
      </c>
      <c r="Y1510" t="n">
        <v>31</v>
      </c>
      <c r="Z1510" t="n">
        <v>29</v>
      </c>
      <c r="AA1510" t="n">
        <v>29</v>
      </c>
      <c r="AB1510" t="n">
        <v>2</v>
      </c>
      <c r="AC1510" t="n">
        <v>2</v>
      </c>
      <c r="AD1510" t="n">
        <v>7</v>
      </c>
      <c r="AE1510" t="n">
        <v>7</v>
      </c>
      <c r="AF1510" t="n">
        <v>1</v>
      </c>
      <c r="AG1510" t="n">
        <v>1</v>
      </c>
      <c r="AH1510" t="n">
        <v>1</v>
      </c>
      <c r="AI1510" t="n">
        <v>1</v>
      </c>
      <c r="AJ1510" t="n">
        <v>6</v>
      </c>
      <c r="AK1510" t="n">
        <v>6</v>
      </c>
      <c r="AL1510" t="n">
        <v>1</v>
      </c>
      <c r="AM1510" t="n">
        <v>1</v>
      </c>
      <c r="AN1510" t="n">
        <v>0</v>
      </c>
      <c r="AO1510" t="n">
        <v>0</v>
      </c>
      <c r="AP1510" t="inlineStr">
        <is>
          <t>No</t>
        </is>
      </c>
      <c r="AQ1510" t="inlineStr">
        <is>
          <t>No</t>
        </is>
      </c>
      <c r="AS1510">
        <f>HYPERLINK("https://creighton-primo.hosted.exlibrisgroup.com/primo-explore/search?tab=default_tab&amp;search_scope=EVERYTHING&amp;vid=01CRU&amp;lang=en_US&amp;offset=0&amp;query=any,contains,991003857409702656","Catalog Record")</f>
        <v/>
      </c>
      <c r="AT1510">
        <f>HYPERLINK("http://www.worldcat.org/oclc/23216924","WorldCat Record")</f>
        <v/>
      </c>
      <c r="AU1510" t="inlineStr">
        <is>
          <t>24972586:eng</t>
        </is>
      </c>
      <c r="AV1510" t="inlineStr">
        <is>
          <t>23216924</t>
        </is>
      </c>
      <c r="AW1510" t="inlineStr">
        <is>
          <t>991003857409702656</t>
        </is>
      </c>
      <c r="AX1510" t="inlineStr">
        <is>
          <t>991003857409702656</t>
        </is>
      </c>
      <c r="AY1510" t="inlineStr">
        <is>
          <t>2261431160002656</t>
        </is>
      </c>
      <c r="AZ1510" t="inlineStr">
        <is>
          <t>BOOK</t>
        </is>
      </c>
      <c r="BB1510" t="inlineStr">
        <is>
          <t>9780818905902</t>
        </is>
      </c>
      <c r="BC1510" t="inlineStr">
        <is>
          <t>32285004644018</t>
        </is>
      </c>
      <c r="BD1510" t="inlineStr">
        <is>
          <t>893234723</t>
        </is>
      </c>
    </row>
    <row r="1511">
      <c r="A1511" t="inlineStr">
        <is>
          <t>No</t>
        </is>
      </c>
      <c r="B1511" t="inlineStr">
        <is>
          <t>BX2350.2 .H587 1998</t>
        </is>
      </c>
      <c r="C1511" t="inlineStr">
        <is>
          <t>0                      BX 2350200H  587         1998</t>
        </is>
      </c>
      <c r="D1511" t="inlineStr">
        <is>
          <t>A saint on every corner : glimpses of holiness beyond the monastery / Albert Holtz ; illustrations by the author.</t>
        </is>
      </c>
      <c r="F1511" t="inlineStr">
        <is>
          <t>No</t>
        </is>
      </c>
      <c r="G1511" t="inlineStr">
        <is>
          <t>1</t>
        </is>
      </c>
      <c r="H1511" t="inlineStr">
        <is>
          <t>No</t>
        </is>
      </c>
      <c r="I1511" t="inlineStr">
        <is>
          <t>No</t>
        </is>
      </c>
      <c r="J1511" t="inlineStr">
        <is>
          <t>0</t>
        </is>
      </c>
      <c r="K1511" t="inlineStr">
        <is>
          <t>Holtz, Albert.</t>
        </is>
      </c>
      <c r="L1511" t="inlineStr">
        <is>
          <t>Notre Dame, Ind. : Ave Maria Press, 1998.</t>
        </is>
      </c>
      <c r="M1511" t="inlineStr">
        <is>
          <t>1998</t>
        </is>
      </c>
      <c r="O1511" t="inlineStr">
        <is>
          <t>eng</t>
        </is>
      </c>
      <c r="P1511" t="inlineStr">
        <is>
          <t>inu</t>
        </is>
      </c>
      <c r="R1511" t="inlineStr">
        <is>
          <t xml:space="preserve">BX </t>
        </is>
      </c>
      <c r="S1511" t="n">
        <v>2</v>
      </c>
      <c r="T1511" t="n">
        <v>2</v>
      </c>
      <c r="U1511" t="inlineStr">
        <is>
          <t>2003-11-18</t>
        </is>
      </c>
      <c r="V1511" t="inlineStr">
        <is>
          <t>2003-11-18</t>
        </is>
      </c>
      <c r="W1511" t="inlineStr">
        <is>
          <t>1998-03-10</t>
        </is>
      </c>
      <c r="X1511" t="inlineStr">
        <is>
          <t>1998-03-10</t>
        </is>
      </c>
      <c r="Y1511" t="n">
        <v>101</v>
      </c>
      <c r="Z1511" t="n">
        <v>94</v>
      </c>
      <c r="AA1511" t="n">
        <v>94</v>
      </c>
      <c r="AB1511" t="n">
        <v>2</v>
      </c>
      <c r="AC1511" t="n">
        <v>2</v>
      </c>
      <c r="AD1511" t="n">
        <v>5</v>
      </c>
      <c r="AE1511" t="n">
        <v>5</v>
      </c>
      <c r="AF1511" t="n">
        <v>0</v>
      </c>
      <c r="AG1511" t="n">
        <v>0</v>
      </c>
      <c r="AH1511" t="n">
        <v>2</v>
      </c>
      <c r="AI1511" t="n">
        <v>2</v>
      </c>
      <c r="AJ1511" t="n">
        <v>3</v>
      </c>
      <c r="AK1511" t="n">
        <v>3</v>
      </c>
      <c r="AL1511" t="n">
        <v>0</v>
      </c>
      <c r="AM1511" t="n">
        <v>0</v>
      </c>
      <c r="AN1511" t="n">
        <v>0</v>
      </c>
      <c r="AO1511" t="n">
        <v>0</v>
      </c>
      <c r="AP1511" t="inlineStr">
        <is>
          <t>No</t>
        </is>
      </c>
      <c r="AQ1511" t="inlineStr">
        <is>
          <t>No</t>
        </is>
      </c>
      <c r="AS1511">
        <f>HYPERLINK("https://creighton-primo.hosted.exlibrisgroup.com/primo-explore/search?tab=default_tab&amp;search_scope=EVERYTHING&amp;vid=01CRU&amp;lang=en_US&amp;offset=0&amp;query=any,contains,991002857219702656","Catalog Record")</f>
        <v/>
      </c>
      <c r="AT1511">
        <f>HYPERLINK("http://www.worldcat.org/oclc/37653545","WorldCat Record")</f>
        <v/>
      </c>
      <c r="AU1511" t="inlineStr">
        <is>
          <t>4659752240:eng</t>
        </is>
      </c>
      <c r="AV1511" t="inlineStr">
        <is>
          <t>37653545</t>
        </is>
      </c>
      <c r="AW1511" t="inlineStr">
        <is>
          <t>991002857219702656</t>
        </is>
      </c>
      <c r="AX1511" t="inlineStr">
        <is>
          <t>991002857219702656</t>
        </is>
      </c>
      <c r="AY1511" t="inlineStr">
        <is>
          <t>2269924190002656</t>
        </is>
      </c>
      <c r="AZ1511" t="inlineStr">
        <is>
          <t>BOOK</t>
        </is>
      </c>
      <c r="BB1511" t="inlineStr">
        <is>
          <t>9780877936398</t>
        </is>
      </c>
      <c r="BC1511" t="inlineStr">
        <is>
          <t>32285003357059</t>
        </is>
      </c>
      <c r="BD1511" t="inlineStr">
        <is>
          <t>893867789</t>
        </is>
      </c>
    </row>
    <row r="1512">
      <c r="A1512" t="inlineStr">
        <is>
          <t>No</t>
        </is>
      </c>
      <c r="B1512" t="inlineStr">
        <is>
          <t>BX2350.2 .K26 1976</t>
        </is>
      </c>
      <c r="C1512" t="inlineStr">
        <is>
          <t>0                      BX 2350200K  26          1976</t>
        </is>
      </c>
      <c r="D1512" t="inlineStr">
        <is>
          <t>The healing touch of affirmation / Thomas A. Kane ; foreword by James P. Madden.</t>
        </is>
      </c>
      <c r="F1512" t="inlineStr">
        <is>
          <t>No</t>
        </is>
      </c>
      <c r="G1512" t="inlineStr">
        <is>
          <t>1</t>
        </is>
      </c>
      <c r="H1512" t="inlineStr">
        <is>
          <t>No</t>
        </is>
      </c>
      <c r="I1512" t="inlineStr">
        <is>
          <t>No</t>
        </is>
      </c>
      <c r="J1512" t="inlineStr">
        <is>
          <t>0</t>
        </is>
      </c>
      <c r="K1512" t="inlineStr">
        <is>
          <t>Kane, Thomas A., 1945-</t>
        </is>
      </c>
      <c r="L1512" t="inlineStr">
        <is>
          <t>Whitinsville, Mass. : Affirmation Books, c1976.</t>
        </is>
      </c>
      <c r="M1512" t="inlineStr">
        <is>
          <t>1976</t>
        </is>
      </c>
      <c r="N1512" t="inlineStr">
        <is>
          <t>1st ed.</t>
        </is>
      </c>
      <c r="O1512" t="inlineStr">
        <is>
          <t>eng</t>
        </is>
      </c>
      <c r="P1512" t="inlineStr">
        <is>
          <t>mau</t>
        </is>
      </c>
      <c r="R1512" t="inlineStr">
        <is>
          <t xml:space="preserve">BX </t>
        </is>
      </c>
      <c r="S1512" t="n">
        <v>1</v>
      </c>
      <c r="T1512" t="n">
        <v>1</v>
      </c>
      <c r="U1512" t="inlineStr">
        <is>
          <t>2009-07-28</t>
        </is>
      </c>
      <c r="V1512" t="inlineStr">
        <is>
          <t>2009-07-28</t>
        </is>
      </c>
      <c r="W1512" t="inlineStr">
        <is>
          <t>2009-07-28</t>
        </is>
      </c>
      <c r="X1512" t="inlineStr">
        <is>
          <t>2009-07-28</t>
        </is>
      </c>
      <c r="Y1512" t="n">
        <v>149</v>
      </c>
      <c r="Z1512" t="n">
        <v>126</v>
      </c>
      <c r="AA1512" t="n">
        <v>132</v>
      </c>
      <c r="AB1512" t="n">
        <v>3</v>
      </c>
      <c r="AC1512" t="n">
        <v>3</v>
      </c>
      <c r="AD1512" t="n">
        <v>11</v>
      </c>
      <c r="AE1512" t="n">
        <v>11</v>
      </c>
      <c r="AF1512" t="n">
        <v>3</v>
      </c>
      <c r="AG1512" t="n">
        <v>3</v>
      </c>
      <c r="AH1512" t="n">
        <v>1</v>
      </c>
      <c r="AI1512" t="n">
        <v>1</v>
      </c>
      <c r="AJ1512" t="n">
        <v>9</v>
      </c>
      <c r="AK1512" t="n">
        <v>9</v>
      </c>
      <c r="AL1512" t="n">
        <v>1</v>
      </c>
      <c r="AM1512" t="n">
        <v>1</v>
      </c>
      <c r="AN1512" t="n">
        <v>0</v>
      </c>
      <c r="AO1512" t="n">
        <v>0</v>
      </c>
      <c r="AP1512" t="inlineStr">
        <is>
          <t>No</t>
        </is>
      </c>
      <c r="AQ1512" t="inlineStr">
        <is>
          <t>No</t>
        </is>
      </c>
      <c r="AS1512">
        <f>HYPERLINK("https://creighton-primo.hosted.exlibrisgroup.com/primo-explore/search?tab=default_tab&amp;search_scope=EVERYTHING&amp;vid=01CRU&amp;lang=en_US&amp;offset=0&amp;query=any,contains,991005328609702656","Catalog Record")</f>
        <v/>
      </c>
      <c r="AT1512">
        <f>HYPERLINK("http://www.worldcat.org/oclc/2968313","WorldCat Record")</f>
        <v/>
      </c>
      <c r="AU1512" t="inlineStr">
        <is>
          <t>1780884063:eng</t>
        </is>
      </c>
      <c r="AV1512" t="inlineStr">
        <is>
          <t>2968313</t>
        </is>
      </c>
      <c r="AW1512" t="inlineStr">
        <is>
          <t>991005328609702656</t>
        </is>
      </c>
      <c r="AX1512" t="inlineStr">
        <is>
          <t>991005328609702656</t>
        </is>
      </c>
      <c r="AY1512" t="inlineStr">
        <is>
          <t>2268895440002656</t>
        </is>
      </c>
      <c r="AZ1512" t="inlineStr">
        <is>
          <t>BOOK</t>
        </is>
      </c>
      <c r="BC1512" t="inlineStr">
        <is>
          <t>32285005539514</t>
        </is>
      </c>
      <c r="BD1512" t="inlineStr">
        <is>
          <t>893326572</t>
        </is>
      </c>
    </row>
    <row r="1513">
      <c r="A1513" t="inlineStr">
        <is>
          <t>No</t>
        </is>
      </c>
      <c r="B1513" t="inlineStr">
        <is>
          <t>BX2350.2 .K458 1979</t>
        </is>
      </c>
      <c r="C1513" t="inlineStr">
        <is>
          <t>0                      BX 2350200K  458         1979</t>
        </is>
      </c>
      <c r="D1513" t="inlineStr">
        <is>
          <t>Free to be human / by Eugene Kennedy ; photographs by Todd Brennan.</t>
        </is>
      </c>
      <c r="F1513" t="inlineStr">
        <is>
          <t>No</t>
        </is>
      </c>
      <c r="G1513" t="inlineStr">
        <is>
          <t>1</t>
        </is>
      </c>
      <c r="H1513" t="inlineStr">
        <is>
          <t>No</t>
        </is>
      </c>
      <c r="I1513" t="inlineStr">
        <is>
          <t>No</t>
        </is>
      </c>
      <c r="J1513" t="inlineStr">
        <is>
          <t>0</t>
        </is>
      </c>
      <c r="K1513" t="inlineStr">
        <is>
          <t>Kennedy, Eugene C.</t>
        </is>
      </c>
      <c r="L1513" t="inlineStr">
        <is>
          <t>Chicago : Thomas More Press, c1979.</t>
        </is>
      </c>
      <c r="M1513" t="inlineStr">
        <is>
          <t>1979</t>
        </is>
      </c>
      <c r="O1513" t="inlineStr">
        <is>
          <t>eng</t>
        </is>
      </c>
      <c r="P1513" t="inlineStr">
        <is>
          <t>ilu</t>
        </is>
      </c>
      <c r="R1513" t="inlineStr">
        <is>
          <t xml:space="preserve">BX </t>
        </is>
      </c>
      <c r="S1513" t="n">
        <v>1</v>
      </c>
      <c r="T1513" t="n">
        <v>1</v>
      </c>
      <c r="U1513" t="inlineStr">
        <is>
          <t>2009-07-28</t>
        </is>
      </c>
      <c r="V1513" t="inlineStr">
        <is>
          <t>2009-07-28</t>
        </is>
      </c>
      <c r="W1513" t="inlineStr">
        <is>
          <t>2009-07-27</t>
        </is>
      </c>
      <c r="X1513" t="inlineStr">
        <is>
          <t>2009-07-27</t>
        </is>
      </c>
      <c r="Y1513" t="n">
        <v>230</v>
      </c>
      <c r="Z1513" t="n">
        <v>221</v>
      </c>
      <c r="AA1513" t="n">
        <v>245</v>
      </c>
      <c r="AB1513" t="n">
        <v>2</v>
      </c>
      <c r="AC1513" t="n">
        <v>2</v>
      </c>
      <c r="AD1513" t="n">
        <v>7</v>
      </c>
      <c r="AE1513" t="n">
        <v>7</v>
      </c>
      <c r="AF1513" t="n">
        <v>1</v>
      </c>
      <c r="AG1513" t="n">
        <v>1</v>
      </c>
      <c r="AH1513" t="n">
        <v>1</v>
      </c>
      <c r="AI1513" t="n">
        <v>1</v>
      </c>
      <c r="AJ1513" t="n">
        <v>5</v>
      </c>
      <c r="AK1513" t="n">
        <v>5</v>
      </c>
      <c r="AL1513" t="n">
        <v>1</v>
      </c>
      <c r="AM1513" t="n">
        <v>1</v>
      </c>
      <c r="AN1513" t="n">
        <v>0</v>
      </c>
      <c r="AO1513" t="n">
        <v>0</v>
      </c>
      <c r="AP1513" t="inlineStr">
        <is>
          <t>No</t>
        </is>
      </c>
      <c r="AQ1513" t="inlineStr">
        <is>
          <t>No</t>
        </is>
      </c>
      <c r="AS1513">
        <f>HYPERLINK("https://creighton-primo.hosted.exlibrisgroup.com/primo-explore/search?tab=default_tab&amp;search_scope=EVERYTHING&amp;vid=01CRU&amp;lang=en_US&amp;offset=0&amp;query=any,contains,991005328189702656","Catalog Record")</f>
        <v/>
      </c>
      <c r="AT1513">
        <f>HYPERLINK("http://www.worldcat.org/oclc/4730979","WorldCat Record")</f>
        <v/>
      </c>
      <c r="AU1513" t="inlineStr">
        <is>
          <t>450068:eng</t>
        </is>
      </c>
      <c r="AV1513" t="inlineStr">
        <is>
          <t>4730979</t>
        </is>
      </c>
      <c r="AW1513" t="inlineStr">
        <is>
          <t>991005328189702656</t>
        </is>
      </c>
      <c r="AX1513" t="inlineStr">
        <is>
          <t>991005328189702656</t>
        </is>
      </c>
      <c r="AY1513" t="inlineStr">
        <is>
          <t>2263820120002656</t>
        </is>
      </c>
      <c r="AZ1513" t="inlineStr">
        <is>
          <t>BOOK</t>
        </is>
      </c>
      <c r="BB1513" t="inlineStr">
        <is>
          <t>9780883470992</t>
        </is>
      </c>
      <c r="BC1513" t="inlineStr">
        <is>
          <t>32285005539324</t>
        </is>
      </c>
      <c r="BD1513" t="inlineStr">
        <is>
          <t>893777216</t>
        </is>
      </c>
    </row>
    <row r="1514">
      <c r="A1514" t="inlineStr">
        <is>
          <t>No</t>
        </is>
      </c>
      <c r="B1514" t="inlineStr">
        <is>
          <t>BX2350.2 .K55</t>
        </is>
      </c>
      <c r="C1514" t="inlineStr">
        <is>
          <t>0                      BX 2350200K  55</t>
        </is>
      </c>
      <c r="D1514" t="inlineStr">
        <is>
          <t>His way : an everyday plan for following Jesus / by David Knight.</t>
        </is>
      </c>
      <c r="F1514" t="inlineStr">
        <is>
          <t>No</t>
        </is>
      </c>
      <c r="G1514" t="inlineStr">
        <is>
          <t>1</t>
        </is>
      </c>
      <c r="H1514" t="inlineStr">
        <is>
          <t>No</t>
        </is>
      </c>
      <c r="I1514" t="inlineStr">
        <is>
          <t>No</t>
        </is>
      </c>
      <c r="J1514" t="inlineStr">
        <is>
          <t>0</t>
        </is>
      </c>
      <c r="K1514" t="inlineStr">
        <is>
          <t>Knight, David M., 1931-</t>
        </is>
      </c>
      <c r="L1514" t="inlineStr">
        <is>
          <t>[Cincinnati, O.] St. Anthony Messenger Press, 1977.</t>
        </is>
      </c>
      <c r="M1514" t="inlineStr">
        <is>
          <t>1977</t>
        </is>
      </c>
      <c r="O1514" t="inlineStr">
        <is>
          <t>eng</t>
        </is>
      </c>
      <c r="P1514" t="inlineStr">
        <is>
          <t>ohu</t>
        </is>
      </c>
      <c r="R1514" t="inlineStr">
        <is>
          <t xml:space="preserve">BX </t>
        </is>
      </c>
      <c r="S1514" t="n">
        <v>0</v>
      </c>
      <c r="T1514" t="n">
        <v>0</v>
      </c>
      <c r="U1514" t="inlineStr">
        <is>
          <t>2008-05-23</t>
        </is>
      </c>
      <c r="V1514" t="inlineStr">
        <is>
          <t>2008-05-23</t>
        </is>
      </c>
      <c r="W1514" t="inlineStr">
        <is>
          <t>1991-10-29</t>
        </is>
      </c>
      <c r="X1514" t="inlineStr">
        <is>
          <t>1991-10-29</t>
        </is>
      </c>
      <c r="Y1514" t="n">
        <v>89</v>
      </c>
      <c r="Z1514" t="n">
        <v>78</v>
      </c>
      <c r="AA1514" t="n">
        <v>85</v>
      </c>
      <c r="AB1514" t="n">
        <v>1</v>
      </c>
      <c r="AC1514" t="n">
        <v>1</v>
      </c>
      <c r="AD1514" t="n">
        <v>9</v>
      </c>
      <c r="AE1514" t="n">
        <v>9</v>
      </c>
      <c r="AF1514" t="n">
        <v>2</v>
      </c>
      <c r="AG1514" t="n">
        <v>2</v>
      </c>
      <c r="AH1514" t="n">
        <v>2</v>
      </c>
      <c r="AI1514" t="n">
        <v>2</v>
      </c>
      <c r="AJ1514" t="n">
        <v>7</v>
      </c>
      <c r="AK1514" t="n">
        <v>7</v>
      </c>
      <c r="AL1514" t="n">
        <v>0</v>
      </c>
      <c r="AM1514" t="n">
        <v>0</v>
      </c>
      <c r="AN1514" t="n">
        <v>0</v>
      </c>
      <c r="AO1514" t="n">
        <v>0</v>
      </c>
      <c r="AP1514" t="inlineStr">
        <is>
          <t>No</t>
        </is>
      </c>
      <c r="AQ1514" t="inlineStr">
        <is>
          <t>No</t>
        </is>
      </c>
      <c r="AS1514">
        <f>HYPERLINK("https://creighton-primo.hosted.exlibrisgroup.com/primo-explore/search?tab=default_tab&amp;search_scope=EVERYTHING&amp;vid=01CRU&amp;lang=en_US&amp;offset=0&amp;query=any,contains,991004637189702656","Catalog Record")</f>
        <v/>
      </c>
      <c r="AT1514">
        <f>HYPERLINK("http://www.worldcat.org/oclc/4424229","WorldCat Record")</f>
        <v/>
      </c>
      <c r="AU1514" t="inlineStr">
        <is>
          <t>18874034:eng</t>
        </is>
      </c>
      <c r="AV1514" t="inlineStr">
        <is>
          <t>4424229</t>
        </is>
      </c>
      <c r="AW1514" t="inlineStr">
        <is>
          <t>991004637189702656</t>
        </is>
      </c>
      <c r="AX1514" t="inlineStr">
        <is>
          <t>991004637189702656</t>
        </is>
      </c>
      <c r="AY1514" t="inlineStr">
        <is>
          <t>2272427510002656</t>
        </is>
      </c>
      <c r="AZ1514" t="inlineStr">
        <is>
          <t>BOOK</t>
        </is>
      </c>
      <c r="BB1514" t="inlineStr">
        <is>
          <t>9780912228396</t>
        </is>
      </c>
      <c r="BC1514" t="inlineStr">
        <is>
          <t>32285000813823</t>
        </is>
      </c>
      <c r="BD1514" t="inlineStr">
        <is>
          <t>893446314</t>
        </is>
      </c>
    </row>
    <row r="1515">
      <c r="A1515" t="inlineStr">
        <is>
          <t>No</t>
        </is>
      </c>
      <c r="B1515" t="inlineStr">
        <is>
          <t>BX2350.2 .K65</t>
        </is>
      </c>
      <c r="C1515" t="inlineStr">
        <is>
          <t>0                      BX 2350200K  65</t>
        </is>
      </c>
      <c r="D1515" t="inlineStr">
        <is>
          <t>Lift up your eyes to the mountain : a guide to the spiritual life / by David M. Knight.</t>
        </is>
      </c>
      <c r="F1515" t="inlineStr">
        <is>
          <t>No</t>
        </is>
      </c>
      <c r="G1515" t="inlineStr">
        <is>
          <t>1</t>
        </is>
      </c>
      <c r="H1515" t="inlineStr">
        <is>
          <t>No</t>
        </is>
      </c>
      <c r="I1515" t="inlineStr">
        <is>
          <t>No</t>
        </is>
      </c>
      <c r="J1515" t="inlineStr">
        <is>
          <t>0</t>
        </is>
      </c>
      <c r="K1515" t="inlineStr">
        <is>
          <t>Knight, David M., 1931-</t>
        </is>
      </c>
      <c r="L1515" t="inlineStr">
        <is>
          <t>Denville, N.J. : Dimension Books, 1981.</t>
        </is>
      </c>
      <c r="M1515" t="inlineStr">
        <is>
          <t>1981</t>
        </is>
      </c>
      <c r="N1515" t="inlineStr">
        <is>
          <t>First American edition.</t>
        </is>
      </c>
      <c r="O1515" t="inlineStr">
        <is>
          <t>eng</t>
        </is>
      </c>
      <c r="P1515" t="inlineStr">
        <is>
          <t>nju</t>
        </is>
      </c>
      <c r="R1515" t="inlineStr">
        <is>
          <t xml:space="preserve">BX </t>
        </is>
      </c>
      <c r="S1515" t="n">
        <v>2</v>
      </c>
      <c r="T1515" t="n">
        <v>2</v>
      </c>
      <c r="U1515" t="inlineStr">
        <is>
          <t>1993-08-14</t>
        </is>
      </c>
      <c r="V1515" t="inlineStr">
        <is>
          <t>1993-08-14</t>
        </is>
      </c>
      <c r="W1515" t="inlineStr">
        <is>
          <t>1991-10-29</t>
        </is>
      </c>
      <c r="X1515" t="inlineStr">
        <is>
          <t>1991-10-29</t>
        </is>
      </c>
      <c r="Y1515" t="n">
        <v>106</v>
      </c>
      <c r="Z1515" t="n">
        <v>92</v>
      </c>
      <c r="AA1515" t="n">
        <v>100</v>
      </c>
      <c r="AB1515" t="n">
        <v>2</v>
      </c>
      <c r="AC1515" t="n">
        <v>2</v>
      </c>
      <c r="AD1515" t="n">
        <v>13</v>
      </c>
      <c r="AE1515" t="n">
        <v>13</v>
      </c>
      <c r="AF1515" t="n">
        <v>2</v>
      </c>
      <c r="AG1515" t="n">
        <v>2</v>
      </c>
      <c r="AH1515" t="n">
        <v>2</v>
      </c>
      <c r="AI1515" t="n">
        <v>2</v>
      </c>
      <c r="AJ1515" t="n">
        <v>11</v>
      </c>
      <c r="AK1515" t="n">
        <v>11</v>
      </c>
      <c r="AL1515" t="n">
        <v>0</v>
      </c>
      <c r="AM1515" t="n">
        <v>0</v>
      </c>
      <c r="AN1515" t="n">
        <v>0</v>
      </c>
      <c r="AO1515" t="n">
        <v>0</v>
      </c>
      <c r="AP1515" t="inlineStr">
        <is>
          <t>No</t>
        </is>
      </c>
      <c r="AQ1515" t="inlineStr">
        <is>
          <t>No</t>
        </is>
      </c>
      <c r="AS1515">
        <f>HYPERLINK("https://creighton-primo.hosted.exlibrisgroup.com/primo-explore/search?tab=default_tab&amp;search_scope=EVERYTHING&amp;vid=01CRU&amp;lang=en_US&amp;offset=0&amp;query=any,contains,991005101709702656","Catalog Record")</f>
        <v/>
      </c>
      <c r="AT1515">
        <f>HYPERLINK("http://www.worldcat.org/oclc/7289227","WorldCat Record")</f>
        <v/>
      </c>
      <c r="AU1515" t="inlineStr">
        <is>
          <t>26617181:eng</t>
        </is>
      </c>
      <c r="AV1515" t="inlineStr">
        <is>
          <t>7289227</t>
        </is>
      </c>
      <c r="AW1515" t="inlineStr">
        <is>
          <t>991005101709702656</t>
        </is>
      </c>
      <c r="AX1515" t="inlineStr">
        <is>
          <t>991005101709702656</t>
        </is>
      </c>
      <c r="AY1515" t="inlineStr">
        <is>
          <t>2261662500002656</t>
        </is>
      </c>
      <c r="AZ1515" t="inlineStr">
        <is>
          <t>BOOK</t>
        </is>
      </c>
      <c r="BC1515" t="inlineStr">
        <is>
          <t>32285000813849</t>
        </is>
      </c>
      <c r="BD1515" t="inlineStr">
        <is>
          <t>893789437</t>
        </is>
      </c>
    </row>
    <row r="1516">
      <c r="A1516" t="inlineStr">
        <is>
          <t>No</t>
        </is>
      </c>
      <c r="B1516" t="inlineStr">
        <is>
          <t>BX2350.2 .L42 1987</t>
        </is>
      </c>
      <c r="C1516" t="inlineStr">
        <is>
          <t>0                      BX 2350200L  42          1987</t>
        </is>
      </c>
      <c r="D1516" t="inlineStr">
        <is>
          <t>Practical spirituality for lay people / Dolores R. Leckey.</t>
        </is>
      </c>
      <c r="F1516" t="inlineStr">
        <is>
          <t>No</t>
        </is>
      </c>
      <c r="G1516" t="inlineStr">
        <is>
          <t>1</t>
        </is>
      </c>
      <c r="H1516" t="inlineStr">
        <is>
          <t>No</t>
        </is>
      </c>
      <c r="I1516" t="inlineStr">
        <is>
          <t>No</t>
        </is>
      </c>
      <c r="J1516" t="inlineStr">
        <is>
          <t>0</t>
        </is>
      </c>
      <c r="K1516" t="inlineStr">
        <is>
          <t>Leckey, Dolores R.</t>
        </is>
      </c>
      <c r="L1516" t="inlineStr">
        <is>
          <t>Kansas City, MO : Sheed &amp; Ward, c1987.</t>
        </is>
      </c>
      <c r="M1516" t="inlineStr">
        <is>
          <t>1987</t>
        </is>
      </c>
      <c r="O1516" t="inlineStr">
        <is>
          <t>eng</t>
        </is>
      </c>
      <c r="P1516" t="inlineStr">
        <is>
          <t>mou</t>
        </is>
      </c>
      <c r="R1516" t="inlineStr">
        <is>
          <t xml:space="preserve">BX </t>
        </is>
      </c>
      <c r="S1516" t="n">
        <v>1</v>
      </c>
      <c r="T1516" t="n">
        <v>1</v>
      </c>
      <c r="U1516" t="inlineStr">
        <is>
          <t>2007-06-11</t>
        </is>
      </c>
      <c r="V1516" t="inlineStr">
        <is>
          <t>2007-06-11</t>
        </is>
      </c>
      <c r="W1516" t="inlineStr">
        <is>
          <t>2007-06-11</t>
        </is>
      </c>
      <c r="X1516" t="inlineStr">
        <is>
          <t>2007-06-11</t>
        </is>
      </c>
      <c r="Y1516" t="n">
        <v>54</v>
      </c>
      <c r="Z1516" t="n">
        <v>45</v>
      </c>
      <c r="AA1516" t="n">
        <v>45</v>
      </c>
      <c r="AB1516" t="n">
        <v>1</v>
      </c>
      <c r="AC1516" t="n">
        <v>1</v>
      </c>
      <c r="AD1516" t="n">
        <v>5</v>
      </c>
      <c r="AE1516" t="n">
        <v>5</v>
      </c>
      <c r="AF1516" t="n">
        <v>1</v>
      </c>
      <c r="AG1516" t="n">
        <v>1</v>
      </c>
      <c r="AH1516" t="n">
        <v>1</v>
      </c>
      <c r="AI1516" t="n">
        <v>1</v>
      </c>
      <c r="AJ1516" t="n">
        <v>4</v>
      </c>
      <c r="AK1516" t="n">
        <v>4</v>
      </c>
      <c r="AL1516" t="n">
        <v>0</v>
      </c>
      <c r="AM1516" t="n">
        <v>0</v>
      </c>
      <c r="AN1516" t="n">
        <v>0</v>
      </c>
      <c r="AO1516" t="n">
        <v>0</v>
      </c>
      <c r="AP1516" t="inlineStr">
        <is>
          <t>No</t>
        </is>
      </c>
      <c r="AQ1516" t="inlineStr">
        <is>
          <t>No</t>
        </is>
      </c>
      <c r="AS1516">
        <f>HYPERLINK("https://creighton-primo.hosted.exlibrisgroup.com/primo-explore/search?tab=default_tab&amp;search_scope=EVERYTHING&amp;vid=01CRU&amp;lang=en_US&amp;offset=0&amp;query=any,contains,991005090439702656","Catalog Record")</f>
        <v/>
      </c>
      <c r="AT1516">
        <f>HYPERLINK("http://www.worldcat.org/oclc/15308504","WorldCat Record")</f>
        <v/>
      </c>
      <c r="AU1516" t="inlineStr">
        <is>
          <t>9926759:eng</t>
        </is>
      </c>
      <c r="AV1516" t="inlineStr">
        <is>
          <t>15308504</t>
        </is>
      </c>
      <c r="AW1516" t="inlineStr">
        <is>
          <t>991005090439702656</t>
        </is>
      </c>
      <c r="AX1516" t="inlineStr">
        <is>
          <t>991005090439702656</t>
        </is>
      </c>
      <c r="AY1516" t="inlineStr">
        <is>
          <t>2259658940002656</t>
        </is>
      </c>
      <c r="AZ1516" t="inlineStr">
        <is>
          <t>BOOK</t>
        </is>
      </c>
      <c r="BB1516" t="inlineStr">
        <is>
          <t>9780934134804</t>
        </is>
      </c>
      <c r="BC1516" t="inlineStr">
        <is>
          <t>32285005316293</t>
        </is>
      </c>
      <c r="BD1516" t="inlineStr">
        <is>
          <t>893789418</t>
        </is>
      </c>
    </row>
    <row r="1517">
      <c r="A1517" t="inlineStr">
        <is>
          <t>No</t>
        </is>
      </c>
      <c r="B1517" t="inlineStr">
        <is>
          <t>BX2350.2 .L43 1999</t>
        </is>
      </c>
      <c r="C1517" t="inlineStr">
        <is>
          <t>0                      BX 2350200L  43          1999</t>
        </is>
      </c>
      <c r="D1517" t="inlineStr">
        <is>
          <t>Seven essentials for the spiritual journey / Dolores R. Leckey.</t>
        </is>
      </c>
      <c r="F1517" t="inlineStr">
        <is>
          <t>No</t>
        </is>
      </c>
      <c r="G1517" t="inlineStr">
        <is>
          <t>1</t>
        </is>
      </c>
      <c r="H1517" t="inlineStr">
        <is>
          <t>No</t>
        </is>
      </c>
      <c r="I1517" t="inlineStr">
        <is>
          <t>No</t>
        </is>
      </c>
      <c r="J1517" t="inlineStr">
        <is>
          <t>0</t>
        </is>
      </c>
      <c r="K1517" t="inlineStr">
        <is>
          <t>Leckey, Dolores R.</t>
        </is>
      </c>
      <c r="L1517" t="inlineStr">
        <is>
          <t>New York : Crossroad Pub., c1999.</t>
        </is>
      </c>
      <c r="M1517" t="inlineStr">
        <is>
          <t>1999</t>
        </is>
      </c>
      <c r="O1517" t="inlineStr">
        <is>
          <t>eng</t>
        </is>
      </c>
      <c r="P1517" t="inlineStr">
        <is>
          <t>nyu</t>
        </is>
      </c>
      <c r="R1517" t="inlineStr">
        <is>
          <t xml:space="preserve">BX </t>
        </is>
      </c>
      <c r="S1517" t="n">
        <v>5</v>
      </c>
      <c r="T1517" t="n">
        <v>5</v>
      </c>
      <c r="U1517" t="inlineStr">
        <is>
          <t>2010-01-15</t>
        </is>
      </c>
      <c r="V1517" t="inlineStr">
        <is>
          <t>2010-01-15</t>
        </is>
      </c>
      <c r="W1517" t="inlineStr">
        <is>
          <t>2002-08-13</t>
        </is>
      </c>
      <c r="X1517" t="inlineStr">
        <is>
          <t>2002-08-13</t>
        </is>
      </c>
      <c r="Y1517" t="n">
        <v>63</v>
      </c>
      <c r="Z1517" t="n">
        <v>56</v>
      </c>
      <c r="AA1517" t="n">
        <v>56</v>
      </c>
      <c r="AB1517" t="n">
        <v>1</v>
      </c>
      <c r="AC1517" t="n">
        <v>1</v>
      </c>
      <c r="AD1517" t="n">
        <v>4</v>
      </c>
      <c r="AE1517" t="n">
        <v>4</v>
      </c>
      <c r="AF1517" t="n">
        <v>1</v>
      </c>
      <c r="AG1517" t="n">
        <v>1</v>
      </c>
      <c r="AH1517" t="n">
        <v>1</v>
      </c>
      <c r="AI1517" t="n">
        <v>1</v>
      </c>
      <c r="AJ1517" t="n">
        <v>3</v>
      </c>
      <c r="AK1517" t="n">
        <v>3</v>
      </c>
      <c r="AL1517" t="n">
        <v>0</v>
      </c>
      <c r="AM1517" t="n">
        <v>0</v>
      </c>
      <c r="AN1517" t="n">
        <v>0</v>
      </c>
      <c r="AO1517" t="n">
        <v>0</v>
      </c>
      <c r="AP1517" t="inlineStr">
        <is>
          <t>No</t>
        </is>
      </c>
      <c r="AQ1517" t="inlineStr">
        <is>
          <t>No</t>
        </is>
      </c>
      <c r="AS1517">
        <f>HYPERLINK("https://creighton-primo.hosted.exlibrisgroup.com/primo-explore/search?tab=default_tab&amp;search_scope=EVERYTHING&amp;vid=01CRU&amp;lang=en_US&amp;offset=0&amp;query=any,contains,991003856349702656","Catalog Record")</f>
        <v/>
      </c>
      <c r="AT1517">
        <f>HYPERLINK("http://www.worldcat.org/oclc/40105825","WorldCat Record")</f>
        <v/>
      </c>
      <c r="AU1517" t="inlineStr">
        <is>
          <t>1020767:eng</t>
        </is>
      </c>
      <c r="AV1517" t="inlineStr">
        <is>
          <t>40105825</t>
        </is>
      </c>
      <c r="AW1517" t="inlineStr">
        <is>
          <t>991003856349702656</t>
        </is>
      </c>
      <c r="AX1517" t="inlineStr">
        <is>
          <t>991003856349702656</t>
        </is>
      </c>
      <c r="AY1517" t="inlineStr">
        <is>
          <t>2259385830002656</t>
        </is>
      </c>
      <c r="AZ1517" t="inlineStr">
        <is>
          <t>BOOK</t>
        </is>
      </c>
      <c r="BB1517" t="inlineStr">
        <is>
          <t>9780824517830</t>
        </is>
      </c>
      <c r="BC1517" t="inlineStr">
        <is>
          <t>32285004642905</t>
        </is>
      </c>
      <c r="BD1517" t="inlineStr">
        <is>
          <t>893234721</t>
        </is>
      </c>
    </row>
    <row r="1518">
      <c r="A1518" t="inlineStr">
        <is>
          <t>No</t>
        </is>
      </c>
      <c r="B1518" t="inlineStr">
        <is>
          <t>BX2350.2 .L44 1967</t>
        </is>
      </c>
      <c r="C1518" t="inlineStr">
        <is>
          <t>0                      BX 2350200L  44          1967</t>
        </is>
      </c>
      <c r="D1518" t="inlineStr">
        <is>
          <t>Vision of renewal : an aggiornamento / by Wilfred Le Sage.</t>
        </is>
      </c>
      <c r="F1518" t="inlineStr">
        <is>
          <t>No</t>
        </is>
      </c>
      <c r="G1518" t="inlineStr">
        <is>
          <t>1</t>
        </is>
      </c>
      <c r="H1518" t="inlineStr">
        <is>
          <t>No</t>
        </is>
      </c>
      <c r="I1518" t="inlineStr">
        <is>
          <t>No</t>
        </is>
      </c>
      <c r="J1518" t="inlineStr">
        <is>
          <t>0</t>
        </is>
      </c>
      <c r="K1518" t="inlineStr">
        <is>
          <t>Le Sage, Wilfred, 1907-</t>
        </is>
      </c>
      <c r="L1518" t="inlineStr">
        <is>
          <t>[Boston] : St. Paul Editions, [1967]</t>
        </is>
      </c>
      <c r="M1518" t="inlineStr">
        <is>
          <t>1967</t>
        </is>
      </c>
      <c r="O1518" t="inlineStr">
        <is>
          <t>eng</t>
        </is>
      </c>
      <c r="P1518" t="inlineStr">
        <is>
          <t>mau</t>
        </is>
      </c>
      <c r="R1518" t="inlineStr">
        <is>
          <t xml:space="preserve">BX </t>
        </is>
      </c>
      <c r="S1518" t="n">
        <v>4</v>
      </c>
      <c r="T1518" t="n">
        <v>4</v>
      </c>
      <c r="U1518" t="inlineStr">
        <is>
          <t>2000-02-14</t>
        </is>
      </c>
      <c r="V1518" t="inlineStr">
        <is>
          <t>2000-02-14</t>
        </is>
      </c>
      <c r="W1518" t="inlineStr">
        <is>
          <t>1991-10-29</t>
        </is>
      </c>
      <c r="X1518" t="inlineStr">
        <is>
          <t>1991-10-29</t>
        </is>
      </c>
      <c r="Y1518" t="n">
        <v>47</v>
      </c>
      <c r="Z1518" t="n">
        <v>40</v>
      </c>
      <c r="AA1518" t="n">
        <v>40</v>
      </c>
      <c r="AB1518" t="n">
        <v>2</v>
      </c>
      <c r="AC1518" t="n">
        <v>2</v>
      </c>
      <c r="AD1518" t="n">
        <v>9</v>
      </c>
      <c r="AE1518" t="n">
        <v>9</v>
      </c>
      <c r="AF1518" t="n">
        <v>1</v>
      </c>
      <c r="AG1518" t="n">
        <v>1</v>
      </c>
      <c r="AH1518" t="n">
        <v>2</v>
      </c>
      <c r="AI1518" t="n">
        <v>2</v>
      </c>
      <c r="AJ1518" t="n">
        <v>9</v>
      </c>
      <c r="AK1518" t="n">
        <v>9</v>
      </c>
      <c r="AL1518" t="n">
        <v>0</v>
      </c>
      <c r="AM1518" t="n">
        <v>0</v>
      </c>
      <c r="AN1518" t="n">
        <v>0</v>
      </c>
      <c r="AO1518" t="n">
        <v>0</v>
      </c>
      <c r="AP1518" t="inlineStr">
        <is>
          <t>No</t>
        </is>
      </c>
      <c r="AQ1518" t="inlineStr">
        <is>
          <t>No</t>
        </is>
      </c>
      <c r="AS1518">
        <f>HYPERLINK("https://creighton-primo.hosted.exlibrisgroup.com/primo-explore/search?tab=default_tab&amp;search_scope=EVERYTHING&amp;vid=01CRU&amp;lang=en_US&amp;offset=0&amp;query=any,contains,991004430529702656","Catalog Record")</f>
        <v/>
      </c>
      <c r="AT1518">
        <f>HYPERLINK("http://www.worldcat.org/oclc/3416990","WorldCat Record")</f>
        <v/>
      </c>
      <c r="AU1518" t="inlineStr">
        <is>
          <t>10076356:eng</t>
        </is>
      </c>
      <c r="AV1518" t="inlineStr">
        <is>
          <t>3416990</t>
        </is>
      </c>
      <c r="AW1518" t="inlineStr">
        <is>
          <t>991004430529702656</t>
        </is>
      </c>
      <c r="AX1518" t="inlineStr">
        <is>
          <t>991004430529702656</t>
        </is>
      </c>
      <c r="AY1518" t="inlineStr">
        <is>
          <t>2263158730002656</t>
        </is>
      </c>
      <c r="AZ1518" t="inlineStr">
        <is>
          <t>BOOK</t>
        </is>
      </c>
      <c r="BC1518" t="inlineStr">
        <is>
          <t>32285000813914</t>
        </is>
      </c>
      <c r="BD1518" t="inlineStr">
        <is>
          <t>893235484</t>
        </is>
      </c>
    </row>
    <row r="1519">
      <c r="A1519" t="inlineStr">
        <is>
          <t>No</t>
        </is>
      </c>
      <c r="B1519" t="inlineStr">
        <is>
          <t>BX2350.2 .L58 2000</t>
        </is>
      </c>
      <c r="C1519" t="inlineStr">
        <is>
          <t>0                      BX 2350200L  58          2000</t>
        </is>
      </c>
      <c r="D1519" t="inlineStr">
        <is>
          <t>This blessed mess / Patricia H. Livingston.</t>
        </is>
      </c>
      <c r="F1519" t="inlineStr">
        <is>
          <t>No</t>
        </is>
      </c>
      <c r="G1519" t="inlineStr">
        <is>
          <t>1</t>
        </is>
      </c>
      <c r="H1519" t="inlineStr">
        <is>
          <t>No</t>
        </is>
      </c>
      <c r="I1519" t="inlineStr">
        <is>
          <t>No</t>
        </is>
      </c>
      <c r="J1519" t="inlineStr">
        <is>
          <t>0</t>
        </is>
      </c>
      <c r="K1519" t="inlineStr">
        <is>
          <t>Livingston, Patricia H.</t>
        </is>
      </c>
      <c r="L1519" t="inlineStr">
        <is>
          <t>Notre Dame, Ind. : Sorin Books, c2000.</t>
        </is>
      </c>
      <c r="M1519" t="inlineStr">
        <is>
          <t>2000</t>
        </is>
      </c>
      <c r="O1519" t="inlineStr">
        <is>
          <t>eng</t>
        </is>
      </c>
      <c r="P1519" t="inlineStr">
        <is>
          <t>inu</t>
        </is>
      </c>
      <c r="R1519" t="inlineStr">
        <is>
          <t xml:space="preserve">BX </t>
        </is>
      </c>
      <c r="S1519" t="n">
        <v>5</v>
      </c>
      <c r="T1519" t="n">
        <v>5</v>
      </c>
      <c r="U1519" t="inlineStr">
        <is>
          <t>2000-11-08</t>
        </is>
      </c>
      <c r="V1519" t="inlineStr">
        <is>
          <t>2000-11-08</t>
        </is>
      </c>
      <c r="W1519" t="inlineStr">
        <is>
          <t>2000-09-26</t>
        </is>
      </c>
      <c r="X1519" t="inlineStr">
        <is>
          <t>2000-09-26</t>
        </is>
      </c>
      <c r="Y1519" t="n">
        <v>104</v>
      </c>
      <c r="Z1519" t="n">
        <v>103</v>
      </c>
      <c r="AA1519" t="n">
        <v>103</v>
      </c>
      <c r="AB1519" t="n">
        <v>1</v>
      </c>
      <c r="AC1519" t="n">
        <v>1</v>
      </c>
      <c r="AD1519" t="n">
        <v>4</v>
      </c>
      <c r="AE1519" t="n">
        <v>4</v>
      </c>
      <c r="AF1519" t="n">
        <v>0</v>
      </c>
      <c r="AG1519" t="n">
        <v>0</v>
      </c>
      <c r="AH1519" t="n">
        <v>1</v>
      </c>
      <c r="AI1519" t="n">
        <v>1</v>
      </c>
      <c r="AJ1519" t="n">
        <v>3</v>
      </c>
      <c r="AK1519" t="n">
        <v>3</v>
      </c>
      <c r="AL1519" t="n">
        <v>0</v>
      </c>
      <c r="AM1519" t="n">
        <v>0</v>
      </c>
      <c r="AN1519" t="n">
        <v>0</v>
      </c>
      <c r="AO1519" t="n">
        <v>0</v>
      </c>
      <c r="AP1519" t="inlineStr">
        <is>
          <t>No</t>
        </is>
      </c>
      <c r="AQ1519" t="inlineStr">
        <is>
          <t>No</t>
        </is>
      </c>
      <c r="AS1519">
        <f>HYPERLINK("https://creighton-primo.hosted.exlibrisgroup.com/primo-explore/search?tab=default_tab&amp;search_scope=EVERYTHING&amp;vid=01CRU&amp;lang=en_US&amp;offset=0&amp;query=any,contains,991003297329702656","Catalog Record")</f>
        <v/>
      </c>
      <c r="AT1519">
        <f>HYPERLINK("http://www.worldcat.org/oclc/45030481","WorldCat Record")</f>
        <v/>
      </c>
      <c r="AU1519" t="inlineStr">
        <is>
          <t>34758092:eng</t>
        </is>
      </c>
      <c r="AV1519" t="inlineStr">
        <is>
          <t>45030481</t>
        </is>
      </c>
      <c r="AW1519" t="inlineStr">
        <is>
          <t>991003297329702656</t>
        </is>
      </c>
      <c r="AX1519" t="inlineStr">
        <is>
          <t>991003297329702656</t>
        </is>
      </c>
      <c r="AY1519" t="inlineStr">
        <is>
          <t>2259091990002656</t>
        </is>
      </c>
      <c r="AZ1519" t="inlineStr">
        <is>
          <t>BOOK</t>
        </is>
      </c>
      <c r="BB1519" t="inlineStr">
        <is>
          <t>9781893732155</t>
        </is>
      </c>
      <c r="BC1519" t="inlineStr">
        <is>
          <t>32285003762365</t>
        </is>
      </c>
      <c r="BD1519" t="inlineStr">
        <is>
          <t>893258276</t>
        </is>
      </c>
    </row>
    <row r="1520">
      <c r="A1520" t="inlineStr">
        <is>
          <t>No</t>
        </is>
      </c>
      <c r="B1520" t="inlineStr">
        <is>
          <t>BX2350.2 .M23 1974</t>
        </is>
      </c>
      <c r="C1520" t="inlineStr">
        <is>
          <t>0                      BX 2350200M  23          1974</t>
        </is>
      </c>
      <c r="D1520" t="inlineStr">
        <is>
          <t>On the run : spirituality for the seventies / edited by Michael F. McCauley.</t>
        </is>
      </c>
      <c r="F1520" t="inlineStr">
        <is>
          <t>No</t>
        </is>
      </c>
      <c r="G1520" t="inlineStr">
        <is>
          <t>1</t>
        </is>
      </c>
      <c r="H1520" t="inlineStr">
        <is>
          <t>No</t>
        </is>
      </c>
      <c r="I1520" t="inlineStr">
        <is>
          <t>No</t>
        </is>
      </c>
      <c r="J1520" t="inlineStr">
        <is>
          <t>0</t>
        </is>
      </c>
      <c r="K1520" t="inlineStr">
        <is>
          <t>McCauley, Michael F.</t>
        </is>
      </c>
      <c r="L1520" t="inlineStr">
        <is>
          <t>Chicago : Thomas More Press, [1974]</t>
        </is>
      </c>
      <c r="M1520" t="inlineStr">
        <is>
          <t>1974</t>
        </is>
      </c>
      <c r="O1520" t="inlineStr">
        <is>
          <t>eng</t>
        </is>
      </c>
      <c r="P1520" t="inlineStr">
        <is>
          <t>ilu</t>
        </is>
      </c>
      <c r="R1520" t="inlineStr">
        <is>
          <t xml:space="preserve">BX </t>
        </is>
      </c>
      <c r="S1520" t="n">
        <v>1</v>
      </c>
      <c r="T1520" t="n">
        <v>1</v>
      </c>
      <c r="U1520" t="inlineStr">
        <is>
          <t>1992-07-10</t>
        </is>
      </c>
      <c r="V1520" t="inlineStr">
        <is>
          <t>1992-07-10</t>
        </is>
      </c>
      <c r="W1520" t="inlineStr">
        <is>
          <t>1990-11-01</t>
        </is>
      </c>
      <c r="X1520" t="inlineStr">
        <is>
          <t>1990-11-01</t>
        </is>
      </c>
      <c r="Y1520" t="n">
        <v>121</v>
      </c>
      <c r="Z1520" t="n">
        <v>101</v>
      </c>
      <c r="AA1520" t="n">
        <v>106</v>
      </c>
      <c r="AB1520" t="n">
        <v>2</v>
      </c>
      <c r="AC1520" t="n">
        <v>2</v>
      </c>
      <c r="AD1520" t="n">
        <v>13</v>
      </c>
      <c r="AE1520" t="n">
        <v>13</v>
      </c>
      <c r="AF1520" t="n">
        <v>4</v>
      </c>
      <c r="AG1520" t="n">
        <v>4</v>
      </c>
      <c r="AH1520" t="n">
        <v>4</v>
      </c>
      <c r="AI1520" t="n">
        <v>4</v>
      </c>
      <c r="AJ1520" t="n">
        <v>9</v>
      </c>
      <c r="AK1520" t="n">
        <v>9</v>
      </c>
      <c r="AL1520" t="n">
        <v>0</v>
      </c>
      <c r="AM1520" t="n">
        <v>0</v>
      </c>
      <c r="AN1520" t="n">
        <v>0</v>
      </c>
      <c r="AO1520" t="n">
        <v>0</v>
      </c>
      <c r="AP1520" t="inlineStr">
        <is>
          <t>No</t>
        </is>
      </c>
      <c r="AQ1520" t="inlineStr">
        <is>
          <t>No</t>
        </is>
      </c>
      <c r="AS1520">
        <f>HYPERLINK("https://creighton-primo.hosted.exlibrisgroup.com/primo-explore/search?tab=default_tab&amp;search_scope=EVERYTHING&amp;vid=01CRU&amp;lang=en_US&amp;offset=0&amp;query=any,contains,991003489019702656","Catalog Record")</f>
        <v/>
      </c>
      <c r="AT1520">
        <f>HYPERLINK("http://www.worldcat.org/oclc/1037524","WorldCat Record")</f>
        <v/>
      </c>
      <c r="AU1520" t="inlineStr">
        <is>
          <t>1997335:eng</t>
        </is>
      </c>
      <c r="AV1520" t="inlineStr">
        <is>
          <t>1037524</t>
        </is>
      </c>
      <c r="AW1520" t="inlineStr">
        <is>
          <t>991003489019702656</t>
        </is>
      </c>
      <c r="AX1520" t="inlineStr">
        <is>
          <t>991003489019702656</t>
        </is>
      </c>
      <c r="AY1520" t="inlineStr">
        <is>
          <t>2265730120002656</t>
        </is>
      </c>
      <c r="AZ1520" t="inlineStr">
        <is>
          <t>BOOK</t>
        </is>
      </c>
      <c r="BB1520" t="inlineStr">
        <is>
          <t>9780883470428</t>
        </is>
      </c>
      <c r="BC1520" t="inlineStr">
        <is>
          <t>32285000296359</t>
        </is>
      </c>
      <c r="BD1520" t="inlineStr">
        <is>
          <t>893900023</t>
        </is>
      </c>
    </row>
    <row r="1521">
      <c r="A1521" t="inlineStr">
        <is>
          <t>No</t>
        </is>
      </c>
      <c r="B1521" t="inlineStr">
        <is>
          <t>BX2350.2 .M264 1969</t>
        </is>
      </c>
      <c r="C1521" t="inlineStr">
        <is>
          <t>0                      BX 2350200M  264         1969</t>
        </is>
      </c>
      <c r="D1521" t="inlineStr">
        <is>
          <t>The in-between : evolution in Christian faith / by Edwin M. McMahon and Peter A. Campbell.</t>
        </is>
      </c>
      <c r="F1521" t="inlineStr">
        <is>
          <t>No</t>
        </is>
      </c>
      <c r="G1521" t="inlineStr">
        <is>
          <t>1</t>
        </is>
      </c>
      <c r="H1521" t="inlineStr">
        <is>
          <t>No</t>
        </is>
      </c>
      <c r="I1521" t="inlineStr">
        <is>
          <t>No</t>
        </is>
      </c>
      <c r="J1521" t="inlineStr">
        <is>
          <t>0</t>
        </is>
      </c>
      <c r="K1521" t="inlineStr">
        <is>
          <t>McMahon, Edwin M., 1930-</t>
        </is>
      </c>
      <c r="L1521" t="inlineStr">
        <is>
          <t>New York : Sheed and Ward, [1969]</t>
        </is>
      </c>
      <c r="M1521" t="inlineStr">
        <is>
          <t>1969</t>
        </is>
      </c>
      <c r="O1521" t="inlineStr">
        <is>
          <t>eng</t>
        </is>
      </c>
      <c r="P1521" t="inlineStr">
        <is>
          <t>nyu</t>
        </is>
      </c>
      <c r="R1521" t="inlineStr">
        <is>
          <t xml:space="preserve">BX </t>
        </is>
      </c>
      <c r="S1521" t="n">
        <v>3</v>
      </c>
      <c r="T1521" t="n">
        <v>3</v>
      </c>
      <c r="U1521" t="inlineStr">
        <is>
          <t>2005-12-06</t>
        </is>
      </c>
      <c r="V1521" t="inlineStr">
        <is>
          <t>2005-12-06</t>
        </is>
      </c>
      <c r="W1521" t="inlineStr">
        <is>
          <t>1991-10-29</t>
        </is>
      </c>
      <c r="X1521" t="inlineStr">
        <is>
          <t>1991-10-29</t>
        </is>
      </c>
      <c r="Y1521" t="n">
        <v>168</v>
      </c>
      <c r="Z1521" t="n">
        <v>144</v>
      </c>
      <c r="AA1521" t="n">
        <v>149</v>
      </c>
      <c r="AB1521" t="n">
        <v>3</v>
      </c>
      <c r="AC1521" t="n">
        <v>3</v>
      </c>
      <c r="AD1521" t="n">
        <v>24</v>
      </c>
      <c r="AE1521" t="n">
        <v>24</v>
      </c>
      <c r="AF1521" t="n">
        <v>5</v>
      </c>
      <c r="AG1521" t="n">
        <v>5</v>
      </c>
      <c r="AH1521" t="n">
        <v>7</v>
      </c>
      <c r="AI1521" t="n">
        <v>7</v>
      </c>
      <c r="AJ1521" t="n">
        <v>19</v>
      </c>
      <c r="AK1521" t="n">
        <v>19</v>
      </c>
      <c r="AL1521" t="n">
        <v>1</v>
      </c>
      <c r="AM1521" t="n">
        <v>1</v>
      </c>
      <c r="AN1521" t="n">
        <v>0</v>
      </c>
      <c r="AO1521" t="n">
        <v>0</v>
      </c>
      <c r="AP1521" t="inlineStr">
        <is>
          <t>No</t>
        </is>
      </c>
      <c r="AQ1521" t="inlineStr">
        <is>
          <t>No</t>
        </is>
      </c>
      <c r="AS1521">
        <f>HYPERLINK("https://creighton-primo.hosted.exlibrisgroup.com/primo-explore/search?tab=default_tab&amp;search_scope=EVERYTHING&amp;vid=01CRU&amp;lang=en_US&amp;offset=0&amp;query=any,contains,991000348439702656","Catalog Record")</f>
        <v/>
      </c>
      <c r="AT1521">
        <f>HYPERLINK("http://www.worldcat.org/oclc/70366","WorldCat Record")</f>
        <v/>
      </c>
      <c r="AU1521" t="inlineStr">
        <is>
          <t>5116954133:eng</t>
        </is>
      </c>
      <c r="AV1521" t="inlineStr">
        <is>
          <t>70366</t>
        </is>
      </c>
      <c r="AW1521" t="inlineStr">
        <is>
          <t>991000348439702656</t>
        </is>
      </c>
      <c r="AX1521" t="inlineStr">
        <is>
          <t>991000348439702656</t>
        </is>
      </c>
      <c r="AY1521" t="inlineStr">
        <is>
          <t>2270367890002656</t>
        </is>
      </c>
      <c r="AZ1521" t="inlineStr">
        <is>
          <t>BOOK</t>
        </is>
      </c>
      <c r="BC1521" t="inlineStr">
        <is>
          <t>32285000813948</t>
        </is>
      </c>
      <c r="BD1521" t="inlineStr">
        <is>
          <t>893320977</t>
        </is>
      </c>
    </row>
    <row r="1522">
      <c r="A1522" t="inlineStr">
        <is>
          <t>No</t>
        </is>
      </c>
      <c r="B1522" t="inlineStr">
        <is>
          <t>BX2350.2 .M274 1974</t>
        </is>
      </c>
      <c r="C1522" t="inlineStr">
        <is>
          <t>0                      BX 2350200M  274         1974</t>
        </is>
      </c>
      <c r="D1522" t="inlineStr">
        <is>
          <t>The human adventure : contemplation for everyman / William McNamara.</t>
        </is>
      </c>
      <c r="F1522" t="inlineStr">
        <is>
          <t>No</t>
        </is>
      </c>
      <c r="G1522" t="inlineStr">
        <is>
          <t>1</t>
        </is>
      </c>
      <c r="H1522" t="inlineStr">
        <is>
          <t>No</t>
        </is>
      </c>
      <c r="I1522" t="inlineStr">
        <is>
          <t>No</t>
        </is>
      </c>
      <c r="J1522" t="inlineStr">
        <is>
          <t>0</t>
        </is>
      </c>
      <c r="K1522" t="inlineStr">
        <is>
          <t>McNamara, William.</t>
        </is>
      </c>
      <c r="L1522" t="inlineStr">
        <is>
          <t>Garden City, N.Y. : Doubleday, 1974.</t>
        </is>
      </c>
      <c r="M1522" t="inlineStr">
        <is>
          <t>1974</t>
        </is>
      </c>
      <c r="N1522" t="inlineStr">
        <is>
          <t>[1st ed.]</t>
        </is>
      </c>
      <c r="O1522" t="inlineStr">
        <is>
          <t>eng</t>
        </is>
      </c>
      <c r="P1522" t="inlineStr">
        <is>
          <t>nyu</t>
        </is>
      </c>
      <c r="R1522" t="inlineStr">
        <is>
          <t xml:space="preserve">BX </t>
        </is>
      </c>
      <c r="S1522" t="n">
        <v>3</v>
      </c>
      <c r="T1522" t="n">
        <v>3</v>
      </c>
      <c r="U1522" t="inlineStr">
        <is>
          <t>1997-03-01</t>
        </is>
      </c>
      <c r="V1522" t="inlineStr">
        <is>
          <t>1997-03-01</t>
        </is>
      </c>
      <c r="W1522" t="inlineStr">
        <is>
          <t>1991-10-29</t>
        </is>
      </c>
      <c r="X1522" t="inlineStr">
        <is>
          <t>1991-10-29</t>
        </is>
      </c>
      <c r="Y1522" t="n">
        <v>237</v>
      </c>
      <c r="Z1522" t="n">
        <v>216</v>
      </c>
      <c r="AA1522" t="n">
        <v>241</v>
      </c>
      <c r="AB1522" t="n">
        <v>2</v>
      </c>
      <c r="AC1522" t="n">
        <v>2</v>
      </c>
      <c r="AD1522" t="n">
        <v>18</v>
      </c>
      <c r="AE1522" t="n">
        <v>21</v>
      </c>
      <c r="AF1522" t="n">
        <v>4</v>
      </c>
      <c r="AG1522" t="n">
        <v>5</v>
      </c>
      <c r="AH1522" t="n">
        <v>5</v>
      </c>
      <c r="AI1522" t="n">
        <v>6</v>
      </c>
      <c r="AJ1522" t="n">
        <v>14</v>
      </c>
      <c r="AK1522" t="n">
        <v>17</v>
      </c>
      <c r="AL1522" t="n">
        <v>0</v>
      </c>
      <c r="AM1522" t="n">
        <v>0</v>
      </c>
      <c r="AN1522" t="n">
        <v>0</v>
      </c>
      <c r="AO1522" t="n">
        <v>0</v>
      </c>
      <c r="AP1522" t="inlineStr">
        <is>
          <t>No</t>
        </is>
      </c>
      <c r="AQ1522" t="inlineStr">
        <is>
          <t>Yes</t>
        </is>
      </c>
      <c r="AR1522">
        <f>HYPERLINK("http://catalog.hathitrust.org/Record/102374399","HathiTrust Record")</f>
        <v/>
      </c>
      <c r="AS1522">
        <f>HYPERLINK("https://creighton-primo.hosted.exlibrisgroup.com/primo-explore/search?tab=default_tab&amp;search_scope=EVERYTHING&amp;vid=01CRU&amp;lang=en_US&amp;offset=0&amp;query=any,contains,991003298319702656","Catalog Record")</f>
        <v/>
      </c>
      <c r="AT1522">
        <f>HYPERLINK("http://www.worldcat.org/oclc/820969","WorldCat Record")</f>
        <v/>
      </c>
      <c r="AU1522" t="inlineStr">
        <is>
          <t>1694899:eng</t>
        </is>
      </c>
      <c r="AV1522" t="inlineStr">
        <is>
          <t>820969</t>
        </is>
      </c>
      <c r="AW1522" t="inlineStr">
        <is>
          <t>991003298319702656</t>
        </is>
      </c>
      <c r="AX1522" t="inlineStr">
        <is>
          <t>991003298319702656</t>
        </is>
      </c>
      <c r="AY1522" t="inlineStr">
        <is>
          <t>2259140610002656</t>
        </is>
      </c>
      <c r="AZ1522" t="inlineStr">
        <is>
          <t>BOOK</t>
        </is>
      </c>
      <c r="BB1522" t="inlineStr">
        <is>
          <t>9780385089937</t>
        </is>
      </c>
      <c r="BC1522" t="inlineStr">
        <is>
          <t>32285000813955</t>
        </is>
      </c>
      <c r="BD1522" t="inlineStr">
        <is>
          <t>893428651</t>
        </is>
      </c>
    </row>
    <row r="1523">
      <c r="A1523" t="inlineStr">
        <is>
          <t>No</t>
        </is>
      </c>
      <c r="B1523" t="inlineStr">
        <is>
          <t>BX2350.2 .M3413 1964</t>
        </is>
      </c>
      <c r="C1523" t="inlineStr">
        <is>
          <t>0                      BX 2350200M  3413        1964</t>
        </is>
      </c>
      <c r="D1523" t="inlineStr">
        <is>
          <t>The Christian pursuit / by Henri Marduel. With a foreword by Francis J. Ripley [Translated by Daphne Knott-Bower and Angela de Hartog]</t>
        </is>
      </c>
      <c r="F1523" t="inlineStr">
        <is>
          <t>No</t>
        </is>
      </c>
      <c r="G1523" t="inlineStr">
        <is>
          <t>1</t>
        </is>
      </c>
      <c r="H1523" t="inlineStr">
        <is>
          <t>No</t>
        </is>
      </c>
      <c r="I1523" t="inlineStr">
        <is>
          <t>No</t>
        </is>
      </c>
      <c r="J1523" t="inlineStr">
        <is>
          <t>0</t>
        </is>
      </c>
      <c r="K1523" t="inlineStr">
        <is>
          <t>Marduel, Henri.</t>
        </is>
      </c>
      <c r="L1523" t="inlineStr">
        <is>
          <t>New York : Kenedy, [c1964]</t>
        </is>
      </c>
      <c r="M1523" t="inlineStr">
        <is>
          <t>1964</t>
        </is>
      </c>
      <c r="O1523" t="inlineStr">
        <is>
          <t>eng</t>
        </is>
      </c>
      <c r="P1523" t="inlineStr">
        <is>
          <t>nyu</t>
        </is>
      </c>
      <c r="R1523" t="inlineStr">
        <is>
          <t xml:space="preserve">BX </t>
        </is>
      </c>
      <c r="S1523" t="n">
        <v>2</v>
      </c>
      <c r="T1523" t="n">
        <v>2</v>
      </c>
      <c r="U1523" t="inlineStr">
        <is>
          <t>1998-04-07</t>
        </is>
      </c>
      <c r="V1523" t="inlineStr">
        <is>
          <t>1998-04-07</t>
        </is>
      </c>
      <c r="W1523" t="inlineStr">
        <is>
          <t>1991-10-29</t>
        </is>
      </c>
      <c r="X1523" t="inlineStr">
        <is>
          <t>1991-10-29</t>
        </is>
      </c>
      <c r="Y1523" t="n">
        <v>62</v>
      </c>
      <c r="Z1523" t="n">
        <v>57</v>
      </c>
      <c r="AA1523" t="n">
        <v>62</v>
      </c>
      <c r="AB1523" t="n">
        <v>1</v>
      </c>
      <c r="AC1523" t="n">
        <v>1</v>
      </c>
      <c r="AD1523" t="n">
        <v>9</v>
      </c>
      <c r="AE1523" t="n">
        <v>10</v>
      </c>
      <c r="AF1523" t="n">
        <v>2</v>
      </c>
      <c r="AG1523" t="n">
        <v>2</v>
      </c>
      <c r="AH1523" t="n">
        <v>2</v>
      </c>
      <c r="AI1523" t="n">
        <v>3</v>
      </c>
      <c r="AJ1523" t="n">
        <v>8</v>
      </c>
      <c r="AK1523" t="n">
        <v>9</v>
      </c>
      <c r="AL1523" t="n">
        <v>0</v>
      </c>
      <c r="AM1523" t="n">
        <v>0</v>
      </c>
      <c r="AN1523" t="n">
        <v>0</v>
      </c>
      <c r="AO1523" t="n">
        <v>0</v>
      </c>
      <c r="AP1523" t="inlineStr">
        <is>
          <t>No</t>
        </is>
      </c>
      <c r="AQ1523" t="inlineStr">
        <is>
          <t>No</t>
        </is>
      </c>
      <c r="AS1523">
        <f>HYPERLINK("https://creighton-primo.hosted.exlibrisgroup.com/primo-explore/search?tab=default_tab&amp;search_scope=EVERYTHING&amp;vid=01CRU&amp;lang=en_US&amp;offset=0&amp;query=any,contains,991004131479702656","Catalog Record")</f>
        <v/>
      </c>
      <c r="AT1523">
        <f>HYPERLINK("http://www.worldcat.org/oclc/2470836","WorldCat Record")</f>
        <v/>
      </c>
      <c r="AU1523" t="inlineStr">
        <is>
          <t>1862374995:eng</t>
        </is>
      </c>
      <c r="AV1523" t="inlineStr">
        <is>
          <t>2470836</t>
        </is>
      </c>
      <c r="AW1523" t="inlineStr">
        <is>
          <t>991004131479702656</t>
        </is>
      </c>
      <c r="AX1523" t="inlineStr">
        <is>
          <t>991004131479702656</t>
        </is>
      </c>
      <c r="AY1523" t="inlineStr">
        <is>
          <t>2256585880002656</t>
        </is>
      </c>
      <c r="AZ1523" t="inlineStr">
        <is>
          <t>BOOK</t>
        </is>
      </c>
      <c r="BC1523" t="inlineStr">
        <is>
          <t>32285000813963</t>
        </is>
      </c>
      <c r="BD1523" t="inlineStr">
        <is>
          <t>893605661</t>
        </is>
      </c>
    </row>
    <row r="1524">
      <c r="A1524" t="inlineStr">
        <is>
          <t>No</t>
        </is>
      </c>
      <c r="B1524" t="inlineStr">
        <is>
          <t>BX2350.2 .M37 1999</t>
        </is>
      </c>
      <c r="C1524" t="inlineStr">
        <is>
          <t>0                      BX 2350200M  37          1999</t>
        </is>
      </c>
      <c r="D1524" t="inlineStr">
        <is>
          <t>Traités / Marc le Moine ; introduction, texte critique, traduction, notes et index par Georges-Matthieu de Durand.</t>
        </is>
      </c>
      <c r="E1524" t="inlineStr">
        <is>
          <t>V. 1</t>
        </is>
      </c>
      <c r="F1524" t="inlineStr">
        <is>
          <t>Yes</t>
        </is>
      </c>
      <c r="G1524" t="inlineStr">
        <is>
          <t>1</t>
        </is>
      </c>
      <c r="H1524" t="inlineStr">
        <is>
          <t>No</t>
        </is>
      </c>
      <c r="I1524" t="inlineStr">
        <is>
          <t>No</t>
        </is>
      </c>
      <c r="J1524" t="inlineStr">
        <is>
          <t>0</t>
        </is>
      </c>
      <c r="K1524" t="inlineStr">
        <is>
          <t>Mark, the Hermit, -approximately 430.</t>
        </is>
      </c>
      <c r="L1524" t="inlineStr">
        <is>
          <t>Paris : Cerf, 1999-</t>
        </is>
      </c>
      <c r="M1524" t="inlineStr">
        <is>
          <t>1999</t>
        </is>
      </c>
      <c r="O1524" t="inlineStr">
        <is>
          <t>fre</t>
        </is>
      </c>
      <c r="P1524" t="inlineStr">
        <is>
          <t xml:space="preserve">fr </t>
        </is>
      </c>
      <c r="Q1524" t="inlineStr">
        <is>
          <t>Sources chrétiennes, 0750-1978 ; no 445-</t>
        </is>
      </c>
      <c r="R1524" t="inlineStr">
        <is>
          <t xml:space="preserve">BX </t>
        </is>
      </c>
      <c r="S1524" t="n">
        <v>1</v>
      </c>
      <c r="T1524" t="n">
        <v>2</v>
      </c>
      <c r="U1524" t="inlineStr">
        <is>
          <t>2000-08-24</t>
        </is>
      </c>
      <c r="V1524" t="inlineStr">
        <is>
          <t>2001-02-28</t>
        </is>
      </c>
      <c r="W1524" t="inlineStr">
        <is>
          <t>2000-08-24</t>
        </is>
      </c>
      <c r="X1524" t="inlineStr">
        <is>
          <t>2001-02-28</t>
        </is>
      </c>
      <c r="Y1524" t="n">
        <v>137</v>
      </c>
      <c r="Z1524" t="n">
        <v>106</v>
      </c>
      <c r="AA1524" t="n">
        <v>107</v>
      </c>
      <c r="AB1524" t="n">
        <v>1</v>
      </c>
      <c r="AC1524" t="n">
        <v>1</v>
      </c>
      <c r="AD1524" t="n">
        <v>10</v>
      </c>
      <c r="AE1524" t="n">
        <v>10</v>
      </c>
      <c r="AF1524" t="n">
        <v>2</v>
      </c>
      <c r="AG1524" t="n">
        <v>2</v>
      </c>
      <c r="AH1524" t="n">
        <v>2</v>
      </c>
      <c r="AI1524" t="n">
        <v>2</v>
      </c>
      <c r="AJ1524" t="n">
        <v>9</v>
      </c>
      <c r="AK1524" t="n">
        <v>9</v>
      </c>
      <c r="AL1524" t="n">
        <v>0</v>
      </c>
      <c r="AM1524" t="n">
        <v>0</v>
      </c>
      <c r="AN1524" t="n">
        <v>0</v>
      </c>
      <c r="AO1524" t="n">
        <v>0</v>
      </c>
      <c r="AP1524" t="inlineStr">
        <is>
          <t>No</t>
        </is>
      </c>
      <c r="AQ1524" t="inlineStr">
        <is>
          <t>Yes</t>
        </is>
      </c>
      <c r="AR1524">
        <f>HYPERLINK("http://catalog.hathitrust.org/Record/102007884","HathiTrust Record")</f>
        <v/>
      </c>
      <c r="AS1524">
        <f>HYPERLINK("https://creighton-primo.hosted.exlibrisgroup.com/primo-explore/search?tab=default_tab&amp;search_scope=EVERYTHING&amp;vid=01CRU&amp;lang=en_US&amp;offset=0&amp;query=any,contains,991003271979702656","Catalog Record")</f>
        <v/>
      </c>
      <c r="AT1524">
        <f>HYPERLINK("http://www.worldcat.org/oclc/47738525","WorldCat Record")</f>
        <v/>
      </c>
      <c r="AU1524" t="inlineStr">
        <is>
          <t>232783727:fre</t>
        </is>
      </c>
      <c r="AV1524" t="inlineStr">
        <is>
          <t>47738525</t>
        </is>
      </c>
      <c r="AW1524" t="inlineStr">
        <is>
          <t>991003271979702656</t>
        </is>
      </c>
      <c r="AX1524" t="inlineStr">
        <is>
          <t>991003271979702656</t>
        </is>
      </c>
      <c r="AY1524" t="inlineStr">
        <is>
          <t>2256807810002656</t>
        </is>
      </c>
      <c r="AZ1524" t="inlineStr">
        <is>
          <t>BOOK</t>
        </is>
      </c>
      <c r="BB1524" t="inlineStr">
        <is>
          <t>9782204063166</t>
        </is>
      </c>
      <c r="BC1524" t="inlineStr">
        <is>
          <t>32285003759205</t>
        </is>
      </c>
      <c r="BD1524" t="inlineStr">
        <is>
          <t>893336319</t>
        </is>
      </c>
    </row>
    <row r="1525">
      <c r="A1525" t="inlineStr">
        <is>
          <t>No</t>
        </is>
      </c>
      <c r="B1525" t="inlineStr">
        <is>
          <t>BX2350.2 .M37 1999</t>
        </is>
      </c>
      <c r="C1525" t="inlineStr">
        <is>
          <t>0                      BX 2350200M  37          1999</t>
        </is>
      </c>
      <c r="D1525" t="inlineStr">
        <is>
          <t>Traités / Marc le Moine ; introduction, texte critique, traduction, notes et index par Georges-Matthieu de Durand.</t>
        </is>
      </c>
      <c r="E1525" t="inlineStr">
        <is>
          <t>V. 2</t>
        </is>
      </c>
      <c r="F1525" t="inlineStr">
        <is>
          <t>Yes</t>
        </is>
      </c>
      <c r="G1525" t="inlineStr">
        <is>
          <t>1</t>
        </is>
      </c>
      <c r="H1525" t="inlineStr">
        <is>
          <t>No</t>
        </is>
      </c>
      <c r="I1525" t="inlineStr">
        <is>
          <t>No</t>
        </is>
      </c>
      <c r="J1525" t="inlineStr">
        <is>
          <t>0</t>
        </is>
      </c>
      <c r="K1525" t="inlineStr">
        <is>
          <t>Mark, the Hermit, -approximately 430.</t>
        </is>
      </c>
      <c r="L1525" t="inlineStr">
        <is>
          <t>Paris : Cerf, 1999-</t>
        </is>
      </c>
      <c r="M1525" t="inlineStr">
        <is>
          <t>1999</t>
        </is>
      </c>
      <c r="O1525" t="inlineStr">
        <is>
          <t>fre</t>
        </is>
      </c>
      <c r="P1525" t="inlineStr">
        <is>
          <t xml:space="preserve">fr </t>
        </is>
      </c>
      <c r="Q1525" t="inlineStr">
        <is>
          <t>Sources chrétiennes, 0750-1978 ; no 445-</t>
        </is>
      </c>
      <c r="R1525" t="inlineStr">
        <is>
          <t xml:space="preserve">BX </t>
        </is>
      </c>
      <c r="S1525" t="n">
        <v>1</v>
      </c>
      <c r="T1525" t="n">
        <v>2</v>
      </c>
      <c r="U1525" t="inlineStr">
        <is>
          <t>2001-02-28</t>
        </is>
      </c>
      <c r="V1525" t="inlineStr">
        <is>
          <t>2001-02-28</t>
        </is>
      </c>
      <c r="W1525" t="inlineStr">
        <is>
          <t>2001-02-28</t>
        </is>
      </c>
      <c r="X1525" t="inlineStr">
        <is>
          <t>2001-02-28</t>
        </is>
      </c>
      <c r="Y1525" t="n">
        <v>137</v>
      </c>
      <c r="Z1525" t="n">
        <v>106</v>
      </c>
      <c r="AA1525" t="n">
        <v>107</v>
      </c>
      <c r="AB1525" t="n">
        <v>1</v>
      </c>
      <c r="AC1525" t="n">
        <v>1</v>
      </c>
      <c r="AD1525" t="n">
        <v>10</v>
      </c>
      <c r="AE1525" t="n">
        <v>10</v>
      </c>
      <c r="AF1525" t="n">
        <v>2</v>
      </c>
      <c r="AG1525" t="n">
        <v>2</v>
      </c>
      <c r="AH1525" t="n">
        <v>2</v>
      </c>
      <c r="AI1525" t="n">
        <v>2</v>
      </c>
      <c r="AJ1525" t="n">
        <v>9</v>
      </c>
      <c r="AK1525" t="n">
        <v>9</v>
      </c>
      <c r="AL1525" t="n">
        <v>0</v>
      </c>
      <c r="AM1525" t="n">
        <v>0</v>
      </c>
      <c r="AN1525" t="n">
        <v>0</v>
      </c>
      <c r="AO1525" t="n">
        <v>0</v>
      </c>
      <c r="AP1525" t="inlineStr">
        <is>
          <t>No</t>
        </is>
      </c>
      <c r="AQ1525" t="inlineStr">
        <is>
          <t>Yes</t>
        </is>
      </c>
      <c r="AR1525">
        <f>HYPERLINK("http://catalog.hathitrust.org/Record/102007884","HathiTrust Record")</f>
        <v/>
      </c>
      <c r="AS1525">
        <f>HYPERLINK("https://creighton-primo.hosted.exlibrisgroup.com/primo-explore/search?tab=default_tab&amp;search_scope=EVERYTHING&amp;vid=01CRU&amp;lang=en_US&amp;offset=0&amp;query=any,contains,991003271979702656","Catalog Record")</f>
        <v/>
      </c>
      <c r="AT1525">
        <f>HYPERLINK("http://www.worldcat.org/oclc/47738525","WorldCat Record")</f>
        <v/>
      </c>
      <c r="AU1525" t="inlineStr">
        <is>
          <t>232783727:fre</t>
        </is>
      </c>
      <c r="AV1525" t="inlineStr">
        <is>
          <t>47738525</t>
        </is>
      </c>
      <c r="AW1525" t="inlineStr">
        <is>
          <t>991003271979702656</t>
        </is>
      </c>
      <c r="AX1525" t="inlineStr">
        <is>
          <t>991003271979702656</t>
        </is>
      </c>
      <c r="AY1525" t="inlineStr">
        <is>
          <t>2256807810002656</t>
        </is>
      </c>
      <c r="AZ1525" t="inlineStr">
        <is>
          <t>BOOK</t>
        </is>
      </c>
      <c r="BB1525" t="inlineStr">
        <is>
          <t>9782204063166</t>
        </is>
      </c>
      <c r="BC1525" t="inlineStr">
        <is>
          <t>32285004298468</t>
        </is>
      </c>
      <c r="BD1525" t="inlineStr">
        <is>
          <t>893323941</t>
        </is>
      </c>
    </row>
    <row r="1526">
      <c r="A1526" t="inlineStr">
        <is>
          <t>No</t>
        </is>
      </c>
      <c r="B1526" t="inlineStr">
        <is>
          <t>BX2350.2 .M414 1982</t>
        </is>
      </c>
      <c r="C1526" t="inlineStr">
        <is>
          <t>0                      BX 2350200M  414         1982</t>
        </is>
      </c>
      <c r="D1526" t="inlineStr">
        <is>
          <t>A contemporary social spirituality / Francis X. Meehan.</t>
        </is>
      </c>
      <c r="F1526" t="inlineStr">
        <is>
          <t>No</t>
        </is>
      </c>
      <c r="G1526" t="inlineStr">
        <is>
          <t>1</t>
        </is>
      </c>
      <c r="H1526" t="inlineStr">
        <is>
          <t>No</t>
        </is>
      </c>
      <c r="I1526" t="inlineStr">
        <is>
          <t>No</t>
        </is>
      </c>
      <c r="J1526" t="inlineStr">
        <is>
          <t>0</t>
        </is>
      </c>
      <c r="K1526" t="inlineStr">
        <is>
          <t>Meehan, Francis Xavier.</t>
        </is>
      </c>
      <c r="L1526" t="inlineStr">
        <is>
          <t>Maryknoll, N.Y. : Orbis Books, c1982.</t>
        </is>
      </c>
      <c r="M1526" t="inlineStr">
        <is>
          <t>1982</t>
        </is>
      </c>
      <c r="O1526" t="inlineStr">
        <is>
          <t>eng</t>
        </is>
      </c>
      <c r="P1526" t="inlineStr">
        <is>
          <t>nyu</t>
        </is>
      </c>
      <c r="R1526" t="inlineStr">
        <is>
          <t xml:space="preserve">BX </t>
        </is>
      </c>
      <c r="S1526" t="n">
        <v>1</v>
      </c>
      <c r="T1526" t="n">
        <v>1</v>
      </c>
      <c r="U1526" t="inlineStr">
        <is>
          <t>2000-07-11</t>
        </is>
      </c>
      <c r="V1526" t="inlineStr">
        <is>
          <t>2000-07-11</t>
        </is>
      </c>
      <c r="W1526" t="inlineStr">
        <is>
          <t>1991-10-29</t>
        </is>
      </c>
      <c r="X1526" t="inlineStr">
        <is>
          <t>1991-10-29</t>
        </is>
      </c>
      <c r="Y1526" t="n">
        <v>269</v>
      </c>
      <c r="Z1526" t="n">
        <v>215</v>
      </c>
      <c r="AA1526" t="n">
        <v>220</v>
      </c>
      <c r="AB1526" t="n">
        <v>2</v>
      </c>
      <c r="AC1526" t="n">
        <v>2</v>
      </c>
      <c r="AD1526" t="n">
        <v>23</v>
      </c>
      <c r="AE1526" t="n">
        <v>23</v>
      </c>
      <c r="AF1526" t="n">
        <v>5</v>
      </c>
      <c r="AG1526" t="n">
        <v>5</v>
      </c>
      <c r="AH1526" t="n">
        <v>8</v>
      </c>
      <c r="AI1526" t="n">
        <v>8</v>
      </c>
      <c r="AJ1526" t="n">
        <v>18</v>
      </c>
      <c r="AK1526" t="n">
        <v>18</v>
      </c>
      <c r="AL1526" t="n">
        <v>0</v>
      </c>
      <c r="AM1526" t="n">
        <v>0</v>
      </c>
      <c r="AN1526" t="n">
        <v>0</v>
      </c>
      <c r="AO1526" t="n">
        <v>0</v>
      </c>
      <c r="AP1526" t="inlineStr">
        <is>
          <t>No</t>
        </is>
      </c>
      <c r="AQ1526" t="inlineStr">
        <is>
          <t>No</t>
        </is>
      </c>
      <c r="AS1526">
        <f>HYPERLINK("https://creighton-primo.hosted.exlibrisgroup.com/primo-explore/search?tab=default_tab&amp;search_scope=EVERYTHING&amp;vid=01CRU&amp;lang=en_US&amp;offset=0&amp;query=any,contains,991005217579702656","Catalog Record")</f>
        <v/>
      </c>
      <c r="AT1526">
        <f>HYPERLINK("http://www.worldcat.org/oclc/8195986","WorldCat Record")</f>
        <v/>
      </c>
      <c r="AU1526" t="inlineStr">
        <is>
          <t>543331:eng</t>
        </is>
      </c>
      <c r="AV1526" t="inlineStr">
        <is>
          <t>8195986</t>
        </is>
      </c>
      <c r="AW1526" t="inlineStr">
        <is>
          <t>991005217579702656</t>
        </is>
      </c>
      <c r="AX1526" t="inlineStr">
        <is>
          <t>991005217579702656</t>
        </is>
      </c>
      <c r="AY1526" t="inlineStr">
        <is>
          <t>2268091090002656</t>
        </is>
      </c>
      <c r="AZ1526" t="inlineStr">
        <is>
          <t>BOOK</t>
        </is>
      </c>
      <c r="BB1526" t="inlineStr">
        <is>
          <t>9780883440223</t>
        </is>
      </c>
      <c r="BC1526" t="inlineStr">
        <is>
          <t>32285000813997</t>
        </is>
      </c>
      <c r="BD1526" t="inlineStr">
        <is>
          <t>893326392</t>
        </is>
      </c>
    </row>
    <row r="1527">
      <c r="A1527" t="inlineStr">
        <is>
          <t>No</t>
        </is>
      </c>
      <c r="B1527" t="inlineStr">
        <is>
          <t>BX2350.2 .M4496</t>
        </is>
      </c>
      <c r="C1527" t="inlineStr">
        <is>
          <t>0                      BX 2350200M  4496</t>
        </is>
      </c>
      <c r="D1527" t="inlineStr">
        <is>
          <t>Introductions east &amp; west : the foreign prefaces of Thomas Merton / Thomas Merton ; edited by Robert E. Daggy ; foreword by Harry James Cargas.</t>
        </is>
      </c>
      <c r="F1527" t="inlineStr">
        <is>
          <t>No</t>
        </is>
      </c>
      <c r="G1527" t="inlineStr">
        <is>
          <t>1</t>
        </is>
      </c>
      <c r="H1527" t="inlineStr">
        <is>
          <t>No</t>
        </is>
      </c>
      <c r="I1527" t="inlineStr">
        <is>
          <t>No</t>
        </is>
      </c>
      <c r="J1527" t="inlineStr">
        <is>
          <t>0</t>
        </is>
      </c>
      <c r="K1527" t="inlineStr">
        <is>
          <t>Merton, Thomas, 1915-1968.</t>
        </is>
      </c>
      <c r="L1527" t="inlineStr">
        <is>
          <t>Greensboro, N.C. : Unicorn Press, c1981.</t>
        </is>
      </c>
      <c r="M1527" t="inlineStr">
        <is>
          <t>1981</t>
        </is>
      </c>
      <c r="O1527" t="inlineStr">
        <is>
          <t>eng</t>
        </is>
      </c>
      <c r="P1527" t="inlineStr">
        <is>
          <t>ncu</t>
        </is>
      </c>
      <c r="R1527" t="inlineStr">
        <is>
          <t xml:space="preserve">BX </t>
        </is>
      </c>
      <c r="S1527" t="n">
        <v>7</v>
      </c>
      <c r="T1527" t="n">
        <v>7</v>
      </c>
      <c r="U1527" t="inlineStr">
        <is>
          <t>2007-04-12</t>
        </is>
      </c>
      <c r="V1527" t="inlineStr">
        <is>
          <t>2007-04-12</t>
        </is>
      </c>
      <c r="W1527" t="inlineStr">
        <is>
          <t>1991-10-29</t>
        </is>
      </c>
      <c r="X1527" t="inlineStr">
        <is>
          <t>1991-10-29</t>
        </is>
      </c>
      <c r="Y1527" t="n">
        <v>281</v>
      </c>
      <c r="Z1527" t="n">
        <v>252</v>
      </c>
      <c r="AA1527" t="n">
        <v>258</v>
      </c>
      <c r="AB1527" t="n">
        <v>1</v>
      </c>
      <c r="AC1527" t="n">
        <v>1</v>
      </c>
      <c r="AD1527" t="n">
        <v>24</v>
      </c>
      <c r="AE1527" t="n">
        <v>24</v>
      </c>
      <c r="AF1527" t="n">
        <v>10</v>
      </c>
      <c r="AG1527" t="n">
        <v>10</v>
      </c>
      <c r="AH1527" t="n">
        <v>5</v>
      </c>
      <c r="AI1527" t="n">
        <v>5</v>
      </c>
      <c r="AJ1527" t="n">
        <v>17</v>
      </c>
      <c r="AK1527" t="n">
        <v>17</v>
      </c>
      <c r="AL1527" t="n">
        <v>0</v>
      </c>
      <c r="AM1527" t="n">
        <v>0</v>
      </c>
      <c r="AN1527" t="n">
        <v>0</v>
      </c>
      <c r="AO1527" t="n">
        <v>0</v>
      </c>
      <c r="AP1527" t="inlineStr">
        <is>
          <t>No</t>
        </is>
      </c>
      <c r="AQ1527" t="inlineStr">
        <is>
          <t>Yes</t>
        </is>
      </c>
      <c r="AR1527">
        <f>HYPERLINK("http://catalog.hathitrust.org/Record/000140510","HathiTrust Record")</f>
        <v/>
      </c>
      <c r="AS1527">
        <f>HYPERLINK("https://creighton-primo.hosted.exlibrisgroup.com/primo-explore/search?tab=default_tab&amp;search_scope=EVERYTHING&amp;vid=01CRU&amp;lang=en_US&amp;offset=0&amp;query=any,contains,991005083509702656","Catalog Record")</f>
        <v/>
      </c>
      <c r="AT1527">
        <f>HYPERLINK("http://www.worldcat.org/oclc/7176689","WorldCat Record")</f>
        <v/>
      </c>
      <c r="AU1527" t="inlineStr">
        <is>
          <t>26144683:eng</t>
        </is>
      </c>
      <c r="AV1527" t="inlineStr">
        <is>
          <t>7176689</t>
        </is>
      </c>
      <c r="AW1527" t="inlineStr">
        <is>
          <t>991005083509702656</t>
        </is>
      </c>
      <c r="AX1527" t="inlineStr">
        <is>
          <t>991005083509702656</t>
        </is>
      </c>
      <c r="AY1527" t="inlineStr">
        <is>
          <t>2270991510002656</t>
        </is>
      </c>
      <c r="AZ1527" t="inlineStr">
        <is>
          <t>BOOK</t>
        </is>
      </c>
      <c r="BB1527" t="inlineStr">
        <is>
          <t>9780877751397</t>
        </is>
      </c>
      <c r="BC1527" t="inlineStr">
        <is>
          <t>32285000814003</t>
        </is>
      </c>
      <c r="BD1527" t="inlineStr">
        <is>
          <t>893501287</t>
        </is>
      </c>
    </row>
    <row r="1528">
      <c r="A1528" t="inlineStr">
        <is>
          <t>No</t>
        </is>
      </c>
      <c r="B1528" t="inlineStr">
        <is>
          <t>BX2350.2 .M4496 1989</t>
        </is>
      </c>
      <c r="C1528" t="inlineStr">
        <is>
          <t>0                      BX 2350200M  4496        1989</t>
        </is>
      </c>
      <c r="D1528" t="inlineStr">
        <is>
          <t>Honorable reader : reflections on my work / Thomas Merton ; edited by Robert E. Daggy ; foreword by Harry James Cargas.</t>
        </is>
      </c>
      <c r="F1528" t="inlineStr">
        <is>
          <t>No</t>
        </is>
      </c>
      <c r="G1528" t="inlineStr">
        <is>
          <t>1</t>
        </is>
      </c>
      <c r="H1528" t="inlineStr">
        <is>
          <t>No</t>
        </is>
      </c>
      <c r="I1528" t="inlineStr">
        <is>
          <t>No</t>
        </is>
      </c>
      <c r="J1528" t="inlineStr">
        <is>
          <t>0</t>
        </is>
      </c>
      <c r="K1528" t="inlineStr">
        <is>
          <t>Merton, Thomas, 1915-1968.</t>
        </is>
      </c>
      <c r="L1528" t="inlineStr">
        <is>
          <t>New York, N.Y. : Crossroad, c1989.</t>
        </is>
      </c>
      <c r="M1528" t="inlineStr">
        <is>
          <t>1989</t>
        </is>
      </c>
      <c r="O1528" t="inlineStr">
        <is>
          <t>eng</t>
        </is>
      </c>
      <c r="P1528" t="inlineStr">
        <is>
          <t>nyu</t>
        </is>
      </c>
      <c r="R1528" t="inlineStr">
        <is>
          <t xml:space="preserve">BX </t>
        </is>
      </c>
      <c r="S1528" t="n">
        <v>4</v>
      </c>
      <c r="T1528" t="n">
        <v>4</v>
      </c>
      <c r="U1528" t="inlineStr">
        <is>
          <t>1994-11-06</t>
        </is>
      </c>
      <c r="V1528" t="inlineStr">
        <is>
          <t>1994-11-06</t>
        </is>
      </c>
      <c r="W1528" t="inlineStr">
        <is>
          <t>1989-10-23</t>
        </is>
      </c>
      <c r="X1528" t="inlineStr">
        <is>
          <t>1989-10-23</t>
        </is>
      </c>
      <c r="Y1528" t="n">
        <v>434</v>
      </c>
      <c r="Z1528" t="n">
        <v>382</v>
      </c>
      <c r="AA1528" t="n">
        <v>394</v>
      </c>
      <c r="AB1528" t="n">
        <v>4</v>
      </c>
      <c r="AC1528" t="n">
        <v>4</v>
      </c>
      <c r="AD1528" t="n">
        <v>27</v>
      </c>
      <c r="AE1528" t="n">
        <v>28</v>
      </c>
      <c r="AF1528" t="n">
        <v>10</v>
      </c>
      <c r="AG1528" t="n">
        <v>11</v>
      </c>
      <c r="AH1528" t="n">
        <v>7</v>
      </c>
      <c r="AI1528" t="n">
        <v>7</v>
      </c>
      <c r="AJ1528" t="n">
        <v>16</v>
      </c>
      <c r="AK1528" t="n">
        <v>17</v>
      </c>
      <c r="AL1528" t="n">
        <v>2</v>
      </c>
      <c r="AM1528" t="n">
        <v>2</v>
      </c>
      <c r="AN1528" t="n">
        <v>0</v>
      </c>
      <c r="AO1528" t="n">
        <v>0</v>
      </c>
      <c r="AP1528" t="inlineStr">
        <is>
          <t>No</t>
        </is>
      </c>
      <c r="AQ1528" t="inlineStr">
        <is>
          <t>Yes</t>
        </is>
      </c>
      <c r="AR1528">
        <f>HYPERLINK("http://catalog.hathitrust.org/Record/001295329","HathiTrust Record")</f>
        <v/>
      </c>
      <c r="AS1528">
        <f>HYPERLINK("https://creighton-primo.hosted.exlibrisgroup.com/primo-explore/search?tab=default_tab&amp;search_scope=EVERYTHING&amp;vid=01CRU&amp;lang=en_US&amp;offset=0&amp;query=any,contains,991001365509702656","Catalog Record")</f>
        <v/>
      </c>
      <c r="AT1528">
        <f>HYPERLINK("http://www.worldcat.org/oclc/18558133","WorldCat Record")</f>
        <v/>
      </c>
      <c r="AU1528" t="inlineStr">
        <is>
          <t>229978675:eng</t>
        </is>
      </c>
      <c r="AV1528" t="inlineStr">
        <is>
          <t>18558133</t>
        </is>
      </c>
      <c r="AW1528" t="inlineStr">
        <is>
          <t>991001365509702656</t>
        </is>
      </c>
      <c r="AX1528" t="inlineStr">
        <is>
          <t>991001365509702656</t>
        </is>
      </c>
      <c r="AY1528" t="inlineStr">
        <is>
          <t>2261956420002656</t>
        </is>
      </c>
      <c r="AZ1528" t="inlineStr">
        <is>
          <t>BOOK</t>
        </is>
      </c>
      <c r="BB1528" t="inlineStr">
        <is>
          <t>9780824509187</t>
        </is>
      </c>
      <c r="BC1528" t="inlineStr">
        <is>
          <t>32285000001882</t>
        </is>
      </c>
      <c r="BD1528" t="inlineStr">
        <is>
          <t>893509569</t>
        </is>
      </c>
    </row>
    <row r="1529">
      <c r="A1529" t="inlineStr">
        <is>
          <t>No</t>
        </is>
      </c>
      <c r="B1529" t="inlineStr">
        <is>
          <t>BX2350.2 .M467 1969</t>
        </is>
      </c>
      <c r="C1529" t="inlineStr">
        <is>
          <t>0                      BX 2350200M  467         1969</t>
        </is>
      </c>
      <c r="D1529" t="inlineStr">
        <is>
          <t>The true solitude : selections from the writings of Thomas Merton / selected by Dean Walley.</t>
        </is>
      </c>
      <c r="F1529" t="inlineStr">
        <is>
          <t>No</t>
        </is>
      </c>
      <c r="G1529" t="inlineStr">
        <is>
          <t>1</t>
        </is>
      </c>
      <c r="H1529" t="inlineStr">
        <is>
          <t>No</t>
        </is>
      </c>
      <c r="I1529" t="inlineStr">
        <is>
          <t>No</t>
        </is>
      </c>
      <c r="J1529" t="inlineStr">
        <is>
          <t>0</t>
        </is>
      </c>
      <c r="K1529" t="inlineStr">
        <is>
          <t>Merton, Thomas, 1915-1968.</t>
        </is>
      </c>
      <c r="L1529" t="inlineStr">
        <is>
          <t>[Kansas City, Mo.] : Hallmark Editions, [c1969]</t>
        </is>
      </c>
      <c r="M1529" t="inlineStr">
        <is>
          <t>1969</t>
        </is>
      </c>
      <c r="O1529" t="inlineStr">
        <is>
          <t>eng</t>
        </is>
      </c>
      <c r="P1529" t="inlineStr">
        <is>
          <t>mou</t>
        </is>
      </c>
      <c r="R1529" t="inlineStr">
        <is>
          <t xml:space="preserve">BX </t>
        </is>
      </c>
      <c r="S1529" t="n">
        <v>3</v>
      </c>
      <c r="T1529" t="n">
        <v>3</v>
      </c>
      <c r="U1529" t="inlineStr">
        <is>
          <t>2007-07-16</t>
        </is>
      </c>
      <c r="V1529" t="inlineStr">
        <is>
          <t>2007-07-16</t>
        </is>
      </c>
      <c r="W1529" t="inlineStr">
        <is>
          <t>2005-04-13</t>
        </is>
      </c>
      <c r="X1529" t="inlineStr">
        <is>
          <t>2005-04-13</t>
        </is>
      </c>
      <c r="Y1529" t="n">
        <v>151</v>
      </c>
      <c r="Z1529" t="n">
        <v>138</v>
      </c>
      <c r="AA1529" t="n">
        <v>144</v>
      </c>
      <c r="AB1529" t="n">
        <v>2</v>
      </c>
      <c r="AC1529" t="n">
        <v>2</v>
      </c>
      <c r="AD1529" t="n">
        <v>11</v>
      </c>
      <c r="AE1529" t="n">
        <v>12</v>
      </c>
      <c r="AF1529" t="n">
        <v>5</v>
      </c>
      <c r="AG1529" t="n">
        <v>6</v>
      </c>
      <c r="AH1529" t="n">
        <v>1</v>
      </c>
      <c r="AI1529" t="n">
        <v>1</v>
      </c>
      <c r="AJ1529" t="n">
        <v>6</v>
      </c>
      <c r="AK1529" t="n">
        <v>6</v>
      </c>
      <c r="AL1529" t="n">
        <v>1</v>
      </c>
      <c r="AM1529" t="n">
        <v>1</v>
      </c>
      <c r="AN1529" t="n">
        <v>0</v>
      </c>
      <c r="AO1529" t="n">
        <v>0</v>
      </c>
      <c r="AP1529" t="inlineStr">
        <is>
          <t>No</t>
        </is>
      </c>
      <c r="AQ1529" t="inlineStr">
        <is>
          <t>No</t>
        </is>
      </c>
      <c r="AS1529">
        <f>HYPERLINK("https://creighton-primo.hosted.exlibrisgroup.com/primo-explore/search?tab=default_tab&amp;search_scope=EVERYTHING&amp;vid=01CRU&amp;lang=en_US&amp;offset=0&amp;query=any,contains,991004529999702656","Catalog Record")</f>
        <v/>
      </c>
      <c r="AT1529">
        <f>HYPERLINK("http://www.worldcat.org/oclc/72107","WorldCat Record")</f>
        <v/>
      </c>
      <c r="AU1529" t="inlineStr">
        <is>
          <t>324512193:eng</t>
        </is>
      </c>
      <c r="AV1529" t="inlineStr">
        <is>
          <t>72107</t>
        </is>
      </c>
      <c r="AW1529" t="inlineStr">
        <is>
          <t>991004529999702656</t>
        </is>
      </c>
      <c r="AX1529" t="inlineStr">
        <is>
          <t>991004529999702656</t>
        </is>
      </c>
      <c r="AY1529" t="inlineStr">
        <is>
          <t>2271495430002656</t>
        </is>
      </c>
      <c r="AZ1529" t="inlineStr">
        <is>
          <t>BOOK</t>
        </is>
      </c>
      <c r="BB1529" t="inlineStr">
        <is>
          <t>9780875290201</t>
        </is>
      </c>
      <c r="BC1529" t="inlineStr">
        <is>
          <t>32285005030290</t>
        </is>
      </c>
      <c r="BD1529" t="inlineStr">
        <is>
          <t>893599946</t>
        </is>
      </c>
    </row>
    <row r="1530">
      <c r="A1530" t="inlineStr">
        <is>
          <t>No</t>
        </is>
      </c>
      <c r="B1530" t="inlineStr">
        <is>
          <t>BX2350.2 .M64 1959</t>
        </is>
      </c>
      <c r="C1530" t="inlineStr">
        <is>
          <t>0                      BX 2350200M  64          1959</t>
        </is>
      </c>
      <c r="D1530" t="inlineStr">
        <is>
          <t>Heroic Sanctity and insanity : an introduction to the spiritual life and mental hygiene / by Thomas Verner Moore.</t>
        </is>
      </c>
      <c r="F1530" t="inlineStr">
        <is>
          <t>No</t>
        </is>
      </c>
      <c r="G1530" t="inlineStr">
        <is>
          <t>1</t>
        </is>
      </c>
      <c r="H1530" t="inlineStr">
        <is>
          <t>No</t>
        </is>
      </c>
      <c r="I1530" t="inlineStr">
        <is>
          <t>No</t>
        </is>
      </c>
      <c r="J1530" t="inlineStr">
        <is>
          <t>0</t>
        </is>
      </c>
      <c r="K1530" t="inlineStr">
        <is>
          <t>Moore, Thomas Verner, 1877-1969.</t>
        </is>
      </c>
      <c r="L1530" t="inlineStr">
        <is>
          <t>New York : Grune &amp; Stratton, 1959.</t>
        </is>
      </c>
      <c r="M1530" t="inlineStr">
        <is>
          <t>1959</t>
        </is>
      </c>
      <c r="O1530" t="inlineStr">
        <is>
          <t>eng</t>
        </is>
      </c>
      <c r="P1530" t="inlineStr">
        <is>
          <t>___</t>
        </is>
      </c>
      <c r="R1530" t="inlineStr">
        <is>
          <t xml:space="preserve">BX </t>
        </is>
      </c>
      <c r="S1530" t="n">
        <v>3</v>
      </c>
      <c r="T1530" t="n">
        <v>3</v>
      </c>
      <c r="U1530" t="inlineStr">
        <is>
          <t>2006-07-10</t>
        </is>
      </c>
      <c r="V1530" t="inlineStr">
        <is>
          <t>2006-07-10</t>
        </is>
      </c>
      <c r="W1530" t="inlineStr">
        <is>
          <t>1991-10-30</t>
        </is>
      </c>
      <c r="X1530" t="inlineStr">
        <is>
          <t>1991-10-30</t>
        </is>
      </c>
      <c r="Y1530" t="n">
        <v>290</v>
      </c>
      <c r="Z1530" t="n">
        <v>254</v>
      </c>
      <c r="AA1530" t="n">
        <v>263</v>
      </c>
      <c r="AB1530" t="n">
        <v>6</v>
      </c>
      <c r="AC1530" t="n">
        <v>6</v>
      </c>
      <c r="AD1530" t="n">
        <v>34</v>
      </c>
      <c r="AE1530" t="n">
        <v>34</v>
      </c>
      <c r="AF1530" t="n">
        <v>9</v>
      </c>
      <c r="AG1530" t="n">
        <v>9</v>
      </c>
      <c r="AH1530" t="n">
        <v>9</v>
      </c>
      <c r="AI1530" t="n">
        <v>9</v>
      </c>
      <c r="AJ1530" t="n">
        <v>26</v>
      </c>
      <c r="AK1530" t="n">
        <v>26</v>
      </c>
      <c r="AL1530" t="n">
        <v>2</v>
      </c>
      <c r="AM1530" t="n">
        <v>2</v>
      </c>
      <c r="AN1530" t="n">
        <v>0</v>
      </c>
      <c r="AO1530" t="n">
        <v>0</v>
      </c>
      <c r="AP1530" t="inlineStr">
        <is>
          <t>No</t>
        </is>
      </c>
      <c r="AQ1530" t="inlineStr">
        <is>
          <t>Yes</t>
        </is>
      </c>
      <c r="AR1530">
        <f>HYPERLINK("http://catalog.hathitrust.org/Record/100951135","HathiTrust Record")</f>
        <v/>
      </c>
      <c r="AS1530">
        <f>HYPERLINK("https://creighton-primo.hosted.exlibrisgroup.com/primo-explore/search?tab=default_tab&amp;search_scope=EVERYTHING&amp;vid=01CRU&amp;lang=en_US&amp;offset=0&amp;query=any,contains,991005266259702656","Catalog Record")</f>
        <v/>
      </c>
      <c r="AT1530">
        <f>HYPERLINK("http://www.worldcat.org/oclc/269866","WorldCat Record")</f>
        <v/>
      </c>
      <c r="AU1530" t="inlineStr">
        <is>
          <t>1396103:eng</t>
        </is>
      </c>
      <c r="AV1530" t="inlineStr">
        <is>
          <t>269866</t>
        </is>
      </c>
      <c r="AW1530" t="inlineStr">
        <is>
          <t>991005266259702656</t>
        </is>
      </c>
      <c r="AX1530" t="inlineStr">
        <is>
          <t>991005266259702656</t>
        </is>
      </c>
      <c r="AY1530" t="inlineStr">
        <is>
          <t>2267605870002656</t>
        </is>
      </c>
      <c r="AZ1530" t="inlineStr">
        <is>
          <t>BOOK</t>
        </is>
      </c>
      <c r="BC1530" t="inlineStr">
        <is>
          <t>32285000814300</t>
        </is>
      </c>
      <c r="BD1530" t="inlineStr">
        <is>
          <t>893701294</t>
        </is>
      </c>
    </row>
    <row r="1531">
      <c r="A1531" t="inlineStr">
        <is>
          <t>No</t>
        </is>
      </c>
      <c r="B1531" t="inlineStr">
        <is>
          <t>BX2350.2 .M84 1973</t>
        </is>
      </c>
      <c r="C1531" t="inlineStr">
        <is>
          <t>0                      BX 2350200M  84          1973</t>
        </is>
      </c>
      <c r="D1531" t="inlineStr">
        <is>
          <t>The Christian experience / [by] James J. Mulligan.</t>
        </is>
      </c>
      <c r="F1531" t="inlineStr">
        <is>
          <t>No</t>
        </is>
      </c>
      <c r="G1531" t="inlineStr">
        <is>
          <t>1</t>
        </is>
      </c>
      <c r="H1531" t="inlineStr">
        <is>
          <t>No</t>
        </is>
      </c>
      <c r="I1531" t="inlineStr">
        <is>
          <t>No</t>
        </is>
      </c>
      <c r="J1531" t="inlineStr">
        <is>
          <t>0</t>
        </is>
      </c>
      <c r="K1531" t="inlineStr">
        <is>
          <t>Mulligan, James J.</t>
        </is>
      </c>
      <c r="L1531" t="inlineStr">
        <is>
          <t>New York : Alba House, [1973]</t>
        </is>
      </c>
      <c r="M1531" t="inlineStr">
        <is>
          <t>1973</t>
        </is>
      </c>
      <c r="O1531" t="inlineStr">
        <is>
          <t>eng</t>
        </is>
      </c>
      <c r="P1531" t="inlineStr">
        <is>
          <t>nyu</t>
        </is>
      </c>
      <c r="R1531" t="inlineStr">
        <is>
          <t xml:space="preserve">BX </t>
        </is>
      </c>
      <c r="S1531" t="n">
        <v>2</v>
      </c>
      <c r="T1531" t="n">
        <v>2</v>
      </c>
      <c r="U1531" t="inlineStr">
        <is>
          <t>1997-02-05</t>
        </is>
      </c>
      <c r="V1531" t="inlineStr">
        <is>
          <t>1997-02-05</t>
        </is>
      </c>
      <c r="W1531" t="inlineStr">
        <is>
          <t>1991-10-30</t>
        </is>
      </c>
      <c r="X1531" t="inlineStr">
        <is>
          <t>1991-10-30</t>
        </is>
      </c>
      <c r="Y1531" t="n">
        <v>75</v>
      </c>
      <c r="Z1531" t="n">
        <v>64</v>
      </c>
      <c r="AA1531" t="n">
        <v>65</v>
      </c>
      <c r="AB1531" t="n">
        <v>2</v>
      </c>
      <c r="AC1531" t="n">
        <v>2</v>
      </c>
      <c r="AD1531" t="n">
        <v>10</v>
      </c>
      <c r="AE1531" t="n">
        <v>11</v>
      </c>
      <c r="AF1531" t="n">
        <v>2</v>
      </c>
      <c r="AG1531" t="n">
        <v>3</v>
      </c>
      <c r="AH1531" t="n">
        <v>3</v>
      </c>
      <c r="AI1531" t="n">
        <v>3</v>
      </c>
      <c r="AJ1531" t="n">
        <v>8</v>
      </c>
      <c r="AK1531" t="n">
        <v>8</v>
      </c>
      <c r="AL1531" t="n">
        <v>0</v>
      </c>
      <c r="AM1531" t="n">
        <v>0</v>
      </c>
      <c r="AN1531" t="n">
        <v>0</v>
      </c>
      <c r="AO1531" t="n">
        <v>0</v>
      </c>
      <c r="AP1531" t="inlineStr">
        <is>
          <t>No</t>
        </is>
      </c>
      <c r="AQ1531" t="inlineStr">
        <is>
          <t>No</t>
        </is>
      </c>
      <c r="AS1531">
        <f>HYPERLINK("https://creighton-primo.hosted.exlibrisgroup.com/primo-explore/search?tab=default_tab&amp;search_scope=EVERYTHING&amp;vid=01CRU&amp;lang=en_US&amp;offset=0&amp;query=any,contains,991003028199702656","Catalog Record")</f>
        <v/>
      </c>
      <c r="AT1531">
        <f>HYPERLINK("http://www.worldcat.org/oclc/591558","WorldCat Record")</f>
        <v/>
      </c>
      <c r="AU1531" t="inlineStr">
        <is>
          <t>1784381:eng</t>
        </is>
      </c>
      <c r="AV1531" t="inlineStr">
        <is>
          <t>591558</t>
        </is>
      </c>
      <c r="AW1531" t="inlineStr">
        <is>
          <t>991003028199702656</t>
        </is>
      </c>
      <c r="AX1531" t="inlineStr">
        <is>
          <t>991003028199702656</t>
        </is>
      </c>
      <c r="AY1531" t="inlineStr">
        <is>
          <t>2265881250002656</t>
        </is>
      </c>
      <c r="AZ1531" t="inlineStr">
        <is>
          <t>BOOK</t>
        </is>
      </c>
      <c r="BB1531" t="inlineStr">
        <is>
          <t>9780818902703</t>
        </is>
      </c>
      <c r="BC1531" t="inlineStr">
        <is>
          <t>32285000814334</t>
        </is>
      </c>
      <c r="BD1531" t="inlineStr">
        <is>
          <t>893415949</t>
        </is>
      </c>
    </row>
    <row r="1532">
      <c r="A1532" t="inlineStr">
        <is>
          <t>No</t>
        </is>
      </c>
      <c r="B1532" t="inlineStr">
        <is>
          <t>BX2350.2 .N68</t>
        </is>
      </c>
      <c r="C1532" t="inlineStr">
        <is>
          <t>0                      BX 2350200N  68</t>
        </is>
      </c>
      <c r="D1532" t="inlineStr">
        <is>
          <t>All the Catholic people : where did all the spirit go? / Michael Novak.</t>
        </is>
      </c>
      <c r="F1532" t="inlineStr">
        <is>
          <t>No</t>
        </is>
      </c>
      <c r="G1532" t="inlineStr">
        <is>
          <t>1</t>
        </is>
      </c>
      <c r="H1532" t="inlineStr">
        <is>
          <t>No</t>
        </is>
      </c>
      <c r="I1532" t="inlineStr">
        <is>
          <t>No</t>
        </is>
      </c>
      <c r="J1532" t="inlineStr">
        <is>
          <t>0</t>
        </is>
      </c>
      <c r="K1532" t="inlineStr">
        <is>
          <t>Novak, Michael.</t>
        </is>
      </c>
      <c r="L1532" t="inlineStr">
        <is>
          <t>[New York] : Herder and Herder, [1971]</t>
        </is>
      </c>
      <c r="M1532" t="inlineStr">
        <is>
          <t>1971</t>
        </is>
      </c>
      <c r="O1532" t="inlineStr">
        <is>
          <t>eng</t>
        </is>
      </c>
      <c r="P1532" t="inlineStr">
        <is>
          <t>nyu</t>
        </is>
      </c>
      <c r="R1532" t="inlineStr">
        <is>
          <t xml:space="preserve">BX </t>
        </is>
      </c>
      <c r="S1532" t="n">
        <v>1</v>
      </c>
      <c r="T1532" t="n">
        <v>1</v>
      </c>
      <c r="U1532" t="inlineStr">
        <is>
          <t>2004-09-14</t>
        </is>
      </c>
      <c r="V1532" t="inlineStr">
        <is>
          <t>2004-09-14</t>
        </is>
      </c>
      <c r="W1532" t="inlineStr">
        <is>
          <t>1991-10-30</t>
        </is>
      </c>
      <c r="X1532" t="inlineStr">
        <is>
          <t>1991-10-30</t>
        </is>
      </c>
      <c r="Y1532" t="n">
        <v>276</v>
      </c>
      <c r="Z1532" t="n">
        <v>249</v>
      </c>
      <c r="AA1532" t="n">
        <v>255</v>
      </c>
      <c r="AB1532" t="n">
        <v>5</v>
      </c>
      <c r="AC1532" t="n">
        <v>5</v>
      </c>
      <c r="AD1532" t="n">
        <v>34</v>
      </c>
      <c r="AE1532" t="n">
        <v>34</v>
      </c>
      <c r="AF1532" t="n">
        <v>11</v>
      </c>
      <c r="AG1532" t="n">
        <v>11</v>
      </c>
      <c r="AH1532" t="n">
        <v>9</v>
      </c>
      <c r="AI1532" t="n">
        <v>9</v>
      </c>
      <c r="AJ1532" t="n">
        <v>22</v>
      </c>
      <c r="AK1532" t="n">
        <v>22</v>
      </c>
      <c r="AL1532" t="n">
        <v>2</v>
      </c>
      <c r="AM1532" t="n">
        <v>2</v>
      </c>
      <c r="AN1532" t="n">
        <v>0</v>
      </c>
      <c r="AO1532" t="n">
        <v>0</v>
      </c>
      <c r="AP1532" t="inlineStr">
        <is>
          <t>No</t>
        </is>
      </c>
      <c r="AQ1532" t="inlineStr">
        <is>
          <t>No</t>
        </is>
      </c>
      <c r="AS1532">
        <f>HYPERLINK("https://creighton-primo.hosted.exlibrisgroup.com/primo-explore/search?tab=default_tab&amp;search_scope=EVERYTHING&amp;vid=01CRU&amp;lang=en_US&amp;offset=0&amp;query=any,contains,991001264619702656","Catalog Record")</f>
        <v/>
      </c>
      <c r="AT1532">
        <f>HYPERLINK("http://www.worldcat.org/oclc/209787","WorldCat Record")</f>
        <v/>
      </c>
      <c r="AU1532" t="inlineStr">
        <is>
          <t>1281506:eng</t>
        </is>
      </c>
      <c r="AV1532" t="inlineStr">
        <is>
          <t>209787</t>
        </is>
      </c>
      <c r="AW1532" t="inlineStr">
        <is>
          <t>991001264619702656</t>
        </is>
      </c>
      <c r="AX1532" t="inlineStr">
        <is>
          <t>991001264619702656</t>
        </is>
      </c>
      <c r="AY1532" t="inlineStr">
        <is>
          <t>2270874220002656</t>
        </is>
      </c>
      <c r="AZ1532" t="inlineStr">
        <is>
          <t>BOOK</t>
        </is>
      </c>
      <c r="BC1532" t="inlineStr">
        <is>
          <t>32285000814375</t>
        </is>
      </c>
      <c r="BD1532" t="inlineStr">
        <is>
          <t>893408006</t>
        </is>
      </c>
    </row>
    <row r="1533">
      <c r="A1533" t="inlineStr">
        <is>
          <t>No</t>
        </is>
      </c>
      <c r="B1533" t="inlineStr">
        <is>
          <t>BX2350.2 .O54 1992</t>
        </is>
      </c>
      <c r="C1533" t="inlineStr">
        <is>
          <t>0                      BX 2350200O  54          1992</t>
        </is>
      </c>
      <c r="D1533" t="inlineStr">
        <is>
          <t>Faith and contexts / Walter J. Ong ; with an introduction by Thomas J. Farrell ; edited by Thomas J. Farrell, Paul A. Soukup.</t>
        </is>
      </c>
      <c r="E1533" t="inlineStr">
        <is>
          <t>V.1</t>
        </is>
      </c>
      <c r="F1533" t="inlineStr">
        <is>
          <t>Yes</t>
        </is>
      </c>
      <c r="G1533" t="inlineStr">
        <is>
          <t>1</t>
        </is>
      </c>
      <c r="H1533" t="inlineStr">
        <is>
          <t>No</t>
        </is>
      </c>
      <c r="I1533" t="inlineStr">
        <is>
          <t>No</t>
        </is>
      </c>
      <c r="J1533" t="inlineStr">
        <is>
          <t>0</t>
        </is>
      </c>
      <c r="K1533" t="inlineStr">
        <is>
          <t>Ong, Walter J.</t>
        </is>
      </c>
      <c r="L1533" t="inlineStr">
        <is>
          <t>Atlanta : Scholars Press, c1992-c1995.</t>
        </is>
      </c>
      <c r="M1533" t="inlineStr">
        <is>
          <t>1992</t>
        </is>
      </c>
      <c r="O1533" t="inlineStr">
        <is>
          <t>eng</t>
        </is>
      </c>
      <c r="P1533" t="inlineStr">
        <is>
          <t>gau</t>
        </is>
      </c>
      <c r="Q1533" t="inlineStr">
        <is>
          <t>South Florida-Rochester-Saint Louis studies on religion and the social order ; v. 1-3</t>
        </is>
      </c>
      <c r="R1533" t="inlineStr">
        <is>
          <t xml:space="preserve">BX </t>
        </is>
      </c>
      <c r="S1533" t="n">
        <v>2</v>
      </c>
      <c r="T1533" t="n">
        <v>7</v>
      </c>
      <c r="U1533" t="inlineStr">
        <is>
          <t>2006-12-04</t>
        </is>
      </c>
      <c r="V1533" t="inlineStr">
        <is>
          <t>2007-04-17</t>
        </is>
      </c>
      <c r="W1533" t="inlineStr">
        <is>
          <t>1999-11-03</t>
        </is>
      </c>
      <c r="X1533" t="inlineStr">
        <is>
          <t>1999-11-03</t>
        </is>
      </c>
      <c r="Y1533" t="n">
        <v>201</v>
      </c>
      <c r="Z1533" t="n">
        <v>170</v>
      </c>
      <c r="AA1533" t="n">
        <v>172</v>
      </c>
      <c r="AB1533" t="n">
        <v>1</v>
      </c>
      <c r="AC1533" t="n">
        <v>1</v>
      </c>
      <c r="AD1533" t="n">
        <v>15</v>
      </c>
      <c r="AE1533" t="n">
        <v>15</v>
      </c>
      <c r="AF1533" t="n">
        <v>1</v>
      </c>
      <c r="AG1533" t="n">
        <v>1</v>
      </c>
      <c r="AH1533" t="n">
        <v>4</v>
      </c>
      <c r="AI1533" t="n">
        <v>4</v>
      </c>
      <c r="AJ1533" t="n">
        <v>13</v>
      </c>
      <c r="AK1533" t="n">
        <v>13</v>
      </c>
      <c r="AL1533" t="n">
        <v>0</v>
      </c>
      <c r="AM1533" t="n">
        <v>0</v>
      </c>
      <c r="AN1533" t="n">
        <v>0</v>
      </c>
      <c r="AO1533" t="n">
        <v>0</v>
      </c>
      <c r="AP1533" t="inlineStr">
        <is>
          <t>No</t>
        </is>
      </c>
      <c r="AQ1533" t="inlineStr">
        <is>
          <t>Yes</t>
        </is>
      </c>
      <c r="AR1533">
        <f>HYPERLINK("http://catalog.hathitrust.org/Record/002811587","HathiTrust Record")</f>
        <v/>
      </c>
      <c r="AS1533">
        <f>HYPERLINK("https://creighton-primo.hosted.exlibrisgroup.com/primo-explore/search?tab=default_tab&amp;search_scope=EVERYTHING&amp;vid=01CRU&amp;lang=en_US&amp;offset=0&amp;query=any,contains,991002082769702656","Catalog Record")</f>
        <v/>
      </c>
      <c r="AT1533">
        <f>HYPERLINK("http://www.worldcat.org/oclc/26721527","WorldCat Record")</f>
        <v/>
      </c>
      <c r="AU1533" t="inlineStr">
        <is>
          <t>3373112024:eng</t>
        </is>
      </c>
      <c r="AV1533" t="inlineStr">
        <is>
          <t>26721527</t>
        </is>
      </c>
      <c r="AW1533" t="inlineStr">
        <is>
          <t>991002082769702656</t>
        </is>
      </c>
      <c r="AX1533" t="inlineStr">
        <is>
          <t>991002082769702656</t>
        </is>
      </c>
      <c r="AY1533" t="inlineStr">
        <is>
          <t>2272363070002656</t>
        </is>
      </c>
      <c r="AZ1533" t="inlineStr">
        <is>
          <t>BOOK</t>
        </is>
      </c>
      <c r="BB1533" t="inlineStr">
        <is>
          <t>9781555407667</t>
        </is>
      </c>
      <c r="BC1533" t="inlineStr">
        <is>
          <t>32285003617692</t>
        </is>
      </c>
      <c r="BD1533" t="inlineStr">
        <is>
          <t>893341010</t>
        </is>
      </c>
    </row>
    <row r="1534">
      <c r="A1534" t="inlineStr">
        <is>
          <t>No</t>
        </is>
      </c>
      <c r="B1534" t="inlineStr">
        <is>
          <t>BX2350.2 .O54 1992</t>
        </is>
      </c>
      <c r="C1534" t="inlineStr">
        <is>
          <t>0                      BX 2350200O  54          1992</t>
        </is>
      </c>
      <c r="D1534" t="inlineStr">
        <is>
          <t>Faith and contexts / Walter J. Ong ; with an introduction by Thomas J. Farrell ; edited by Thomas J. Farrell, Paul A. Soukup.</t>
        </is>
      </c>
      <c r="E1534" t="inlineStr">
        <is>
          <t>V.3</t>
        </is>
      </c>
      <c r="F1534" t="inlineStr">
        <is>
          <t>Yes</t>
        </is>
      </c>
      <c r="G1534" t="inlineStr">
        <is>
          <t>1</t>
        </is>
      </c>
      <c r="H1534" t="inlineStr">
        <is>
          <t>No</t>
        </is>
      </c>
      <c r="I1534" t="inlineStr">
        <is>
          <t>No</t>
        </is>
      </c>
      <c r="J1534" t="inlineStr">
        <is>
          <t>0</t>
        </is>
      </c>
      <c r="K1534" t="inlineStr">
        <is>
          <t>Ong, Walter J.</t>
        </is>
      </c>
      <c r="L1534" t="inlineStr">
        <is>
          <t>Atlanta : Scholars Press, c1992-c1995.</t>
        </is>
      </c>
      <c r="M1534" t="inlineStr">
        <is>
          <t>1992</t>
        </is>
      </c>
      <c r="O1534" t="inlineStr">
        <is>
          <t>eng</t>
        </is>
      </c>
      <c r="P1534" t="inlineStr">
        <is>
          <t>gau</t>
        </is>
      </c>
      <c r="Q1534" t="inlineStr">
        <is>
          <t>South Florida-Rochester-Saint Louis studies on religion and the social order ; v. 1-3</t>
        </is>
      </c>
      <c r="R1534" t="inlineStr">
        <is>
          <t xml:space="preserve">BX </t>
        </is>
      </c>
      <c r="S1534" t="n">
        <v>2</v>
      </c>
      <c r="T1534" t="n">
        <v>7</v>
      </c>
      <c r="U1534" t="inlineStr">
        <is>
          <t>2006-12-04</t>
        </is>
      </c>
      <c r="V1534" t="inlineStr">
        <is>
          <t>2007-04-17</t>
        </is>
      </c>
      <c r="W1534" t="inlineStr">
        <is>
          <t>1999-11-03</t>
        </is>
      </c>
      <c r="X1534" t="inlineStr">
        <is>
          <t>1999-11-03</t>
        </is>
      </c>
      <c r="Y1534" t="n">
        <v>201</v>
      </c>
      <c r="Z1534" t="n">
        <v>170</v>
      </c>
      <c r="AA1534" t="n">
        <v>172</v>
      </c>
      <c r="AB1534" t="n">
        <v>1</v>
      </c>
      <c r="AC1534" t="n">
        <v>1</v>
      </c>
      <c r="AD1534" t="n">
        <v>15</v>
      </c>
      <c r="AE1534" t="n">
        <v>15</v>
      </c>
      <c r="AF1534" t="n">
        <v>1</v>
      </c>
      <c r="AG1534" t="n">
        <v>1</v>
      </c>
      <c r="AH1534" t="n">
        <v>4</v>
      </c>
      <c r="AI1534" t="n">
        <v>4</v>
      </c>
      <c r="AJ1534" t="n">
        <v>13</v>
      </c>
      <c r="AK1534" t="n">
        <v>13</v>
      </c>
      <c r="AL1534" t="n">
        <v>0</v>
      </c>
      <c r="AM1534" t="n">
        <v>0</v>
      </c>
      <c r="AN1534" t="n">
        <v>0</v>
      </c>
      <c r="AO1534" t="n">
        <v>0</v>
      </c>
      <c r="AP1534" t="inlineStr">
        <is>
          <t>No</t>
        </is>
      </c>
      <c r="AQ1534" t="inlineStr">
        <is>
          <t>Yes</t>
        </is>
      </c>
      <c r="AR1534">
        <f>HYPERLINK("http://catalog.hathitrust.org/Record/002811587","HathiTrust Record")</f>
        <v/>
      </c>
      <c r="AS1534">
        <f>HYPERLINK("https://creighton-primo.hosted.exlibrisgroup.com/primo-explore/search?tab=default_tab&amp;search_scope=EVERYTHING&amp;vid=01CRU&amp;lang=en_US&amp;offset=0&amp;query=any,contains,991002082769702656","Catalog Record")</f>
        <v/>
      </c>
      <c r="AT1534">
        <f>HYPERLINK("http://www.worldcat.org/oclc/26721527","WorldCat Record")</f>
        <v/>
      </c>
      <c r="AU1534" t="inlineStr">
        <is>
          <t>3373112024:eng</t>
        </is>
      </c>
      <c r="AV1534" t="inlineStr">
        <is>
          <t>26721527</t>
        </is>
      </c>
      <c r="AW1534" t="inlineStr">
        <is>
          <t>991002082769702656</t>
        </is>
      </c>
      <c r="AX1534" t="inlineStr">
        <is>
          <t>991002082769702656</t>
        </is>
      </c>
      <c r="AY1534" t="inlineStr">
        <is>
          <t>2272363070002656</t>
        </is>
      </c>
      <c r="AZ1534" t="inlineStr">
        <is>
          <t>BOOK</t>
        </is>
      </c>
      <c r="BB1534" t="inlineStr">
        <is>
          <t>9781555407667</t>
        </is>
      </c>
      <c r="BC1534" t="inlineStr">
        <is>
          <t>32285003617718</t>
        </is>
      </c>
      <c r="BD1534" t="inlineStr">
        <is>
          <t>893316360</t>
        </is>
      </c>
    </row>
    <row r="1535">
      <c r="A1535" t="inlineStr">
        <is>
          <t>No</t>
        </is>
      </c>
      <c r="B1535" t="inlineStr">
        <is>
          <t>BX2350.2 .O54 1992</t>
        </is>
      </c>
      <c r="C1535" t="inlineStr">
        <is>
          <t>0                      BX 2350200O  54          1992</t>
        </is>
      </c>
      <c r="D1535" t="inlineStr">
        <is>
          <t>Faith and contexts / Walter J. Ong ; with an introduction by Thomas J. Farrell ; edited by Thomas J. Farrell, Paul A. Soukup.</t>
        </is>
      </c>
      <c r="E1535" t="inlineStr">
        <is>
          <t>V.2</t>
        </is>
      </c>
      <c r="F1535" t="inlineStr">
        <is>
          <t>Yes</t>
        </is>
      </c>
      <c r="G1535" t="inlineStr">
        <is>
          <t>1</t>
        </is>
      </c>
      <c r="H1535" t="inlineStr">
        <is>
          <t>No</t>
        </is>
      </c>
      <c r="I1535" t="inlineStr">
        <is>
          <t>No</t>
        </is>
      </c>
      <c r="J1535" t="inlineStr">
        <is>
          <t>0</t>
        </is>
      </c>
      <c r="K1535" t="inlineStr">
        <is>
          <t>Ong, Walter J.</t>
        </is>
      </c>
      <c r="L1535" t="inlineStr">
        <is>
          <t>Atlanta : Scholars Press, c1992-c1995.</t>
        </is>
      </c>
      <c r="M1535" t="inlineStr">
        <is>
          <t>1992</t>
        </is>
      </c>
      <c r="O1535" t="inlineStr">
        <is>
          <t>eng</t>
        </is>
      </c>
      <c r="P1535" t="inlineStr">
        <is>
          <t>gau</t>
        </is>
      </c>
      <c r="Q1535" t="inlineStr">
        <is>
          <t>South Florida-Rochester-Saint Louis studies on religion and the social order ; v. 1-3</t>
        </is>
      </c>
      <c r="R1535" t="inlineStr">
        <is>
          <t xml:space="preserve">BX </t>
        </is>
      </c>
      <c r="S1535" t="n">
        <v>3</v>
      </c>
      <c r="T1535" t="n">
        <v>7</v>
      </c>
      <c r="U1535" t="inlineStr">
        <is>
          <t>2007-04-17</t>
        </is>
      </c>
      <c r="V1535" t="inlineStr">
        <is>
          <t>2007-04-17</t>
        </is>
      </c>
      <c r="W1535" t="inlineStr">
        <is>
          <t>1999-11-03</t>
        </is>
      </c>
      <c r="X1535" t="inlineStr">
        <is>
          <t>1999-11-03</t>
        </is>
      </c>
      <c r="Y1535" t="n">
        <v>201</v>
      </c>
      <c r="Z1535" t="n">
        <v>170</v>
      </c>
      <c r="AA1535" t="n">
        <v>172</v>
      </c>
      <c r="AB1535" t="n">
        <v>1</v>
      </c>
      <c r="AC1535" t="n">
        <v>1</v>
      </c>
      <c r="AD1535" t="n">
        <v>15</v>
      </c>
      <c r="AE1535" t="n">
        <v>15</v>
      </c>
      <c r="AF1535" t="n">
        <v>1</v>
      </c>
      <c r="AG1535" t="n">
        <v>1</v>
      </c>
      <c r="AH1535" t="n">
        <v>4</v>
      </c>
      <c r="AI1535" t="n">
        <v>4</v>
      </c>
      <c r="AJ1535" t="n">
        <v>13</v>
      </c>
      <c r="AK1535" t="n">
        <v>13</v>
      </c>
      <c r="AL1535" t="n">
        <v>0</v>
      </c>
      <c r="AM1535" t="n">
        <v>0</v>
      </c>
      <c r="AN1535" t="n">
        <v>0</v>
      </c>
      <c r="AO1535" t="n">
        <v>0</v>
      </c>
      <c r="AP1535" t="inlineStr">
        <is>
          <t>No</t>
        </is>
      </c>
      <c r="AQ1535" t="inlineStr">
        <is>
          <t>Yes</t>
        </is>
      </c>
      <c r="AR1535">
        <f>HYPERLINK("http://catalog.hathitrust.org/Record/002811587","HathiTrust Record")</f>
        <v/>
      </c>
      <c r="AS1535">
        <f>HYPERLINK("https://creighton-primo.hosted.exlibrisgroup.com/primo-explore/search?tab=default_tab&amp;search_scope=EVERYTHING&amp;vid=01CRU&amp;lang=en_US&amp;offset=0&amp;query=any,contains,991002082769702656","Catalog Record")</f>
        <v/>
      </c>
      <c r="AT1535">
        <f>HYPERLINK("http://www.worldcat.org/oclc/26721527","WorldCat Record")</f>
        <v/>
      </c>
      <c r="AU1535" t="inlineStr">
        <is>
          <t>3373112024:eng</t>
        </is>
      </c>
      <c r="AV1535" t="inlineStr">
        <is>
          <t>26721527</t>
        </is>
      </c>
      <c r="AW1535" t="inlineStr">
        <is>
          <t>991002082769702656</t>
        </is>
      </c>
      <c r="AX1535" t="inlineStr">
        <is>
          <t>991002082769702656</t>
        </is>
      </c>
      <c r="AY1535" t="inlineStr">
        <is>
          <t>2272363070002656</t>
        </is>
      </c>
      <c r="AZ1535" t="inlineStr">
        <is>
          <t>BOOK</t>
        </is>
      </c>
      <c r="BB1535" t="inlineStr">
        <is>
          <t>9781555407667</t>
        </is>
      </c>
      <c r="BC1535" t="inlineStr">
        <is>
          <t>32285003617700</t>
        </is>
      </c>
      <c r="BD1535" t="inlineStr">
        <is>
          <t>893334921</t>
        </is>
      </c>
    </row>
    <row r="1536">
      <c r="A1536" t="inlineStr">
        <is>
          <t>No</t>
        </is>
      </c>
      <c r="B1536" t="inlineStr">
        <is>
          <t>BX2350.2 .P41913 1973</t>
        </is>
      </c>
      <c r="C1536" t="inlineStr">
        <is>
          <t>0                      BX 2350200P  41913       1973</t>
        </is>
      </c>
      <c r="D1536" t="inlineStr">
        <is>
          <t>Discernment of spirits : according to the life and teachings of St. Ignatius of Loyola / Piet Penning de Vries. Translated by W. Dudok Van Heel.</t>
        </is>
      </c>
      <c r="F1536" t="inlineStr">
        <is>
          <t>No</t>
        </is>
      </c>
      <c r="G1536" t="inlineStr">
        <is>
          <t>1</t>
        </is>
      </c>
      <c r="H1536" t="inlineStr">
        <is>
          <t>No</t>
        </is>
      </c>
      <c r="I1536" t="inlineStr">
        <is>
          <t>No</t>
        </is>
      </c>
      <c r="J1536" t="inlineStr">
        <is>
          <t>0</t>
        </is>
      </c>
      <c r="K1536" t="inlineStr">
        <is>
          <t>Penning de Vries, Piet.</t>
        </is>
      </c>
      <c r="L1536" t="inlineStr">
        <is>
          <t>New York : Exposition Press, [1973]</t>
        </is>
      </c>
      <c r="M1536" t="inlineStr">
        <is>
          <t>1973</t>
        </is>
      </c>
      <c r="N1536" t="inlineStr">
        <is>
          <t>[1st ed.]</t>
        </is>
      </c>
      <c r="O1536" t="inlineStr">
        <is>
          <t>eng</t>
        </is>
      </c>
      <c r="P1536" t="inlineStr">
        <is>
          <t>nyu</t>
        </is>
      </c>
      <c r="Q1536" t="inlineStr">
        <is>
          <t>An Exposition-Testament book</t>
        </is>
      </c>
      <c r="R1536" t="inlineStr">
        <is>
          <t xml:space="preserve">BX </t>
        </is>
      </c>
      <c r="S1536" t="n">
        <v>4</v>
      </c>
      <c r="T1536" t="n">
        <v>4</v>
      </c>
      <c r="U1536" t="inlineStr">
        <is>
          <t>2006-06-19</t>
        </is>
      </c>
      <c r="V1536" t="inlineStr">
        <is>
          <t>2006-06-19</t>
        </is>
      </c>
      <c r="W1536" t="inlineStr">
        <is>
          <t>1990-07-30</t>
        </is>
      </c>
      <c r="X1536" t="inlineStr">
        <is>
          <t>1990-07-30</t>
        </is>
      </c>
      <c r="Y1536" t="n">
        <v>111</v>
      </c>
      <c r="Z1536" t="n">
        <v>95</v>
      </c>
      <c r="AA1536" t="n">
        <v>96</v>
      </c>
      <c r="AB1536" t="n">
        <v>2</v>
      </c>
      <c r="AC1536" t="n">
        <v>2</v>
      </c>
      <c r="AD1536" t="n">
        <v>17</v>
      </c>
      <c r="AE1536" t="n">
        <v>17</v>
      </c>
      <c r="AF1536" t="n">
        <v>5</v>
      </c>
      <c r="AG1536" t="n">
        <v>5</v>
      </c>
      <c r="AH1536" t="n">
        <v>5</v>
      </c>
      <c r="AI1536" t="n">
        <v>5</v>
      </c>
      <c r="AJ1536" t="n">
        <v>13</v>
      </c>
      <c r="AK1536" t="n">
        <v>13</v>
      </c>
      <c r="AL1536" t="n">
        <v>0</v>
      </c>
      <c r="AM1536" t="n">
        <v>0</v>
      </c>
      <c r="AN1536" t="n">
        <v>0</v>
      </c>
      <c r="AO1536" t="n">
        <v>0</v>
      </c>
      <c r="AP1536" t="inlineStr">
        <is>
          <t>No</t>
        </is>
      </c>
      <c r="AQ1536" t="inlineStr">
        <is>
          <t>Yes</t>
        </is>
      </c>
      <c r="AR1536">
        <f>HYPERLINK("http://catalog.hathitrust.org/Record/101872484","HathiTrust Record")</f>
        <v/>
      </c>
      <c r="AS1536">
        <f>HYPERLINK("https://creighton-primo.hosted.exlibrisgroup.com/primo-explore/search?tab=default_tab&amp;search_scope=EVERYTHING&amp;vid=01CRU&amp;lang=en_US&amp;offset=0&amp;query=any,contains,991003128439702656","Catalog Record")</f>
        <v/>
      </c>
      <c r="AT1536">
        <f>HYPERLINK("http://www.worldcat.org/oclc/671986","WorldCat Record")</f>
        <v/>
      </c>
      <c r="AU1536" t="inlineStr">
        <is>
          <t>4916910973:eng</t>
        </is>
      </c>
      <c r="AV1536" t="inlineStr">
        <is>
          <t>671986</t>
        </is>
      </c>
      <c r="AW1536" t="inlineStr">
        <is>
          <t>991003128439702656</t>
        </is>
      </c>
      <c r="AX1536" t="inlineStr">
        <is>
          <t>991003128439702656</t>
        </is>
      </c>
      <c r="AY1536" t="inlineStr">
        <is>
          <t>2268338330002656</t>
        </is>
      </c>
      <c r="AZ1536" t="inlineStr">
        <is>
          <t>BOOK</t>
        </is>
      </c>
      <c r="BB1536" t="inlineStr">
        <is>
          <t>9780682475921</t>
        </is>
      </c>
      <c r="BC1536" t="inlineStr">
        <is>
          <t>32285000229152</t>
        </is>
      </c>
      <c r="BD1536" t="inlineStr">
        <is>
          <t>893323789</t>
        </is>
      </c>
    </row>
    <row r="1537">
      <c r="A1537" t="inlineStr">
        <is>
          <t>No</t>
        </is>
      </c>
      <c r="B1537" t="inlineStr">
        <is>
          <t>BX2350.2 .P433 1983</t>
        </is>
      </c>
      <c r="C1537" t="inlineStr">
        <is>
          <t>0                      BX 2350200P  433         1983</t>
        </is>
      </c>
      <c r="D1537" t="inlineStr">
        <is>
          <t>A place apart : monastic prayer and practice for everyone / M. Basil Pennington.</t>
        </is>
      </c>
      <c r="F1537" t="inlineStr">
        <is>
          <t>No</t>
        </is>
      </c>
      <c r="G1537" t="inlineStr">
        <is>
          <t>1</t>
        </is>
      </c>
      <c r="H1537" t="inlineStr">
        <is>
          <t>No</t>
        </is>
      </c>
      <c r="I1537" t="inlineStr">
        <is>
          <t>No</t>
        </is>
      </c>
      <c r="J1537" t="inlineStr">
        <is>
          <t>0</t>
        </is>
      </c>
      <c r="K1537" t="inlineStr">
        <is>
          <t>Pennington, M. Basil.</t>
        </is>
      </c>
      <c r="L1537" t="inlineStr">
        <is>
          <t>Garden City, N.Y. : Doubleday, c1983.</t>
        </is>
      </c>
      <c r="M1537" t="inlineStr">
        <is>
          <t>1983</t>
        </is>
      </c>
      <c r="N1537" t="inlineStr">
        <is>
          <t>1st ed.</t>
        </is>
      </c>
      <c r="O1537" t="inlineStr">
        <is>
          <t>eng</t>
        </is>
      </c>
      <c r="P1537" t="inlineStr">
        <is>
          <t>nyu</t>
        </is>
      </c>
      <c r="R1537" t="inlineStr">
        <is>
          <t xml:space="preserve">BX </t>
        </is>
      </c>
      <c r="S1537" t="n">
        <v>2</v>
      </c>
      <c r="T1537" t="n">
        <v>2</v>
      </c>
      <c r="U1537" t="inlineStr">
        <is>
          <t>1992-06-08</t>
        </is>
      </c>
      <c r="V1537" t="inlineStr">
        <is>
          <t>1992-06-08</t>
        </is>
      </c>
      <c r="W1537" t="inlineStr">
        <is>
          <t>1991-10-30</t>
        </is>
      </c>
      <c r="X1537" t="inlineStr">
        <is>
          <t>1991-10-30</t>
        </is>
      </c>
      <c r="Y1537" t="n">
        <v>268</v>
      </c>
      <c r="Z1537" t="n">
        <v>253</v>
      </c>
      <c r="AA1537" t="n">
        <v>333</v>
      </c>
      <c r="AB1537" t="n">
        <v>2</v>
      </c>
      <c r="AC1537" t="n">
        <v>3</v>
      </c>
      <c r="AD1537" t="n">
        <v>14</v>
      </c>
      <c r="AE1537" t="n">
        <v>20</v>
      </c>
      <c r="AF1537" t="n">
        <v>3</v>
      </c>
      <c r="AG1537" t="n">
        <v>7</v>
      </c>
      <c r="AH1537" t="n">
        <v>5</v>
      </c>
      <c r="AI1537" t="n">
        <v>5</v>
      </c>
      <c r="AJ1537" t="n">
        <v>11</v>
      </c>
      <c r="AK1537" t="n">
        <v>16</v>
      </c>
      <c r="AL1537" t="n">
        <v>0</v>
      </c>
      <c r="AM1537" t="n">
        <v>0</v>
      </c>
      <c r="AN1537" t="n">
        <v>0</v>
      </c>
      <c r="AO1537" t="n">
        <v>0</v>
      </c>
      <c r="AP1537" t="inlineStr">
        <is>
          <t>No</t>
        </is>
      </c>
      <c r="AQ1537" t="inlineStr">
        <is>
          <t>Yes</t>
        </is>
      </c>
      <c r="AR1537">
        <f>HYPERLINK("http://catalog.hathitrust.org/Record/006019690","HathiTrust Record")</f>
        <v/>
      </c>
      <c r="AS1537">
        <f>HYPERLINK("https://creighton-primo.hosted.exlibrisgroup.com/primo-explore/search?tab=default_tab&amp;search_scope=EVERYTHING&amp;vid=01CRU&amp;lang=en_US&amp;offset=0&amp;query=any,contains,991000070519702656","Catalog Record")</f>
        <v/>
      </c>
      <c r="AT1537">
        <f>HYPERLINK("http://www.worldcat.org/oclc/8784810","WorldCat Record")</f>
        <v/>
      </c>
      <c r="AU1537" t="inlineStr">
        <is>
          <t>4385906:eng</t>
        </is>
      </c>
      <c r="AV1537" t="inlineStr">
        <is>
          <t>8784810</t>
        </is>
      </c>
      <c r="AW1537" t="inlineStr">
        <is>
          <t>991000070519702656</t>
        </is>
      </c>
      <c r="AX1537" t="inlineStr">
        <is>
          <t>991000070519702656</t>
        </is>
      </c>
      <c r="AY1537" t="inlineStr">
        <is>
          <t>2265553200002656</t>
        </is>
      </c>
      <c r="AZ1537" t="inlineStr">
        <is>
          <t>BOOK</t>
        </is>
      </c>
      <c r="BB1537" t="inlineStr">
        <is>
          <t>9780385178501</t>
        </is>
      </c>
      <c r="BC1537" t="inlineStr">
        <is>
          <t>32285000814383</t>
        </is>
      </c>
      <c r="BD1537" t="inlineStr">
        <is>
          <t>893714260</t>
        </is>
      </c>
    </row>
    <row r="1538">
      <c r="A1538" t="inlineStr">
        <is>
          <t>No</t>
        </is>
      </c>
      <c r="B1538" t="inlineStr">
        <is>
          <t>BX2350.2 .P486 1981</t>
        </is>
      </c>
      <c r="C1538" t="inlineStr">
        <is>
          <t>0                      BX 2350200P  486         1981</t>
        </is>
      </c>
      <c r="D1538" t="inlineStr">
        <is>
          <t>The fire of contemplation : a guide for interior souls / Thomas Philippe ; translated and edited by Verda Clare Doran.</t>
        </is>
      </c>
      <c r="F1538" t="inlineStr">
        <is>
          <t>No</t>
        </is>
      </c>
      <c r="G1538" t="inlineStr">
        <is>
          <t>1</t>
        </is>
      </c>
      <c r="H1538" t="inlineStr">
        <is>
          <t>No</t>
        </is>
      </c>
      <c r="I1538" t="inlineStr">
        <is>
          <t>No</t>
        </is>
      </c>
      <c r="J1538" t="inlineStr">
        <is>
          <t>0</t>
        </is>
      </c>
      <c r="K1538" t="inlineStr">
        <is>
          <t>Philippe, Thomas, 1905-</t>
        </is>
      </c>
      <c r="L1538" t="inlineStr">
        <is>
          <t>New York, N.Y. : Alba House, c1981.</t>
        </is>
      </c>
      <c r="M1538" t="inlineStr">
        <is>
          <t>1981</t>
        </is>
      </c>
      <c r="O1538" t="inlineStr">
        <is>
          <t>eng</t>
        </is>
      </c>
      <c r="P1538" t="inlineStr">
        <is>
          <t>nyu</t>
        </is>
      </c>
      <c r="R1538" t="inlineStr">
        <is>
          <t xml:space="preserve">BX </t>
        </is>
      </c>
      <c r="S1538" t="n">
        <v>2</v>
      </c>
      <c r="T1538" t="n">
        <v>2</v>
      </c>
      <c r="U1538" t="inlineStr">
        <is>
          <t>1992-06-08</t>
        </is>
      </c>
      <c r="V1538" t="inlineStr">
        <is>
          <t>1992-06-08</t>
        </is>
      </c>
      <c r="W1538" t="inlineStr">
        <is>
          <t>1991-10-30</t>
        </is>
      </c>
      <c r="X1538" t="inlineStr">
        <is>
          <t>1991-10-30</t>
        </is>
      </c>
      <c r="Y1538" t="n">
        <v>76</v>
      </c>
      <c r="Z1538" t="n">
        <v>63</v>
      </c>
      <c r="AA1538" t="n">
        <v>68</v>
      </c>
      <c r="AB1538" t="n">
        <v>2</v>
      </c>
      <c r="AC1538" t="n">
        <v>2</v>
      </c>
      <c r="AD1538" t="n">
        <v>11</v>
      </c>
      <c r="AE1538" t="n">
        <v>11</v>
      </c>
      <c r="AF1538" t="n">
        <v>2</v>
      </c>
      <c r="AG1538" t="n">
        <v>2</v>
      </c>
      <c r="AH1538" t="n">
        <v>2</v>
      </c>
      <c r="AI1538" t="n">
        <v>2</v>
      </c>
      <c r="AJ1538" t="n">
        <v>8</v>
      </c>
      <c r="AK1538" t="n">
        <v>8</v>
      </c>
      <c r="AL1538" t="n">
        <v>0</v>
      </c>
      <c r="AM1538" t="n">
        <v>0</v>
      </c>
      <c r="AN1538" t="n">
        <v>0</v>
      </c>
      <c r="AO1538" t="n">
        <v>0</v>
      </c>
      <c r="AP1538" t="inlineStr">
        <is>
          <t>No</t>
        </is>
      </c>
      <c r="AQ1538" t="inlineStr">
        <is>
          <t>No</t>
        </is>
      </c>
      <c r="AS1538">
        <f>HYPERLINK("https://creighton-primo.hosted.exlibrisgroup.com/primo-explore/search?tab=default_tab&amp;search_scope=EVERYTHING&amp;vid=01CRU&amp;lang=en_US&amp;offset=0&amp;query=any,contains,991005135919702656","Catalog Record")</f>
        <v/>
      </c>
      <c r="AT1538">
        <f>HYPERLINK("http://www.worldcat.org/oclc/7576890","WorldCat Record")</f>
        <v/>
      </c>
      <c r="AU1538" t="inlineStr">
        <is>
          <t>482877:eng</t>
        </is>
      </c>
      <c r="AV1538" t="inlineStr">
        <is>
          <t>7576890</t>
        </is>
      </c>
      <c r="AW1538" t="inlineStr">
        <is>
          <t>991005135919702656</t>
        </is>
      </c>
      <c r="AX1538" t="inlineStr">
        <is>
          <t>991005135919702656</t>
        </is>
      </c>
      <c r="AY1538" t="inlineStr">
        <is>
          <t>2262649340002656</t>
        </is>
      </c>
      <c r="AZ1538" t="inlineStr">
        <is>
          <t>BOOK</t>
        </is>
      </c>
      <c r="BB1538" t="inlineStr">
        <is>
          <t>9780818904141</t>
        </is>
      </c>
      <c r="BC1538" t="inlineStr">
        <is>
          <t>32285000814391</t>
        </is>
      </c>
      <c r="BD1538" t="inlineStr">
        <is>
          <t>893719840</t>
        </is>
      </c>
    </row>
    <row r="1539">
      <c r="A1539" t="inlineStr">
        <is>
          <t>No</t>
        </is>
      </c>
      <c r="B1539" t="inlineStr">
        <is>
          <t>BX2350.2 .R435 1997</t>
        </is>
      </c>
      <c r="C1539" t="inlineStr">
        <is>
          <t>0                      BX 2350200R  435         1997</t>
        </is>
      </c>
      <c r="D1539" t="inlineStr">
        <is>
          <t>To hear God's word, listen to the world : the liberation of spirituality / William Reiser.</t>
        </is>
      </c>
      <c r="F1539" t="inlineStr">
        <is>
          <t>No</t>
        </is>
      </c>
      <c r="G1539" t="inlineStr">
        <is>
          <t>1</t>
        </is>
      </c>
      <c r="H1539" t="inlineStr">
        <is>
          <t>No</t>
        </is>
      </c>
      <c r="I1539" t="inlineStr">
        <is>
          <t>No</t>
        </is>
      </c>
      <c r="J1539" t="inlineStr">
        <is>
          <t>0</t>
        </is>
      </c>
      <c r="K1539" t="inlineStr">
        <is>
          <t>Reiser, William E.</t>
        </is>
      </c>
      <c r="L1539" t="inlineStr">
        <is>
          <t>New York : Paulist Press, c1997.</t>
        </is>
      </c>
      <c r="M1539" t="inlineStr">
        <is>
          <t>1997</t>
        </is>
      </c>
      <c r="O1539" t="inlineStr">
        <is>
          <t>eng</t>
        </is>
      </c>
      <c r="P1539" t="inlineStr">
        <is>
          <t>nyu</t>
        </is>
      </c>
      <c r="R1539" t="inlineStr">
        <is>
          <t xml:space="preserve">BX </t>
        </is>
      </c>
      <c r="S1539" t="n">
        <v>8</v>
      </c>
      <c r="T1539" t="n">
        <v>8</v>
      </c>
      <c r="U1539" t="inlineStr">
        <is>
          <t>2005-12-02</t>
        </is>
      </c>
      <c r="V1539" t="inlineStr">
        <is>
          <t>2005-12-02</t>
        </is>
      </c>
      <c r="W1539" t="inlineStr">
        <is>
          <t>1997-07-16</t>
        </is>
      </c>
      <c r="X1539" t="inlineStr">
        <is>
          <t>1997-07-16</t>
        </is>
      </c>
      <c r="Y1539" t="n">
        <v>154</v>
      </c>
      <c r="Z1539" t="n">
        <v>129</v>
      </c>
      <c r="AA1539" t="n">
        <v>134</v>
      </c>
      <c r="AB1539" t="n">
        <v>2</v>
      </c>
      <c r="AC1539" t="n">
        <v>2</v>
      </c>
      <c r="AD1539" t="n">
        <v>17</v>
      </c>
      <c r="AE1539" t="n">
        <v>17</v>
      </c>
      <c r="AF1539" t="n">
        <v>6</v>
      </c>
      <c r="AG1539" t="n">
        <v>6</v>
      </c>
      <c r="AH1539" t="n">
        <v>3</v>
      </c>
      <c r="AI1539" t="n">
        <v>3</v>
      </c>
      <c r="AJ1539" t="n">
        <v>12</v>
      </c>
      <c r="AK1539" t="n">
        <v>12</v>
      </c>
      <c r="AL1539" t="n">
        <v>1</v>
      </c>
      <c r="AM1539" t="n">
        <v>1</v>
      </c>
      <c r="AN1539" t="n">
        <v>0</v>
      </c>
      <c r="AO1539" t="n">
        <v>0</v>
      </c>
      <c r="AP1539" t="inlineStr">
        <is>
          <t>No</t>
        </is>
      </c>
      <c r="AQ1539" t="inlineStr">
        <is>
          <t>No</t>
        </is>
      </c>
      <c r="AS1539">
        <f>HYPERLINK("https://creighton-primo.hosted.exlibrisgroup.com/primo-explore/search?tab=default_tab&amp;search_scope=EVERYTHING&amp;vid=01CRU&amp;lang=en_US&amp;offset=0&amp;query=any,contains,991002693229702656","Catalog Record")</f>
        <v/>
      </c>
      <c r="AT1539">
        <f>HYPERLINK("http://www.worldcat.org/oclc/35174796","WorldCat Record")</f>
        <v/>
      </c>
      <c r="AU1539" t="inlineStr">
        <is>
          <t>40161035:eng</t>
        </is>
      </c>
      <c r="AV1539" t="inlineStr">
        <is>
          <t>35174796</t>
        </is>
      </c>
      <c r="AW1539" t="inlineStr">
        <is>
          <t>991002693229702656</t>
        </is>
      </c>
      <c r="AX1539" t="inlineStr">
        <is>
          <t>991002693229702656</t>
        </is>
      </c>
      <c r="AY1539" t="inlineStr">
        <is>
          <t>2271764860002656</t>
        </is>
      </c>
      <c r="AZ1539" t="inlineStr">
        <is>
          <t>BOOK</t>
        </is>
      </c>
      <c r="BB1539" t="inlineStr">
        <is>
          <t>9780809136964</t>
        </is>
      </c>
      <c r="BC1539" t="inlineStr">
        <is>
          <t>32285002882479</t>
        </is>
      </c>
      <c r="BD1539" t="inlineStr">
        <is>
          <t>893880273</t>
        </is>
      </c>
    </row>
    <row r="1540">
      <c r="A1540" t="inlineStr">
        <is>
          <t>No</t>
        </is>
      </c>
      <c r="B1540" t="inlineStr">
        <is>
          <t>BX2350.2 .S23 1986</t>
        </is>
      </c>
      <c r="C1540" t="inlineStr">
        <is>
          <t>0                      BX 2350200S  23          1986</t>
        </is>
      </c>
      <c r="D1540" t="inlineStr">
        <is>
          <t>The coming of consolation : how God gets through to us / by William P. Sampson, S.J., with a foreword by Leonard J. Fick.</t>
        </is>
      </c>
      <c r="F1540" t="inlineStr">
        <is>
          <t>No</t>
        </is>
      </c>
      <c r="G1540" t="inlineStr">
        <is>
          <t>1</t>
        </is>
      </c>
      <c r="H1540" t="inlineStr">
        <is>
          <t>No</t>
        </is>
      </c>
      <c r="I1540" t="inlineStr">
        <is>
          <t>No</t>
        </is>
      </c>
      <c r="J1540" t="inlineStr">
        <is>
          <t>0</t>
        </is>
      </c>
      <c r="K1540" t="inlineStr">
        <is>
          <t>Sampson, William P.</t>
        </is>
      </c>
      <c r="L1540" t="inlineStr">
        <is>
          <t>Westminster, MD : Christian Classics, Inc., 1986.</t>
        </is>
      </c>
      <c r="M1540" t="inlineStr">
        <is>
          <t>1986</t>
        </is>
      </c>
      <c r="O1540" t="inlineStr">
        <is>
          <t>eng</t>
        </is>
      </c>
      <c r="P1540" t="inlineStr">
        <is>
          <t>mdu</t>
        </is>
      </c>
      <c r="R1540" t="inlineStr">
        <is>
          <t xml:space="preserve">BX </t>
        </is>
      </c>
      <c r="S1540" t="n">
        <v>3</v>
      </c>
      <c r="T1540" t="n">
        <v>3</v>
      </c>
      <c r="U1540" t="inlineStr">
        <is>
          <t>2007-06-11</t>
        </is>
      </c>
      <c r="V1540" t="inlineStr">
        <is>
          <t>2007-06-11</t>
        </is>
      </c>
      <c r="W1540" t="inlineStr">
        <is>
          <t>2007-06-11</t>
        </is>
      </c>
      <c r="X1540" t="inlineStr">
        <is>
          <t>2007-06-11</t>
        </is>
      </c>
      <c r="Y1540" t="n">
        <v>31</v>
      </c>
      <c r="Z1540" t="n">
        <v>26</v>
      </c>
      <c r="AA1540" t="n">
        <v>26</v>
      </c>
      <c r="AB1540" t="n">
        <v>1</v>
      </c>
      <c r="AC1540" t="n">
        <v>1</v>
      </c>
      <c r="AD1540" t="n">
        <v>5</v>
      </c>
      <c r="AE1540" t="n">
        <v>5</v>
      </c>
      <c r="AF1540" t="n">
        <v>1</v>
      </c>
      <c r="AG1540" t="n">
        <v>1</v>
      </c>
      <c r="AH1540" t="n">
        <v>1</v>
      </c>
      <c r="AI1540" t="n">
        <v>1</v>
      </c>
      <c r="AJ1540" t="n">
        <v>4</v>
      </c>
      <c r="AK1540" t="n">
        <v>4</v>
      </c>
      <c r="AL1540" t="n">
        <v>0</v>
      </c>
      <c r="AM1540" t="n">
        <v>0</v>
      </c>
      <c r="AN1540" t="n">
        <v>0</v>
      </c>
      <c r="AO1540" t="n">
        <v>0</v>
      </c>
      <c r="AP1540" t="inlineStr">
        <is>
          <t>No</t>
        </is>
      </c>
      <c r="AQ1540" t="inlineStr">
        <is>
          <t>No</t>
        </is>
      </c>
      <c r="AS1540">
        <f>HYPERLINK("https://creighton-primo.hosted.exlibrisgroup.com/primo-explore/search?tab=default_tab&amp;search_scope=EVERYTHING&amp;vid=01CRU&amp;lang=en_US&amp;offset=0&amp;query=any,contains,991005090639702656","Catalog Record")</f>
        <v/>
      </c>
      <c r="AT1540">
        <f>HYPERLINK("http://www.worldcat.org/oclc/15513997","WorldCat Record")</f>
        <v/>
      </c>
      <c r="AU1540" t="inlineStr">
        <is>
          <t>10046303:eng</t>
        </is>
      </c>
      <c r="AV1540" t="inlineStr">
        <is>
          <t>15513997</t>
        </is>
      </c>
      <c r="AW1540" t="inlineStr">
        <is>
          <t>991005090639702656</t>
        </is>
      </c>
      <c r="AX1540" t="inlineStr">
        <is>
          <t>991005090639702656</t>
        </is>
      </c>
      <c r="AY1540" t="inlineStr">
        <is>
          <t>2272672390002656</t>
        </is>
      </c>
      <c r="AZ1540" t="inlineStr">
        <is>
          <t>BOOK</t>
        </is>
      </c>
      <c r="BB1540" t="inlineStr">
        <is>
          <t>9780870611322</t>
        </is>
      </c>
      <c r="BC1540" t="inlineStr">
        <is>
          <t>32285005316467</t>
        </is>
      </c>
      <c r="BD1540" t="inlineStr">
        <is>
          <t>893443383</t>
        </is>
      </c>
    </row>
    <row r="1541">
      <c r="A1541" t="inlineStr">
        <is>
          <t>No</t>
        </is>
      </c>
      <c r="B1541" t="inlineStr">
        <is>
          <t>BX2350.2 .S266 1988</t>
        </is>
      </c>
      <c r="C1541" t="inlineStr">
        <is>
          <t>0                      BX 2350200S  266         1988</t>
        </is>
      </c>
      <c r="D1541" t="inlineStr">
        <is>
          <t>Kything : the art of spiritual presence / by Louis M. Savary and Patricia H. Berne.</t>
        </is>
      </c>
      <c r="F1541" t="inlineStr">
        <is>
          <t>No</t>
        </is>
      </c>
      <c r="G1541" t="inlineStr">
        <is>
          <t>1</t>
        </is>
      </c>
      <c r="H1541" t="inlineStr">
        <is>
          <t>No</t>
        </is>
      </c>
      <c r="I1541" t="inlineStr">
        <is>
          <t>No</t>
        </is>
      </c>
      <c r="J1541" t="inlineStr">
        <is>
          <t>0</t>
        </is>
      </c>
      <c r="K1541" t="inlineStr">
        <is>
          <t>Savary, Louis M.</t>
        </is>
      </c>
      <c r="L1541" t="inlineStr">
        <is>
          <t>New York : Paulist Press, c1988.</t>
        </is>
      </c>
      <c r="M1541" t="inlineStr">
        <is>
          <t>1988</t>
        </is>
      </c>
      <c r="O1541" t="inlineStr">
        <is>
          <t>eng</t>
        </is>
      </c>
      <c r="P1541" t="inlineStr">
        <is>
          <t>nyu</t>
        </is>
      </c>
      <c r="R1541" t="inlineStr">
        <is>
          <t xml:space="preserve">BX </t>
        </is>
      </c>
      <c r="S1541" t="n">
        <v>2</v>
      </c>
      <c r="T1541" t="n">
        <v>2</v>
      </c>
      <c r="U1541" t="inlineStr">
        <is>
          <t>2006-08-15</t>
        </is>
      </c>
      <c r="V1541" t="inlineStr">
        <is>
          <t>2006-08-15</t>
        </is>
      </c>
      <c r="W1541" t="inlineStr">
        <is>
          <t>1999-07-12</t>
        </is>
      </c>
      <c r="X1541" t="inlineStr">
        <is>
          <t>1999-07-12</t>
        </is>
      </c>
      <c r="Y1541" t="n">
        <v>141</v>
      </c>
      <c r="Z1541" t="n">
        <v>126</v>
      </c>
      <c r="AA1541" t="n">
        <v>127</v>
      </c>
      <c r="AB1541" t="n">
        <v>1</v>
      </c>
      <c r="AC1541" t="n">
        <v>1</v>
      </c>
      <c r="AD1541" t="n">
        <v>9</v>
      </c>
      <c r="AE1541" t="n">
        <v>9</v>
      </c>
      <c r="AF1541" t="n">
        <v>2</v>
      </c>
      <c r="AG1541" t="n">
        <v>2</v>
      </c>
      <c r="AH1541" t="n">
        <v>2</v>
      </c>
      <c r="AI1541" t="n">
        <v>2</v>
      </c>
      <c r="AJ1541" t="n">
        <v>6</v>
      </c>
      <c r="AK1541" t="n">
        <v>6</v>
      </c>
      <c r="AL1541" t="n">
        <v>0</v>
      </c>
      <c r="AM1541" t="n">
        <v>0</v>
      </c>
      <c r="AN1541" t="n">
        <v>0</v>
      </c>
      <c r="AO1541" t="n">
        <v>0</v>
      </c>
      <c r="AP1541" t="inlineStr">
        <is>
          <t>No</t>
        </is>
      </c>
      <c r="AQ1541" t="inlineStr">
        <is>
          <t>Yes</t>
        </is>
      </c>
      <c r="AR1541">
        <f>HYPERLINK("http://catalog.hathitrust.org/Record/006019686","HathiTrust Record")</f>
        <v/>
      </c>
      <c r="AS1541">
        <f>HYPERLINK("https://creighton-primo.hosted.exlibrisgroup.com/primo-explore/search?tab=default_tab&amp;search_scope=EVERYTHING&amp;vid=01CRU&amp;lang=en_US&amp;offset=0&amp;query=any,contains,991001320269702656","Catalog Record")</f>
        <v/>
      </c>
      <c r="AT1541">
        <f>HYPERLINK("http://www.worldcat.org/oclc/18222365","WorldCat Record")</f>
        <v/>
      </c>
      <c r="AU1541" t="inlineStr">
        <is>
          <t>17504205:eng</t>
        </is>
      </c>
      <c r="AV1541" t="inlineStr">
        <is>
          <t>18222365</t>
        </is>
      </c>
      <c r="AW1541" t="inlineStr">
        <is>
          <t>991001320269702656</t>
        </is>
      </c>
      <c r="AX1541" t="inlineStr">
        <is>
          <t>991001320269702656</t>
        </is>
      </c>
      <c r="AY1541" t="inlineStr">
        <is>
          <t>2258381370002656</t>
        </is>
      </c>
      <c r="AZ1541" t="inlineStr">
        <is>
          <t>BOOK</t>
        </is>
      </c>
      <c r="BB1541" t="inlineStr">
        <is>
          <t>9780809130115</t>
        </is>
      </c>
      <c r="BC1541" t="inlineStr">
        <is>
          <t>32285003577201</t>
        </is>
      </c>
      <c r="BD1541" t="inlineStr">
        <is>
          <t>893621254</t>
        </is>
      </c>
    </row>
    <row r="1542">
      <c r="A1542" t="inlineStr">
        <is>
          <t>No</t>
        </is>
      </c>
      <c r="B1542" t="inlineStr">
        <is>
          <t>BX2350.2 .S27</t>
        </is>
      </c>
      <c r="C1542" t="inlineStr">
        <is>
          <t>0                      BX 2350200S  27</t>
        </is>
      </c>
      <c r="D1542" t="inlineStr">
        <is>
          <t>Perfect fools : folly for Christ's sake in Catholic and orthodox spirituality / John Saward.</t>
        </is>
      </c>
      <c r="F1542" t="inlineStr">
        <is>
          <t>No</t>
        </is>
      </c>
      <c r="G1542" t="inlineStr">
        <is>
          <t>1</t>
        </is>
      </c>
      <c r="H1542" t="inlineStr">
        <is>
          <t>No</t>
        </is>
      </c>
      <c r="I1542" t="inlineStr">
        <is>
          <t>No</t>
        </is>
      </c>
      <c r="J1542" t="inlineStr">
        <is>
          <t>0</t>
        </is>
      </c>
      <c r="K1542" t="inlineStr">
        <is>
          <t>Saward, John.</t>
        </is>
      </c>
      <c r="L1542" t="inlineStr">
        <is>
          <t>Oxford ; New York : Oxford University Press, 1980.</t>
        </is>
      </c>
      <c r="M1542" t="inlineStr">
        <is>
          <t>1980</t>
        </is>
      </c>
      <c r="O1542" t="inlineStr">
        <is>
          <t>eng</t>
        </is>
      </c>
      <c r="P1542" t="inlineStr">
        <is>
          <t>enk</t>
        </is>
      </c>
      <c r="R1542" t="inlineStr">
        <is>
          <t xml:space="preserve">BX </t>
        </is>
      </c>
      <c r="S1542" t="n">
        <v>5</v>
      </c>
      <c r="T1542" t="n">
        <v>5</v>
      </c>
      <c r="U1542" t="inlineStr">
        <is>
          <t>2004-10-26</t>
        </is>
      </c>
      <c r="V1542" t="inlineStr">
        <is>
          <t>2004-10-26</t>
        </is>
      </c>
      <c r="W1542" t="inlineStr">
        <is>
          <t>1991-10-30</t>
        </is>
      </c>
      <c r="X1542" t="inlineStr">
        <is>
          <t>1991-10-30</t>
        </is>
      </c>
      <c r="Y1542" t="n">
        <v>396</v>
      </c>
      <c r="Z1542" t="n">
        <v>289</v>
      </c>
      <c r="AA1542" t="n">
        <v>330</v>
      </c>
      <c r="AB1542" t="n">
        <v>2</v>
      </c>
      <c r="AC1542" t="n">
        <v>2</v>
      </c>
      <c r="AD1542" t="n">
        <v>19</v>
      </c>
      <c r="AE1542" t="n">
        <v>20</v>
      </c>
      <c r="AF1542" t="n">
        <v>6</v>
      </c>
      <c r="AG1542" t="n">
        <v>6</v>
      </c>
      <c r="AH1542" t="n">
        <v>7</v>
      </c>
      <c r="AI1542" t="n">
        <v>7</v>
      </c>
      <c r="AJ1542" t="n">
        <v>10</v>
      </c>
      <c r="AK1542" t="n">
        <v>11</v>
      </c>
      <c r="AL1542" t="n">
        <v>1</v>
      </c>
      <c r="AM1542" t="n">
        <v>1</v>
      </c>
      <c r="AN1542" t="n">
        <v>0</v>
      </c>
      <c r="AO1542" t="n">
        <v>0</v>
      </c>
      <c r="AP1542" t="inlineStr">
        <is>
          <t>No</t>
        </is>
      </c>
      <c r="AQ1542" t="inlineStr">
        <is>
          <t>No</t>
        </is>
      </c>
      <c r="AS1542">
        <f>HYPERLINK("https://creighton-primo.hosted.exlibrisgroup.com/primo-explore/search?tab=default_tab&amp;search_scope=EVERYTHING&amp;vid=01CRU&amp;lang=en_US&amp;offset=0&amp;query=any,contains,991004965969702656","Catalog Record")</f>
        <v/>
      </c>
      <c r="AT1542">
        <f>HYPERLINK("http://www.worldcat.org/oclc/6331718","WorldCat Record")</f>
        <v/>
      </c>
      <c r="AU1542" t="inlineStr">
        <is>
          <t>414219:eng</t>
        </is>
      </c>
      <c r="AV1542" t="inlineStr">
        <is>
          <t>6331718</t>
        </is>
      </c>
      <c r="AW1542" t="inlineStr">
        <is>
          <t>991004965969702656</t>
        </is>
      </c>
      <c r="AX1542" t="inlineStr">
        <is>
          <t>991004965969702656</t>
        </is>
      </c>
      <c r="AY1542" t="inlineStr">
        <is>
          <t>2272467800002656</t>
        </is>
      </c>
      <c r="AZ1542" t="inlineStr">
        <is>
          <t>BOOK</t>
        </is>
      </c>
      <c r="BB1542" t="inlineStr">
        <is>
          <t>9780192132307</t>
        </is>
      </c>
      <c r="BC1542" t="inlineStr">
        <is>
          <t>32285000814482</t>
        </is>
      </c>
      <c r="BD1542" t="inlineStr">
        <is>
          <t>893905147</t>
        </is>
      </c>
    </row>
    <row r="1543">
      <c r="A1543" t="inlineStr">
        <is>
          <t>No</t>
        </is>
      </c>
      <c r="B1543" t="inlineStr">
        <is>
          <t>BX2350.2 .S435 1991</t>
        </is>
      </c>
      <c r="C1543" t="inlineStr">
        <is>
          <t>0                      BX 2350200S  435         1991</t>
        </is>
      </c>
      <c r="D1543" t="inlineStr">
        <is>
          <t>Silence on fire : the prayer of awareness / by William H. Shannon.</t>
        </is>
      </c>
      <c r="F1543" t="inlineStr">
        <is>
          <t>No</t>
        </is>
      </c>
      <c r="G1543" t="inlineStr">
        <is>
          <t>1</t>
        </is>
      </c>
      <c r="H1543" t="inlineStr">
        <is>
          <t>No</t>
        </is>
      </c>
      <c r="I1543" t="inlineStr">
        <is>
          <t>No</t>
        </is>
      </c>
      <c r="J1543" t="inlineStr">
        <is>
          <t>0</t>
        </is>
      </c>
      <c r="K1543" t="inlineStr">
        <is>
          <t>Shannon, William H. (William Henry), 1917-2012.</t>
        </is>
      </c>
      <c r="L1543" t="inlineStr">
        <is>
          <t>New York : Crossroad, 1991.</t>
        </is>
      </c>
      <c r="M1543" t="inlineStr">
        <is>
          <t>1991</t>
        </is>
      </c>
      <c r="O1543" t="inlineStr">
        <is>
          <t>eng</t>
        </is>
      </c>
      <c r="P1543" t="inlineStr">
        <is>
          <t>nyu</t>
        </is>
      </c>
      <c r="R1543" t="inlineStr">
        <is>
          <t xml:space="preserve">BX </t>
        </is>
      </c>
      <c r="S1543" t="n">
        <v>3</v>
      </c>
      <c r="T1543" t="n">
        <v>3</v>
      </c>
      <c r="U1543" t="inlineStr">
        <is>
          <t>1998-08-13</t>
        </is>
      </c>
      <c r="V1543" t="inlineStr">
        <is>
          <t>1998-08-13</t>
        </is>
      </c>
      <c r="W1543" t="inlineStr">
        <is>
          <t>1991-02-22</t>
        </is>
      </c>
      <c r="X1543" t="inlineStr">
        <is>
          <t>1991-02-22</t>
        </is>
      </c>
      <c r="Y1543" t="n">
        <v>244</v>
      </c>
      <c r="Z1543" t="n">
        <v>220</v>
      </c>
      <c r="AA1543" t="n">
        <v>263</v>
      </c>
      <c r="AB1543" t="n">
        <v>2</v>
      </c>
      <c r="AC1543" t="n">
        <v>3</v>
      </c>
      <c r="AD1543" t="n">
        <v>16</v>
      </c>
      <c r="AE1543" t="n">
        <v>20</v>
      </c>
      <c r="AF1543" t="n">
        <v>3</v>
      </c>
      <c r="AG1543" t="n">
        <v>5</v>
      </c>
      <c r="AH1543" t="n">
        <v>3</v>
      </c>
      <c r="AI1543" t="n">
        <v>3</v>
      </c>
      <c r="AJ1543" t="n">
        <v>13</v>
      </c>
      <c r="AK1543" t="n">
        <v>15</v>
      </c>
      <c r="AL1543" t="n">
        <v>0</v>
      </c>
      <c r="AM1543" t="n">
        <v>1</v>
      </c>
      <c r="AN1543" t="n">
        <v>0</v>
      </c>
      <c r="AO1543" t="n">
        <v>0</v>
      </c>
      <c r="AP1543" t="inlineStr">
        <is>
          <t>No</t>
        </is>
      </c>
      <c r="AQ1543" t="inlineStr">
        <is>
          <t>No</t>
        </is>
      </c>
      <c r="AS1543">
        <f>HYPERLINK("https://creighton-primo.hosted.exlibrisgroup.com/primo-explore/search?tab=default_tab&amp;search_scope=EVERYTHING&amp;vid=01CRU&amp;lang=en_US&amp;offset=0&amp;query=any,contains,991001755059702656","Catalog Record")</f>
        <v/>
      </c>
      <c r="AT1543">
        <f>HYPERLINK("http://www.worldcat.org/oclc/22207730","WorldCat Record")</f>
        <v/>
      </c>
      <c r="AU1543" t="inlineStr">
        <is>
          <t>23901990:eng</t>
        </is>
      </c>
      <c r="AV1543" t="inlineStr">
        <is>
          <t>22207730</t>
        </is>
      </c>
      <c r="AW1543" t="inlineStr">
        <is>
          <t>991001755059702656</t>
        </is>
      </c>
      <c r="AX1543" t="inlineStr">
        <is>
          <t>991001755059702656</t>
        </is>
      </c>
      <c r="AY1543" t="inlineStr">
        <is>
          <t>2256431450002656</t>
        </is>
      </c>
      <c r="AZ1543" t="inlineStr">
        <is>
          <t>BOOK</t>
        </is>
      </c>
      <c r="BB1543" t="inlineStr">
        <is>
          <t>9780824510763</t>
        </is>
      </c>
      <c r="BC1543" t="inlineStr">
        <is>
          <t>32285000299742</t>
        </is>
      </c>
      <c r="BD1543" t="inlineStr">
        <is>
          <t>893684616</t>
        </is>
      </c>
    </row>
    <row r="1544">
      <c r="A1544" t="inlineStr">
        <is>
          <t>No</t>
        </is>
      </c>
      <c r="B1544" t="inlineStr">
        <is>
          <t>BX2350.2 .S574 1986</t>
        </is>
      </c>
      <c r="C1544" t="inlineStr">
        <is>
          <t>0                      BX 2350200S  574         1986</t>
        </is>
      </c>
      <c r="D1544" t="inlineStr">
        <is>
          <t>Christian commitment &amp; prophetic living / Jeffrey G. Sobosan.</t>
        </is>
      </c>
      <c r="F1544" t="inlineStr">
        <is>
          <t>No</t>
        </is>
      </c>
      <c r="G1544" t="inlineStr">
        <is>
          <t>1</t>
        </is>
      </c>
      <c r="H1544" t="inlineStr">
        <is>
          <t>No</t>
        </is>
      </c>
      <c r="I1544" t="inlineStr">
        <is>
          <t>No</t>
        </is>
      </c>
      <c r="J1544" t="inlineStr">
        <is>
          <t>0</t>
        </is>
      </c>
      <c r="K1544" t="inlineStr">
        <is>
          <t>Sobosan, Jeffrey G., 1946-</t>
        </is>
      </c>
      <c r="L1544" t="inlineStr">
        <is>
          <t>Mystic, Conn. : Twenty-Third Publications, c1986.</t>
        </is>
      </c>
      <c r="M1544" t="inlineStr">
        <is>
          <t>1986</t>
        </is>
      </c>
      <c r="O1544" t="inlineStr">
        <is>
          <t>eng</t>
        </is>
      </c>
      <c r="P1544" t="inlineStr">
        <is>
          <t>ctu</t>
        </is>
      </c>
      <c r="R1544" t="inlineStr">
        <is>
          <t xml:space="preserve">BX </t>
        </is>
      </c>
      <c r="S1544" t="n">
        <v>7</v>
      </c>
      <c r="T1544" t="n">
        <v>7</v>
      </c>
      <c r="U1544" t="inlineStr">
        <is>
          <t>1994-03-22</t>
        </is>
      </c>
      <c r="V1544" t="inlineStr">
        <is>
          <t>1994-03-22</t>
        </is>
      </c>
      <c r="W1544" t="inlineStr">
        <is>
          <t>1991-10-30</t>
        </is>
      </c>
      <c r="X1544" t="inlineStr">
        <is>
          <t>1991-10-30</t>
        </is>
      </c>
      <c r="Y1544" t="n">
        <v>114</v>
      </c>
      <c r="Z1544" t="n">
        <v>102</v>
      </c>
      <c r="AA1544" t="n">
        <v>102</v>
      </c>
      <c r="AB1544" t="n">
        <v>1</v>
      </c>
      <c r="AC1544" t="n">
        <v>1</v>
      </c>
      <c r="AD1544" t="n">
        <v>11</v>
      </c>
      <c r="AE1544" t="n">
        <v>11</v>
      </c>
      <c r="AF1544" t="n">
        <v>3</v>
      </c>
      <c r="AG1544" t="n">
        <v>3</v>
      </c>
      <c r="AH1544" t="n">
        <v>3</v>
      </c>
      <c r="AI1544" t="n">
        <v>3</v>
      </c>
      <c r="AJ1544" t="n">
        <v>7</v>
      </c>
      <c r="AK1544" t="n">
        <v>7</v>
      </c>
      <c r="AL1544" t="n">
        <v>0</v>
      </c>
      <c r="AM1544" t="n">
        <v>0</v>
      </c>
      <c r="AN1544" t="n">
        <v>0</v>
      </c>
      <c r="AO1544" t="n">
        <v>0</v>
      </c>
      <c r="AP1544" t="inlineStr">
        <is>
          <t>No</t>
        </is>
      </c>
      <c r="AQ1544" t="inlineStr">
        <is>
          <t>No</t>
        </is>
      </c>
      <c r="AS1544">
        <f>HYPERLINK("https://creighton-primo.hosted.exlibrisgroup.com/primo-explore/search?tab=default_tab&amp;search_scope=EVERYTHING&amp;vid=01CRU&amp;lang=en_US&amp;offset=0&amp;query=any,contains,991001010939702656","Catalog Record")</f>
        <v/>
      </c>
      <c r="AT1544">
        <f>HYPERLINK("http://www.worldcat.org/oclc/15283238","WorldCat Record")</f>
        <v/>
      </c>
      <c r="AU1544" t="inlineStr">
        <is>
          <t>10459861:eng</t>
        </is>
      </c>
      <c r="AV1544" t="inlineStr">
        <is>
          <t>15283238</t>
        </is>
      </c>
      <c r="AW1544" t="inlineStr">
        <is>
          <t>991001010939702656</t>
        </is>
      </c>
      <c r="AX1544" t="inlineStr">
        <is>
          <t>991001010939702656</t>
        </is>
      </c>
      <c r="AY1544" t="inlineStr">
        <is>
          <t>2264311100002656</t>
        </is>
      </c>
      <c r="AZ1544" t="inlineStr">
        <is>
          <t>BOOK</t>
        </is>
      </c>
      <c r="BB1544" t="inlineStr">
        <is>
          <t>9780896222915</t>
        </is>
      </c>
      <c r="BC1544" t="inlineStr">
        <is>
          <t>32285000814532</t>
        </is>
      </c>
      <c r="BD1544" t="inlineStr">
        <is>
          <t>893315438</t>
        </is>
      </c>
    </row>
    <row r="1545">
      <c r="A1545" t="inlineStr">
        <is>
          <t>No</t>
        </is>
      </c>
      <c r="B1545" t="inlineStr">
        <is>
          <t>BX2350.2 .S613 1963</t>
        </is>
      </c>
      <c r="C1545" t="inlineStr">
        <is>
          <t>0                      BX 2350200S  613         1963</t>
        </is>
      </c>
      <c r="D1545" t="inlineStr">
        <is>
          <t>The Trinity and our moral life according to St. Paul / by Ceslaus Spicq. Translated by Sister Marie Aquinas.</t>
        </is>
      </c>
      <c r="F1545" t="inlineStr">
        <is>
          <t>No</t>
        </is>
      </c>
      <c r="G1545" t="inlineStr">
        <is>
          <t>1</t>
        </is>
      </c>
      <c r="H1545" t="inlineStr">
        <is>
          <t>No</t>
        </is>
      </c>
      <c r="I1545" t="inlineStr">
        <is>
          <t>No</t>
        </is>
      </c>
      <c r="J1545" t="inlineStr">
        <is>
          <t>0</t>
        </is>
      </c>
      <c r="K1545" t="inlineStr">
        <is>
          <t>Spicq, Ceslas, 1901-1993.</t>
        </is>
      </c>
      <c r="L1545" t="inlineStr">
        <is>
          <t>Westminster, Md. : Newman Press, 1963.</t>
        </is>
      </c>
      <c r="M1545" t="inlineStr">
        <is>
          <t>1963</t>
        </is>
      </c>
      <c r="O1545" t="inlineStr">
        <is>
          <t>eng</t>
        </is>
      </c>
      <c r="P1545" t="inlineStr">
        <is>
          <t>mdu</t>
        </is>
      </c>
      <c r="R1545" t="inlineStr">
        <is>
          <t xml:space="preserve">BX </t>
        </is>
      </c>
      <c r="S1545" t="n">
        <v>1</v>
      </c>
      <c r="T1545" t="n">
        <v>1</v>
      </c>
      <c r="U1545" t="inlineStr">
        <is>
          <t>1992-12-03</t>
        </is>
      </c>
      <c r="V1545" t="inlineStr">
        <is>
          <t>1992-12-03</t>
        </is>
      </c>
      <c r="W1545" t="inlineStr">
        <is>
          <t>1991-10-30</t>
        </is>
      </c>
      <c r="X1545" t="inlineStr">
        <is>
          <t>1991-10-30</t>
        </is>
      </c>
      <c r="Y1545" t="n">
        <v>181</v>
      </c>
      <c r="Z1545" t="n">
        <v>160</v>
      </c>
      <c r="AA1545" t="n">
        <v>160</v>
      </c>
      <c r="AB1545" t="n">
        <v>2</v>
      </c>
      <c r="AC1545" t="n">
        <v>2</v>
      </c>
      <c r="AD1545" t="n">
        <v>25</v>
      </c>
      <c r="AE1545" t="n">
        <v>25</v>
      </c>
      <c r="AF1545" t="n">
        <v>8</v>
      </c>
      <c r="AG1545" t="n">
        <v>8</v>
      </c>
      <c r="AH1545" t="n">
        <v>6</v>
      </c>
      <c r="AI1545" t="n">
        <v>6</v>
      </c>
      <c r="AJ1545" t="n">
        <v>20</v>
      </c>
      <c r="AK1545" t="n">
        <v>20</v>
      </c>
      <c r="AL1545" t="n">
        <v>0</v>
      </c>
      <c r="AM1545" t="n">
        <v>0</v>
      </c>
      <c r="AN1545" t="n">
        <v>0</v>
      </c>
      <c r="AO1545" t="n">
        <v>0</v>
      </c>
      <c r="AP1545" t="inlineStr">
        <is>
          <t>No</t>
        </is>
      </c>
      <c r="AQ1545" t="inlineStr">
        <is>
          <t>No</t>
        </is>
      </c>
      <c r="AS1545">
        <f>HYPERLINK("https://creighton-primo.hosted.exlibrisgroup.com/primo-explore/search?tab=default_tab&amp;search_scope=EVERYTHING&amp;vid=01CRU&amp;lang=en_US&amp;offset=0&amp;query=any,contains,991004200159702656","Catalog Record")</f>
        <v/>
      </c>
      <c r="AT1545">
        <f>HYPERLINK("http://www.worldcat.org/oclc/2650096","WorldCat Record")</f>
        <v/>
      </c>
      <c r="AU1545" t="inlineStr">
        <is>
          <t>1760083:eng</t>
        </is>
      </c>
      <c r="AV1545" t="inlineStr">
        <is>
          <t>2650096</t>
        </is>
      </c>
      <c r="AW1545" t="inlineStr">
        <is>
          <t>991004200159702656</t>
        </is>
      </c>
      <c r="AX1545" t="inlineStr">
        <is>
          <t>991004200159702656</t>
        </is>
      </c>
      <c r="AY1545" t="inlineStr">
        <is>
          <t>2261732190002656</t>
        </is>
      </c>
      <c r="AZ1545" t="inlineStr">
        <is>
          <t>BOOK</t>
        </is>
      </c>
      <c r="BC1545" t="inlineStr">
        <is>
          <t>32285000814557</t>
        </is>
      </c>
      <c r="BD1545" t="inlineStr">
        <is>
          <t>893806793</t>
        </is>
      </c>
    </row>
    <row r="1546">
      <c r="A1546" t="inlineStr">
        <is>
          <t>No</t>
        </is>
      </c>
      <c r="B1546" t="inlineStr">
        <is>
          <t>BX2350.2 .S628 1996</t>
        </is>
      </c>
      <c r="C1546" t="inlineStr">
        <is>
          <t>0                      BX 2350200S  628         1996</t>
        </is>
      </c>
      <c r="D1546" t="inlineStr">
        <is>
          <t>Spirituality and morality : integrating prayer and action / edited by Dennis J. Billy, Donna L. Orsuto.</t>
        </is>
      </c>
      <c r="F1546" t="inlineStr">
        <is>
          <t>No</t>
        </is>
      </c>
      <c r="G1546" t="inlineStr">
        <is>
          <t>1</t>
        </is>
      </c>
      <c r="H1546" t="inlineStr">
        <is>
          <t>No</t>
        </is>
      </c>
      <c r="I1546" t="inlineStr">
        <is>
          <t>No</t>
        </is>
      </c>
      <c r="J1546" t="inlineStr">
        <is>
          <t>0</t>
        </is>
      </c>
      <c r="L1546" t="inlineStr">
        <is>
          <t>New York : Paulist Press, c1996.</t>
        </is>
      </c>
      <c r="M1546" t="inlineStr">
        <is>
          <t>1995</t>
        </is>
      </c>
      <c r="O1546" t="inlineStr">
        <is>
          <t>eng</t>
        </is>
      </c>
      <c r="P1546" t="inlineStr">
        <is>
          <t>nyu</t>
        </is>
      </c>
      <c r="R1546" t="inlineStr">
        <is>
          <t xml:space="preserve">BX </t>
        </is>
      </c>
      <c r="S1546" t="n">
        <v>7</v>
      </c>
      <c r="T1546" t="n">
        <v>7</v>
      </c>
      <c r="U1546" t="inlineStr">
        <is>
          <t>2008-02-06</t>
        </is>
      </c>
      <c r="V1546" t="inlineStr">
        <is>
          <t>2008-02-06</t>
        </is>
      </c>
      <c r="W1546" t="inlineStr">
        <is>
          <t>1996-05-14</t>
        </is>
      </c>
      <c r="X1546" t="inlineStr">
        <is>
          <t>1996-05-14</t>
        </is>
      </c>
      <c r="Y1546" t="n">
        <v>187</v>
      </c>
      <c r="Z1546" t="n">
        <v>154</v>
      </c>
      <c r="AA1546" t="n">
        <v>155</v>
      </c>
      <c r="AB1546" t="n">
        <v>1</v>
      </c>
      <c r="AC1546" t="n">
        <v>1</v>
      </c>
      <c r="AD1546" t="n">
        <v>22</v>
      </c>
      <c r="AE1546" t="n">
        <v>22</v>
      </c>
      <c r="AF1546" t="n">
        <v>6</v>
      </c>
      <c r="AG1546" t="n">
        <v>6</v>
      </c>
      <c r="AH1546" t="n">
        <v>6</v>
      </c>
      <c r="AI1546" t="n">
        <v>6</v>
      </c>
      <c r="AJ1546" t="n">
        <v>18</v>
      </c>
      <c r="AK1546" t="n">
        <v>18</v>
      </c>
      <c r="AL1546" t="n">
        <v>0</v>
      </c>
      <c r="AM1546" t="n">
        <v>0</v>
      </c>
      <c r="AN1546" t="n">
        <v>0</v>
      </c>
      <c r="AO1546" t="n">
        <v>0</v>
      </c>
      <c r="AP1546" t="inlineStr">
        <is>
          <t>No</t>
        </is>
      </c>
      <c r="AQ1546" t="inlineStr">
        <is>
          <t>Yes</t>
        </is>
      </c>
      <c r="AR1546">
        <f>HYPERLINK("http://catalog.hathitrust.org/Record/101973966","HathiTrust Record")</f>
        <v/>
      </c>
      <c r="AS1546">
        <f>HYPERLINK("https://creighton-primo.hosted.exlibrisgroup.com/primo-explore/search?tab=default_tab&amp;search_scope=EVERYTHING&amp;vid=01CRU&amp;lang=en_US&amp;offset=0&amp;query=any,contains,991005422109702656","Catalog Record")</f>
        <v/>
      </c>
      <c r="AT1546">
        <f>HYPERLINK("http://www.worldcat.org/oclc/33009219","WorldCat Record")</f>
        <v/>
      </c>
      <c r="AU1546" t="inlineStr">
        <is>
          <t>891311722:eng</t>
        </is>
      </c>
      <c r="AV1546" t="inlineStr">
        <is>
          <t>33009219</t>
        </is>
      </c>
      <c r="AW1546" t="inlineStr">
        <is>
          <t>991005422109702656</t>
        </is>
      </c>
      <c r="AX1546" t="inlineStr">
        <is>
          <t>991005422109702656</t>
        </is>
      </c>
      <c r="AY1546" t="inlineStr">
        <is>
          <t>2258499980002656</t>
        </is>
      </c>
      <c r="AZ1546" t="inlineStr">
        <is>
          <t>BOOK</t>
        </is>
      </c>
      <c r="BB1546" t="inlineStr">
        <is>
          <t>9780809136117</t>
        </is>
      </c>
      <c r="BC1546" t="inlineStr">
        <is>
          <t>32285002167699</t>
        </is>
      </c>
      <c r="BD1546" t="inlineStr">
        <is>
          <t>893263834</t>
        </is>
      </c>
    </row>
    <row r="1547">
      <c r="A1547" t="inlineStr">
        <is>
          <t>No</t>
        </is>
      </c>
      <c r="B1547" t="inlineStr">
        <is>
          <t>BX2350.2 .T38 1976</t>
        </is>
      </c>
      <c r="C1547" t="inlineStr">
        <is>
          <t>0                      BX 2350200T  38          1976</t>
        </is>
      </c>
      <c r="D1547" t="inlineStr">
        <is>
          <t>The inner life : foundations of Christian mysticism / by George H. Tavard.</t>
        </is>
      </c>
      <c r="F1547" t="inlineStr">
        <is>
          <t>No</t>
        </is>
      </c>
      <c r="G1547" t="inlineStr">
        <is>
          <t>1</t>
        </is>
      </c>
      <c r="H1547" t="inlineStr">
        <is>
          <t>No</t>
        </is>
      </c>
      <c r="I1547" t="inlineStr">
        <is>
          <t>No</t>
        </is>
      </c>
      <c r="J1547" t="inlineStr">
        <is>
          <t>0</t>
        </is>
      </c>
      <c r="K1547" t="inlineStr">
        <is>
          <t>Tavard, George H. (George Henry), 1922-2007.</t>
        </is>
      </c>
      <c r="L1547" t="inlineStr">
        <is>
          <t>New York : Paulist Press, c1976.</t>
        </is>
      </c>
      <c r="M1547" t="inlineStr">
        <is>
          <t>1976</t>
        </is>
      </c>
      <c r="O1547" t="inlineStr">
        <is>
          <t>eng</t>
        </is>
      </c>
      <c r="P1547" t="inlineStr">
        <is>
          <t>nyu</t>
        </is>
      </c>
      <c r="R1547" t="inlineStr">
        <is>
          <t xml:space="preserve">BX </t>
        </is>
      </c>
      <c r="S1547" t="n">
        <v>2</v>
      </c>
      <c r="T1547" t="n">
        <v>2</v>
      </c>
      <c r="U1547" t="inlineStr">
        <is>
          <t>2006-06-19</t>
        </is>
      </c>
      <c r="V1547" t="inlineStr">
        <is>
          <t>2006-06-19</t>
        </is>
      </c>
      <c r="W1547" t="inlineStr">
        <is>
          <t>1991-10-30</t>
        </is>
      </c>
      <c r="X1547" t="inlineStr">
        <is>
          <t>1991-10-30</t>
        </is>
      </c>
      <c r="Y1547" t="n">
        <v>182</v>
      </c>
      <c r="Z1547" t="n">
        <v>162</v>
      </c>
      <c r="AA1547" t="n">
        <v>162</v>
      </c>
      <c r="AB1547" t="n">
        <v>2</v>
      </c>
      <c r="AC1547" t="n">
        <v>2</v>
      </c>
      <c r="AD1547" t="n">
        <v>16</v>
      </c>
      <c r="AE1547" t="n">
        <v>16</v>
      </c>
      <c r="AF1547" t="n">
        <v>5</v>
      </c>
      <c r="AG1547" t="n">
        <v>5</v>
      </c>
      <c r="AH1547" t="n">
        <v>4</v>
      </c>
      <c r="AI1547" t="n">
        <v>4</v>
      </c>
      <c r="AJ1547" t="n">
        <v>11</v>
      </c>
      <c r="AK1547" t="n">
        <v>11</v>
      </c>
      <c r="AL1547" t="n">
        <v>1</v>
      </c>
      <c r="AM1547" t="n">
        <v>1</v>
      </c>
      <c r="AN1547" t="n">
        <v>0</v>
      </c>
      <c r="AO1547" t="n">
        <v>0</v>
      </c>
      <c r="AP1547" t="inlineStr">
        <is>
          <t>No</t>
        </is>
      </c>
      <c r="AQ1547" t="inlineStr">
        <is>
          <t>No</t>
        </is>
      </c>
      <c r="AS1547">
        <f>HYPERLINK("https://creighton-primo.hosted.exlibrisgroup.com/primo-explore/search?tab=default_tab&amp;search_scope=EVERYTHING&amp;vid=01CRU&amp;lang=en_US&amp;offset=0&amp;query=any,contains,991004007769702656","Catalog Record")</f>
        <v/>
      </c>
      <c r="AT1547">
        <f>HYPERLINK("http://www.worldcat.org/oclc/2089023","WorldCat Record")</f>
        <v/>
      </c>
      <c r="AU1547" t="inlineStr">
        <is>
          <t>367177586:eng</t>
        </is>
      </c>
      <c r="AV1547" t="inlineStr">
        <is>
          <t>2089023</t>
        </is>
      </c>
      <c r="AW1547" t="inlineStr">
        <is>
          <t>991004007769702656</t>
        </is>
      </c>
      <c r="AX1547" t="inlineStr">
        <is>
          <t>991004007769702656</t>
        </is>
      </c>
      <c r="AY1547" t="inlineStr">
        <is>
          <t>2263471530002656</t>
        </is>
      </c>
      <c r="AZ1547" t="inlineStr">
        <is>
          <t>BOOK</t>
        </is>
      </c>
      <c r="BB1547" t="inlineStr">
        <is>
          <t>9780809119271</t>
        </is>
      </c>
      <c r="BC1547" t="inlineStr">
        <is>
          <t>32285000814599</t>
        </is>
      </c>
      <c r="BD1547" t="inlineStr">
        <is>
          <t>893900679</t>
        </is>
      </c>
    </row>
    <row r="1548">
      <c r="A1548" t="inlineStr">
        <is>
          <t>No</t>
        </is>
      </c>
      <c r="B1548" t="inlineStr">
        <is>
          <t>BX2350.2 .T467 1982</t>
        </is>
      </c>
      <c r="C1548" t="inlineStr">
        <is>
          <t>0                      BX 2350200T  467         1982</t>
        </is>
      </c>
      <c r="D1548" t="inlineStr">
        <is>
          <t>The love of Christ : spiritual counsels / Mother Teresa of Calcutta ; edited by Georges Gorrée and Jean Barbier.</t>
        </is>
      </c>
      <c r="F1548" t="inlineStr">
        <is>
          <t>No</t>
        </is>
      </c>
      <c r="G1548" t="inlineStr">
        <is>
          <t>1</t>
        </is>
      </c>
      <c r="H1548" t="inlineStr">
        <is>
          <t>No</t>
        </is>
      </c>
      <c r="I1548" t="inlineStr">
        <is>
          <t>No</t>
        </is>
      </c>
      <c r="J1548" t="inlineStr">
        <is>
          <t>0</t>
        </is>
      </c>
      <c r="K1548" t="inlineStr">
        <is>
          <t>Teresa, Mother, Saint, 1910-1997.</t>
        </is>
      </c>
      <c r="L1548" t="inlineStr">
        <is>
          <t>San Francisco : Harper &amp; Row, c1982.</t>
        </is>
      </c>
      <c r="M1548" t="inlineStr">
        <is>
          <t>1982</t>
        </is>
      </c>
      <c r="N1548" t="inlineStr">
        <is>
          <t>1st ed.</t>
        </is>
      </c>
      <c r="O1548" t="inlineStr">
        <is>
          <t>eng</t>
        </is>
      </c>
      <c r="P1548" t="inlineStr">
        <is>
          <t>cau</t>
        </is>
      </c>
      <c r="R1548" t="inlineStr">
        <is>
          <t xml:space="preserve">BX </t>
        </is>
      </c>
      <c r="S1548" t="n">
        <v>6</v>
      </c>
      <c r="T1548" t="n">
        <v>6</v>
      </c>
      <c r="U1548" t="inlineStr">
        <is>
          <t>2000-06-22</t>
        </is>
      </c>
      <c r="V1548" t="inlineStr">
        <is>
          <t>2000-06-22</t>
        </is>
      </c>
      <c r="W1548" t="inlineStr">
        <is>
          <t>1991-10-30</t>
        </is>
      </c>
      <c r="X1548" t="inlineStr">
        <is>
          <t>1991-10-30</t>
        </is>
      </c>
      <c r="Y1548" t="n">
        <v>699</v>
      </c>
      <c r="Z1548" t="n">
        <v>665</v>
      </c>
      <c r="AA1548" t="n">
        <v>674</v>
      </c>
      <c r="AB1548" t="n">
        <v>5</v>
      </c>
      <c r="AC1548" t="n">
        <v>5</v>
      </c>
      <c r="AD1548" t="n">
        <v>22</v>
      </c>
      <c r="AE1548" t="n">
        <v>22</v>
      </c>
      <c r="AF1548" t="n">
        <v>6</v>
      </c>
      <c r="AG1548" t="n">
        <v>6</v>
      </c>
      <c r="AH1548" t="n">
        <v>7</v>
      </c>
      <c r="AI1548" t="n">
        <v>7</v>
      </c>
      <c r="AJ1548" t="n">
        <v>14</v>
      </c>
      <c r="AK1548" t="n">
        <v>14</v>
      </c>
      <c r="AL1548" t="n">
        <v>1</v>
      </c>
      <c r="AM1548" t="n">
        <v>1</v>
      </c>
      <c r="AN1548" t="n">
        <v>0</v>
      </c>
      <c r="AO1548" t="n">
        <v>0</v>
      </c>
      <c r="AP1548" t="inlineStr">
        <is>
          <t>No</t>
        </is>
      </c>
      <c r="AQ1548" t="inlineStr">
        <is>
          <t>Yes</t>
        </is>
      </c>
      <c r="AR1548">
        <f>HYPERLINK("http://catalog.hathitrust.org/Record/006019685","HathiTrust Record")</f>
        <v/>
      </c>
      <c r="AS1548">
        <f>HYPERLINK("https://creighton-primo.hosted.exlibrisgroup.com/primo-explore/search?tab=default_tab&amp;search_scope=EVERYTHING&amp;vid=01CRU&amp;lang=en_US&amp;offset=0&amp;query=any,contains,991005206389702656","Catalog Record")</f>
        <v/>
      </c>
      <c r="AT1548">
        <f>HYPERLINK("http://www.worldcat.org/oclc/8115219","WorldCat Record")</f>
        <v/>
      </c>
      <c r="AU1548" t="inlineStr">
        <is>
          <t>3901041264:eng</t>
        </is>
      </c>
      <c r="AV1548" t="inlineStr">
        <is>
          <t>8115219</t>
        </is>
      </c>
      <c r="AW1548" t="inlineStr">
        <is>
          <t>991005206389702656</t>
        </is>
      </c>
      <c r="AX1548" t="inlineStr">
        <is>
          <t>991005206389702656</t>
        </is>
      </c>
      <c r="AY1548" t="inlineStr">
        <is>
          <t>2258010100002656</t>
        </is>
      </c>
      <c r="AZ1548" t="inlineStr">
        <is>
          <t>BOOK</t>
        </is>
      </c>
      <c r="BB1548" t="inlineStr">
        <is>
          <t>9780060682293</t>
        </is>
      </c>
      <c r="BC1548" t="inlineStr">
        <is>
          <t>32285000814607</t>
        </is>
      </c>
      <c r="BD1548" t="inlineStr">
        <is>
          <t>893248549</t>
        </is>
      </c>
    </row>
    <row r="1549">
      <c r="A1549" t="inlineStr">
        <is>
          <t>No</t>
        </is>
      </c>
      <c r="B1549" t="inlineStr">
        <is>
          <t>BX2350.2 .T498</t>
        </is>
      </c>
      <c r="C1549" t="inlineStr">
        <is>
          <t>0                      BX 2350200T  498</t>
        </is>
      </c>
      <c r="D1549" t="inlineStr">
        <is>
          <t>Journey toward wholeness : a Jungian model of adult spiritual growth / Helen Thompson.</t>
        </is>
      </c>
      <c r="F1549" t="inlineStr">
        <is>
          <t>No</t>
        </is>
      </c>
      <c r="G1549" t="inlineStr">
        <is>
          <t>1</t>
        </is>
      </c>
      <c r="H1549" t="inlineStr">
        <is>
          <t>No</t>
        </is>
      </c>
      <c r="I1549" t="inlineStr">
        <is>
          <t>No</t>
        </is>
      </c>
      <c r="J1549" t="inlineStr">
        <is>
          <t>0</t>
        </is>
      </c>
      <c r="K1549" t="inlineStr">
        <is>
          <t>Thompson, Helen.</t>
        </is>
      </c>
      <c r="L1549" t="inlineStr">
        <is>
          <t>New York : Paulist Press, c1982.</t>
        </is>
      </c>
      <c r="M1549" t="inlineStr">
        <is>
          <t>1982</t>
        </is>
      </c>
      <c r="O1549" t="inlineStr">
        <is>
          <t>eng</t>
        </is>
      </c>
      <c r="P1549" t="inlineStr">
        <is>
          <t>nyu</t>
        </is>
      </c>
      <c r="R1549" t="inlineStr">
        <is>
          <t xml:space="preserve">BX </t>
        </is>
      </c>
      <c r="S1549" t="n">
        <v>5</v>
      </c>
      <c r="T1549" t="n">
        <v>5</v>
      </c>
      <c r="U1549" t="inlineStr">
        <is>
          <t>2000-06-22</t>
        </is>
      </c>
      <c r="V1549" t="inlineStr">
        <is>
          <t>2000-06-22</t>
        </is>
      </c>
      <c r="W1549" t="inlineStr">
        <is>
          <t>1991-10-30</t>
        </is>
      </c>
      <c r="X1549" t="inlineStr">
        <is>
          <t>1991-10-30</t>
        </is>
      </c>
      <c r="Y1549" t="n">
        <v>212</v>
      </c>
      <c r="Z1549" t="n">
        <v>181</v>
      </c>
      <c r="AA1549" t="n">
        <v>186</v>
      </c>
      <c r="AB1549" t="n">
        <v>3</v>
      </c>
      <c r="AC1549" t="n">
        <v>3</v>
      </c>
      <c r="AD1549" t="n">
        <v>14</v>
      </c>
      <c r="AE1549" t="n">
        <v>14</v>
      </c>
      <c r="AF1549" t="n">
        <v>2</v>
      </c>
      <c r="AG1549" t="n">
        <v>2</v>
      </c>
      <c r="AH1549" t="n">
        <v>3</v>
      </c>
      <c r="AI1549" t="n">
        <v>3</v>
      </c>
      <c r="AJ1549" t="n">
        <v>10</v>
      </c>
      <c r="AK1549" t="n">
        <v>10</v>
      </c>
      <c r="AL1549" t="n">
        <v>1</v>
      </c>
      <c r="AM1549" t="n">
        <v>1</v>
      </c>
      <c r="AN1549" t="n">
        <v>0</v>
      </c>
      <c r="AO1549" t="n">
        <v>0</v>
      </c>
      <c r="AP1549" t="inlineStr">
        <is>
          <t>No</t>
        </is>
      </c>
      <c r="AQ1549" t="inlineStr">
        <is>
          <t>No</t>
        </is>
      </c>
      <c r="AS1549">
        <f>HYPERLINK("https://creighton-primo.hosted.exlibrisgroup.com/primo-explore/search?tab=default_tab&amp;search_scope=EVERYTHING&amp;vid=01CRU&amp;lang=en_US&amp;offset=0&amp;query=any,contains,991005245629702656","Catalog Record")</f>
        <v/>
      </c>
      <c r="AT1549">
        <f>HYPERLINK("http://www.worldcat.org/oclc/8452223","WorldCat Record")</f>
        <v/>
      </c>
      <c r="AU1549" t="inlineStr">
        <is>
          <t>466332:eng</t>
        </is>
      </c>
      <c r="AV1549" t="inlineStr">
        <is>
          <t>8452223</t>
        </is>
      </c>
      <c r="AW1549" t="inlineStr">
        <is>
          <t>991005245629702656</t>
        </is>
      </c>
      <c r="AX1549" t="inlineStr">
        <is>
          <t>991005245629702656</t>
        </is>
      </c>
      <c r="AY1549" t="inlineStr">
        <is>
          <t>2263048790002656</t>
        </is>
      </c>
      <c r="AZ1549" t="inlineStr">
        <is>
          <t>BOOK</t>
        </is>
      </c>
      <c r="BB1549" t="inlineStr">
        <is>
          <t>9780809124220</t>
        </is>
      </c>
      <c r="BC1549" t="inlineStr">
        <is>
          <t>32285000814615</t>
        </is>
      </c>
      <c r="BD1549" t="inlineStr">
        <is>
          <t>893883575</t>
        </is>
      </c>
    </row>
    <row r="1550">
      <c r="A1550" t="inlineStr">
        <is>
          <t>No</t>
        </is>
      </c>
      <c r="B1550" t="inlineStr">
        <is>
          <t>BX2350.2 .T662 1997</t>
        </is>
      </c>
      <c r="C1550" t="inlineStr">
        <is>
          <t>0                      BX 2350200T  662         1997</t>
        </is>
      </c>
      <c r="D1550" t="inlineStr">
        <is>
          <t>Reaching toward God : reflections and exercises for spiritual growth / James Torrens.</t>
        </is>
      </c>
      <c r="F1550" t="inlineStr">
        <is>
          <t>No</t>
        </is>
      </c>
      <c r="G1550" t="inlineStr">
        <is>
          <t>1</t>
        </is>
      </c>
      <c r="H1550" t="inlineStr">
        <is>
          <t>No</t>
        </is>
      </c>
      <c r="I1550" t="inlineStr">
        <is>
          <t>No</t>
        </is>
      </c>
      <c r="J1550" t="inlineStr">
        <is>
          <t>0</t>
        </is>
      </c>
      <c r="K1550" t="inlineStr">
        <is>
          <t>Torrens, James, 1930-</t>
        </is>
      </c>
      <c r="L1550" t="inlineStr">
        <is>
          <t>Kansas City, Mo. : Sheed &amp; Ward, c1997.</t>
        </is>
      </c>
      <c r="M1550" t="inlineStr">
        <is>
          <t>1997</t>
        </is>
      </c>
      <c r="O1550" t="inlineStr">
        <is>
          <t>eng</t>
        </is>
      </c>
      <c r="P1550" t="inlineStr">
        <is>
          <t>mou</t>
        </is>
      </c>
      <c r="R1550" t="inlineStr">
        <is>
          <t xml:space="preserve">BX </t>
        </is>
      </c>
      <c r="S1550" t="n">
        <v>1</v>
      </c>
      <c r="T1550" t="n">
        <v>1</v>
      </c>
      <c r="U1550" t="inlineStr">
        <is>
          <t>2000-06-30</t>
        </is>
      </c>
      <c r="V1550" t="inlineStr">
        <is>
          <t>2000-06-30</t>
        </is>
      </c>
      <c r="W1550" t="inlineStr">
        <is>
          <t>1999-04-15</t>
        </is>
      </c>
      <c r="X1550" t="inlineStr">
        <is>
          <t>1999-04-15</t>
        </is>
      </c>
      <c r="Y1550" t="n">
        <v>34</v>
      </c>
      <c r="Z1550" t="n">
        <v>27</v>
      </c>
      <c r="AA1550" t="n">
        <v>27</v>
      </c>
      <c r="AB1550" t="n">
        <v>1</v>
      </c>
      <c r="AC1550" t="n">
        <v>1</v>
      </c>
      <c r="AD1550" t="n">
        <v>7</v>
      </c>
      <c r="AE1550" t="n">
        <v>7</v>
      </c>
      <c r="AF1550" t="n">
        <v>2</v>
      </c>
      <c r="AG1550" t="n">
        <v>2</v>
      </c>
      <c r="AH1550" t="n">
        <v>0</v>
      </c>
      <c r="AI1550" t="n">
        <v>0</v>
      </c>
      <c r="AJ1550" t="n">
        <v>7</v>
      </c>
      <c r="AK1550" t="n">
        <v>7</v>
      </c>
      <c r="AL1550" t="n">
        <v>0</v>
      </c>
      <c r="AM1550" t="n">
        <v>0</v>
      </c>
      <c r="AN1550" t="n">
        <v>0</v>
      </c>
      <c r="AO1550" t="n">
        <v>0</v>
      </c>
      <c r="AP1550" t="inlineStr">
        <is>
          <t>No</t>
        </is>
      </c>
      <c r="AQ1550" t="inlineStr">
        <is>
          <t>No</t>
        </is>
      </c>
      <c r="AS1550">
        <f>HYPERLINK("https://creighton-primo.hosted.exlibrisgroup.com/primo-explore/search?tab=default_tab&amp;search_scope=EVERYTHING&amp;vid=01CRU&amp;lang=en_US&amp;offset=0&amp;query=any,contains,991002835619702656","Catalog Record")</f>
        <v/>
      </c>
      <c r="AT1550">
        <f>HYPERLINK("http://www.worldcat.org/oclc/37345715","WorldCat Record")</f>
        <v/>
      </c>
      <c r="AU1550" t="inlineStr">
        <is>
          <t>666412:eng</t>
        </is>
      </c>
      <c r="AV1550" t="inlineStr">
        <is>
          <t>37345715</t>
        </is>
      </c>
      <c r="AW1550" t="inlineStr">
        <is>
          <t>991002835619702656</t>
        </is>
      </c>
      <c r="AX1550" t="inlineStr">
        <is>
          <t>991002835619702656</t>
        </is>
      </c>
      <c r="AY1550" t="inlineStr">
        <is>
          <t>2267707530002656</t>
        </is>
      </c>
      <c r="AZ1550" t="inlineStr">
        <is>
          <t>BOOK</t>
        </is>
      </c>
      <c r="BB1550" t="inlineStr">
        <is>
          <t>9781556129889</t>
        </is>
      </c>
      <c r="BC1550" t="inlineStr">
        <is>
          <t>32285003552352</t>
        </is>
      </c>
      <c r="BD1550" t="inlineStr">
        <is>
          <t>893227345</t>
        </is>
      </c>
    </row>
    <row r="1551">
      <c r="A1551" t="inlineStr">
        <is>
          <t>No</t>
        </is>
      </c>
      <c r="B1551" t="inlineStr">
        <is>
          <t>BX2350.2 .T7 1961</t>
        </is>
      </c>
      <c r="C1551" t="inlineStr">
        <is>
          <t>0                      BX 2350200T  7           1961</t>
        </is>
      </c>
      <c r="D1551" t="inlineStr">
        <is>
          <t>Everyman's road to heaven / Leo J. Trese.</t>
        </is>
      </c>
      <c r="F1551" t="inlineStr">
        <is>
          <t>No</t>
        </is>
      </c>
      <c r="G1551" t="inlineStr">
        <is>
          <t>1</t>
        </is>
      </c>
      <c r="H1551" t="inlineStr">
        <is>
          <t>No</t>
        </is>
      </c>
      <c r="I1551" t="inlineStr">
        <is>
          <t>No</t>
        </is>
      </c>
      <c r="J1551" t="inlineStr">
        <is>
          <t>0</t>
        </is>
      </c>
      <c r="K1551" t="inlineStr">
        <is>
          <t>Trese, Leo J. (Leo John), 1902-1970.</t>
        </is>
      </c>
      <c r="L1551" t="inlineStr">
        <is>
          <t>Notre Dame, Ind. : Fides Publishers Association, [1961]</t>
        </is>
      </c>
      <c r="M1551" t="inlineStr">
        <is>
          <t>1961</t>
        </is>
      </c>
      <c r="O1551" t="inlineStr">
        <is>
          <t>eng</t>
        </is>
      </c>
      <c r="P1551" t="inlineStr">
        <is>
          <t xml:space="preserve">xx </t>
        </is>
      </c>
      <c r="R1551" t="inlineStr">
        <is>
          <t xml:space="preserve">BX </t>
        </is>
      </c>
      <c r="S1551" t="n">
        <v>5</v>
      </c>
      <c r="T1551" t="n">
        <v>5</v>
      </c>
      <c r="U1551" t="inlineStr">
        <is>
          <t>1999-12-13</t>
        </is>
      </c>
      <c r="V1551" t="inlineStr">
        <is>
          <t>1999-12-13</t>
        </is>
      </c>
      <c r="W1551" t="inlineStr">
        <is>
          <t>1991-10-30</t>
        </is>
      </c>
      <c r="X1551" t="inlineStr">
        <is>
          <t>1991-10-30</t>
        </is>
      </c>
      <c r="Y1551" t="n">
        <v>74</v>
      </c>
      <c r="Z1551" t="n">
        <v>66</v>
      </c>
      <c r="AA1551" t="n">
        <v>76</v>
      </c>
      <c r="AB1551" t="n">
        <v>2</v>
      </c>
      <c r="AC1551" t="n">
        <v>2</v>
      </c>
      <c r="AD1551" t="n">
        <v>11</v>
      </c>
      <c r="AE1551" t="n">
        <v>12</v>
      </c>
      <c r="AF1551" t="n">
        <v>2</v>
      </c>
      <c r="AG1551" t="n">
        <v>3</v>
      </c>
      <c r="AH1551" t="n">
        <v>3</v>
      </c>
      <c r="AI1551" t="n">
        <v>3</v>
      </c>
      <c r="AJ1551" t="n">
        <v>8</v>
      </c>
      <c r="AK1551" t="n">
        <v>9</v>
      </c>
      <c r="AL1551" t="n">
        <v>0</v>
      </c>
      <c r="AM1551" t="n">
        <v>0</v>
      </c>
      <c r="AN1551" t="n">
        <v>0</v>
      </c>
      <c r="AO1551" t="n">
        <v>0</v>
      </c>
      <c r="AP1551" t="inlineStr">
        <is>
          <t>No</t>
        </is>
      </c>
      <c r="AQ1551" t="inlineStr">
        <is>
          <t>No</t>
        </is>
      </c>
      <c r="AS1551">
        <f>HYPERLINK("https://creighton-primo.hosted.exlibrisgroup.com/primo-explore/search?tab=default_tab&amp;search_scope=EVERYTHING&amp;vid=01CRU&amp;lang=en_US&amp;offset=0&amp;query=any,contains,991004328389702656","Catalog Record")</f>
        <v/>
      </c>
      <c r="AT1551">
        <f>HYPERLINK("http://www.worldcat.org/oclc/3051390","WorldCat Record")</f>
        <v/>
      </c>
      <c r="AU1551" t="inlineStr">
        <is>
          <t>32375888:eng</t>
        </is>
      </c>
      <c r="AV1551" t="inlineStr">
        <is>
          <t>3051390</t>
        </is>
      </c>
      <c r="AW1551" t="inlineStr">
        <is>
          <t>991004328389702656</t>
        </is>
      </c>
      <c r="AX1551" t="inlineStr">
        <is>
          <t>991004328389702656</t>
        </is>
      </c>
      <c r="AY1551" t="inlineStr">
        <is>
          <t>2265086880002656</t>
        </is>
      </c>
      <c r="AZ1551" t="inlineStr">
        <is>
          <t>BOOK</t>
        </is>
      </c>
      <c r="BC1551" t="inlineStr">
        <is>
          <t>32285000814631</t>
        </is>
      </c>
      <c r="BD1551" t="inlineStr">
        <is>
          <t>893247444</t>
        </is>
      </c>
    </row>
    <row r="1552">
      <c r="A1552" t="inlineStr">
        <is>
          <t>No</t>
        </is>
      </c>
      <c r="B1552" t="inlineStr">
        <is>
          <t>BX2350.2 .U67 1986</t>
        </is>
      </c>
      <c r="C1552" t="inlineStr">
        <is>
          <t>0                      BX 2350200U  67          1986</t>
        </is>
      </c>
      <c r="D1552" t="inlineStr">
        <is>
          <t>Journey into mystery : a companion to the R.C.I.A. / Julia Upton.</t>
        </is>
      </c>
      <c r="F1552" t="inlineStr">
        <is>
          <t>No</t>
        </is>
      </c>
      <c r="G1552" t="inlineStr">
        <is>
          <t>1</t>
        </is>
      </c>
      <c r="H1552" t="inlineStr">
        <is>
          <t>No</t>
        </is>
      </c>
      <c r="I1552" t="inlineStr">
        <is>
          <t>No</t>
        </is>
      </c>
      <c r="J1552" t="inlineStr">
        <is>
          <t>0</t>
        </is>
      </c>
      <c r="K1552" t="inlineStr">
        <is>
          <t>Upton, Julia.</t>
        </is>
      </c>
      <c r="L1552" t="inlineStr">
        <is>
          <t>New York : Paulist Press, c1986.</t>
        </is>
      </c>
      <c r="M1552" t="inlineStr">
        <is>
          <t>1986</t>
        </is>
      </c>
      <c r="O1552" t="inlineStr">
        <is>
          <t>eng</t>
        </is>
      </c>
      <c r="P1552" t="inlineStr">
        <is>
          <t>nyu</t>
        </is>
      </c>
      <c r="R1552" t="inlineStr">
        <is>
          <t xml:space="preserve">BX </t>
        </is>
      </c>
      <c r="S1552" t="n">
        <v>2</v>
      </c>
      <c r="T1552" t="n">
        <v>2</v>
      </c>
      <c r="U1552" t="inlineStr">
        <is>
          <t>2002-06-20</t>
        </is>
      </c>
      <c r="V1552" t="inlineStr">
        <is>
          <t>2002-06-20</t>
        </is>
      </c>
      <c r="W1552" t="inlineStr">
        <is>
          <t>1990-07-03</t>
        </is>
      </c>
      <c r="X1552" t="inlineStr">
        <is>
          <t>1990-07-03</t>
        </is>
      </c>
      <c r="Y1552" t="n">
        <v>73</v>
      </c>
      <c r="Z1552" t="n">
        <v>64</v>
      </c>
      <c r="AA1552" t="n">
        <v>69</v>
      </c>
      <c r="AB1552" t="n">
        <v>1</v>
      </c>
      <c r="AC1552" t="n">
        <v>1</v>
      </c>
      <c r="AD1552" t="n">
        <v>9</v>
      </c>
      <c r="AE1552" t="n">
        <v>9</v>
      </c>
      <c r="AF1552" t="n">
        <v>0</v>
      </c>
      <c r="AG1552" t="n">
        <v>0</v>
      </c>
      <c r="AH1552" t="n">
        <v>3</v>
      </c>
      <c r="AI1552" t="n">
        <v>3</v>
      </c>
      <c r="AJ1552" t="n">
        <v>6</v>
      </c>
      <c r="AK1552" t="n">
        <v>6</v>
      </c>
      <c r="AL1552" t="n">
        <v>0</v>
      </c>
      <c r="AM1552" t="n">
        <v>0</v>
      </c>
      <c r="AN1552" t="n">
        <v>0</v>
      </c>
      <c r="AO1552" t="n">
        <v>0</v>
      </c>
      <c r="AP1552" t="inlineStr">
        <is>
          <t>No</t>
        </is>
      </c>
      <c r="AQ1552" t="inlineStr">
        <is>
          <t>No</t>
        </is>
      </c>
      <c r="AS1552">
        <f>HYPERLINK("https://creighton-primo.hosted.exlibrisgroup.com/primo-explore/search?tab=default_tab&amp;search_scope=EVERYTHING&amp;vid=01CRU&amp;lang=en_US&amp;offset=0&amp;query=any,contains,991000867679702656","Catalog Record")</f>
        <v/>
      </c>
      <c r="AT1552">
        <f>HYPERLINK("http://www.worldcat.org/oclc/13760845","WorldCat Record")</f>
        <v/>
      </c>
      <c r="AU1552" t="inlineStr">
        <is>
          <t>7032757:eng</t>
        </is>
      </c>
      <c r="AV1552" t="inlineStr">
        <is>
          <t>13760845</t>
        </is>
      </c>
      <c r="AW1552" t="inlineStr">
        <is>
          <t>991000867679702656</t>
        </is>
      </c>
      <c r="AX1552" t="inlineStr">
        <is>
          <t>991000867679702656</t>
        </is>
      </c>
      <c r="AY1552" t="inlineStr">
        <is>
          <t>2266234200002656</t>
        </is>
      </c>
      <c r="AZ1552" t="inlineStr">
        <is>
          <t>BOOK</t>
        </is>
      </c>
      <c r="BB1552" t="inlineStr">
        <is>
          <t>9780809127566</t>
        </is>
      </c>
      <c r="BC1552" t="inlineStr">
        <is>
          <t>32285000219773</t>
        </is>
      </c>
      <c r="BD1552" t="inlineStr">
        <is>
          <t>893790930</t>
        </is>
      </c>
    </row>
    <row r="1553">
      <c r="A1553" t="inlineStr">
        <is>
          <t>No</t>
        </is>
      </c>
      <c r="B1553" t="inlineStr">
        <is>
          <t>BX2350.2 .V26 1964</t>
        </is>
      </c>
      <c r="C1553" t="inlineStr">
        <is>
          <t>0                      BX 2350200V  26          1964</t>
        </is>
      </c>
      <c r="D1553" t="inlineStr">
        <is>
          <t>The will of God in other words : a presentation for beginners / by Hubert Van Zeller.</t>
        </is>
      </c>
      <c r="F1553" t="inlineStr">
        <is>
          <t>No</t>
        </is>
      </c>
      <c r="G1553" t="inlineStr">
        <is>
          <t>1</t>
        </is>
      </c>
      <c r="H1553" t="inlineStr">
        <is>
          <t>No</t>
        </is>
      </c>
      <c r="I1553" t="inlineStr">
        <is>
          <t>No</t>
        </is>
      </c>
      <c r="J1553" t="inlineStr">
        <is>
          <t>0</t>
        </is>
      </c>
      <c r="K1553" t="inlineStr">
        <is>
          <t>Van Zeller, Hubert, 1905-1984.</t>
        </is>
      </c>
      <c r="L1553" t="inlineStr">
        <is>
          <t>Springfield, Ill. : Templegate, [1964]</t>
        </is>
      </c>
      <c r="M1553" t="inlineStr">
        <is>
          <t>1964</t>
        </is>
      </c>
      <c r="O1553" t="inlineStr">
        <is>
          <t>eng</t>
        </is>
      </c>
      <c r="P1553" t="inlineStr">
        <is>
          <t>___</t>
        </is>
      </c>
      <c r="Q1553" t="inlineStr">
        <is>
          <t>His[In other words series]</t>
        </is>
      </c>
      <c r="R1553" t="inlineStr">
        <is>
          <t xml:space="preserve">BX </t>
        </is>
      </c>
      <c r="S1553" t="n">
        <v>2</v>
      </c>
      <c r="T1553" t="n">
        <v>2</v>
      </c>
      <c r="U1553" t="inlineStr">
        <is>
          <t>1994-07-24</t>
        </is>
      </c>
      <c r="V1553" t="inlineStr">
        <is>
          <t>1994-07-24</t>
        </is>
      </c>
      <c r="W1553" t="inlineStr">
        <is>
          <t>1991-10-30</t>
        </is>
      </c>
      <c r="X1553" t="inlineStr">
        <is>
          <t>1991-10-30</t>
        </is>
      </c>
      <c r="Y1553" t="n">
        <v>126</v>
      </c>
      <c r="Z1553" t="n">
        <v>117</v>
      </c>
      <c r="AA1553" t="n">
        <v>122</v>
      </c>
      <c r="AB1553" t="n">
        <v>4</v>
      </c>
      <c r="AC1553" t="n">
        <v>4</v>
      </c>
      <c r="AD1553" t="n">
        <v>18</v>
      </c>
      <c r="AE1553" t="n">
        <v>18</v>
      </c>
      <c r="AF1553" t="n">
        <v>2</v>
      </c>
      <c r="AG1553" t="n">
        <v>2</v>
      </c>
      <c r="AH1553" t="n">
        <v>6</v>
      </c>
      <c r="AI1553" t="n">
        <v>6</v>
      </c>
      <c r="AJ1553" t="n">
        <v>12</v>
      </c>
      <c r="AK1553" t="n">
        <v>12</v>
      </c>
      <c r="AL1553" t="n">
        <v>1</v>
      </c>
      <c r="AM1553" t="n">
        <v>1</v>
      </c>
      <c r="AN1553" t="n">
        <v>0</v>
      </c>
      <c r="AO1553" t="n">
        <v>0</v>
      </c>
      <c r="AP1553" t="inlineStr">
        <is>
          <t>No</t>
        </is>
      </c>
      <c r="AQ1553" t="inlineStr">
        <is>
          <t>No</t>
        </is>
      </c>
      <c r="AS1553">
        <f>HYPERLINK("https://creighton-primo.hosted.exlibrisgroup.com/primo-explore/search?tab=default_tab&amp;search_scope=EVERYTHING&amp;vid=01CRU&amp;lang=en_US&amp;offset=0&amp;query=any,contains,991003125399702656","Catalog Record")</f>
        <v/>
      </c>
      <c r="AT1553">
        <f>HYPERLINK("http://www.worldcat.org/oclc/669948","WorldCat Record")</f>
        <v/>
      </c>
      <c r="AU1553" t="inlineStr">
        <is>
          <t>1698930:eng</t>
        </is>
      </c>
      <c r="AV1553" t="inlineStr">
        <is>
          <t>669948</t>
        </is>
      </c>
      <c r="AW1553" t="inlineStr">
        <is>
          <t>991003125399702656</t>
        </is>
      </c>
      <c r="AX1553" t="inlineStr">
        <is>
          <t>991003125399702656</t>
        </is>
      </c>
      <c r="AY1553" t="inlineStr">
        <is>
          <t>2256083670002656</t>
        </is>
      </c>
      <c r="AZ1553" t="inlineStr">
        <is>
          <t>BOOK</t>
        </is>
      </c>
      <c r="BC1553" t="inlineStr">
        <is>
          <t>32285000814680</t>
        </is>
      </c>
      <c r="BD1553" t="inlineStr">
        <is>
          <t>893799407</t>
        </is>
      </c>
    </row>
    <row r="1554">
      <c r="A1554" t="inlineStr">
        <is>
          <t>No</t>
        </is>
      </c>
      <c r="B1554" t="inlineStr">
        <is>
          <t>BX2350.2 .V27 1966</t>
        </is>
      </c>
      <c r="C1554" t="inlineStr">
        <is>
          <t>0                      BX 2350200V  27          1966</t>
        </is>
      </c>
      <c r="D1554" t="inlineStr">
        <is>
          <t>Personality fulfillment in the spiritual life / by Adrian Van Kaam.</t>
        </is>
      </c>
      <c r="F1554" t="inlineStr">
        <is>
          <t>No</t>
        </is>
      </c>
      <c r="G1554" t="inlineStr">
        <is>
          <t>1</t>
        </is>
      </c>
      <c r="H1554" t="inlineStr">
        <is>
          <t>No</t>
        </is>
      </c>
      <c r="I1554" t="inlineStr">
        <is>
          <t>No</t>
        </is>
      </c>
      <c r="J1554" t="inlineStr">
        <is>
          <t>0</t>
        </is>
      </c>
      <c r="K1554" t="inlineStr">
        <is>
          <t>Van Kaam, Adrian L., 1920-2007.</t>
        </is>
      </c>
      <c r="L1554" t="inlineStr">
        <is>
          <t>Wilkes-Barre, Pa. : Dimension Books, [1966]</t>
        </is>
      </c>
      <c r="M1554" t="inlineStr">
        <is>
          <t>1966</t>
        </is>
      </c>
      <c r="N1554" t="inlineStr">
        <is>
          <t>[1st American ed.]</t>
        </is>
      </c>
      <c r="O1554" t="inlineStr">
        <is>
          <t>eng</t>
        </is>
      </c>
      <c r="P1554" t="inlineStr">
        <is>
          <t>___</t>
        </is>
      </c>
      <c r="R1554" t="inlineStr">
        <is>
          <t xml:space="preserve">BX </t>
        </is>
      </c>
      <c r="S1554" t="n">
        <v>2</v>
      </c>
      <c r="T1554" t="n">
        <v>2</v>
      </c>
      <c r="U1554" t="inlineStr">
        <is>
          <t>2008-04-09</t>
        </is>
      </c>
      <c r="V1554" t="inlineStr">
        <is>
          <t>2008-04-09</t>
        </is>
      </c>
      <c r="W1554" t="inlineStr">
        <is>
          <t>1991-10-30</t>
        </is>
      </c>
      <c r="X1554" t="inlineStr">
        <is>
          <t>1991-10-30</t>
        </is>
      </c>
      <c r="Y1554" t="n">
        <v>267</v>
      </c>
      <c r="Z1554" t="n">
        <v>237</v>
      </c>
      <c r="AA1554" t="n">
        <v>242</v>
      </c>
      <c r="AB1554" t="n">
        <v>3</v>
      </c>
      <c r="AC1554" t="n">
        <v>3</v>
      </c>
      <c r="AD1554" t="n">
        <v>27</v>
      </c>
      <c r="AE1554" t="n">
        <v>27</v>
      </c>
      <c r="AF1554" t="n">
        <v>7</v>
      </c>
      <c r="AG1554" t="n">
        <v>7</v>
      </c>
      <c r="AH1554" t="n">
        <v>8</v>
      </c>
      <c r="AI1554" t="n">
        <v>8</v>
      </c>
      <c r="AJ1554" t="n">
        <v>21</v>
      </c>
      <c r="AK1554" t="n">
        <v>21</v>
      </c>
      <c r="AL1554" t="n">
        <v>1</v>
      </c>
      <c r="AM1554" t="n">
        <v>1</v>
      </c>
      <c r="AN1554" t="n">
        <v>0</v>
      </c>
      <c r="AO1554" t="n">
        <v>0</v>
      </c>
      <c r="AP1554" t="inlineStr">
        <is>
          <t>No</t>
        </is>
      </c>
      <c r="AQ1554" t="inlineStr">
        <is>
          <t>No</t>
        </is>
      </c>
      <c r="AS1554">
        <f>HYPERLINK("https://creighton-primo.hosted.exlibrisgroup.com/primo-explore/search?tab=default_tab&amp;search_scope=EVERYTHING&amp;vid=01CRU&amp;lang=en_US&amp;offset=0&amp;query=any,contains,991003105829702656","Catalog Record")</f>
        <v/>
      </c>
      <c r="AT1554">
        <f>HYPERLINK("http://www.worldcat.org/oclc/654090","WorldCat Record")</f>
        <v/>
      </c>
      <c r="AU1554" t="inlineStr">
        <is>
          <t>1612844:eng</t>
        </is>
      </c>
      <c r="AV1554" t="inlineStr">
        <is>
          <t>654090</t>
        </is>
      </c>
      <c r="AW1554" t="inlineStr">
        <is>
          <t>991003105829702656</t>
        </is>
      </c>
      <c r="AX1554" t="inlineStr">
        <is>
          <t>991003105829702656</t>
        </is>
      </c>
      <c r="AY1554" t="inlineStr">
        <is>
          <t>2261986000002656</t>
        </is>
      </c>
      <c r="AZ1554" t="inlineStr">
        <is>
          <t>BOOK</t>
        </is>
      </c>
      <c r="BC1554" t="inlineStr">
        <is>
          <t>32285000814698</t>
        </is>
      </c>
      <c r="BD1554" t="inlineStr">
        <is>
          <t>893617013</t>
        </is>
      </c>
    </row>
    <row r="1555">
      <c r="A1555" t="inlineStr">
        <is>
          <t>No</t>
        </is>
      </c>
      <c r="B1555" t="inlineStr">
        <is>
          <t>BX2350.2 .V3 1963</t>
        </is>
      </c>
      <c r="C1555" t="inlineStr">
        <is>
          <t>0                      BX 2350200V  3           1963</t>
        </is>
      </c>
      <c r="D1555" t="inlineStr">
        <is>
          <t>Sanctity in other words; a presentation for beginners / by Hubert van Zeller.</t>
        </is>
      </c>
      <c r="F1555" t="inlineStr">
        <is>
          <t>No</t>
        </is>
      </c>
      <c r="G1555" t="inlineStr">
        <is>
          <t>1</t>
        </is>
      </c>
      <c r="H1555" t="inlineStr">
        <is>
          <t>No</t>
        </is>
      </c>
      <c r="I1555" t="inlineStr">
        <is>
          <t>No</t>
        </is>
      </c>
      <c r="J1555" t="inlineStr">
        <is>
          <t>0</t>
        </is>
      </c>
      <c r="K1555" t="inlineStr">
        <is>
          <t>Van Zeller, Hubert, 1905-1984.</t>
        </is>
      </c>
      <c r="L1555" t="inlineStr">
        <is>
          <t>Springfield, Ill. : Templegate, [1963]</t>
        </is>
      </c>
      <c r="M1555" t="inlineStr">
        <is>
          <t>1963</t>
        </is>
      </c>
      <c r="O1555" t="inlineStr">
        <is>
          <t>eng</t>
        </is>
      </c>
      <c r="P1555" t="inlineStr">
        <is>
          <t>___</t>
        </is>
      </c>
      <c r="Q1555" t="inlineStr">
        <is>
          <t>In other words series</t>
        </is>
      </c>
      <c r="R1555" t="inlineStr">
        <is>
          <t xml:space="preserve">BX </t>
        </is>
      </c>
      <c r="S1555" t="n">
        <v>2</v>
      </c>
      <c r="T1555" t="n">
        <v>2</v>
      </c>
      <c r="U1555" t="inlineStr">
        <is>
          <t>1998-06-27</t>
        </is>
      </c>
      <c r="V1555" t="inlineStr">
        <is>
          <t>1998-06-27</t>
        </is>
      </c>
      <c r="W1555" t="inlineStr">
        <is>
          <t>1991-10-30</t>
        </is>
      </c>
      <c r="X1555" t="inlineStr">
        <is>
          <t>1991-10-30</t>
        </is>
      </c>
      <c r="Y1555" t="n">
        <v>139</v>
      </c>
      <c r="Z1555" t="n">
        <v>125</v>
      </c>
      <c r="AA1555" t="n">
        <v>131</v>
      </c>
      <c r="AB1555" t="n">
        <v>3</v>
      </c>
      <c r="AC1555" t="n">
        <v>3</v>
      </c>
      <c r="AD1555" t="n">
        <v>22</v>
      </c>
      <c r="AE1555" t="n">
        <v>22</v>
      </c>
      <c r="AF1555" t="n">
        <v>4</v>
      </c>
      <c r="AG1555" t="n">
        <v>4</v>
      </c>
      <c r="AH1555" t="n">
        <v>6</v>
      </c>
      <c r="AI1555" t="n">
        <v>6</v>
      </c>
      <c r="AJ1555" t="n">
        <v>16</v>
      </c>
      <c r="AK1555" t="n">
        <v>16</v>
      </c>
      <c r="AL1555" t="n">
        <v>1</v>
      </c>
      <c r="AM1555" t="n">
        <v>1</v>
      </c>
      <c r="AN1555" t="n">
        <v>0</v>
      </c>
      <c r="AO1555" t="n">
        <v>0</v>
      </c>
      <c r="AP1555" t="inlineStr">
        <is>
          <t>No</t>
        </is>
      </c>
      <c r="AQ1555" t="inlineStr">
        <is>
          <t>Yes</t>
        </is>
      </c>
      <c r="AR1555">
        <f>HYPERLINK("http://catalog.hathitrust.org/Record/007046585","HathiTrust Record")</f>
        <v/>
      </c>
      <c r="AS1555">
        <f>HYPERLINK("https://creighton-primo.hosted.exlibrisgroup.com/primo-explore/search?tab=default_tab&amp;search_scope=EVERYTHING&amp;vid=01CRU&amp;lang=en_US&amp;offset=0&amp;query=any,contains,991003403539702656","Catalog Record")</f>
        <v/>
      </c>
      <c r="AT1555">
        <f>HYPERLINK("http://www.worldcat.org/oclc/943249","WorldCat Record")</f>
        <v/>
      </c>
      <c r="AU1555" t="inlineStr">
        <is>
          <t>3902507237:eng</t>
        </is>
      </c>
      <c r="AV1555" t="inlineStr">
        <is>
          <t>943249</t>
        </is>
      </c>
      <c r="AW1555" t="inlineStr">
        <is>
          <t>991003403539702656</t>
        </is>
      </c>
      <c r="AX1555" t="inlineStr">
        <is>
          <t>991003403539702656</t>
        </is>
      </c>
      <c r="AY1555" t="inlineStr">
        <is>
          <t>2266507820002656</t>
        </is>
      </c>
      <c r="AZ1555" t="inlineStr">
        <is>
          <t>BOOK</t>
        </is>
      </c>
      <c r="BC1555" t="inlineStr">
        <is>
          <t>32285000814714</t>
        </is>
      </c>
      <c r="BD1555" t="inlineStr">
        <is>
          <t>893240181</t>
        </is>
      </c>
    </row>
    <row r="1556">
      <c r="A1556" t="inlineStr">
        <is>
          <t>No</t>
        </is>
      </c>
      <c r="B1556" t="inlineStr">
        <is>
          <t>BX2350.2 .W56 1998</t>
        </is>
      </c>
      <c r="C1556" t="inlineStr">
        <is>
          <t>0                      BX 2350200W  56          1998</t>
        </is>
      </c>
      <c r="D1556" t="inlineStr">
        <is>
          <t>The seven secrets of successful Catholics / by Paul Wilkes.</t>
        </is>
      </c>
      <c r="F1556" t="inlineStr">
        <is>
          <t>No</t>
        </is>
      </c>
      <c r="G1556" t="inlineStr">
        <is>
          <t>1</t>
        </is>
      </c>
      <c r="H1556" t="inlineStr">
        <is>
          <t>No</t>
        </is>
      </c>
      <c r="I1556" t="inlineStr">
        <is>
          <t>No</t>
        </is>
      </c>
      <c r="J1556" t="inlineStr">
        <is>
          <t>0</t>
        </is>
      </c>
      <c r="K1556" t="inlineStr">
        <is>
          <t>Wilkes, Paul, 1938-</t>
        </is>
      </c>
      <c r="L1556" t="inlineStr">
        <is>
          <t>New York : Paulist Press, c1998.</t>
        </is>
      </c>
      <c r="M1556" t="inlineStr">
        <is>
          <t>1998</t>
        </is>
      </c>
      <c r="O1556" t="inlineStr">
        <is>
          <t>eng</t>
        </is>
      </c>
      <c r="P1556" t="inlineStr">
        <is>
          <t>nyu</t>
        </is>
      </c>
      <c r="R1556" t="inlineStr">
        <is>
          <t xml:space="preserve">BX </t>
        </is>
      </c>
      <c r="S1556" t="n">
        <v>4</v>
      </c>
      <c r="T1556" t="n">
        <v>4</v>
      </c>
      <c r="U1556" t="inlineStr">
        <is>
          <t>2003-06-03</t>
        </is>
      </c>
      <c r="V1556" t="inlineStr">
        <is>
          <t>2003-06-03</t>
        </is>
      </c>
      <c r="W1556" t="inlineStr">
        <is>
          <t>1998-08-26</t>
        </is>
      </c>
      <c r="X1556" t="inlineStr">
        <is>
          <t>1998-08-26</t>
        </is>
      </c>
      <c r="Y1556" t="n">
        <v>129</v>
      </c>
      <c r="Z1556" t="n">
        <v>121</v>
      </c>
      <c r="AA1556" t="n">
        <v>126</v>
      </c>
      <c r="AB1556" t="n">
        <v>1</v>
      </c>
      <c r="AC1556" t="n">
        <v>1</v>
      </c>
      <c r="AD1556" t="n">
        <v>11</v>
      </c>
      <c r="AE1556" t="n">
        <v>11</v>
      </c>
      <c r="AF1556" t="n">
        <v>3</v>
      </c>
      <c r="AG1556" t="n">
        <v>3</v>
      </c>
      <c r="AH1556" t="n">
        <v>3</v>
      </c>
      <c r="AI1556" t="n">
        <v>3</v>
      </c>
      <c r="AJ1556" t="n">
        <v>8</v>
      </c>
      <c r="AK1556" t="n">
        <v>8</v>
      </c>
      <c r="AL1556" t="n">
        <v>0</v>
      </c>
      <c r="AM1556" t="n">
        <v>0</v>
      </c>
      <c r="AN1556" t="n">
        <v>0</v>
      </c>
      <c r="AO1556" t="n">
        <v>0</v>
      </c>
      <c r="AP1556" t="inlineStr">
        <is>
          <t>No</t>
        </is>
      </c>
      <c r="AQ1556" t="inlineStr">
        <is>
          <t>No</t>
        </is>
      </c>
      <c r="AS1556">
        <f>HYPERLINK("https://creighton-primo.hosted.exlibrisgroup.com/primo-explore/search?tab=default_tab&amp;search_scope=EVERYTHING&amp;vid=01CRU&amp;lang=en_US&amp;offset=0&amp;query=any,contains,991002893289702656","Catalog Record")</f>
        <v/>
      </c>
      <c r="AT1556">
        <f>HYPERLINK("http://www.worldcat.org/oclc/38120638","WorldCat Record")</f>
        <v/>
      </c>
      <c r="AU1556" t="inlineStr">
        <is>
          <t>616948:eng</t>
        </is>
      </c>
      <c r="AV1556" t="inlineStr">
        <is>
          <t>38120638</t>
        </is>
      </c>
      <c r="AW1556" t="inlineStr">
        <is>
          <t>991002893289702656</t>
        </is>
      </c>
      <c r="AX1556" t="inlineStr">
        <is>
          <t>991002893289702656</t>
        </is>
      </c>
      <c r="AY1556" t="inlineStr">
        <is>
          <t>2265330410002656</t>
        </is>
      </c>
      <c r="AZ1556" t="inlineStr">
        <is>
          <t>BOOK</t>
        </is>
      </c>
      <c r="BB1556" t="inlineStr">
        <is>
          <t>9780809137954</t>
        </is>
      </c>
      <c r="BC1556" t="inlineStr">
        <is>
          <t>32285003462610</t>
        </is>
      </c>
      <c r="BD1556" t="inlineStr">
        <is>
          <t>893616725</t>
        </is>
      </c>
    </row>
    <row r="1557">
      <c r="A1557" t="inlineStr">
        <is>
          <t>No</t>
        </is>
      </c>
      <c r="B1557" t="inlineStr">
        <is>
          <t>BX2350.2 .W63 1982</t>
        </is>
      </c>
      <c r="C1557" t="inlineStr">
        <is>
          <t>0                      BX 2350200W  63          1982</t>
        </is>
      </c>
      <c r="D1557" t="inlineStr">
        <is>
          <t>Symbion : spirituality for a possible future / by Richard J. Woods.</t>
        </is>
      </c>
      <c r="F1557" t="inlineStr">
        <is>
          <t>No</t>
        </is>
      </c>
      <c r="G1557" t="inlineStr">
        <is>
          <t>1</t>
        </is>
      </c>
      <c r="H1557" t="inlineStr">
        <is>
          <t>No</t>
        </is>
      </c>
      <c r="I1557" t="inlineStr">
        <is>
          <t>No</t>
        </is>
      </c>
      <c r="J1557" t="inlineStr">
        <is>
          <t>0</t>
        </is>
      </c>
      <c r="K1557" t="inlineStr">
        <is>
          <t>Woods, Richard, 1941-</t>
        </is>
      </c>
      <c r="L1557" t="inlineStr">
        <is>
          <t>Santa Fe, NM : Bear, c1982.</t>
        </is>
      </c>
      <c r="M1557" t="inlineStr">
        <is>
          <t>1982</t>
        </is>
      </c>
      <c r="O1557" t="inlineStr">
        <is>
          <t>eng</t>
        </is>
      </c>
      <c r="P1557" t="inlineStr">
        <is>
          <t>nmu</t>
        </is>
      </c>
      <c r="R1557" t="inlineStr">
        <is>
          <t xml:space="preserve">BX </t>
        </is>
      </c>
      <c r="S1557" t="n">
        <v>2</v>
      </c>
      <c r="T1557" t="n">
        <v>2</v>
      </c>
      <c r="U1557" t="inlineStr">
        <is>
          <t>1999-08-29</t>
        </is>
      </c>
      <c r="V1557" t="inlineStr">
        <is>
          <t>1999-08-29</t>
        </is>
      </c>
      <c r="W1557" t="inlineStr">
        <is>
          <t>1991-03-14</t>
        </is>
      </c>
      <c r="X1557" t="inlineStr">
        <is>
          <t>1991-03-14</t>
        </is>
      </c>
      <c r="Y1557" t="n">
        <v>65</v>
      </c>
      <c r="Z1557" t="n">
        <v>53</v>
      </c>
      <c r="AA1557" t="n">
        <v>53</v>
      </c>
      <c r="AB1557" t="n">
        <v>2</v>
      </c>
      <c r="AC1557" t="n">
        <v>2</v>
      </c>
      <c r="AD1557" t="n">
        <v>7</v>
      </c>
      <c r="AE1557" t="n">
        <v>7</v>
      </c>
      <c r="AF1557" t="n">
        <v>1</v>
      </c>
      <c r="AG1557" t="n">
        <v>1</v>
      </c>
      <c r="AH1557" t="n">
        <v>0</v>
      </c>
      <c r="AI1557" t="n">
        <v>0</v>
      </c>
      <c r="AJ1557" t="n">
        <v>6</v>
      </c>
      <c r="AK1557" t="n">
        <v>6</v>
      </c>
      <c r="AL1557" t="n">
        <v>1</v>
      </c>
      <c r="AM1557" t="n">
        <v>1</v>
      </c>
      <c r="AN1557" t="n">
        <v>0</v>
      </c>
      <c r="AO1557" t="n">
        <v>0</v>
      </c>
      <c r="AP1557" t="inlineStr">
        <is>
          <t>No</t>
        </is>
      </c>
      <c r="AQ1557" t="inlineStr">
        <is>
          <t>No</t>
        </is>
      </c>
      <c r="AS1557">
        <f>HYPERLINK("https://creighton-primo.hosted.exlibrisgroup.com/primo-explore/search?tab=default_tab&amp;search_scope=EVERYTHING&amp;vid=01CRU&amp;lang=en_US&amp;offset=0&amp;query=any,contains,991000357459702656","Catalog Record")</f>
        <v/>
      </c>
      <c r="AT1557">
        <f>HYPERLINK("http://www.worldcat.org/oclc/10346734","WorldCat Record")</f>
        <v/>
      </c>
      <c r="AU1557" t="inlineStr">
        <is>
          <t>3658171:eng</t>
        </is>
      </c>
      <c r="AV1557" t="inlineStr">
        <is>
          <t>10346734</t>
        </is>
      </c>
      <c r="AW1557" t="inlineStr">
        <is>
          <t>991000357459702656</t>
        </is>
      </c>
      <c r="AX1557" t="inlineStr">
        <is>
          <t>991000357459702656</t>
        </is>
      </c>
      <c r="AY1557" t="inlineStr">
        <is>
          <t>2263158610002656</t>
        </is>
      </c>
      <c r="AZ1557" t="inlineStr">
        <is>
          <t>BOOK</t>
        </is>
      </c>
      <c r="BB1557" t="inlineStr">
        <is>
          <t>9780939680085</t>
        </is>
      </c>
      <c r="BC1557" t="inlineStr">
        <is>
          <t>32285000535384</t>
        </is>
      </c>
      <c r="BD1557" t="inlineStr">
        <is>
          <t>893255354</t>
        </is>
      </c>
    </row>
    <row r="1558">
      <c r="A1558" t="inlineStr">
        <is>
          <t>No</t>
        </is>
      </c>
      <c r="B1558" t="inlineStr">
        <is>
          <t>BX2350.2 .W67 1986</t>
        </is>
      </c>
      <c r="C1558" t="inlineStr">
        <is>
          <t>0                      BX 2350200W  67          1986</t>
        </is>
      </c>
      <c r="D1558" t="inlineStr">
        <is>
          <t>Work and faith in society : a handbook for dioceses and parishes / Maurice L. Monette, editor.</t>
        </is>
      </c>
      <c r="F1558" t="inlineStr">
        <is>
          <t>No</t>
        </is>
      </c>
      <c r="G1558" t="inlineStr">
        <is>
          <t>1</t>
        </is>
      </c>
      <c r="H1558" t="inlineStr">
        <is>
          <t>No</t>
        </is>
      </c>
      <c r="I1558" t="inlineStr">
        <is>
          <t>No</t>
        </is>
      </c>
      <c r="J1558" t="inlineStr">
        <is>
          <t>0</t>
        </is>
      </c>
      <c r="L1558" t="inlineStr">
        <is>
          <t>Washington, D.C. : Office of Publishing and Promotion Services, United States Catholic Conference, c1986.</t>
        </is>
      </c>
      <c r="M1558" t="inlineStr">
        <is>
          <t>1986</t>
        </is>
      </c>
      <c r="O1558" t="inlineStr">
        <is>
          <t>eng</t>
        </is>
      </c>
      <c r="P1558" t="inlineStr">
        <is>
          <t>dcu</t>
        </is>
      </c>
      <c r="Q1558" t="inlineStr">
        <is>
          <t>Publication no. 988 / U.S.C.C.</t>
        </is>
      </c>
      <c r="R1558" t="inlineStr">
        <is>
          <t xml:space="preserve">BX </t>
        </is>
      </c>
      <c r="S1558" t="n">
        <v>2</v>
      </c>
      <c r="T1558" t="n">
        <v>2</v>
      </c>
      <c r="U1558" t="inlineStr">
        <is>
          <t>1992-10-08</t>
        </is>
      </c>
      <c r="V1558" t="inlineStr">
        <is>
          <t>1992-10-08</t>
        </is>
      </c>
      <c r="W1558" t="inlineStr">
        <is>
          <t>1991-10-30</t>
        </is>
      </c>
      <c r="X1558" t="inlineStr">
        <is>
          <t>1991-10-30</t>
        </is>
      </c>
      <c r="Y1558" t="n">
        <v>112</v>
      </c>
      <c r="Z1558" t="n">
        <v>102</v>
      </c>
      <c r="AA1558" t="n">
        <v>102</v>
      </c>
      <c r="AB1558" t="n">
        <v>2</v>
      </c>
      <c r="AC1558" t="n">
        <v>2</v>
      </c>
      <c r="AD1558" t="n">
        <v>18</v>
      </c>
      <c r="AE1558" t="n">
        <v>18</v>
      </c>
      <c r="AF1558" t="n">
        <v>5</v>
      </c>
      <c r="AG1558" t="n">
        <v>5</v>
      </c>
      <c r="AH1558" t="n">
        <v>5</v>
      </c>
      <c r="AI1558" t="n">
        <v>5</v>
      </c>
      <c r="AJ1558" t="n">
        <v>15</v>
      </c>
      <c r="AK1558" t="n">
        <v>15</v>
      </c>
      <c r="AL1558" t="n">
        <v>0</v>
      </c>
      <c r="AM1558" t="n">
        <v>0</v>
      </c>
      <c r="AN1558" t="n">
        <v>0</v>
      </c>
      <c r="AO1558" t="n">
        <v>0</v>
      </c>
      <c r="AP1558" t="inlineStr">
        <is>
          <t>No</t>
        </is>
      </c>
      <c r="AQ1558" t="inlineStr">
        <is>
          <t>No</t>
        </is>
      </c>
      <c r="AS1558">
        <f>HYPERLINK("https://creighton-primo.hosted.exlibrisgroup.com/primo-explore/search?tab=default_tab&amp;search_scope=EVERYTHING&amp;vid=01CRU&amp;lang=en_US&amp;offset=0&amp;query=any,contains,991000904919702656","Catalog Record")</f>
        <v/>
      </c>
      <c r="AT1558">
        <f>HYPERLINK("http://www.worldcat.org/oclc/14090143","WorldCat Record")</f>
        <v/>
      </c>
      <c r="AU1558" t="inlineStr">
        <is>
          <t>7812366:eng</t>
        </is>
      </c>
      <c r="AV1558" t="inlineStr">
        <is>
          <t>14090143</t>
        </is>
      </c>
      <c r="AW1558" t="inlineStr">
        <is>
          <t>991000904919702656</t>
        </is>
      </c>
      <c r="AX1558" t="inlineStr">
        <is>
          <t>991000904919702656</t>
        </is>
      </c>
      <c r="AY1558" t="inlineStr">
        <is>
          <t>2267755380002656</t>
        </is>
      </c>
      <c r="AZ1558" t="inlineStr">
        <is>
          <t>BOOK</t>
        </is>
      </c>
      <c r="BB1558" t="inlineStr">
        <is>
          <t>9781555869885</t>
        </is>
      </c>
      <c r="BC1558" t="inlineStr">
        <is>
          <t>32285000814789</t>
        </is>
      </c>
      <c r="BD1558" t="inlineStr">
        <is>
          <t>893690139</t>
        </is>
      </c>
    </row>
    <row r="1559">
      <c r="A1559" t="inlineStr">
        <is>
          <t>No</t>
        </is>
      </c>
      <c r="B1559" t="inlineStr">
        <is>
          <t>BX2350.2 .Z34 1999</t>
        </is>
      </c>
      <c r="C1559" t="inlineStr">
        <is>
          <t>0                      BX 2350200Z  34          1999</t>
        </is>
      </c>
      <c r="D1559" t="inlineStr">
        <is>
          <t>Twentieth-century apostles : contemporary spirituality in action / Phyllis Zagano.</t>
        </is>
      </c>
      <c r="F1559" t="inlineStr">
        <is>
          <t>No</t>
        </is>
      </c>
      <c r="G1559" t="inlineStr">
        <is>
          <t>1</t>
        </is>
      </c>
      <c r="H1559" t="inlineStr">
        <is>
          <t>No</t>
        </is>
      </c>
      <c r="I1559" t="inlineStr">
        <is>
          <t>No</t>
        </is>
      </c>
      <c r="J1559" t="inlineStr">
        <is>
          <t>0</t>
        </is>
      </c>
      <c r="K1559" t="inlineStr">
        <is>
          <t>Zagano, Phyllis.</t>
        </is>
      </c>
      <c r="L1559" t="inlineStr">
        <is>
          <t>Collegeville, Minn. : Liturgical Press, c1999.</t>
        </is>
      </c>
      <c r="M1559" t="inlineStr">
        <is>
          <t>1999</t>
        </is>
      </c>
      <c r="O1559" t="inlineStr">
        <is>
          <t>eng</t>
        </is>
      </c>
      <c r="P1559" t="inlineStr">
        <is>
          <t>mnu</t>
        </is>
      </c>
      <c r="R1559" t="inlineStr">
        <is>
          <t xml:space="preserve">BX </t>
        </is>
      </c>
      <c r="S1559" t="n">
        <v>2</v>
      </c>
      <c r="T1559" t="n">
        <v>2</v>
      </c>
      <c r="U1559" t="inlineStr">
        <is>
          <t>2005-07-17</t>
        </is>
      </c>
      <c r="V1559" t="inlineStr">
        <is>
          <t>2005-07-17</t>
        </is>
      </c>
      <c r="W1559" t="inlineStr">
        <is>
          <t>1999-09-14</t>
        </is>
      </c>
      <c r="X1559" t="inlineStr">
        <is>
          <t>1999-09-14</t>
        </is>
      </c>
      <c r="Y1559" t="n">
        <v>126</v>
      </c>
      <c r="Z1559" t="n">
        <v>115</v>
      </c>
      <c r="AA1559" t="n">
        <v>115</v>
      </c>
      <c r="AB1559" t="n">
        <v>1</v>
      </c>
      <c r="AC1559" t="n">
        <v>1</v>
      </c>
      <c r="AD1559" t="n">
        <v>15</v>
      </c>
      <c r="AE1559" t="n">
        <v>15</v>
      </c>
      <c r="AF1559" t="n">
        <v>6</v>
      </c>
      <c r="AG1559" t="n">
        <v>6</v>
      </c>
      <c r="AH1559" t="n">
        <v>2</v>
      </c>
      <c r="AI1559" t="n">
        <v>2</v>
      </c>
      <c r="AJ1559" t="n">
        <v>10</v>
      </c>
      <c r="AK1559" t="n">
        <v>10</v>
      </c>
      <c r="AL1559" t="n">
        <v>0</v>
      </c>
      <c r="AM1559" t="n">
        <v>0</v>
      </c>
      <c r="AN1559" t="n">
        <v>0</v>
      </c>
      <c r="AO1559" t="n">
        <v>0</v>
      </c>
      <c r="AP1559" t="inlineStr">
        <is>
          <t>No</t>
        </is>
      </c>
      <c r="AQ1559" t="inlineStr">
        <is>
          <t>No</t>
        </is>
      </c>
      <c r="AS1559">
        <f>HYPERLINK("https://creighton-primo.hosted.exlibrisgroup.com/primo-explore/search?tab=default_tab&amp;search_scope=EVERYTHING&amp;vid=01CRU&amp;lang=en_US&amp;offset=0&amp;query=any,contains,991002973999702656","Catalog Record")</f>
        <v/>
      </c>
      <c r="AT1559">
        <f>HYPERLINK("http://www.worldcat.org/oclc/39868146","WorldCat Record")</f>
        <v/>
      </c>
      <c r="AU1559" t="inlineStr">
        <is>
          <t>4236743043:eng</t>
        </is>
      </c>
      <c r="AV1559" t="inlineStr">
        <is>
          <t>39868146</t>
        </is>
      </c>
      <c r="AW1559" t="inlineStr">
        <is>
          <t>991002973999702656</t>
        </is>
      </c>
      <c r="AX1559" t="inlineStr">
        <is>
          <t>991002973999702656</t>
        </is>
      </c>
      <c r="AY1559" t="inlineStr">
        <is>
          <t>2257919750002656</t>
        </is>
      </c>
      <c r="AZ1559" t="inlineStr">
        <is>
          <t>BOOK</t>
        </is>
      </c>
      <c r="BB1559" t="inlineStr">
        <is>
          <t>9780814625545</t>
        </is>
      </c>
      <c r="BC1559" t="inlineStr">
        <is>
          <t>32285003588919</t>
        </is>
      </c>
      <c r="BD1559" t="inlineStr">
        <is>
          <t>893893232</t>
        </is>
      </c>
    </row>
    <row r="1560">
      <c r="A1560" t="inlineStr">
        <is>
          <t>No</t>
        </is>
      </c>
      <c r="B1560" t="inlineStr">
        <is>
          <t>BX2350.2 D317513 1996</t>
        </is>
      </c>
      <c r="C1560" t="inlineStr">
        <is>
          <t>0                      BX 2350200D  317513      1996</t>
        </is>
      </c>
      <c r="D1560" t="inlineStr">
        <is>
          <t>Prayer : the mission of the church / Jean Daniélou ; translated by David Louis Schindler, Jr.</t>
        </is>
      </c>
      <c r="F1560" t="inlineStr">
        <is>
          <t>No</t>
        </is>
      </c>
      <c r="G1560" t="inlineStr">
        <is>
          <t>1</t>
        </is>
      </c>
      <c r="H1560" t="inlineStr">
        <is>
          <t>No</t>
        </is>
      </c>
      <c r="I1560" t="inlineStr">
        <is>
          <t>No</t>
        </is>
      </c>
      <c r="J1560" t="inlineStr">
        <is>
          <t>0</t>
        </is>
      </c>
      <c r="K1560" t="inlineStr">
        <is>
          <t>Daniélou, Jean.</t>
        </is>
      </c>
      <c r="L1560" t="inlineStr">
        <is>
          <t>Grand Rapids, Mich. : W.B. Eerdmans, c1996.</t>
        </is>
      </c>
      <c r="M1560" t="inlineStr">
        <is>
          <t>1996</t>
        </is>
      </c>
      <c r="O1560" t="inlineStr">
        <is>
          <t>eng</t>
        </is>
      </c>
      <c r="P1560" t="inlineStr">
        <is>
          <t>miu</t>
        </is>
      </c>
      <c r="Q1560" t="inlineStr">
        <is>
          <t>Ressourcement</t>
        </is>
      </c>
      <c r="R1560" t="inlineStr">
        <is>
          <t xml:space="preserve">BX </t>
        </is>
      </c>
      <c r="S1560" t="n">
        <v>6</v>
      </c>
      <c r="T1560" t="n">
        <v>6</v>
      </c>
      <c r="U1560" t="inlineStr">
        <is>
          <t>2010-11-29</t>
        </is>
      </c>
      <c r="V1560" t="inlineStr">
        <is>
          <t>2010-11-29</t>
        </is>
      </c>
      <c r="W1560" t="inlineStr">
        <is>
          <t>1997-02-27</t>
        </is>
      </c>
      <c r="X1560" t="inlineStr">
        <is>
          <t>1997-02-27</t>
        </is>
      </c>
      <c r="Y1560" t="n">
        <v>222</v>
      </c>
      <c r="Z1560" t="n">
        <v>194</v>
      </c>
      <c r="AA1560" t="n">
        <v>197</v>
      </c>
      <c r="AB1560" t="n">
        <v>1</v>
      </c>
      <c r="AC1560" t="n">
        <v>1</v>
      </c>
      <c r="AD1560" t="n">
        <v>20</v>
      </c>
      <c r="AE1560" t="n">
        <v>20</v>
      </c>
      <c r="AF1560" t="n">
        <v>8</v>
      </c>
      <c r="AG1560" t="n">
        <v>8</v>
      </c>
      <c r="AH1560" t="n">
        <v>4</v>
      </c>
      <c r="AI1560" t="n">
        <v>4</v>
      </c>
      <c r="AJ1560" t="n">
        <v>12</v>
      </c>
      <c r="AK1560" t="n">
        <v>12</v>
      </c>
      <c r="AL1560" t="n">
        <v>0</v>
      </c>
      <c r="AM1560" t="n">
        <v>0</v>
      </c>
      <c r="AN1560" t="n">
        <v>0</v>
      </c>
      <c r="AO1560" t="n">
        <v>0</v>
      </c>
      <c r="AP1560" t="inlineStr">
        <is>
          <t>No</t>
        </is>
      </c>
      <c r="AQ1560" t="inlineStr">
        <is>
          <t>Yes</t>
        </is>
      </c>
      <c r="AR1560">
        <f>HYPERLINK("http://catalog.hathitrust.org/Record/003102493","HathiTrust Record")</f>
        <v/>
      </c>
      <c r="AS1560">
        <f>HYPERLINK("https://creighton-primo.hosted.exlibrisgroup.com/primo-explore/search?tab=default_tab&amp;search_scope=EVERYTHING&amp;vid=01CRU&amp;lang=en_US&amp;offset=0&amp;query=any,contains,991002669859702656","Catalog Record")</f>
        <v/>
      </c>
      <c r="AT1560">
        <f>HYPERLINK("http://www.worldcat.org/oclc/34919647","WorldCat Record")</f>
        <v/>
      </c>
      <c r="AU1560" t="inlineStr">
        <is>
          <t>39983382:eng</t>
        </is>
      </c>
      <c r="AV1560" t="inlineStr">
        <is>
          <t>34919647</t>
        </is>
      </c>
      <c r="AW1560" t="inlineStr">
        <is>
          <t>991002669859702656</t>
        </is>
      </c>
      <c r="AX1560" t="inlineStr">
        <is>
          <t>991002669859702656</t>
        </is>
      </c>
      <c r="AY1560" t="inlineStr">
        <is>
          <t>2259762150002656</t>
        </is>
      </c>
      <c r="AZ1560" t="inlineStr">
        <is>
          <t>BOOK</t>
        </is>
      </c>
      <c r="BB1560" t="inlineStr">
        <is>
          <t>9780802841056</t>
        </is>
      </c>
      <c r="BC1560" t="inlineStr">
        <is>
          <t>32285002433836</t>
        </is>
      </c>
      <c r="BD1560" t="inlineStr">
        <is>
          <t>893530306</t>
        </is>
      </c>
    </row>
    <row r="1561">
      <c r="A1561" t="inlineStr">
        <is>
          <t>No</t>
        </is>
      </c>
      <c r="B1561" t="inlineStr">
        <is>
          <t>BX2350.2.D29 C4 1972</t>
        </is>
      </c>
      <c r="C1561" t="inlineStr">
        <is>
          <t>0                      BX 2350200D  29                 C  4           1972</t>
        </is>
      </c>
      <c r="D1561" t="inlineStr">
        <is>
          <t>The Christian affirmation / John Dalrymple.</t>
        </is>
      </c>
      <c r="F1561" t="inlineStr">
        <is>
          <t>No</t>
        </is>
      </c>
      <c r="G1561" t="inlineStr">
        <is>
          <t>1</t>
        </is>
      </c>
      <c r="H1561" t="inlineStr">
        <is>
          <t>No</t>
        </is>
      </c>
      <c r="I1561" t="inlineStr">
        <is>
          <t>No</t>
        </is>
      </c>
      <c r="J1561" t="inlineStr">
        <is>
          <t>0</t>
        </is>
      </c>
      <c r="K1561" t="inlineStr">
        <is>
          <t>Dalrymple, John.</t>
        </is>
      </c>
      <c r="M1561" t="inlineStr">
        <is>
          <t>1972</t>
        </is>
      </c>
      <c r="O1561" t="inlineStr">
        <is>
          <t>eng</t>
        </is>
      </c>
      <c r="P1561" t="inlineStr">
        <is>
          <t>nju</t>
        </is>
      </c>
      <c r="Q1561" t="inlineStr">
        <is>
          <t>A Libra book</t>
        </is>
      </c>
      <c r="R1561" t="inlineStr">
        <is>
          <t xml:space="preserve">BX </t>
        </is>
      </c>
      <c r="S1561" t="n">
        <v>1</v>
      </c>
      <c r="T1561" t="n">
        <v>1</v>
      </c>
      <c r="U1561" t="inlineStr">
        <is>
          <t>1995-07-23</t>
        </is>
      </c>
      <c r="V1561" t="inlineStr">
        <is>
          <t>1995-07-23</t>
        </is>
      </c>
      <c r="W1561" t="inlineStr">
        <is>
          <t>1991-10-29</t>
        </is>
      </c>
      <c r="X1561" t="inlineStr">
        <is>
          <t>1991-10-29</t>
        </is>
      </c>
      <c r="Y1561" t="n">
        <v>36</v>
      </c>
      <c r="Z1561" t="n">
        <v>34</v>
      </c>
      <c r="AA1561" t="n">
        <v>62</v>
      </c>
      <c r="AB1561" t="n">
        <v>1</v>
      </c>
      <c r="AC1561" t="n">
        <v>2</v>
      </c>
      <c r="AD1561" t="n">
        <v>6</v>
      </c>
      <c r="AE1561" t="n">
        <v>10</v>
      </c>
      <c r="AF1561" t="n">
        <v>1</v>
      </c>
      <c r="AG1561" t="n">
        <v>1</v>
      </c>
      <c r="AH1561" t="n">
        <v>1</v>
      </c>
      <c r="AI1561" t="n">
        <v>3</v>
      </c>
      <c r="AJ1561" t="n">
        <v>6</v>
      </c>
      <c r="AK1561" t="n">
        <v>9</v>
      </c>
      <c r="AL1561" t="n">
        <v>0</v>
      </c>
      <c r="AM1561" t="n">
        <v>0</v>
      </c>
      <c r="AN1561" t="n">
        <v>0</v>
      </c>
      <c r="AO1561" t="n">
        <v>0</v>
      </c>
      <c r="AP1561" t="inlineStr">
        <is>
          <t>No</t>
        </is>
      </c>
      <c r="AQ1561" t="inlineStr">
        <is>
          <t>No</t>
        </is>
      </c>
      <c r="AS1561">
        <f>HYPERLINK("https://creighton-primo.hosted.exlibrisgroup.com/primo-explore/search?tab=default_tab&amp;search_scope=EVERYTHING&amp;vid=01CRU&amp;lang=en_US&amp;offset=0&amp;query=any,contains,991003399239702656","Catalog Record")</f>
        <v/>
      </c>
      <c r="AT1561">
        <f>HYPERLINK("http://www.worldcat.org/oclc/939180","WorldCat Record")</f>
        <v/>
      </c>
      <c r="AU1561" t="inlineStr">
        <is>
          <t>9381425714:eng</t>
        </is>
      </c>
      <c r="AV1561" t="inlineStr">
        <is>
          <t>939180</t>
        </is>
      </c>
      <c r="AW1561" t="inlineStr">
        <is>
          <t>991003399239702656</t>
        </is>
      </c>
      <c r="AX1561" t="inlineStr">
        <is>
          <t>991003399239702656</t>
        </is>
      </c>
      <c r="AY1561" t="inlineStr">
        <is>
          <t>2264836550002656</t>
        </is>
      </c>
      <c r="AZ1561" t="inlineStr">
        <is>
          <t>BOOK</t>
        </is>
      </c>
      <c r="BC1561" t="inlineStr">
        <is>
          <t>32285000813476</t>
        </is>
      </c>
      <c r="BD1561" t="inlineStr">
        <is>
          <t>893434967</t>
        </is>
      </c>
    </row>
    <row r="1562">
      <c r="A1562" t="inlineStr">
        <is>
          <t>No</t>
        </is>
      </c>
      <c r="B1562" t="inlineStr">
        <is>
          <t>BX2350.3 .B67 2006</t>
        </is>
      </c>
      <c r="C1562" t="inlineStr">
        <is>
          <t>0                      BX 2350300B  67          2006</t>
        </is>
      </c>
      <c r="D1562" t="inlineStr">
        <is>
          <t>Transforming heart and mind : learning from the mystics / Peter N. Borys, Jr.</t>
        </is>
      </c>
      <c r="F1562" t="inlineStr">
        <is>
          <t>No</t>
        </is>
      </c>
      <c r="G1562" t="inlineStr">
        <is>
          <t>1</t>
        </is>
      </c>
      <c r="H1562" t="inlineStr">
        <is>
          <t>No</t>
        </is>
      </c>
      <c r="I1562" t="inlineStr">
        <is>
          <t>No</t>
        </is>
      </c>
      <c r="J1562" t="inlineStr">
        <is>
          <t>0</t>
        </is>
      </c>
      <c r="K1562" t="inlineStr">
        <is>
          <t>Borys, Peter N.</t>
        </is>
      </c>
      <c r="L1562" t="inlineStr">
        <is>
          <t>New York : Paulist Press, c2006.</t>
        </is>
      </c>
      <c r="M1562" t="inlineStr">
        <is>
          <t>2006</t>
        </is>
      </c>
      <c r="O1562" t="inlineStr">
        <is>
          <t>eng</t>
        </is>
      </c>
      <c r="P1562" t="inlineStr">
        <is>
          <t>nyu</t>
        </is>
      </c>
      <c r="R1562" t="inlineStr">
        <is>
          <t xml:space="preserve">BX </t>
        </is>
      </c>
      <c r="S1562" t="n">
        <v>2</v>
      </c>
      <c r="T1562" t="n">
        <v>2</v>
      </c>
      <c r="U1562" t="inlineStr">
        <is>
          <t>2010-04-27</t>
        </is>
      </c>
      <c r="V1562" t="inlineStr">
        <is>
          <t>2010-04-27</t>
        </is>
      </c>
      <c r="W1562" t="inlineStr">
        <is>
          <t>2006-05-01</t>
        </is>
      </c>
      <c r="X1562" t="inlineStr">
        <is>
          <t>2006-05-01</t>
        </is>
      </c>
      <c r="Y1562" t="n">
        <v>55</v>
      </c>
      <c r="Z1562" t="n">
        <v>44</v>
      </c>
      <c r="AA1562" t="n">
        <v>44</v>
      </c>
      <c r="AB1562" t="n">
        <v>1</v>
      </c>
      <c r="AC1562" t="n">
        <v>1</v>
      </c>
      <c r="AD1562" t="n">
        <v>6</v>
      </c>
      <c r="AE1562" t="n">
        <v>6</v>
      </c>
      <c r="AF1562" t="n">
        <v>3</v>
      </c>
      <c r="AG1562" t="n">
        <v>3</v>
      </c>
      <c r="AH1562" t="n">
        <v>2</v>
      </c>
      <c r="AI1562" t="n">
        <v>2</v>
      </c>
      <c r="AJ1562" t="n">
        <v>2</v>
      </c>
      <c r="AK1562" t="n">
        <v>2</v>
      </c>
      <c r="AL1562" t="n">
        <v>0</v>
      </c>
      <c r="AM1562" t="n">
        <v>0</v>
      </c>
      <c r="AN1562" t="n">
        <v>0</v>
      </c>
      <c r="AO1562" t="n">
        <v>0</v>
      </c>
      <c r="AP1562" t="inlineStr">
        <is>
          <t>No</t>
        </is>
      </c>
      <c r="AQ1562" t="inlineStr">
        <is>
          <t>No</t>
        </is>
      </c>
      <c r="AS1562">
        <f>HYPERLINK("https://creighton-primo.hosted.exlibrisgroup.com/primo-explore/search?tab=default_tab&amp;search_scope=EVERYTHING&amp;vid=01CRU&amp;lang=en_US&amp;offset=0&amp;query=any,contains,991004793379702656","Catalog Record")</f>
        <v/>
      </c>
      <c r="AT1562">
        <f>HYPERLINK("http://www.worldcat.org/oclc/57392505","WorldCat Record")</f>
        <v/>
      </c>
      <c r="AU1562" t="inlineStr">
        <is>
          <t>2755519:eng</t>
        </is>
      </c>
      <c r="AV1562" t="inlineStr">
        <is>
          <t>57392505</t>
        </is>
      </c>
      <c r="AW1562" t="inlineStr">
        <is>
          <t>991004793379702656</t>
        </is>
      </c>
      <c r="AX1562" t="inlineStr">
        <is>
          <t>991004793379702656</t>
        </is>
      </c>
      <c r="AY1562" t="inlineStr">
        <is>
          <t>2269157850002656</t>
        </is>
      </c>
      <c r="AZ1562" t="inlineStr">
        <is>
          <t>BOOK</t>
        </is>
      </c>
      <c r="BB1562" t="inlineStr">
        <is>
          <t>9780809143368</t>
        </is>
      </c>
      <c r="BC1562" t="inlineStr">
        <is>
          <t>32285005183487</t>
        </is>
      </c>
      <c r="BD1562" t="inlineStr">
        <is>
          <t>893350384</t>
        </is>
      </c>
    </row>
    <row r="1563">
      <c r="A1563" t="inlineStr">
        <is>
          <t>No</t>
        </is>
      </c>
      <c r="B1563" t="inlineStr">
        <is>
          <t>BX2350.3 .D4 2003</t>
        </is>
      </c>
      <c r="C1563" t="inlineStr">
        <is>
          <t>0                      BX 2350300D  4           2003</t>
        </is>
      </c>
      <c r="D1563" t="inlineStr">
        <is>
          <t>Lost in wonder : rediscovering the spiritual art of attentiveness / Esther de Waal.</t>
        </is>
      </c>
      <c r="F1563" t="inlineStr">
        <is>
          <t>No</t>
        </is>
      </c>
      <c r="G1563" t="inlineStr">
        <is>
          <t>1</t>
        </is>
      </c>
      <c r="H1563" t="inlineStr">
        <is>
          <t>No</t>
        </is>
      </c>
      <c r="I1563" t="inlineStr">
        <is>
          <t>No</t>
        </is>
      </c>
      <c r="J1563" t="inlineStr">
        <is>
          <t>0</t>
        </is>
      </c>
      <c r="K1563" t="inlineStr">
        <is>
          <t>De Waal, Esther.</t>
        </is>
      </c>
      <c r="L1563" t="inlineStr">
        <is>
          <t>Collegeville, Minn. : Liturgical Press, 2003.</t>
        </is>
      </c>
      <c r="M1563" t="inlineStr">
        <is>
          <t>2003</t>
        </is>
      </c>
      <c r="O1563" t="inlineStr">
        <is>
          <t>eng</t>
        </is>
      </c>
      <c r="P1563" t="inlineStr">
        <is>
          <t>mnu</t>
        </is>
      </c>
      <c r="R1563" t="inlineStr">
        <is>
          <t xml:space="preserve">BX </t>
        </is>
      </c>
      <c r="S1563" t="n">
        <v>2</v>
      </c>
      <c r="T1563" t="n">
        <v>2</v>
      </c>
      <c r="U1563" t="inlineStr">
        <is>
          <t>2004-12-13</t>
        </is>
      </c>
      <c r="V1563" t="inlineStr">
        <is>
          <t>2004-12-13</t>
        </is>
      </c>
      <c r="W1563" t="inlineStr">
        <is>
          <t>2003-12-03</t>
        </is>
      </c>
      <c r="X1563" t="inlineStr">
        <is>
          <t>2003-12-03</t>
        </is>
      </c>
      <c r="Y1563" t="n">
        <v>128</v>
      </c>
      <c r="Z1563" t="n">
        <v>115</v>
      </c>
      <c r="AA1563" t="n">
        <v>129</v>
      </c>
      <c r="AB1563" t="n">
        <v>1</v>
      </c>
      <c r="AC1563" t="n">
        <v>1</v>
      </c>
      <c r="AD1563" t="n">
        <v>10</v>
      </c>
      <c r="AE1563" t="n">
        <v>10</v>
      </c>
      <c r="AF1563" t="n">
        <v>4</v>
      </c>
      <c r="AG1563" t="n">
        <v>4</v>
      </c>
      <c r="AH1563" t="n">
        <v>2</v>
      </c>
      <c r="AI1563" t="n">
        <v>2</v>
      </c>
      <c r="AJ1563" t="n">
        <v>5</v>
      </c>
      <c r="AK1563" t="n">
        <v>5</v>
      </c>
      <c r="AL1563" t="n">
        <v>0</v>
      </c>
      <c r="AM1563" t="n">
        <v>0</v>
      </c>
      <c r="AN1563" t="n">
        <v>0</v>
      </c>
      <c r="AO1563" t="n">
        <v>0</v>
      </c>
      <c r="AP1563" t="inlineStr">
        <is>
          <t>No</t>
        </is>
      </c>
      <c r="AQ1563" t="inlineStr">
        <is>
          <t>No</t>
        </is>
      </c>
      <c r="AS1563">
        <f>HYPERLINK("https://creighton-primo.hosted.exlibrisgroup.com/primo-explore/search?tab=default_tab&amp;search_scope=EVERYTHING&amp;vid=01CRU&amp;lang=en_US&amp;offset=0&amp;query=any,contains,991004196779702656","Catalog Record")</f>
        <v/>
      </c>
      <c r="AT1563">
        <f>HYPERLINK("http://www.worldcat.org/oclc/52919943","WorldCat Record")</f>
        <v/>
      </c>
      <c r="AU1563" t="inlineStr">
        <is>
          <t>708048:eng</t>
        </is>
      </c>
      <c r="AV1563" t="inlineStr">
        <is>
          <t>52919943</t>
        </is>
      </c>
      <c r="AW1563" t="inlineStr">
        <is>
          <t>991004196779702656</t>
        </is>
      </c>
      <c r="AX1563" t="inlineStr">
        <is>
          <t>991004196779702656</t>
        </is>
      </c>
      <c r="AY1563" t="inlineStr">
        <is>
          <t>2260913800002656</t>
        </is>
      </c>
      <c r="AZ1563" t="inlineStr">
        <is>
          <t>BOOK</t>
        </is>
      </c>
      <c r="BB1563" t="inlineStr">
        <is>
          <t>9780814629925</t>
        </is>
      </c>
      <c r="BC1563" t="inlineStr">
        <is>
          <t>32285004843909</t>
        </is>
      </c>
      <c r="BD1563" t="inlineStr">
        <is>
          <t>893806786</t>
        </is>
      </c>
    </row>
    <row r="1564">
      <c r="A1564" t="inlineStr">
        <is>
          <t>No</t>
        </is>
      </c>
      <c r="B1564" t="inlineStr">
        <is>
          <t>BX2350.3 .F37 2002</t>
        </is>
      </c>
      <c r="C1564" t="inlineStr">
        <is>
          <t>0                      BX 2350300F  37          2002</t>
        </is>
      </c>
      <c r="D1564" t="inlineStr">
        <is>
          <t>Great spiritual masters : their answers to six of life's questions / John Farina.</t>
        </is>
      </c>
      <c r="F1564" t="inlineStr">
        <is>
          <t>No</t>
        </is>
      </c>
      <c r="G1564" t="inlineStr">
        <is>
          <t>1</t>
        </is>
      </c>
      <c r="H1564" t="inlineStr">
        <is>
          <t>No</t>
        </is>
      </c>
      <c r="I1564" t="inlineStr">
        <is>
          <t>No</t>
        </is>
      </c>
      <c r="J1564" t="inlineStr">
        <is>
          <t>0</t>
        </is>
      </c>
      <c r="K1564" t="inlineStr">
        <is>
          <t>Farina, John.</t>
        </is>
      </c>
      <c r="L1564" t="inlineStr">
        <is>
          <t>New York : Paulist Press, c2002.</t>
        </is>
      </c>
      <c r="M1564" t="inlineStr">
        <is>
          <t>2002</t>
        </is>
      </c>
      <c r="O1564" t="inlineStr">
        <is>
          <t>eng</t>
        </is>
      </c>
      <c r="P1564" t="inlineStr">
        <is>
          <t>nyu</t>
        </is>
      </c>
      <c r="R1564" t="inlineStr">
        <is>
          <t xml:space="preserve">BX </t>
        </is>
      </c>
      <c r="S1564" t="n">
        <v>5</v>
      </c>
      <c r="T1564" t="n">
        <v>5</v>
      </c>
      <c r="U1564" t="inlineStr">
        <is>
          <t>2008-07-26</t>
        </is>
      </c>
      <c r="V1564" t="inlineStr">
        <is>
          <t>2008-07-26</t>
        </is>
      </c>
      <c r="W1564" t="inlineStr">
        <is>
          <t>2002-08-21</t>
        </is>
      </c>
      <c r="X1564" t="inlineStr">
        <is>
          <t>2002-08-21</t>
        </is>
      </c>
      <c r="Y1564" t="n">
        <v>74</v>
      </c>
      <c r="Z1564" t="n">
        <v>67</v>
      </c>
      <c r="AA1564" t="n">
        <v>67</v>
      </c>
      <c r="AB1564" t="n">
        <v>1</v>
      </c>
      <c r="AC1564" t="n">
        <v>1</v>
      </c>
      <c r="AD1564" t="n">
        <v>8</v>
      </c>
      <c r="AE1564" t="n">
        <v>8</v>
      </c>
      <c r="AF1564" t="n">
        <v>3</v>
      </c>
      <c r="AG1564" t="n">
        <v>3</v>
      </c>
      <c r="AH1564" t="n">
        <v>3</v>
      </c>
      <c r="AI1564" t="n">
        <v>3</v>
      </c>
      <c r="AJ1564" t="n">
        <v>5</v>
      </c>
      <c r="AK1564" t="n">
        <v>5</v>
      </c>
      <c r="AL1564" t="n">
        <v>0</v>
      </c>
      <c r="AM1564" t="n">
        <v>0</v>
      </c>
      <c r="AN1564" t="n">
        <v>0</v>
      </c>
      <c r="AO1564" t="n">
        <v>0</v>
      </c>
      <c r="AP1564" t="inlineStr">
        <is>
          <t>No</t>
        </is>
      </c>
      <c r="AQ1564" t="inlineStr">
        <is>
          <t>No</t>
        </is>
      </c>
      <c r="AS1564">
        <f>HYPERLINK("https://creighton-primo.hosted.exlibrisgroup.com/primo-explore/search?tab=default_tab&amp;search_scope=EVERYTHING&amp;vid=01CRU&amp;lang=en_US&amp;offset=0&amp;query=any,contains,991003841139702656","Catalog Record")</f>
        <v/>
      </c>
      <c r="AT1564">
        <f>HYPERLINK("http://www.worldcat.org/oclc/49276513","WorldCat Record")</f>
        <v/>
      </c>
      <c r="AU1564" t="inlineStr">
        <is>
          <t>1006825:eng</t>
        </is>
      </c>
      <c r="AV1564" t="inlineStr">
        <is>
          <t>49276513</t>
        </is>
      </c>
      <c r="AW1564" t="inlineStr">
        <is>
          <t>991003841139702656</t>
        </is>
      </c>
      <c r="AX1564" t="inlineStr">
        <is>
          <t>991003841139702656</t>
        </is>
      </c>
      <c r="AY1564" t="inlineStr">
        <is>
          <t>2255064450002656</t>
        </is>
      </c>
      <c r="AZ1564" t="inlineStr">
        <is>
          <t>BOOK</t>
        </is>
      </c>
      <c r="BB1564" t="inlineStr">
        <is>
          <t>9780809140800</t>
        </is>
      </c>
      <c r="BC1564" t="inlineStr">
        <is>
          <t>32285004644588</t>
        </is>
      </c>
      <c r="BD1564" t="inlineStr">
        <is>
          <t>893693207</t>
        </is>
      </c>
    </row>
    <row r="1565">
      <c r="A1565" t="inlineStr">
        <is>
          <t>No</t>
        </is>
      </c>
      <c r="B1565" t="inlineStr">
        <is>
          <t>BX2350.3 .L4813 2005</t>
        </is>
      </c>
      <c r="C1565" t="inlineStr">
        <is>
          <t>0                      BX 2350300L  4813        2005</t>
        </is>
      </c>
      <c r="D1565" t="inlineStr">
        <is>
          <t>Selected writings / Elisabeth Leseur ; edited, translated, and introduced by Janet K. Ruffing ; preface by Wendy M. Wright.</t>
        </is>
      </c>
      <c r="F1565" t="inlineStr">
        <is>
          <t>No</t>
        </is>
      </c>
      <c r="G1565" t="inlineStr">
        <is>
          <t>1</t>
        </is>
      </c>
      <c r="H1565" t="inlineStr">
        <is>
          <t>No</t>
        </is>
      </c>
      <c r="I1565" t="inlineStr">
        <is>
          <t>No</t>
        </is>
      </c>
      <c r="J1565" t="inlineStr">
        <is>
          <t>0</t>
        </is>
      </c>
      <c r="K1565" t="inlineStr">
        <is>
          <t>Leseur, Elisabeth, 1866-1914.</t>
        </is>
      </c>
      <c r="L1565" t="inlineStr">
        <is>
          <t>Mahwah, N.J. : Paulist Press, c2005.</t>
        </is>
      </c>
      <c r="M1565" t="inlineStr">
        <is>
          <t>2005</t>
        </is>
      </c>
      <c r="O1565" t="inlineStr">
        <is>
          <t>eng</t>
        </is>
      </c>
      <c r="P1565" t="inlineStr">
        <is>
          <t>nju</t>
        </is>
      </c>
      <c r="Q1565" t="inlineStr">
        <is>
          <t>The classics of Western spirituality</t>
        </is>
      </c>
      <c r="R1565" t="inlineStr">
        <is>
          <t xml:space="preserve">BX </t>
        </is>
      </c>
      <c r="S1565" t="n">
        <v>1</v>
      </c>
      <c r="T1565" t="n">
        <v>1</v>
      </c>
      <c r="U1565" t="inlineStr">
        <is>
          <t>2005-12-14</t>
        </is>
      </c>
      <c r="V1565" t="inlineStr">
        <is>
          <t>2005-12-14</t>
        </is>
      </c>
      <c r="W1565" t="inlineStr">
        <is>
          <t>2005-12-14</t>
        </is>
      </c>
      <c r="X1565" t="inlineStr">
        <is>
          <t>2005-12-14</t>
        </is>
      </c>
      <c r="Y1565" t="n">
        <v>373</v>
      </c>
      <c r="Z1565" t="n">
        <v>336</v>
      </c>
      <c r="AA1565" t="n">
        <v>338</v>
      </c>
      <c r="AB1565" t="n">
        <v>3</v>
      </c>
      <c r="AC1565" t="n">
        <v>3</v>
      </c>
      <c r="AD1565" t="n">
        <v>30</v>
      </c>
      <c r="AE1565" t="n">
        <v>30</v>
      </c>
      <c r="AF1565" t="n">
        <v>13</v>
      </c>
      <c r="AG1565" t="n">
        <v>13</v>
      </c>
      <c r="AH1565" t="n">
        <v>6</v>
      </c>
      <c r="AI1565" t="n">
        <v>6</v>
      </c>
      <c r="AJ1565" t="n">
        <v>19</v>
      </c>
      <c r="AK1565" t="n">
        <v>19</v>
      </c>
      <c r="AL1565" t="n">
        <v>2</v>
      </c>
      <c r="AM1565" t="n">
        <v>2</v>
      </c>
      <c r="AN1565" t="n">
        <v>0</v>
      </c>
      <c r="AO1565" t="n">
        <v>0</v>
      </c>
      <c r="AP1565" t="inlineStr">
        <is>
          <t>No</t>
        </is>
      </c>
      <c r="AQ1565" t="inlineStr">
        <is>
          <t>Yes</t>
        </is>
      </c>
      <c r="AR1565">
        <f>HYPERLINK("http://catalog.hathitrust.org/Record/005080122","HathiTrust Record")</f>
        <v/>
      </c>
      <c r="AS1565">
        <f>HYPERLINK("https://creighton-primo.hosted.exlibrisgroup.com/primo-explore/search?tab=default_tab&amp;search_scope=EVERYTHING&amp;vid=01CRU&amp;lang=en_US&amp;offset=0&amp;query=any,contains,991004703159702656","Catalog Record")</f>
        <v/>
      </c>
      <c r="AT1565">
        <f>HYPERLINK("http://www.worldcat.org/oclc/57186333","WorldCat Record")</f>
        <v/>
      </c>
      <c r="AU1565" t="inlineStr">
        <is>
          <t>198830118:eng</t>
        </is>
      </c>
      <c r="AV1565" t="inlineStr">
        <is>
          <t>57186333</t>
        </is>
      </c>
      <c r="AW1565" t="inlineStr">
        <is>
          <t>991004703159702656</t>
        </is>
      </c>
      <c r="AX1565" t="inlineStr">
        <is>
          <t>991004703159702656</t>
        </is>
      </c>
      <c r="AY1565" t="inlineStr">
        <is>
          <t>2268830530002656</t>
        </is>
      </c>
      <c r="AZ1565" t="inlineStr">
        <is>
          <t>BOOK</t>
        </is>
      </c>
      <c r="BB1565" t="inlineStr">
        <is>
          <t>9780809105748</t>
        </is>
      </c>
      <c r="BC1565" t="inlineStr">
        <is>
          <t>32285005152359</t>
        </is>
      </c>
      <c r="BD1565" t="inlineStr">
        <is>
          <t>893247875</t>
        </is>
      </c>
    </row>
    <row r="1566">
      <c r="A1566" t="inlineStr">
        <is>
          <t>No</t>
        </is>
      </c>
      <c r="B1566" t="inlineStr">
        <is>
          <t>BX2350.3 .N39 2001</t>
        </is>
      </c>
      <c r="C1566" t="inlineStr">
        <is>
          <t>0                      BX 2350300N  39          2001</t>
        </is>
      </c>
      <c r="D1566" t="inlineStr">
        <is>
          <t>Lead, radiant spirit : our gospel quest / John Navone.</t>
        </is>
      </c>
      <c r="F1566" t="inlineStr">
        <is>
          <t>No</t>
        </is>
      </c>
      <c r="G1566" t="inlineStr">
        <is>
          <t>1</t>
        </is>
      </c>
      <c r="H1566" t="inlineStr">
        <is>
          <t>No</t>
        </is>
      </c>
      <c r="I1566" t="inlineStr">
        <is>
          <t>No</t>
        </is>
      </c>
      <c r="J1566" t="inlineStr">
        <is>
          <t>0</t>
        </is>
      </c>
      <c r="K1566" t="inlineStr">
        <is>
          <t>Navone, John J.</t>
        </is>
      </c>
      <c r="L1566" t="inlineStr">
        <is>
          <t>Collegeville, Minn. : Liturgical Press, c2001.</t>
        </is>
      </c>
      <c r="M1566" t="inlineStr">
        <is>
          <t>2001</t>
        </is>
      </c>
      <c r="O1566" t="inlineStr">
        <is>
          <t>eng</t>
        </is>
      </c>
      <c r="P1566" t="inlineStr">
        <is>
          <t>mnu</t>
        </is>
      </c>
      <c r="R1566" t="inlineStr">
        <is>
          <t xml:space="preserve">BX </t>
        </is>
      </c>
      <c r="S1566" t="n">
        <v>2</v>
      </c>
      <c r="T1566" t="n">
        <v>2</v>
      </c>
      <c r="U1566" t="inlineStr">
        <is>
          <t>2001-08-08</t>
        </is>
      </c>
      <c r="V1566" t="inlineStr">
        <is>
          <t>2001-08-08</t>
        </is>
      </c>
      <c r="W1566" t="inlineStr">
        <is>
          <t>2001-08-07</t>
        </is>
      </c>
      <c r="X1566" t="inlineStr">
        <is>
          <t>2001-08-07</t>
        </is>
      </c>
      <c r="Y1566" t="n">
        <v>69</v>
      </c>
      <c r="Z1566" t="n">
        <v>58</v>
      </c>
      <c r="AA1566" t="n">
        <v>58</v>
      </c>
      <c r="AB1566" t="n">
        <v>1</v>
      </c>
      <c r="AC1566" t="n">
        <v>1</v>
      </c>
      <c r="AD1566" t="n">
        <v>11</v>
      </c>
      <c r="AE1566" t="n">
        <v>11</v>
      </c>
      <c r="AF1566" t="n">
        <v>2</v>
      </c>
      <c r="AG1566" t="n">
        <v>2</v>
      </c>
      <c r="AH1566" t="n">
        <v>4</v>
      </c>
      <c r="AI1566" t="n">
        <v>4</v>
      </c>
      <c r="AJ1566" t="n">
        <v>7</v>
      </c>
      <c r="AK1566" t="n">
        <v>7</v>
      </c>
      <c r="AL1566" t="n">
        <v>0</v>
      </c>
      <c r="AM1566" t="n">
        <v>0</v>
      </c>
      <c r="AN1566" t="n">
        <v>0</v>
      </c>
      <c r="AO1566" t="n">
        <v>0</v>
      </c>
      <c r="AP1566" t="inlineStr">
        <is>
          <t>No</t>
        </is>
      </c>
      <c r="AQ1566" t="inlineStr">
        <is>
          <t>No</t>
        </is>
      </c>
      <c r="AS1566">
        <f>HYPERLINK("https://creighton-primo.hosted.exlibrisgroup.com/primo-explore/search?tab=default_tab&amp;search_scope=EVERYTHING&amp;vid=01CRU&amp;lang=en_US&amp;offset=0&amp;query=any,contains,991003577669702656","Catalog Record")</f>
        <v/>
      </c>
      <c r="AT1566">
        <f>HYPERLINK("http://www.worldcat.org/oclc/45308778","WorldCat Record")</f>
        <v/>
      </c>
      <c r="AU1566" t="inlineStr">
        <is>
          <t>10624545759:eng</t>
        </is>
      </c>
      <c r="AV1566" t="inlineStr">
        <is>
          <t>45308778</t>
        </is>
      </c>
      <c r="AW1566" t="inlineStr">
        <is>
          <t>991003577669702656</t>
        </is>
      </c>
      <c r="AX1566" t="inlineStr">
        <is>
          <t>991003577669702656</t>
        </is>
      </c>
      <c r="AY1566" t="inlineStr">
        <is>
          <t>2272211430002656</t>
        </is>
      </c>
      <c r="AZ1566" t="inlineStr">
        <is>
          <t>BOOK</t>
        </is>
      </c>
      <c r="BB1566" t="inlineStr">
        <is>
          <t>9780814625941</t>
        </is>
      </c>
      <c r="BC1566" t="inlineStr">
        <is>
          <t>32285004376389</t>
        </is>
      </c>
      <c r="BD1566" t="inlineStr">
        <is>
          <t>893592645</t>
        </is>
      </c>
    </row>
    <row r="1567">
      <c r="A1567" t="inlineStr">
        <is>
          <t>No</t>
        </is>
      </c>
      <c r="B1567" t="inlineStr">
        <is>
          <t>BX2350.3 .P47 2001</t>
        </is>
      </c>
      <c r="C1567" t="inlineStr">
        <is>
          <t>0                      BX 2350300P  47          2001</t>
        </is>
      </c>
      <c r="D1567" t="inlineStr">
        <is>
          <t>Rekindling the fires : an introduction to behavioral spirituality / Val J. Peter.</t>
        </is>
      </c>
      <c r="F1567" t="inlineStr">
        <is>
          <t>No</t>
        </is>
      </c>
      <c r="G1567" t="inlineStr">
        <is>
          <t>1</t>
        </is>
      </c>
      <c r="H1567" t="inlineStr">
        <is>
          <t>No</t>
        </is>
      </c>
      <c r="I1567" t="inlineStr">
        <is>
          <t>No</t>
        </is>
      </c>
      <c r="J1567" t="inlineStr">
        <is>
          <t>0</t>
        </is>
      </c>
      <c r="K1567" t="inlineStr">
        <is>
          <t>Peter, Val J.</t>
        </is>
      </c>
      <c r="L1567" t="inlineStr">
        <is>
          <t>Huntington, Ind. : Our Sunday Visitor, c2001.</t>
        </is>
      </c>
      <c r="M1567" t="inlineStr">
        <is>
          <t>2001</t>
        </is>
      </c>
      <c r="O1567" t="inlineStr">
        <is>
          <t>eng</t>
        </is>
      </c>
      <c r="P1567" t="inlineStr">
        <is>
          <t>inu</t>
        </is>
      </c>
      <c r="R1567" t="inlineStr">
        <is>
          <t xml:space="preserve">BX </t>
        </is>
      </c>
      <c r="S1567" t="n">
        <v>2</v>
      </c>
      <c r="T1567" t="n">
        <v>2</v>
      </c>
      <c r="U1567" t="inlineStr">
        <is>
          <t>2007-10-11</t>
        </is>
      </c>
      <c r="V1567" t="inlineStr">
        <is>
          <t>2007-10-11</t>
        </is>
      </c>
      <c r="W1567" t="inlineStr">
        <is>
          <t>2007-10-11</t>
        </is>
      </c>
      <c r="X1567" t="inlineStr">
        <is>
          <t>2007-10-11</t>
        </is>
      </c>
      <c r="Y1567" t="n">
        <v>37</v>
      </c>
      <c r="Z1567" t="n">
        <v>36</v>
      </c>
      <c r="AA1567" t="n">
        <v>41</v>
      </c>
      <c r="AB1567" t="n">
        <v>2</v>
      </c>
      <c r="AC1567" t="n">
        <v>2</v>
      </c>
      <c r="AD1567" t="n">
        <v>3</v>
      </c>
      <c r="AE1567" t="n">
        <v>3</v>
      </c>
      <c r="AF1567" t="n">
        <v>0</v>
      </c>
      <c r="AG1567" t="n">
        <v>0</v>
      </c>
      <c r="AH1567" t="n">
        <v>0</v>
      </c>
      <c r="AI1567" t="n">
        <v>0</v>
      </c>
      <c r="AJ1567" t="n">
        <v>3</v>
      </c>
      <c r="AK1567" t="n">
        <v>3</v>
      </c>
      <c r="AL1567" t="n">
        <v>0</v>
      </c>
      <c r="AM1567" t="n">
        <v>0</v>
      </c>
      <c r="AN1567" t="n">
        <v>0</v>
      </c>
      <c r="AO1567" t="n">
        <v>0</v>
      </c>
      <c r="AP1567" t="inlineStr">
        <is>
          <t>No</t>
        </is>
      </c>
      <c r="AQ1567" t="inlineStr">
        <is>
          <t>No</t>
        </is>
      </c>
      <c r="AS1567">
        <f>HYPERLINK("https://creighton-primo.hosted.exlibrisgroup.com/primo-explore/search?tab=default_tab&amp;search_scope=EVERYTHING&amp;vid=01CRU&amp;lang=en_US&amp;offset=0&amp;query=any,contains,991005129419702656","Catalog Record")</f>
        <v/>
      </c>
      <c r="AT1567">
        <f>HYPERLINK("http://www.worldcat.org/oclc/50165708","WorldCat Record")</f>
        <v/>
      </c>
      <c r="AU1567" t="inlineStr">
        <is>
          <t>4133087386:eng</t>
        </is>
      </c>
      <c r="AV1567" t="inlineStr">
        <is>
          <t>50165708</t>
        </is>
      </c>
      <c r="AW1567" t="inlineStr">
        <is>
          <t>991005129419702656</t>
        </is>
      </c>
      <c r="AX1567" t="inlineStr">
        <is>
          <t>991005129419702656</t>
        </is>
      </c>
      <c r="AY1567" t="inlineStr">
        <is>
          <t>2267003960002656</t>
        </is>
      </c>
      <c r="AZ1567" t="inlineStr">
        <is>
          <t>BOOK</t>
        </is>
      </c>
      <c r="BB1567" t="inlineStr">
        <is>
          <t>9780879739805</t>
        </is>
      </c>
      <c r="BC1567" t="inlineStr">
        <is>
          <t>32285005329718</t>
        </is>
      </c>
      <c r="BD1567" t="inlineStr">
        <is>
          <t>893230253</t>
        </is>
      </c>
    </row>
    <row r="1568">
      <c r="A1568" t="inlineStr">
        <is>
          <t>No</t>
        </is>
      </c>
      <c r="B1568" t="inlineStr">
        <is>
          <t>BX2350.3 .V3613 2001</t>
        </is>
      </c>
      <c r="C1568" t="inlineStr">
        <is>
          <t>0                      BX 2350300V  3613        2001</t>
        </is>
      </c>
      <c r="D1568" t="inlineStr">
        <is>
          <t>The God who won't let go / Peter van Breemen ; [translated from German by the author].</t>
        </is>
      </c>
      <c r="F1568" t="inlineStr">
        <is>
          <t>No</t>
        </is>
      </c>
      <c r="G1568" t="inlineStr">
        <is>
          <t>1</t>
        </is>
      </c>
      <c r="H1568" t="inlineStr">
        <is>
          <t>No</t>
        </is>
      </c>
      <c r="I1568" t="inlineStr">
        <is>
          <t>No</t>
        </is>
      </c>
      <c r="J1568" t="inlineStr">
        <is>
          <t>0</t>
        </is>
      </c>
      <c r="K1568" t="inlineStr">
        <is>
          <t>Van Breemen, Peter G., 1927-</t>
        </is>
      </c>
      <c r="L1568" t="inlineStr">
        <is>
          <t>Notre Dame, Ind. : Ave Maria Press, c2001.</t>
        </is>
      </c>
      <c r="M1568" t="inlineStr">
        <is>
          <t>2001</t>
        </is>
      </c>
      <c r="O1568" t="inlineStr">
        <is>
          <t>eng</t>
        </is>
      </c>
      <c r="P1568" t="inlineStr">
        <is>
          <t>inu</t>
        </is>
      </c>
      <c r="R1568" t="inlineStr">
        <is>
          <t xml:space="preserve">BX </t>
        </is>
      </c>
      <c r="S1568" t="n">
        <v>7</v>
      </c>
      <c r="T1568" t="n">
        <v>7</v>
      </c>
      <c r="U1568" t="inlineStr">
        <is>
          <t>2006-10-30</t>
        </is>
      </c>
      <c r="V1568" t="inlineStr">
        <is>
          <t>2006-10-30</t>
        </is>
      </c>
      <c r="W1568" t="inlineStr">
        <is>
          <t>2001-09-19</t>
        </is>
      </c>
      <c r="X1568" t="inlineStr">
        <is>
          <t>2001-09-19</t>
        </is>
      </c>
      <c r="Y1568" t="n">
        <v>116</v>
      </c>
      <c r="Z1568" t="n">
        <v>106</v>
      </c>
      <c r="AA1568" t="n">
        <v>106</v>
      </c>
      <c r="AB1568" t="n">
        <v>2</v>
      </c>
      <c r="AC1568" t="n">
        <v>2</v>
      </c>
      <c r="AD1568" t="n">
        <v>7</v>
      </c>
      <c r="AE1568" t="n">
        <v>7</v>
      </c>
      <c r="AF1568" t="n">
        <v>0</v>
      </c>
      <c r="AG1568" t="n">
        <v>0</v>
      </c>
      <c r="AH1568" t="n">
        <v>2</v>
      </c>
      <c r="AI1568" t="n">
        <v>2</v>
      </c>
      <c r="AJ1568" t="n">
        <v>6</v>
      </c>
      <c r="AK1568" t="n">
        <v>6</v>
      </c>
      <c r="AL1568" t="n">
        <v>0</v>
      </c>
      <c r="AM1568" t="n">
        <v>0</v>
      </c>
      <c r="AN1568" t="n">
        <v>0</v>
      </c>
      <c r="AO1568" t="n">
        <v>0</v>
      </c>
      <c r="AP1568" t="inlineStr">
        <is>
          <t>No</t>
        </is>
      </c>
      <c r="AQ1568" t="inlineStr">
        <is>
          <t>No</t>
        </is>
      </c>
      <c r="AS1568">
        <f>HYPERLINK("https://creighton-primo.hosted.exlibrisgroup.com/primo-explore/search?tab=default_tab&amp;search_scope=EVERYTHING&amp;vid=01CRU&amp;lang=en_US&amp;offset=0&amp;query=any,contains,991003631219702656","Catalog Record")</f>
        <v/>
      </c>
      <c r="AT1568">
        <f>HYPERLINK("http://www.worldcat.org/oclc/46969770","WorldCat Record")</f>
        <v/>
      </c>
      <c r="AU1568" t="inlineStr">
        <is>
          <t>8909629959:eng</t>
        </is>
      </c>
      <c r="AV1568" t="inlineStr">
        <is>
          <t>46969770</t>
        </is>
      </c>
      <c r="AW1568" t="inlineStr">
        <is>
          <t>991003631219702656</t>
        </is>
      </c>
      <c r="AX1568" t="inlineStr">
        <is>
          <t>991003631219702656</t>
        </is>
      </c>
      <c r="AY1568" t="inlineStr">
        <is>
          <t>2266917480002656</t>
        </is>
      </c>
      <c r="AZ1568" t="inlineStr">
        <is>
          <t>BOOK</t>
        </is>
      </c>
      <c r="BB1568" t="inlineStr">
        <is>
          <t>9780877937463</t>
        </is>
      </c>
      <c r="BC1568" t="inlineStr">
        <is>
          <t>32285004392600</t>
        </is>
      </c>
      <c r="BD1568" t="inlineStr">
        <is>
          <t>893799968</t>
        </is>
      </c>
    </row>
    <row r="1569">
      <c r="A1569" t="inlineStr">
        <is>
          <t>No</t>
        </is>
      </c>
      <c r="B1569" t="inlineStr">
        <is>
          <t>BX2350.5 .C6513 1969</t>
        </is>
      </c>
      <c r="C1569" t="inlineStr">
        <is>
          <t>0                      BX 2350500C  6513        1969</t>
        </is>
      </c>
      <c r="D1569" t="inlineStr">
        <is>
          <t>Faith and spiritual life / [by] Yves Congar ; translated [from the French] by A. Manson and L. C. Sheppard.</t>
        </is>
      </c>
      <c r="F1569" t="inlineStr">
        <is>
          <t>No</t>
        </is>
      </c>
      <c r="G1569" t="inlineStr">
        <is>
          <t>1</t>
        </is>
      </c>
      <c r="H1569" t="inlineStr">
        <is>
          <t>No</t>
        </is>
      </c>
      <c r="I1569" t="inlineStr">
        <is>
          <t>No</t>
        </is>
      </c>
      <c r="J1569" t="inlineStr">
        <is>
          <t>0</t>
        </is>
      </c>
      <c r="K1569" t="inlineStr">
        <is>
          <t>Congar, Yves, 1904-1995.</t>
        </is>
      </c>
      <c r="L1569" t="inlineStr">
        <is>
          <t>London : Darton, Longman &amp; Todd, 1969.</t>
        </is>
      </c>
      <c r="M1569" t="inlineStr">
        <is>
          <t>1968</t>
        </is>
      </c>
      <c r="O1569" t="inlineStr">
        <is>
          <t>eng</t>
        </is>
      </c>
      <c r="P1569" t="inlineStr">
        <is>
          <t>enk</t>
        </is>
      </c>
      <c r="R1569" t="inlineStr">
        <is>
          <t xml:space="preserve">BX </t>
        </is>
      </c>
      <c r="S1569" t="n">
        <v>3</v>
      </c>
      <c r="T1569" t="n">
        <v>3</v>
      </c>
      <c r="U1569" t="inlineStr">
        <is>
          <t>1999-07-09</t>
        </is>
      </c>
      <c r="V1569" t="inlineStr">
        <is>
          <t>1999-07-09</t>
        </is>
      </c>
      <c r="W1569" t="inlineStr">
        <is>
          <t>1991-10-30</t>
        </is>
      </c>
      <c r="X1569" t="inlineStr">
        <is>
          <t>1991-10-30</t>
        </is>
      </c>
      <c r="Y1569" t="n">
        <v>68</v>
      </c>
      <c r="Z1569" t="n">
        <v>51</v>
      </c>
      <c r="AA1569" t="n">
        <v>203</v>
      </c>
      <c r="AB1569" t="n">
        <v>1</v>
      </c>
      <c r="AC1569" t="n">
        <v>1</v>
      </c>
      <c r="AD1569" t="n">
        <v>6</v>
      </c>
      <c r="AE1569" t="n">
        <v>27</v>
      </c>
      <c r="AF1569" t="n">
        <v>2</v>
      </c>
      <c r="AG1569" t="n">
        <v>7</v>
      </c>
      <c r="AH1569" t="n">
        <v>1</v>
      </c>
      <c r="AI1569" t="n">
        <v>9</v>
      </c>
      <c r="AJ1569" t="n">
        <v>5</v>
      </c>
      <c r="AK1569" t="n">
        <v>22</v>
      </c>
      <c r="AL1569" t="n">
        <v>0</v>
      </c>
      <c r="AM1569" t="n">
        <v>0</v>
      </c>
      <c r="AN1569" t="n">
        <v>0</v>
      </c>
      <c r="AO1569" t="n">
        <v>0</v>
      </c>
      <c r="AP1569" t="inlineStr">
        <is>
          <t>No</t>
        </is>
      </c>
      <c r="AQ1569" t="inlineStr">
        <is>
          <t>No</t>
        </is>
      </c>
      <c r="AS1569">
        <f>HYPERLINK("https://creighton-primo.hosted.exlibrisgroup.com/primo-explore/search?tab=default_tab&amp;search_scope=EVERYTHING&amp;vid=01CRU&amp;lang=en_US&amp;offset=0&amp;query=any,contains,991000512089702656","Catalog Record")</f>
        <v/>
      </c>
      <c r="AT1569">
        <f>HYPERLINK("http://www.worldcat.org/oclc/83711","WorldCat Record")</f>
        <v/>
      </c>
      <c r="AU1569" t="inlineStr">
        <is>
          <t>9738384654:eng</t>
        </is>
      </c>
      <c r="AV1569" t="inlineStr">
        <is>
          <t>83711</t>
        </is>
      </c>
      <c r="AW1569" t="inlineStr">
        <is>
          <t>991000512089702656</t>
        </is>
      </c>
      <c r="AX1569" t="inlineStr">
        <is>
          <t>991000512089702656</t>
        </is>
      </c>
      <c r="AY1569" t="inlineStr">
        <is>
          <t>2272668400002656</t>
        </is>
      </c>
      <c r="AZ1569" t="inlineStr">
        <is>
          <t>BOOK</t>
        </is>
      </c>
      <c r="BC1569" t="inlineStr">
        <is>
          <t>32285000830033</t>
        </is>
      </c>
      <c r="BD1569" t="inlineStr">
        <is>
          <t>893896940</t>
        </is>
      </c>
    </row>
    <row r="1570">
      <c r="A1570" t="inlineStr">
        <is>
          <t>No</t>
        </is>
      </c>
      <c r="B1570" t="inlineStr">
        <is>
          <t>BX2350.5 .D813 1963</t>
        </is>
      </c>
      <c r="C1570" t="inlineStr">
        <is>
          <t>0                      BX 2350500D  813         1963</t>
        </is>
      </c>
      <c r="D1570" t="inlineStr">
        <is>
          <t>In the redeeming Christ : toward a theology of spirituality / by F.X. Durrwell ; translated by Rosemary Sheed.</t>
        </is>
      </c>
      <c r="F1570" t="inlineStr">
        <is>
          <t>No</t>
        </is>
      </c>
      <c r="G1570" t="inlineStr">
        <is>
          <t>1</t>
        </is>
      </c>
      <c r="H1570" t="inlineStr">
        <is>
          <t>No</t>
        </is>
      </c>
      <c r="I1570" t="inlineStr">
        <is>
          <t>No</t>
        </is>
      </c>
      <c r="J1570" t="inlineStr">
        <is>
          <t>0</t>
        </is>
      </c>
      <c r="K1570" t="inlineStr">
        <is>
          <t>Durrwell, F.-X. (François-Xavier), 1912-2005.</t>
        </is>
      </c>
      <c r="L1570" t="inlineStr">
        <is>
          <t>New York, Sheed and Ward [1963]</t>
        </is>
      </c>
      <c r="M1570" t="inlineStr">
        <is>
          <t>1963</t>
        </is>
      </c>
      <c r="O1570" t="inlineStr">
        <is>
          <t>eng</t>
        </is>
      </c>
      <c r="P1570" t="inlineStr">
        <is>
          <t>nyu</t>
        </is>
      </c>
      <c r="R1570" t="inlineStr">
        <is>
          <t xml:space="preserve">BX </t>
        </is>
      </c>
      <c r="S1570" t="n">
        <v>1</v>
      </c>
      <c r="T1570" t="n">
        <v>1</v>
      </c>
      <c r="U1570" t="inlineStr">
        <is>
          <t>1996-12-11</t>
        </is>
      </c>
      <c r="V1570" t="inlineStr">
        <is>
          <t>1996-12-11</t>
        </is>
      </c>
      <c r="W1570" t="inlineStr">
        <is>
          <t>1991-10-30</t>
        </is>
      </c>
      <c r="X1570" t="inlineStr">
        <is>
          <t>1991-10-30</t>
        </is>
      </c>
      <c r="Y1570" t="n">
        <v>274</v>
      </c>
      <c r="Z1570" t="n">
        <v>257</v>
      </c>
      <c r="AA1570" t="n">
        <v>304</v>
      </c>
      <c r="AB1570" t="n">
        <v>3</v>
      </c>
      <c r="AC1570" t="n">
        <v>3</v>
      </c>
      <c r="AD1570" t="n">
        <v>34</v>
      </c>
      <c r="AE1570" t="n">
        <v>35</v>
      </c>
      <c r="AF1570" t="n">
        <v>11</v>
      </c>
      <c r="AG1570" t="n">
        <v>11</v>
      </c>
      <c r="AH1570" t="n">
        <v>8</v>
      </c>
      <c r="AI1570" t="n">
        <v>9</v>
      </c>
      <c r="AJ1570" t="n">
        <v>26</v>
      </c>
      <c r="AK1570" t="n">
        <v>27</v>
      </c>
      <c r="AL1570" t="n">
        <v>1</v>
      </c>
      <c r="AM1570" t="n">
        <v>1</v>
      </c>
      <c r="AN1570" t="n">
        <v>0</v>
      </c>
      <c r="AO1570" t="n">
        <v>0</v>
      </c>
      <c r="AP1570" t="inlineStr">
        <is>
          <t>No</t>
        </is>
      </c>
      <c r="AQ1570" t="inlineStr">
        <is>
          <t>Yes</t>
        </is>
      </c>
      <c r="AR1570">
        <f>HYPERLINK("http://catalog.hathitrust.org/Record/006661777","HathiTrust Record")</f>
        <v/>
      </c>
      <c r="AS1570">
        <f>HYPERLINK("https://creighton-primo.hosted.exlibrisgroup.com/primo-explore/search?tab=default_tab&amp;search_scope=EVERYTHING&amp;vid=01CRU&amp;lang=en_US&amp;offset=0&amp;query=any,contains,991002654119702656","Catalog Record")</f>
        <v/>
      </c>
      <c r="AT1570">
        <f>HYPERLINK("http://www.worldcat.org/oclc/388075","WorldCat Record")</f>
        <v/>
      </c>
      <c r="AU1570" t="inlineStr">
        <is>
          <t>1515917:eng</t>
        </is>
      </c>
      <c r="AV1570" t="inlineStr">
        <is>
          <t>388075</t>
        </is>
      </c>
      <c r="AW1570" t="inlineStr">
        <is>
          <t>991002654119702656</t>
        </is>
      </c>
      <c r="AX1570" t="inlineStr">
        <is>
          <t>991002654119702656</t>
        </is>
      </c>
      <c r="AY1570" t="inlineStr">
        <is>
          <t>2255029880002656</t>
        </is>
      </c>
      <c r="AZ1570" t="inlineStr">
        <is>
          <t>BOOK</t>
        </is>
      </c>
      <c r="BC1570" t="inlineStr">
        <is>
          <t>32285000830074</t>
        </is>
      </c>
      <c r="BD1570" t="inlineStr">
        <is>
          <t>893704320</t>
        </is>
      </c>
    </row>
    <row r="1571">
      <c r="A1571" t="inlineStr">
        <is>
          <t>No</t>
        </is>
      </c>
      <c r="B1571" t="inlineStr">
        <is>
          <t>BX2350.5 .H54 1955</t>
        </is>
      </c>
      <c r="C1571" t="inlineStr">
        <is>
          <t>0                      BX 2350500H  54          1955</t>
        </is>
      </c>
      <c r="D1571" t="inlineStr">
        <is>
          <t>Helps and hinderences to perfection / Thomas J. Higgins.</t>
        </is>
      </c>
      <c r="F1571" t="inlineStr">
        <is>
          <t>No</t>
        </is>
      </c>
      <c r="G1571" t="inlineStr">
        <is>
          <t>1</t>
        </is>
      </c>
      <c r="H1571" t="inlineStr">
        <is>
          <t>No</t>
        </is>
      </c>
      <c r="I1571" t="inlineStr">
        <is>
          <t>No</t>
        </is>
      </c>
      <c r="J1571" t="inlineStr">
        <is>
          <t>0</t>
        </is>
      </c>
      <c r="K1571" t="inlineStr">
        <is>
          <t>Higgins, Thomas J., 1899-1993.</t>
        </is>
      </c>
      <c r="L1571" t="inlineStr">
        <is>
          <t>Milwaukee : Bruce Pub. Co., [c1955]</t>
        </is>
      </c>
      <c r="M1571" t="inlineStr">
        <is>
          <t>1955</t>
        </is>
      </c>
      <c r="O1571" t="inlineStr">
        <is>
          <t>eng</t>
        </is>
      </c>
      <c r="P1571" t="inlineStr">
        <is>
          <t>___</t>
        </is>
      </c>
      <c r="R1571" t="inlineStr">
        <is>
          <t xml:space="preserve">BX </t>
        </is>
      </c>
      <c r="S1571" t="n">
        <v>3</v>
      </c>
      <c r="T1571" t="n">
        <v>3</v>
      </c>
      <c r="U1571" t="inlineStr">
        <is>
          <t>1999-08-29</t>
        </is>
      </c>
      <c r="V1571" t="inlineStr">
        <is>
          <t>1999-08-29</t>
        </is>
      </c>
      <c r="W1571" t="inlineStr">
        <is>
          <t>1991-10-30</t>
        </is>
      </c>
      <c r="X1571" t="inlineStr">
        <is>
          <t>1991-10-30</t>
        </is>
      </c>
      <c r="Y1571" t="n">
        <v>75</v>
      </c>
      <c r="Z1571" t="n">
        <v>60</v>
      </c>
      <c r="AA1571" t="n">
        <v>65</v>
      </c>
      <c r="AB1571" t="n">
        <v>2</v>
      </c>
      <c r="AC1571" t="n">
        <v>2</v>
      </c>
      <c r="AD1571" t="n">
        <v>17</v>
      </c>
      <c r="AE1571" t="n">
        <v>17</v>
      </c>
      <c r="AF1571" t="n">
        <v>4</v>
      </c>
      <c r="AG1571" t="n">
        <v>4</v>
      </c>
      <c r="AH1571" t="n">
        <v>4</v>
      </c>
      <c r="AI1571" t="n">
        <v>4</v>
      </c>
      <c r="AJ1571" t="n">
        <v>15</v>
      </c>
      <c r="AK1571" t="n">
        <v>15</v>
      </c>
      <c r="AL1571" t="n">
        <v>0</v>
      </c>
      <c r="AM1571" t="n">
        <v>0</v>
      </c>
      <c r="AN1571" t="n">
        <v>0</v>
      </c>
      <c r="AO1571" t="n">
        <v>0</v>
      </c>
      <c r="AP1571" t="inlineStr">
        <is>
          <t>No</t>
        </is>
      </c>
      <c r="AQ1571" t="inlineStr">
        <is>
          <t>No</t>
        </is>
      </c>
      <c r="AS1571">
        <f>HYPERLINK("https://creighton-primo.hosted.exlibrisgroup.com/primo-explore/search?tab=default_tab&amp;search_scope=EVERYTHING&amp;vid=01CRU&amp;lang=en_US&amp;offset=0&amp;query=any,contains,991002136799702656","Catalog Record")</f>
        <v/>
      </c>
      <c r="AT1571">
        <f>HYPERLINK("http://www.worldcat.org/oclc/270323","WorldCat Record")</f>
        <v/>
      </c>
      <c r="AU1571" t="inlineStr">
        <is>
          <t>373943617:eng</t>
        </is>
      </c>
      <c r="AV1571" t="inlineStr">
        <is>
          <t>270323</t>
        </is>
      </c>
      <c r="AW1571" t="inlineStr">
        <is>
          <t>991002136799702656</t>
        </is>
      </c>
      <c r="AX1571" t="inlineStr">
        <is>
          <t>991002136799702656</t>
        </is>
      </c>
      <c r="AY1571" t="inlineStr">
        <is>
          <t>2263837660002656</t>
        </is>
      </c>
      <c r="AZ1571" t="inlineStr">
        <is>
          <t>BOOK</t>
        </is>
      </c>
      <c r="BC1571" t="inlineStr">
        <is>
          <t>32285000830108</t>
        </is>
      </c>
      <c r="BD1571" t="inlineStr">
        <is>
          <t>893804255</t>
        </is>
      </c>
    </row>
    <row r="1572">
      <c r="A1572" t="inlineStr">
        <is>
          <t>No</t>
        </is>
      </c>
      <c r="B1572" t="inlineStr">
        <is>
          <t>BX2350.5 .H813 1966</t>
        </is>
      </c>
      <c r="C1572" t="inlineStr">
        <is>
          <t>0                      BX 2350500H  813         1966</t>
        </is>
      </c>
      <c r="D1572" t="inlineStr">
        <is>
          <t>Growth in the Holy Spirit / Gerard Huyghe. Translated by Isabel and Florence McHugh.</t>
        </is>
      </c>
      <c r="F1572" t="inlineStr">
        <is>
          <t>No</t>
        </is>
      </c>
      <c r="G1572" t="inlineStr">
        <is>
          <t>1</t>
        </is>
      </c>
      <c r="H1572" t="inlineStr">
        <is>
          <t>No</t>
        </is>
      </c>
      <c r="I1572" t="inlineStr">
        <is>
          <t>No</t>
        </is>
      </c>
      <c r="J1572" t="inlineStr">
        <is>
          <t>0</t>
        </is>
      </c>
      <c r="K1572" t="inlineStr">
        <is>
          <t>Huyghe, Gérard, 1909-</t>
        </is>
      </c>
      <c r="L1572" t="inlineStr">
        <is>
          <t>Westminster, Md. : Newman Press, 1966.</t>
        </is>
      </c>
      <c r="M1572" t="inlineStr">
        <is>
          <t>1966</t>
        </is>
      </c>
      <c r="O1572" t="inlineStr">
        <is>
          <t>fre</t>
        </is>
      </c>
      <c r="P1572" t="inlineStr">
        <is>
          <t>___</t>
        </is>
      </c>
      <c r="R1572" t="inlineStr">
        <is>
          <t xml:space="preserve">BX </t>
        </is>
      </c>
      <c r="S1572" t="n">
        <v>3</v>
      </c>
      <c r="T1572" t="n">
        <v>3</v>
      </c>
      <c r="U1572" t="inlineStr">
        <is>
          <t>1999-08-29</t>
        </is>
      </c>
      <c r="V1572" t="inlineStr">
        <is>
          <t>1999-08-29</t>
        </is>
      </c>
      <c r="W1572" t="inlineStr">
        <is>
          <t>1991-10-30</t>
        </is>
      </c>
      <c r="X1572" t="inlineStr">
        <is>
          <t>1991-10-30</t>
        </is>
      </c>
      <c r="Y1572" t="n">
        <v>157</v>
      </c>
      <c r="Z1572" t="n">
        <v>140</v>
      </c>
      <c r="AA1572" t="n">
        <v>145</v>
      </c>
      <c r="AB1572" t="n">
        <v>3</v>
      </c>
      <c r="AC1572" t="n">
        <v>3</v>
      </c>
      <c r="AD1572" t="n">
        <v>21</v>
      </c>
      <c r="AE1572" t="n">
        <v>21</v>
      </c>
      <c r="AF1572" t="n">
        <v>5</v>
      </c>
      <c r="AG1572" t="n">
        <v>5</v>
      </c>
      <c r="AH1572" t="n">
        <v>7</v>
      </c>
      <c r="AI1572" t="n">
        <v>7</v>
      </c>
      <c r="AJ1572" t="n">
        <v>16</v>
      </c>
      <c r="AK1572" t="n">
        <v>16</v>
      </c>
      <c r="AL1572" t="n">
        <v>1</v>
      </c>
      <c r="AM1572" t="n">
        <v>1</v>
      </c>
      <c r="AN1572" t="n">
        <v>0</v>
      </c>
      <c r="AO1572" t="n">
        <v>0</v>
      </c>
      <c r="AP1572" t="inlineStr">
        <is>
          <t>No</t>
        </is>
      </c>
      <c r="AQ1572" t="inlineStr">
        <is>
          <t>No</t>
        </is>
      </c>
      <c r="AS1572">
        <f>HYPERLINK("https://creighton-primo.hosted.exlibrisgroup.com/primo-explore/search?tab=default_tab&amp;search_scope=EVERYTHING&amp;vid=01CRU&amp;lang=en_US&amp;offset=0&amp;query=any,contains,991003628999702656","Catalog Record")</f>
        <v/>
      </c>
      <c r="AT1572">
        <f>HYPERLINK("http://www.worldcat.org/oclc/1219359","WorldCat Record")</f>
        <v/>
      </c>
      <c r="AU1572" t="inlineStr">
        <is>
          <t>2113664:fre</t>
        </is>
      </c>
      <c r="AV1572" t="inlineStr">
        <is>
          <t>1219359</t>
        </is>
      </c>
      <c r="AW1572" t="inlineStr">
        <is>
          <t>991003628999702656</t>
        </is>
      </c>
      <c r="AX1572" t="inlineStr">
        <is>
          <t>991003628999702656</t>
        </is>
      </c>
      <c r="AY1572" t="inlineStr">
        <is>
          <t>2271530910002656</t>
        </is>
      </c>
      <c r="AZ1572" t="inlineStr">
        <is>
          <t>BOOK</t>
        </is>
      </c>
      <c r="BC1572" t="inlineStr">
        <is>
          <t>32285000830124</t>
        </is>
      </c>
      <c r="BD1572" t="inlineStr">
        <is>
          <t>893324281</t>
        </is>
      </c>
    </row>
    <row r="1573">
      <c r="A1573" t="inlineStr">
        <is>
          <t>No</t>
        </is>
      </c>
      <c r="B1573" t="inlineStr">
        <is>
          <t>BX2350.5 .L3613 1977</t>
        </is>
      </c>
      <c r="C1573" t="inlineStr">
        <is>
          <t>0                      BX 2350500L  3613        1977</t>
        </is>
      </c>
      <c r="D1573" t="inlineStr">
        <is>
          <t>Evangelical perfection : an historical examination of the concept in the early Franciscan sources / by Duane V. Lapsanski.</t>
        </is>
      </c>
      <c r="F1573" t="inlineStr">
        <is>
          <t>No</t>
        </is>
      </c>
      <c r="G1573" t="inlineStr">
        <is>
          <t>1</t>
        </is>
      </c>
      <c r="H1573" t="inlineStr">
        <is>
          <t>No</t>
        </is>
      </c>
      <c r="I1573" t="inlineStr">
        <is>
          <t>No</t>
        </is>
      </c>
      <c r="J1573" t="inlineStr">
        <is>
          <t>0</t>
        </is>
      </c>
      <c r="K1573" t="inlineStr">
        <is>
          <t>Lapsanski, Duane V.</t>
        </is>
      </c>
      <c r="L1573" t="inlineStr">
        <is>
          <t>St. Bonaventure, N.Y. : Franciscan Institute, St. Bonaventure University, 1977.</t>
        </is>
      </c>
      <c r="M1573" t="inlineStr">
        <is>
          <t>1977</t>
        </is>
      </c>
      <c r="O1573" t="inlineStr">
        <is>
          <t>eng</t>
        </is>
      </c>
      <c r="P1573" t="inlineStr">
        <is>
          <t>nyu</t>
        </is>
      </c>
      <c r="Q1573" t="inlineStr">
        <is>
          <t>Franciscan Institute publications. Theology series ; no. 7</t>
        </is>
      </c>
      <c r="R1573" t="inlineStr">
        <is>
          <t xml:space="preserve">BX </t>
        </is>
      </c>
      <c r="S1573" t="n">
        <v>5</v>
      </c>
      <c r="T1573" t="n">
        <v>5</v>
      </c>
      <c r="U1573" t="inlineStr">
        <is>
          <t>1995-04-24</t>
        </is>
      </c>
      <c r="V1573" t="inlineStr">
        <is>
          <t>1995-04-24</t>
        </is>
      </c>
      <c r="W1573" t="inlineStr">
        <is>
          <t>1991-10-30</t>
        </is>
      </c>
      <c r="X1573" t="inlineStr">
        <is>
          <t>1991-10-30</t>
        </is>
      </c>
      <c r="Y1573" t="n">
        <v>101</v>
      </c>
      <c r="Z1573" t="n">
        <v>83</v>
      </c>
      <c r="AA1573" t="n">
        <v>83</v>
      </c>
      <c r="AB1573" t="n">
        <v>1</v>
      </c>
      <c r="AC1573" t="n">
        <v>1</v>
      </c>
      <c r="AD1573" t="n">
        <v>7</v>
      </c>
      <c r="AE1573" t="n">
        <v>7</v>
      </c>
      <c r="AF1573" t="n">
        <v>0</v>
      </c>
      <c r="AG1573" t="n">
        <v>0</v>
      </c>
      <c r="AH1573" t="n">
        <v>3</v>
      </c>
      <c r="AI1573" t="n">
        <v>3</v>
      </c>
      <c r="AJ1573" t="n">
        <v>6</v>
      </c>
      <c r="AK1573" t="n">
        <v>6</v>
      </c>
      <c r="AL1573" t="n">
        <v>0</v>
      </c>
      <c r="AM1573" t="n">
        <v>0</v>
      </c>
      <c r="AN1573" t="n">
        <v>0</v>
      </c>
      <c r="AO1573" t="n">
        <v>0</v>
      </c>
      <c r="AP1573" t="inlineStr">
        <is>
          <t>No</t>
        </is>
      </c>
      <c r="AQ1573" t="inlineStr">
        <is>
          <t>No</t>
        </is>
      </c>
      <c r="AS1573">
        <f>HYPERLINK("https://creighton-primo.hosted.exlibrisgroup.com/primo-explore/search?tab=default_tab&amp;search_scope=EVERYTHING&amp;vid=01CRU&amp;lang=en_US&amp;offset=0&amp;query=any,contains,991004436649702656","Catalog Record")</f>
        <v/>
      </c>
      <c r="AT1573">
        <f>HYPERLINK("http://www.worldcat.org/oclc/3445331","WorldCat Record")</f>
        <v/>
      </c>
      <c r="AU1573" t="inlineStr">
        <is>
          <t>10782763:eng</t>
        </is>
      </c>
      <c r="AV1573" t="inlineStr">
        <is>
          <t>3445331</t>
        </is>
      </c>
      <c r="AW1573" t="inlineStr">
        <is>
          <t>991004436649702656</t>
        </is>
      </c>
      <c r="AX1573" t="inlineStr">
        <is>
          <t>991004436649702656</t>
        </is>
      </c>
      <c r="AY1573" t="inlineStr">
        <is>
          <t>2267009490002656</t>
        </is>
      </c>
      <c r="AZ1573" t="inlineStr">
        <is>
          <t>BOOK</t>
        </is>
      </c>
      <c r="BC1573" t="inlineStr">
        <is>
          <t>32285000830132</t>
        </is>
      </c>
      <c r="BD1573" t="inlineStr">
        <is>
          <t>893500568</t>
        </is>
      </c>
    </row>
    <row r="1574">
      <c r="A1574" t="inlineStr">
        <is>
          <t>No</t>
        </is>
      </c>
      <c r="B1574" t="inlineStr">
        <is>
          <t>BX2350.5 .M283 1963</t>
        </is>
      </c>
      <c r="C1574" t="inlineStr">
        <is>
          <t>0                      BX 2350500M  283         1963</t>
        </is>
      </c>
      <c r="D1574" t="inlineStr">
        <is>
          <t>Spirituality and the states of life / Albinus Marchetti. Translated by Sebastian V. Ramge.</t>
        </is>
      </c>
      <c r="F1574" t="inlineStr">
        <is>
          <t>No</t>
        </is>
      </c>
      <c r="G1574" t="inlineStr">
        <is>
          <t>1</t>
        </is>
      </c>
      <c r="H1574" t="inlineStr">
        <is>
          <t>Yes</t>
        </is>
      </c>
      <c r="I1574" t="inlineStr">
        <is>
          <t>No</t>
        </is>
      </c>
      <c r="J1574" t="inlineStr">
        <is>
          <t>0</t>
        </is>
      </c>
      <c r="K1574" t="inlineStr">
        <is>
          <t>Marchetti, Albinus.</t>
        </is>
      </c>
      <c r="L1574" t="inlineStr">
        <is>
          <t>Milwaukee : Spiritual Life Press, 1963.</t>
        </is>
      </c>
      <c r="M1574" t="inlineStr">
        <is>
          <t>1963</t>
        </is>
      </c>
      <c r="O1574" t="inlineStr">
        <is>
          <t>eng</t>
        </is>
      </c>
      <c r="P1574" t="inlineStr">
        <is>
          <t xml:space="preserve">xx </t>
        </is>
      </c>
      <c r="Q1574" t="inlineStr">
        <is>
          <t>The Way, v. 1</t>
        </is>
      </c>
      <c r="R1574" t="inlineStr">
        <is>
          <t xml:space="preserve">BX </t>
        </is>
      </c>
      <c r="S1574" t="n">
        <v>7</v>
      </c>
      <c r="T1574" t="n">
        <v>10</v>
      </c>
      <c r="U1574" t="inlineStr">
        <is>
          <t>1999-11-27</t>
        </is>
      </c>
      <c r="V1574" t="inlineStr">
        <is>
          <t>2010-07-23</t>
        </is>
      </c>
      <c r="W1574" t="inlineStr">
        <is>
          <t>1991-10-30</t>
        </is>
      </c>
      <c r="X1574" t="inlineStr">
        <is>
          <t>1991-10-30</t>
        </is>
      </c>
      <c r="Y1574" t="n">
        <v>49</v>
      </c>
      <c r="Z1574" t="n">
        <v>44</v>
      </c>
      <c r="AA1574" t="n">
        <v>44</v>
      </c>
      <c r="AB1574" t="n">
        <v>1</v>
      </c>
      <c r="AC1574" t="n">
        <v>1</v>
      </c>
      <c r="AD1574" t="n">
        <v>4</v>
      </c>
      <c r="AE1574" t="n">
        <v>4</v>
      </c>
      <c r="AF1574" t="n">
        <v>0</v>
      </c>
      <c r="AG1574" t="n">
        <v>0</v>
      </c>
      <c r="AH1574" t="n">
        <v>0</v>
      </c>
      <c r="AI1574" t="n">
        <v>0</v>
      </c>
      <c r="AJ1574" t="n">
        <v>4</v>
      </c>
      <c r="AK1574" t="n">
        <v>4</v>
      </c>
      <c r="AL1574" t="n">
        <v>0</v>
      </c>
      <c r="AM1574" t="n">
        <v>0</v>
      </c>
      <c r="AN1574" t="n">
        <v>0</v>
      </c>
      <c r="AO1574" t="n">
        <v>0</v>
      </c>
      <c r="AP1574" t="inlineStr">
        <is>
          <t>No</t>
        </is>
      </c>
      <c r="AQ1574" t="inlineStr">
        <is>
          <t>No</t>
        </is>
      </c>
      <c r="AS1574">
        <f>HYPERLINK("https://creighton-primo.hosted.exlibrisgroup.com/primo-explore/search?tab=default_tab&amp;search_scope=EVERYTHING&amp;vid=01CRU&amp;lang=en_US&amp;offset=0&amp;query=any,contains,991004383649702656","Catalog Record")</f>
        <v/>
      </c>
      <c r="AT1574">
        <f>HYPERLINK("http://www.worldcat.org/oclc/3234542","WorldCat Record")</f>
        <v/>
      </c>
      <c r="AU1574" t="inlineStr">
        <is>
          <t>355611924:eng</t>
        </is>
      </c>
      <c r="AV1574" t="inlineStr">
        <is>
          <t>3234542</t>
        </is>
      </c>
      <c r="AW1574" t="inlineStr">
        <is>
          <t>991004383649702656</t>
        </is>
      </c>
      <c r="AX1574" t="inlineStr">
        <is>
          <t>991004383649702656</t>
        </is>
      </c>
      <c r="AY1574" t="inlineStr">
        <is>
          <t>2260024150002656</t>
        </is>
      </c>
      <c r="AZ1574" t="inlineStr">
        <is>
          <t>BOOK</t>
        </is>
      </c>
      <c r="BC1574" t="inlineStr">
        <is>
          <t>32285000830157</t>
        </is>
      </c>
      <c r="BD1574" t="inlineStr">
        <is>
          <t>893894922</t>
        </is>
      </c>
    </row>
    <row r="1575">
      <c r="A1575" t="inlineStr">
        <is>
          <t>No</t>
        </is>
      </c>
      <c r="B1575" t="inlineStr">
        <is>
          <t>BX2350.5 .M283 1963</t>
        </is>
      </c>
      <c r="C1575" t="inlineStr">
        <is>
          <t>0                      BX 2350500M  283         1963</t>
        </is>
      </c>
      <c r="D1575" t="inlineStr">
        <is>
          <t>Spirituality and the states of life / Albinus Marchetti. Translated by Sebastian V. Ramge.</t>
        </is>
      </c>
      <c r="F1575" t="inlineStr">
        <is>
          <t>No</t>
        </is>
      </c>
      <c r="G1575" t="inlineStr">
        <is>
          <t>1</t>
        </is>
      </c>
      <c r="H1575" t="inlineStr">
        <is>
          <t>Yes</t>
        </is>
      </c>
      <c r="I1575" t="inlineStr">
        <is>
          <t>No</t>
        </is>
      </c>
      <c r="J1575" t="inlineStr">
        <is>
          <t>0</t>
        </is>
      </c>
      <c r="K1575" t="inlineStr">
        <is>
          <t>Marchetti, Albinus.</t>
        </is>
      </c>
      <c r="L1575" t="inlineStr">
        <is>
          <t>Milwaukee : Spiritual Life Press, 1963.</t>
        </is>
      </c>
      <c r="M1575" t="inlineStr">
        <is>
          <t>1963</t>
        </is>
      </c>
      <c r="O1575" t="inlineStr">
        <is>
          <t>eng</t>
        </is>
      </c>
      <c r="P1575" t="inlineStr">
        <is>
          <t xml:space="preserve">xx </t>
        </is>
      </c>
      <c r="Q1575" t="inlineStr">
        <is>
          <t>The Way, v. 1</t>
        </is>
      </c>
      <c r="R1575" t="inlineStr">
        <is>
          <t xml:space="preserve">BX </t>
        </is>
      </c>
      <c r="S1575" t="n">
        <v>3</v>
      </c>
      <c r="T1575" t="n">
        <v>10</v>
      </c>
      <c r="U1575" t="inlineStr">
        <is>
          <t>2010-07-23</t>
        </is>
      </c>
      <c r="V1575" t="inlineStr">
        <is>
          <t>2010-07-23</t>
        </is>
      </c>
      <c r="W1575" t="inlineStr">
        <is>
          <t>1991-10-30</t>
        </is>
      </c>
      <c r="X1575" t="inlineStr">
        <is>
          <t>1991-10-30</t>
        </is>
      </c>
      <c r="Y1575" t="n">
        <v>49</v>
      </c>
      <c r="Z1575" t="n">
        <v>44</v>
      </c>
      <c r="AA1575" t="n">
        <v>44</v>
      </c>
      <c r="AB1575" t="n">
        <v>1</v>
      </c>
      <c r="AC1575" t="n">
        <v>1</v>
      </c>
      <c r="AD1575" t="n">
        <v>4</v>
      </c>
      <c r="AE1575" t="n">
        <v>4</v>
      </c>
      <c r="AF1575" t="n">
        <v>0</v>
      </c>
      <c r="AG1575" t="n">
        <v>0</v>
      </c>
      <c r="AH1575" t="n">
        <v>0</v>
      </c>
      <c r="AI1575" t="n">
        <v>0</v>
      </c>
      <c r="AJ1575" t="n">
        <v>4</v>
      </c>
      <c r="AK1575" t="n">
        <v>4</v>
      </c>
      <c r="AL1575" t="n">
        <v>0</v>
      </c>
      <c r="AM1575" t="n">
        <v>0</v>
      </c>
      <c r="AN1575" t="n">
        <v>0</v>
      </c>
      <c r="AO1575" t="n">
        <v>0</v>
      </c>
      <c r="AP1575" t="inlineStr">
        <is>
          <t>No</t>
        </is>
      </c>
      <c r="AQ1575" t="inlineStr">
        <is>
          <t>No</t>
        </is>
      </c>
      <c r="AS1575">
        <f>HYPERLINK("https://creighton-primo.hosted.exlibrisgroup.com/primo-explore/search?tab=default_tab&amp;search_scope=EVERYTHING&amp;vid=01CRU&amp;lang=en_US&amp;offset=0&amp;query=any,contains,991004383649702656","Catalog Record")</f>
        <v/>
      </c>
      <c r="AT1575">
        <f>HYPERLINK("http://www.worldcat.org/oclc/3234542","WorldCat Record")</f>
        <v/>
      </c>
      <c r="AU1575" t="inlineStr">
        <is>
          <t>355611924:eng</t>
        </is>
      </c>
      <c r="AV1575" t="inlineStr">
        <is>
          <t>3234542</t>
        </is>
      </c>
      <c r="AW1575" t="inlineStr">
        <is>
          <t>991004383649702656</t>
        </is>
      </c>
      <c r="AX1575" t="inlineStr">
        <is>
          <t>991004383649702656</t>
        </is>
      </c>
      <c r="AY1575" t="inlineStr">
        <is>
          <t>2260024150002656</t>
        </is>
      </c>
      <c r="AZ1575" t="inlineStr">
        <is>
          <t>BOOK</t>
        </is>
      </c>
      <c r="BC1575" t="inlineStr">
        <is>
          <t>32285000830363</t>
        </is>
      </c>
      <c r="BD1575" t="inlineStr">
        <is>
          <t>893901188</t>
        </is>
      </c>
    </row>
    <row r="1576">
      <c r="A1576" t="inlineStr">
        <is>
          <t>No</t>
        </is>
      </c>
      <c r="B1576" t="inlineStr">
        <is>
          <t>BX2350.5 .M293 1966</t>
        </is>
      </c>
      <c r="C1576" t="inlineStr">
        <is>
          <t>0                      BX 2350500M  293         1966</t>
        </is>
      </c>
      <c r="D1576" t="inlineStr">
        <is>
          <t>The Church's holiness and religious life / by Gustave Martelet. Translated by Raymond L. Sullivant.</t>
        </is>
      </c>
      <c r="F1576" t="inlineStr">
        <is>
          <t>No</t>
        </is>
      </c>
      <c r="G1576" t="inlineStr">
        <is>
          <t>1</t>
        </is>
      </c>
      <c r="H1576" t="inlineStr">
        <is>
          <t>No</t>
        </is>
      </c>
      <c r="I1576" t="inlineStr">
        <is>
          <t>No</t>
        </is>
      </c>
      <c r="J1576" t="inlineStr">
        <is>
          <t>0</t>
        </is>
      </c>
      <c r="K1576" t="inlineStr">
        <is>
          <t>Martelet, Gustave.</t>
        </is>
      </c>
      <c r="L1576" t="inlineStr">
        <is>
          <t>St. Marys, Kan. : Review for religious, 1966.</t>
        </is>
      </c>
      <c r="M1576" t="inlineStr">
        <is>
          <t>1966</t>
        </is>
      </c>
      <c r="O1576" t="inlineStr">
        <is>
          <t>eng</t>
        </is>
      </c>
      <c r="P1576" t="inlineStr">
        <is>
          <t>___</t>
        </is>
      </c>
      <c r="R1576" t="inlineStr">
        <is>
          <t xml:space="preserve">BX </t>
        </is>
      </c>
      <c r="S1576" t="n">
        <v>1</v>
      </c>
      <c r="T1576" t="n">
        <v>1</v>
      </c>
      <c r="U1576" t="inlineStr">
        <is>
          <t>1993-06-20</t>
        </is>
      </c>
      <c r="V1576" t="inlineStr">
        <is>
          <t>1993-06-20</t>
        </is>
      </c>
      <c r="W1576" t="inlineStr">
        <is>
          <t>1991-10-30</t>
        </is>
      </c>
      <c r="X1576" t="inlineStr">
        <is>
          <t>1991-10-30</t>
        </is>
      </c>
      <c r="Y1576" t="n">
        <v>86</v>
      </c>
      <c r="Z1576" t="n">
        <v>78</v>
      </c>
      <c r="AA1576" t="n">
        <v>78</v>
      </c>
      <c r="AB1576" t="n">
        <v>2</v>
      </c>
      <c r="AC1576" t="n">
        <v>2</v>
      </c>
      <c r="AD1576" t="n">
        <v>15</v>
      </c>
      <c r="AE1576" t="n">
        <v>15</v>
      </c>
      <c r="AF1576" t="n">
        <v>6</v>
      </c>
      <c r="AG1576" t="n">
        <v>6</v>
      </c>
      <c r="AH1576" t="n">
        <v>4</v>
      </c>
      <c r="AI1576" t="n">
        <v>4</v>
      </c>
      <c r="AJ1576" t="n">
        <v>12</v>
      </c>
      <c r="AK1576" t="n">
        <v>12</v>
      </c>
      <c r="AL1576" t="n">
        <v>0</v>
      </c>
      <c r="AM1576" t="n">
        <v>0</v>
      </c>
      <c r="AN1576" t="n">
        <v>0</v>
      </c>
      <c r="AO1576" t="n">
        <v>0</v>
      </c>
      <c r="AP1576" t="inlineStr">
        <is>
          <t>No</t>
        </is>
      </c>
      <c r="AQ1576" t="inlineStr">
        <is>
          <t>No</t>
        </is>
      </c>
      <c r="AS1576">
        <f>HYPERLINK("https://creighton-primo.hosted.exlibrisgroup.com/primo-explore/search?tab=default_tab&amp;search_scope=EVERYTHING&amp;vid=01CRU&amp;lang=en_US&amp;offset=0&amp;query=any,contains,991003390409702656","Catalog Record")</f>
        <v/>
      </c>
      <c r="AT1576">
        <f>HYPERLINK("http://www.worldcat.org/oclc/928157","WorldCat Record")</f>
        <v/>
      </c>
      <c r="AU1576" t="inlineStr">
        <is>
          <t>7663887:eng</t>
        </is>
      </c>
      <c r="AV1576" t="inlineStr">
        <is>
          <t>928157</t>
        </is>
      </c>
      <c r="AW1576" t="inlineStr">
        <is>
          <t>991003390409702656</t>
        </is>
      </c>
      <c r="AX1576" t="inlineStr">
        <is>
          <t>991003390409702656</t>
        </is>
      </c>
      <c r="AY1576" t="inlineStr">
        <is>
          <t>2268522840002656</t>
        </is>
      </c>
      <c r="AZ1576" t="inlineStr">
        <is>
          <t>BOOK</t>
        </is>
      </c>
      <c r="BC1576" t="inlineStr">
        <is>
          <t>32285000830165</t>
        </is>
      </c>
      <c r="BD1576" t="inlineStr">
        <is>
          <t>893711335</t>
        </is>
      </c>
    </row>
    <row r="1577">
      <c r="A1577" t="inlineStr">
        <is>
          <t>No</t>
        </is>
      </c>
      <c r="B1577" t="inlineStr">
        <is>
          <t>BX2350.5 .M3 1961</t>
        </is>
      </c>
      <c r="C1577" t="inlineStr">
        <is>
          <t>0                      BX 2350500M  3           1961</t>
        </is>
      </c>
      <c r="D1577" t="inlineStr">
        <is>
          <t>Active life and contemplative life : a study of the concepts from Plato to the present / by Sister Mary Elizabeth Mason. Edited, with a foreword by George E. Ganss.</t>
        </is>
      </c>
      <c r="F1577" t="inlineStr">
        <is>
          <t>No</t>
        </is>
      </c>
      <c r="G1577" t="inlineStr">
        <is>
          <t>1</t>
        </is>
      </c>
      <c r="H1577" t="inlineStr">
        <is>
          <t>No</t>
        </is>
      </c>
      <c r="I1577" t="inlineStr">
        <is>
          <t>No</t>
        </is>
      </c>
      <c r="J1577" t="inlineStr">
        <is>
          <t>0</t>
        </is>
      </c>
      <c r="K1577" t="inlineStr">
        <is>
          <t>Mason, Mary Elizabeth.</t>
        </is>
      </c>
      <c r="L1577" t="inlineStr">
        <is>
          <t>Milwaukee : Marquette University Press, 1961.</t>
        </is>
      </c>
      <c r="M1577" t="inlineStr">
        <is>
          <t>1961</t>
        </is>
      </c>
      <c r="O1577" t="inlineStr">
        <is>
          <t>eng</t>
        </is>
      </c>
      <c r="P1577" t="inlineStr">
        <is>
          <t>wiu</t>
        </is>
      </c>
      <c r="R1577" t="inlineStr">
        <is>
          <t xml:space="preserve">BX </t>
        </is>
      </c>
      <c r="S1577" t="n">
        <v>2</v>
      </c>
      <c r="T1577" t="n">
        <v>2</v>
      </c>
      <c r="U1577" t="inlineStr">
        <is>
          <t>2005-02-04</t>
        </is>
      </c>
      <c r="V1577" t="inlineStr">
        <is>
          <t>2005-02-04</t>
        </is>
      </c>
      <c r="W1577" t="inlineStr">
        <is>
          <t>1991-10-30</t>
        </is>
      </c>
      <c r="X1577" t="inlineStr">
        <is>
          <t>1991-10-30</t>
        </is>
      </c>
      <c r="Y1577" t="n">
        <v>226</v>
      </c>
      <c r="Z1577" t="n">
        <v>207</v>
      </c>
      <c r="AA1577" t="n">
        <v>208</v>
      </c>
      <c r="AB1577" t="n">
        <v>2</v>
      </c>
      <c r="AC1577" t="n">
        <v>2</v>
      </c>
      <c r="AD1577" t="n">
        <v>25</v>
      </c>
      <c r="AE1577" t="n">
        <v>25</v>
      </c>
      <c r="AF1577" t="n">
        <v>8</v>
      </c>
      <c r="AG1577" t="n">
        <v>8</v>
      </c>
      <c r="AH1577" t="n">
        <v>8</v>
      </c>
      <c r="AI1577" t="n">
        <v>8</v>
      </c>
      <c r="AJ1577" t="n">
        <v>18</v>
      </c>
      <c r="AK1577" t="n">
        <v>18</v>
      </c>
      <c r="AL1577" t="n">
        <v>1</v>
      </c>
      <c r="AM1577" t="n">
        <v>1</v>
      </c>
      <c r="AN1577" t="n">
        <v>0</v>
      </c>
      <c r="AO1577" t="n">
        <v>0</v>
      </c>
      <c r="AP1577" t="inlineStr">
        <is>
          <t>No</t>
        </is>
      </c>
      <c r="AQ1577" t="inlineStr">
        <is>
          <t>No</t>
        </is>
      </c>
      <c r="AR1577">
        <f>HYPERLINK("http://catalog.hathitrust.org/Record/007951195","HathiTrust Record")</f>
        <v/>
      </c>
      <c r="AS1577">
        <f>HYPERLINK("https://creighton-primo.hosted.exlibrisgroup.com/primo-explore/search?tab=default_tab&amp;search_scope=EVERYTHING&amp;vid=01CRU&amp;lang=en_US&amp;offset=0&amp;query=any,contains,991002652219702656","Catalog Record")</f>
        <v/>
      </c>
      <c r="AT1577">
        <f>HYPERLINK("http://www.worldcat.org/oclc/387440","WorldCat Record")</f>
        <v/>
      </c>
      <c r="AU1577" t="inlineStr">
        <is>
          <t>293829178:eng</t>
        </is>
      </c>
      <c r="AV1577" t="inlineStr">
        <is>
          <t>387440</t>
        </is>
      </c>
      <c r="AW1577" t="inlineStr">
        <is>
          <t>991002652219702656</t>
        </is>
      </c>
      <c r="AX1577" t="inlineStr">
        <is>
          <t>991002652219702656</t>
        </is>
      </c>
      <c r="AY1577" t="inlineStr">
        <is>
          <t>2258157690002656</t>
        </is>
      </c>
      <c r="AZ1577" t="inlineStr">
        <is>
          <t>BOOK</t>
        </is>
      </c>
      <c r="BC1577" t="inlineStr">
        <is>
          <t>32285000830173</t>
        </is>
      </c>
      <c r="BD1577" t="inlineStr">
        <is>
          <t>893530285</t>
        </is>
      </c>
    </row>
    <row r="1578">
      <c r="A1578" t="inlineStr">
        <is>
          <t>No</t>
        </is>
      </c>
      <c r="B1578" t="inlineStr">
        <is>
          <t>BX2350.5 .M37 1963</t>
        </is>
      </c>
      <c r="C1578" t="inlineStr">
        <is>
          <t>0                      BX 2350500M  37          1963</t>
        </is>
      </c>
      <c r="D1578" t="inlineStr">
        <is>
          <t>Life and holiness / Thomas Merton.</t>
        </is>
      </c>
      <c r="F1578" t="inlineStr">
        <is>
          <t>No</t>
        </is>
      </c>
      <c r="G1578" t="inlineStr">
        <is>
          <t>1</t>
        </is>
      </c>
      <c r="H1578" t="inlineStr">
        <is>
          <t>No</t>
        </is>
      </c>
      <c r="I1578" t="inlineStr">
        <is>
          <t>Yes</t>
        </is>
      </c>
      <c r="J1578" t="inlineStr">
        <is>
          <t>0</t>
        </is>
      </c>
      <c r="K1578" t="inlineStr">
        <is>
          <t>Merton, Thomas, 1915-1968.</t>
        </is>
      </c>
      <c r="L1578" t="inlineStr">
        <is>
          <t>[New York] : Herder and Herder, [1963]</t>
        </is>
      </c>
      <c r="M1578" t="inlineStr">
        <is>
          <t>1963</t>
        </is>
      </c>
      <c r="O1578" t="inlineStr">
        <is>
          <t>eng</t>
        </is>
      </c>
      <c r="P1578" t="inlineStr">
        <is>
          <t>nyu</t>
        </is>
      </c>
      <c r="R1578" t="inlineStr">
        <is>
          <t xml:space="preserve">BX </t>
        </is>
      </c>
      <c r="S1578" t="n">
        <v>7</v>
      </c>
      <c r="T1578" t="n">
        <v>7</v>
      </c>
      <c r="U1578" t="inlineStr">
        <is>
          <t>2004-06-04</t>
        </is>
      </c>
      <c r="V1578" t="inlineStr">
        <is>
          <t>2004-06-04</t>
        </is>
      </c>
      <c r="W1578" t="inlineStr">
        <is>
          <t>1990-05-24</t>
        </is>
      </c>
      <c r="X1578" t="inlineStr">
        <is>
          <t>1990-05-24</t>
        </is>
      </c>
      <c r="Y1578" t="n">
        <v>625</v>
      </c>
      <c r="Z1578" t="n">
        <v>583</v>
      </c>
      <c r="AA1578" t="n">
        <v>901</v>
      </c>
      <c r="AB1578" t="n">
        <v>3</v>
      </c>
      <c r="AC1578" t="n">
        <v>6</v>
      </c>
      <c r="AD1578" t="n">
        <v>33</v>
      </c>
      <c r="AE1578" t="n">
        <v>43</v>
      </c>
      <c r="AF1578" t="n">
        <v>13</v>
      </c>
      <c r="AG1578" t="n">
        <v>17</v>
      </c>
      <c r="AH1578" t="n">
        <v>7</v>
      </c>
      <c r="AI1578" t="n">
        <v>9</v>
      </c>
      <c r="AJ1578" t="n">
        <v>24</v>
      </c>
      <c r="AK1578" t="n">
        <v>27</v>
      </c>
      <c r="AL1578" t="n">
        <v>0</v>
      </c>
      <c r="AM1578" t="n">
        <v>3</v>
      </c>
      <c r="AN1578" t="n">
        <v>0</v>
      </c>
      <c r="AO1578" t="n">
        <v>0</v>
      </c>
      <c r="AP1578" t="inlineStr">
        <is>
          <t>No</t>
        </is>
      </c>
      <c r="AQ1578" t="inlineStr">
        <is>
          <t>Yes</t>
        </is>
      </c>
      <c r="AR1578">
        <f>HYPERLINK("http://catalog.hathitrust.org/Record/001590939","HathiTrust Record")</f>
        <v/>
      </c>
      <c r="AS1578">
        <f>HYPERLINK("https://creighton-primo.hosted.exlibrisgroup.com/primo-explore/search?tab=default_tab&amp;search_scope=EVERYTHING&amp;vid=01CRU&amp;lang=en_US&amp;offset=0&amp;query=any,contains,991002652199702656","Catalog Record")</f>
        <v/>
      </c>
      <c r="AT1578">
        <f>HYPERLINK("http://www.worldcat.org/oclc/387439","WorldCat Record")</f>
        <v/>
      </c>
      <c r="AU1578" t="inlineStr">
        <is>
          <t>1150952940:eng</t>
        </is>
      </c>
      <c r="AV1578" t="inlineStr">
        <is>
          <t>387439</t>
        </is>
      </c>
      <c r="AW1578" t="inlineStr">
        <is>
          <t>991002652199702656</t>
        </is>
      </c>
      <c r="AX1578" t="inlineStr">
        <is>
          <t>991002652199702656</t>
        </is>
      </c>
      <c r="AY1578" t="inlineStr">
        <is>
          <t>2258159320002656</t>
        </is>
      </c>
      <c r="AZ1578" t="inlineStr">
        <is>
          <t>BOOK</t>
        </is>
      </c>
      <c r="BC1578" t="inlineStr">
        <is>
          <t>32285000166495</t>
        </is>
      </c>
      <c r="BD1578" t="inlineStr">
        <is>
          <t>893710516</t>
        </is>
      </c>
    </row>
    <row r="1579">
      <c r="A1579" t="inlineStr">
        <is>
          <t>No</t>
        </is>
      </c>
      <c r="B1579" t="inlineStr">
        <is>
          <t>BX2350.5 .P38 1950</t>
        </is>
      </c>
      <c r="C1579" t="inlineStr">
        <is>
          <t>0                      BX 2350500P  38          1950</t>
        </is>
      </c>
      <c r="D1579" t="inlineStr">
        <is>
          <t>An introduction to holiness / by Henri Petitot. Translated from the French by Malachy Gerard Carroll.</t>
        </is>
      </c>
      <c r="F1579" t="inlineStr">
        <is>
          <t>No</t>
        </is>
      </c>
      <c r="G1579" t="inlineStr">
        <is>
          <t>1</t>
        </is>
      </c>
      <c r="H1579" t="inlineStr">
        <is>
          <t>No</t>
        </is>
      </c>
      <c r="I1579" t="inlineStr">
        <is>
          <t>No</t>
        </is>
      </c>
      <c r="J1579" t="inlineStr">
        <is>
          <t>0</t>
        </is>
      </c>
      <c r="K1579" t="inlineStr">
        <is>
          <t>Petitot, H. (Hyacinthe), 1880-1934.</t>
        </is>
      </c>
      <c r="L1579" t="inlineStr">
        <is>
          <t>Westminster, Md. : Newman Press, 1950.</t>
        </is>
      </c>
      <c r="M1579" t="inlineStr">
        <is>
          <t>1950</t>
        </is>
      </c>
      <c r="O1579" t="inlineStr">
        <is>
          <t>eng</t>
        </is>
      </c>
      <c r="P1579" t="inlineStr">
        <is>
          <t>mdu</t>
        </is>
      </c>
      <c r="R1579" t="inlineStr">
        <is>
          <t xml:space="preserve">BX </t>
        </is>
      </c>
      <c r="S1579" t="n">
        <v>1</v>
      </c>
      <c r="T1579" t="n">
        <v>1</v>
      </c>
      <c r="U1579" t="inlineStr">
        <is>
          <t>1998-06-11</t>
        </is>
      </c>
      <c r="V1579" t="inlineStr">
        <is>
          <t>1998-06-11</t>
        </is>
      </c>
      <c r="W1579" t="inlineStr">
        <is>
          <t>1991-10-30</t>
        </is>
      </c>
      <c r="X1579" t="inlineStr">
        <is>
          <t>1991-10-30</t>
        </is>
      </c>
      <c r="Y1579" t="n">
        <v>53</v>
      </c>
      <c r="Z1579" t="n">
        <v>51</v>
      </c>
      <c r="AA1579" t="n">
        <v>59</v>
      </c>
      <c r="AB1579" t="n">
        <v>1</v>
      </c>
      <c r="AC1579" t="n">
        <v>1</v>
      </c>
      <c r="AD1579" t="n">
        <v>14</v>
      </c>
      <c r="AE1579" t="n">
        <v>15</v>
      </c>
      <c r="AF1579" t="n">
        <v>4</v>
      </c>
      <c r="AG1579" t="n">
        <v>5</v>
      </c>
      <c r="AH1579" t="n">
        <v>4</v>
      </c>
      <c r="AI1579" t="n">
        <v>4</v>
      </c>
      <c r="AJ1579" t="n">
        <v>12</v>
      </c>
      <c r="AK1579" t="n">
        <v>13</v>
      </c>
      <c r="AL1579" t="n">
        <v>0</v>
      </c>
      <c r="AM1579" t="n">
        <v>0</v>
      </c>
      <c r="AN1579" t="n">
        <v>0</v>
      </c>
      <c r="AO1579" t="n">
        <v>0</v>
      </c>
      <c r="AP1579" t="inlineStr">
        <is>
          <t>No</t>
        </is>
      </c>
      <c r="AQ1579" t="inlineStr">
        <is>
          <t>No</t>
        </is>
      </c>
      <c r="AS1579">
        <f>HYPERLINK("https://creighton-primo.hosted.exlibrisgroup.com/primo-explore/search?tab=default_tab&amp;search_scope=EVERYTHING&amp;vid=01CRU&amp;lang=en_US&amp;offset=0&amp;query=any,contains,991004200109702656","Catalog Record")</f>
        <v/>
      </c>
      <c r="AT1579">
        <f>HYPERLINK("http://www.worldcat.org/oclc/2649942","WorldCat Record")</f>
        <v/>
      </c>
      <c r="AU1579" t="inlineStr">
        <is>
          <t>5945811:eng</t>
        </is>
      </c>
      <c r="AV1579" t="inlineStr">
        <is>
          <t>2649942</t>
        </is>
      </c>
      <c r="AW1579" t="inlineStr">
        <is>
          <t>991004200109702656</t>
        </is>
      </c>
      <c r="AX1579" t="inlineStr">
        <is>
          <t>991004200109702656</t>
        </is>
      </c>
      <c r="AY1579" t="inlineStr">
        <is>
          <t>2269831220002656</t>
        </is>
      </c>
      <c r="AZ1579" t="inlineStr">
        <is>
          <t>BOOK</t>
        </is>
      </c>
      <c r="BC1579" t="inlineStr">
        <is>
          <t>32285000830207</t>
        </is>
      </c>
      <c r="BD1579" t="inlineStr">
        <is>
          <t>893706093</t>
        </is>
      </c>
    </row>
    <row r="1580">
      <c r="A1580" t="inlineStr">
        <is>
          <t>No</t>
        </is>
      </c>
      <c r="B1580" t="inlineStr">
        <is>
          <t>BX2350.5 .R5713 1966</t>
        </is>
      </c>
      <c r="C1580" t="inlineStr">
        <is>
          <t>0                      BX 2350500R  5713        1966</t>
        </is>
      </c>
      <c r="D1580" t="inlineStr">
        <is>
          <t>Growth in the Spirit / Francois Roustang. Translated by Kathleen Pond.</t>
        </is>
      </c>
      <c r="F1580" t="inlineStr">
        <is>
          <t>No</t>
        </is>
      </c>
      <c r="G1580" t="inlineStr">
        <is>
          <t>1</t>
        </is>
      </c>
      <c r="H1580" t="inlineStr">
        <is>
          <t>No</t>
        </is>
      </c>
      <c r="I1580" t="inlineStr">
        <is>
          <t>No</t>
        </is>
      </c>
      <c r="J1580" t="inlineStr">
        <is>
          <t>0</t>
        </is>
      </c>
      <c r="K1580" t="inlineStr">
        <is>
          <t>Roustang, François.</t>
        </is>
      </c>
      <c r="L1580" t="inlineStr">
        <is>
          <t>New York : Sheed and Ward, [1966]</t>
        </is>
      </c>
      <c r="M1580" t="inlineStr">
        <is>
          <t>1966</t>
        </is>
      </c>
      <c r="O1580" t="inlineStr">
        <is>
          <t>eng</t>
        </is>
      </c>
      <c r="P1580" t="inlineStr">
        <is>
          <t>nyu</t>
        </is>
      </c>
      <c r="R1580" t="inlineStr">
        <is>
          <t xml:space="preserve">BX </t>
        </is>
      </c>
      <c r="S1580" t="n">
        <v>3</v>
      </c>
      <c r="T1580" t="n">
        <v>3</v>
      </c>
      <c r="U1580" t="inlineStr">
        <is>
          <t>2005-10-18</t>
        </is>
      </c>
      <c r="V1580" t="inlineStr">
        <is>
          <t>2005-10-18</t>
        </is>
      </c>
      <c r="W1580" t="inlineStr">
        <is>
          <t>1991-10-30</t>
        </is>
      </c>
      <c r="X1580" t="inlineStr">
        <is>
          <t>1991-10-30</t>
        </is>
      </c>
      <c r="Y1580" t="n">
        <v>137</v>
      </c>
      <c r="Z1580" t="n">
        <v>122</v>
      </c>
      <c r="AA1580" t="n">
        <v>124</v>
      </c>
      <c r="AB1580" t="n">
        <v>3</v>
      </c>
      <c r="AC1580" t="n">
        <v>3</v>
      </c>
      <c r="AD1580" t="n">
        <v>24</v>
      </c>
      <c r="AE1580" t="n">
        <v>24</v>
      </c>
      <c r="AF1580" t="n">
        <v>8</v>
      </c>
      <c r="AG1580" t="n">
        <v>8</v>
      </c>
      <c r="AH1580" t="n">
        <v>5</v>
      </c>
      <c r="AI1580" t="n">
        <v>5</v>
      </c>
      <c r="AJ1580" t="n">
        <v>21</v>
      </c>
      <c r="AK1580" t="n">
        <v>21</v>
      </c>
      <c r="AL1580" t="n">
        <v>0</v>
      </c>
      <c r="AM1580" t="n">
        <v>0</v>
      </c>
      <c r="AN1580" t="n">
        <v>0</v>
      </c>
      <c r="AO1580" t="n">
        <v>0</v>
      </c>
      <c r="AP1580" t="inlineStr">
        <is>
          <t>No</t>
        </is>
      </c>
      <c r="AQ1580" t="inlineStr">
        <is>
          <t>No</t>
        </is>
      </c>
      <c r="AS1580">
        <f>HYPERLINK("https://creighton-primo.hosted.exlibrisgroup.com/primo-explore/search?tab=default_tab&amp;search_scope=EVERYTHING&amp;vid=01CRU&amp;lang=en_US&amp;offset=0&amp;query=any,contains,991003432029702656","Catalog Record")</f>
        <v/>
      </c>
      <c r="AT1580">
        <f>HYPERLINK("http://www.worldcat.org/oclc/966761","WorldCat Record")</f>
        <v/>
      </c>
      <c r="AU1580" t="inlineStr">
        <is>
          <t>193182617:eng</t>
        </is>
      </c>
      <c r="AV1580" t="inlineStr">
        <is>
          <t>966761</t>
        </is>
      </c>
      <c r="AW1580" t="inlineStr">
        <is>
          <t>991003432029702656</t>
        </is>
      </c>
      <c r="AX1580" t="inlineStr">
        <is>
          <t>991003432029702656</t>
        </is>
      </c>
      <c r="AY1580" t="inlineStr">
        <is>
          <t>2262175660002656</t>
        </is>
      </c>
      <c r="AZ1580" t="inlineStr">
        <is>
          <t>BOOK</t>
        </is>
      </c>
      <c r="BC1580" t="inlineStr">
        <is>
          <t>32285000830249</t>
        </is>
      </c>
      <c r="BD1580" t="inlineStr">
        <is>
          <t>893441284</t>
        </is>
      </c>
    </row>
    <row r="1581">
      <c r="A1581" t="inlineStr">
        <is>
          <t>No</t>
        </is>
      </c>
      <c r="B1581" t="inlineStr">
        <is>
          <t>BX2350.5 .T513 1961</t>
        </is>
      </c>
      <c r="C1581" t="inlineStr">
        <is>
          <t>0                      BX 2350500T  513         1961</t>
        </is>
      </c>
      <c r="D1581" t="inlineStr">
        <is>
          <t>Christian holiness : a precis of ascetical theology / Gustave Thils ; English translation by John L. Farrand.</t>
        </is>
      </c>
      <c r="F1581" t="inlineStr">
        <is>
          <t>No</t>
        </is>
      </c>
      <c r="G1581" t="inlineStr">
        <is>
          <t>1</t>
        </is>
      </c>
      <c r="H1581" t="inlineStr">
        <is>
          <t>No</t>
        </is>
      </c>
      <c r="I1581" t="inlineStr">
        <is>
          <t>No</t>
        </is>
      </c>
      <c r="J1581" t="inlineStr">
        <is>
          <t>0</t>
        </is>
      </c>
      <c r="K1581" t="inlineStr">
        <is>
          <t>Thils, Gustave, 1909-2000.</t>
        </is>
      </c>
      <c r="L1581" t="inlineStr">
        <is>
          <t>Tielt, Belgium : Lannoo, 1961.</t>
        </is>
      </c>
      <c r="M1581" t="inlineStr">
        <is>
          <t>1961</t>
        </is>
      </c>
      <c r="O1581" t="inlineStr">
        <is>
          <t>eng</t>
        </is>
      </c>
      <c r="P1581" t="inlineStr">
        <is>
          <t xml:space="preserve">be </t>
        </is>
      </c>
      <c r="R1581" t="inlineStr">
        <is>
          <t xml:space="preserve">BX </t>
        </is>
      </c>
      <c r="S1581" t="n">
        <v>3</v>
      </c>
      <c r="T1581" t="n">
        <v>3</v>
      </c>
      <c r="U1581" t="inlineStr">
        <is>
          <t>2008-07-15</t>
        </is>
      </c>
      <c r="V1581" t="inlineStr">
        <is>
          <t>2008-07-15</t>
        </is>
      </c>
      <c r="W1581" t="inlineStr">
        <is>
          <t>1991-10-30</t>
        </is>
      </c>
      <c r="X1581" t="inlineStr">
        <is>
          <t>1991-10-30</t>
        </is>
      </c>
      <c r="Y1581" t="n">
        <v>164</v>
      </c>
      <c r="Z1581" t="n">
        <v>146</v>
      </c>
      <c r="AA1581" t="n">
        <v>189</v>
      </c>
      <c r="AB1581" t="n">
        <v>2</v>
      </c>
      <c r="AC1581" t="n">
        <v>3</v>
      </c>
      <c r="AD1581" t="n">
        <v>24</v>
      </c>
      <c r="AE1581" t="n">
        <v>27</v>
      </c>
      <c r="AF1581" t="n">
        <v>7</v>
      </c>
      <c r="AG1581" t="n">
        <v>9</v>
      </c>
      <c r="AH1581" t="n">
        <v>6</v>
      </c>
      <c r="AI1581" t="n">
        <v>7</v>
      </c>
      <c r="AJ1581" t="n">
        <v>18</v>
      </c>
      <c r="AK1581" t="n">
        <v>21</v>
      </c>
      <c r="AL1581" t="n">
        <v>0</v>
      </c>
      <c r="AM1581" t="n">
        <v>0</v>
      </c>
      <c r="AN1581" t="n">
        <v>0</v>
      </c>
      <c r="AO1581" t="n">
        <v>0</v>
      </c>
      <c r="AP1581" t="inlineStr">
        <is>
          <t>No</t>
        </is>
      </c>
      <c r="AQ1581" t="inlineStr">
        <is>
          <t>No</t>
        </is>
      </c>
      <c r="AS1581">
        <f>HYPERLINK("https://creighton-primo.hosted.exlibrisgroup.com/primo-explore/search?tab=default_tab&amp;search_scope=EVERYTHING&amp;vid=01CRU&amp;lang=en_US&amp;offset=0&amp;query=any,contains,991004193599702656","Catalog Record")</f>
        <v/>
      </c>
      <c r="AT1581">
        <f>HYPERLINK("http://www.worldcat.org/oclc/2637465","WorldCat Record")</f>
        <v/>
      </c>
      <c r="AU1581" t="inlineStr">
        <is>
          <t>19081402:eng</t>
        </is>
      </c>
      <c r="AV1581" t="inlineStr">
        <is>
          <t>2637465</t>
        </is>
      </c>
      <c r="AW1581" t="inlineStr">
        <is>
          <t>991004193599702656</t>
        </is>
      </c>
      <c r="AX1581" t="inlineStr">
        <is>
          <t>991004193599702656</t>
        </is>
      </c>
      <c r="AY1581" t="inlineStr">
        <is>
          <t>2267196900002656</t>
        </is>
      </c>
      <c r="AZ1581" t="inlineStr">
        <is>
          <t>BOOK</t>
        </is>
      </c>
      <c r="BC1581" t="inlineStr">
        <is>
          <t>32285000830256</t>
        </is>
      </c>
      <c r="BD1581" t="inlineStr">
        <is>
          <t>893423495</t>
        </is>
      </c>
    </row>
    <row r="1582">
      <c r="A1582" t="inlineStr">
        <is>
          <t>No</t>
        </is>
      </c>
      <c r="B1582" t="inlineStr">
        <is>
          <t>BX2350.5 .V3 1966</t>
        </is>
      </c>
      <c r="C1582" t="inlineStr">
        <is>
          <t>0                      BX 2350500V  3           1966</t>
        </is>
      </c>
      <c r="D1582" t="inlineStr">
        <is>
          <t>Ideas for prayer : 200 suggestions / by Hubert Van Zeller.</t>
        </is>
      </c>
      <c r="F1582" t="inlineStr">
        <is>
          <t>No</t>
        </is>
      </c>
      <c r="G1582" t="inlineStr">
        <is>
          <t>1</t>
        </is>
      </c>
      <c r="H1582" t="inlineStr">
        <is>
          <t>No</t>
        </is>
      </c>
      <c r="I1582" t="inlineStr">
        <is>
          <t>No</t>
        </is>
      </c>
      <c r="J1582" t="inlineStr">
        <is>
          <t>0</t>
        </is>
      </c>
      <c r="K1582" t="inlineStr">
        <is>
          <t>Van Zeller, Hubert, 1905-1984.</t>
        </is>
      </c>
      <c r="L1582" t="inlineStr">
        <is>
          <t>Springfield, Ill. : Templegate, [1966]</t>
        </is>
      </c>
      <c r="M1582" t="inlineStr">
        <is>
          <t>1966</t>
        </is>
      </c>
      <c r="O1582" t="inlineStr">
        <is>
          <t>eng</t>
        </is>
      </c>
      <c r="P1582" t="inlineStr">
        <is>
          <t>ilu</t>
        </is>
      </c>
      <c r="R1582" t="inlineStr">
        <is>
          <t xml:space="preserve">BX </t>
        </is>
      </c>
      <c r="S1582" t="n">
        <v>3</v>
      </c>
      <c r="T1582" t="n">
        <v>3</v>
      </c>
      <c r="U1582" t="inlineStr">
        <is>
          <t>1995-12-08</t>
        </is>
      </c>
      <c r="V1582" t="inlineStr">
        <is>
          <t>1995-12-08</t>
        </is>
      </c>
      <c r="W1582" t="inlineStr">
        <is>
          <t>1991-10-30</t>
        </is>
      </c>
      <c r="X1582" t="inlineStr">
        <is>
          <t>1991-10-30</t>
        </is>
      </c>
      <c r="Y1582" t="n">
        <v>119</v>
      </c>
      <c r="Z1582" t="n">
        <v>111</v>
      </c>
      <c r="AA1582" t="n">
        <v>116</v>
      </c>
      <c r="AB1582" t="n">
        <v>3</v>
      </c>
      <c r="AC1582" t="n">
        <v>3</v>
      </c>
      <c r="AD1582" t="n">
        <v>14</v>
      </c>
      <c r="AE1582" t="n">
        <v>14</v>
      </c>
      <c r="AF1582" t="n">
        <v>3</v>
      </c>
      <c r="AG1582" t="n">
        <v>3</v>
      </c>
      <c r="AH1582" t="n">
        <v>3</v>
      </c>
      <c r="AI1582" t="n">
        <v>3</v>
      </c>
      <c r="AJ1582" t="n">
        <v>10</v>
      </c>
      <c r="AK1582" t="n">
        <v>10</v>
      </c>
      <c r="AL1582" t="n">
        <v>1</v>
      </c>
      <c r="AM1582" t="n">
        <v>1</v>
      </c>
      <c r="AN1582" t="n">
        <v>0</v>
      </c>
      <c r="AO1582" t="n">
        <v>0</v>
      </c>
      <c r="AP1582" t="inlineStr">
        <is>
          <t>No</t>
        </is>
      </c>
      <c r="AQ1582" t="inlineStr">
        <is>
          <t>No</t>
        </is>
      </c>
      <c r="AS1582">
        <f>HYPERLINK("https://creighton-primo.hosted.exlibrisgroup.com/primo-explore/search?tab=default_tab&amp;search_scope=EVERYTHING&amp;vid=01CRU&amp;lang=en_US&amp;offset=0&amp;query=any,contains,991004080669702656","Catalog Record")</f>
        <v/>
      </c>
      <c r="AT1582">
        <f>HYPERLINK("http://www.worldcat.org/oclc/2327244","WorldCat Record")</f>
        <v/>
      </c>
      <c r="AU1582" t="inlineStr">
        <is>
          <t>3856519784:eng</t>
        </is>
      </c>
      <c r="AV1582" t="inlineStr">
        <is>
          <t>2327244</t>
        </is>
      </c>
      <c r="AW1582" t="inlineStr">
        <is>
          <t>991004080669702656</t>
        </is>
      </c>
      <c r="AX1582" t="inlineStr">
        <is>
          <t>991004080669702656</t>
        </is>
      </c>
      <c r="AY1582" t="inlineStr">
        <is>
          <t>2261059560002656</t>
        </is>
      </c>
      <c r="AZ1582" t="inlineStr">
        <is>
          <t>BOOK</t>
        </is>
      </c>
      <c r="BC1582" t="inlineStr">
        <is>
          <t>32285000830272</t>
        </is>
      </c>
      <c r="BD1582" t="inlineStr">
        <is>
          <t>893519223</t>
        </is>
      </c>
    </row>
    <row r="1583">
      <c r="A1583" t="inlineStr">
        <is>
          <t>No</t>
        </is>
      </c>
      <c r="B1583" t="inlineStr">
        <is>
          <t>BX2350.57 .B9 1975</t>
        </is>
      </c>
      <c r="C1583" t="inlineStr">
        <is>
          <t>0                      BX 2350570B  9           1975</t>
        </is>
      </c>
      <c r="D1583" t="inlineStr">
        <is>
          <t>Living in the spirit : a handbook on Catholic charismatic Christianity / by James E. Byrne.</t>
        </is>
      </c>
      <c r="F1583" t="inlineStr">
        <is>
          <t>No</t>
        </is>
      </c>
      <c r="G1583" t="inlineStr">
        <is>
          <t>1</t>
        </is>
      </c>
      <c r="H1583" t="inlineStr">
        <is>
          <t>No</t>
        </is>
      </c>
      <c r="I1583" t="inlineStr">
        <is>
          <t>No</t>
        </is>
      </c>
      <c r="J1583" t="inlineStr">
        <is>
          <t>0</t>
        </is>
      </c>
      <c r="K1583" t="inlineStr">
        <is>
          <t>Byrne, James E., 1945-</t>
        </is>
      </c>
      <c r="L1583" t="inlineStr">
        <is>
          <t>New York : Paulist Press, c1975.</t>
        </is>
      </c>
      <c r="M1583" t="inlineStr">
        <is>
          <t>1975</t>
        </is>
      </c>
      <c r="O1583" t="inlineStr">
        <is>
          <t>eng</t>
        </is>
      </c>
      <c r="P1583" t="inlineStr">
        <is>
          <t>nyu</t>
        </is>
      </c>
      <c r="R1583" t="inlineStr">
        <is>
          <t xml:space="preserve">BX </t>
        </is>
      </c>
      <c r="S1583" t="n">
        <v>3</v>
      </c>
      <c r="T1583" t="n">
        <v>3</v>
      </c>
      <c r="U1583" t="inlineStr">
        <is>
          <t>2009-01-21</t>
        </is>
      </c>
      <c r="V1583" t="inlineStr">
        <is>
          <t>2009-01-21</t>
        </is>
      </c>
      <c r="W1583" t="inlineStr">
        <is>
          <t>1991-10-30</t>
        </is>
      </c>
      <c r="X1583" t="inlineStr">
        <is>
          <t>1991-10-30</t>
        </is>
      </c>
      <c r="Y1583" t="n">
        <v>130</v>
      </c>
      <c r="Z1583" t="n">
        <v>109</v>
      </c>
      <c r="AA1583" t="n">
        <v>114</v>
      </c>
      <c r="AB1583" t="n">
        <v>1</v>
      </c>
      <c r="AC1583" t="n">
        <v>1</v>
      </c>
      <c r="AD1583" t="n">
        <v>9</v>
      </c>
      <c r="AE1583" t="n">
        <v>9</v>
      </c>
      <c r="AF1583" t="n">
        <v>2</v>
      </c>
      <c r="AG1583" t="n">
        <v>2</v>
      </c>
      <c r="AH1583" t="n">
        <v>1</v>
      </c>
      <c r="AI1583" t="n">
        <v>1</v>
      </c>
      <c r="AJ1583" t="n">
        <v>7</v>
      </c>
      <c r="AK1583" t="n">
        <v>7</v>
      </c>
      <c r="AL1583" t="n">
        <v>0</v>
      </c>
      <c r="AM1583" t="n">
        <v>0</v>
      </c>
      <c r="AN1583" t="n">
        <v>0</v>
      </c>
      <c r="AO1583" t="n">
        <v>0</v>
      </c>
      <c r="AP1583" t="inlineStr">
        <is>
          <t>No</t>
        </is>
      </c>
      <c r="AQ1583" t="inlineStr">
        <is>
          <t>No</t>
        </is>
      </c>
      <c r="AS1583">
        <f>HYPERLINK("https://creighton-primo.hosted.exlibrisgroup.com/primo-explore/search?tab=default_tab&amp;search_scope=EVERYTHING&amp;vid=01CRU&amp;lang=en_US&amp;offset=0&amp;query=any,contains,991003913269702656","Catalog Record")</f>
        <v/>
      </c>
      <c r="AT1583">
        <f>HYPERLINK("http://www.worldcat.org/oclc/1857703","WorldCat Record")</f>
        <v/>
      </c>
      <c r="AU1583" t="inlineStr">
        <is>
          <t>2622295:eng</t>
        </is>
      </c>
      <c r="AV1583" t="inlineStr">
        <is>
          <t>1857703</t>
        </is>
      </c>
      <c r="AW1583" t="inlineStr">
        <is>
          <t>991003913269702656</t>
        </is>
      </c>
      <c r="AX1583" t="inlineStr">
        <is>
          <t>991003913269702656</t>
        </is>
      </c>
      <c r="AY1583" t="inlineStr">
        <is>
          <t>2262910950002656</t>
        </is>
      </c>
      <c r="AZ1583" t="inlineStr">
        <is>
          <t>BOOK</t>
        </is>
      </c>
      <c r="BB1583" t="inlineStr">
        <is>
          <t>9780809119028</t>
        </is>
      </c>
      <c r="BC1583" t="inlineStr">
        <is>
          <t>32285000830306</t>
        </is>
      </c>
      <c r="BD1583" t="inlineStr">
        <is>
          <t>893246926</t>
        </is>
      </c>
    </row>
    <row r="1584">
      <c r="A1584" t="inlineStr">
        <is>
          <t>No</t>
        </is>
      </c>
      <c r="B1584" t="inlineStr">
        <is>
          <t>BX2350.57 .F5 1975</t>
        </is>
      </c>
      <c r="C1584" t="inlineStr">
        <is>
          <t>0                      BX 2350570F  5           1975</t>
        </is>
      </c>
      <c r="D1584" t="inlineStr">
        <is>
          <t>The Catholic cult of the Paraclete / by Joseph H. Fichter ; with a foreword by Donald L. Gelpi.</t>
        </is>
      </c>
      <c r="F1584" t="inlineStr">
        <is>
          <t>No</t>
        </is>
      </c>
      <c r="G1584" t="inlineStr">
        <is>
          <t>1</t>
        </is>
      </c>
      <c r="H1584" t="inlineStr">
        <is>
          <t>No</t>
        </is>
      </c>
      <c r="I1584" t="inlineStr">
        <is>
          <t>No</t>
        </is>
      </c>
      <c r="J1584" t="inlineStr">
        <is>
          <t>0</t>
        </is>
      </c>
      <c r="K1584" t="inlineStr">
        <is>
          <t>Fichter, Joseph Henry, 1908-1994.</t>
        </is>
      </c>
      <c r="L1584" t="inlineStr">
        <is>
          <t>New York : Sheed and Ward, [1975]</t>
        </is>
      </c>
      <c r="M1584" t="inlineStr">
        <is>
          <t>1975</t>
        </is>
      </c>
      <c r="O1584" t="inlineStr">
        <is>
          <t>eng</t>
        </is>
      </c>
      <c r="P1584" t="inlineStr">
        <is>
          <t>nyu</t>
        </is>
      </c>
      <c r="R1584" t="inlineStr">
        <is>
          <t xml:space="preserve">BX </t>
        </is>
      </c>
      <c r="S1584" t="n">
        <v>2</v>
      </c>
      <c r="T1584" t="n">
        <v>2</v>
      </c>
      <c r="U1584" t="inlineStr">
        <is>
          <t>1993-03-25</t>
        </is>
      </c>
      <c r="V1584" t="inlineStr">
        <is>
          <t>1993-03-25</t>
        </is>
      </c>
      <c r="W1584" t="inlineStr">
        <is>
          <t>1991-10-30</t>
        </is>
      </c>
      <c r="X1584" t="inlineStr">
        <is>
          <t>1991-10-30</t>
        </is>
      </c>
      <c r="Y1584" t="n">
        <v>372</v>
      </c>
      <c r="Z1584" t="n">
        <v>329</v>
      </c>
      <c r="AA1584" t="n">
        <v>336</v>
      </c>
      <c r="AB1584" t="n">
        <v>4</v>
      </c>
      <c r="AC1584" t="n">
        <v>4</v>
      </c>
      <c r="AD1584" t="n">
        <v>29</v>
      </c>
      <c r="AE1584" t="n">
        <v>29</v>
      </c>
      <c r="AF1584" t="n">
        <v>6</v>
      </c>
      <c r="AG1584" t="n">
        <v>6</v>
      </c>
      <c r="AH1584" t="n">
        <v>7</v>
      </c>
      <c r="AI1584" t="n">
        <v>7</v>
      </c>
      <c r="AJ1584" t="n">
        <v>23</v>
      </c>
      <c r="AK1584" t="n">
        <v>23</v>
      </c>
      <c r="AL1584" t="n">
        <v>2</v>
      </c>
      <c r="AM1584" t="n">
        <v>2</v>
      </c>
      <c r="AN1584" t="n">
        <v>0</v>
      </c>
      <c r="AO1584" t="n">
        <v>0</v>
      </c>
      <c r="AP1584" t="inlineStr">
        <is>
          <t>No</t>
        </is>
      </c>
      <c r="AQ1584" t="inlineStr">
        <is>
          <t>Yes</t>
        </is>
      </c>
      <c r="AR1584">
        <f>HYPERLINK("http://catalog.hathitrust.org/Record/000034754","HathiTrust Record")</f>
        <v/>
      </c>
      <c r="AS1584">
        <f>HYPERLINK("https://creighton-primo.hosted.exlibrisgroup.com/primo-explore/search?tab=default_tab&amp;search_scope=EVERYTHING&amp;vid=01CRU&amp;lang=en_US&amp;offset=0&amp;query=any,contains,991003690669702656","Catalog Record")</f>
        <v/>
      </c>
      <c r="AT1584">
        <f>HYPERLINK("http://www.worldcat.org/oclc/1322100","WorldCat Record")</f>
        <v/>
      </c>
      <c r="AU1584" t="inlineStr">
        <is>
          <t>423089217:eng</t>
        </is>
      </c>
      <c r="AV1584" t="inlineStr">
        <is>
          <t>1322100</t>
        </is>
      </c>
      <c r="AW1584" t="inlineStr">
        <is>
          <t>991003690669702656</t>
        </is>
      </c>
      <c r="AX1584" t="inlineStr">
        <is>
          <t>991003690669702656</t>
        </is>
      </c>
      <c r="AY1584" t="inlineStr">
        <is>
          <t>2254981620002656</t>
        </is>
      </c>
      <c r="AZ1584" t="inlineStr">
        <is>
          <t>BOOK</t>
        </is>
      </c>
      <c r="BB1584" t="inlineStr">
        <is>
          <t>9780836205992</t>
        </is>
      </c>
      <c r="BC1584" t="inlineStr">
        <is>
          <t>32285000830314</t>
        </is>
      </c>
      <c r="BD1584" t="inlineStr">
        <is>
          <t>893258734</t>
        </is>
      </c>
    </row>
    <row r="1585">
      <c r="A1585" t="inlineStr">
        <is>
          <t>No</t>
        </is>
      </c>
      <c r="B1585" t="inlineStr">
        <is>
          <t>BX2350.57 .F67 1976</t>
        </is>
      </c>
      <c r="C1585" t="inlineStr">
        <is>
          <t>0                      BX 2350570F  67          1976</t>
        </is>
      </c>
      <c r="D1585" t="inlineStr">
        <is>
          <t>Which way for Catholic pentecostals? / J. Massyngberde Ford.</t>
        </is>
      </c>
      <c r="F1585" t="inlineStr">
        <is>
          <t>No</t>
        </is>
      </c>
      <c r="G1585" t="inlineStr">
        <is>
          <t>1</t>
        </is>
      </c>
      <c r="H1585" t="inlineStr">
        <is>
          <t>No</t>
        </is>
      </c>
      <c r="I1585" t="inlineStr">
        <is>
          <t>No</t>
        </is>
      </c>
      <c r="J1585" t="inlineStr">
        <is>
          <t>0</t>
        </is>
      </c>
      <c r="K1585" t="inlineStr">
        <is>
          <t>Ford, J. Massyngberde (Josephine Massyngberde)</t>
        </is>
      </c>
      <c r="L1585" t="inlineStr">
        <is>
          <t>New York : Harper &amp; Row, c1976.</t>
        </is>
      </c>
      <c r="M1585" t="inlineStr">
        <is>
          <t>1976</t>
        </is>
      </c>
      <c r="N1585" t="inlineStr">
        <is>
          <t>1st ed.</t>
        </is>
      </c>
      <c r="O1585" t="inlineStr">
        <is>
          <t>eng</t>
        </is>
      </c>
      <c r="P1585" t="inlineStr">
        <is>
          <t>nyu</t>
        </is>
      </c>
      <c r="R1585" t="inlineStr">
        <is>
          <t xml:space="preserve">BX </t>
        </is>
      </c>
      <c r="S1585" t="n">
        <v>4</v>
      </c>
      <c r="T1585" t="n">
        <v>4</v>
      </c>
      <c r="U1585" t="inlineStr">
        <is>
          <t>1993-04-25</t>
        </is>
      </c>
      <c r="V1585" t="inlineStr">
        <is>
          <t>1993-04-25</t>
        </is>
      </c>
      <c r="W1585" t="inlineStr">
        <is>
          <t>1991-10-30</t>
        </is>
      </c>
      <c r="X1585" t="inlineStr">
        <is>
          <t>1991-10-30</t>
        </is>
      </c>
      <c r="Y1585" t="n">
        <v>239</v>
      </c>
      <c r="Z1585" t="n">
        <v>217</v>
      </c>
      <c r="AA1585" t="n">
        <v>222</v>
      </c>
      <c r="AB1585" t="n">
        <v>3</v>
      </c>
      <c r="AC1585" t="n">
        <v>3</v>
      </c>
      <c r="AD1585" t="n">
        <v>20</v>
      </c>
      <c r="AE1585" t="n">
        <v>20</v>
      </c>
      <c r="AF1585" t="n">
        <v>4</v>
      </c>
      <c r="AG1585" t="n">
        <v>4</v>
      </c>
      <c r="AH1585" t="n">
        <v>3</v>
      </c>
      <c r="AI1585" t="n">
        <v>3</v>
      </c>
      <c r="AJ1585" t="n">
        <v>14</v>
      </c>
      <c r="AK1585" t="n">
        <v>14</v>
      </c>
      <c r="AL1585" t="n">
        <v>2</v>
      </c>
      <c r="AM1585" t="n">
        <v>2</v>
      </c>
      <c r="AN1585" t="n">
        <v>0</v>
      </c>
      <c r="AO1585" t="n">
        <v>0</v>
      </c>
      <c r="AP1585" t="inlineStr">
        <is>
          <t>No</t>
        </is>
      </c>
      <c r="AQ1585" t="inlineStr">
        <is>
          <t>No</t>
        </is>
      </c>
      <c r="AS1585">
        <f>HYPERLINK("https://creighton-primo.hosted.exlibrisgroup.com/primo-explore/search?tab=default_tab&amp;search_scope=EVERYTHING&amp;vid=01CRU&amp;lang=en_US&amp;offset=0&amp;query=any,contains,991004119329702656","Catalog Record")</f>
        <v/>
      </c>
      <c r="AT1585">
        <f>HYPERLINK("http://www.worldcat.org/oclc/2423900","WorldCat Record")</f>
        <v/>
      </c>
      <c r="AU1585" t="inlineStr">
        <is>
          <t>5057717:eng</t>
        </is>
      </c>
      <c r="AV1585" t="inlineStr">
        <is>
          <t>2423900</t>
        </is>
      </c>
      <c r="AW1585" t="inlineStr">
        <is>
          <t>991004119329702656</t>
        </is>
      </c>
      <c r="AX1585" t="inlineStr">
        <is>
          <t>991004119329702656</t>
        </is>
      </c>
      <c r="AY1585" t="inlineStr">
        <is>
          <t>2262633260002656</t>
        </is>
      </c>
      <c r="AZ1585" t="inlineStr">
        <is>
          <t>BOOK</t>
        </is>
      </c>
      <c r="BB1585" t="inlineStr">
        <is>
          <t>9780060626723</t>
        </is>
      </c>
      <c r="BC1585" t="inlineStr">
        <is>
          <t>32285000830322</t>
        </is>
      </c>
      <c r="BD1585" t="inlineStr">
        <is>
          <t>893718493</t>
        </is>
      </c>
    </row>
    <row r="1586">
      <c r="A1586" t="inlineStr">
        <is>
          <t>No</t>
        </is>
      </c>
      <c r="B1586" t="inlineStr">
        <is>
          <t>BX2350.57 .L35 1997</t>
        </is>
      </c>
      <c r="C1586" t="inlineStr">
        <is>
          <t>0                      BX 2350570L  35          1997</t>
        </is>
      </c>
      <c r="D1586" t="inlineStr">
        <is>
          <t>Language, charisma, and creativity : the ritual life of a religious movement / Thomas J. Csordas.</t>
        </is>
      </c>
      <c r="F1586" t="inlineStr">
        <is>
          <t>No</t>
        </is>
      </c>
      <c r="G1586" t="inlineStr">
        <is>
          <t>1</t>
        </is>
      </c>
      <c r="H1586" t="inlineStr">
        <is>
          <t>No</t>
        </is>
      </c>
      <c r="I1586" t="inlineStr">
        <is>
          <t>No</t>
        </is>
      </c>
      <c r="J1586" t="inlineStr">
        <is>
          <t>0</t>
        </is>
      </c>
      <c r="L1586" t="inlineStr">
        <is>
          <t>Berkeley : University of California Press, c1997.</t>
        </is>
      </c>
      <c r="M1586" t="inlineStr">
        <is>
          <t>1997</t>
        </is>
      </c>
      <c r="O1586" t="inlineStr">
        <is>
          <t>eng</t>
        </is>
      </c>
      <c r="P1586" t="inlineStr">
        <is>
          <t>cau</t>
        </is>
      </c>
      <c r="R1586" t="inlineStr">
        <is>
          <t xml:space="preserve">BX </t>
        </is>
      </c>
      <c r="S1586" t="n">
        <v>1</v>
      </c>
      <c r="T1586" t="n">
        <v>1</v>
      </c>
      <c r="U1586" t="inlineStr">
        <is>
          <t>2002-04-21</t>
        </is>
      </c>
      <c r="V1586" t="inlineStr">
        <is>
          <t>2002-04-21</t>
        </is>
      </c>
      <c r="W1586" t="inlineStr">
        <is>
          <t>1998-09-16</t>
        </is>
      </c>
      <c r="X1586" t="inlineStr">
        <is>
          <t>1998-09-16</t>
        </is>
      </c>
      <c r="Y1586" t="n">
        <v>388</v>
      </c>
      <c r="Z1586" t="n">
        <v>309</v>
      </c>
      <c r="AA1586" t="n">
        <v>1012</v>
      </c>
      <c r="AB1586" t="n">
        <v>4</v>
      </c>
      <c r="AC1586" t="n">
        <v>5</v>
      </c>
      <c r="AD1586" t="n">
        <v>25</v>
      </c>
      <c r="AE1586" t="n">
        <v>31</v>
      </c>
      <c r="AF1586" t="n">
        <v>8</v>
      </c>
      <c r="AG1586" t="n">
        <v>13</v>
      </c>
      <c r="AH1586" t="n">
        <v>4</v>
      </c>
      <c r="AI1586" t="n">
        <v>4</v>
      </c>
      <c r="AJ1586" t="n">
        <v>15</v>
      </c>
      <c r="AK1586" t="n">
        <v>16</v>
      </c>
      <c r="AL1586" t="n">
        <v>3</v>
      </c>
      <c r="AM1586" t="n">
        <v>4</v>
      </c>
      <c r="AN1586" t="n">
        <v>0</v>
      </c>
      <c r="AO1586" t="n">
        <v>0</v>
      </c>
      <c r="AP1586" t="inlineStr">
        <is>
          <t>No</t>
        </is>
      </c>
      <c r="AQ1586" t="inlineStr">
        <is>
          <t>No</t>
        </is>
      </c>
      <c r="AS1586">
        <f>HYPERLINK("https://creighton-primo.hosted.exlibrisgroup.com/primo-explore/search?tab=default_tab&amp;search_scope=EVERYTHING&amp;vid=01CRU&amp;lang=en_US&amp;offset=0&amp;query=any,contains,991002593819702656","Catalog Record")</f>
        <v/>
      </c>
      <c r="AT1586">
        <f>HYPERLINK("http://www.worldcat.org/oclc/33971882","WorldCat Record")</f>
        <v/>
      </c>
      <c r="AU1586" t="inlineStr">
        <is>
          <t>886491:eng</t>
        </is>
      </c>
      <c r="AV1586" t="inlineStr">
        <is>
          <t>33971882</t>
        </is>
      </c>
      <c r="AW1586" t="inlineStr">
        <is>
          <t>991002593819702656</t>
        </is>
      </c>
      <c r="AX1586" t="inlineStr">
        <is>
          <t>991002593819702656</t>
        </is>
      </c>
      <c r="AY1586" t="inlineStr">
        <is>
          <t>2266424790002656</t>
        </is>
      </c>
      <c r="AZ1586" t="inlineStr">
        <is>
          <t>BOOK</t>
        </is>
      </c>
      <c r="BB1586" t="inlineStr">
        <is>
          <t>9780520204690</t>
        </is>
      </c>
      <c r="BC1586" t="inlineStr">
        <is>
          <t>32285003468880</t>
        </is>
      </c>
      <c r="BD1586" t="inlineStr">
        <is>
          <t>893704255</t>
        </is>
      </c>
    </row>
    <row r="1587">
      <c r="A1587" t="inlineStr">
        <is>
          <t>No</t>
        </is>
      </c>
      <c r="B1587" t="inlineStr">
        <is>
          <t>BX2350.57 .L3613 1977</t>
        </is>
      </c>
      <c r="C1587" t="inlineStr">
        <is>
          <t>0                      BX 2350570L  3613        1977</t>
        </is>
      </c>
      <c r="D1587" t="inlineStr">
        <is>
          <t>Catholic pentecostalism / René Laurentin ; translated by Matthew J. O'Connell.</t>
        </is>
      </c>
      <c r="F1587" t="inlineStr">
        <is>
          <t>No</t>
        </is>
      </c>
      <c r="G1587" t="inlineStr">
        <is>
          <t>1</t>
        </is>
      </c>
      <c r="H1587" t="inlineStr">
        <is>
          <t>No</t>
        </is>
      </c>
      <c r="I1587" t="inlineStr">
        <is>
          <t>No</t>
        </is>
      </c>
      <c r="J1587" t="inlineStr">
        <is>
          <t>0</t>
        </is>
      </c>
      <c r="K1587" t="inlineStr">
        <is>
          <t>Laurentin, René.</t>
        </is>
      </c>
      <c r="L1587" t="inlineStr">
        <is>
          <t>Garden City, N.Y. : Doubleday, 1977.</t>
        </is>
      </c>
      <c r="M1587" t="inlineStr">
        <is>
          <t>1977</t>
        </is>
      </c>
      <c r="N1587" t="inlineStr">
        <is>
          <t>1st ed.</t>
        </is>
      </c>
      <c r="O1587" t="inlineStr">
        <is>
          <t>eng</t>
        </is>
      </c>
      <c r="P1587" t="inlineStr">
        <is>
          <t>nyu</t>
        </is>
      </c>
      <c r="R1587" t="inlineStr">
        <is>
          <t xml:space="preserve">BX </t>
        </is>
      </c>
      <c r="S1587" t="n">
        <v>5</v>
      </c>
      <c r="T1587" t="n">
        <v>5</v>
      </c>
      <c r="U1587" t="inlineStr">
        <is>
          <t>2002-04-21</t>
        </is>
      </c>
      <c r="V1587" t="inlineStr">
        <is>
          <t>2002-04-21</t>
        </is>
      </c>
      <c r="W1587" t="inlineStr">
        <is>
          <t>1991-10-30</t>
        </is>
      </c>
      <c r="X1587" t="inlineStr">
        <is>
          <t>1991-10-30</t>
        </is>
      </c>
      <c r="Y1587" t="n">
        <v>519</v>
      </c>
      <c r="Z1587" t="n">
        <v>467</v>
      </c>
      <c r="AA1587" t="n">
        <v>494</v>
      </c>
      <c r="AB1587" t="n">
        <v>3</v>
      </c>
      <c r="AC1587" t="n">
        <v>3</v>
      </c>
      <c r="AD1587" t="n">
        <v>22</v>
      </c>
      <c r="AE1587" t="n">
        <v>24</v>
      </c>
      <c r="AF1587" t="n">
        <v>5</v>
      </c>
      <c r="AG1587" t="n">
        <v>7</v>
      </c>
      <c r="AH1587" t="n">
        <v>6</v>
      </c>
      <c r="AI1587" t="n">
        <v>7</v>
      </c>
      <c r="AJ1587" t="n">
        <v>16</v>
      </c>
      <c r="AK1587" t="n">
        <v>17</v>
      </c>
      <c r="AL1587" t="n">
        <v>1</v>
      </c>
      <c r="AM1587" t="n">
        <v>1</v>
      </c>
      <c r="AN1587" t="n">
        <v>0</v>
      </c>
      <c r="AO1587" t="n">
        <v>0</v>
      </c>
      <c r="AP1587" t="inlineStr">
        <is>
          <t>No</t>
        </is>
      </c>
      <c r="AQ1587" t="inlineStr">
        <is>
          <t>Yes</t>
        </is>
      </c>
      <c r="AR1587">
        <f>HYPERLINK("http://catalog.hathitrust.org/Record/102035252","HathiTrust Record")</f>
        <v/>
      </c>
      <c r="AS1587">
        <f>HYPERLINK("https://creighton-primo.hosted.exlibrisgroup.com/primo-explore/search?tab=default_tab&amp;search_scope=EVERYTHING&amp;vid=01CRU&amp;lang=en_US&amp;offset=0&amp;query=any,contains,991004196519702656","Catalog Record")</f>
        <v/>
      </c>
      <c r="AT1587">
        <f>HYPERLINK("http://www.worldcat.org/oclc/2644787","WorldCat Record")</f>
        <v/>
      </c>
      <c r="AU1587" t="inlineStr">
        <is>
          <t>4160659161:eng</t>
        </is>
      </c>
      <c r="AV1587" t="inlineStr">
        <is>
          <t>2644787</t>
        </is>
      </c>
      <c r="AW1587" t="inlineStr">
        <is>
          <t>991004196519702656</t>
        </is>
      </c>
      <c r="AX1587" t="inlineStr">
        <is>
          <t>991004196519702656</t>
        </is>
      </c>
      <c r="AY1587" t="inlineStr">
        <is>
          <t>2255336220002656</t>
        </is>
      </c>
      <c r="AZ1587" t="inlineStr">
        <is>
          <t>BOOK</t>
        </is>
      </c>
      <c r="BB1587" t="inlineStr">
        <is>
          <t>9780385121293</t>
        </is>
      </c>
      <c r="BC1587" t="inlineStr">
        <is>
          <t>32285000830355</t>
        </is>
      </c>
      <c r="BD1587" t="inlineStr">
        <is>
          <t>893436007</t>
        </is>
      </c>
    </row>
    <row r="1588">
      <c r="A1588" t="inlineStr">
        <is>
          <t>No</t>
        </is>
      </c>
      <c r="B1588" t="inlineStr">
        <is>
          <t>BX2350.57 .M24</t>
        </is>
      </c>
      <c r="C1588" t="inlineStr">
        <is>
          <t>0                      BX 2350570M  24</t>
        </is>
      </c>
      <c r="D1588" t="inlineStr">
        <is>
          <t>Charismatic renewal and ecumenism / by Kilian McDonnell.</t>
        </is>
      </c>
      <c r="F1588" t="inlineStr">
        <is>
          <t>No</t>
        </is>
      </c>
      <c r="G1588" t="inlineStr">
        <is>
          <t>1</t>
        </is>
      </c>
      <c r="H1588" t="inlineStr">
        <is>
          <t>No</t>
        </is>
      </c>
      <c r="I1588" t="inlineStr">
        <is>
          <t>No</t>
        </is>
      </c>
      <c r="J1588" t="inlineStr">
        <is>
          <t>0</t>
        </is>
      </c>
      <c r="K1588" t="inlineStr">
        <is>
          <t>McDonnell, Kilian.</t>
        </is>
      </c>
      <c r="L1588" t="inlineStr">
        <is>
          <t>New York : Paulist Press, c1978.</t>
        </is>
      </c>
      <c r="M1588" t="inlineStr">
        <is>
          <t>1978</t>
        </is>
      </c>
      <c r="O1588" t="inlineStr">
        <is>
          <t>eng</t>
        </is>
      </c>
      <c r="P1588" t="inlineStr">
        <is>
          <t>nyu</t>
        </is>
      </c>
      <c r="Q1588" t="inlineStr">
        <is>
          <t>An Exploration book</t>
        </is>
      </c>
      <c r="R1588" t="inlineStr">
        <is>
          <t xml:space="preserve">BX </t>
        </is>
      </c>
      <c r="S1588" t="n">
        <v>4</v>
      </c>
      <c r="T1588" t="n">
        <v>4</v>
      </c>
      <c r="U1588" t="inlineStr">
        <is>
          <t>1993-03-25</t>
        </is>
      </c>
      <c r="V1588" t="inlineStr">
        <is>
          <t>1993-03-25</t>
        </is>
      </c>
      <c r="W1588" t="inlineStr">
        <is>
          <t>1990-06-12</t>
        </is>
      </c>
      <c r="X1588" t="inlineStr">
        <is>
          <t>1990-06-12</t>
        </is>
      </c>
      <c r="Y1588" t="n">
        <v>198</v>
      </c>
      <c r="Z1588" t="n">
        <v>169</v>
      </c>
      <c r="AA1588" t="n">
        <v>169</v>
      </c>
      <c r="AB1588" t="n">
        <v>1</v>
      </c>
      <c r="AC1588" t="n">
        <v>1</v>
      </c>
      <c r="AD1588" t="n">
        <v>15</v>
      </c>
      <c r="AE1588" t="n">
        <v>15</v>
      </c>
      <c r="AF1588" t="n">
        <v>4</v>
      </c>
      <c r="AG1588" t="n">
        <v>4</v>
      </c>
      <c r="AH1588" t="n">
        <v>5</v>
      </c>
      <c r="AI1588" t="n">
        <v>5</v>
      </c>
      <c r="AJ1588" t="n">
        <v>11</v>
      </c>
      <c r="AK1588" t="n">
        <v>11</v>
      </c>
      <c r="AL1588" t="n">
        <v>0</v>
      </c>
      <c r="AM1588" t="n">
        <v>0</v>
      </c>
      <c r="AN1588" t="n">
        <v>0</v>
      </c>
      <c r="AO1588" t="n">
        <v>0</v>
      </c>
      <c r="AP1588" t="inlineStr">
        <is>
          <t>No</t>
        </is>
      </c>
      <c r="AQ1588" t="inlineStr">
        <is>
          <t>No</t>
        </is>
      </c>
      <c r="AS1588">
        <f>HYPERLINK("https://creighton-primo.hosted.exlibrisgroup.com/primo-explore/search?tab=default_tab&amp;search_scope=EVERYTHING&amp;vid=01CRU&amp;lang=en_US&amp;offset=0&amp;query=any,contains,991004604239702656","Catalog Record")</f>
        <v/>
      </c>
      <c r="AT1588">
        <f>HYPERLINK("http://www.worldcat.org/oclc/4193219","WorldCat Record")</f>
        <v/>
      </c>
      <c r="AU1588" t="inlineStr">
        <is>
          <t>14607303:eng</t>
        </is>
      </c>
      <c r="AV1588" t="inlineStr">
        <is>
          <t>4193219</t>
        </is>
      </c>
      <c r="AW1588" t="inlineStr">
        <is>
          <t>991004604239702656</t>
        </is>
      </c>
      <c r="AX1588" t="inlineStr">
        <is>
          <t>991004604239702656</t>
        </is>
      </c>
      <c r="AY1588" t="inlineStr">
        <is>
          <t>2261884370002656</t>
        </is>
      </c>
      <c r="AZ1588" t="inlineStr">
        <is>
          <t>BOOK</t>
        </is>
      </c>
      <c r="BB1588" t="inlineStr">
        <is>
          <t>9780809121243</t>
        </is>
      </c>
      <c r="BC1588" t="inlineStr">
        <is>
          <t>32285000190495</t>
        </is>
      </c>
      <c r="BD1588" t="inlineStr">
        <is>
          <t>893712807</t>
        </is>
      </c>
    </row>
    <row r="1589">
      <c r="A1589" t="inlineStr">
        <is>
          <t>No</t>
        </is>
      </c>
      <c r="B1589" t="inlineStr">
        <is>
          <t>BX2350.57 .M39 1982</t>
        </is>
      </c>
      <c r="C1589" t="inlineStr">
        <is>
          <t>0                      BX 2350570M  39          1982</t>
        </is>
      </c>
      <c r="D1589" t="inlineStr">
        <is>
          <t>Pentecostal Catholics : power, charisma, and order in a religious movement / Meredith B. McGuire.</t>
        </is>
      </c>
      <c r="F1589" t="inlineStr">
        <is>
          <t>No</t>
        </is>
      </c>
      <c r="G1589" t="inlineStr">
        <is>
          <t>1</t>
        </is>
      </c>
      <c r="H1589" t="inlineStr">
        <is>
          <t>No</t>
        </is>
      </c>
      <c r="I1589" t="inlineStr">
        <is>
          <t>No</t>
        </is>
      </c>
      <c r="J1589" t="inlineStr">
        <is>
          <t>0</t>
        </is>
      </c>
      <c r="K1589" t="inlineStr">
        <is>
          <t>McGuire, Meredith B.</t>
        </is>
      </c>
      <c r="L1589" t="inlineStr">
        <is>
          <t>Philadelphia : Temple University Press, c1982.</t>
        </is>
      </c>
      <c r="M1589" t="inlineStr">
        <is>
          <t>1982</t>
        </is>
      </c>
      <c r="O1589" t="inlineStr">
        <is>
          <t>eng</t>
        </is>
      </c>
      <c r="P1589" t="inlineStr">
        <is>
          <t>pau</t>
        </is>
      </c>
      <c r="R1589" t="inlineStr">
        <is>
          <t xml:space="preserve">BX </t>
        </is>
      </c>
      <c r="S1589" t="n">
        <v>4</v>
      </c>
      <c r="T1589" t="n">
        <v>4</v>
      </c>
      <c r="U1589" t="inlineStr">
        <is>
          <t>2002-04-21</t>
        </is>
      </c>
      <c r="V1589" t="inlineStr">
        <is>
          <t>2002-04-21</t>
        </is>
      </c>
      <c r="W1589" t="inlineStr">
        <is>
          <t>1991-10-30</t>
        </is>
      </c>
      <c r="X1589" t="inlineStr">
        <is>
          <t>1991-10-30</t>
        </is>
      </c>
      <c r="Y1589" t="n">
        <v>500</v>
      </c>
      <c r="Z1589" t="n">
        <v>439</v>
      </c>
      <c r="AA1589" t="n">
        <v>444</v>
      </c>
      <c r="AB1589" t="n">
        <v>5</v>
      </c>
      <c r="AC1589" t="n">
        <v>5</v>
      </c>
      <c r="AD1589" t="n">
        <v>27</v>
      </c>
      <c r="AE1589" t="n">
        <v>27</v>
      </c>
      <c r="AF1589" t="n">
        <v>7</v>
      </c>
      <c r="AG1589" t="n">
        <v>7</v>
      </c>
      <c r="AH1589" t="n">
        <v>5</v>
      </c>
      <c r="AI1589" t="n">
        <v>5</v>
      </c>
      <c r="AJ1589" t="n">
        <v>17</v>
      </c>
      <c r="AK1589" t="n">
        <v>17</v>
      </c>
      <c r="AL1589" t="n">
        <v>4</v>
      </c>
      <c r="AM1589" t="n">
        <v>4</v>
      </c>
      <c r="AN1589" t="n">
        <v>0</v>
      </c>
      <c r="AO1589" t="n">
        <v>0</v>
      </c>
      <c r="AP1589" t="inlineStr">
        <is>
          <t>No</t>
        </is>
      </c>
      <c r="AQ1589" t="inlineStr">
        <is>
          <t>No</t>
        </is>
      </c>
      <c r="AS1589">
        <f>HYPERLINK("https://creighton-primo.hosted.exlibrisgroup.com/primo-explore/search?tab=default_tab&amp;search_scope=EVERYTHING&amp;vid=01CRU&amp;lang=en_US&amp;offset=0&amp;query=any,contains,991005162099702656","Catalog Record")</f>
        <v/>
      </c>
      <c r="AT1589">
        <f>HYPERLINK("http://www.worldcat.org/oclc/7795809","WorldCat Record")</f>
        <v/>
      </c>
      <c r="AU1589" t="inlineStr">
        <is>
          <t>900467193:eng</t>
        </is>
      </c>
      <c r="AV1589" t="inlineStr">
        <is>
          <t>7795809</t>
        </is>
      </c>
      <c r="AW1589" t="inlineStr">
        <is>
          <t>991005162099702656</t>
        </is>
      </c>
      <c r="AX1589" t="inlineStr">
        <is>
          <t>991005162099702656</t>
        </is>
      </c>
      <c r="AY1589" t="inlineStr">
        <is>
          <t>2268053010002656</t>
        </is>
      </c>
      <c r="AZ1589" t="inlineStr">
        <is>
          <t>BOOK</t>
        </is>
      </c>
      <c r="BB1589" t="inlineStr">
        <is>
          <t>9780877222354</t>
        </is>
      </c>
      <c r="BC1589" t="inlineStr">
        <is>
          <t>32285000830389</t>
        </is>
      </c>
      <c r="BD1589" t="inlineStr">
        <is>
          <t>893807908</t>
        </is>
      </c>
    </row>
    <row r="1590">
      <c r="A1590" t="inlineStr">
        <is>
          <t>No</t>
        </is>
      </c>
      <c r="B1590" t="inlineStr">
        <is>
          <t>BX2350.57 .N45 1987</t>
        </is>
      </c>
      <c r="C1590" t="inlineStr">
        <is>
          <t>0                      BX 2350570N  45          1987</t>
        </is>
      </c>
      <c r="D1590" t="inlineStr">
        <is>
          <t>Charisma and community : a study of religious commitment within the charismatic renewal / Mary Jo Neitz.</t>
        </is>
      </c>
      <c r="F1590" t="inlineStr">
        <is>
          <t>No</t>
        </is>
      </c>
      <c r="G1590" t="inlineStr">
        <is>
          <t>1</t>
        </is>
      </c>
      <c r="H1590" t="inlineStr">
        <is>
          <t>No</t>
        </is>
      </c>
      <c r="I1590" t="inlineStr">
        <is>
          <t>No</t>
        </is>
      </c>
      <c r="J1590" t="inlineStr">
        <is>
          <t>0</t>
        </is>
      </c>
      <c r="K1590" t="inlineStr">
        <is>
          <t>Neitz, Mary Jo, 1951-</t>
        </is>
      </c>
      <c r="L1590" t="inlineStr">
        <is>
          <t>New Brunswick, U.S.A. : Transaction Books, c1987.</t>
        </is>
      </c>
      <c r="M1590" t="inlineStr">
        <is>
          <t>1987</t>
        </is>
      </c>
      <c r="O1590" t="inlineStr">
        <is>
          <t>eng</t>
        </is>
      </c>
      <c r="P1590" t="inlineStr">
        <is>
          <t>nju</t>
        </is>
      </c>
      <c r="Q1590" t="inlineStr">
        <is>
          <t>New observations</t>
        </is>
      </c>
      <c r="R1590" t="inlineStr">
        <is>
          <t xml:space="preserve">BX </t>
        </is>
      </c>
      <c r="S1590" t="n">
        <v>5</v>
      </c>
      <c r="T1590" t="n">
        <v>5</v>
      </c>
      <c r="U1590" t="inlineStr">
        <is>
          <t>1993-11-27</t>
        </is>
      </c>
      <c r="V1590" t="inlineStr">
        <is>
          <t>1993-11-27</t>
        </is>
      </c>
      <c r="W1590" t="inlineStr">
        <is>
          <t>1990-06-12</t>
        </is>
      </c>
      <c r="X1590" t="inlineStr">
        <is>
          <t>1990-06-12</t>
        </is>
      </c>
      <c r="Y1590" t="n">
        <v>291</v>
      </c>
      <c r="Z1590" t="n">
        <v>238</v>
      </c>
      <c r="AA1590" t="n">
        <v>240</v>
      </c>
      <c r="AB1590" t="n">
        <v>2</v>
      </c>
      <c r="AC1590" t="n">
        <v>2</v>
      </c>
      <c r="AD1590" t="n">
        <v>15</v>
      </c>
      <c r="AE1590" t="n">
        <v>15</v>
      </c>
      <c r="AF1590" t="n">
        <v>5</v>
      </c>
      <c r="AG1590" t="n">
        <v>5</v>
      </c>
      <c r="AH1590" t="n">
        <v>4</v>
      </c>
      <c r="AI1590" t="n">
        <v>4</v>
      </c>
      <c r="AJ1590" t="n">
        <v>10</v>
      </c>
      <c r="AK1590" t="n">
        <v>10</v>
      </c>
      <c r="AL1590" t="n">
        <v>1</v>
      </c>
      <c r="AM1590" t="n">
        <v>1</v>
      </c>
      <c r="AN1590" t="n">
        <v>0</v>
      </c>
      <c r="AO1590" t="n">
        <v>0</v>
      </c>
      <c r="AP1590" t="inlineStr">
        <is>
          <t>No</t>
        </is>
      </c>
      <c r="AQ1590" t="inlineStr">
        <is>
          <t>No</t>
        </is>
      </c>
      <c r="AS1590">
        <f>HYPERLINK("https://creighton-primo.hosted.exlibrisgroup.com/primo-explore/search?tab=default_tab&amp;search_scope=EVERYTHING&amp;vid=01CRU&amp;lang=en_US&amp;offset=0&amp;query=any,contains,991000885379702656","Catalog Record")</f>
        <v/>
      </c>
      <c r="AT1590">
        <f>HYPERLINK("http://www.worldcat.org/oclc/13860774","WorldCat Record")</f>
        <v/>
      </c>
      <c r="AU1590" t="inlineStr">
        <is>
          <t>836659171:eng</t>
        </is>
      </c>
      <c r="AV1590" t="inlineStr">
        <is>
          <t>13860774</t>
        </is>
      </c>
      <c r="AW1590" t="inlineStr">
        <is>
          <t>991000885379702656</t>
        </is>
      </c>
      <c r="AX1590" t="inlineStr">
        <is>
          <t>991000885379702656</t>
        </is>
      </c>
      <c r="AY1590" t="inlineStr">
        <is>
          <t>2262210360002656</t>
        </is>
      </c>
      <c r="AZ1590" t="inlineStr">
        <is>
          <t>BOOK</t>
        </is>
      </c>
      <c r="BB1590" t="inlineStr">
        <is>
          <t>9780887381300</t>
        </is>
      </c>
      <c r="BC1590" t="inlineStr">
        <is>
          <t>32285000190503</t>
        </is>
      </c>
      <c r="BD1590" t="inlineStr">
        <is>
          <t>893315323</t>
        </is>
      </c>
    </row>
    <row r="1591">
      <c r="A1591" t="inlineStr">
        <is>
          <t>No</t>
        </is>
      </c>
      <c r="B1591" t="inlineStr">
        <is>
          <t>BX2350.57 .N48 1976</t>
        </is>
      </c>
      <c r="C1591" t="inlineStr">
        <is>
          <t>0                      BX 2350570N  48          1976</t>
        </is>
      </c>
      <c r="D1591" t="inlineStr">
        <is>
          <t>New wine, new skins : twenty-five people tell how they encountered the transforming power of the Spirit in the charismatic renewal / compiled by Ralph Martin.</t>
        </is>
      </c>
      <c r="F1591" t="inlineStr">
        <is>
          <t>No</t>
        </is>
      </c>
      <c r="G1591" t="inlineStr">
        <is>
          <t>1</t>
        </is>
      </c>
      <c r="H1591" t="inlineStr">
        <is>
          <t>No</t>
        </is>
      </c>
      <c r="I1591" t="inlineStr">
        <is>
          <t>No</t>
        </is>
      </c>
      <c r="J1591" t="inlineStr">
        <is>
          <t>0</t>
        </is>
      </c>
      <c r="L1591" t="inlineStr">
        <is>
          <t>New York : Paulist Press, c1976.</t>
        </is>
      </c>
      <c r="M1591" t="inlineStr">
        <is>
          <t>1976</t>
        </is>
      </c>
      <c r="O1591" t="inlineStr">
        <is>
          <t>eng</t>
        </is>
      </c>
      <c r="P1591" t="inlineStr">
        <is>
          <t>nyu</t>
        </is>
      </c>
      <c r="R1591" t="inlineStr">
        <is>
          <t xml:space="preserve">BX </t>
        </is>
      </c>
      <c r="S1591" t="n">
        <v>7</v>
      </c>
      <c r="T1591" t="n">
        <v>7</v>
      </c>
      <c r="U1591" t="inlineStr">
        <is>
          <t>2008-12-03</t>
        </is>
      </c>
      <c r="V1591" t="inlineStr">
        <is>
          <t>2008-12-03</t>
        </is>
      </c>
      <c r="W1591" t="inlineStr">
        <is>
          <t>1991-10-30</t>
        </is>
      </c>
      <c r="X1591" t="inlineStr">
        <is>
          <t>1991-10-30</t>
        </is>
      </c>
      <c r="Y1591" t="n">
        <v>63</v>
      </c>
      <c r="Z1591" t="n">
        <v>60</v>
      </c>
      <c r="AA1591" t="n">
        <v>60</v>
      </c>
      <c r="AB1591" t="n">
        <v>1</v>
      </c>
      <c r="AC1591" t="n">
        <v>1</v>
      </c>
      <c r="AD1591" t="n">
        <v>5</v>
      </c>
      <c r="AE1591" t="n">
        <v>5</v>
      </c>
      <c r="AF1591" t="n">
        <v>2</v>
      </c>
      <c r="AG1591" t="n">
        <v>2</v>
      </c>
      <c r="AH1591" t="n">
        <v>0</v>
      </c>
      <c r="AI1591" t="n">
        <v>0</v>
      </c>
      <c r="AJ1591" t="n">
        <v>5</v>
      </c>
      <c r="AK1591" t="n">
        <v>5</v>
      </c>
      <c r="AL1591" t="n">
        <v>0</v>
      </c>
      <c r="AM1591" t="n">
        <v>0</v>
      </c>
      <c r="AN1591" t="n">
        <v>0</v>
      </c>
      <c r="AO1591" t="n">
        <v>0</v>
      </c>
      <c r="AP1591" t="inlineStr">
        <is>
          <t>No</t>
        </is>
      </c>
      <c r="AQ1591" t="inlineStr">
        <is>
          <t>No</t>
        </is>
      </c>
      <c r="AS1591">
        <f>HYPERLINK("https://creighton-primo.hosted.exlibrisgroup.com/primo-explore/search?tab=default_tab&amp;search_scope=EVERYTHING&amp;vid=01CRU&amp;lang=en_US&amp;offset=0&amp;query=any,contains,991004144439702656","Catalog Record")</f>
        <v/>
      </c>
      <c r="AT1591">
        <f>HYPERLINK("http://www.worldcat.org/oclc/2507278","WorldCat Record")</f>
        <v/>
      </c>
      <c r="AU1591" t="inlineStr">
        <is>
          <t>366491467:eng</t>
        </is>
      </c>
      <c r="AV1591" t="inlineStr">
        <is>
          <t>2507278</t>
        </is>
      </c>
      <c r="AW1591" t="inlineStr">
        <is>
          <t>991004144439702656</t>
        </is>
      </c>
      <c r="AX1591" t="inlineStr">
        <is>
          <t>991004144439702656</t>
        </is>
      </c>
      <c r="AY1591" t="inlineStr">
        <is>
          <t>2255366660002656</t>
        </is>
      </c>
      <c r="AZ1591" t="inlineStr">
        <is>
          <t>BOOK</t>
        </is>
      </c>
      <c r="BB1591" t="inlineStr">
        <is>
          <t>9780809119424</t>
        </is>
      </c>
      <c r="BC1591" t="inlineStr">
        <is>
          <t>32285000830397</t>
        </is>
      </c>
      <c r="BD1591" t="inlineStr">
        <is>
          <t>893349661</t>
        </is>
      </c>
    </row>
    <row r="1592">
      <c r="A1592" t="inlineStr">
        <is>
          <t>No</t>
        </is>
      </c>
      <c r="B1592" t="inlineStr">
        <is>
          <t>BX2350.57 .O64 1989</t>
        </is>
      </c>
      <c r="C1592" t="inlineStr">
        <is>
          <t>0                      BX 2350570O  64          1989</t>
        </is>
      </c>
      <c r="D1592" t="inlineStr">
        <is>
          <t>Open the windows : the popes and charismatic renewal / edited by Kilian McDonnell.</t>
        </is>
      </c>
      <c r="F1592" t="inlineStr">
        <is>
          <t>No</t>
        </is>
      </c>
      <c r="G1592" t="inlineStr">
        <is>
          <t>1</t>
        </is>
      </c>
      <c r="H1592" t="inlineStr">
        <is>
          <t>No</t>
        </is>
      </c>
      <c r="I1592" t="inlineStr">
        <is>
          <t>No</t>
        </is>
      </c>
      <c r="J1592" t="inlineStr">
        <is>
          <t>0</t>
        </is>
      </c>
      <c r="L1592" t="inlineStr">
        <is>
          <t>South Bend, Ind. : Greenlawn Press, c1989.</t>
        </is>
      </c>
      <c r="M1592" t="inlineStr">
        <is>
          <t>1989</t>
        </is>
      </c>
      <c r="O1592" t="inlineStr">
        <is>
          <t>eng</t>
        </is>
      </c>
      <c r="P1592" t="inlineStr">
        <is>
          <t>inu</t>
        </is>
      </c>
      <c r="R1592" t="inlineStr">
        <is>
          <t xml:space="preserve">BX </t>
        </is>
      </c>
      <c r="S1592" t="n">
        <v>8</v>
      </c>
      <c r="T1592" t="n">
        <v>8</v>
      </c>
      <c r="U1592" t="inlineStr">
        <is>
          <t>2008-12-03</t>
        </is>
      </c>
      <c r="V1592" t="inlineStr">
        <is>
          <t>2008-12-03</t>
        </is>
      </c>
      <c r="W1592" t="inlineStr">
        <is>
          <t>1989-10-23</t>
        </is>
      </c>
      <c r="X1592" t="inlineStr">
        <is>
          <t>1989-10-23</t>
        </is>
      </c>
      <c r="Y1592" t="n">
        <v>93</v>
      </c>
      <c r="Z1592" t="n">
        <v>81</v>
      </c>
      <c r="AA1592" t="n">
        <v>81</v>
      </c>
      <c r="AB1592" t="n">
        <v>1</v>
      </c>
      <c r="AC1592" t="n">
        <v>1</v>
      </c>
      <c r="AD1592" t="n">
        <v>6</v>
      </c>
      <c r="AE1592" t="n">
        <v>6</v>
      </c>
      <c r="AF1592" t="n">
        <v>2</v>
      </c>
      <c r="AG1592" t="n">
        <v>2</v>
      </c>
      <c r="AH1592" t="n">
        <v>1</v>
      </c>
      <c r="AI1592" t="n">
        <v>1</v>
      </c>
      <c r="AJ1592" t="n">
        <v>5</v>
      </c>
      <c r="AK1592" t="n">
        <v>5</v>
      </c>
      <c r="AL1592" t="n">
        <v>0</v>
      </c>
      <c r="AM1592" t="n">
        <v>0</v>
      </c>
      <c r="AN1592" t="n">
        <v>0</v>
      </c>
      <c r="AO1592" t="n">
        <v>0</v>
      </c>
      <c r="AP1592" t="inlineStr">
        <is>
          <t>No</t>
        </is>
      </c>
      <c r="AQ1592" t="inlineStr">
        <is>
          <t>No</t>
        </is>
      </c>
      <c r="AS1592">
        <f>HYPERLINK("https://creighton-primo.hosted.exlibrisgroup.com/primo-explore/search?tab=default_tab&amp;search_scope=EVERYTHING&amp;vid=01CRU&amp;lang=en_US&amp;offset=0&amp;query=any,contains,991001540359702656","Catalog Record")</f>
        <v/>
      </c>
      <c r="AT1592">
        <f>HYPERLINK("http://www.worldcat.org/oclc/20126733","WorldCat Record")</f>
        <v/>
      </c>
      <c r="AU1592" t="inlineStr">
        <is>
          <t>21552453:eng</t>
        </is>
      </c>
      <c r="AV1592" t="inlineStr">
        <is>
          <t>20126733</t>
        </is>
      </c>
      <c r="AW1592" t="inlineStr">
        <is>
          <t>991001540359702656</t>
        </is>
      </c>
      <c r="AX1592" t="inlineStr">
        <is>
          <t>991001540359702656</t>
        </is>
      </c>
      <c r="AY1592" t="inlineStr">
        <is>
          <t>2268344510002656</t>
        </is>
      </c>
      <c r="AZ1592" t="inlineStr">
        <is>
          <t>BOOK</t>
        </is>
      </c>
      <c r="BB1592" t="inlineStr">
        <is>
          <t>9780937779064</t>
        </is>
      </c>
      <c r="BC1592" t="inlineStr">
        <is>
          <t>32285000001700</t>
        </is>
      </c>
      <c r="BD1592" t="inlineStr">
        <is>
          <t>893322027</t>
        </is>
      </c>
    </row>
    <row r="1593">
      <c r="A1593" t="inlineStr">
        <is>
          <t>No</t>
        </is>
      </c>
      <c r="B1593" t="inlineStr">
        <is>
          <t>BX2350.57 .P48 1977</t>
        </is>
      </c>
      <c r="C1593" t="inlineStr">
        <is>
          <t>0                      BX 2350570P  48          1977</t>
        </is>
      </c>
      <c r="D1593" t="inlineStr">
        <is>
          <t>In His footsteps : the priest and the Catholic charismatic renewal / by Richard J. Pettey.</t>
        </is>
      </c>
      <c r="F1593" t="inlineStr">
        <is>
          <t>No</t>
        </is>
      </c>
      <c r="G1593" t="inlineStr">
        <is>
          <t>1</t>
        </is>
      </c>
      <c r="H1593" t="inlineStr">
        <is>
          <t>No</t>
        </is>
      </c>
      <c r="I1593" t="inlineStr">
        <is>
          <t>No</t>
        </is>
      </c>
      <c r="J1593" t="inlineStr">
        <is>
          <t>0</t>
        </is>
      </c>
      <c r="K1593" t="inlineStr">
        <is>
          <t>Pettey, Richard J.</t>
        </is>
      </c>
      <c r="L1593" t="inlineStr">
        <is>
          <t>New York : Paulist Press, c1977.</t>
        </is>
      </c>
      <c r="M1593" t="inlineStr">
        <is>
          <t>1977</t>
        </is>
      </c>
      <c r="O1593" t="inlineStr">
        <is>
          <t>eng</t>
        </is>
      </c>
      <c r="P1593" t="inlineStr">
        <is>
          <t>nyu</t>
        </is>
      </c>
      <c r="Q1593" t="inlineStr">
        <is>
          <t>A Deus book</t>
        </is>
      </c>
      <c r="R1593" t="inlineStr">
        <is>
          <t xml:space="preserve">BX </t>
        </is>
      </c>
      <c r="S1593" t="n">
        <v>5</v>
      </c>
      <c r="T1593" t="n">
        <v>5</v>
      </c>
      <c r="U1593" t="inlineStr">
        <is>
          <t>2008-12-03</t>
        </is>
      </c>
      <c r="V1593" t="inlineStr">
        <is>
          <t>2008-12-03</t>
        </is>
      </c>
      <c r="W1593" t="inlineStr">
        <is>
          <t>1991-10-30</t>
        </is>
      </c>
      <c r="X1593" t="inlineStr">
        <is>
          <t>1991-10-30</t>
        </is>
      </c>
      <c r="Y1593" t="n">
        <v>90</v>
      </c>
      <c r="Z1593" t="n">
        <v>79</v>
      </c>
      <c r="AA1593" t="n">
        <v>84</v>
      </c>
      <c r="AB1593" t="n">
        <v>1</v>
      </c>
      <c r="AC1593" t="n">
        <v>1</v>
      </c>
      <c r="AD1593" t="n">
        <v>9</v>
      </c>
      <c r="AE1593" t="n">
        <v>9</v>
      </c>
      <c r="AF1593" t="n">
        <v>3</v>
      </c>
      <c r="AG1593" t="n">
        <v>3</v>
      </c>
      <c r="AH1593" t="n">
        <v>3</v>
      </c>
      <c r="AI1593" t="n">
        <v>3</v>
      </c>
      <c r="AJ1593" t="n">
        <v>7</v>
      </c>
      <c r="AK1593" t="n">
        <v>7</v>
      </c>
      <c r="AL1593" t="n">
        <v>0</v>
      </c>
      <c r="AM1593" t="n">
        <v>0</v>
      </c>
      <c r="AN1593" t="n">
        <v>0</v>
      </c>
      <c r="AO1593" t="n">
        <v>0</v>
      </c>
      <c r="AP1593" t="inlineStr">
        <is>
          <t>No</t>
        </is>
      </c>
      <c r="AQ1593" t="inlineStr">
        <is>
          <t>No</t>
        </is>
      </c>
      <c r="AS1593">
        <f>HYPERLINK("https://creighton-primo.hosted.exlibrisgroup.com/primo-explore/search?tab=default_tab&amp;search_scope=EVERYTHING&amp;vid=01CRU&amp;lang=en_US&amp;offset=0&amp;query=any,contains,991004308929702656","Catalog Record")</f>
        <v/>
      </c>
      <c r="AT1593">
        <f>HYPERLINK("http://www.worldcat.org/oclc/2985840","WorldCat Record")</f>
        <v/>
      </c>
      <c r="AU1593" t="inlineStr">
        <is>
          <t>366589688:eng</t>
        </is>
      </c>
      <c r="AV1593" t="inlineStr">
        <is>
          <t>2985840</t>
        </is>
      </c>
      <c r="AW1593" t="inlineStr">
        <is>
          <t>991004308929702656</t>
        </is>
      </c>
      <c r="AX1593" t="inlineStr">
        <is>
          <t>991004308929702656</t>
        </is>
      </c>
      <c r="AY1593" t="inlineStr">
        <is>
          <t>2262210980002656</t>
        </is>
      </c>
      <c r="AZ1593" t="inlineStr">
        <is>
          <t>BOOK</t>
        </is>
      </c>
      <c r="BB1593" t="inlineStr">
        <is>
          <t>9780809120079</t>
        </is>
      </c>
      <c r="BC1593" t="inlineStr">
        <is>
          <t>32285000830405</t>
        </is>
      </c>
      <c r="BD1593" t="inlineStr">
        <is>
          <t>893259578</t>
        </is>
      </c>
    </row>
    <row r="1594">
      <c r="A1594" t="inlineStr">
        <is>
          <t>No</t>
        </is>
      </c>
      <c r="B1594" t="inlineStr">
        <is>
          <t>BX2350.57 .W54 1975</t>
        </is>
      </c>
      <c r="C1594" t="inlineStr">
        <is>
          <t>0                      BX 2350570W  54          1975</t>
        </is>
      </c>
      <c r="D1594" t="inlineStr">
        <is>
          <t>Enthusiasm in the Spirit / Robert Wild.</t>
        </is>
      </c>
      <c r="F1594" t="inlineStr">
        <is>
          <t>No</t>
        </is>
      </c>
      <c r="G1594" t="inlineStr">
        <is>
          <t>1</t>
        </is>
      </c>
      <c r="H1594" t="inlineStr">
        <is>
          <t>No</t>
        </is>
      </c>
      <c r="I1594" t="inlineStr">
        <is>
          <t>No</t>
        </is>
      </c>
      <c r="J1594" t="inlineStr">
        <is>
          <t>0</t>
        </is>
      </c>
      <c r="K1594" t="inlineStr">
        <is>
          <t>Wild, Robert A., 1936-</t>
        </is>
      </c>
      <c r="L1594" t="inlineStr">
        <is>
          <t>Notre Dame, Ind. : Ave Maria Press, c1975.</t>
        </is>
      </c>
      <c r="M1594" t="inlineStr">
        <is>
          <t>1975</t>
        </is>
      </c>
      <c r="O1594" t="inlineStr">
        <is>
          <t>eng</t>
        </is>
      </c>
      <c r="P1594" t="inlineStr">
        <is>
          <t>inu</t>
        </is>
      </c>
      <c r="R1594" t="inlineStr">
        <is>
          <t xml:space="preserve">BX </t>
        </is>
      </c>
      <c r="S1594" t="n">
        <v>4</v>
      </c>
      <c r="T1594" t="n">
        <v>4</v>
      </c>
      <c r="U1594" t="inlineStr">
        <is>
          <t>1993-03-28</t>
        </is>
      </c>
      <c r="V1594" t="inlineStr">
        <is>
          <t>1993-03-28</t>
        </is>
      </c>
      <c r="W1594" t="inlineStr">
        <is>
          <t>1991-10-31</t>
        </is>
      </c>
      <c r="X1594" t="inlineStr">
        <is>
          <t>1991-10-31</t>
        </is>
      </c>
      <c r="Y1594" t="n">
        <v>143</v>
      </c>
      <c r="Z1594" t="n">
        <v>119</v>
      </c>
      <c r="AA1594" t="n">
        <v>119</v>
      </c>
      <c r="AB1594" t="n">
        <v>2</v>
      </c>
      <c r="AC1594" t="n">
        <v>2</v>
      </c>
      <c r="AD1594" t="n">
        <v>12</v>
      </c>
      <c r="AE1594" t="n">
        <v>12</v>
      </c>
      <c r="AF1594" t="n">
        <v>2</v>
      </c>
      <c r="AG1594" t="n">
        <v>2</v>
      </c>
      <c r="AH1594" t="n">
        <v>4</v>
      </c>
      <c r="AI1594" t="n">
        <v>4</v>
      </c>
      <c r="AJ1594" t="n">
        <v>9</v>
      </c>
      <c r="AK1594" t="n">
        <v>9</v>
      </c>
      <c r="AL1594" t="n">
        <v>0</v>
      </c>
      <c r="AM1594" t="n">
        <v>0</v>
      </c>
      <c r="AN1594" t="n">
        <v>0</v>
      </c>
      <c r="AO1594" t="n">
        <v>0</v>
      </c>
      <c r="AP1594" t="inlineStr">
        <is>
          <t>No</t>
        </is>
      </c>
      <c r="AQ1594" t="inlineStr">
        <is>
          <t>No</t>
        </is>
      </c>
      <c r="AS1594">
        <f>HYPERLINK("https://creighton-primo.hosted.exlibrisgroup.com/primo-explore/search?tab=default_tab&amp;search_scope=EVERYTHING&amp;vid=01CRU&amp;lang=en_US&amp;offset=0&amp;query=any,contains,991003913299702656","Catalog Record")</f>
        <v/>
      </c>
      <c r="AT1594">
        <f>HYPERLINK("http://www.worldcat.org/oclc/1857709","WorldCat Record")</f>
        <v/>
      </c>
      <c r="AU1594" t="inlineStr">
        <is>
          <t>2622355:eng</t>
        </is>
      </c>
      <c r="AV1594" t="inlineStr">
        <is>
          <t>1857709</t>
        </is>
      </c>
      <c r="AW1594" t="inlineStr">
        <is>
          <t>991003913299702656</t>
        </is>
      </c>
      <c r="AX1594" t="inlineStr">
        <is>
          <t>991003913299702656</t>
        </is>
      </c>
      <c r="AY1594" t="inlineStr">
        <is>
          <t>2262910540002656</t>
        </is>
      </c>
      <c r="AZ1594" t="inlineStr">
        <is>
          <t>BOOK</t>
        </is>
      </c>
      <c r="BB1594" t="inlineStr">
        <is>
          <t>9780877931010</t>
        </is>
      </c>
      <c r="BC1594" t="inlineStr">
        <is>
          <t>32285000830454</t>
        </is>
      </c>
      <c r="BD1594" t="inlineStr">
        <is>
          <t>893617988</t>
        </is>
      </c>
    </row>
    <row r="1595">
      <c r="A1595" t="inlineStr">
        <is>
          <t>No</t>
        </is>
      </c>
      <c r="B1595" t="inlineStr">
        <is>
          <t>BX2350.65 .B125 1987</t>
        </is>
      </c>
      <c r="C1595" t="inlineStr">
        <is>
          <t>0                      BX 2350650B  125         1987</t>
        </is>
      </c>
      <c r="D1595" t="inlineStr">
        <is>
          <t>The gracious mystery : finding God in ordinary experience / James J. Bacik.</t>
        </is>
      </c>
      <c r="F1595" t="inlineStr">
        <is>
          <t>No</t>
        </is>
      </c>
      <c r="G1595" t="inlineStr">
        <is>
          <t>1</t>
        </is>
      </c>
      <c r="H1595" t="inlineStr">
        <is>
          <t>No</t>
        </is>
      </c>
      <c r="I1595" t="inlineStr">
        <is>
          <t>No</t>
        </is>
      </c>
      <c r="J1595" t="inlineStr">
        <is>
          <t>0</t>
        </is>
      </c>
      <c r="K1595" t="inlineStr">
        <is>
          <t>Bacik, James J., 1936-</t>
        </is>
      </c>
      <c r="L1595" t="inlineStr">
        <is>
          <t>[Cincinnati, Oh.] : St. Anthony Messenger Press, c1987.</t>
        </is>
      </c>
      <c r="M1595" t="inlineStr">
        <is>
          <t>1987</t>
        </is>
      </c>
      <c r="O1595" t="inlineStr">
        <is>
          <t>eng</t>
        </is>
      </c>
      <c r="P1595" t="inlineStr">
        <is>
          <t>ohu</t>
        </is>
      </c>
      <c r="R1595" t="inlineStr">
        <is>
          <t xml:space="preserve">BX </t>
        </is>
      </c>
      <c r="S1595" t="n">
        <v>1</v>
      </c>
      <c r="T1595" t="n">
        <v>1</v>
      </c>
      <c r="U1595" t="inlineStr">
        <is>
          <t>1992-02-16</t>
        </is>
      </c>
      <c r="V1595" t="inlineStr">
        <is>
          <t>1992-02-16</t>
        </is>
      </c>
      <c r="W1595" t="inlineStr">
        <is>
          <t>1991-10-31</t>
        </is>
      </c>
      <c r="X1595" t="inlineStr">
        <is>
          <t>1991-10-31</t>
        </is>
      </c>
      <c r="Y1595" t="n">
        <v>80</v>
      </c>
      <c r="Z1595" t="n">
        <v>74</v>
      </c>
      <c r="AA1595" t="n">
        <v>74</v>
      </c>
      <c r="AB1595" t="n">
        <v>1</v>
      </c>
      <c r="AC1595" t="n">
        <v>1</v>
      </c>
      <c r="AD1595" t="n">
        <v>10</v>
      </c>
      <c r="AE1595" t="n">
        <v>10</v>
      </c>
      <c r="AF1595" t="n">
        <v>3</v>
      </c>
      <c r="AG1595" t="n">
        <v>3</v>
      </c>
      <c r="AH1595" t="n">
        <v>1</v>
      </c>
      <c r="AI1595" t="n">
        <v>1</v>
      </c>
      <c r="AJ1595" t="n">
        <v>9</v>
      </c>
      <c r="AK1595" t="n">
        <v>9</v>
      </c>
      <c r="AL1595" t="n">
        <v>0</v>
      </c>
      <c r="AM1595" t="n">
        <v>0</v>
      </c>
      <c r="AN1595" t="n">
        <v>0</v>
      </c>
      <c r="AO1595" t="n">
        <v>0</v>
      </c>
      <c r="AP1595" t="inlineStr">
        <is>
          <t>No</t>
        </is>
      </c>
      <c r="AQ1595" t="inlineStr">
        <is>
          <t>No</t>
        </is>
      </c>
      <c r="AS1595">
        <f>HYPERLINK("https://creighton-primo.hosted.exlibrisgroup.com/primo-explore/search?tab=default_tab&amp;search_scope=EVERYTHING&amp;vid=01CRU&amp;lang=en_US&amp;offset=0&amp;query=any,contains,991001145019702656","Catalog Record")</f>
        <v/>
      </c>
      <c r="AT1595">
        <f>HYPERLINK("http://www.worldcat.org/oclc/16758371","WorldCat Record")</f>
        <v/>
      </c>
      <c r="AU1595" t="inlineStr">
        <is>
          <t>13247012:eng</t>
        </is>
      </c>
      <c r="AV1595" t="inlineStr">
        <is>
          <t>16758371</t>
        </is>
      </c>
      <c r="AW1595" t="inlineStr">
        <is>
          <t>991001145019702656</t>
        </is>
      </c>
      <c r="AX1595" t="inlineStr">
        <is>
          <t>991001145019702656</t>
        </is>
      </c>
      <c r="AY1595" t="inlineStr">
        <is>
          <t>2264049340002656</t>
        </is>
      </c>
      <c r="AZ1595" t="inlineStr">
        <is>
          <t>BOOK</t>
        </is>
      </c>
      <c r="BB1595" t="inlineStr">
        <is>
          <t>9780867160727</t>
        </is>
      </c>
      <c r="BC1595" t="inlineStr">
        <is>
          <t>32285000830462</t>
        </is>
      </c>
      <c r="BD1595" t="inlineStr">
        <is>
          <t>893865995</t>
        </is>
      </c>
    </row>
    <row r="1596">
      <c r="A1596" t="inlineStr">
        <is>
          <t>No</t>
        </is>
      </c>
      <c r="B1596" t="inlineStr">
        <is>
          <t>BX2350.65 .B325 2002</t>
        </is>
      </c>
      <c r="C1596" t="inlineStr">
        <is>
          <t>0                      BX 2350650B  325         2002</t>
        </is>
      </c>
      <c r="D1596" t="inlineStr">
        <is>
          <t>Catholic spirituality, its history and challenge / James J. Bacik.</t>
        </is>
      </c>
      <c r="F1596" t="inlineStr">
        <is>
          <t>No</t>
        </is>
      </c>
      <c r="G1596" t="inlineStr">
        <is>
          <t>1</t>
        </is>
      </c>
      <c r="H1596" t="inlineStr">
        <is>
          <t>No</t>
        </is>
      </c>
      <c r="I1596" t="inlineStr">
        <is>
          <t>No</t>
        </is>
      </c>
      <c r="J1596" t="inlineStr">
        <is>
          <t>0</t>
        </is>
      </c>
      <c r="K1596" t="inlineStr">
        <is>
          <t>Bacik, James J., 1936-</t>
        </is>
      </c>
      <c r="L1596" t="inlineStr">
        <is>
          <t>New York : Paulist Press, c2002.</t>
        </is>
      </c>
      <c r="M1596" t="inlineStr">
        <is>
          <t>2002</t>
        </is>
      </c>
      <c r="O1596" t="inlineStr">
        <is>
          <t>eng</t>
        </is>
      </c>
      <c r="P1596" t="inlineStr">
        <is>
          <t>nyu</t>
        </is>
      </c>
      <c r="R1596" t="inlineStr">
        <is>
          <t xml:space="preserve">BX </t>
        </is>
      </c>
      <c r="S1596" t="n">
        <v>3</v>
      </c>
      <c r="T1596" t="n">
        <v>3</v>
      </c>
      <c r="U1596" t="inlineStr">
        <is>
          <t>2008-04-14</t>
        </is>
      </c>
      <c r="V1596" t="inlineStr">
        <is>
          <t>2008-04-14</t>
        </is>
      </c>
      <c r="W1596" t="inlineStr">
        <is>
          <t>2002-08-05</t>
        </is>
      </c>
      <c r="X1596" t="inlineStr">
        <is>
          <t>2002-08-05</t>
        </is>
      </c>
      <c r="Y1596" t="n">
        <v>164</v>
      </c>
      <c r="Z1596" t="n">
        <v>142</v>
      </c>
      <c r="AA1596" t="n">
        <v>266</v>
      </c>
      <c r="AB1596" t="n">
        <v>2</v>
      </c>
      <c r="AC1596" t="n">
        <v>3</v>
      </c>
      <c r="AD1596" t="n">
        <v>20</v>
      </c>
      <c r="AE1596" t="n">
        <v>22</v>
      </c>
      <c r="AF1596" t="n">
        <v>6</v>
      </c>
      <c r="AG1596" t="n">
        <v>6</v>
      </c>
      <c r="AH1596" t="n">
        <v>6</v>
      </c>
      <c r="AI1596" t="n">
        <v>7</v>
      </c>
      <c r="AJ1596" t="n">
        <v>12</v>
      </c>
      <c r="AK1596" t="n">
        <v>12</v>
      </c>
      <c r="AL1596" t="n">
        <v>1</v>
      </c>
      <c r="AM1596" t="n">
        <v>2</v>
      </c>
      <c r="AN1596" t="n">
        <v>0</v>
      </c>
      <c r="AO1596" t="n">
        <v>0</v>
      </c>
      <c r="AP1596" t="inlineStr">
        <is>
          <t>No</t>
        </is>
      </c>
      <c r="AQ1596" t="inlineStr">
        <is>
          <t>No</t>
        </is>
      </c>
      <c r="AS1596">
        <f>HYPERLINK("https://creighton-primo.hosted.exlibrisgroup.com/primo-explore/search?tab=default_tab&amp;search_scope=EVERYTHING&amp;vid=01CRU&amp;lang=en_US&amp;offset=0&amp;query=any,contains,991003841229702656","Catalog Record")</f>
        <v/>
      </c>
      <c r="AT1596">
        <f>HYPERLINK("http://www.worldcat.org/oclc/48500936","WorldCat Record")</f>
        <v/>
      </c>
      <c r="AU1596" t="inlineStr">
        <is>
          <t>1356237749:eng</t>
        </is>
      </c>
      <c r="AV1596" t="inlineStr">
        <is>
          <t>48500936</t>
        </is>
      </c>
      <c r="AW1596" t="inlineStr">
        <is>
          <t>991003841229702656</t>
        </is>
      </c>
      <c r="AX1596" t="inlineStr">
        <is>
          <t>991003841229702656</t>
        </is>
      </c>
      <c r="AY1596" t="inlineStr">
        <is>
          <t>2269205140002656</t>
        </is>
      </c>
      <c r="AZ1596" t="inlineStr">
        <is>
          <t>BOOK</t>
        </is>
      </c>
      <c r="BB1596" t="inlineStr">
        <is>
          <t>9780809140602</t>
        </is>
      </c>
      <c r="BC1596" t="inlineStr">
        <is>
          <t>32285004641683</t>
        </is>
      </c>
      <c r="BD1596" t="inlineStr">
        <is>
          <t>893617853</t>
        </is>
      </c>
    </row>
    <row r="1597">
      <c r="A1597" t="inlineStr">
        <is>
          <t>No</t>
        </is>
      </c>
      <c r="B1597" t="inlineStr">
        <is>
          <t>BX2350.65 .B45 1984</t>
        </is>
      </c>
      <c r="C1597" t="inlineStr">
        <is>
          <t>0                      BX 2350650B  45          1984</t>
        </is>
      </c>
      <c r="D1597" t="inlineStr">
        <is>
          <t>The image and likeness : the Augustinian spirituality of William of St Thierry / by David N. Bell.</t>
        </is>
      </c>
      <c r="F1597" t="inlineStr">
        <is>
          <t>No</t>
        </is>
      </c>
      <c r="G1597" t="inlineStr">
        <is>
          <t>1</t>
        </is>
      </c>
      <c r="H1597" t="inlineStr">
        <is>
          <t>No</t>
        </is>
      </c>
      <c r="I1597" t="inlineStr">
        <is>
          <t>No</t>
        </is>
      </c>
      <c r="J1597" t="inlineStr">
        <is>
          <t>0</t>
        </is>
      </c>
      <c r="K1597" t="inlineStr">
        <is>
          <t>Bell, David N., 1943-</t>
        </is>
      </c>
      <c r="L1597" t="inlineStr">
        <is>
          <t>Kalamazoo, Mich. : Cistercian Publications, 1984.</t>
        </is>
      </c>
      <c r="M1597" t="inlineStr">
        <is>
          <t>1984</t>
        </is>
      </c>
      <c r="O1597" t="inlineStr">
        <is>
          <t>eng</t>
        </is>
      </c>
      <c r="P1597" t="inlineStr">
        <is>
          <t>miu</t>
        </is>
      </c>
      <c r="Q1597" t="inlineStr">
        <is>
          <t>Cistercian studies series ; no. 78</t>
        </is>
      </c>
      <c r="R1597" t="inlineStr">
        <is>
          <t xml:space="preserve">BX </t>
        </is>
      </c>
      <c r="S1597" t="n">
        <v>4</v>
      </c>
      <c r="T1597" t="n">
        <v>4</v>
      </c>
      <c r="U1597" t="inlineStr">
        <is>
          <t>1999-12-08</t>
        </is>
      </c>
      <c r="V1597" t="inlineStr">
        <is>
          <t>1999-12-08</t>
        </is>
      </c>
      <c r="W1597" t="inlineStr">
        <is>
          <t>1999-02-15</t>
        </is>
      </c>
      <c r="X1597" t="inlineStr">
        <is>
          <t>1999-02-15</t>
        </is>
      </c>
      <c r="Y1597" t="n">
        <v>246</v>
      </c>
      <c r="Z1597" t="n">
        <v>191</v>
      </c>
      <c r="AA1597" t="n">
        <v>198</v>
      </c>
      <c r="AB1597" t="n">
        <v>2</v>
      </c>
      <c r="AC1597" t="n">
        <v>2</v>
      </c>
      <c r="AD1597" t="n">
        <v>17</v>
      </c>
      <c r="AE1597" t="n">
        <v>17</v>
      </c>
      <c r="AF1597" t="n">
        <v>3</v>
      </c>
      <c r="AG1597" t="n">
        <v>3</v>
      </c>
      <c r="AH1597" t="n">
        <v>6</v>
      </c>
      <c r="AI1597" t="n">
        <v>6</v>
      </c>
      <c r="AJ1597" t="n">
        <v>14</v>
      </c>
      <c r="AK1597" t="n">
        <v>14</v>
      </c>
      <c r="AL1597" t="n">
        <v>0</v>
      </c>
      <c r="AM1597" t="n">
        <v>0</v>
      </c>
      <c r="AN1597" t="n">
        <v>0</v>
      </c>
      <c r="AO1597" t="n">
        <v>0</v>
      </c>
      <c r="AP1597" t="inlineStr">
        <is>
          <t>No</t>
        </is>
      </c>
      <c r="AQ1597" t="inlineStr">
        <is>
          <t>Yes</t>
        </is>
      </c>
      <c r="AR1597">
        <f>HYPERLINK("http://catalog.hathitrust.org/Record/000591379","HathiTrust Record")</f>
        <v/>
      </c>
      <c r="AS1597">
        <f>HYPERLINK("https://creighton-primo.hosted.exlibrisgroup.com/primo-explore/search?tab=default_tab&amp;search_scope=EVERYTHING&amp;vid=01CRU&amp;lang=en_US&amp;offset=0&amp;query=any,contains,991000321179702656","Catalog Record")</f>
        <v/>
      </c>
      <c r="AT1597">
        <f>HYPERLINK("http://www.worldcat.org/oclc/10147244","WorldCat Record")</f>
        <v/>
      </c>
      <c r="AU1597" t="inlineStr">
        <is>
          <t>292449586:eng</t>
        </is>
      </c>
      <c r="AV1597" t="inlineStr">
        <is>
          <t>10147244</t>
        </is>
      </c>
      <c r="AW1597" t="inlineStr">
        <is>
          <t>991000321179702656</t>
        </is>
      </c>
      <c r="AX1597" t="inlineStr">
        <is>
          <t>991000321179702656</t>
        </is>
      </c>
      <c r="AY1597" t="inlineStr">
        <is>
          <t>2256935000002656</t>
        </is>
      </c>
      <c r="AZ1597" t="inlineStr">
        <is>
          <t>BOOK</t>
        </is>
      </c>
      <c r="BC1597" t="inlineStr">
        <is>
          <t>32285003519658</t>
        </is>
      </c>
      <c r="BD1597" t="inlineStr">
        <is>
          <t>893708281</t>
        </is>
      </c>
    </row>
    <row r="1598">
      <c r="A1598" t="inlineStr">
        <is>
          <t>No</t>
        </is>
      </c>
      <c r="B1598" t="inlineStr">
        <is>
          <t>BX2350.65 .B76 1990</t>
        </is>
      </c>
      <c r="C1598" t="inlineStr">
        <is>
          <t>0                      BX 2350650B  76          1990</t>
        </is>
      </c>
      <c r="D1598" t="inlineStr">
        <is>
          <t>Vital spiritualities : naming the holy in your life / Gerard T. Broccolo with Susan B. Thompson.</t>
        </is>
      </c>
      <c r="F1598" t="inlineStr">
        <is>
          <t>No</t>
        </is>
      </c>
      <c r="G1598" t="inlineStr">
        <is>
          <t>1</t>
        </is>
      </c>
      <c r="H1598" t="inlineStr">
        <is>
          <t>No</t>
        </is>
      </c>
      <c r="I1598" t="inlineStr">
        <is>
          <t>No</t>
        </is>
      </c>
      <c r="J1598" t="inlineStr">
        <is>
          <t>0</t>
        </is>
      </c>
      <c r="K1598" t="inlineStr">
        <is>
          <t>Broccolo, Gerard T.</t>
        </is>
      </c>
      <c r="L1598" t="inlineStr">
        <is>
          <t>Notre Dame, Ind. : Ave Maria Press, c1990.</t>
        </is>
      </c>
      <c r="M1598" t="inlineStr">
        <is>
          <t>1990</t>
        </is>
      </c>
      <c r="O1598" t="inlineStr">
        <is>
          <t>eng</t>
        </is>
      </c>
      <c r="P1598" t="inlineStr">
        <is>
          <t>inu</t>
        </is>
      </c>
      <c r="R1598" t="inlineStr">
        <is>
          <t xml:space="preserve">BX </t>
        </is>
      </c>
      <c r="S1598" t="n">
        <v>1</v>
      </c>
      <c r="T1598" t="n">
        <v>1</v>
      </c>
      <c r="U1598" t="inlineStr">
        <is>
          <t>2007-06-11</t>
        </is>
      </c>
      <c r="V1598" t="inlineStr">
        <is>
          <t>2007-06-11</t>
        </is>
      </c>
      <c r="W1598" t="inlineStr">
        <is>
          <t>2007-06-11</t>
        </is>
      </c>
      <c r="X1598" t="inlineStr">
        <is>
          <t>2007-06-11</t>
        </is>
      </c>
      <c r="Y1598" t="n">
        <v>64</v>
      </c>
      <c r="Z1598" t="n">
        <v>54</v>
      </c>
      <c r="AA1598" t="n">
        <v>54</v>
      </c>
      <c r="AB1598" t="n">
        <v>1</v>
      </c>
      <c r="AC1598" t="n">
        <v>1</v>
      </c>
      <c r="AD1598" t="n">
        <v>4</v>
      </c>
      <c r="AE1598" t="n">
        <v>4</v>
      </c>
      <c r="AF1598" t="n">
        <v>0</v>
      </c>
      <c r="AG1598" t="n">
        <v>0</v>
      </c>
      <c r="AH1598" t="n">
        <v>1</v>
      </c>
      <c r="AI1598" t="n">
        <v>1</v>
      </c>
      <c r="AJ1598" t="n">
        <v>3</v>
      </c>
      <c r="AK1598" t="n">
        <v>3</v>
      </c>
      <c r="AL1598" t="n">
        <v>0</v>
      </c>
      <c r="AM1598" t="n">
        <v>0</v>
      </c>
      <c r="AN1598" t="n">
        <v>0</v>
      </c>
      <c r="AO1598" t="n">
        <v>0</v>
      </c>
      <c r="AP1598" t="inlineStr">
        <is>
          <t>No</t>
        </is>
      </c>
      <c r="AQ1598" t="inlineStr">
        <is>
          <t>No</t>
        </is>
      </c>
      <c r="AS1598">
        <f>HYPERLINK("https://creighton-primo.hosted.exlibrisgroup.com/primo-explore/search?tab=default_tab&amp;search_scope=EVERYTHING&amp;vid=01CRU&amp;lang=en_US&amp;offset=0&amp;query=any,contains,991005090319702656","Catalog Record")</f>
        <v/>
      </c>
      <c r="AT1598">
        <f>HYPERLINK("http://www.worldcat.org/oclc/21575942","WorldCat Record")</f>
        <v/>
      </c>
      <c r="AU1598" t="inlineStr">
        <is>
          <t>23264008:eng</t>
        </is>
      </c>
      <c r="AV1598" t="inlineStr">
        <is>
          <t>21575942</t>
        </is>
      </c>
      <c r="AW1598" t="inlineStr">
        <is>
          <t>991005090319702656</t>
        </is>
      </c>
      <c r="AX1598" t="inlineStr">
        <is>
          <t>991005090319702656</t>
        </is>
      </c>
      <c r="AY1598" t="inlineStr">
        <is>
          <t>2269628650002656</t>
        </is>
      </c>
      <c r="AZ1598" t="inlineStr">
        <is>
          <t>BOOK</t>
        </is>
      </c>
      <c r="BB1598" t="inlineStr">
        <is>
          <t>9780877934172</t>
        </is>
      </c>
      <c r="BC1598" t="inlineStr">
        <is>
          <t>32285005316475</t>
        </is>
      </c>
      <c r="BD1598" t="inlineStr">
        <is>
          <t>893810844</t>
        </is>
      </c>
    </row>
    <row r="1599">
      <c r="A1599" t="inlineStr">
        <is>
          <t>No</t>
        </is>
      </c>
      <c r="B1599" t="inlineStr">
        <is>
          <t>BX2350.65 .H39 2007</t>
        </is>
      </c>
      <c r="C1599" t="inlineStr">
        <is>
          <t>0                      BX 2350650H  39          2007</t>
        </is>
      </c>
      <c r="D1599" t="inlineStr">
        <is>
          <t>Googling God : the religious landscape of people in their 20s and 30s / Mike Hayes.</t>
        </is>
      </c>
      <c r="F1599" t="inlineStr">
        <is>
          <t>No</t>
        </is>
      </c>
      <c r="G1599" t="inlineStr">
        <is>
          <t>1</t>
        </is>
      </c>
      <c r="H1599" t="inlineStr">
        <is>
          <t>No</t>
        </is>
      </c>
      <c r="I1599" t="inlineStr">
        <is>
          <t>No</t>
        </is>
      </c>
      <c r="J1599" t="inlineStr">
        <is>
          <t>0</t>
        </is>
      </c>
      <c r="K1599" t="inlineStr">
        <is>
          <t>Hayes, Mike, 1970-</t>
        </is>
      </c>
      <c r="L1599" t="inlineStr">
        <is>
          <t>New York : Paulist Press, c2007.</t>
        </is>
      </c>
      <c r="M1599" t="inlineStr">
        <is>
          <t>2007</t>
        </is>
      </c>
      <c r="O1599" t="inlineStr">
        <is>
          <t>eng</t>
        </is>
      </c>
      <c r="P1599" t="inlineStr">
        <is>
          <t>nyu</t>
        </is>
      </c>
      <c r="R1599" t="inlineStr">
        <is>
          <t xml:space="preserve">BX </t>
        </is>
      </c>
      <c r="S1599" t="n">
        <v>4</v>
      </c>
      <c r="T1599" t="n">
        <v>4</v>
      </c>
      <c r="U1599" t="inlineStr">
        <is>
          <t>2010-04-27</t>
        </is>
      </c>
      <c r="V1599" t="inlineStr">
        <is>
          <t>2010-04-27</t>
        </is>
      </c>
      <c r="W1599" t="inlineStr">
        <is>
          <t>2007-12-12</t>
        </is>
      </c>
      <c r="X1599" t="inlineStr">
        <is>
          <t>2007-12-12</t>
        </is>
      </c>
      <c r="Y1599" t="n">
        <v>171</v>
      </c>
      <c r="Z1599" t="n">
        <v>147</v>
      </c>
      <c r="AA1599" t="n">
        <v>152</v>
      </c>
      <c r="AB1599" t="n">
        <v>2</v>
      </c>
      <c r="AC1599" t="n">
        <v>2</v>
      </c>
      <c r="AD1599" t="n">
        <v>17</v>
      </c>
      <c r="AE1599" t="n">
        <v>17</v>
      </c>
      <c r="AF1599" t="n">
        <v>6</v>
      </c>
      <c r="AG1599" t="n">
        <v>6</v>
      </c>
      <c r="AH1599" t="n">
        <v>3</v>
      </c>
      <c r="AI1599" t="n">
        <v>3</v>
      </c>
      <c r="AJ1599" t="n">
        <v>11</v>
      </c>
      <c r="AK1599" t="n">
        <v>11</v>
      </c>
      <c r="AL1599" t="n">
        <v>1</v>
      </c>
      <c r="AM1599" t="n">
        <v>1</v>
      </c>
      <c r="AN1599" t="n">
        <v>0</v>
      </c>
      <c r="AO1599" t="n">
        <v>0</v>
      </c>
      <c r="AP1599" t="inlineStr">
        <is>
          <t>No</t>
        </is>
      </c>
      <c r="AQ1599" t="inlineStr">
        <is>
          <t>No</t>
        </is>
      </c>
      <c r="AS1599">
        <f>HYPERLINK("https://creighton-primo.hosted.exlibrisgroup.com/primo-explore/search?tab=default_tab&amp;search_scope=EVERYTHING&amp;vid=01CRU&amp;lang=en_US&amp;offset=0&amp;query=any,contains,991005146539702656","Catalog Record")</f>
        <v/>
      </c>
      <c r="AT1599">
        <f>HYPERLINK("http://www.worldcat.org/oclc/136777807","WorldCat Record")</f>
        <v/>
      </c>
      <c r="AU1599" t="inlineStr">
        <is>
          <t>102978269:eng</t>
        </is>
      </c>
      <c r="AV1599" t="inlineStr">
        <is>
          <t>136777807</t>
        </is>
      </c>
      <c r="AW1599" t="inlineStr">
        <is>
          <t>991005146539702656</t>
        </is>
      </c>
      <c r="AX1599" t="inlineStr">
        <is>
          <t>991005146539702656</t>
        </is>
      </c>
      <c r="AY1599" t="inlineStr">
        <is>
          <t>2258351270002656</t>
        </is>
      </c>
      <c r="AZ1599" t="inlineStr">
        <is>
          <t>BOOK</t>
        </is>
      </c>
      <c r="BB1599" t="inlineStr">
        <is>
          <t>9780809144877</t>
        </is>
      </c>
      <c r="BC1599" t="inlineStr">
        <is>
          <t>32285005371447</t>
        </is>
      </c>
      <c r="BD1599" t="inlineStr">
        <is>
          <t>893707340</t>
        </is>
      </c>
    </row>
    <row r="1600">
      <c r="A1600" t="inlineStr">
        <is>
          <t>No</t>
        </is>
      </c>
      <c r="B1600" t="inlineStr">
        <is>
          <t>BX2350.65 .H83 1995</t>
        </is>
      </c>
      <c r="C1600" t="inlineStr">
        <is>
          <t>0                      BX 2350650H  83          1995</t>
        </is>
      </c>
      <c r="D1600" t="inlineStr">
        <is>
          <t>Springs of spirituality / Mary Anne Huddleston.</t>
        </is>
      </c>
      <c r="F1600" t="inlineStr">
        <is>
          <t>No</t>
        </is>
      </c>
      <c r="G1600" t="inlineStr">
        <is>
          <t>1</t>
        </is>
      </c>
      <c r="H1600" t="inlineStr">
        <is>
          <t>No</t>
        </is>
      </c>
      <c r="I1600" t="inlineStr">
        <is>
          <t>No</t>
        </is>
      </c>
      <c r="J1600" t="inlineStr">
        <is>
          <t>0</t>
        </is>
      </c>
      <c r="K1600" t="inlineStr">
        <is>
          <t>Huddleston, Mary Anne.</t>
        </is>
      </c>
      <c r="L1600" t="inlineStr">
        <is>
          <t>Liguori, Mo. : Triumph Books, c1995.</t>
        </is>
      </c>
      <c r="M1600" t="inlineStr">
        <is>
          <t>1995</t>
        </is>
      </c>
      <c r="N1600" t="inlineStr">
        <is>
          <t>1st ed.</t>
        </is>
      </c>
      <c r="O1600" t="inlineStr">
        <is>
          <t>eng</t>
        </is>
      </c>
      <c r="P1600" t="inlineStr">
        <is>
          <t>mou</t>
        </is>
      </c>
      <c r="R1600" t="inlineStr">
        <is>
          <t xml:space="preserve">BX </t>
        </is>
      </c>
      <c r="S1600" t="n">
        <v>6</v>
      </c>
      <c r="T1600" t="n">
        <v>6</v>
      </c>
      <c r="U1600" t="inlineStr">
        <is>
          <t>1996-11-09</t>
        </is>
      </c>
      <c r="V1600" t="inlineStr">
        <is>
          <t>1996-11-09</t>
        </is>
      </c>
      <c r="W1600" t="inlineStr">
        <is>
          <t>1995-11-15</t>
        </is>
      </c>
      <c r="X1600" t="inlineStr">
        <is>
          <t>1995-11-15</t>
        </is>
      </c>
      <c r="Y1600" t="n">
        <v>57</v>
      </c>
      <c r="Z1600" t="n">
        <v>49</v>
      </c>
      <c r="AA1600" t="n">
        <v>50</v>
      </c>
      <c r="AB1600" t="n">
        <v>1</v>
      </c>
      <c r="AC1600" t="n">
        <v>1</v>
      </c>
      <c r="AD1600" t="n">
        <v>4</v>
      </c>
      <c r="AE1600" t="n">
        <v>4</v>
      </c>
      <c r="AF1600" t="n">
        <v>0</v>
      </c>
      <c r="AG1600" t="n">
        <v>0</v>
      </c>
      <c r="AH1600" t="n">
        <v>2</v>
      </c>
      <c r="AI1600" t="n">
        <v>2</v>
      </c>
      <c r="AJ1600" t="n">
        <v>4</v>
      </c>
      <c r="AK1600" t="n">
        <v>4</v>
      </c>
      <c r="AL1600" t="n">
        <v>0</v>
      </c>
      <c r="AM1600" t="n">
        <v>0</v>
      </c>
      <c r="AN1600" t="n">
        <v>0</v>
      </c>
      <c r="AO1600" t="n">
        <v>0</v>
      </c>
      <c r="AP1600" t="inlineStr">
        <is>
          <t>No</t>
        </is>
      </c>
      <c r="AQ1600" t="inlineStr">
        <is>
          <t>No</t>
        </is>
      </c>
      <c r="AS1600">
        <f>HYPERLINK("https://creighton-primo.hosted.exlibrisgroup.com/primo-explore/search?tab=default_tab&amp;search_scope=EVERYTHING&amp;vid=01CRU&amp;lang=en_US&amp;offset=0&amp;query=any,contains,991002411659702656","Catalog Record")</f>
        <v/>
      </c>
      <c r="AT1600">
        <f>HYPERLINK("http://www.worldcat.org/oclc/31377267","WorldCat Record")</f>
        <v/>
      </c>
      <c r="AU1600" t="inlineStr">
        <is>
          <t>4732334302:eng</t>
        </is>
      </c>
      <c r="AV1600" t="inlineStr">
        <is>
          <t>31377267</t>
        </is>
      </c>
      <c r="AW1600" t="inlineStr">
        <is>
          <t>991002411659702656</t>
        </is>
      </c>
      <c r="AX1600" t="inlineStr">
        <is>
          <t>991002411659702656</t>
        </is>
      </c>
      <c r="AY1600" t="inlineStr">
        <is>
          <t>2256124690002656</t>
        </is>
      </c>
      <c r="AZ1600" t="inlineStr">
        <is>
          <t>BOOK</t>
        </is>
      </c>
      <c r="BB1600" t="inlineStr">
        <is>
          <t>9780892437818</t>
        </is>
      </c>
      <c r="BC1600" t="inlineStr">
        <is>
          <t>32285002098704</t>
        </is>
      </c>
      <c r="BD1600" t="inlineStr">
        <is>
          <t>893226813</t>
        </is>
      </c>
    </row>
    <row r="1601">
      <c r="A1601" t="inlineStr">
        <is>
          <t>No</t>
        </is>
      </c>
      <c r="B1601" t="inlineStr">
        <is>
          <t>BX2350.65 .J62 2006</t>
        </is>
      </c>
      <c r="C1601" t="inlineStr">
        <is>
          <t>0                      BX 2350650J  62          2006</t>
        </is>
      </c>
      <c r="D1601" t="inlineStr">
        <is>
          <t>Audi, filia = Listen, o daughter / John of Avila ; translated and introduced by Joan Frances Gormley ; foreword by Francisco Javier Martínez Fernández.</t>
        </is>
      </c>
      <c r="F1601" t="inlineStr">
        <is>
          <t>No</t>
        </is>
      </c>
      <c r="G1601" t="inlineStr">
        <is>
          <t>1</t>
        </is>
      </c>
      <c r="H1601" t="inlineStr">
        <is>
          <t>No</t>
        </is>
      </c>
      <c r="I1601" t="inlineStr">
        <is>
          <t>No</t>
        </is>
      </c>
      <c r="J1601" t="inlineStr">
        <is>
          <t>0</t>
        </is>
      </c>
      <c r="K1601" t="inlineStr">
        <is>
          <t>John, of Avila, Saint, 1499?-1569.</t>
        </is>
      </c>
      <c r="L1601" t="inlineStr">
        <is>
          <t>New York : Paulist Press, c2006.</t>
        </is>
      </c>
      <c r="M1601" t="inlineStr">
        <is>
          <t>2006</t>
        </is>
      </c>
      <c r="O1601" t="inlineStr">
        <is>
          <t>eng</t>
        </is>
      </c>
      <c r="P1601" t="inlineStr">
        <is>
          <t>nyu</t>
        </is>
      </c>
      <c r="Q1601" t="inlineStr">
        <is>
          <t>The classics of Western spirituality</t>
        </is>
      </c>
      <c r="R1601" t="inlineStr">
        <is>
          <t xml:space="preserve">BX </t>
        </is>
      </c>
      <c r="S1601" t="n">
        <v>2</v>
      </c>
      <c r="T1601" t="n">
        <v>2</v>
      </c>
      <c r="U1601" t="inlineStr">
        <is>
          <t>2008-04-09</t>
        </is>
      </c>
      <c r="V1601" t="inlineStr">
        <is>
          <t>2008-04-09</t>
        </is>
      </c>
      <c r="W1601" t="inlineStr">
        <is>
          <t>2006-06-06</t>
        </is>
      </c>
      <c r="X1601" t="inlineStr">
        <is>
          <t>2006-06-06</t>
        </is>
      </c>
      <c r="Y1601" t="n">
        <v>376</v>
      </c>
      <c r="Z1601" t="n">
        <v>329</v>
      </c>
      <c r="AA1601" t="n">
        <v>352</v>
      </c>
      <c r="AB1601" t="n">
        <v>3</v>
      </c>
      <c r="AC1601" t="n">
        <v>3</v>
      </c>
      <c r="AD1601" t="n">
        <v>30</v>
      </c>
      <c r="AE1601" t="n">
        <v>33</v>
      </c>
      <c r="AF1601" t="n">
        <v>13</v>
      </c>
      <c r="AG1601" t="n">
        <v>14</v>
      </c>
      <c r="AH1601" t="n">
        <v>6</v>
      </c>
      <c r="AI1601" t="n">
        <v>7</v>
      </c>
      <c r="AJ1601" t="n">
        <v>19</v>
      </c>
      <c r="AK1601" t="n">
        <v>21</v>
      </c>
      <c r="AL1601" t="n">
        <v>2</v>
      </c>
      <c r="AM1601" t="n">
        <v>2</v>
      </c>
      <c r="AN1601" t="n">
        <v>0</v>
      </c>
      <c r="AO1601" t="n">
        <v>0</v>
      </c>
      <c r="AP1601" t="inlineStr">
        <is>
          <t>No</t>
        </is>
      </c>
      <c r="AQ1601" t="inlineStr">
        <is>
          <t>Yes</t>
        </is>
      </c>
      <c r="AR1601">
        <f>HYPERLINK("http://catalog.hathitrust.org/Record/005236298","HathiTrust Record")</f>
        <v/>
      </c>
      <c r="AS1601">
        <f>HYPERLINK("https://creighton-primo.hosted.exlibrisgroup.com/primo-explore/search?tab=default_tab&amp;search_scope=EVERYTHING&amp;vid=01CRU&amp;lang=en_US&amp;offset=0&amp;query=any,contains,991004822059702656","Catalog Record")</f>
        <v/>
      </c>
      <c r="AT1601">
        <f>HYPERLINK("http://www.worldcat.org/oclc/61881075","WorldCat Record")</f>
        <v/>
      </c>
      <c r="AU1601" t="inlineStr">
        <is>
          <t>7594712:eng</t>
        </is>
      </c>
      <c r="AV1601" t="inlineStr">
        <is>
          <t>61881075</t>
        </is>
      </c>
      <c r="AW1601" t="inlineStr">
        <is>
          <t>991004822059702656</t>
        </is>
      </c>
      <c r="AX1601" t="inlineStr">
        <is>
          <t>991004822059702656</t>
        </is>
      </c>
      <c r="AY1601" t="inlineStr">
        <is>
          <t>2262443300002656</t>
        </is>
      </c>
      <c r="AZ1601" t="inlineStr">
        <is>
          <t>BOOK</t>
        </is>
      </c>
      <c r="BB1601" t="inlineStr">
        <is>
          <t>9780809105625</t>
        </is>
      </c>
      <c r="BC1601" t="inlineStr">
        <is>
          <t>32285005190615</t>
        </is>
      </c>
      <c r="BD1601" t="inlineStr">
        <is>
          <t>893776486</t>
        </is>
      </c>
    </row>
    <row r="1602">
      <c r="A1602" t="inlineStr">
        <is>
          <t>No</t>
        </is>
      </c>
      <c r="B1602" t="inlineStr">
        <is>
          <t>BX2350.65 .L37 2003</t>
        </is>
      </c>
      <c r="C1602" t="inlineStr">
        <is>
          <t>0                      BX 2350650L  37          2003</t>
        </is>
      </c>
      <c r="D1602" t="inlineStr">
        <is>
          <t>The heart of Catholic spirituality : finding a voice through the centuries / Thomas Lane.</t>
        </is>
      </c>
      <c r="F1602" t="inlineStr">
        <is>
          <t>No</t>
        </is>
      </c>
      <c r="G1602" t="inlineStr">
        <is>
          <t>1</t>
        </is>
      </c>
      <c r="H1602" t="inlineStr">
        <is>
          <t>No</t>
        </is>
      </c>
      <c r="I1602" t="inlineStr">
        <is>
          <t>No</t>
        </is>
      </c>
      <c r="J1602" t="inlineStr">
        <is>
          <t>0</t>
        </is>
      </c>
      <c r="K1602" t="inlineStr">
        <is>
          <t>Lane, Thomas, CM</t>
        </is>
      </c>
      <c r="L1602" t="inlineStr">
        <is>
          <t>New York : Paulist Press, 2003.</t>
        </is>
      </c>
      <c r="M1602" t="inlineStr">
        <is>
          <t>2003</t>
        </is>
      </c>
      <c r="O1602" t="inlineStr">
        <is>
          <t>eng</t>
        </is>
      </c>
      <c r="P1602" t="inlineStr">
        <is>
          <t>nyu</t>
        </is>
      </c>
      <c r="R1602" t="inlineStr">
        <is>
          <t xml:space="preserve">BX </t>
        </is>
      </c>
      <c r="S1602" t="n">
        <v>4</v>
      </c>
      <c r="T1602" t="n">
        <v>4</v>
      </c>
      <c r="U1602" t="inlineStr">
        <is>
          <t>2008-01-31</t>
        </is>
      </c>
      <c r="V1602" t="inlineStr">
        <is>
          <t>2008-01-31</t>
        </is>
      </c>
      <c r="W1602" t="inlineStr">
        <is>
          <t>2003-07-30</t>
        </is>
      </c>
      <c r="X1602" t="inlineStr">
        <is>
          <t>2003-07-30</t>
        </is>
      </c>
      <c r="Y1602" t="n">
        <v>104</v>
      </c>
      <c r="Z1602" t="n">
        <v>89</v>
      </c>
      <c r="AA1602" t="n">
        <v>94</v>
      </c>
      <c r="AB1602" t="n">
        <v>1</v>
      </c>
      <c r="AC1602" t="n">
        <v>1</v>
      </c>
      <c r="AD1602" t="n">
        <v>12</v>
      </c>
      <c r="AE1602" t="n">
        <v>12</v>
      </c>
      <c r="AF1602" t="n">
        <v>4</v>
      </c>
      <c r="AG1602" t="n">
        <v>4</v>
      </c>
      <c r="AH1602" t="n">
        <v>4</v>
      </c>
      <c r="AI1602" t="n">
        <v>4</v>
      </c>
      <c r="AJ1602" t="n">
        <v>8</v>
      </c>
      <c r="AK1602" t="n">
        <v>8</v>
      </c>
      <c r="AL1602" t="n">
        <v>0</v>
      </c>
      <c r="AM1602" t="n">
        <v>0</v>
      </c>
      <c r="AN1602" t="n">
        <v>0</v>
      </c>
      <c r="AO1602" t="n">
        <v>0</v>
      </c>
      <c r="AP1602" t="inlineStr">
        <is>
          <t>No</t>
        </is>
      </c>
      <c r="AQ1602" t="inlineStr">
        <is>
          <t>No</t>
        </is>
      </c>
      <c r="AS1602">
        <f>HYPERLINK("https://creighton-primo.hosted.exlibrisgroup.com/primo-explore/search?tab=default_tab&amp;search_scope=EVERYTHING&amp;vid=01CRU&amp;lang=en_US&amp;offset=0&amp;query=any,contains,991004090729702656","Catalog Record")</f>
        <v/>
      </c>
      <c r="AT1602">
        <f>HYPERLINK("http://www.worldcat.org/oclc/51210378","WorldCat Record")</f>
        <v/>
      </c>
      <c r="AU1602" t="inlineStr">
        <is>
          <t>704155:eng</t>
        </is>
      </c>
      <c r="AV1602" t="inlineStr">
        <is>
          <t>51210378</t>
        </is>
      </c>
      <c r="AW1602" t="inlineStr">
        <is>
          <t>991004090729702656</t>
        </is>
      </c>
      <c r="AX1602" t="inlineStr">
        <is>
          <t>991004090729702656</t>
        </is>
      </c>
      <c r="AY1602" t="inlineStr">
        <is>
          <t>2259200310002656</t>
        </is>
      </c>
      <c r="AZ1602" t="inlineStr">
        <is>
          <t>BOOK</t>
        </is>
      </c>
      <c r="BB1602" t="inlineStr">
        <is>
          <t>9780809141432</t>
        </is>
      </c>
      <c r="BC1602" t="inlineStr">
        <is>
          <t>32285004758222</t>
        </is>
      </c>
      <c r="BD1602" t="inlineStr">
        <is>
          <t>893512803</t>
        </is>
      </c>
    </row>
    <row r="1603">
      <c r="A1603" t="inlineStr">
        <is>
          <t>No</t>
        </is>
      </c>
      <c r="B1603" t="inlineStr">
        <is>
          <t>BX2350.65 .S54 2002</t>
        </is>
      </c>
      <c r="C1603" t="inlineStr">
        <is>
          <t>0                      BX 2350650S  54          2002</t>
        </is>
      </c>
      <c r="D1603" t="inlineStr">
        <is>
          <t>Shepherds of Christ newsletters : selected writings on spirituality for all people as published in "Shepherds of Christ" newsletter for priests / Edward J. Carter, editor.</t>
        </is>
      </c>
      <c r="F1603" t="inlineStr">
        <is>
          <t>No</t>
        </is>
      </c>
      <c r="G1603" t="inlineStr">
        <is>
          <t>1</t>
        </is>
      </c>
      <c r="H1603" t="inlineStr">
        <is>
          <t>No</t>
        </is>
      </c>
      <c r="I1603" t="inlineStr">
        <is>
          <t>Yes</t>
        </is>
      </c>
      <c r="J1603" t="inlineStr">
        <is>
          <t>0</t>
        </is>
      </c>
      <c r="L1603" t="inlineStr">
        <is>
          <t>Morrow, Ohio : Shepherds of Christ Pub., c2002.</t>
        </is>
      </c>
      <c r="M1603" t="inlineStr">
        <is>
          <t>2002</t>
        </is>
      </c>
      <c r="O1603" t="inlineStr">
        <is>
          <t>eng</t>
        </is>
      </c>
      <c r="P1603" t="inlineStr">
        <is>
          <t>ohu</t>
        </is>
      </c>
      <c r="R1603" t="inlineStr">
        <is>
          <t xml:space="preserve">BX </t>
        </is>
      </c>
      <c r="S1603" t="n">
        <v>1</v>
      </c>
      <c r="T1603" t="n">
        <v>1</v>
      </c>
      <c r="U1603" t="inlineStr">
        <is>
          <t>2002-08-13</t>
        </is>
      </c>
      <c r="V1603" t="inlineStr">
        <is>
          <t>2002-08-13</t>
        </is>
      </c>
      <c r="W1603" t="inlineStr">
        <is>
          <t>2002-08-13</t>
        </is>
      </c>
      <c r="X1603" t="inlineStr">
        <is>
          <t>2002-08-13</t>
        </is>
      </c>
      <c r="Y1603" t="n">
        <v>16</v>
      </c>
      <c r="Z1603" t="n">
        <v>15</v>
      </c>
      <c r="AA1603" t="n">
        <v>73</v>
      </c>
      <c r="AB1603" t="n">
        <v>2</v>
      </c>
      <c r="AC1603" t="n">
        <v>2</v>
      </c>
      <c r="AD1603" t="n">
        <v>3</v>
      </c>
      <c r="AE1603" t="n">
        <v>11</v>
      </c>
      <c r="AF1603" t="n">
        <v>0</v>
      </c>
      <c r="AG1603" t="n">
        <v>2</v>
      </c>
      <c r="AH1603" t="n">
        <v>1</v>
      </c>
      <c r="AI1603" t="n">
        <v>1</v>
      </c>
      <c r="AJ1603" t="n">
        <v>2</v>
      </c>
      <c r="AK1603" t="n">
        <v>10</v>
      </c>
      <c r="AL1603" t="n">
        <v>0</v>
      </c>
      <c r="AM1603" t="n">
        <v>0</v>
      </c>
      <c r="AN1603" t="n">
        <v>0</v>
      </c>
      <c r="AO1603" t="n">
        <v>0</v>
      </c>
      <c r="AP1603" t="inlineStr">
        <is>
          <t>No</t>
        </is>
      </c>
      <c r="AQ1603" t="inlineStr">
        <is>
          <t>No</t>
        </is>
      </c>
      <c r="AS1603">
        <f>HYPERLINK("https://creighton-primo.hosted.exlibrisgroup.com/primo-explore/search?tab=default_tab&amp;search_scope=EVERYTHING&amp;vid=01CRU&amp;lang=en_US&amp;offset=0&amp;query=any,contains,991003856479702656","Catalog Record")</f>
        <v/>
      </c>
      <c r="AT1603">
        <f>HYPERLINK("http://www.worldcat.org/oclc/49418602","WorldCat Record")</f>
        <v/>
      </c>
      <c r="AU1603" t="inlineStr">
        <is>
          <t>3769933594:eng</t>
        </is>
      </c>
      <c r="AV1603" t="inlineStr">
        <is>
          <t>49418602</t>
        </is>
      </c>
      <c r="AW1603" t="inlineStr">
        <is>
          <t>991003856479702656</t>
        </is>
      </c>
      <c r="AX1603" t="inlineStr">
        <is>
          <t>991003856479702656</t>
        </is>
      </c>
      <c r="AY1603" t="inlineStr">
        <is>
          <t>2259409640002656</t>
        </is>
      </c>
      <c r="AZ1603" t="inlineStr">
        <is>
          <t>BOOK</t>
        </is>
      </c>
      <c r="BC1603" t="inlineStr">
        <is>
          <t>32285004642947</t>
        </is>
      </c>
      <c r="BD1603" t="inlineStr">
        <is>
          <t>893810224</t>
        </is>
      </c>
    </row>
    <row r="1604">
      <c r="A1604" t="inlineStr">
        <is>
          <t>No</t>
        </is>
      </c>
      <c r="B1604" t="inlineStr">
        <is>
          <t>BX2350.65 .S63 2001</t>
        </is>
      </c>
      <c r="C1604" t="inlineStr">
        <is>
          <t>0                      BX 2350650S  63          2001</t>
        </is>
      </c>
      <c r="D1604" t="inlineStr">
        <is>
          <t>Spiritual questions for the twenty-first century : essays in honor of Joan D. Chittister / edited by Mary Hembrow Snyder.</t>
        </is>
      </c>
      <c r="F1604" t="inlineStr">
        <is>
          <t>No</t>
        </is>
      </c>
      <c r="G1604" t="inlineStr">
        <is>
          <t>1</t>
        </is>
      </c>
      <c r="H1604" t="inlineStr">
        <is>
          <t>No</t>
        </is>
      </c>
      <c r="I1604" t="inlineStr">
        <is>
          <t>No</t>
        </is>
      </c>
      <c r="J1604" t="inlineStr">
        <is>
          <t>0</t>
        </is>
      </c>
      <c r="L1604" t="inlineStr">
        <is>
          <t>Maryknoll, N.Y. : Orbis Books, c2001.</t>
        </is>
      </c>
      <c r="M1604" t="inlineStr">
        <is>
          <t>2001</t>
        </is>
      </c>
      <c r="O1604" t="inlineStr">
        <is>
          <t>eng</t>
        </is>
      </c>
      <c r="P1604" t="inlineStr">
        <is>
          <t>nyu</t>
        </is>
      </c>
      <c r="R1604" t="inlineStr">
        <is>
          <t xml:space="preserve">BX </t>
        </is>
      </c>
      <c r="S1604" t="n">
        <v>7</v>
      </c>
      <c r="T1604" t="n">
        <v>7</v>
      </c>
      <c r="U1604" t="inlineStr">
        <is>
          <t>2007-04-24</t>
        </is>
      </c>
      <c r="V1604" t="inlineStr">
        <is>
          <t>2007-04-24</t>
        </is>
      </c>
      <c r="W1604" t="inlineStr">
        <is>
          <t>2001-04-17</t>
        </is>
      </c>
      <c r="X1604" t="inlineStr">
        <is>
          <t>2001-04-17</t>
        </is>
      </c>
      <c r="Y1604" t="n">
        <v>193</v>
      </c>
      <c r="Z1604" t="n">
        <v>154</v>
      </c>
      <c r="AA1604" t="n">
        <v>160</v>
      </c>
      <c r="AB1604" t="n">
        <v>2</v>
      </c>
      <c r="AC1604" t="n">
        <v>2</v>
      </c>
      <c r="AD1604" t="n">
        <v>19</v>
      </c>
      <c r="AE1604" t="n">
        <v>19</v>
      </c>
      <c r="AF1604" t="n">
        <v>6</v>
      </c>
      <c r="AG1604" t="n">
        <v>6</v>
      </c>
      <c r="AH1604" t="n">
        <v>5</v>
      </c>
      <c r="AI1604" t="n">
        <v>5</v>
      </c>
      <c r="AJ1604" t="n">
        <v>13</v>
      </c>
      <c r="AK1604" t="n">
        <v>13</v>
      </c>
      <c r="AL1604" t="n">
        <v>1</v>
      </c>
      <c r="AM1604" t="n">
        <v>1</v>
      </c>
      <c r="AN1604" t="n">
        <v>0</v>
      </c>
      <c r="AO1604" t="n">
        <v>0</v>
      </c>
      <c r="AP1604" t="inlineStr">
        <is>
          <t>No</t>
        </is>
      </c>
      <c r="AQ1604" t="inlineStr">
        <is>
          <t>Yes</t>
        </is>
      </c>
      <c r="AR1604">
        <f>HYPERLINK("http://catalog.hathitrust.org/Record/004157417","HathiTrust Record")</f>
        <v/>
      </c>
      <c r="AS1604">
        <f>HYPERLINK("https://creighton-primo.hosted.exlibrisgroup.com/primo-explore/search?tab=default_tab&amp;search_scope=EVERYTHING&amp;vid=01CRU&amp;lang=en_US&amp;offset=0&amp;query=any,contains,991003527989702656","Catalog Record")</f>
        <v/>
      </c>
      <c r="AT1604">
        <f>HYPERLINK("http://www.worldcat.org/oclc/45172704","WorldCat Record")</f>
        <v/>
      </c>
      <c r="AU1604" t="inlineStr">
        <is>
          <t>837081521:eng</t>
        </is>
      </c>
      <c r="AV1604" t="inlineStr">
        <is>
          <t>45172704</t>
        </is>
      </c>
      <c r="AW1604" t="inlineStr">
        <is>
          <t>991003527989702656</t>
        </is>
      </c>
      <c r="AX1604" t="inlineStr">
        <is>
          <t>991003527989702656</t>
        </is>
      </c>
      <c r="AY1604" t="inlineStr">
        <is>
          <t>2258966300002656</t>
        </is>
      </c>
      <c r="AZ1604" t="inlineStr">
        <is>
          <t>BOOK</t>
        </is>
      </c>
      <c r="BB1604" t="inlineStr">
        <is>
          <t>9781570753695</t>
        </is>
      </c>
      <c r="BC1604" t="inlineStr">
        <is>
          <t>32285004312848</t>
        </is>
      </c>
      <c r="BD1604" t="inlineStr">
        <is>
          <t>893705319</t>
        </is>
      </c>
    </row>
    <row r="1605">
      <c r="A1605" t="inlineStr">
        <is>
          <t>No</t>
        </is>
      </c>
      <c r="B1605" t="inlineStr">
        <is>
          <t>BX2350.7 .B45 1994</t>
        </is>
      </c>
      <c r="C1605" t="inlineStr">
        <is>
          <t>0                      BX 2350700B  45          1994</t>
        </is>
      </c>
      <c r="D1605" t="inlineStr">
        <is>
          <t>Witnessing to the fire : spiritual direction and the development of directors, one center's experience / Madeline Birmingham and William J. Connolly.</t>
        </is>
      </c>
      <c r="F1605" t="inlineStr">
        <is>
          <t>No</t>
        </is>
      </c>
      <c r="G1605" t="inlineStr">
        <is>
          <t>1</t>
        </is>
      </c>
      <c r="H1605" t="inlineStr">
        <is>
          <t>No</t>
        </is>
      </c>
      <c r="I1605" t="inlineStr">
        <is>
          <t>No</t>
        </is>
      </c>
      <c r="J1605" t="inlineStr">
        <is>
          <t>0</t>
        </is>
      </c>
      <c r="K1605" t="inlineStr">
        <is>
          <t>Birmingham, Madeline.</t>
        </is>
      </c>
      <c r="L1605" t="inlineStr">
        <is>
          <t>Kansas City, MO : Sheed &amp; Ward, c1994.</t>
        </is>
      </c>
      <c r="M1605" t="inlineStr">
        <is>
          <t>1994</t>
        </is>
      </c>
      <c r="O1605" t="inlineStr">
        <is>
          <t>eng</t>
        </is>
      </c>
      <c r="P1605" t="inlineStr">
        <is>
          <t>mou</t>
        </is>
      </c>
      <c r="R1605" t="inlineStr">
        <is>
          <t xml:space="preserve">BX </t>
        </is>
      </c>
      <c r="S1605" t="n">
        <v>5</v>
      </c>
      <c r="T1605" t="n">
        <v>5</v>
      </c>
      <c r="U1605" t="inlineStr">
        <is>
          <t>2000-09-18</t>
        </is>
      </c>
      <c r="V1605" t="inlineStr">
        <is>
          <t>2000-09-18</t>
        </is>
      </c>
      <c r="W1605" t="inlineStr">
        <is>
          <t>1999-04-15</t>
        </is>
      </c>
      <c r="X1605" t="inlineStr">
        <is>
          <t>1999-04-15</t>
        </is>
      </c>
      <c r="Y1605" t="n">
        <v>133</v>
      </c>
      <c r="Z1605" t="n">
        <v>112</v>
      </c>
      <c r="AA1605" t="n">
        <v>112</v>
      </c>
      <c r="AB1605" t="n">
        <v>1</v>
      </c>
      <c r="AC1605" t="n">
        <v>1</v>
      </c>
      <c r="AD1605" t="n">
        <v>16</v>
      </c>
      <c r="AE1605" t="n">
        <v>16</v>
      </c>
      <c r="AF1605" t="n">
        <v>6</v>
      </c>
      <c r="AG1605" t="n">
        <v>6</v>
      </c>
      <c r="AH1605" t="n">
        <v>2</v>
      </c>
      <c r="AI1605" t="n">
        <v>2</v>
      </c>
      <c r="AJ1605" t="n">
        <v>13</v>
      </c>
      <c r="AK1605" t="n">
        <v>13</v>
      </c>
      <c r="AL1605" t="n">
        <v>0</v>
      </c>
      <c r="AM1605" t="n">
        <v>0</v>
      </c>
      <c r="AN1605" t="n">
        <v>0</v>
      </c>
      <c r="AO1605" t="n">
        <v>0</v>
      </c>
      <c r="AP1605" t="inlineStr">
        <is>
          <t>No</t>
        </is>
      </c>
      <c r="AQ1605" t="inlineStr">
        <is>
          <t>No</t>
        </is>
      </c>
      <c r="AS1605">
        <f>HYPERLINK("https://creighton-primo.hosted.exlibrisgroup.com/primo-explore/search?tab=default_tab&amp;search_scope=EVERYTHING&amp;vid=01CRU&amp;lang=en_US&amp;offset=0&amp;query=any,contains,991002223349702656","Catalog Record")</f>
        <v/>
      </c>
      <c r="AT1605">
        <f>HYPERLINK("http://www.worldcat.org/oclc/28634369","WorldCat Record")</f>
        <v/>
      </c>
      <c r="AU1605" t="inlineStr">
        <is>
          <t>30841203:eng</t>
        </is>
      </c>
      <c r="AV1605" t="inlineStr">
        <is>
          <t>28634369</t>
        </is>
      </c>
      <c r="AW1605" t="inlineStr">
        <is>
          <t>991002223349702656</t>
        </is>
      </c>
      <c r="AX1605" t="inlineStr">
        <is>
          <t>991002223349702656</t>
        </is>
      </c>
      <c r="AY1605" t="inlineStr">
        <is>
          <t>2257301220002656</t>
        </is>
      </c>
      <c r="AZ1605" t="inlineStr">
        <is>
          <t>BOOK</t>
        </is>
      </c>
      <c r="BB1605" t="inlineStr">
        <is>
          <t>9781556126666</t>
        </is>
      </c>
      <c r="BC1605" t="inlineStr">
        <is>
          <t>32285003552345</t>
        </is>
      </c>
      <c r="BD1605" t="inlineStr">
        <is>
          <t>893804370</t>
        </is>
      </c>
    </row>
    <row r="1606">
      <c r="A1606" t="inlineStr">
        <is>
          <t>No</t>
        </is>
      </c>
      <c r="B1606" t="inlineStr">
        <is>
          <t>BX2350.7 .D58 1998</t>
        </is>
      </c>
      <c r="C1606" t="inlineStr">
        <is>
          <t>0                      BX 2350700D  58          1998</t>
        </is>
      </c>
      <c r="D1606" t="inlineStr">
        <is>
          <t>Handbook for spiritual directors / by Julie M. Douglas.</t>
        </is>
      </c>
      <c r="F1606" t="inlineStr">
        <is>
          <t>No</t>
        </is>
      </c>
      <c r="G1606" t="inlineStr">
        <is>
          <t>1</t>
        </is>
      </c>
      <c r="H1606" t="inlineStr">
        <is>
          <t>No</t>
        </is>
      </c>
      <c r="I1606" t="inlineStr">
        <is>
          <t>No</t>
        </is>
      </c>
      <c r="J1606" t="inlineStr">
        <is>
          <t>0</t>
        </is>
      </c>
      <c r="K1606" t="inlineStr">
        <is>
          <t>Douglas, Julie M., 1949-</t>
        </is>
      </c>
      <c r="L1606" t="inlineStr">
        <is>
          <t>New York : Paulist Press, c1998.</t>
        </is>
      </c>
      <c r="M1606" t="inlineStr">
        <is>
          <t>1998</t>
        </is>
      </c>
      <c r="O1606" t="inlineStr">
        <is>
          <t>eng</t>
        </is>
      </c>
      <c r="P1606" t="inlineStr">
        <is>
          <t>nyu</t>
        </is>
      </c>
      <c r="R1606" t="inlineStr">
        <is>
          <t xml:space="preserve">BX </t>
        </is>
      </c>
      <c r="S1606" t="n">
        <v>6</v>
      </c>
      <c r="T1606" t="n">
        <v>6</v>
      </c>
      <c r="U1606" t="inlineStr">
        <is>
          <t>2008-06-16</t>
        </is>
      </c>
      <c r="V1606" t="inlineStr">
        <is>
          <t>2008-06-16</t>
        </is>
      </c>
      <c r="W1606" t="inlineStr">
        <is>
          <t>1998-12-02</t>
        </is>
      </c>
      <c r="X1606" t="inlineStr">
        <is>
          <t>1998-12-02</t>
        </is>
      </c>
      <c r="Y1606" t="n">
        <v>149</v>
      </c>
      <c r="Z1606" t="n">
        <v>119</v>
      </c>
      <c r="AA1606" t="n">
        <v>131</v>
      </c>
      <c r="AB1606" t="n">
        <v>1</v>
      </c>
      <c r="AC1606" t="n">
        <v>1</v>
      </c>
      <c r="AD1606" t="n">
        <v>10</v>
      </c>
      <c r="AE1606" t="n">
        <v>10</v>
      </c>
      <c r="AF1606" t="n">
        <v>4</v>
      </c>
      <c r="AG1606" t="n">
        <v>4</v>
      </c>
      <c r="AH1606" t="n">
        <v>1</v>
      </c>
      <c r="AI1606" t="n">
        <v>1</v>
      </c>
      <c r="AJ1606" t="n">
        <v>7</v>
      </c>
      <c r="AK1606" t="n">
        <v>7</v>
      </c>
      <c r="AL1606" t="n">
        <v>0</v>
      </c>
      <c r="AM1606" t="n">
        <v>0</v>
      </c>
      <c r="AN1606" t="n">
        <v>0</v>
      </c>
      <c r="AO1606" t="n">
        <v>0</v>
      </c>
      <c r="AP1606" t="inlineStr">
        <is>
          <t>No</t>
        </is>
      </c>
      <c r="AQ1606" t="inlineStr">
        <is>
          <t>No</t>
        </is>
      </c>
      <c r="AS1606">
        <f>HYPERLINK("https://creighton-primo.hosted.exlibrisgroup.com/primo-explore/search?tab=default_tab&amp;search_scope=EVERYTHING&amp;vid=01CRU&amp;lang=en_US&amp;offset=0&amp;query=any,contains,991002929239702656","Catalog Record")</f>
        <v/>
      </c>
      <c r="AT1606">
        <f>HYPERLINK("http://www.worldcat.org/oclc/38936734","WorldCat Record")</f>
        <v/>
      </c>
      <c r="AU1606" t="inlineStr">
        <is>
          <t>42392246:eng</t>
        </is>
      </c>
      <c r="AV1606" t="inlineStr">
        <is>
          <t>38936734</t>
        </is>
      </c>
      <c r="AW1606" t="inlineStr">
        <is>
          <t>991002929239702656</t>
        </is>
      </c>
      <c r="AX1606" t="inlineStr">
        <is>
          <t>991002929239702656</t>
        </is>
      </c>
      <c r="AY1606" t="inlineStr">
        <is>
          <t>2266675560002656</t>
        </is>
      </c>
      <c r="AZ1606" t="inlineStr">
        <is>
          <t>BOOK</t>
        </is>
      </c>
      <c r="BB1606" t="inlineStr">
        <is>
          <t>9780809138029</t>
        </is>
      </c>
      <c r="BC1606" t="inlineStr">
        <is>
          <t>32285003492831</t>
        </is>
      </c>
      <c r="BD1606" t="inlineStr">
        <is>
          <t>893227456</t>
        </is>
      </c>
    </row>
    <row r="1607">
      <c r="A1607" t="inlineStr">
        <is>
          <t>No</t>
        </is>
      </c>
      <c r="B1607" t="inlineStr">
        <is>
          <t>BX2350.7 .D6 1958</t>
        </is>
      </c>
      <c r="C1607" t="inlineStr">
        <is>
          <t>0                      BX 2350700D  6           1958</t>
        </is>
      </c>
      <c r="D1607" t="inlineStr">
        <is>
          <t>Guidance in spiritual direction / by Charles Hugo Doyle.</t>
        </is>
      </c>
      <c r="F1607" t="inlineStr">
        <is>
          <t>No</t>
        </is>
      </c>
      <c r="G1607" t="inlineStr">
        <is>
          <t>1</t>
        </is>
      </c>
      <c r="H1607" t="inlineStr">
        <is>
          <t>No</t>
        </is>
      </c>
      <c r="I1607" t="inlineStr">
        <is>
          <t>No</t>
        </is>
      </c>
      <c r="J1607" t="inlineStr">
        <is>
          <t>0</t>
        </is>
      </c>
      <c r="K1607" t="inlineStr">
        <is>
          <t>Doyle, Chas. Hugo (Charles Hugo)</t>
        </is>
      </c>
      <c r="L1607" t="inlineStr">
        <is>
          <t>Westminster, Md. : Newman Press, 1958.</t>
        </is>
      </c>
      <c r="M1607" t="inlineStr">
        <is>
          <t>1958</t>
        </is>
      </c>
      <c r="O1607" t="inlineStr">
        <is>
          <t>eng</t>
        </is>
      </c>
      <c r="P1607" t="inlineStr">
        <is>
          <t>mdu</t>
        </is>
      </c>
      <c r="R1607" t="inlineStr">
        <is>
          <t xml:space="preserve">BX </t>
        </is>
      </c>
      <c r="S1607" t="n">
        <v>3</v>
      </c>
      <c r="T1607" t="n">
        <v>3</v>
      </c>
      <c r="U1607" t="inlineStr">
        <is>
          <t>2001-06-11</t>
        </is>
      </c>
      <c r="V1607" t="inlineStr">
        <is>
          <t>2001-06-11</t>
        </is>
      </c>
      <c r="W1607" t="inlineStr">
        <is>
          <t>1991-07-11</t>
        </is>
      </c>
      <c r="X1607" t="inlineStr">
        <is>
          <t>1991-07-11</t>
        </is>
      </c>
      <c r="Y1607" t="n">
        <v>109</v>
      </c>
      <c r="Z1607" t="n">
        <v>96</v>
      </c>
      <c r="AA1607" t="n">
        <v>102</v>
      </c>
      <c r="AB1607" t="n">
        <v>2</v>
      </c>
      <c r="AC1607" t="n">
        <v>2</v>
      </c>
      <c r="AD1607" t="n">
        <v>17</v>
      </c>
      <c r="AE1607" t="n">
        <v>17</v>
      </c>
      <c r="AF1607" t="n">
        <v>5</v>
      </c>
      <c r="AG1607" t="n">
        <v>5</v>
      </c>
      <c r="AH1607" t="n">
        <v>5</v>
      </c>
      <c r="AI1607" t="n">
        <v>5</v>
      </c>
      <c r="AJ1607" t="n">
        <v>13</v>
      </c>
      <c r="AK1607" t="n">
        <v>13</v>
      </c>
      <c r="AL1607" t="n">
        <v>0</v>
      </c>
      <c r="AM1607" t="n">
        <v>0</v>
      </c>
      <c r="AN1607" t="n">
        <v>0</v>
      </c>
      <c r="AO1607" t="n">
        <v>0</v>
      </c>
      <c r="AP1607" t="inlineStr">
        <is>
          <t>No</t>
        </is>
      </c>
      <c r="AQ1607" t="inlineStr">
        <is>
          <t>No</t>
        </is>
      </c>
      <c r="AS1607">
        <f>HYPERLINK("https://creighton-primo.hosted.exlibrisgroup.com/primo-explore/search?tab=default_tab&amp;search_scope=EVERYTHING&amp;vid=01CRU&amp;lang=en_US&amp;offset=0&amp;query=any,contains,991004260469702656","Catalog Record")</f>
        <v/>
      </c>
      <c r="AT1607">
        <f>HYPERLINK("http://www.worldcat.org/oclc/2841248","WorldCat Record")</f>
        <v/>
      </c>
      <c r="AU1607" t="inlineStr">
        <is>
          <t>6549409:eng</t>
        </is>
      </c>
      <c r="AV1607" t="inlineStr">
        <is>
          <t>2841248</t>
        </is>
      </c>
      <c r="AW1607" t="inlineStr">
        <is>
          <t>991004260469702656</t>
        </is>
      </c>
      <c r="AX1607" t="inlineStr">
        <is>
          <t>991004260469702656</t>
        </is>
      </c>
      <c r="AY1607" t="inlineStr">
        <is>
          <t>2266736330002656</t>
        </is>
      </c>
      <c r="AZ1607" t="inlineStr">
        <is>
          <t>BOOK</t>
        </is>
      </c>
      <c r="BC1607" t="inlineStr">
        <is>
          <t>32285000637685</t>
        </is>
      </c>
      <c r="BD1607" t="inlineStr">
        <is>
          <t>893800787</t>
        </is>
      </c>
    </row>
    <row r="1608">
      <c r="A1608" t="inlineStr">
        <is>
          <t>No</t>
        </is>
      </c>
      <c r="B1608" t="inlineStr">
        <is>
          <t>BX2350.7 .L3213 1975</t>
        </is>
      </c>
      <c r="C1608" t="inlineStr">
        <is>
          <t>0                      BX 2350700L  3213        1975</t>
        </is>
      </c>
      <c r="D1608" t="inlineStr">
        <is>
          <t>Preparing for spiritual direction / Jean LaPlace. Translated by John C. Guinness.</t>
        </is>
      </c>
      <c r="F1608" t="inlineStr">
        <is>
          <t>No</t>
        </is>
      </c>
      <c r="G1608" t="inlineStr">
        <is>
          <t>1</t>
        </is>
      </c>
      <c r="H1608" t="inlineStr">
        <is>
          <t>No</t>
        </is>
      </c>
      <c r="I1608" t="inlineStr">
        <is>
          <t>No</t>
        </is>
      </c>
      <c r="J1608" t="inlineStr">
        <is>
          <t>0</t>
        </is>
      </c>
      <c r="K1608" t="inlineStr">
        <is>
          <t>Laplace, Jean, 1911-2006.</t>
        </is>
      </c>
      <c r="L1608" t="inlineStr">
        <is>
          <t>Chicago : Franciscan Herald Press, [1975]</t>
        </is>
      </c>
      <c r="M1608" t="inlineStr">
        <is>
          <t>1975</t>
        </is>
      </c>
      <c r="O1608" t="inlineStr">
        <is>
          <t>eng</t>
        </is>
      </c>
      <c r="P1608" t="inlineStr">
        <is>
          <t>ilu</t>
        </is>
      </c>
      <c r="R1608" t="inlineStr">
        <is>
          <t xml:space="preserve">BX </t>
        </is>
      </c>
      <c r="S1608" t="n">
        <v>3</v>
      </c>
      <c r="T1608" t="n">
        <v>3</v>
      </c>
      <c r="U1608" t="inlineStr">
        <is>
          <t>1992-06-17</t>
        </is>
      </c>
      <c r="V1608" t="inlineStr">
        <is>
          <t>1992-06-17</t>
        </is>
      </c>
      <c r="W1608" t="inlineStr">
        <is>
          <t>1991-07-11</t>
        </is>
      </c>
      <c r="X1608" t="inlineStr">
        <is>
          <t>1991-07-11</t>
        </is>
      </c>
      <c r="Y1608" t="n">
        <v>240</v>
      </c>
      <c r="Z1608" t="n">
        <v>214</v>
      </c>
      <c r="AA1608" t="n">
        <v>221</v>
      </c>
      <c r="AB1608" t="n">
        <v>2</v>
      </c>
      <c r="AC1608" t="n">
        <v>2</v>
      </c>
      <c r="AD1608" t="n">
        <v>23</v>
      </c>
      <c r="AE1608" t="n">
        <v>23</v>
      </c>
      <c r="AF1608" t="n">
        <v>5</v>
      </c>
      <c r="AG1608" t="n">
        <v>5</v>
      </c>
      <c r="AH1608" t="n">
        <v>6</v>
      </c>
      <c r="AI1608" t="n">
        <v>6</v>
      </c>
      <c r="AJ1608" t="n">
        <v>18</v>
      </c>
      <c r="AK1608" t="n">
        <v>18</v>
      </c>
      <c r="AL1608" t="n">
        <v>0</v>
      </c>
      <c r="AM1608" t="n">
        <v>0</v>
      </c>
      <c r="AN1608" t="n">
        <v>0</v>
      </c>
      <c r="AO1608" t="n">
        <v>0</v>
      </c>
      <c r="AP1608" t="inlineStr">
        <is>
          <t>No</t>
        </is>
      </c>
      <c r="AQ1608" t="inlineStr">
        <is>
          <t>No</t>
        </is>
      </c>
      <c r="AS1608">
        <f>HYPERLINK("https://creighton-primo.hosted.exlibrisgroup.com/primo-explore/search?tab=default_tab&amp;search_scope=EVERYTHING&amp;vid=01CRU&amp;lang=en_US&amp;offset=0&amp;query=any,contains,991003484829702656","Catalog Record")</f>
        <v/>
      </c>
      <c r="AT1608">
        <f>HYPERLINK("http://www.worldcat.org/oclc/1032186","WorldCat Record")</f>
        <v/>
      </c>
      <c r="AU1608" t="inlineStr">
        <is>
          <t>181158602:eng</t>
        </is>
      </c>
      <c r="AV1608" t="inlineStr">
        <is>
          <t>1032186</t>
        </is>
      </c>
      <c r="AW1608" t="inlineStr">
        <is>
          <t>991003484829702656</t>
        </is>
      </c>
      <c r="AX1608" t="inlineStr">
        <is>
          <t>991003484829702656</t>
        </is>
      </c>
      <c r="AY1608" t="inlineStr">
        <is>
          <t>2268125420002656</t>
        </is>
      </c>
      <c r="AZ1608" t="inlineStr">
        <is>
          <t>BOOK</t>
        </is>
      </c>
      <c r="BB1608" t="inlineStr">
        <is>
          <t>9780819905505</t>
        </is>
      </c>
      <c r="BC1608" t="inlineStr">
        <is>
          <t>32285000637677</t>
        </is>
      </c>
      <c r="BD1608" t="inlineStr">
        <is>
          <t>893874795</t>
        </is>
      </c>
    </row>
    <row r="1609">
      <c r="A1609" t="inlineStr">
        <is>
          <t>No</t>
        </is>
      </c>
      <c r="B1609" t="inlineStr">
        <is>
          <t>BX2350.7 .N45 1985</t>
        </is>
      </c>
      <c r="C1609" t="inlineStr">
        <is>
          <t>0                      BX 2350700N  45          1985</t>
        </is>
      </c>
      <c r="D1609" t="inlineStr">
        <is>
          <t>The way of spiritual direction / by Francis Kelly Nemeck and Marie Theresa Coombs.</t>
        </is>
      </c>
      <c r="F1609" t="inlineStr">
        <is>
          <t>No</t>
        </is>
      </c>
      <c r="G1609" t="inlineStr">
        <is>
          <t>1</t>
        </is>
      </c>
      <c r="H1609" t="inlineStr">
        <is>
          <t>No</t>
        </is>
      </c>
      <c r="I1609" t="inlineStr">
        <is>
          <t>No</t>
        </is>
      </c>
      <c r="J1609" t="inlineStr">
        <is>
          <t>0</t>
        </is>
      </c>
      <c r="K1609" t="inlineStr">
        <is>
          <t>Nemeck, Francis Kelly, 1936-2014.</t>
        </is>
      </c>
      <c r="L1609" t="inlineStr">
        <is>
          <t>Wilmington, Del. : M. Glazier, c1985.</t>
        </is>
      </c>
      <c r="M1609" t="inlineStr">
        <is>
          <t>1985</t>
        </is>
      </c>
      <c r="O1609" t="inlineStr">
        <is>
          <t>eng</t>
        </is>
      </c>
      <c r="P1609" t="inlineStr">
        <is>
          <t>mdu</t>
        </is>
      </c>
      <c r="Q1609" t="inlineStr">
        <is>
          <t>Consecrated life studies ; v. 5</t>
        </is>
      </c>
      <c r="R1609" t="inlineStr">
        <is>
          <t xml:space="preserve">BX </t>
        </is>
      </c>
      <c r="S1609" t="n">
        <v>6</v>
      </c>
      <c r="T1609" t="n">
        <v>6</v>
      </c>
      <c r="U1609" t="inlineStr">
        <is>
          <t>2007-07-21</t>
        </is>
      </c>
      <c r="V1609" t="inlineStr">
        <is>
          <t>2007-07-21</t>
        </is>
      </c>
      <c r="W1609" t="inlineStr">
        <is>
          <t>1990-07-17</t>
        </is>
      </c>
      <c r="X1609" t="inlineStr">
        <is>
          <t>1990-07-17</t>
        </is>
      </c>
      <c r="Y1609" t="n">
        <v>136</v>
      </c>
      <c r="Z1609" t="n">
        <v>119</v>
      </c>
      <c r="AA1609" t="n">
        <v>119</v>
      </c>
      <c r="AB1609" t="n">
        <v>2</v>
      </c>
      <c r="AC1609" t="n">
        <v>2</v>
      </c>
      <c r="AD1609" t="n">
        <v>13</v>
      </c>
      <c r="AE1609" t="n">
        <v>13</v>
      </c>
      <c r="AF1609" t="n">
        <v>3</v>
      </c>
      <c r="AG1609" t="n">
        <v>3</v>
      </c>
      <c r="AH1609" t="n">
        <v>3</v>
      </c>
      <c r="AI1609" t="n">
        <v>3</v>
      </c>
      <c r="AJ1609" t="n">
        <v>10</v>
      </c>
      <c r="AK1609" t="n">
        <v>10</v>
      </c>
      <c r="AL1609" t="n">
        <v>0</v>
      </c>
      <c r="AM1609" t="n">
        <v>0</v>
      </c>
      <c r="AN1609" t="n">
        <v>0</v>
      </c>
      <c r="AO1609" t="n">
        <v>0</v>
      </c>
      <c r="AP1609" t="inlineStr">
        <is>
          <t>No</t>
        </is>
      </c>
      <c r="AQ1609" t="inlineStr">
        <is>
          <t>No</t>
        </is>
      </c>
      <c r="AS1609">
        <f>HYPERLINK("https://creighton-primo.hosted.exlibrisgroup.com/primo-explore/search?tab=default_tab&amp;search_scope=EVERYTHING&amp;vid=01CRU&amp;lang=en_US&amp;offset=0&amp;query=any,contains,991000690499702656","Catalog Record")</f>
        <v/>
      </c>
      <c r="AT1609">
        <f>HYPERLINK("http://www.worldcat.org/oclc/12460758","WorldCat Record")</f>
        <v/>
      </c>
      <c r="AU1609" t="inlineStr">
        <is>
          <t>9489789604:eng</t>
        </is>
      </c>
      <c r="AV1609" t="inlineStr">
        <is>
          <t>12460758</t>
        </is>
      </c>
      <c r="AW1609" t="inlineStr">
        <is>
          <t>991000690499702656</t>
        </is>
      </c>
      <c r="AX1609" t="inlineStr">
        <is>
          <t>991000690499702656</t>
        </is>
      </c>
      <c r="AY1609" t="inlineStr">
        <is>
          <t>2261222550002656</t>
        </is>
      </c>
      <c r="AZ1609" t="inlineStr">
        <is>
          <t>BOOK</t>
        </is>
      </c>
      <c r="BB1609" t="inlineStr">
        <is>
          <t>9780894534478</t>
        </is>
      </c>
      <c r="BC1609" t="inlineStr">
        <is>
          <t>32285000238617</t>
        </is>
      </c>
      <c r="BD1609" t="inlineStr">
        <is>
          <t>893255642</t>
        </is>
      </c>
    </row>
    <row r="1610">
      <c r="A1610" t="inlineStr">
        <is>
          <t>No</t>
        </is>
      </c>
      <c r="B1610" t="inlineStr">
        <is>
          <t>BX2350.7 .S36</t>
        </is>
      </c>
      <c r="C1610" t="inlineStr">
        <is>
          <t>0                      BX 2350700S  36</t>
        </is>
      </c>
      <c r="D1610" t="inlineStr">
        <is>
          <t>Spiritual direction : reflections on a contemporary ministry / by Sandra Marie Schneiders.</t>
        </is>
      </c>
      <c r="F1610" t="inlineStr">
        <is>
          <t>No</t>
        </is>
      </c>
      <c r="G1610" t="inlineStr">
        <is>
          <t>1</t>
        </is>
      </c>
      <c r="H1610" t="inlineStr">
        <is>
          <t>No</t>
        </is>
      </c>
      <c r="I1610" t="inlineStr">
        <is>
          <t>No</t>
        </is>
      </c>
      <c r="J1610" t="inlineStr">
        <is>
          <t>0</t>
        </is>
      </c>
      <c r="K1610" t="inlineStr">
        <is>
          <t>Schneiders, Sandra Marie.</t>
        </is>
      </c>
      <c r="L1610" t="inlineStr">
        <is>
          <t>Chicago : National Sisters Vocational Conference, c1977.</t>
        </is>
      </c>
      <c r="M1610" t="inlineStr">
        <is>
          <t>1977</t>
        </is>
      </c>
      <c r="O1610" t="inlineStr">
        <is>
          <t>eng</t>
        </is>
      </c>
      <c r="P1610" t="inlineStr">
        <is>
          <t>ilu</t>
        </is>
      </c>
      <c r="R1610" t="inlineStr">
        <is>
          <t xml:space="preserve">BX </t>
        </is>
      </c>
      <c r="S1610" t="n">
        <v>5</v>
      </c>
      <c r="T1610" t="n">
        <v>5</v>
      </c>
      <c r="U1610" t="inlineStr">
        <is>
          <t>2002-06-25</t>
        </is>
      </c>
      <c r="V1610" t="inlineStr">
        <is>
          <t>2002-06-25</t>
        </is>
      </c>
      <c r="W1610" t="inlineStr">
        <is>
          <t>1990-08-14</t>
        </is>
      </c>
      <c r="X1610" t="inlineStr">
        <is>
          <t>1990-08-14</t>
        </is>
      </c>
      <c r="Y1610" t="n">
        <v>41</v>
      </c>
      <c r="Z1610" t="n">
        <v>33</v>
      </c>
      <c r="AA1610" t="n">
        <v>33</v>
      </c>
      <c r="AB1610" t="n">
        <v>1</v>
      </c>
      <c r="AC1610" t="n">
        <v>1</v>
      </c>
      <c r="AD1610" t="n">
        <v>4</v>
      </c>
      <c r="AE1610" t="n">
        <v>4</v>
      </c>
      <c r="AF1610" t="n">
        <v>0</v>
      </c>
      <c r="AG1610" t="n">
        <v>0</v>
      </c>
      <c r="AH1610" t="n">
        <v>0</v>
      </c>
      <c r="AI1610" t="n">
        <v>0</v>
      </c>
      <c r="AJ1610" t="n">
        <v>4</v>
      </c>
      <c r="AK1610" t="n">
        <v>4</v>
      </c>
      <c r="AL1610" t="n">
        <v>0</v>
      </c>
      <c r="AM1610" t="n">
        <v>0</v>
      </c>
      <c r="AN1610" t="n">
        <v>0</v>
      </c>
      <c r="AO1610" t="n">
        <v>0</v>
      </c>
      <c r="AP1610" t="inlineStr">
        <is>
          <t>No</t>
        </is>
      </c>
      <c r="AQ1610" t="inlineStr">
        <is>
          <t>No</t>
        </is>
      </c>
      <c r="AS1610">
        <f>HYPERLINK("https://creighton-primo.hosted.exlibrisgroup.com/primo-explore/search?tab=default_tab&amp;search_scope=EVERYTHING&amp;vid=01CRU&amp;lang=en_US&amp;offset=0&amp;query=any,contains,991005370719702656","Catalog Record")</f>
        <v/>
      </c>
      <c r="AT1610">
        <f>HYPERLINK("http://www.worldcat.org/oclc/3167345","WorldCat Record")</f>
        <v/>
      </c>
      <c r="AU1610" t="inlineStr">
        <is>
          <t>8108401:eng</t>
        </is>
      </c>
      <c r="AV1610" t="inlineStr">
        <is>
          <t>3167345</t>
        </is>
      </c>
      <c r="AW1610" t="inlineStr">
        <is>
          <t>991005370719702656</t>
        </is>
      </c>
      <c r="AX1610" t="inlineStr">
        <is>
          <t>991005370719702656</t>
        </is>
      </c>
      <c r="AY1610" t="inlineStr">
        <is>
          <t>2262299110002656</t>
        </is>
      </c>
      <c r="AZ1610" t="inlineStr">
        <is>
          <t>BOOK</t>
        </is>
      </c>
      <c r="BC1610" t="inlineStr">
        <is>
          <t>32285000268507</t>
        </is>
      </c>
      <c r="BD1610" t="inlineStr">
        <is>
          <t>893254917</t>
        </is>
      </c>
    </row>
    <row r="1611">
      <c r="A1611" t="inlineStr">
        <is>
          <t>No</t>
        </is>
      </c>
      <c r="B1611" t="inlineStr">
        <is>
          <t>BX2350.7 .S8313 1983</t>
        </is>
      </c>
      <c r="C1611" t="inlineStr">
        <is>
          <t>0                      BX 2350700S  8313        1983</t>
        </is>
      </c>
      <c r="D1611" t="inlineStr">
        <is>
          <t>Spiritual guidance / Josef Sudbrack ; translated by Peter Heinegg.</t>
        </is>
      </c>
      <c r="F1611" t="inlineStr">
        <is>
          <t>No</t>
        </is>
      </c>
      <c r="G1611" t="inlineStr">
        <is>
          <t>1</t>
        </is>
      </c>
      <c r="H1611" t="inlineStr">
        <is>
          <t>No</t>
        </is>
      </c>
      <c r="I1611" t="inlineStr">
        <is>
          <t>No</t>
        </is>
      </c>
      <c r="J1611" t="inlineStr">
        <is>
          <t>0</t>
        </is>
      </c>
      <c r="K1611" t="inlineStr">
        <is>
          <t>Sudbrack, Josef.</t>
        </is>
      </c>
      <c r="L1611" t="inlineStr">
        <is>
          <t>New York : Paulist Press, c1983.</t>
        </is>
      </c>
      <c r="M1611" t="inlineStr">
        <is>
          <t>1983</t>
        </is>
      </c>
      <c r="O1611" t="inlineStr">
        <is>
          <t>eng</t>
        </is>
      </c>
      <c r="P1611" t="inlineStr">
        <is>
          <t>nyu</t>
        </is>
      </c>
      <c r="R1611" t="inlineStr">
        <is>
          <t xml:space="preserve">BX </t>
        </is>
      </c>
      <c r="S1611" t="n">
        <v>1</v>
      </c>
      <c r="T1611" t="n">
        <v>1</v>
      </c>
      <c r="U1611" t="inlineStr">
        <is>
          <t>1992-06-17</t>
        </is>
      </c>
      <c r="V1611" t="inlineStr">
        <is>
          <t>1992-06-17</t>
        </is>
      </c>
      <c r="W1611" t="inlineStr">
        <is>
          <t>1991-10-31</t>
        </is>
      </c>
      <c r="X1611" t="inlineStr">
        <is>
          <t>1991-10-31</t>
        </is>
      </c>
      <c r="Y1611" t="n">
        <v>95</v>
      </c>
      <c r="Z1611" t="n">
        <v>85</v>
      </c>
      <c r="AA1611" t="n">
        <v>85</v>
      </c>
      <c r="AB1611" t="n">
        <v>2</v>
      </c>
      <c r="AC1611" t="n">
        <v>2</v>
      </c>
      <c r="AD1611" t="n">
        <v>11</v>
      </c>
      <c r="AE1611" t="n">
        <v>11</v>
      </c>
      <c r="AF1611" t="n">
        <v>1</v>
      </c>
      <c r="AG1611" t="n">
        <v>1</v>
      </c>
      <c r="AH1611" t="n">
        <v>2</v>
      </c>
      <c r="AI1611" t="n">
        <v>2</v>
      </c>
      <c r="AJ1611" t="n">
        <v>9</v>
      </c>
      <c r="AK1611" t="n">
        <v>9</v>
      </c>
      <c r="AL1611" t="n">
        <v>0</v>
      </c>
      <c r="AM1611" t="n">
        <v>0</v>
      </c>
      <c r="AN1611" t="n">
        <v>0</v>
      </c>
      <c r="AO1611" t="n">
        <v>0</v>
      </c>
      <c r="AP1611" t="inlineStr">
        <is>
          <t>No</t>
        </is>
      </c>
      <c r="AQ1611" t="inlineStr">
        <is>
          <t>No</t>
        </is>
      </c>
      <c r="AS1611">
        <f>HYPERLINK("https://creighton-primo.hosted.exlibrisgroup.com/primo-explore/search?tab=default_tab&amp;search_scope=EVERYTHING&amp;vid=01CRU&amp;lang=en_US&amp;offset=0&amp;query=any,contains,991000352729702656","Catalog Record")</f>
        <v/>
      </c>
      <c r="AT1611">
        <f>HYPERLINK("http://www.worldcat.org/oclc/10322174","WorldCat Record")</f>
        <v/>
      </c>
      <c r="AU1611" t="inlineStr">
        <is>
          <t>1151130079:eng</t>
        </is>
      </c>
      <c r="AV1611" t="inlineStr">
        <is>
          <t>10322174</t>
        </is>
      </c>
      <c r="AW1611" t="inlineStr">
        <is>
          <t>991000352729702656</t>
        </is>
      </c>
      <c r="AX1611" t="inlineStr">
        <is>
          <t>991000352729702656</t>
        </is>
      </c>
      <c r="AY1611" t="inlineStr">
        <is>
          <t>2266765800002656</t>
        </is>
      </c>
      <c r="AZ1611" t="inlineStr">
        <is>
          <t>BOOK</t>
        </is>
      </c>
      <c r="BB1611" t="inlineStr">
        <is>
          <t>9780809125715</t>
        </is>
      </c>
      <c r="BC1611" t="inlineStr">
        <is>
          <t>32285000830561</t>
        </is>
      </c>
      <c r="BD1611" t="inlineStr">
        <is>
          <t>893231050</t>
        </is>
      </c>
    </row>
    <row r="1612">
      <c r="A1612" t="inlineStr">
        <is>
          <t>No</t>
        </is>
      </c>
      <c r="B1612" t="inlineStr">
        <is>
          <t>BX2350.7 .V25</t>
        </is>
      </c>
      <c r="C1612" t="inlineStr">
        <is>
          <t>0                      BX 2350700V  25</t>
        </is>
      </c>
      <c r="D1612" t="inlineStr">
        <is>
          <t>Dynamics of spiritual self direction / by Adrian van Kaam.</t>
        </is>
      </c>
      <c r="F1612" t="inlineStr">
        <is>
          <t>No</t>
        </is>
      </c>
      <c r="G1612" t="inlineStr">
        <is>
          <t>1</t>
        </is>
      </c>
      <c r="H1612" t="inlineStr">
        <is>
          <t>No</t>
        </is>
      </c>
      <c r="I1612" t="inlineStr">
        <is>
          <t>No</t>
        </is>
      </c>
      <c r="J1612" t="inlineStr">
        <is>
          <t>0</t>
        </is>
      </c>
      <c r="K1612" t="inlineStr">
        <is>
          <t>Van Kaam, Adrian L., 1920-2007.</t>
        </is>
      </c>
      <c r="L1612" t="inlineStr">
        <is>
          <t>Denville, N. J. : Dimension Books, c1976.</t>
        </is>
      </c>
      <c r="M1612" t="inlineStr">
        <is>
          <t>1976</t>
        </is>
      </c>
      <c r="O1612" t="inlineStr">
        <is>
          <t>eng</t>
        </is>
      </c>
      <c r="P1612" t="inlineStr">
        <is>
          <t>nju</t>
        </is>
      </c>
      <c r="R1612" t="inlineStr">
        <is>
          <t xml:space="preserve">BX </t>
        </is>
      </c>
      <c r="S1612" t="n">
        <v>2</v>
      </c>
      <c r="T1612" t="n">
        <v>2</v>
      </c>
      <c r="U1612" t="inlineStr">
        <is>
          <t>1992-10-07</t>
        </is>
      </c>
      <c r="V1612" t="inlineStr">
        <is>
          <t>1992-10-07</t>
        </is>
      </c>
      <c r="W1612" t="inlineStr">
        <is>
          <t>1991-10-31</t>
        </is>
      </c>
      <c r="X1612" t="inlineStr">
        <is>
          <t>1991-10-31</t>
        </is>
      </c>
      <c r="Y1612" t="n">
        <v>201</v>
      </c>
      <c r="Z1612" t="n">
        <v>172</v>
      </c>
      <c r="AA1612" t="n">
        <v>179</v>
      </c>
      <c r="AB1612" t="n">
        <v>2</v>
      </c>
      <c r="AC1612" t="n">
        <v>2</v>
      </c>
      <c r="AD1612" t="n">
        <v>21</v>
      </c>
      <c r="AE1612" t="n">
        <v>21</v>
      </c>
      <c r="AF1612" t="n">
        <v>4</v>
      </c>
      <c r="AG1612" t="n">
        <v>4</v>
      </c>
      <c r="AH1612" t="n">
        <v>5</v>
      </c>
      <c r="AI1612" t="n">
        <v>5</v>
      </c>
      <c r="AJ1612" t="n">
        <v>18</v>
      </c>
      <c r="AK1612" t="n">
        <v>18</v>
      </c>
      <c r="AL1612" t="n">
        <v>0</v>
      </c>
      <c r="AM1612" t="n">
        <v>0</v>
      </c>
      <c r="AN1612" t="n">
        <v>0</v>
      </c>
      <c r="AO1612" t="n">
        <v>0</v>
      </c>
      <c r="AP1612" t="inlineStr">
        <is>
          <t>No</t>
        </is>
      </c>
      <c r="AQ1612" t="inlineStr">
        <is>
          <t>No</t>
        </is>
      </c>
      <c r="AS1612">
        <f>HYPERLINK("https://creighton-primo.hosted.exlibrisgroup.com/primo-explore/search?tab=default_tab&amp;search_scope=EVERYTHING&amp;vid=01CRU&amp;lang=en_US&amp;offset=0&amp;query=any,contains,991004165499702656","Catalog Record")</f>
        <v/>
      </c>
      <c r="AT1612">
        <f>HYPERLINK("http://www.worldcat.org/oclc/2565688","WorldCat Record")</f>
        <v/>
      </c>
      <c r="AU1612" t="inlineStr">
        <is>
          <t>4160716778:eng</t>
        </is>
      </c>
      <c r="AV1612" t="inlineStr">
        <is>
          <t>2565688</t>
        </is>
      </c>
      <c r="AW1612" t="inlineStr">
        <is>
          <t>991004165499702656</t>
        </is>
      </c>
      <c r="AX1612" t="inlineStr">
        <is>
          <t>991004165499702656</t>
        </is>
      </c>
      <c r="AY1612" t="inlineStr">
        <is>
          <t>2255413680002656</t>
        </is>
      </c>
      <c r="AZ1612" t="inlineStr">
        <is>
          <t>BOOK</t>
        </is>
      </c>
      <c r="BC1612" t="inlineStr">
        <is>
          <t>32285000830587</t>
        </is>
      </c>
      <c r="BD1612" t="inlineStr">
        <is>
          <t>893624424</t>
        </is>
      </c>
    </row>
    <row r="1613">
      <c r="A1613" t="inlineStr">
        <is>
          <t>No</t>
        </is>
      </c>
      <c r="B1613" t="inlineStr">
        <is>
          <t>BX2350.7 .W53 1994</t>
        </is>
      </c>
      <c r="C1613" t="inlineStr">
        <is>
          <t>0                      BX 2350700W  53          1994</t>
        </is>
      </c>
      <c r="D1613" t="inlineStr">
        <is>
          <t>Living strings : an introduction to biblical spirituality / Michael Whelan.</t>
        </is>
      </c>
      <c r="F1613" t="inlineStr">
        <is>
          <t>No</t>
        </is>
      </c>
      <c r="G1613" t="inlineStr">
        <is>
          <t>1</t>
        </is>
      </c>
      <c r="H1613" t="inlineStr">
        <is>
          <t>No</t>
        </is>
      </c>
      <c r="I1613" t="inlineStr">
        <is>
          <t>No</t>
        </is>
      </c>
      <c r="J1613" t="inlineStr">
        <is>
          <t>0</t>
        </is>
      </c>
      <c r="K1613" t="inlineStr">
        <is>
          <t>Whelan, Michael.</t>
        </is>
      </c>
      <c r="L1613" t="inlineStr">
        <is>
          <t>Australia ; Ridgefield, CT. : E.J. Dwyer ; Distributed by Morehouse Publishing, 1994.</t>
        </is>
      </c>
      <c r="M1613" t="inlineStr">
        <is>
          <t>1994</t>
        </is>
      </c>
      <c r="O1613" t="inlineStr">
        <is>
          <t>eng</t>
        </is>
      </c>
      <c r="P1613" t="inlineStr">
        <is>
          <t xml:space="preserve">at </t>
        </is>
      </c>
      <c r="R1613" t="inlineStr">
        <is>
          <t xml:space="preserve">BX </t>
        </is>
      </c>
      <c r="S1613" t="n">
        <v>4</v>
      </c>
      <c r="T1613" t="n">
        <v>4</v>
      </c>
      <c r="U1613" t="inlineStr">
        <is>
          <t>2009-07-21</t>
        </is>
      </c>
      <c r="V1613" t="inlineStr">
        <is>
          <t>2009-07-21</t>
        </is>
      </c>
      <c r="W1613" t="inlineStr">
        <is>
          <t>1997-03-12</t>
        </is>
      </c>
      <c r="X1613" t="inlineStr">
        <is>
          <t>1997-03-12</t>
        </is>
      </c>
      <c r="Y1613" t="n">
        <v>73</v>
      </c>
      <c r="Z1613" t="n">
        <v>45</v>
      </c>
      <c r="AA1613" t="n">
        <v>45</v>
      </c>
      <c r="AB1613" t="n">
        <v>1</v>
      </c>
      <c r="AC1613" t="n">
        <v>1</v>
      </c>
      <c r="AD1613" t="n">
        <v>5</v>
      </c>
      <c r="AE1613" t="n">
        <v>5</v>
      </c>
      <c r="AF1613" t="n">
        <v>0</v>
      </c>
      <c r="AG1613" t="n">
        <v>0</v>
      </c>
      <c r="AH1613" t="n">
        <v>1</v>
      </c>
      <c r="AI1613" t="n">
        <v>1</v>
      </c>
      <c r="AJ1613" t="n">
        <v>4</v>
      </c>
      <c r="AK1613" t="n">
        <v>4</v>
      </c>
      <c r="AL1613" t="n">
        <v>0</v>
      </c>
      <c r="AM1613" t="n">
        <v>0</v>
      </c>
      <c r="AN1613" t="n">
        <v>0</v>
      </c>
      <c r="AO1613" t="n">
        <v>0</v>
      </c>
      <c r="AP1613" t="inlineStr">
        <is>
          <t>No</t>
        </is>
      </c>
      <c r="AQ1613" t="inlineStr">
        <is>
          <t>No</t>
        </is>
      </c>
      <c r="AS1613">
        <f>HYPERLINK("https://creighton-primo.hosted.exlibrisgroup.com/primo-explore/search?tab=default_tab&amp;search_scope=EVERYTHING&amp;vid=01CRU&amp;lang=en_US&amp;offset=0&amp;query=any,contains,991002538809702656","Catalog Record")</f>
        <v/>
      </c>
      <c r="AT1613">
        <f>HYPERLINK("http://www.worldcat.org/oclc/32991628","WorldCat Record")</f>
        <v/>
      </c>
      <c r="AU1613" t="inlineStr">
        <is>
          <t>49035443:eng</t>
        </is>
      </c>
      <c r="AV1613" t="inlineStr">
        <is>
          <t>32991628</t>
        </is>
      </c>
      <c r="AW1613" t="inlineStr">
        <is>
          <t>991002538809702656</t>
        </is>
      </c>
      <c r="AX1613" t="inlineStr">
        <is>
          <t>991002538809702656</t>
        </is>
      </c>
      <c r="AY1613" t="inlineStr">
        <is>
          <t>2257995840002656</t>
        </is>
      </c>
      <c r="AZ1613" t="inlineStr">
        <is>
          <t>BOOK</t>
        </is>
      </c>
      <c r="BB1613" t="inlineStr">
        <is>
          <t>9780855743734</t>
        </is>
      </c>
      <c r="BC1613" t="inlineStr">
        <is>
          <t>32285002441771</t>
        </is>
      </c>
      <c r="BD1613" t="inlineStr">
        <is>
          <t>893804720</t>
        </is>
      </c>
    </row>
    <row r="1614">
      <c r="A1614" t="inlineStr">
        <is>
          <t>No</t>
        </is>
      </c>
      <c r="B1614" t="inlineStr">
        <is>
          <t>BX2350.75 .K66 1991</t>
        </is>
      </c>
      <c r="C1614" t="inlineStr">
        <is>
          <t>0                      BX 2350750K  66          1991</t>
        </is>
      </c>
      <c r="D1614" t="inlineStr">
        <is>
          <t>The living journal : a way toward freedom in the service of life / Christian Koontz.</t>
        </is>
      </c>
      <c r="F1614" t="inlineStr">
        <is>
          <t>No</t>
        </is>
      </c>
      <c r="G1614" t="inlineStr">
        <is>
          <t>1</t>
        </is>
      </c>
      <c r="H1614" t="inlineStr">
        <is>
          <t>No</t>
        </is>
      </c>
      <c r="I1614" t="inlineStr">
        <is>
          <t>No</t>
        </is>
      </c>
      <c r="J1614" t="inlineStr">
        <is>
          <t>0</t>
        </is>
      </c>
      <c r="K1614" t="inlineStr">
        <is>
          <t>Koontz, Christian.</t>
        </is>
      </c>
      <c r="L1614" t="inlineStr">
        <is>
          <t>Kansas City, MO : Sheed &amp; Ward, c1991.</t>
        </is>
      </c>
      <c r="M1614" t="inlineStr">
        <is>
          <t>1990</t>
        </is>
      </c>
      <c r="O1614" t="inlineStr">
        <is>
          <t>eng</t>
        </is>
      </c>
      <c r="P1614" t="inlineStr">
        <is>
          <t>mou</t>
        </is>
      </c>
      <c r="R1614" t="inlineStr">
        <is>
          <t xml:space="preserve">BX </t>
        </is>
      </c>
      <c r="S1614" t="n">
        <v>4</v>
      </c>
      <c r="T1614" t="n">
        <v>4</v>
      </c>
      <c r="U1614" t="inlineStr">
        <is>
          <t>2009-07-21</t>
        </is>
      </c>
      <c r="V1614" t="inlineStr">
        <is>
          <t>2009-07-21</t>
        </is>
      </c>
      <c r="W1614" t="inlineStr">
        <is>
          <t>1991-11-18</t>
        </is>
      </c>
      <c r="X1614" t="inlineStr">
        <is>
          <t>1991-11-18</t>
        </is>
      </c>
      <c r="Y1614" t="n">
        <v>27</v>
      </c>
      <c r="Z1614" t="n">
        <v>27</v>
      </c>
      <c r="AA1614" t="n">
        <v>27</v>
      </c>
      <c r="AB1614" t="n">
        <v>1</v>
      </c>
      <c r="AC1614" t="n">
        <v>1</v>
      </c>
      <c r="AD1614" t="n">
        <v>5</v>
      </c>
      <c r="AE1614" t="n">
        <v>5</v>
      </c>
      <c r="AF1614" t="n">
        <v>1</v>
      </c>
      <c r="AG1614" t="n">
        <v>1</v>
      </c>
      <c r="AH1614" t="n">
        <v>1</v>
      </c>
      <c r="AI1614" t="n">
        <v>1</v>
      </c>
      <c r="AJ1614" t="n">
        <v>4</v>
      </c>
      <c r="AK1614" t="n">
        <v>4</v>
      </c>
      <c r="AL1614" t="n">
        <v>0</v>
      </c>
      <c r="AM1614" t="n">
        <v>0</v>
      </c>
      <c r="AN1614" t="n">
        <v>0</v>
      </c>
      <c r="AO1614" t="n">
        <v>0</v>
      </c>
      <c r="AP1614" t="inlineStr">
        <is>
          <t>No</t>
        </is>
      </c>
      <c r="AQ1614" t="inlineStr">
        <is>
          <t>No</t>
        </is>
      </c>
      <c r="AS1614">
        <f>HYPERLINK("https://creighton-primo.hosted.exlibrisgroup.com/primo-explore/search?tab=default_tab&amp;search_scope=EVERYTHING&amp;vid=01CRU&amp;lang=en_US&amp;offset=0&amp;query=any,contains,991001847769702656","Catalog Record")</f>
        <v/>
      </c>
      <c r="AT1614">
        <f>HYPERLINK("http://www.worldcat.org/oclc/23180676","WorldCat Record")</f>
        <v/>
      </c>
      <c r="AU1614" t="inlineStr">
        <is>
          <t>25051856:eng</t>
        </is>
      </c>
      <c r="AV1614" t="inlineStr">
        <is>
          <t>23180676</t>
        </is>
      </c>
      <c r="AW1614" t="inlineStr">
        <is>
          <t>991001847769702656</t>
        </is>
      </c>
      <c r="AX1614" t="inlineStr">
        <is>
          <t>991001847769702656</t>
        </is>
      </c>
      <c r="AY1614" t="inlineStr">
        <is>
          <t>2263360960002656</t>
        </is>
      </c>
      <c r="AZ1614" t="inlineStr">
        <is>
          <t>BOOK</t>
        </is>
      </c>
      <c r="BB1614" t="inlineStr">
        <is>
          <t>9781556123702</t>
        </is>
      </c>
      <c r="BC1614" t="inlineStr">
        <is>
          <t>32285000816065</t>
        </is>
      </c>
      <c r="BD1614" t="inlineStr">
        <is>
          <t>893866528</t>
        </is>
      </c>
    </row>
    <row r="1615">
      <c r="A1615" t="inlineStr">
        <is>
          <t>No</t>
        </is>
      </c>
      <c r="B1615" t="inlineStr">
        <is>
          <t>BX2350.8 .G6 1965</t>
        </is>
      </c>
      <c r="C1615" t="inlineStr">
        <is>
          <t>0                      BX 2350800G  6           1965</t>
        </is>
      </c>
      <c r="D1615" t="inlineStr">
        <is>
          <t>Marriage and the love of God / [by] J. Gosling.</t>
        </is>
      </c>
      <c r="F1615" t="inlineStr">
        <is>
          <t>No</t>
        </is>
      </c>
      <c r="G1615" t="inlineStr">
        <is>
          <t>1</t>
        </is>
      </c>
      <c r="H1615" t="inlineStr">
        <is>
          <t>No</t>
        </is>
      </c>
      <c r="I1615" t="inlineStr">
        <is>
          <t>No</t>
        </is>
      </c>
      <c r="J1615" t="inlineStr">
        <is>
          <t>0</t>
        </is>
      </c>
      <c r="K1615" t="inlineStr">
        <is>
          <t>Gosling, J. C. B. (Justin Cyril Bertrand)</t>
        </is>
      </c>
      <c r="L1615" t="inlineStr">
        <is>
          <t>New York : Sheed and Ward, [1965]</t>
        </is>
      </c>
      <c r="M1615" t="inlineStr">
        <is>
          <t>1965</t>
        </is>
      </c>
      <c r="O1615" t="inlineStr">
        <is>
          <t>eng</t>
        </is>
      </c>
      <c r="P1615" t="inlineStr">
        <is>
          <t>___</t>
        </is>
      </c>
      <c r="R1615" t="inlineStr">
        <is>
          <t xml:space="preserve">BX </t>
        </is>
      </c>
      <c r="S1615" t="n">
        <v>4</v>
      </c>
      <c r="T1615" t="n">
        <v>4</v>
      </c>
      <c r="U1615" t="inlineStr">
        <is>
          <t>1996-09-30</t>
        </is>
      </c>
      <c r="V1615" t="inlineStr">
        <is>
          <t>1996-09-30</t>
        </is>
      </c>
      <c r="W1615" t="inlineStr">
        <is>
          <t>1990-03-16</t>
        </is>
      </c>
      <c r="X1615" t="inlineStr">
        <is>
          <t>1990-03-16</t>
        </is>
      </c>
      <c r="Y1615" t="n">
        <v>161</v>
      </c>
      <c r="Z1615" t="n">
        <v>142</v>
      </c>
      <c r="AA1615" t="n">
        <v>157</v>
      </c>
      <c r="AB1615" t="n">
        <v>3</v>
      </c>
      <c r="AC1615" t="n">
        <v>3</v>
      </c>
      <c r="AD1615" t="n">
        <v>21</v>
      </c>
      <c r="AE1615" t="n">
        <v>22</v>
      </c>
      <c r="AF1615" t="n">
        <v>7</v>
      </c>
      <c r="AG1615" t="n">
        <v>7</v>
      </c>
      <c r="AH1615" t="n">
        <v>5</v>
      </c>
      <c r="AI1615" t="n">
        <v>5</v>
      </c>
      <c r="AJ1615" t="n">
        <v>16</v>
      </c>
      <c r="AK1615" t="n">
        <v>17</v>
      </c>
      <c r="AL1615" t="n">
        <v>0</v>
      </c>
      <c r="AM1615" t="n">
        <v>0</v>
      </c>
      <c r="AN1615" t="n">
        <v>0</v>
      </c>
      <c r="AO1615" t="n">
        <v>0</v>
      </c>
      <c r="AP1615" t="inlineStr">
        <is>
          <t>No</t>
        </is>
      </c>
      <c r="AQ1615" t="inlineStr">
        <is>
          <t>No</t>
        </is>
      </c>
      <c r="AS1615">
        <f>HYPERLINK("https://creighton-primo.hosted.exlibrisgroup.com/primo-explore/search?tab=default_tab&amp;search_scope=EVERYTHING&amp;vid=01CRU&amp;lang=en_US&amp;offset=0&amp;query=any,contains,991003755919702656","Catalog Record")</f>
        <v/>
      </c>
      <c r="AT1615">
        <f>HYPERLINK("http://www.worldcat.org/oclc/1436617","WorldCat Record")</f>
        <v/>
      </c>
      <c r="AU1615" t="inlineStr">
        <is>
          <t>2331991:eng</t>
        </is>
      </c>
      <c r="AV1615" t="inlineStr">
        <is>
          <t>1436617</t>
        </is>
      </c>
      <c r="AW1615" t="inlineStr">
        <is>
          <t>991003755919702656</t>
        </is>
      </c>
      <c r="AX1615" t="inlineStr">
        <is>
          <t>991003755919702656</t>
        </is>
      </c>
      <c r="AY1615" t="inlineStr">
        <is>
          <t>2267544440002656</t>
        </is>
      </c>
      <c r="AZ1615" t="inlineStr">
        <is>
          <t>BOOK</t>
        </is>
      </c>
      <c r="BC1615" t="inlineStr">
        <is>
          <t>32285000090091</t>
        </is>
      </c>
      <c r="BD1615" t="inlineStr">
        <is>
          <t>893234536</t>
        </is>
      </c>
    </row>
    <row r="1616">
      <c r="A1616" t="inlineStr">
        <is>
          <t>No</t>
        </is>
      </c>
      <c r="B1616" t="inlineStr">
        <is>
          <t>BX2350.8 .J64 2006</t>
        </is>
      </c>
      <c r="C1616" t="inlineStr">
        <is>
          <t>0                      BX 2350800J  64          2006</t>
        </is>
      </c>
      <c r="D1616" t="inlineStr">
        <is>
          <t>101 questions and answers on Catholic married life / Catherine Johnston, Daniel Kendall, Rebecca Nappi.</t>
        </is>
      </c>
      <c r="F1616" t="inlineStr">
        <is>
          <t>No</t>
        </is>
      </c>
      <c r="G1616" t="inlineStr">
        <is>
          <t>1</t>
        </is>
      </c>
      <c r="H1616" t="inlineStr">
        <is>
          <t>No</t>
        </is>
      </c>
      <c r="I1616" t="inlineStr">
        <is>
          <t>No</t>
        </is>
      </c>
      <c r="J1616" t="inlineStr">
        <is>
          <t>0</t>
        </is>
      </c>
      <c r="K1616" t="inlineStr">
        <is>
          <t>Johnston, Catherine (Catherine A.), 1955-</t>
        </is>
      </c>
      <c r="L1616" t="inlineStr">
        <is>
          <t>New York : Paulist Press, c2006.</t>
        </is>
      </c>
      <c r="M1616" t="inlineStr">
        <is>
          <t>2006</t>
        </is>
      </c>
      <c r="O1616" t="inlineStr">
        <is>
          <t>eng</t>
        </is>
      </c>
      <c r="P1616" t="inlineStr">
        <is>
          <t>nyu</t>
        </is>
      </c>
      <c r="Q1616" t="inlineStr">
        <is>
          <t>101 questions and answers on</t>
        </is>
      </c>
      <c r="R1616" t="inlineStr">
        <is>
          <t xml:space="preserve">BX </t>
        </is>
      </c>
      <c r="S1616" t="n">
        <v>3</v>
      </c>
      <c r="T1616" t="n">
        <v>3</v>
      </c>
      <c r="U1616" t="inlineStr">
        <is>
          <t>2008-03-10</t>
        </is>
      </c>
      <c r="V1616" t="inlineStr">
        <is>
          <t>2008-03-10</t>
        </is>
      </c>
      <c r="W1616" t="inlineStr">
        <is>
          <t>2007-12-05</t>
        </is>
      </c>
      <c r="X1616" t="inlineStr">
        <is>
          <t>2007-12-05</t>
        </is>
      </c>
      <c r="Y1616" t="n">
        <v>47</v>
      </c>
      <c r="Z1616" t="n">
        <v>40</v>
      </c>
      <c r="AA1616" t="n">
        <v>52</v>
      </c>
      <c r="AB1616" t="n">
        <v>1</v>
      </c>
      <c r="AC1616" t="n">
        <v>1</v>
      </c>
      <c r="AD1616" t="n">
        <v>7</v>
      </c>
      <c r="AE1616" t="n">
        <v>7</v>
      </c>
      <c r="AF1616" t="n">
        <v>3</v>
      </c>
      <c r="AG1616" t="n">
        <v>3</v>
      </c>
      <c r="AH1616" t="n">
        <v>1</v>
      </c>
      <c r="AI1616" t="n">
        <v>1</v>
      </c>
      <c r="AJ1616" t="n">
        <v>4</v>
      </c>
      <c r="AK1616" t="n">
        <v>4</v>
      </c>
      <c r="AL1616" t="n">
        <v>0</v>
      </c>
      <c r="AM1616" t="n">
        <v>0</v>
      </c>
      <c r="AN1616" t="n">
        <v>0</v>
      </c>
      <c r="AO1616" t="n">
        <v>0</v>
      </c>
      <c r="AP1616" t="inlineStr">
        <is>
          <t>No</t>
        </is>
      </c>
      <c r="AQ1616" t="inlineStr">
        <is>
          <t>No</t>
        </is>
      </c>
      <c r="AS1616">
        <f>HYPERLINK("https://creighton-primo.hosted.exlibrisgroup.com/primo-explore/search?tab=default_tab&amp;search_scope=EVERYTHING&amp;vid=01CRU&amp;lang=en_US&amp;offset=0&amp;query=any,contains,991005152109702656","Catalog Record")</f>
        <v/>
      </c>
      <c r="AT1616">
        <f>HYPERLINK("http://www.worldcat.org/oclc/64896392","WorldCat Record")</f>
        <v/>
      </c>
      <c r="AU1616" t="inlineStr">
        <is>
          <t>48785905:eng</t>
        </is>
      </c>
      <c r="AV1616" t="inlineStr">
        <is>
          <t>64896392</t>
        </is>
      </c>
      <c r="AW1616" t="inlineStr">
        <is>
          <t>991005152109702656</t>
        </is>
      </c>
      <c r="AX1616" t="inlineStr">
        <is>
          <t>991005152109702656</t>
        </is>
      </c>
      <c r="AY1616" t="inlineStr">
        <is>
          <t>2267295290002656</t>
        </is>
      </c>
      <c r="AZ1616" t="inlineStr">
        <is>
          <t>BOOK</t>
        </is>
      </c>
      <c r="BB1616" t="inlineStr">
        <is>
          <t>9780809144136</t>
        </is>
      </c>
      <c r="BC1616" t="inlineStr">
        <is>
          <t>32285005370233</t>
        </is>
      </c>
      <c r="BD1616" t="inlineStr">
        <is>
          <t>893895967</t>
        </is>
      </c>
    </row>
    <row r="1617">
      <c r="A1617" t="inlineStr">
        <is>
          <t>No</t>
        </is>
      </c>
      <c r="B1617" t="inlineStr">
        <is>
          <t>BX2351 .B38</t>
        </is>
      </c>
      <c r="C1617" t="inlineStr">
        <is>
          <t>0                      BX 2351000B  38</t>
        </is>
      </c>
      <c r="D1617" t="inlineStr">
        <is>
          <t>Becoming family / by Jeanette Benson and Jack L. Hilyard.</t>
        </is>
      </c>
      <c r="F1617" t="inlineStr">
        <is>
          <t>No</t>
        </is>
      </c>
      <c r="G1617" t="inlineStr">
        <is>
          <t>1</t>
        </is>
      </c>
      <c r="H1617" t="inlineStr">
        <is>
          <t>No</t>
        </is>
      </c>
      <c r="I1617" t="inlineStr">
        <is>
          <t>No</t>
        </is>
      </c>
      <c r="J1617" t="inlineStr">
        <is>
          <t>0</t>
        </is>
      </c>
      <c r="K1617" t="inlineStr">
        <is>
          <t>Benson, Jeanette.</t>
        </is>
      </c>
      <c r="L1617" t="inlineStr">
        <is>
          <t>Winona, Minn. : St. Mary's College Press, c1978.</t>
        </is>
      </c>
      <c r="M1617" t="inlineStr">
        <is>
          <t>1978</t>
        </is>
      </c>
      <c r="O1617" t="inlineStr">
        <is>
          <t>eng</t>
        </is>
      </c>
      <c r="P1617" t="inlineStr">
        <is>
          <t>mnu</t>
        </is>
      </c>
      <c r="R1617" t="inlineStr">
        <is>
          <t xml:space="preserve">BX </t>
        </is>
      </c>
      <c r="S1617" t="n">
        <v>1</v>
      </c>
      <c r="T1617" t="n">
        <v>1</v>
      </c>
      <c r="U1617" t="inlineStr">
        <is>
          <t>1995-03-23</t>
        </is>
      </c>
      <c r="V1617" t="inlineStr">
        <is>
          <t>1995-03-23</t>
        </is>
      </c>
      <c r="W1617" t="inlineStr">
        <is>
          <t>1991-10-31</t>
        </is>
      </c>
      <c r="X1617" t="inlineStr">
        <is>
          <t>1991-10-31</t>
        </is>
      </c>
      <c r="Y1617" t="n">
        <v>53</v>
      </c>
      <c r="Z1617" t="n">
        <v>48</v>
      </c>
      <c r="AA1617" t="n">
        <v>48</v>
      </c>
      <c r="AB1617" t="n">
        <v>2</v>
      </c>
      <c r="AC1617" t="n">
        <v>2</v>
      </c>
      <c r="AD1617" t="n">
        <v>3</v>
      </c>
      <c r="AE1617" t="n">
        <v>3</v>
      </c>
      <c r="AF1617" t="n">
        <v>0</v>
      </c>
      <c r="AG1617" t="n">
        <v>0</v>
      </c>
      <c r="AH1617" t="n">
        <v>1</v>
      </c>
      <c r="AI1617" t="n">
        <v>1</v>
      </c>
      <c r="AJ1617" t="n">
        <v>1</v>
      </c>
      <c r="AK1617" t="n">
        <v>1</v>
      </c>
      <c r="AL1617" t="n">
        <v>1</v>
      </c>
      <c r="AM1617" t="n">
        <v>1</v>
      </c>
      <c r="AN1617" t="n">
        <v>0</v>
      </c>
      <c r="AO1617" t="n">
        <v>0</v>
      </c>
      <c r="AP1617" t="inlineStr">
        <is>
          <t>No</t>
        </is>
      </c>
      <c r="AQ1617" t="inlineStr">
        <is>
          <t>No</t>
        </is>
      </c>
      <c r="AS1617">
        <f>HYPERLINK("https://creighton-primo.hosted.exlibrisgroup.com/primo-explore/search?tab=default_tab&amp;search_scope=EVERYTHING&amp;vid=01CRU&amp;lang=en_US&amp;offset=0&amp;query=any,contains,991004692149702656","Catalog Record")</f>
        <v/>
      </c>
      <c r="AT1617">
        <f>HYPERLINK("http://www.worldcat.org/oclc/4621596","WorldCat Record")</f>
        <v/>
      </c>
      <c r="AU1617" t="inlineStr">
        <is>
          <t>14850561:eng</t>
        </is>
      </c>
      <c r="AV1617" t="inlineStr">
        <is>
          <t>4621596</t>
        </is>
      </c>
      <c r="AW1617" t="inlineStr">
        <is>
          <t>991004692149702656</t>
        </is>
      </c>
      <c r="AX1617" t="inlineStr">
        <is>
          <t>991004692149702656</t>
        </is>
      </c>
      <c r="AY1617" t="inlineStr">
        <is>
          <t>2256281250002656</t>
        </is>
      </c>
      <c r="AZ1617" t="inlineStr">
        <is>
          <t>BOOK</t>
        </is>
      </c>
      <c r="BB1617" t="inlineStr">
        <is>
          <t>9780884891079</t>
        </is>
      </c>
      <c r="BC1617" t="inlineStr">
        <is>
          <t>32285000830595</t>
        </is>
      </c>
      <c r="BD1617" t="inlineStr">
        <is>
          <t>893593976</t>
        </is>
      </c>
    </row>
    <row r="1618">
      <c r="A1618" t="inlineStr">
        <is>
          <t>No</t>
        </is>
      </c>
      <c r="B1618" t="inlineStr">
        <is>
          <t>BX2351 .C46 1992</t>
        </is>
      </c>
      <c r="C1618" t="inlineStr">
        <is>
          <t>0                      BX 2351000C  46          1992</t>
        </is>
      </c>
      <c r="D1618" t="inlineStr">
        <is>
          <t>Children and families first, a Catholic campaign : parish resource manual / United States Catholic Conference.</t>
        </is>
      </c>
      <c r="F1618" t="inlineStr">
        <is>
          <t>No</t>
        </is>
      </c>
      <c r="G1618" t="inlineStr">
        <is>
          <t>1</t>
        </is>
      </c>
      <c r="H1618" t="inlineStr">
        <is>
          <t>No</t>
        </is>
      </c>
      <c r="I1618" t="inlineStr">
        <is>
          <t>No</t>
        </is>
      </c>
      <c r="J1618" t="inlineStr">
        <is>
          <t>0</t>
        </is>
      </c>
      <c r="L1618" t="inlineStr">
        <is>
          <t>Washington, D.C. : United States Catholic Conference, Office for Publishing and Promotion Services, 1992.</t>
        </is>
      </c>
      <c r="M1618" t="inlineStr">
        <is>
          <t>1992</t>
        </is>
      </c>
      <c r="O1618" t="inlineStr">
        <is>
          <t>eng</t>
        </is>
      </c>
      <c r="P1618" t="inlineStr">
        <is>
          <t>dcu</t>
        </is>
      </c>
      <c r="Q1618" t="inlineStr">
        <is>
          <t>Publication / United States Catholic Conference, Office for Publishing and Promotion services ; no. 525-9</t>
        </is>
      </c>
      <c r="R1618" t="inlineStr">
        <is>
          <t xml:space="preserve">BX </t>
        </is>
      </c>
      <c r="S1618" t="n">
        <v>8</v>
      </c>
      <c r="T1618" t="n">
        <v>8</v>
      </c>
      <c r="U1618" t="inlineStr">
        <is>
          <t>1999-10-22</t>
        </is>
      </c>
      <c r="V1618" t="inlineStr">
        <is>
          <t>1999-10-22</t>
        </is>
      </c>
      <c r="W1618" t="inlineStr">
        <is>
          <t>1992-11-20</t>
        </is>
      </c>
      <c r="X1618" t="inlineStr">
        <is>
          <t>1992-11-20</t>
        </is>
      </c>
      <c r="Y1618" t="n">
        <v>63</v>
      </c>
      <c r="Z1618" t="n">
        <v>60</v>
      </c>
      <c r="AA1618" t="n">
        <v>60</v>
      </c>
      <c r="AB1618" t="n">
        <v>1</v>
      </c>
      <c r="AC1618" t="n">
        <v>1</v>
      </c>
      <c r="AD1618" t="n">
        <v>8</v>
      </c>
      <c r="AE1618" t="n">
        <v>8</v>
      </c>
      <c r="AF1618" t="n">
        <v>3</v>
      </c>
      <c r="AG1618" t="n">
        <v>3</v>
      </c>
      <c r="AH1618" t="n">
        <v>3</v>
      </c>
      <c r="AI1618" t="n">
        <v>3</v>
      </c>
      <c r="AJ1618" t="n">
        <v>6</v>
      </c>
      <c r="AK1618" t="n">
        <v>6</v>
      </c>
      <c r="AL1618" t="n">
        <v>0</v>
      </c>
      <c r="AM1618" t="n">
        <v>0</v>
      </c>
      <c r="AN1618" t="n">
        <v>0</v>
      </c>
      <c r="AO1618" t="n">
        <v>0</v>
      </c>
      <c r="AP1618" t="inlineStr">
        <is>
          <t>No</t>
        </is>
      </c>
      <c r="AQ1618" t="inlineStr">
        <is>
          <t>No</t>
        </is>
      </c>
      <c r="AS1618">
        <f>HYPERLINK("https://creighton-primo.hosted.exlibrisgroup.com/primo-explore/search?tab=default_tab&amp;search_scope=EVERYTHING&amp;vid=01CRU&amp;lang=en_US&amp;offset=0&amp;query=any,contains,991002078739702656","Catalog Record")</f>
        <v/>
      </c>
      <c r="AT1618">
        <f>HYPERLINK("http://www.worldcat.org/oclc/26650346","WorldCat Record")</f>
        <v/>
      </c>
      <c r="AU1618" t="inlineStr">
        <is>
          <t>666048:eng</t>
        </is>
      </c>
      <c r="AV1618" t="inlineStr">
        <is>
          <t>26650346</t>
        </is>
      </c>
      <c r="AW1618" t="inlineStr">
        <is>
          <t>991002078739702656</t>
        </is>
      </c>
      <c r="AX1618" t="inlineStr">
        <is>
          <t>991002078739702656</t>
        </is>
      </c>
      <c r="AY1618" t="inlineStr">
        <is>
          <t>2267599860002656</t>
        </is>
      </c>
      <c r="AZ1618" t="inlineStr">
        <is>
          <t>BOOK</t>
        </is>
      </c>
      <c r="BB1618" t="inlineStr">
        <is>
          <t>9781555865252</t>
        </is>
      </c>
      <c r="BC1618" t="inlineStr">
        <is>
          <t>32285001389930</t>
        </is>
      </c>
      <c r="BD1618" t="inlineStr">
        <is>
          <t>893773186</t>
        </is>
      </c>
    </row>
    <row r="1619">
      <c r="A1619" t="inlineStr">
        <is>
          <t>No</t>
        </is>
      </c>
      <c r="B1619" t="inlineStr">
        <is>
          <t>BX2351 .F36</t>
        </is>
      </c>
      <c r="C1619" t="inlineStr">
        <is>
          <t>0                      BX 2351000F  36</t>
        </is>
      </c>
      <c r="D1619" t="inlineStr">
        <is>
          <t>Families in the '80s / United States Catholic Conference Commission on Marriage and Family Life.</t>
        </is>
      </c>
      <c r="F1619" t="inlineStr">
        <is>
          <t>No</t>
        </is>
      </c>
      <c r="G1619" t="inlineStr">
        <is>
          <t>1</t>
        </is>
      </c>
      <c r="H1619" t="inlineStr">
        <is>
          <t>No</t>
        </is>
      </c>
      <c r="I1619" t="inlineStr">
        <is>
          <t>No</t>
        </is>
      </c>
      <c r="J1619" t="inlineStr">
        <is>
          <t>0</t>
        </is>
      </c>
      <c r="L1619" t="inlineStr">
        <is>
          <t>Washington, D.C. : The Commission, 1980.</t>
        </is>
      </c>
      <c r="M1619" t="inlineStr">
        <is>
          <t>1980</t>
        </is>
      </c>
      <c r="O1619" t="inlineStr">
        <is>
          <t>eng</t>
        </is>
      </c>
      <c r="P1619" t="inlineStr">
        <is>
          <t>dcu</t>
        </is>
      </c>
      <c r="R1619" t="inlineStr">
        <is>
          <t xml:space="preserve">BX </t>
        </is>
      </c>
      <c r="S1619" t="n">
        <v>5</v>
      </c>
      <c r="T1619" t="n">
        <v>5</v>
      </c>
      <c r="U1619" t="inlineStr">
        <is>
          <t>1995-04-13</t>
        </is>
      </c>
      <c r="V1619" t="inlineStr">
        <is>
          <t>1995-04-13</t>
        </is>
      </c>
      <c r="W1619" t="inlineStr">
        <is>
          <t>1991-10-31</t>
        </is>
      </c>
      <c r="X1619" t="inlineStr">
        <is>
          <t>1991-10-31</t>
        </is>
      </c>
      <c r="Y1619" t="n">
        <v>59</v>
      </c>
      <c r="Z1619" t="n">
        <v>57</v>
      </c>
      <c r="AA1619" t="n">
        <v>57</v>
      </c>
      <c r="AB1619" t="n">
        <v>1</v>
      </c>
      <c r="AC1619" t="n">
        <v>1</v>
      </c>
      <c r="AD1619" t="n">
        <v>9</v>
      </c>
      <c r="AE1619" t="n">
        <v>9</v>
      </c>
      <c r="AF1619" t="n">
        <v>2</v>
      </c>
      <c r="AG1619" t="n">
        <v>2</v>
      </c>
      <c r="AH1619" t="n">
        <v>2</v>
      </c>
      <c r="AI1619" t="n">
        <v>2</v>
      </c>
      <c r="AJ1619" t="n">
        <v>9</v>
      </c>
      <c r="AK1619" t="n">
        <v>9</v>
      </c>
      <c r="AL1619" t="n">
        <v>0</v>
      </c>
      <c r="AM1619" t="n">
        <v>0</v>
      </c>
      <c r="AN1619" t="n">
        <v>0</v>
      </c>
      <c r="AO1619" t="n">
        <v>0</v>
      </c>
      <c r="AP1619" t="inlineStr">
        <is>
          <t>No</t>
        </is>
      </c>
      <c r="AQ1619" t="inlineStr">
        <is>
          <t>No</t>
        </is>
      </c>
      <c r="AS1619">
        <f>HYPERLINK("https://creighton-primo.hosted.exlibrisgroup.com/primo-explore/search?tab=default_tab&amp;search_scope=EVERYTHING&amp;vid=01CRU&amp;lang=en_US&amp;offset=0&amp;query=any,contains,991005137989702656","Catalog Record")</f>
        <v/>
      </c>
      <c r="AT1619">
        <f>HYPERLINK("http://www.worldcat.org/oclc/7590529","WorldCat Record")</f>
        <v/>
      </c>
      <c r="AU1619" t="inlineStr">
        <is>
          <t>29119891:eng</t>
        </is>
      </c>
      <c r="AV1619" t="inlineStr">
        <is>
          <t>7590529</t>
        </is>
      </c>
      <c r="AW1619" t="inlineStr">
        <is>
          <t>991005137989702656</t>
        </is>
      </c>
      <c r="AX1619" t="inlineStr">
        <is>
          <t>991005137989702656</t>
        </is>
      </c>
      <c r="AY1619" t="inlineStr">
        <is>
          <t>2267155430002656</t>
        </is>
      </c>
      <c r="AZ1619" t="inlineStr">
        <is>
          <t>BOOK</t>
        </is>
      </c>
      <c r="BC1619" t="inlineStr">
        <is>
          <t>32285000830603</t>
        </is>
      </c>
      <c r="BD1619" t="inlineStr">
        <is>
          <t>893236346</t>
        </is>
      </c>
    </row>
    <row r="1620">
      <c r="A1620" t="inlineStr">
        <is>
          <t>No</t>
        </is>
      </c>
      <c r="B1620" t="inlineStr">
        <is>
          <t>BX2351 .F365 1990</t>
        </is>
      </c>
      <c r="C1620" t="inlineStr">
        <is>
          <t>0                      BX 2351000F  365         1990</t>
        </is>
      </c>
      <c r="D1620" t="inlineStr">
        <is>
          <t>Families at the center : a handbook for parish ministry with a family perspective.</t>
        </is>
      </c>
      <c r="F1620" t="inlineStr">
        <is>
          <t>No</t>
        </is>
      </c>
      <c r="G1620" t="inlineStr">
        <is>
          <t>1</t>
        </is>
      </c>
      <c r="H1620" t="inlineStr">
        <is>
          <t>Yes</t>
        </is>
      </c>
      <c r="I1620" t="inlineStr">
        <is>
          <t>No</t>
        </is>
      </c>
      <c r="J1620" t="inlineStr">
        <is>
          <t>0</t>
        </is>
      </c>
      <c r="L1620" t="inlineStr">
        <is>
          <t>Washington, D.C. : U.S. Catholic Conference, Bishops' Committee on Marriage and Family, National Conference of Catholic Bishops, c1990.</t>
        </is>
      </c>
      <c r="M1620" t="inlineStr">
        <is>
          <t>1990</t>
        </is>
      </c>
      <c r="O1620" t="inlineStr">
        <is>
          <t>eng</t>
        </is>
      </c>
      <c r="P1620" t="inlineStr">
        <is>
          <t>dcu</t>
        </is>
      </c>
      <c r="Q1620" t="inlineStr">
        <is>
          <t>Publication / Office for Publishing and Promotion Services, United States Catholic Conference ; no. 337-X</t>
        </is>
      </c>
      <c r="R1620" t="inlineStr">
        <is>
          <t xml:space="preserve">BX </t>
        </is>
      </c>
      <c r="S1620" t="n">
        <v>3</v>
      </c>
      <c r="T1620" t="n">
        <v>6</v>
      </c>
      <c r="U1620" t="inlineStr">
        <is>
          <t>1997-06-26</t>
        </is>
      </c>
      <c r="V1620" t="inlineStr">
        <is>
          <t>1997-06-26</t>
        </is>
      </c>
      <c r="W1620" t="inlineStr">
        <is>
          <t>1990-05-23</t>
        </is>
      </c>
      <c r="X1620" t="inlineStr">
        <is>
          <t>1994-04-08</t>
        </is>
      </c>
      <c r="Y1620" t="n">
        <v>88</v>
      </c>
      <c r="Z1620" t="n">
        <v>82</v>
      </c>
      <c r="AA1620" t="n">
        <v>87</v>
      </c>
      <c r="AB1620" t="n">
        <v>2</v>
      </c>
      <c r="AC1620" t="n">
        <v>2</v>
      </c>
      <c r="AD1620" t="n">
        <v>15</v>
      </c>
      <c r="AE1620" t="n">
        <v>15</v>
      </c>
      <c r="AF1620" t="n">
        <v>5</v>
      </c>
      <c r="AG1620" t="n">
        <v>5</v>
      </c>
      <c r="AH1620" t="n">
        <v>2</v>
      </c>
      <c r="AI1620" t="n">
        <v>2</v>
      </c>
      <c r="AJ1620" t="n">
        <v>12</v>
      </c>
      <c r="AK1620" t="n">
        <v>12</v>
      </c>
      <c r="AL1620" t="n">
        <v>1</v>
      </c>
      <c r="AM1620" t="n">
        <v>1</v>
      </c>
      <c r="AN1620" t="n">
        <v>0</v>
      </c>
      <c r="AO1620" t="n">
        <v>0</v>
      </c>
      <c r="AP1620" t="inlineStr">
        <is>
          <t>No</t>
        </is>
      </c>
      <c r="AQ1620" t="inlineStr">
        <is>
          <t>No</t>
        </is>
      </c>
      <c r="AS1620">
        <f>HYPERLINK("https://creighton-primo.hosted.exlibrisgroup.com/primo-explore/search?tab=default_tab&amp;search_scope=EVERYTHING&amp;vid=01CRU&amp;lang=en_US&amp;offset=0&amp;query=any,contains,991001685409702656","Catalog Record")</f>
        <v/>
      </c>
      <c r="AT1620">
        <f>HYPERLINK("http://www.worldcat.org/oclc/21397506","WorldCat Record")</f>
        <v/>
      </c>
      <c r="AU1620" t="inlineStr">
        <is>
          <t>23843069:eng</t>
        </is>
      </c>
      <c r="AV1620" t="inlineStr">
        <is>
          <t>21397506</t>
        </is>
      </c>
      <c r="AW1620" t="inlineStr">
        <is>
          <t>991001685409702656</t>
        </is>
      </c>
      <c r="AX1620" t="inlineStr">
        <is>
          <t>991001685409702656</t>
        </is>
      </c>
      <c r="AY1620" t="inlineStr">
        <is>
          <t>2265631940002656</t>
        </is>
      </c>
      <c r="AZ1620" t="inlineStr">
        <is>
          <t>BOOK</t>
        </is>
      </c>
      <c r="BB1620" t="inlineStr">
        <is>
          <t>9781555863371</t>
        </is>
      </c>
      <c r="BC1620" t="inlineStr">
        <is>
          <t>32285000022417</t>
        </is>
      </c>
      <c r="BD1620" t="inlineStr">
        <is>
          <t>893346691</t>
        </is>
      </c>
    </row>
    <row r="1621">
      <c r="A1621" t="inlineStr">
        <is>
          <t>No</t>
        </is>
      </c>
      <c r="B1621" t="inlineStr">
        <is>
          <t>BX2351 .F365 1990</t>
        </is>
      </c>
      <c r="C1621" t="inlineStr">
        <is>
          <t>0                      BX 2351000F  365         1990</t>
        </is>
      </c>
      <c r="D1621" t="inlineStr">
        <is>
          <t>Families at the center : a handbook for parish ministry with a family perspective.</t>
        </is>
      </c>
      <c r="F1621" t="inlineStr">
        <is>
          <t>No</t>
        </is>
      </c>
      <c r="G1621" t="inlineStr">
        <is>
          <t>1</t>
        </is>
      </c>
      <c r="H1621" t="inlineStr">
        <is>
          <t>Yes</t>
        </is>
      </c>
      <c r="I1621" t="inlineStr">
        <is>
          <t>No</t>
        </is>
      </c>
      <c r="J1621" t="inlineStr">
        <is>
          <t>0</t>
        </is>
      </c>
      <c r="L1621" t="inlineStr">
        <is>
          <t>Washington, D.C. : U.S. Catholic Conference, Bishops' Committee on Marriage and Family, National Conference of Catholic Bishops, c1990.</t>
        </is>
      </c>
      <c r="M1621" t="inlineStr">
        <is>
          <t>1990</t>
        </is>
      </c>
      <c r="O1621" t="inlineStr">
        <is>
          <t>eng</t>
        </is>
      </c>
      <c r="P1621" t="inlineStr">
        <is>
          <t>dcu</t>
        </is>
      </c>
      <c r="Q1621" t="inlineStr">
        <is>
          <t>Publication / Office for Publishing and Promotion Services, United States Catholic Conference ; no. 337-X</t>
        </is>
      </c>
      <c r="R1621" t="inlineStr">
        <is>
          <t xml:space="preserve">BX </t>
        </is>
      </c>
      <c r="S1621" t="n">
        <v>3</v>
      </c>
      <c r="T1621" t="n">
        <v>6</v>
      </c>
      <c r="U1621" t="inlineStr">
        <is>
          <t>1995-04-13</t>
        </is>
      </c>
      <c r="V1621" t="inlineStr">
        <is>
          <t>1997-06-26</t>
        </is>
      </c>
      <c r="W1621" t="inlineStr">
        <is>
          <t>1994-04-08</t>
        </is>
      </c>
      <c r="X1621" t="inlineStr">
        <is>
          <t>1994-04-08</t>
        </is>
      </c>
      <c r="Y1621" t="n">
        <v>88</v>
      </c>
      <c r="Z1621" t="n">
        <v>82</v>
      </c>
      <c r="AA1621" t="n">
        <v>87</v>
      </c>
      <c r="AB1621" t="n">
        <v>2</v>
      </c>
      <c r="AC1621" t="n">
        <v>2</v>
      </c>
      <c r="AD1621" t="n">
        <v>15</v>
      </c>
      <c r="AE1621" t="n">
        <v>15</v>
      </c>
      <c r="AF1621" t="n">
        <v>5</v>
      </c>
      <c r="AG1621" t="n">
        <v>5</v>
      </c>
      <c r="AH1621" t="n">
        <v>2</v>
      </c>
      <c r="AI1621" t="n">
        <v>2</v>
      </c>
      <c r="AJ1621" t="n">
        <v>12</v>
      </c>
      <c r="AK1621" t="n">
        <v>12</v>
      </c>
      <c r="AL1621" t="n">
        <v>1</v>
      </c>
      <c r="AM1621" t="n">
        <v>1</v>
      </c>
      <c r="AN1621" t="n">
        <v>0</v>
      </c>
      <c r="AO1621" t="n">
        <v>0</v>
      </c>
      <c r="AP1621" t="inlineStr">
        <is>
          <t>No</t>
        </is>
      </c>
      <c r="AQ1621" t="inlineStr">
        <is>
          <t>No</t>
        </is>
      </c>
      <c r="AS1621">
        <f>HYPERLINK("https://creighton-primo.hosted.exlibrisgroup.com/primo-explore/search?tab=default_tab&amp;search_scope=EVERYTHING&amp;vid=01CRU&amp;lang=en_US&amp;offset=0&amp;query=any,contains,991001685409702656","Catalog Record")</f>
        <v/>
      </c>
      <c r="AT1621">
        <f>HYPERLINK("http://www.worldcat.org/oclc/21397506","WorldCat Record")</f>
        <v/>
      </c>
      <c r="AU1621" t="inlineStr">
        <is>
          <t>23843069:eng</t>
        </is>
      </c>
      <c r="AV1621" t="inlineStr">
        <is>
          <t>21397506</t>
        </is>
      </c>
      <c r="AW1621" t="inlineStr">
        <is>
          <t>991001685409702656</t>
        </is>
      </c>
      <c r="AX1621" t="inlineStr">
        <is>
          <t>991001685409702656</t>
        </is>
      </c>
      <c r="AY1621" t="inlineStr">
        <is>
          <t>2265631940002656</t>
        </is>
      </c>
      <c r="AZ1621" t="inlineStr">
        <is>
          <t>BOOK</t>
        </is>
      </c>
      <c r="BB1621" t="inlineStr">
        <is>
          <t>9781555863371</t>
        </is>
      </c>
      <c r="BC1621" t="inlineStr">
        <is>
          <t>32285001863744</t>
        </is>
      </c>
      <c r="BD1621" t="inlineStr">
        <is>
          <t>893328294</t>
        </is>
      </c>
    </row>
    <row r="1622">
      <c r="A1622" t="inlineStr">
        <is>
          <t>No</t>
        </is>
      </c>
      <c r="B1622" t="inlineStr">
        <is>
          <t>BX2351 .H6 1952</t>
        </is>
      </c>
      <c r="C1622" t="inlineStr">
        <is>
          <t>0                      BX 2351000H  6           1952</t>
        </is>
      </c>
      <c r="D1622" t="inlineStr">
        <is>
          <t>The home and its inner spiritual life : a treatise on the mental hygiene of the home / by a Carthusian of Miraflores.</t>
        </is>
      </c>
      <c r="F1622" t="inlineStr">
        <is>
          <t>No</t>
        </is>
      </c>
      <c r="G1622" t="inlineStr">
        <is>
          <t>1</t>
        </is>
      </c>
      <c r="H1622" t="inlineStr">
        <is>
          <t>No</t>
        </is>
      </c>
      <c r="I1622" t="inlineStr">
        <is>
          <t>No</t>
        </is>
      </c>
      <c r="J1622" t="inlineStr">
        <is>
          <t>0</t>
        </is>
      </c>
      <c r="L1622" t="inlineStr">
        <is>
          <t>Westminster, Md. : Newman Press, 1952.</t>
        </is>
      </c>
      <c r="M1622" t="inlineStr">
        <is>
          <t>1952</t>
        </is>
      </c>
      <c r="O1622" t="inlineStr">
        <is>
          <t>eng</t>
        </is>
      </c>
      <c r="P1622" t="inlineStr">
        <is>
          <t xml:space="preserve">xx </t>
        </is>
      </c>
      <c r="R1622" t="inlineStr">
        <is>
          <t xml:space="preserve">BX </t>
        </is>
      </c>
      <c r="S1622" t="n">
        <v>1</v>
      </c>
      <c r="T1622" t="n">
        <v>1</v>
      </c>
      <c r="U1622" t="inlineStr">
        <is>
          <t>2010-06-17</t>
        </is>
      </c>
      <c r="V1622" t="inlineStr">
        <is>
          <t>2010-06-17</t>
        </is>
      </c>
      <c r="W1622" t="inlineStr">
        <is>
          <t>1991-10-31</t>
        </is>
      </c>
      <c r="X1622" t="inlineStr">
        <is>
          <t>1991-10-31</t>
        </is>
      </c>
      <c r="Y1622" t="n">
        <v>76</v>
      </c>
      <c r="Z1622" t="n">
        <v>72</v>
      </c>
      <c r="AA1622" t="n">
        <v>72</v>
      </c>
      <c r="AB1622" t="n">
        <v>2</v>
      </c>
      <c r="AC1622" t="n">
        <v>2</v>
      </c>
      <c r="AD1622" t="n">
        <v>20</v>
      </c>
      <c r="AE1622" t="n">
        <v>20</v>
      </c>
      <c r="AF1622" t="n">
        <v>4</v>
      </c>
      <c r="AG1622" t="n">
        <v>4</v>
      </c>
      <c r="AH1622" t="n">
        <v>5</v>
      </c>
      <c r="AI1622" t="n">
        <v>5</v>
      </c>
      <c r="AJ1622" t="n">
        <v>17</v>
      </c>
      <c r="AK1622" t="n">
        <v>17</v>
      </c>
      <c r="AL1622" t="n">
        <v>0</v>
      </c>
      <c r="AM1622" t="n">
        <v>0</v>
      </c>
      <c r="AN1622" t="n">
        <v>0</v>
      </c>
      <c r="AO1622" t="n">
        <v>0</v>
      </c>
      <c r="AP1622" t="inlineStr">
        <is>
          <t>No</t>
        </is>
      </c>
      <c r="AQ1622" t="inlineStr">
        <is>
          <t>No</t>
        </is>
      </c>
      <c r="AS1622">
        <f>HYPERLINK("https://creighton-primo.hosted.exlibrisgroup.com/primo-explore/search?tab=default_tab&amp;search_scope=EVERYTHING&amp;vid=01CRU&amp;lang=en_US&amp;offset=0&amp;query=any,contains,991004250739702656","Catalog Record")</f>
        <v/>
      </c>
      <c r="AT1622">
        <f>HYPERLINK("http://www.worldcat.org/oclc/2811268","WorldCat Record")</f>
        <v/>
      </c>
      <c r="AU1622" t="inlineStr">
        <is>
          <t>54164303:eng</t>
        </is>
      </c>
      <c r="AV1622" t="inlineStr">
        <is>
          <t>2811268</t>
        </is>
      </c>
      <c r="AW1622" t="inlineStr">
        <is>
          <t>991004250739702656</t>
        </is>
      </c>
      <c r="AX1622" t="inlineStr">
        <is>
          <t>991004250739702656</t>
        </is>
      </c>
      <c r="AY1622" t="inlineStr">
        <is>
          <t>2262505660002656</t>
        </is>
      </c>
      <c r="AZ1622" t="inlineStr">
        <is>
          <t>BOOK</t>
        </is>
      </c>
      <c r="BC1622" t="inlineStr">
        <is>
          <t>32285000830611</t>
        </is>
      </c>
      <c r="BD1622" t="inlineStr">
        <is>
          <t>893235251</t>
        </is>
      </c>
    </row>
    <row r="1623">
      <c r="A1623" t="inlineStr">
        <is>
          <t>No</t>
        </is>
      </c>
      <c r="B1623" t="inlineStr">
        <is>
          <t>BX2351 .N4 1964</t>
        </is>
      </c>
      <c r="C1623" t="inlineStr">
        <is>
          <t>0                      BX 2351000N  4           1964</t>
        </is>
      </c>
      <c r="D1623" t="inlineStr">
        <is>
          <t>Homemade Christians.</t>
        </is>
      </c>
      <c r="F1623" t="inlineStr">
        <is>
          <t>No</t>
        </is>
      </c>
      <c r="G1623" t="inlineStr">
        <is>
          <t>1</t>
        </is>
      </c>
      <c r="H1623" t="inlineStr">
        <is>
          <t>No</t>
        </is>
      </c>
      <c r="I1623" t="inlineStr">
        <is>
          <t>No</t>
        </is>
      </c>
      <c r="J1623" t="inlineStr">
        <is>
          <t>0</t>
        </is>
      </c>
      <c r="K1623" t="inlineStr">
        <is>
          <t>Newland, Mary Reed.</t>
        </is>
      </c>
      <c r="L1623" t="inlineStr">
        <is>
          <t>Dayton, Ohio : G. A. Pflaum, 1964.</t>
        </is>
      </c>
      <c r="M1623" t="inlineStr">
        <is>
          <t>1964</t>
        </is>
      </c>
      <c r="O1623" t="inlineStr">
        <is>
          <t>eng</t>
        </is>
      </c>
      <c r="P1623" t="inlineStr">
        <is>
          <t>ohu</t>
        </is>
      </c>
      <c r="Q1623" t="inlineStr">
        <is>
          <t>Witness book, 1</t>
        </is>
      </c>
      <c r="R1623" t="inlineStr">
        <is>
          <t xml:space="preserve">BX </t>
        </is>
      </c>
      <c r="S1623" t="n">
        <v>3</v>
      </c>
      <c r="T1623" t="n">
        <v>3</v>
      </c>
      <c r="U1623" t="inlineStr">
        <is>
          <t>1996-09-30</t>
        </is>
      </c>
      <c r="V1623" t="inlineStr">
        <is>
          <t>1996-09-30</t>
        </is>
      </c>
      <c r="W1623" t="inlineStr">
        <is>
          <t>1991-10-31</t>
        </is>
      </c>
      <c r="X1623" t="inlineStr">
        <is>
          <t>1991-10-31</t>
        </is>
      </c>
      <c r="Y1623" t="n">
        <v>40</v>
      </c>
      <c r="Z1623" t="n">
        <v>36</v>
      </c>
      <c r="AA1623" t="n">
        <v>36</v>
      </c>
      <c r="AB1623" t="n">
        <v>1</v>
      </c>
      <c r="AC1623" t="n">
        <v>1</v>
      </c>
      <c r="AD1623" t="n">
        <v>8</v>
      </c>
      <c r="AE1623" t="n">
        <v>8</v>
      </c>
      <c r="AF1623" t="n">
        <v>0</v>
      </c>
      <c r="AG1623" t="n">
        <v>0</v>
      </c>
      <c r="AH1623" t="n">
        <v>2</v>
      </c>
      <c r="AI1623" t="n">
        <v>2</v>
      </c>
      <c r="AJ1623" t="n">
        <v>7</v>
      </c>
      <c r="AK1623" t="n">
        <v>7</v>
      </c>
      <c r="AL1623" t="n">
        <v>0</v>
      </c>
      <c r="AM1623" t="n">
        <v>0</v>
      </c>
      <c r="AN1623" t="n">
        <v>0</v>
      </c>
      <c r="AO1623" t="n">
        <v>0</v>
      </c>
      <c r="AP1623" t="inlineStr">
        <is>
          <t>No</t>
        </is>
      </c>
      <c r="AQ1623" t="inlineStr">
        <is>
          <t>No</t>
        </is>
      </c>
      <c r="AS1623">
        <f>HYPERLINK("https://creighton-primo.hosted.exlibrisgroup.com/primo-explore/search?tab=default_tab&amp;search_scope=EVERYTHING&amp;vid=01CRU&amp;lang=en_US&amp;offset=0&amp;query=any,contains,991005030769702656","Catalog Record")</f>
        <v/>
      </c>
      <c r="AT1623">
        <f>HYPERLINK("http://www.worldcat.org/oclc/6714284","WorldCat Record")</f>
        <v/>
      </c>
      <c r="AU1623" t="inlineStr">
        <is>
          <t>23837988:eng</t>
        </is>
      </c>
      <c r="AV1623" t="inlineStr">
        <is>
          <t>6714284</t>
        </is>
      </c>
      <c r="AW1623" t="inlineStr">
        <is>
          <t>991005030769702656</t>
        </is>
      </c>
      <c r="AX1623" t="inlineStr">
        <is>
          <t>991005030769702656</t>
        </is>
      </c>
      <c r="AY1623" t="inlineStr">
        <is>
          <t>2260146170002656</t>
        </is>
      </c>
      <c r="AZ1623" t="inlineStr">
        <is>
          <t>BOOK</t>
        </is>
      </c>
      <c r="BC1623" t="inlineStr">
        <is>
          <t>32285000830629</t>
        </is>
      </c>
      <c r="BD1623" t="inlineStr">
        <is>
          <t>893722712</t>
        </is>
      </c>
    </row>
    <row r="1624">
      <c r="A1624" t="inlineStr">
        <is>
          <t>No</t>
        </is>
      </c>
      <c r="B1624" t="inlineStr">
        <is>
          <t>BX2351 .T7 1952</t>
        </is>
      </c>
      <c r="C1624" t="inlineStr">
        <is>
          <t>0                      BX 2351000T  7           1952</t>
        </is>
      </c>
      <c r="D1624" t="inlineStr">
        <is>
          <t>Yesterday, today, and forever / Maria Augusta Trapp.</t>
        </is>
      </c>
      <c r="F1624" t="inlineStr">
        <is>
          <t>No</t>
        </is>
      </c>
      <c r="G1624" t="inlineStr">
        <is>
          <t>1</t>
        </is>
      </c>
      <c r="H1624" t="inlineStr">
        <is>
          <t>No</t>
        </is>
      </c>
      <c r="I1624" t="inlineStr">
        <is>
          <t>No</t>
        </is>
      </c>
      <c r="J1624" t="inlineStr">
        <is>
          <t>0</t>
        </is>
      </c>
      <c r="K1624" t="inlineStr">
        <is>
          <t>Trapp, Maria Augusta.</t>
        </is>
      </c>
      <c r="L1624" t="inlineStr">
        <is>
          <t>Philadelphia : Lippincott, [1952]</t>
        </is>
      </c>
      <c r="M1624" t="inlineStr">
        <is>
          <t>1952</t>
        </is>
      </c>
      <c r="N1624" t="inlineStr">
        <is>
          <t>[1st ed.]</t>
        </is>
      </c>
      <c r="O1624" t="inlineStr">
        <is>
          <t>eng</t>
        </is>
      </c>
      <c r="P1624" t="inlineStr">
        <is>
          <t>pau</t>
        </is>
      </c>
      <c r="R1624" t="inlineStr">
        <is>
          <t xml:space="preserve">BX </t>
        </is>
      </c>
      <c r="S1624" t="n">
        <v>1</v>
      </c>
      <c r="T1624" t="n">
        <v>1</v>
      </c>
      <c r="U1624" t="inlineStr">
        <is>
          <t>2009-07-28</t>
        </is>
      </c>
      <c r="V1624" t="inlineStr">
        <is>
          <t>2009-07-28</t>
        </is>
      </c>
      <c r="W1624" t="inlineStr">
        <is>
          <t>2009-07-28</t>
        </is>
      </c>
      <c r="X1624" t="inlineStr">
        <is>
          <t>2009-07-28</t>
        </is>
      </c>
      <c r="Y1624" t="n">
        <v>413</v>
      </c>
      <c r="Z1624" t="n">
        <v>396</v>
      </c>
      <c r="AA1624" t="n">
        <v>762</v>
      </c>
      <c r="AB1624" t="n">
        <v>8</v>
      </c>
      <c r="AC1624" t="n">
        <v>11</v>
      </c>
      <c r="AD1624" t="n">
        <v>29</v>
      </c>
      <c r="AE1624" t="n">
        <v>36</v>
      </c>
      <c r="AF1624" t="n">
        <v>10</v>
      </c>
      <c r="AG1624" t="n">
        <v>13</v>
      </c>
      <c r="AH1624" t="n">
        <v>5</v>
      </c>
      <c r="AI1624" t="n">
        <v>7</v>
      </c>
      <c r="AJ1624" t="n">
        <v>20</v>
      </c>
      <c r="AK1624" t="n">
        <v>21</v>
      </c>
      <c r="AL1624" t="n">
        <v>2</v>
      </c>
      <c r="AM1624" t="n">
        <v>3</v>
      </c>
      <c r="AN1624" t="n">
        <v>0</v>
      </c>
      <c r="AO1624" t="n">
        <v>1</v>
      </c>
      <c r="AP1624" t="inlineStr">
        <is>
          <t>No</t>
        </is>
      </c>
      <c r="AQ1624" t="inlineStr">
        <is>
          <t>Yes</t>
        </is>
      </c>
      <c r="AR1624">
        <f>HYPERLINK("http://catalog.hathitrust.org/Record/102112970","HathiTrust Record")</f>
        <v/>
      </c>
      <c r="AS1624">
        <f>HYPERLINK("https://creighton-primo.hosted.exlibrisgroup.com/primo-explore/search?tab=default_tab&amp;search_scope=EVERYTHING&amp;vid=01CRU&amp;lang=en_US&amp;offset=0&amp;query=any,contains,991005328579702656","Catalog Record")</f>
        <v/>
      </c>
      <c r="AT1624">
        <f>HYPERLINK("http://www.worldcat.org/oclc/1423861","WorldCat Record")</f>
        <v/>
      </c>
      <c r="AU1624" t="inlineStr">
        <is>
          <t>10608560:eng</t>
        </is>
      </c>
      <c r="AV1624" t="inlineStr">
        <is>
          <t>1423861</t>
        </is>
      </c>
      <c r="AW1624" t="inlineStr">
        <is>
          <t>991005328579702656</t>
        </is>
      </c>
      <c r="AX1624" t="inlineStr">
        <is>
          <t>991005328579702656</t>
        </is>
      </c>
      <c r="AY1624" t="inlineStr">
        <is>
          <t>2272264790002656</t>
        </is>
      </c>
      <c r="AZ1624" t="inlineStr">
        <is>
          <t>BOOK</t>
        </is>
      </c>
      <c r="BC1624" t="inlineStr">
        <is>
          <t>32285005539589</t>
        </is>
      </c>
      <c r="BD1624" t="inlineStr">
        <is>
          <t>893507974</t>
        </is>
      </c>
    </row>
    <row r="1625">
      <c r="A1625" t="inlineStr">
        <is>
          <t>No</t>
        </is>
      </c>
      <c r="B1625" t="inlineStr">
        <is>
          <t>BX2352.5 .C37 2002</t>
        </is>
      </c>
      <c r="C1625" t="inlineStr">
        <is>
          <t>0                      BX 2352500C  37          2002</t>
        </is>
      </c>
      <c r="D1625" t="inlineStr">
        <is>
          <t>Hearing Christ's call : a resource for the formation and spirituality of Catholic men / United States Conference of Catholic Bishops.</t>
        </is>
      </c>
      <c r="F1625" t="inlineStr">
        <is>
          <t>No</t>
        </is>
      </c>
      <c r="G1625" t="inlineStr">
        <is>
          <t>1</t>
        </is>
      </c>
      <c r="H1625" t="inlineStr">
        <is>
          <t>No</t>
        </is>
      </c>
      <c r="I1625" t="inlineStr">
        <is>
          <t>No</t>
        </is>
      </c>
      <c r="J1625" t="inlineStr">
        <is>
          <t>0</t>
        </is>
      </c>
      <c r="K1625" t="inlineStr">
        <is>
          <t>Catholic Church. United States Conference of Catholic Bishops.</t>
        </is>
      </c>
      <c r="L1625" t="inlineStr">
        <is>
          <t>Washington, D.C. : U.S. Catholic Conference, 2002.</t>
        </is>
      </c>
      <c r="M1625" t="inlineStr">
        <is>
          <t>2002</t>
        </is>
      </c>
      <c r="O1625" t="inlineStr">
        <is>
          <t>eng</t>
        </is>
      </c>
      <c r="P1625" t="inlineStr">
        <is>
          <t>dcu</t>
        </is>
      </c>
      <c r="Q1625" t="inlineStr">
        <is>
          <t>Publication / USCCB Publishing ; no. 5-503</t>
        </is>
      </c>
      <c r="R1625" t="inlineStr">
        <is>
          <t xml:space="preserve">BX </t>
        </is>
      </c>
      <c r="S1625" t="n">
        <v>1</v>
      </c>
      <c r="T1625" t="n">
        <v>1</v>
      </c>
      <c r="U1625" t="inlineStr">
        <is>
          <t>2002-11-11</t>
        </is>
      </c>
      <c r="V1625" t="inlineStr">
        <is>
          <t>2002-11-11</t>
        </is>
      </c>
      <c r="W1625" t="inlineStr">
        <is>
          <t>2002-11-11</t>
        </is>
      </c>
      <c r="X1625" t="inlineStr">
        <is>
          <t>2002-11-11</t>
        </is>
      </c>
      <c r="Y1625" t="n">
        <v>94</v>
      </c>
      <c r="Z1625" t="n">
        <v>88</v>
      </c>
      <c r="AA1625" t="n">
        <v>88</v>
      </c>
      <c r="AB1625" t="n">
        <v>1</v>
      </c>
      <c r="AC1625" t="n">
        <v>1</v>
      </c>
      <c r="AD1625" t="n">
        <v>14</v>
      </c>
      <c r="AE1625" t="n">
        <v>14</v>
      </c>
      <c r="AF1625" t="n">
        <v>3</v>
      </c>
      <c r="AG1625" t="n">
        <v>3</v>
      </c>
      <c r="AH1625" t="n">
        <v>6</v>
      </c>
      <c r="AI1625" t="n">
        <v>6</v>
      </c>
      <c r="AJ1625" t="n">
        <v>8</v>
      </c>
      <c r="AK1625" t="n">
        <v>8</v>
      </c>
      <c r="AL1625" t="n">
        <v>0</v>
      </c>
      <c r="AM1625" t="n">
        <v>0</v>
      </c>
      <c r="AN1625" t="n">
        <v>0</v>
      </c>
      <c r="AO1625" t="n">
        <v>0</v>
      </c>
      <c r="AP1625" t="inlineStr">
        <is>
          <t>No</t>
        </is>
      </c>
      <c r="AQ1625" t="inlineStr">
        <is>
          <t>No</t>
        </is>
      </c>
      <c r="AS1625">
        <f>HYPERLINK("https://creighton-primo.hosted.exlibrisgroup.com/primo-explore/search?tab=default_tab&amp;search_scope=EVERYTHING&amp;vid=01CRU&amp;lang=en_US&amp;offset=0&amp;query=any,contains,991003939189702656","Catalog Record")</f>
        <v/>
      </c>
      <c r="AT1625">
        <f>HYPERLINK("http://www.worldcat.org/oclc/50953108","WorldCat Record")</f>
        <v/>
      </c>
      <c r="AU1625" t="inlineStr">
        <is>
          <t>46033103:eng</t>
        </is>
      </c>
      <c r="AV1625" t="inlineStr">
        <is>
          <t>50953108</t>
        </is>
      </c>
      <c r="AW1625" t="inlineStr">
        <is>
          <t>991003939189702656</t>
        </is>
      </c>
      <c r="AX1625" t="inlineStr">
        <is>
          <t>991003939189702656</t>
        </is>
      </c>
      <c r="AY1625" t="inlineStr">
        <is>
          <t>2261582020002656</t>
        </is>
      </c>
      <c r="AZ1625" t="inlineStr">
        <is>
          <t>BOOK</t>
        </is>
      </c>
      <c r="BB1625" t="inlineStr">
        <is>
          <t>9781574555035</t>
        </is>
      </c>
      <c r="BC1625" t="inlineStr">
        <is>
          <t>32285004662192</t>
        </is>
      </c>
      <c r="BD1625" t="inlineStr">
        <is>
          <t>893599225</t>
        </is>
      </c>
    </row>
    <row r="1626">
      <c r="A1626" t="inlineStr">
        <is>
          <t>No</t>
        </is>
      </c>
      <c r="B1626" t="inlineStr">
        <is>
          <t>BX2353 .A553 1964</t>
        </is>
      </c>
      <c r="C1626" t="inlineStr">
        <is>
          <t>0                      BX 2353000A  553         1964</t>
        </is>
      </c>
      <c r="D1626" t="inlineStr">
        <is>
          <t>Woman, her influence and zeal as an aid to the priesthood / by James Alberione. Translated by the Daughters of St. Paul.</t>
        </is>
      </c>
      <c r="F1626" t="inlineStr">
        <is>
          <t>No</t>
        </is>
      </c>
      <c r="G1626" t="inlineStr">
        <is>
          <t>1</t>
        </is>
      </c>
      <c r="H1626" t="inlineStr">
        <is>
          <t>No</t>
        </is>
      </c>
      <c r="I1626" t="inlineStr">
        <is>
          <t>No</t>
        </is>
      </c>
      <c r="J1626" t="inlineStr">
        <is>
          <t>0</t>
        </is>
      </c>
      <c r="K1626" t="inlineStr">
        <is>
          <t>Alberione, James, 1884-1971.</t>
        </is>
      </c>
      <c r="L1626" t="inlineStr">
        <is>
          <t>[Boston?] : St. Paul Editions, 1964.</t>
        </is>
      </c>
      <c r="M1626" t="inlineStr">
        <is>
          <t>1964</t>
        </is>
      </c>
      <c r="O1626" t="inlineStr">
        <is>
          <t>eng</t>
        </is>
      </c>
      <c r="P1626" t="inlineStr">
        <is>
          <t>mau</t>
        </is>
      </c>
      <c r="R1626" t="inlineStr">
        <is>
          <t xml:space="preserve">BX </t>
        </is>
      </c>
      <c r="S1626" t="n">
        <v>1</v>
      </c>
      <c r="T1626" t="n">
        <v>1</v>
      </c>
      <c r="U1626" t="inlineStr">
        <is>
          <t>2001-09-24</t>
        </is>
      </c>
      <c r="V1626" t="inlineStr">
        <is>
          <t>2001-09-24</t>
        </is>
      </c>
      <c r="W1626" t="inlineStr">
        <is>
          <t>1990-07-31</t>
        </is>
      </c>
      <c r="X1626" t="inlineStr">
        <is>
          <t>1990-07-31</t>
        </is>
      </c>
      <c r="Y1626" t="n">
        <v>120</v>
      </c>
      <c r="Z1626" t="n">
        <v>106</v>
      </c>
      <c r="AA1626" t="n">
        <v>106</v>
      </c>
      <c r="AB1626" t="n">
        <v>1</v>
      </c>
      <c r="AC1626" t="n">
        <v>1</v>
      </c>
      <c r="AD1626" t="n">
        <v>11</v>
      </c>
      <c r="AE1626" t="n">
        <v>11</v>
      </c>
      <c r="AF1626" t="n">
        <v>3</v>
      </c>
      <c r="AG1626" t="n">
        <v>3</v>
      </c>
      <c r="AH1626" t="n">
        <v>1</v>
      </c>
      <c r="AI1626" t="n">
        <v>1</v>
      </c>
      <c r="AJ1626" t="n">
        <v>11</v>
      </c>
      <c r="AK1626" t="n">
        <v>11</v>
      </c>
      <c r="AL1626" t="n">
        <v>0</v>
      </c>
      <c r="AM1626" t="n">
        <v>0</v>
      </c>
      <c r="AN1626" t="n">
        <v>0</v>
      </c>
      <c r="AO1626" t="n">
        <v>0</v>
      </c>
      <c r="AP1626" t="inlineStr">
        <is>
          <t>No</t>
        </is>
      </c>
      <c r="AQ1626" t="inlineStr">
        <is>
          <t>No</t>
        </is>
      </c>
      <c r="AS1626">
        <f>HYPERLINK("https://creighton-primo.hosted.exlibrisgroup.com/primo-explore/search?tab=default_tab&amp;search_scope=EVERYTHING&amp;vid=01CRU&amp;lang=en_US&amp;offset=0&amp;query=any,contains,991004231859702656","Catalog Record")</f>
        <v/>
      </c>
      <c r="AT1626">
        <f>HYPERLINK("http://www.worldcat.org/oclc/2749257","WorldCat Record")</f>
        <v/>
      </c>
      <c r="AU1626" t="inlineStr">
        <is>
          <t>373686995:eng</t>
        </is>
      </c>
      <c r="AV1626" t="inlineStr">
        <is>
          <t>2749257</t>
        </is>
      </c>
      <c r="AW1626" t="inlineStr">
        <is>
          <t>991004231859702656</t>
        </is>
      </c>
      <c r="AX1626" t="inlineStr">
        <is>
          <t>991004231859702656</t>
        </is>
      </c>
      <c r="AY1626" t="inlineStr">
        <is>
          <t>2254916570002656</t>
        </is>
      </c>
      <c r="AZ1626" t="inlineStr">
        <is>
          <t>BOOK</t>
        </is>
      </c>
      <c r="BC1626" t="inlineStr">
        <is>
          <t>32285000260249</t>
        </is>
      </c>
      <c r="BD1626" t="inlineStr">
        <is>
          <t>893624496</t>
        </is>
      </c>
    </row>
    <row r="1627">
      <c r="A1627" t="inlineStr">
        <is>
          <t>No</t>
        </is>
      </c>
      <c r="B1627" t="inlineStr">
        <is>
          <t>BX2353 .K55 1997</t>
        </is>
      </c>
      <c r="C1627" t="inlineStr">
        <is>
          <t>0                      BX 2353000K  55          1997</t>
        </is>
      </c>
      <c r="D1627" t="inlineStr">
        <is>
          <t>Finding our voices : women, wisdom, and faith / Patricia O'Connell Killen.</t>
        </is>
      </c>
      <c r="F1627" t="inlineStr">
        <is>
          <t>No</t>
        </is>
      </c>
      <c r="G1627" t="inlineStr">
        <is>
          <t>1</t>
        </is>
      </c>
      <c r="H1627" t="inlineStr">
        <is>
          <t>No</t>
        </is>
      </c>
      <c r="I1627" t="inlineStr">
        <is>
          <t>No</t>
        </is>
      </c>
      <c r="J1627" t="inlineStr">
        <is>
          <t>0</t>
        </is>
      </c>
      <c r="K1627" t="inlineStr">
        <is>
          <t>Killen, Patricia O'Connell.</t>
        </is>
      </c>
      <c r="L1627" t="inlineStr">
        <is>
          <t>New York : Crossroad Pub. Co., 1997.</t>
        </is>
      </c>
      <c r="M1627" t="inlineStr">
        <is>
          <t>1997</t>
        </is>
      </c>
      <c r="O1627" t="inlineStr">
        <is>
          <t>eng</t>
        </is>
      </c>
      <c r="P1627" t="inlineStr">
        <is>
          <t>nyu</t>
        </is>
      </c>
      <c r="R1627" t="inlineStr">
        <is>
          <t xml:space="preserve">BX </t>
        </is>
      </c>
      <c r="S1627" t="n">
        <v>3</v>
      </c>
      <c r="T1627" t="n">
        <v>3</v>
      </c>
      <c r="U1627" t="inlineStr">
        <is>
          <t>2002-04-08</t>
        </is>
      </c>
      <c r="V1627" t="inlineStr">
        <is>
          <t>2002-04-08</t>
        </is>
      </c>
      <c r="W1627" t="inlineStr">
        <is>
          <t>1998-08-13</t>
        </is>
      </c>
      <c r="X1627" t="inlineStr">
        <is>
          <t>1998-08-13</t>
        </is>
      </c>
      <c r="Y1627" t="n">
        <v>122</v>
      </c>
      <c r="Z1627" t="n">
        <v>111</v>
      </c>
      <c r="AA1627" t="n">
        <v>116</v>
      </c>
      <c r="AB1627" t="n">
        <v>1</v>
      </c>
      <c r="AC1627" t="n">
        <v>1</v>
      </c>
      <c r="AD1627" t="n">
        <v>10</v>
      </c>
      <c r="AE1627" t="n">
        <v>10</v>
      </c>
      <c r="AF1627" t="n">
        <v>4</v>
      </c>
      <c r="AG1627" t="n">
        <v>4</v>
      </c>
      <c r="AH1627" t="n">
        <v>2</v>
      </c>
      <c r="AI1627" t="n">
        <v>2</v>
      </c>
      <c r="AJ1627" t="n">
        <v>7</v>
      </c>
      <c r="AK1627" t="n">
        <v>7</v>
      </c>
      <c r="AL1627" t="n">
        <v>0</v>
      </c>
      <c r="AM1627" t="n">
        <v>0</v>
      </c>
      <c r="AN1627" t="n">
        <v>0</v>
      </c>
      <c r="AO1627" t="n">
        <v>0</v>
      </c>
      <c r="AP1627" t="inlineStr">
        <is>
          <t>No</t>
        </is>
      </c>
      <c r="AQ1627" t="inlineStr">
        <is>
          <t>No</t>
        </is>
      </c>
      <c r="AS1627">
        <f>HYPERLINK("https://creighton-primo.hosted.exlibrisgroup.com/primo-explore/search?tab=default_tab&amp;search_scope=EVERYTHING&amp;vid=01CRU&amp;lang=en_US&amp;offset=0&amp;query=any,contains,991002851289702656","Catalog Record")</f>
        <v/>
      </c>
      <c r="AT1627">
        <f>HYPERLINK("http://www.worldcat.org/oclc/37567360","WorldCat Record")</f>
        <v/>
      </c>
      <c r="AU1627" t="inlineStr">
        <is>
          <t>2764162758:eng</t>
        </is>
      </c>
      <c r="AV1627" t="inlineStr">
        <is>
          <t>37567360</t>
        </is>
      </c>
      <c r="AW1627" t="inlineStr">
        <is>
          <t>991002851289702656</t>
        </is>
      </c>
      <c r="AX1627" t="inlineStr">
        <is>
          <t>991002851289702656</t>
        </is>
      </c>
      <c r="AY1627" t="inlineStr">
        <is>
          <t>2267533110002656</t>
        </is>
      </c>
      <c r="AZ1627" t="inlineStr">
        <is>
          <t>BOOK</t>
        </is>
      </c>
      <c r="BB1627" t="inlineStr">
        <is>
          <t>9780824516109</t>
        </is>
      </c>
      <c r="BC1627" t="inlineStr">
        <is>
          <t>32285003453189</t>
        </is>
      </c>
      <c r="BD1627" t="inlineStr">
        <is>
          <t>893867780</t>
        </is>
      </c>
    </row>
    <row r="1628">
      <c r="A1628" t="inlineStr">
        <is>
          <t>No</t>
        </is>
      </c>
      <c r="B1628" t="inlineStr">
        <is>
          <t>BX2353 .W35 2003</t>
        </is>
      </c>
      <c r="C1628" t="inlineStr">
        <is>
          <t>0                      BX 2353000W  35          2003</t>
        </is>
      </c>
      <c r="D1628" t="inlineStr">
        <is>
          <t>Selling ourselves short : why we struggle to earn a living and have a life / Catherine M. Wallace.</t>
        </is>
      </c>
      <c r="F1628" t="inlineStr">
        <is>
          <t>No</t>
        </is>
      </c>
      <c r="G1628" t="inlineStr">
        <is>
          <t>1</t>
        </is>
      </c>
      <c r="H1628" t="inlineStr">
        <is>
          <t>No</t>
        </is>
      </c>
      <c r="I1628" t="inlineStr">
        <is>
          <t>No</t>
        </is>
      </c>
      <c r="J1628" t="inlineStr">
        <is>
          <t>0</t>
        </is>
      </c>
      <c r="K1628" t="inlineStr">
        <is>
          <t>Wallace, Catherine Miles.</t>
        </is>
      </c>
      <c r="L1628" t="inlineStr">
        <is>
          <t>Grand Rapids, Mich. : Brazos Press, c2003.</t>
        </is>
      </c>
      <c r="M1628" t="inlineStr">
        <is>
          <t>2003</t>
        </is>
      </c>
      <c r="O1628" t="inlineStr">
        <is>
          <t>eng</t>
        </is>
      </c>
      <c r="P1628" t="inlineStr">
        <is>
          <t>miu</t>
        </is>
      </c>
      <c r="R1628" t="inlineStr">
        <is>
          <t xml:space="preserve">BX </t>
        </is>
      </c>
      <c r="S1628" t="n">
        <v>2</v>
      </c>
      <c r="T1628" t="n">
        <v>2</v>
      </c>
      <c r="U1628" t="inlineStr">
        <is>
          <t>2006-07-12</t>
        </is>
      </c>
      <c r="V1628" t="inlineStr">
        <is>
          <t>2006-07-12</t>
        </is>
      </c>
      <c r="W1628" t="inlineStr">
        <is>
          <t>2006-05-22</t>
        </is>
      </c>
      <c r="X1628" t="inlineStr">
        <is>
          <t>2006-05-22</t>
        </is>
      </c>
      <c r="Y1628" t="n">
        <v>163</v>
      </c>
      <c r="Z1628" t="n">
        <v>154</v>
      </c>
      <c r="AA1628" t="n">
        <v>154</v>
      </c>
      <c r="AB1628" t="n">
        <v>2</v>
      </c>
      <c r="AC1628" t="n">
        <v>2</v>
      </c>
      <c r="AD1628" t="n">
        <v>13</v>
      </c>
      <c r="AE1628" t="n">
        <v>13</v>
      </c>
      <c r="AF1628" t="n">
        <v>3</v>
      </c>
      <c r="AG1628" t="n">
        <v>3</v>
      </c>
      <c r="AH1628" t="n">
        <v>5</v>
      </c>
      <c r="AI1628" t="n">
        <v>5</v>
      </c>
      <c r="AJ1628" t="n">
        <v>7</v>
      </c>
      <c r="AK1628" t="n">
        <v>7</v>
      </c>
      <c r="AL1628" t="n">
        <v>1</v>
      </c>
      <c r="AM1628" t="n">
        <v>1</v>
      </c>
      <c r="AN1628" t="n">
        <v>0</v>
      </c>
      <c r="AO1628" t="n">
        <v>0</v>
      </c>
      <c r="AP1628" t="inlineStr">
        <is>
          <t>No</t>
        </is>
      </c>
      <c r="AQ1628" t="inlineStr">
        <is>
          <t>No</t>
        </is>
      </c>
      <c r="AS1628">
        <f>HYPERLINK("https://creighton-primo.hosted.exlibrisgroup.com/primo-explore/search?tab=default_tab&amp;search_scope=EVERYTHING&amp;vid=01CRU&amp;lang=en_US&amp;offset=0&amp;query=any,contains,991004781249702656","Catalog Record")</f>
        <v/>
      </c>
      <c r="AT1628">
        <f>HYPERLINK("http://www.worldcat.org/oclc/52559038","WorldCat Record")</f>
        <v/>
      </c>
      <c r="AU1628" t="inlineStr">
        <is>
          <t>797407:eng</t>
        </is>
      </c>
      <c r="AV1628" t="inlineStr">
        <is>
          <t>52559038</t>
        </is>
      </c>
      <c r="AW1628" t="inlineStr">
        <is>
          <t>991004781249702656</t>
        </is>
      </c>
      <c r="AX1628" t="inlineStr">
        <is>
          <t>991004781249702656</t>
        </is>
      </c>
      <c r="AY1628" t="inlineStr">
        <is>
          <t>2272367460002656</t>
        </is>
      </c>
      <c r="AZ1628" t="inlineStr">
        <is>
          <t>BOOK</t>
        </is>
      </c>
      <c r="BB1628" t="inlineStr">
        <is>
          <t>9781587430794</t>
        </is>
      </c>
      <c r="BC1628" t="inlineStr">
        <is>
          <t>32285005188528</t>
        </is>
      </c>
      <c r="BD1628" t="inlineStr">
        <is>
          <t>893260164</t>
        </is>
      </c>
    </row>
    <row r="1629">
      <c r="A1629" t="inlineStr">
        <is>
          <t>No</t>
        </is>
      </c>
      <c r="B1629" t="inlineStr">
        <is>
          <t>BX2355 .M55 2000</t>
        </is>
      </c>
      <c r="C1629" t="inlineStr">
        <is>
          <t>0                      BX 2355000M  55          2000</t>
        </is>
      </c>
      <c r="D1629" t="inlineStr">
        <is>
          <t>Keeping the faith, making a difference / Wilson D. Miscamble.</t>
        </is>
      </c>
      <c r="F1629" t="inlineStr">
        <is>
          <t>No</t>
        </is>
      </c>
      <c r="G1629" t="inlineStr">
        <is>
          <t>1</t>
        </is>
      </c>
      <c r="H1629" t="inlineStr">
        <is>
          <t>No</t>
        </is>
      </c>
      <c r="I1629" t="inlineStr">
        <is>
          <t>No</t>
        </is>
      </c>
      <c r="J1629" t="inlineStr">
        <is>
          <t>0</t>
        </is>
      </c>
      <c r="K1629" t="inlineStr">
        <is>
          <t>Miscamble, Wilson D., 1953-</t>
        </is>
      </c>
      <c r="L1629" t="inlineStr">
        <is>
          <t>Notre Dame, Ind. : Ave Maria Press, c2000.</t>
        </is>
      </c>
      <c r="M1629" t="inlineStr">
        <is>
          <t>2000</t>
        </is>
      </c>
      <c r="O1629" t="inlineStr">
        <is>
          <t>eng</t>
        </is>
      </c>
      <c r="P1629" t="inlineStr">
        <is>
          <t>inu</t>
        </is>
      </c>
      <c r="R1629" t="inlineStr">
        <is>
          <t xml:space="preserve">BX </t>
        </is>
      </c>
      <c r="S1629" t="n">
        <v>3</v>
      </c>
      <c r="T1629" t="n">
        <v>3</v>
      </c>
      <c r="U1629" t="inlineStr">
        <is>
          <t>2010-02-26</t>
        </is>
      </c>
      <c r="V1629" t="inlineStr">
        <is>
          <t>2010-02-26</t>
        </is>
      </c>
      <c r="W1629" t="inlineStr">
        <is>
          <t>2004-05-03</t>
        </is>
      </c>
      <c r="X1629" t="inlineStr">
        <is>
          <t>2004-05-03</t>
        </is>
      </c>
      <c r="Y1629" t="n">
        <v>45</v>
      </c>
      <c r="Z1629" t="n">
        <v>39</v>
      </c>
      <c r="AA1629" t="n">
        <v>39</v>
      </c>
      <c r="AB1629" t="n">
        <v>1</v>
      </c>
      <c r="AC1629" t="n">
        <v>1</v>
      </c>
      <c r="AD1629" t="n">
        <v>4</v>
      </c>
      <c r="AE1629" t="n">
        <v>4</v>
      </c>
      <c r="AF1629" t="n">
        <v>1</v>
      </c>
      <c r="AG1629" t="n">
        <v>1</v>
      </c>
      <c r="AH1629" t="n">
        <v>1</v>
      </c>
      <c r="AI1629" t="n">
        <v>1</v>
      </c>
      <c r="AJ1629" t="n">
        <v>2</v>
      </c>
      <c r="AK1629" t="n">
        <v>2</v>
      </c>
      <c r="AL1629" t="n">
        <v>0</v>
      </c>
      <c r="AM1629" t="n">
        <v>0</v>
      </c>
      <c r="AN1629" t="n">
        <v>0</v>
      </c>
      <c r="AO1629" t="n">
        <v>0</v>
      </c>
      <c r="AP1629" t="inlineStr">
        <is>
          <t>No</t>
        </is>
      </c>
      <c r="AQ1629" t="inlineStr">
        <is>
          <t>No</t>
        </is>
      </c>
      <c r="AS1629">
        <f>HYPERLINK("https://creighton-primo.hosted.exlibrisgroup.com/primo-explore/search?tab=default_tab&amp;search_scope=EVERYTHING&amp;vid=01CRU&amp;lang=en_US&amp;offset=0&amp;query=any,contains,991004286519702656","Catalog Record")</f>
        <v/>
      </c>
      <c r="AT1629">
        <f>HYPERLINK("http://www.worldcat.org/oclc/42463104","WorldCat Record")</f>
        <v/>
      </c>
      <c r="AU1629" t="inlineStr">
        <is>
          <t>27769824:eng</t>
        </is>
      </c>
      <c r="AV1629" t="inlineStr">
        <is>
          <t>42463104</t>
        </is>
      </c>
      <c r="AW1629" t="inlineStr">
        <is>
          <t>991004286519702656</t>
        </is>
      </c>
      <c r="AX1629" t="inlineStr">
        <is>
          <t>991004286519702656</t>
        </is>
      </c>
      <c r="AY1629" t="inlineStr">
        <is>
          <t>2263264550002656</t>
        </is>
      </c>
      <c r="AZ1629" t="inlineStr">
        <is>
          <t>BOOK</t>
        </is>
      </c>
      <c r="BB1629" t="inlineStr">
        <is>
          <t>9780877939337</t>
        </is>
      </c>
      <c r="BC1629" t="inlineStr">
        <is>
          <t>32285004903208</t>
        </is>
      </c>
      <c r="BD1629" t="inlineStr">
        <is>
          <t>893901051</t>
        </is>
      </c>
    </row>
    <row r="1630">
      <c r="A1630" t="inlineStr">
        <is>
          <t>No</t>
        </is>
      </c>
      <c r="B1630" t="inlineStr">
        <is>
          <t>BX2355 .Y57</t>
        </is>
      </c>
      <c r="C1630" t="inlineStr">
        <is>
          <t>0                      BX 2355000Y  57</t>
        </is>
      </c>
      <c r="D1630" t="inlineStr">
        <is>
          <t>Young Catholics : a report to the Knights of Columbus / Joan L. Fee ... [et al.] ; Center for the Study of American Pluralism, National Opinion Research Center, University of Chicago.</t>
        </is>
      </c>
      <c r="F1630" t="inlineStr">
        <is>
          <t>No</t>
        </is>
      </c>
      <c r="G1630" t="inlineStr">
        <is>
          <t>1</t>
        </is>
      </c>
      <c r="H1630" t="inlineStr">
        <is>
          <t>No</t>
        </is>
      </c>
      <c r="I1630" t="inlineStr">
        <is>
          <t>No</t>
        </is>
      </c>
      <c r="J1630" t="inlineStr">
        <is>
          <t>0</t>
        </is>
      </c>
      <c r="L1630" t="inlineStr">
        <is>
          <t>Los Angeles : Sadlier, c1981.</t>
        </is>
      </c>
      <c r="M1630" t="inlineStr">
        <is>
          <t>1981</t>
        </is>
      </c>
      <c r="O1630" t="inlineStr">
        <is>
          <t>eng</t>
        </is>
      </c>
      <c r="P1630" t="inlineStr">
        <is>
          <t>cau</t>
        </is>
      </c>
      <c r="R1630" t="inlineStr">
        <is>
          <t xml:space="preserve">BX </t>
        </is>
      </c>
      <c r="S1630" t="n">
        <v>2</v>
      </c>
      <c r="T1630" t="n">
        <v>2</v>
      </c>
      <c r="U1630" t="inlineStr">
        <is>
          <t>1999-03-14</t>
        </is>
      </c>
      <c r="V1630" t="inlineStr">
        <is>
          <t>1999-03-14</t>
        </is>
      </c>
      <c r="W1630" t="inlineStr">
        <is>
          <t>1991-10-31</t>
        </is>
      </c>
      <c r="X1630" t="inlineStr">
        <is>
          <t>1991-10-31</t>
        </is>
      </c>
      <c r="Y1630" t="n">
        <v>199</v>
      </c>
      <c r="Z1630" t="n">
        <v>167</v>
      </c>
      <c r="AA1630" t="n">
        <v>186</v>
      </c>
      <c r="AB1630" t="n">
        <v>2</v>
      </c>
      <c r="AC1630" t="n">
        <v>2</v>
      </c>
      <c r="AD1630" t="n">
        <v>20</v>
      </c>
      <c r="AE1630" t="n">
        <v>21</v>
      </c>
      <c r="AF1630" t="n">
        <v>5</v>
      </c>
      <c r="AG1630" t="n">
        <v>5</v>
      </c>
      <c r="AH1630" t="n">
        <v>5</v>
      </c>
      <c r="AI1630" t="n">
        <v>5</v>
      </c>
      <c r="AJ1630" t="n">
        <v>14</v>
      </c>
      <c r="AK1630" t="n">
        <v>15</v>
      </c>
      <c r="AL1630" t="n">
        <v>1</v>
      </c>
      <c r="AM1630" t="n">
        <v>1</v>
      </c>
      <c r="AN1630" t="n">
        <v>0</v>
      </c>
      <c r="AO1630" t="n">
        <v>0</v>
      </c>
      <c r="AP1630" t="inlineStr">
        <is>
          <t>No</t>
        </is>
      </c>
      <c r="AQ1630" t="inlineStr">
        <is>
          <t>Yes</t>
        </is>
      </c>
      <c r="AR1630">
        <f>HYPERLINK("http://catalog.hathitrust.org/Record/005103007","HathiTrust Record")</f>
        <v/>
      </c>
      <c r="AS1630">
        <f>HYPERLINK("https://creighton-primo.hosted.exlibrisgroup.com/primo-explore/search?tab=default_tab&amp;search_scope=EVERYTHING&amp;vid=01CRU&amp;lang=en_US&amp;offset=0&amp;query=any,contains,991005228019702656","Catalog Record")</f>
        <v/>
      </c>
      <c r="AT1630">
        <f>HYPERLINK("http://www.worldcat.org/oclc/8286163","WorldCat Record")</f>
        <v/>
      </c>
      <c r="AU1630" t="inlineStr">
        <is>
          <t>469979665:eng</t>
        </is>
      </c>
      <c r="AV1630" t="inlineStr">
        <is>
          <t>8286163</t>
        </is>
      </c>
      <c r="AW1630" t="inlineStr">
        <is>
          <t>991005228019702656</t>
        </is>
      </c>
      <c r="AX1630" t="inlineStr">
        <is>
          <t>991005228019702656</t>
        </is>
      </c>
      <c r="AY1630" t="inlineStr">
        <is>
          <t>2264930660002656</t>
        </is>
      </c>
      <c r="AZ1630" t="inlineStr">
        <is>
          <t>BOOK</t>
        </is>
      </c>
      <c r="BB1630" t="inlineStr">
        <is>
          <t>9780821598757</t>
        </is>
      </c>
      <c r="BC1630" t="inlineStr">
        <is>
          <t>32285000830702</t>
        </is>
      </c>
      <c r="BD1630" t="inlineStr">
        <is>
          <t>893707483</t>
        </is>
      </c>
    </row>
    <row r="1631">
      <c r="A1631" t="inlineStr">
        <is>
          <t>No</t>
        </is>
      </c>
      <c r="B1631" t="inlineStr">
        <is>
          <t>BX2372 .C34 2000</t>
        </is>
      </c>
      <c r="C1631" t="inlineStr">
        <is>
          <t>0                      BX 2372000C  34          2000</t>
        </is>
      </c>
      <c r="D1631" t="inlineStr">
        <is>
          <t>Harvest us home : good news as we age / Rachel Callahan and Rea McDonnell.</t>
        </is>
      </c>
      <c r="F1631" t="inlineStr">
        <is>
          <t>No</t>
        </is>
      </c>
      <c r="G1631" t="inlineStr">
        <is>
          <t>1</t>
        </is>
      </c>
      <c r="H1631" t="inlineStr">
        <is>
          <t>No</t>
        </is>
      </c>
      <c r="I1631" t="inlineStr">
        <is>
          <t>No</t>
        </is>
      </c>
      <c r="J1631" t="inlineStr">
        <is>
          <t>0</t>
        </is>
      </c>
      <c r="K1631" t="inlineStr">
        <is>
          <t>Callahan, Rachel.</t>
        </is>
      </c>
      <c r="L1631" t="inlineStr">
        <is>
          <t>Cincinnati, Ohio : St. Anthony Messenger Press, c2000.</t>
        </is>
      </c>
      <c r="M1631" t="inlineStr">
        <is>
          <t>2000</t>
        </is>
      </c>
      <c r="O1631" t="inlineStr">
        <is>
          <t>eng</t>
        </is>
      </c>
      <c r="P1631" t="inlineStr">
        <is>
          <t>ohu</t>
        </is>
      </c>
      <c r="R1631" t="inlineStr">
        <is>
          <t xml:space="preserve">BX </t>
        </is>
      </c>
      <c r="S1631" t="n">
        <v>2</v>
      </c>
      <c r="T1631" t="n">
        <v>2</v>
      </c>
      <c r="U1631" t="inlineStr">
        <is>
          <t>2001-06-14</t>
        </is>
      </c>
      <c r="V1631" t="inlineStr">
        <is>
          <t>2001-06-14</t>
        </is>
      </c>
      <c r="W1631" t="inlineStr">
        <is>
          <t>2001-05-02</t>
        </is>
      </c>
      <c r="X1631" t="inlineStr">
        <is>
          <t>2001-05-02</t>
        </is>
      </c>
      <c r="Y1631" t="n">
        <v>42</v>
      </c>
      <c r="Z1631" t="n">
        <v>37</v>
      </c>
      <c r="AA1631" t="n">
        <v>42</v>
      </c>
      <c r="AB1631" t="n">
        <v>1</v>
      </c>
      <c r="AC1631" t="n">
        <v>1</v>
      </c>
      <c r="AD1631" t="n">
        <v>4</v>
      </c>
      <c r="AE1631" t="n">
        <v>4</v>
      </c>
      <c r="AF1631" t="n">
        <v>0</v>
      </c>
      <c r="AG1631" t="n">
        <v>0</v>
      </c>
      <c r="AH1631" t="n">
        <v>2</v>
      </c>
      <c r="AI1631" t="n">
        <v>2</v>
      </c>
      <c r="AJ1631" t="n">
        <v>3</v>
      </c>
      <c r="AK1631" t="n">
        <v>3</v>
      </c>
      <c r="AL1631" t="n">
        <v>0</v>
      </c>
      <c r="AM1631" t="n">
        <v>0</v>
      </c>
      <c r="AN1631" t="n">
        <v>0</v>
      </c>
      <c r="AO1631" t="n">
        <v>0</v>
      </c>
      <c r="AP1631" t="inlineStr">
        <is>
          <t>No</t>
        </is>
      </c>
      <c r="AQ1631" t="inlineStr">
        <is>
          <t>No</t>
        </is>
      </c>
      <c r="AS1631">
        <f>HYPERLINK("https://creighton-primo.hosted.exlibrisgroup.com/primo-explore/search?tab=default_tab&amp;search_scope=EVERYTHING&amp;vid=01CRU&amp;lang=en_US&amp;offset=0&amp;query=any,contains,991003531169702656","Catalog Record")</f>
        <v/>
      </c>
      <c r="AT1631">
        <f>HYPERLINK("http://www.worldcat.org/oclc/45355212","WorldCat Record")</f>
        <v/>
      </c>
      <c r="AU1631" t="inlineStr">
        <is>
          <t>34564314:eng</t>
        </is>
      </c>
      <c r="AV1631" t="inlineStr">
        <is>
          <t>45355212</t>
        </is>
      </c>
      <c r="AW1631" t="inlineStr">
        <is>
          <t>991003531169702656</t>
        </is>
      </c>
      <c r="AX1631" t="inlineStr">
        <is>
          <t>991003531169702656</t>
        </is>
      </c>
      <c r="AY1631" t="inlineStr">
        <is>
          <t>2260826470002656</t>
        </is>
      </c>
      <c r="AZ1631" t="inlineStr">
        <is>
          <t>BOOK</t>
        </is>
      </c>
      <c r="BB1631" t="inlineStr">
        <is>
          <t>9780867163728</t>
        </is>
      </c>
      <c r="BC1631" t="inlineStr">
        <is>
          <t>32285004315924</t>
        </is>
      </c>
      <c r="BD1631" t="inlineStr">
        <is>
          <t>893428894</t>
        </is>
      </c>
    </row>
    <row r="1632">
      <c r="A1632" t="inlineStr">
        <is>
          <t>No</t>
        </is>
      </c>
      <c r="B1632" t="inlineStr">
        <is>
          <t>BX2373.S5 C37 1997</t>
        </is>
      </c>
      <c r="C1632" t="inlineStr">
        <is>
          <t>0                      BX 2373000S  5                  C  37          1997</t>
        </is>
      </c>
      <c r="D1632" t="inlineStr">
        <is>
          <t>God is no illusion : meditations on the end of life / John Tully Carmody.</t>
        </is>
      </c>
      <c r="F1632" t="inlineStr">
        <is>
          <t>No</t>
        </is>
      </c>
      <c r="G1632" t="inlineStr">
        <is>
          <t>1</t>
        </is>
      </c>
      <c r="H1632" t="inlineStr">
        <is>
          <t>No</t>
        </is>
      </c>
      <c r="I1632" t="inlineStr">
        <is>
          <t>No</t>
        </is>
      </c>
      <c r="J1632" t="inlineStr">
        <is>
          <t>0</t>
        </is>
      </c>
      <c r="K1632" t="inlineStr">
        <is>
          <t>Carmody, John, 1939-</t>
        </is>
      </c>
      <c r="L1632" t="inlineStr">
        <is>
          <t>Valley Forge, Pa. : Trinity Press International, c1997.</t>
        </is>
      </c>
      <c r="M1632" t="inlineStr">
        <is>
          <t>1997</t>
        </is>
      </c>
      <c r="O1632" t="inlineStr">
        <is>
          <t>eng</t>
        </is>
      </c>
      <c r="P1632" t="inlineStr">
        <is>
          <t>pau</t>
        </is>
      </c>
      <c r="R1632" t="inlineStr">
        <is>
          <t xml:space="preserve">BX </t>
        </is>
      </c>
      <c r="S1632" t="n">
        <v>5</v>
      </c>
      <c r="T1632" t="n">
        <v>5</v>
      </c>
      <c r="U1632" t="inlineStr">
        <is>
          <t>1998-08-24</t>
        </is>
      </c>
      <c r="V1632" t="inlineStr">
        <is>
          <t>1998-08-24</t>
        </is>
      </c>
      <c r="W1632" t="inlineStr">
        <is>
          <t>1997-05-04</t>
        </is>
      </c>
      <c r="X1632" t="inlineStr">
        <is>
          <t>1997-05-04</t>
        </is>
      </c>
      <c r="Y1632" t="n">
        <v>191</v>
      </c>
      <c r="Z1632" t="n">
        <v>178</v>
      </c>
      <c r="AA1632" t="n">
        <v>178</v>
      </c>
      <c r="AB1632" t="n">
        <v>2</v>
      </c>
      <c r="AC1632" t="n">
        <v>2</v>
      </c>
      <c r="AD1632" t="n">
        <v>14</v>
      </c>
      <c r="AE1632" t="n">
        <v>14</v>
      </c>
      <c r="AF1632" t="n">
        <v>6</v>
      </c>
      <c r="AG1632" t="n">
        <v>6</v>
      </c>
      <c r="AH1632" t="n">
        <v>1</v>
      </c>
      <c r="AI1632" t="n">
        <v>1</v>
      </c>
      <c r="AJ1632" t="n">
        <v>10</v>
      </c>
      <c r="AK1632" t="n">
        <v>10</v>
      </c>
      <c r="AL1632" t="n">
        <v>1</v>
      </c>
      <c r="AM1632" t="n">
        <v>1</v>
      </c>
      <c r="AN1632" t="n">
        <v>0</v>
      </c>
      <c r="AO1632" t="n">
        <v>0</v>
      </c>
      <c r="AP1632" t="inlineStr">
        <is>
          <t>No</t>
        </is>
      </c>
      <c r="AQ1632" t="inlineStr">
        <is>
          <t>No</t>
        </is>
      </c>
      <c r="AS1632">
        <f>HYPERLINK("https://creighton-primo.hosted.exlibrisgroup.com/primo-explore/search?tab=default_tab&amp;search_scope=EVERYTHING&amp;vid=01CRU&amp;lang=en_US&amp;offset=0&amp;query=any,contains,991002707999702656","Catalog Record")</f>
        <v/>
      </c>
      <c r="AT1632">
        <f>HYPERLINK("http://www.worldcat.org/oclc/35364788","WorldCat Record")</f>
        <v/>
      </c>
      <c r="AU1632" t="inlineStr">
        <is>
          <t>4162219831:eng</t>
        </is>
      </c>
      <c r="AV1632" t="inlineStr">
        <is>
          <t>35364788</t>
        </is>
      </c>
      <c r="AW1632" t="inlineStr">
        <is>
          <t>991002707999702656</t>
        </is>
      </c>
      <c r="AX1632" t="inlineStr">
        <is>
          <t>991002707999702656</t>
        </is>
      </c>
      <c r="AY1632" t="inlineStr">
        <is>
          <t>2262487540002656</t>
        </is>
      </c>
      <c r="AZ1632" t="inlineStr">
        <is>
          <t>BOOK</t>
        </is>
      </c>
      <c r="BB1632" t="inlineStr">
        <is>
          <t>9781563381881</t>
        </is>
      </c>
      <c r="BC1632" t="inlineStr">
        <is>
          <t>32285002543493</t>
        </is>
      </c>
      <c r="BD1632" t="inlineStr">
        <is>
          <t>893867589</t>
        </is>
      </c>
    </row>
    <row r="1633">
      <c r="A1633" t="inlineStr">
        <is>
          <t>No</t>
        </is>
      </c>
      <c r="B1633" t="inlineStr">
        <is>
          <t>BX2373.S5 R413 1954</t>
        </is>
      </c>
      <c r="C1633" t="inlineStr">
        <is>
          <t>0                      BX 2373000S  5                  R  413         1954</t>
        </is>
      </c>
      <c r="D1633" t="inlineStr">
        <is>
          <t>The cross and the Christian / Pius-Raymond Régamey. Translated by Angeline Bouchard.</t>
        </is>
      </c>
      <c r="F1633" t="inlineStr">
        <is>
          <t>No</t>
        </is>
      </c>
      <c r="G1633" t="inlineStr">
        <is>
          <t>1</t>
        </is>
      </c>
      <c r="H1633" t="inlineStr">
        <is>
          <t>No</t>
        </is>
      </c>
      <c r="I1633" t="inlineStr">
        <is>
          <t>No</t>
        </is>
      </c>
      <c r="J1633" t="inlineStr">
        <is>
          <t>0</t>
        </is>
      </c>
      <c r="K1633" t="inlineStr">
        <is>
          <t>Régamey, P.-R. (Pie-Raymond), 1900-1996.</t>
        </is>
      </c>
      <c r="L1633" t="inlineStr">
        <is>
          <t>St. Louis : B. Herder Book Co., c1954, 1955 printing.</t>
        </is>
      </c>
      <c r="M1633" t="inlineStr">
        <is>
          <t>1954</t>
        </is>
      </c>
      <c r="O1633" t="inlineStr">
        <is>
          <t>eng</t>
        </is>
      </c>
      <c r="P1633" t="inlineStr">
        <is>
          <t>mou</t>
        </is>
      </c>
      <c r="Q1633" t="inlineStr">
        <is>
          <t>Cross and crown series of spirituality ; no. 2</t>
        </is>
      </c>
      <c r="R1633" t="inlineStr">
        <is>
          <t xml:space="preserve">BX </t>
        </is>
      </c>
      <c r="S1633" t="n">
        <v>1</v>
      </c>
      <c r="T1633" t="n">
        <v>1</v>
      </c>
      <c r="U1633" t="inlineStr">
        <is>
          <t>1992-11-19</t>
        </is>
      </c>
      <c r="V1633" t="inlineStr">
        <is>
          <t>1992-11-19</t>
        </is>
      </c>
      <c r="W1633" t="inlineStr">
        <is>
          <t>1991-10-31</t>
        </is>
      </c>
      <c r="X1633" t="inlineStr">
        <is>
          <t>1991-10-31</t>
        </is>
      </c>
      <c r="Y1633" t="n">
        <v>148</v>
      </c>
      <c r="Z1633" t="n">
        <v>129</v>
      </c>
      <c r="AA1633" t="n">
        <v>129</v>
      </c>
      <c r="AB1633" t="n">
        <v>3</v>
      </c>
      <c r="AC1633" t="n">
        <v>3</v>
      </c>
      <c r="AD1633" t="n">
        <v>22</v>
      </c>
      <c r="AE1633" t="n">
        <v>22</v>
      </c>
      <c r="AF1633" t="n">
        <v>6</v>
      </c>
      <c r="AG1633" t="n">
        <v>6</v>
      </c>
      <c r="AH1633" t="n">
        <v>6</v>
      </c>
      <c r="AI1633" t="n">
        <v>6</v>
      </c>
      <c r="AJ1633" t="n">
        <v>17</v>
      </c>
      <c r="AK1633" t="n">
        <v>17</v>
      </c>
      <c r="AL1633" t="n">
        <v>0</v>
      </c>
      <c r="AM1633" t="n">
        <v>0</v>
      </c>
      <c r="AN1633" t="n">
        <v>0</v>
      </c>
      <c r="AO1633" t="n">
        <v>0</v>
      </c>
      <c r="AP1633" t="inlineStr">
        <is>
          <t>No</t>
        </is>
      </c>
      <c r="AQ1633" t="inlineStr">
        <is>
          <t>No</t>
        </is>
      </c>
      <c r="AS1633">
        <f>HYPERLINK("https://creighton-primo.hosted.exlibrisgroup.com/primo-explore/search?tab=default_tab&amp;search_scope=EVERYTHING&amp;vid=01CRU&amp;lang=en_US&amp;offset=0&amp;query=any,contains,991004132909702656","Catalog Record")</f>
        <v/>
      </c>
      <c r="AT1633">
        <f>HYPERLINK("http://www.worldcat.org/oclc/2476425","WorldCat Record")</f>
        <v/>
      </c>
      <c r="AU1633" t="inlineStr">
        <is>
          <t>4164230575:eng</t>
        </is>
      </c>
      <c r="AV1633" t="inlineStr">
        <is>
          <t>2476425</t>
        </is>
      </c>
      <c r="AW1633" t="inlineStr">
        <is>
          <t>991004132909702656</t>
        </is>
      </c>
      <c r="AX1633" t="inlineStr">
        <is>
          <t>991004132909702656</t>
        </is>
      </c>
      <c r="AY1633" t="inlineStr">
        <is>
          <t>2268879010002656</t>
        </is>
      </c>
      <c r="AZ1633" t="inlineStr">
        <is>
          <t>BOOK</t>
        </is>
      </c>
      <c r="BC1633" t="inlineStr">
        <is>
          <t>32285000830769</t>
        </is>
      </c>
      <c r="BD1633" t="inlineStr">
        <is>
          <t>893693565</t>
        </is>
      </c>
    </row>
    <row r="1634">
      <c r="A1634" t="inlineStr">
        <is>
          <t>No</t>
        </is>
      </c>
      <c r="B1634" t="inlineStr">
        <is>
          <t>BX2373.S8 W46 1985</t>
        </is>
      </c>
      <c r="C1634" t="inlineStr">
        <is>
          <t>0                      BX 2373000S  8                  W  46          1985</t>
        </is>
      </c>
      <c r="D1634" t="inlineStr">
        <is>
          <t>What I believe : Catholic college students discuss their faith / edited by David Murphy.</t>
        </is>
      </c>
      <c r="F1634" t="inlineStr">
        <is>
          <t>No</t>
        </is>
      </c>
      <c r="G1634" t="inlineStr">
        <is>
          <t>1</t>
        </is>
      </c>
      <c r="H1634" t="inlineStr">
        <is>
          <t>No</t>
        </is>
      </c>
      <c r="I1634" t="inlineStr">
        <is>
          <t>No</t>
        </is>
      </c>
      <c r="J1634" t="inlineStr">
        <is>
          <t>0</t>
        </is>
      </c>
      <c r="L1634" t="inlineStr">
        <is>
          <t>Chicago, Ill. : Thomas More Press, c1985.</t>
        </is>
      </c>
      <c r="M1634" t="inlineStr">
        <is>
          <t>1985</t>
        </is>
      </c>
      <c r="O1634" t="inlineStr">
        <is>
          <t>eng</t>
        </is>
      </c>
      <c r="P1634" t="inlineStr">
        <is>
          <t>ilu</t>
        </is>
      </c>
      <c r="R1634" t="inlineStr">
        <is>
          <t xml:space="preserve">BX </t>
        </is>
      </c>
      <c r="S1634" t="n">
        <v>4</v>
      </c>
      <c r="T1634" t="n">
        <v>4</v>
      </c>
      <c r="U1634" t="inlineStr">
        <is>
          <t>1993-12-11</t>
        </is>
      </c>
      <c r="V1634" t="inlineStr">
        <is>
          <t>1993-12-11</t>
        </is>
      </c>
      <c r="W1634" t="inlineStr">
        <is>
          <t>1991-10-31</t>
        </is>
      </c>
      <c r="X1634" t="inlineStr">
        <is>
          <t>1991-10-31</t>
        </is>
      </c>
      <c r="Y1634" t="n">
        <v>111</v>
      </c>
      <c r="Z1634" t="n">
        <v>104</v>
      </c>
      <c r="AA1634" t="n">
        <v>109</v>
      </c>
      <c r="AB1634" t="n">
        <v>2</v>
      </c>
      <c r="AC1634" t="n">
        <v>2</v>
      </c>
      <c r="AD1634" t="n">
        <v>13</v>
      </c>
      <c r="AE1634" t="n">
        <v>13</v>
      </c>
      <c r="AF1634" t="n">
        <v>4</v>
      </c>
      <c r="AG1634" t="n">
        <v>4</v>
      </c>
      <c r="AH1634" t="n">
        <v>3</v>
      </c>
      <c r="AI1634" t="n">
        <v>3</v>
      </c>
      <c r="AJ1634" t="n">
        <v>10</v>
      </c>
      <c r="AK1634" t="n">
        <v>10</v>
      </c>
      <c r="AL1634" t="n">
        <v>1</v>
      </c>
      <c r="AM1634" t="n">
        <v>1</v>
      </c>
      <c r="AN1634" t="n">
        <v>0</v>
      </c>
      <c r="AO1634" t="n">
        <v>0</v>
      </c>
      <c r="AP1634" t="inlineStr">
        <is>
          <t>No</t>
        </is>
      </c>
      <c r="AQ1634" t="inlineStr">
        <is>
          <t>No</t>
        </is>
      </c>
      <c r="AS1634">
        <f>HYPERLINK("https://creighton-primo.hosted.exlibrisgroup.com/primo-explore/search?tab=default_tab&amp;search_scope=EVERYTHING&amp;vid=01CRU&amp;lang=en_US&amp;offset=0&amp;query=any,contains,991000723469702656","Catalog Record")</f>
        <v/>
      </c>
      <c r="AT1634">
        <f>HYPERLINK("http://www.worldcat.org/oclc/12674726","WorldCat Record")</f>
        <v/>
      </c>
      <c r="AU1634" t="inlineStr">
        <is>
          <t>10182248037:eng</t>
        </is>
      </c>
      <c r="AV1634" t="inlineStr">
        <is>
          <t>12674726</t>
        </is>
      </c>
      <c r="AW1634" t="inlineStr">
        <is>
          <t>991000723469702656</t>
        </is>
      </c>
      <c r="AX1634" t="inlineStr">
        <is>
          <t>991000723469702656</t>
        </is>
      </c>
      <c r="AY1634" t="inlineStr">
        <is>
          <t>2267463810002656</t>
        </is>
      </c>
      <c r="AZ1634" t="inlineStr">
        <is>
          <t>BOOK</t>
        </is>
      </c>
      <c r="BB1634" t="inlineStr">
        <is>
          <t>9780883471814</t>
        </is>
      </c>
      <c r="BC1634" t="inlineStr">
        <is>
          <t>32285000830777</t>
        </is>
      </c>
      <c r="BD1634" t="inlineStr">
        <is>
          <t>893231358</t>
        </is>
      </c>
    </row>
    <row r="1635">
      <c r="A1635" t="inlineStr">
        <is>
          <t>No</t>
        </is>
      </c>
      <c r="B1635" t="inlineStr">
        <is>
          <t>BX2373.T4 D3 1965</t>
        </is>
      </c>
      <c r="C1635" t="inlineStr">
        <is>
          <t>0                      BX 2373000T  4                  D  3           1965</t>
        </is>
      </c>
      <c r="D1635" t="inlineStr">
        <is>
          <t>Meditations for educators / by Lowrie J. Daly and Mary Virgene Daly. With an introd. by Paul C. Reinert.</t>
        </is>
      </c>
      <c r="F1635" t="inlineStr">
        <is>
          <t>No</t>
        </is>
      </c>
      <c r="G1635" t="inlineStr">
        <is>
          <t>1</t>
        </is>
      </c>
      <c r="H1635" t="inlineStr">
        <is>
          <t>No</t>
        </is>
      </c>
      <c r="I1635" t="inlineStr">
        <is>
          <t>No</t>
        </is>
      </c>
      <c r="J1635" t="inlineStr">
        <is>
          <t>0</t>
        </is>
      </c>
      <c r="K1635" t="inlineStr">
        <is>
          <t>Daly, Lowrie J., 1914-2000.</t>
        </is>
      </c>
      <c r="L1635" t="inlineStr">
        <is>
          <t>New York : Sheed and Ward, [1965]</t>
        </is>
      </c>
      <c r="M1635" t="inlineStr">
        <is>
          <t>1965</t>
        </is>
      </c>
      <c r="O1635" t="inlineStr">
        <is>
          <t>eng</t>
        </is>
      </c>
      <c r="P1635" t="inlineStr">
        <is>
          <t>nyu</t>
        </is>
      </c>
      <c r="R1635" t="inlineStr">
        <is>
          <t xml:space="preserve">BX </t>
        </is>
      </c>
      <c r="S1635" t="n">
        <v>1</v>
      </c>
      <c r="T1635" t="n">
        <v>1</v>
      </c>
      <c r="U1635" t="inlineStr">
        <is>
          <t>2002-04-04</t>
        </is>
      </c>
      <c r="V1635" t="inlineStr">
        <is>
          <t>2002-04-04</t>
        </is>
      </c>
      <c r="W1635" t="inlineStr">
        <is>
          <t>1991-10-31</t>
        </is>
      </c>
      <c r="X1635" t="inlineStr">
        <is>
          <t>1991-10-31</t>
        </is>
      </c>
      <c r="Y1635" t="n">
        <v>89</v>
      </c>
      <c r="Z1635" t="n">
        <v>77</v>
      </c>
      <c r="AA1635" t="n">
        <v>82</v>
      </c>
      <c r="AB1635" t="n">
        <v>2</v>
      </c>
      <c r="AC1635" t="n">
        <v>2</v>
      </c>
      <c r="AD1635" t="n">
        <v>16</v>
      </c>
      <c r="AE1635" t="n">
        <v>16</v>
      </c>
      <c r="AF1635" t="n">
        <v>4</v>
      </c>
      <c r="AG1635" t="n">
        <v>4</v>
      </c>
      <c r="AH1635" t="n">
        <v>4</v>
      </c>
      <c r="AI1635" t="n">
        <v>4</v>
      </c>
      <c r="AJ1635" t="n">
        <v>14</v>
      </c>
      <c r="AK1635" t="n">
        <v>14</v>
      </c>
      <c r="AL1635" t="n">
        <v>1</v>
      </c>
      <c r="AM1635" t="n">
        <v>1</v>
      </c>
      <c r="AN1635" t="n">
        <v>0</v>
      </c>
      <c r="AO1635" t="n">
        <v>0</v>
      </c>
      <c r="AP1635" t="inlineStr">
        <is>
          <t>No</t>
        </is>
      </c>
      <c r="AQ1635" t="inlineStr">
        <is>
          <t>No</t>
        </is>
      </c>
      <c r="AS1635">
        <f>HYPERLINK("https://creighton-primo.hosted.exlibrisgroup.com/primo-explore/search?tab=default_tab&amp;search_scope=EVERYTHING&amp;vid=01CRU&amp;lang=en_US&amp;offset=0&amp;query=any,contains,991003507969702656","Catalog Record")</f>
        <v/>
      </c>
      <c r="AT1635">
        <f>HYPERLINK("http://www.worldcat.org/oclc/1060748","WorldCat Record")</f>
        <v/>
      </c>
      <c r="AU1635" t="inlineStr">
        <is>
          <t>1998769:eng</t>
        </is>
      </c>
      <c r="AV1635" t="inlineStr">
        <is>
          <t>1060748</t>
        </is>
      </c>
      <c r="AW1635" t="inlineStr">
        <is>
          <t>991003507969702656</t>
        </is>
      </c>
      <c r="AX1635" t="inlineStr">
        <is>
          <t>991003507969702656</t>
        </is>
      </c>
      <c r="AY1635" t="inlineStr">
        <is>
          <t>2258916570002656</t>
        </is>
      </c>
      <c r="AZ1635" t="inlineStr">
        <is>
          <t>BOOK</t>
        </is>
      </c>
      <c r="BC1635" t="inlineStr">
        <is>
          <t>32285000830793</t>
        </is>
      </c>
      <c r="BD1635" t="inlineStr">
        <is>
          <t>893416453</t>
        </is>
      </c>
    </row>
    <row r="1636">
      <c r="A1636" t="inlineStr">
        <is>
          <t>No</t>
        </is>
      </c>
      <c r="B1636" t="inlineStr">
        <is>
          <t>BX2373.T4 T84</t>
        </is>
      </c>
      <c r="C1636" t="inlineStr">
        <is>
          <t>0                      BX 2373000T  4                  T  84</t>
        </is>
      </c>
      <c r="D1636" t="inlineStr">
        <is>
          <t>Called to teach : a spiritual guide for teachers and aides / by Rev. Walter J. Tulley. --</t>
        </is>
      </c>
      <c r="F1636" t="inlineStr">
        <is>
          <t>No</t>
        </is>
      </c>
      <c r="G1636" t="inlineStr">
        <is>
          <t>1</t>
        </is>
      </c>
      <c r="H1636" t="inlineStr">
        <is>
          <t>No</t>
        </is>
      </c>
      <c r="I1636" t="inlineStr">
        <is>
          <t>No</t>
        </is>
      </c>
      <c r="J1636" t="inlineStr">
        <is>
          <t>0</t>
        </is>
      </c>
      <c r="K1636" t="inlineStr">
        <is>
          <t>Tulley, Walter J.</t>
        </is>
      </c>
      <c r="L1636" t="inlineStr">
        <is>
          <t>Staten Island, N.Y. : Alba House, c1978.</t>
        </is>
      </c>
      <c r="M1636" t="inlineStr">
        <is>
          <t>1978</t>
        </is>
      </c>
      <c r="O1636" t="inlineStr">
        <is>
          <t>eng</t>
        </is>
      </c>
      <c r="P1636" t="inlineStr">
        <is>
          <t>nyu</t>
        </is>
      </c>
      <c r="R1636" t="inlineStr">
        <is>
          <t xml:space="preserve">BX </t>
        </is>
      </c>
      <c r="S1636" t="n">
        <v>1</v>
      </c>
      <c r="T1636" t="n">
        <v>1</v>
      </c>
      <c r="U1636" t="inlineStr">
        <is>
          <t>2002-04-04</t>
        </is>
      </c>
      <c r="V1636" t="inlineStr">
        <is>
          <t>2002-04-04</t>
        </is>
      </c>
      <c r="W1636" t="inlineStr">
        <is>
          <t>1991-10-31</t>
        </is>
      </c>
      <c r="X1636" t="inlineStr">
        <is>
          <t>1991-10-31</t>
        </is>
      </c>
      <c r="Y1636" t="n">
        <v>35</v>
      </c>
      <c r="Z1636" t="n">
        <v>27</v>
      </c>
      <c r="AA1636" t="n">
        <v>27</v>
      </c>
      <c r="AB1636" t="n">
        <v>1</v>
      </c>
      <c r="AC1636" t="n">
        <v>1</v>
      </c>
      <c r="AD1636" t="n">
        <v>3</v>
      </c>
      <c r="AE1636" t="n">
        <v>3</v>
      </c>
      <c r="AF1636" t="n">
        <v>0</v>
      </c>
      <c r="AG1636" t="n">
        <v>0</v>
      </c>
      <c r="AH1636" t="n">
        <v>0</v>
      </c>
      <c r="AI1636" t="n">
        <v>0</v>
      </c>
      <c r="AJ1636" t="n">
        <v>3</v>
      </c>
      <c r="AK1636" t="n">
        <v>3</v>
      </c>
      <c r="AL1636" t="n">
        <v>0</v>
      </c>
      <c r="AM1636" t="n">
        <v>0</v>
      </c>
      <c r="AN1636" t="n">
        <v>0</v>
      </c>
      <c r="AO1636" t="n">
        <v>0</v>
      </c>
      <c r="AP1636" t="inlineStr">
        <is>
          <t>No</t>
        </is>
      </c>
      <c r="AQ1636" t="inlineStr">
        <is>
          <t>No</t>
        </is>
      </c>
      <c r="AS1636">
        <f>HYPERLINK("https://creighton-primo.hosted.exlibrisgroup.com/primo-explore/search?tab=default_tab&amp;search_scope=EVERYTHING&amp;vid=01CRU&amp;lang=en_US&amp;offset=0&amp;query=any,contains,991004524659702656","Catalog Record")</f>
        <v/>
      </c>
      <c r="AT1636">
        <f>HYPERLINK("http://www.worldcat.org/oclc/3842669","WorldCat Record")</f>
        <v/>
      </c>
      <c r="AU1636" t="inlineStr">
        <is>
          <t>13274377:eng</t>
        </is>
      </c>
      <c r="AV1636" t="inlineStr">
        <is>
          <t>3842669</t>
        </is>
      </c>
      <c r="AW1636" t="inlineStr">
        <is>
          <t>991004524659702656</t>
        </is>
      </c>
      <c r="AX1636" t="inlineStr">
        <is>
          <t>991004524659702656</t>
        </is>
      </c>
      <c r="AY1636" t="inlineStr">
        <is>
          <t>2264331600002656</t>
        </is>
      </c>
      <c r="AZ1636" t="inlineStr">
        <is>
          <t>BOOK</t>
        </is>
      </c>
      <c r="BB1636" t="inlineStr">
        <is>
          <t>9780818903717</t>
        </is>
      </c>
      <c r="BC1636" t="inlineStr">
        <is>
          <t>32285000830801</t>
        </is>
      </c>
      <c r="BD1636" t="inlineStr">
        <is>
          <t>893417737</t>
        </is>
      </c>
    </row>
    <row r="1637">
      <c r="A1637" t="inlineStr">
        <is>
          <t>No</t>
        </is>
      </c>
      <c r="B1637" t="inlineStr">
        <is>
          <t>BX2375 .B766 1998</t>
        </is>
      </c>
      <c r="C1637" t="inlineStr">
        <is>
          <t>0                      BX 2375000B  766         1998</t>
        </is>
      </c>
      <c r="D1637" t="inlineStr">
        <is>
          <t>A retreat with John the Evangelist : that you may have life / Raymond E. Brown.</t>
        </is>
      </c>
      <c r="F1637" t="inlineStr">
        <is>
          <t>No</t>
        </is>
      </c>
      <c r="G1637" t="inlineStr">
        <is>
          <t>1</t>
        </is>
      </c>
      <c r="H1637" t="inlineStr">
        <is>
          <t>No</t>
        </is>
      </c>
      <c r="I1637" t="inlineStr">
        <is>
          <t>No</t>
        </is>
      </c>
      <c r="J1637" t="inlineStr">
        <is>
          <t>0</t>
        </is>
      </c>
      <c r="K1637" t="inlineStr">
        <is>
          <t>Brown, Raymond E. (Raymond Edward), 1928-1998.</t>
        </is>
      </c>
      <c r="L1637" t="inlineStr">
        <is>
          <t>Cincinnati, Ohio : St. Anthony Messenger Press, c1998.</t>
        </is>
      </c>
      <c r="M1637" t="inlineStr">
        <is>
          <t>1998</t>
        </is>
      </c>
      <c r="O1637" t="inlineStr">
        <is>
          <t>eng</t>
        </is>
      </c>
      <c r="P1637" t="inlineStr">
        <is>
          <t>ohu</t>
        </is>
      </c>
      <c r="Q1637" t="inlineStr">
        <is>
          <t>Retreat with-- series</t>
        </is>
      </c>
      <c r="R1637" t="inlineStr">
        <is>
          <t xml:space="preserve">BX </t>
        </is>
      </c>
      <c r="S1637" t="n">
        <v>4</v>
      </c>
      <c r="T1637" t="n">
        <v>4</v>
      </c>
      <c r="U1637" t="inlineStr">
        <is>
          <t>2005-01-27</t>
        </is>
      </c>
      <c r="V1637" t="inlineStr">
        <is>
          <t>2005-01-27</t>
        </is>
      </c>
      <c r="W1637" t="inlineStr">
        <is>
          <t>2001-03-20</t>
        </is>
      </c>
      <c r="X1637" t="inlineStr">
        <is>
          <t>2001-03-20</t>
        </is>
      </c>
      <c r="Y1637" t="n">
        <v>142</v>
      </c>
      <c r="Z1637" t="n">
        <v>120</v>
      </c>
      <c r="AA1637" t="n">
        <v>120</v>
      </c>
      <c r="AB1637" t="n">
        <v>1</v>
      </c>
      <c r="AC1637" t="n">
        <v>1</v>
      </c>
      <c r="AD1637" t="n">
        <v>12</v>
      </c>
      <c r="AE1637" t="n">
        <v>12</v>
      </c>
      <c r="AF1637" t="n">
        <v>5</v>
      </c>
      <c r="AG1637" t="n">
        <v>5</v>
      </c>
      <c r="AH1637" t="n">
        <v>1</v>
      </c>
      <c r="AI1637" t="n">
        <v>1</v>
      </c>
      <c r="AJ1637" t="n">
        <v>9</v>
      </c>
      <c r="AK1637" t="n">
        <v>9</v>
      </c>
      <c r="AL1637" t="n">
        <v>0</v>
      </c>
      <c r="AM1637" t="n">
        <v>0</v>
      </c>
      <c r="AN1637" t="n">
        <v>0</v>
      </c>
      <c r="AO1637" t="n">
        <v>0</v>
      </c>
      <c r="AP1637" t="inlineStr">
        <is>
          <t>No</t>
        </is>
      </c>
      <c r="AQ1637" t="inlineStr">
        <is>
          <t>No</t>
        </is>
      </c>
      <c r="AS1637">
        <f>HYPERLINK("https://creighton-primo.hosted.exlibrisgroup.com/primo-explore/search?tab=default_tab&amp;search_scope=EVERYTHING&amp;vid=01CRU&amp;lang=en_US&amp;offset=0&amp;query=any,contains,991003472309702656","Catalog Record")</f>
        <v/>
      </c>
      <c r="AT1637">
        <f>HYPERLINK("http://www.worldcat.org/oclc/40113433","WorldCat Record")</f>
        <v/>
      </c>
      <c r="AU1637" t="inlineStr">
        <is>
          <t>5091114571:eng</t>
        </is>
      </c>
      <c r="AV1637" t="inlineStr">
        <is>
          <t>40113433</t>
        </is>
      </c>
      <c r="AW1637" t="inlineStr">
        <is>
          <t>991003472309702656</t>
        </is>
      </c>
      <c r="AX1637" t="inlineStr">
        <is>
          <t>991003472309702656</t>
        </is>
      </c>
      <c r="AY1637" t="inlineStr">
        <is>
          <t>2255270640002656</t>
        </is>
      </c>
      <c r="AZ1637" t="inlineStr">
        <is>
          <t>BOOK</t>
        </is>
      </c>
      <c r="BB1637" t="inlineStr">
        <is>
          <t>9780867163537</t>
        </is>
      </c>
      <c r="BC1637" t="inlineStr">
        <is>
          <t>32285004306386</t>
        </is>
      </c>
      <c r="BD1637" t="inlineStr">
        <is>
          <t>893799750</t>
        </is>
      </c>
    </row>
    <row r="1638">
      <c r="A1638" t="inlineStr">
        <is>
          <t>No</t>
        </is>
      </c>
      <c r="B1638" t="inlineStr">
        <is>
          <t>BX2375 .H88 1995</t>
        </is>
      </c>
      <c r="C1638" t="inlineStr">
        <is>
          <t>0                      BX 2375000H  88          1995</t>
        </is>
      </c>
      <c r="D1638" t="inlineStr">
        <is>
          <t>A retreat with Gerard Manley Hopkins and Hildegard of Bingen : turning pain into power / Gloria Hutchinson.</t>
        </is>
      </c>
      <c r="F1638" t="inlineStr">
        <is>
          <t>No</t>
        </is>
      </c>
      <c r="G1638" t="inlineStr">
        <is>
          <t>1</t>
        </is>
      </c>
      <c r="H1638" t="inlineStr">
        <is>
          <t>No</t>
        </is>
      </c>
      <c r="I1638" t="inlineStr">
        <is>
          <t>No</t>
        </is>
      </c>
      <c r="J1638" t="inlineStr">
        <is>
          <t>0</t>
        </is>
      </c>
      <c r="K1638" t="inlineStr">
        <is>
          <t>Hutchinson, Gloria.</t>
        </is>
      </c>
      <c r="L1638" t="inlineStr">
        <is>
          <t>Cincinnati, Ohio : St. Anthony Messenger Press, c1995.</t>
        </is>
      </c>
      <c r="M1638" t="inlineStr">
        <is>
          <t>1995</t>
        </is>
      </c>
      <c r="O1638" t="inlineStr">
        <is>
          <t>eng</t>
        </is>
      </c>
      <c r="P1638" t="inlineStr">
        <is>
          <t>ohu</t>
        </is>
      </c>
      <c r="Q1638" t="inlineStr">
        <is>
          <t>A Retreat with-- series</t>
        </is>
      </c>
      <c r="R1638" t="inlineStr">
        <is>
          <t xml:space="preserve">BX </t>
        </is>
      </c>
      <c r="S1638" t="n">
        <v>9</v>
      </c>
      <c r="T1638" t="n">
        <v>9</v>
      </c>
      <c r="U1638" t="inlineStr">
        <is>
          <t>2008-09-16</t>
        </is>
      </c>
      <c r="V1638" t="inlineStr">
        <is>
          <t>2008-09-16</t>
        </is>
      </c>
      <c r="W1638" t="inlineStr">
        <is>
          <t>1996-08-28</t>
        </is>
      </c>
      <c r="X1638" t="inlineStr">
        <is>
          <t>1996-08-28</t>
        </is>
      </c>
      <c r="Y1638" t="n">
        <v>96</v>
      </c>
      <c r="Z1638" t="n">
        <v>83</v>
      </c>
      <c r="AA1638" t="n">
        <v>83</v>
      </c>
      <c r="AB1638" t="n">
        <v>1</v>
      </c>
      <c r="AC1638" t="n">
        <v>1</v>
      </c>
      <c r="AD1638" t="n">
        <v>11</v>
      </c>
      <c r="AE1638" t="n">
        <v>11</v>
      </c>
      <c r="AF1638" t="n">
        <v>4</v>
      </c>
      <c r="AG1638" t="n">
        <v>4</v>
      </c>
      <c r="AH1638" t="n">
        <v>2</v>
      </c>
      <c r="AI1638" t="n">
        <v>2</v>
      </c>
      <c r="AJ1638" t="n">
        <v>9</v>
      </c>
      <c r="AK1638" t="n">
        <v>9</v>
      </c>
      <c r="AL1638" t="n">
        <v>0</v>
      </c>
      <c r="AM1638" t="n">
        <v>0</v>
      </c>
      <c r="AN1638" t="n">
        <v>0</v>
      </c>
      <c r="AO1638" t="n">
        <v>0</v>
      </c>
      <c r="AP1638" t="inlineStr">
        <is>
          <t>No</t>
        </is>
      </c>
      <c r="AQ1638" t="inlineStr">
        <is>
          <t>No</t>
        </is>
      </c>
      <c r="AS1638">
        <f>HYPERLINK("https://creighton-primo.hosted.exlibrisgroup.com/primo-explore/search?tab=default_tab&amp;search_scope=EVERYTHING&amp;vid=01CRU&amp;lang=en_US&amp;offset=0&amp;query=any,contains,991002648439702656","Catalog Record")</f>
        <v/>
      </c>
      <c r="AT1638">
        <f>HYPERLINK("http://www.worldcat.org/oclc/34654983","WorldCat Record")</f>
        <v/>
      </c>
      <c r="AU1638" t="inlineStr">
        <is>
          <t>39538276:eng</t>
        </is>
      </c>
      <c r="AV1638" t="inlineStr">
        <is>
          <t>34654983</t>
        </is>
      </c>
      <c r="AW1638" t="inlineStr">
        <is>
          <t>991002648439702656</t>
        </is>
      </c>
      <c r="AX1638" t="inlineStr">
        <is>
          <t>991002648439702656</t>
        </is>
      </c>
      <c r="AY1638" t="inlineStr">
        <is>
          <t>2257008820002656</t>
        </is>
      </c>
      <c r="AZ1638" t="inlineStr">
        <is>
          <t>BOOK</t>
        </is>
      </c>
      <c r="BB1638" t="inlineStr">
        <is>
          <t>9780867162516</t>
        </is>
      </c>
      <c r="BC1638" t="inlineStr">
        <is>
          <t>32285002292596</t>
        </is>
      </c>
      <c r="BD1638" t="inlineStr">
        <is>
          <t>893616376</t>
        </is>
      </c>
    </row>
    <row r="1639">
      <c r="A1639" t="inlineStr">
        <is>
          <t>No</t>
        </is>
      </c>
      <c r="B1639" t="inlineStr">
        <is>
          <t>BX2375 .K5 1961</t>
        </is>
      </c>
      <c r="C1639" t="inlineStr">
        <is>
          <t>0                      BX 2375000K  5           1961</t>
        </is>
      </c>
      <c r="D1639" t="inlineStr">
        <is>
          <t>The layman and his conscience : a retreat / by Ronald Knox.</t>
        </is>
      </c>
      <c r="F1639" t="inlineStr">
        <is>
          <t>No</t>
        </is>
      </c>
      <c r="G1639" t="inlineStr">
        <is>
          <t>1</t>
        </is>
      </c>
      <c r="H1639" t="inlineStr">
        <is>
          <t>No</t>
        </is>
      </c>
      <c r="I1639" t="inlineStr">
        <is>
          <t>No</t>
        </is>
      </c>
      <c r="J1639" t="inlineStr">
        <is>
          <t>0</t>
        </is>
      </c>
      <c r="K1639" t="inlineStr">
        <is>
          <t>Knox, Ronald Arbuthnott, 1888-1957.</t>
        </is>
      </c>
      <c r="L1639" t="inlineStr">
        <is>
          <t>New York : Sheed &amp; Ward, [1961]</t>
        </is>
      </c>
      <c r="M1639" t="inlineStr">
        <is>
          <t>1961</t>
        </is>
      </c>
      <c r="O1639" t="inlineStr">
        <is>
          <t>eng</t>
        </is>
      </c>
      <c r="P1639" t="inlineStr">
        <is>
          <t>___</t>
        </is>
      </c>
      <c r="R1639" t="inlineStr">
        <is>
          <t xml:space="preserve">BX </t>
        </is>
      </c>
      <c r="S1639" t="n">
        <v>3</v>
      </c>
      <c r="T1639" t="n">
        <v>3</v>
      </c>
      <c r="U1639" t="inlineStr">
        <is>
          <t>2008-07-09</t>
        </is>
      </c>
      <c r="V1639" t="inlineStr">
        <is>
          <t>2008-07-09</t>
        </is>
      </c>
      <c r="W1639" t="inlineStr">
        <is>
          <t>1991-10-31</t>
        </is>
      </c>
      <c r="X1639" t="inlineStr">
        <is>
          <t>1991-10-31</t>
        </is>
      </c>
      <c r="Y1639" t="n">
        <v>297</v>
      </c>
      <c r="Z1639" t="n">
        <v>269</v>
      </c>
      <c r="AA1639" t="n">
        <v>280</v>
      </c>
      <c r="AB1639" t="n">
        <v>3</v>
      </c>
      <c r="AC1639" t="n">
        <v>3</v>
      </c>
      <c r="AD1639" t="n">
        <v>32</v>
      </c>
      <c r="AE1639" t="n">
        <v>32</v>
      </c>
      <c r="AF1639" t="n">
        <v>10</v>
      </c>
      <c r="AG1639" t="n">
        <v>10</v>
      </c>
      <c r="AH1639" t="n">
        <v>8</v>
      </c>
      <c r="AI1639" t="n">
        <v>8</v>
      </c>
      <c r="AJ1639" t="n">
        <v>23</v>
      </c>
      <c r="AK1639" t="n">
        <v>23</v>
      </c>
      <c r="AL1639" t="n">
        <v>1</v>
      </c>
      <c r="AM1639" t="n">
        <v>1</v>
      </c>
      <c r="AN1639" t="n">
        <v>0</v>
      </c>
      <c r="AO1639" t="n">
        <v>0</v>
      </c>
      <c r="AP1639" t="inlineStr">
        <is>
          <t>Yes</t>
        </is>
      </c>
      <c r="AQ1639" t="inlineStr">
        <is>
          <t>No</t>
        </is>
      </c>
      <c r="AR1639">
        <f>HYPERLINK("http://catalog.hathitrust.org/Record/001590946","HathiTrust Record")</f>
        <v/>
      </c>
      <c r="AS1639">
        <f>HYPERLINK("https://creighton-primo.hosted.exlibrisgroup.com/primo-explore/search?tab=default_tab&amp;search_scope=EVERYTHING&amp;vid=01CRU&amp;lang=en_US&amp;offset=0&amp;query=any,contains,991003625209702656","Catalog Record")</f>
        <v/>
      </c>
      <c r="AT1639">
        <f>HYPERLINK("http://www.worldcat.org/oclc/1216116","WorldCat Record")</f>
        <v/>
      </c>
      <c r="AU1639" t="inlineStr">
        <is>
          <t>5576687671:eng</t>
        </is>
      </c>
      <c r="AV1639" t="inlineStr">
        <is>
          <t>1216116</t>
        </is>
      </c>
      <c r="AW1639" t="inlineStr">
        <is>
          <t>991003625209702656</t>
        </is>
      </c>
      <c r="AX1639" t="inlineStr">
        <is>
          <t>991003625209702656</t>
        </is>
      </c>
      <c r="AY1639" t="inlineStr">
        <is>
          <t>2266268680002656</t>
        </is>
      </c>
      <c r="AZ1639" t="inlineStr">
        <is>
          <t>BOOK</t>
        </is>
      </c>
      <c r="BC1639" t="inlineStr">
        <is>
          <t>32285000830926</t>
        </is>
      </c>
      <c r="BD1639" t="inlineStr">
        <is>
          <t>893505782</t>
        </is>
      </c>
    </row>
    <row r="1640">
      <c r="A1640" t="inlineStr">
        <is>
          <t>No</t>
        </is>
      </c>
      <c r="B1640" t="inlineStr">
        <is>
          <t>BX2375 .M25 1982</t>
        </is>
      </c>
      <c r="C1640" t="inlineStr">
        <is>
          <t>0                      BX 2375000M  25          1982</t>
        </is>
      </c>
      <c r="D1640" t="inlineStr">
        <is>
          <t>An eight-day retreat : alone with the alone / George A. Maloney.</t>
        </is>
      </c>
      <c r="F1640" t="inlineStr">
        <is>
          <t>No</t>
        </is>
      </c>
      <c r="G1640" t="inlineStr">
        <is>
          <t>1</t>
        </is>
      </c>
      <c r="H1640" t="inlineStr">
        <is>
          <t>No</t>
        </is>
      </c>
      <c r="I1640" t="inlineStr">
        <is>
          <t>No</t>
        </is>
      </c>
      <c r="J1640" t="inlineStr">
        <is>
          <t>0</t>
        </is>
      </c>
      <c r="K1640" t="inlineStr">
        <is>
          <t>Maloney, George A., 1924-2005.</t>
        </is>
      </c>
      <c r="L1640" t="inlineStr">
        <is>
          <t>Notre Dame, Ind. : Ave Maria Press, c1982.</t>
        </is>
      </c>
      <c r="M1640" t="inlineStr">
        <is>
          <t>1982</t>
        </is>
      </c>
      <c r="O1640" t="inlineStr">
        <is>
          <t>eng</t>
        </is>
      </c>
      <c r="P1640" t="inlineStr">
        <is>
          <t>inu</t>
        </is>
      </c>
      <c r="R1640" t="inlineStr">
        <is>
          <t xml:space="preserve">BX </t>
        </is>
      </c>
      <c r="S1640" t="n">
        <v>7</v>
      </c>
      <c r="T1640" t="n">
        <v>7</v>
      </c>
      <c r="U1640" t="inlineStr">
        <is>
          <t>2000-11-27</t>
        </is>
      </c>
      <c r="V1640" t="inlineStr">
        <is>
          <t>2000-11-27</t>
        </is>
      </c>
      <c r="W1640" t="inlineStr">
        <is>
          <t>1992-03-25</t>
        </is>
      </c>
      <c r="X1640" t="inlineStr">
        <is>
          <t>1992-03-25</t>
        </is>
      </c>
      <c r="Y1640" t="n">
        <v>173</v>
      </c>
      <c r="Z1640" t="n">
        <v>145</v>
      </c>
      <c r="AA1640" t="n">
        <v>150</v>
      </c>
      <c r="AB1640" t="n">
        <v>2</v>
      </c>
      <c r="AC1640" t="n">
        <v>2</v>
      </c>
      <c r="AD1640" t="n">
        <v>19</v>
      </c>
      <c r="AE1640" t="n">
        <v>19</v>
      </c>
      <c r="AF1640" t="n">
        <v>5</v>
      </c>
      <c r="AG1640" t="n">
        <v>5</v>
      </c>
      <c r="AH1640" t="n">
        <v>2</v>
      </c>
      <c r="AI1640" t="n">
        <v>2</v>
      </c>
      <c r="AJ1640" t="n">
        <v>15</v>
      </c>
      <c r="AK1640" t="n">
        <v>15</v>
      </c>
      <c r="AL1640" t="n">
        <v>0</v>
      </c>
      <c r="AM1640" t="n">
        <v>0</v>
      </c>
      <c r="AN1640" t="n">
        <v>0</v>
      </c>
      <c r="AO1640" t="n">
        <v>0</v>
      </c>
      <c r="AP1640" t="inlineStr">
        <is>
          <t>No</t>
        </is>
      </c>
      <c r="AQ1640" t="inlineStr">
        <is>
          <t>No</t>
        </is>
      </c>
      <c r="AS1640">
        <f>HYPERLINK("https://creighton-primo.hosted.exlibrisgroup.com/primo-explore/search?tab=default_tab&amp;search_scope=EVERYTHING&amp;vid=01CRU&amp;lang=en_US&amp;offset=0&amp;query=any,contains,991005223169702656","Catalog Record")</f>
        <v/>
      </c>
      <c r="AT1640">
        <f>HYPERLINK("http://www.worldcat.org/oclc/8249518","WorldCat Record")</f>
        <v/>
      </c>
      <c r="AU1640" t="inlineStr">
        <is>
          <t>31372263:eng</t>
        </is>
      </c>
      <c r="AV1640" t="inlineStr">
        <is>
          <t>8249518</t>
        </is>
      </c>
      <c r="AW1640" t="inlineStr">
        <is>
          <t>991005223169702656</t>
        </is>
      </c>
      <c r="AX1640" t="inlineStr">
        <is>
          <t>991005223169702656</t>
        </is>
      </c>
      <c r="AY1640" t="inlineStr">
        <is>
          <t>2261568110002656</t>
        </is>
      </c>
      <c r="AZ1640" t="inlineStr">
        <is>
          <t>BOOK</t>
        </is>
      </c>
      <c r="BB1640" t="inlineStr">
        <is>
          <t>9780877932420</t>
        </is>
      </c>
      <c r="BC1640" t="inlineStr">
        <is>
          <t>32285001005510</t>
        </is>
      </c>
      <c r="BD1640" t="inlineStr">
        <is>
          <t>893501528</t>
        </is>
      </c>
    </row>
    <row r="1641">
      <c r="A1641" t="inlineStr">
        <is>
          <t>No</t>
        </is>
      </c>
      <c r="B1641" t="inlineStr">
        <is>
          <t>BX2375 .M623 1999</t>
        </is>
      </c>
      <c r="C1641" t="inlineStr">
        <is>
          <t>0                      BX 2375000M  623         1999</t>
        </is>
      </c>
      <c r="D1641" t="inlineStr">
        <is>
          <t>A retreat with C. S. Lewis : yielding to a pursuing God / Robert F. Morneau.</t>
        </is>
      </c>
      <c r="F1641" t="inlineStr">
        <is>
          <t>No</t>
        </is>
      </c>
      <c r="G1641" t="inlineStr">
        <is>
          <t>1</t>
        </is>
      </c>
      <c r="H1641" t="inlineStr">
        <is>
          <t>No</t>
        </is>
      </c>
      <c r="I1641" t="inlineStr">
        <is>
          <t>No</t>
        </is>
      </c>
      <c r="J1641" t="inlineStr">
        <is>
          <t>0</t>
        </is>
      </c>
      <c r="K1641" t="inlineStr">
        <is>
          <t>Morneau, Robert F., 1938-</t>
        </is>
      </c>
      <c r="L1641" t="inlineStr">
        <is>
          <t>Cincinnati, Ohio : St. Anthony Messenger Press, c1999.</t>
        </is>
      </c>
      <c r="M1641" t="inlineStr">
        <is>
          <t>1999</t>
        </is>
      </c>
      <c r="O1641" t="inlineStr">
        <is>
          <t>eng</t>
        </is>
      </c>
      <c r="P1641" t="inlineStr">
        <is>
          <t>ohu</t>
        </is>
      </c>
      <c r="Q1641" t="inlineStr">
        <is>
          <t>Retreat with-- series</t>
        </is>
      </c>
      <c r="R1641" t="inlineStr">
        <is>
          <t xml:space="preserve">BX </t>
        </is>
      </c>
      <c r="S1641" t="n">
        <v>2</v>
      </c>
      <c r="T1641" t="n">
        <v>2</v>
      </c>
      <c r="U1641" t="inlineStr">
        <is>
          <t>2005-10-05</t>
        </is>
      </c>
      <c r="V1641" t="inlineStr">
        <is>
          <t>2005-10-05</t>
        </is>
      </c>
      <c r="W1641" t="inlineStr">
        <is>
          <t>2000-10-05</t>
        </is>
      </c>
      <c r="X1641" t="inlineStr">
        <is>
          <t>2000-10-05</t>
        </is>
      </c>
      <c r="Y1641" t="n">
        <v>70</v>
      </c>
      <c r="Z1641" t="n">
        <v>62</v>
      </c>
      <c r="AA1641" t="n">
        <v>62</v>
      </c>
      <c r="AB1641" t="n">
        <v>1</v>
      </c>
      <c r="AC1641" t="n">
        <v>1</v>
      </c>
      <c r="AD1641" t="n">
        <v>6</v>
      </c>
      <c r="AE1641" t="n">
        <v>6</v>
      </c>
      <c r="AF1641" t="n">
        <v>1</v>
      </c>
      <c r="AG1641" t="n">
        <v>1</v>
      </c>
      <c r="AH1641" t="n">
        <v>2</v>
      </c>
      <c r="AI1641" t="n">
        <v>2</v>
      </c>
      <c r="AJ1641" t="n">
        <v>3</v>
      </c>
      <c r="AK1641" t="n">
        <v>3</v>
      </c>
      <c r="AL1641" t="n">
        <v>0</v>
      </c>
      <c r="AM1641" t="n">
        <v>0</v>
      </c>
      <c r="AN1641" t="n">
        <v>0</v>
      </c>
      <c r="AO1641" t="n">
        <v>0</v>
      </c>
      <c r="AP1641" t="inlineStr">
        <is>
          <t>No</t>
        </is>
      </c>
      <c r="AQ1641" t="inlineStr">
        <is>
          <t>No</t>
        </is>
      </c>
      <c r="AS1641">
        <f>HYPERLINK("https://creighton-primo.hosted.exlibrisgroup.com/primo-explore/search?tab=default_tab&amp;search_scope=EVERYTHING&amp;vid=01CRU&amp;lang=en_US&amp;offset=0&amp;query=any,contains,991003222259702656","Catalog Record")</f>
        <v/>
      </c>
      <c r="AT1641">
        <f>HYPERLINK("http://www.worldcat.org/oclc/43098387","WorldCat Record")</f>
        <v/>
      </c>
      <c r="AU1641" t="inlineStr">
        <is>
          <t>48535893:eng</t>
        </is>
      </c>
      <c r="AV1641" t="inlineStr">
        <is>
          <t>43098387</t>
        </is>
      </c>
      <c r="AW1641" t="inlineStr">
        <is>
          <t>991003222259702656</t>
        </is>
      </c>
      <c r="AX1641" t="inlineStr">
        <is>
          <t>991003222259702656</t>
        </is>
      </c>
      <c r="AY1641" t="inlineStr">
        <is>
          <t>2268536680002656</t>
        </is>
      </c>
      <c r="AZ1641" t="inlineStr">
        <is>
          <t>BOOK</t>
        </is>
      </c>
      <c r="BB1641" t="inlineStr">
        <is>
          <t>9780867163285</t>
        </is>
      </c>
      <c r="BC1641" t="inlineStr">
        <is>
          <t>32285003766929</t>
        </is>
      </c>
      <c r="BD1641" t="inlineStr">
        <is>
          <t>893262671</t>
        </is>
      </c>
    </row>
    <row r="1642">
      <c r="A1642" t="inlineStr">
        <is>
          <t>No</t>
        </is>
      </c>
      <c r="B1642" t="inlineStr">
        <is>
          <t>BX2375 .P33 1995</t>
        </is>
      </c>
      <c r="C1642" t="inlineStr">
        <is>
          <t>0                      BX 2375000P  33          1995</t>
        </is>
      </c>
      <c r="D1642" t="inlineStr">
        <is>
          <t>A retreat with Thomas Merton : becoming who we are / Anthony T. Padovano.</t>
        </is>
      </c>
      <c r="F1642" t="inlineStr">
        <is>
          <t>No</t>
        </is>
      </c>
      <c r="G1642" t="inlineStr">
        <is>
          <t>1</t>
        </is>
      </c>
      <c r="H1642" t="inlineStr">
        <is>
          <t>No</t>
        </is>
      </c>
      <c r="I1642" t="inlineStr">
        <is>
          <t>No</t>
        </is>
      </c>
      <c r="J1642" t="inlineStr">
        <is>
          <t>0</t>
        </is>
      </c>
      <c r="K1642" t="inlineStr">
        <is>
          <t>Padovano, Anthony T.</t>
        </is>
      </c>
      <c r="L1642" t="inlineStr">
        <is>
          <t>Cincinnati, Ohio : St. Anthony Messenger Press, c1995.</t>
        </is>
      </c>
      <c r="M1642" t="inlineStr">
        <is>
          <t>1995</t>
        </is>
      </c>
      <c r="O1642" t="inlineStr">
        <is>
          <t>eng</t>
        </is>
      </c>
      <c r="P1642" t="inlineStr">
        <is>
          <t>ohu</t>
        </is>
      </c>
      <c r="Q1642" t="inlineStr">
        <is>
          <t>A retreat with-- series</t>
        </is>
      </c>
      <c r="R1642" t="inlineStr">
        <is>
          <t xml:space="preserve">BX </t>
        </is>
      </c>
      <c r="S1642" t="n">
        <v>3</v>
      </c>
      <c r="T1642" t="n">
        <v>3</v>
      </c>
      <c r="U1642" t="inlineStr">
        <is>
          <t>2005-10-12</t>
        </is>
      </c>
      <c r="V1642" t="inlineStr">
        <is>
          <t>2005-10-12</t>
        </is>
      </c>
      <c r="W1642" t="inlineStr">
        <is>
          <t>1996-09-06</t>
        </is>
      </c>
      <c r="X1642" t="inlineStr">
        <is>
          <t>1996-09-06</t>
        </is>
      </c>
      <c r="Y1642" t="n">
        <v>98</v>
      </c>
      <c r="Z1642" t="n">
        <v>83</v>
      </c>
      <c r="AA1642" t="n">
        <v>88</v>
      </c>
      <c r="AB1642" t="n">
        <v>1</v>
      </c>
      <c r="AC1642" t="n">
        <v>1</v>
      </c>
      <c r="AD1642" t="n">
        <v>7</v>
      </c>
      <c r="AE1642" t="n">
        <v>7</v>
      </c>
      <c r="AF1642" t="n">
        <v>3</v>
      </c>
      <c r="AG1642" t="n">
        <v>3</v>
      </c>
      <c r="AH1642" t="n">
        <v>1</v>
      </c>
      <c r="AI1642" t="n">
        <v>1</v>
      </c>
      <c r="AJ1642" t="n">
        <v>5</v>
      </c>
      <c r="AK1642" t="n">
        <v>5</v>
      </c>
      <c r="AL1642" t="n">
        <v>0</v>
      </c>
      <c r="AM1642" t="n">
        <v>0</v>
      </c>
      <c r="AN1642" t="n">
        <v>0</v>
      </c>
      <c r="AO1642" t="n">
        <v>0</v>
      </c>
      <c r="AP1642" t="inlineStr">
        <is>
          <t>No</t>
        </is>
      </c>
      <c r="AQ1642" t="inlineStr">
        <is>
          <t>No</t>
        </is>
      </c>
      <c r="AS1642">
        <f>HYPERLINK("https://creighton-primo.hosted.exlibrisgroup.com/primo-explore/search?tab=default_tab&amp;search_scope=EVERYTHING&amp;vid=01CRU&amp;lang=en_US&amp;offset=0&amp;query=any,contains,991002642759702656","Catalog Record")</f>
        <v/>
      </c>
      <c r="AT1642">
        <f>HYPERLINK("http://www.worldcat.org/oclc/34596183","WorldCat Record")</f>
        <v/>
      </c>
      <c r="AU1642" t="inlineStr">
        <is>
          <t>796366637:eng</t>
        </is>
      </c>
      <c r="AV1642" t="inlineStr">
        <is>
          <t>34596183</t>
        </is>
      </c>
      <c r="AW1642" t="inlineStr">
        <is>
          <t>991002642759702656</t>
        </is>
      </c>
      <c r="AX1642" t="inlineStr">
        <is>
          <t>991002642759702656</t>
        </is>
      </c>
      <c r="AY1642" t="inlineStr">
        <is>
          <t>2263075030002656</t>
        </is>
      </c>
      <c r="AZ1642" t="inlineStr">
        <is>
          <t>BOOK</t>
        </is>
      </c>
      <c r="BB1642" t="inlineStr">
        <is>
          <t>9780867162295</t>
        </is>
      </c>
      <c r="BC1642" t="inlineStr">
        <is>
          <t>32285002315215</t>
        </is>
      </c>
      <c r="BD1642" t="inlineStr">
        <is>
          <t>893616368</t>
        </is>
      </c>
    </row>
    <row r="1643">
      <c r="A1643" t="inlineStr">
        <is>
          <t>No</t>
        </is>
      </c>
      <c r="B1643" t="inlineStr">
        <is>
          <t>BX2375 .V34 1988</t>
        </is>
      </c>
      <c r="C1643" t="inlineStr">
        <is>
          <t>0                      BX 2375000V  34          1988</t>
        </is>
      </c>
      <c r="D1643" t="inlineStr">
        <is>
          <t>Mastering sadhana : on retreat with Anthony De Mello / Carlos Valles.</t>
        </is>
      </c>
      <c r="F1643" t="inlineStr">
        <is>
          <t>No</t>
        </is>
      </c>
      <c r="G1643" t="inlineStr">
        <is>
          <t>1</t>
        </is>
      </c>
      <c r="H1643" t="inlineStr">
        <is>
          <t>No</t>
        </is>
      </c>
      <c r="I1643" t="inlineStr">
        <is>
          <t>No</t>
        </is>
      </c>
      <c r="J1643" t="inlineStr">
        <is>
          <t>0</t>
        </is>
      </c>
      <c r="K1643" t="inlineStr">
        <is>
          <t>Valles, Carlos G. (Carlos Gonzales), 1925-</t>
        </is>
      </c>
      <c r="L1643" t="inlineStr">
        <is>
          <t>New York : Image Books, 1988, c1987.</t>
        </is>
      </c>
      <c r="M1643" t="inlineStr">
        <is>
          <t>1988</t>
        </is>
      </c>
      <c r="N1643" t="inlineStr">
        <is>
          <t>1st ed. in the U.S.</t>
        </is>
      </c>
      <c r="O1643" t="inlineStr">
        <is>
          <t>eng</t>
        </is>
      </c>
      <c r="P1643" t="inlineStr">
        <is>
          <t>nyu</t>
        </is>
      </c>
      <c r="R1643" t="inlineStr">
        <is>
          <t xml:space="preserve">BX </t>
        </is>
      </c>
      <c r="S1643" t="n">
        <v>9</v>
      </c>
      <c r="T1643" t="n">
        <v>9</v>
      </c>
      <c r="U1643" t="inlineStr">
        <is>
          <t>2002-04-04</t>
        </is>
      </c>
      <c r="V1643" t="inlineStr">
        <is>
          <t>2002-04-04</t>
        </is>
      </c>
      <c r="W1643" t="inlineStr">
        <is>
          <t>1990-02-28</t>
        </is>
      </c>
      <c r="X1643" t="inlineStr">
        <is>
          <t>1990-02-28</t>
        </is>
      </c>
      <c r="Y1643" t="n">
        <v>229</v>
      </c>
      <c r="Z1643" t="n">
        <v>210</v>
      </c>
      <c r="AA1643" t="n">
        <v>233</v>
      </c>
      <c r="AB1643" t="n">
        <v>1</v>
      </c>
      <c r="AC1643" t="n">
        <v>1</v>
      </c>
      <c r="AD1643" t="n">
        <v>15</v>
      </c>
      <c r="AE1643" t="n">
        <v>15</v>
      </c>
      <c r="AF1643" t="n">
        <v>4</v>
      </c>
      <c r="AG1643" t="n">
        <v>4</v>
      </c>
      <c r="AH1643" t="n">
        <v>2</v>
      </c>
      <c r="AI1643" t="n">
        <v>2</v>
      </c>
      <c r="AJ1643" t="n">
        <v>14</v>
      </c>
      <c r="AK1643" t="n">
        <v>14</v>
      </c>
      <c r="AL1643" t="n">
        <v>0</v>
      </c>
      <c r="AM1643" t="n">
        <v>0</v>
      </c>
      <c r="AN1643" t="n">
        <v>0</v>
      </c>
      <c r="AO1643" t="n">
        <v>0</v>
      </c>
      <c r="AP1643" t="inlineStr">
        <is>
          <t>No</t>
        </is>
      </c>
      <c r="AQ1643" t="inlineStr">
        <is>
          <t>No</t>
        </is>
      </c>
      <c r="AS1643">
        <f>HYPERLINK("https://creighton-primo.hosted.exlibrisgroup.com/primo-explore/search?tab=default_tab&amp;search_scope=EVERYTHING&amp;vid=01CRU&amp;lang=en_US&amp;offset=0&amp;query=any,contains,991001279769702656","Catalog Record")</f>
        <v/>
      </c>
      <c r="AT1643">
        <f>HYPERLINK("http://www.worldcat.org/oclc/17916313","WorldCat Record")</f>
        <v/>
      </c>
      <c r="AU1643" t="inlineStr">
        <is>
          <t>865782194:eng</t>
        </is>
      </c>
      <c r="AV1643" t="inlineStr">
        <is>
          <t>17916313</t>
        </is>
      </c>
      <c r="AW1643" t="inlineStr">
        <is>
          <t>991001279769702656</t>
        </is>
      </c>
      <c r="AX1643" t="inlineStr">
        <is>
          <t>991001279769702656</t>
        </is>
      </c>
      <c r="AY1643" t="inlineStr">
        <is>
          <t>2267036130002656</t>
        </is>
      </c>
      <c r="AZ1643" t="inlineStr">
        <is>
          <t>BOOK</t>
        </is>
      </c>
      <c r="BB1643" t="inlineStr">
        <is>
          <t>9780385245814</t>
        </is>
      </c>
      <c r="BC1643" t="inlineStr">
        <is>
          <t>32285000070606</t>
        </is>
      </c>
      <c r="BD1643" t="inlineStr">
        <is>
          <t>893516083</t>
        </is>
      </c>
    </row>
    <row r="1644">
      <c r="A1644" t="inlineStr">
        <is>
          <t>No</t>
        </is>
      </c>
      <c r="B1644" t="inlineStr">
        <is>
          <t>BX2376.5 .H6 1961</t>
        </is>
      </c>
      <c r="C1644" t="inlineStr">
        <is>
          <t>0                      BX 2376500H  6           1961</t>
        </is>
      </c>
      <c r="D1644" t="inlineStr">
        <is>
          <t>A do-it yourself retreat : how to bring out the real good in you / Joseph F. Hogan.</t>
        </is>
      </c>
      <c r="F1644" t="inlineStr">
        <is>
          <t>No</t>
        </is>
      </c>
      <c r="G1644" t="inlineStr">
        <is>
          <t>1</t>
        </is>
      </c>
      <c r="H1644" t="inlineStr">
        <is>
          <t>No</t>
        </is>
      </c>
      <c r="I1644" t="inlineStr">
        <is>
          <t>No</t>
        </is>
      </c>
      <c r="J1644" t="inlineStr">
        <is>
          <t>0</t>
        </is>
      </c>
      <c r="K1644" t="inlineStr">
        <is>
          <t>Hogan, Joseph F., 1910-</t>
        </is>
      </c>
      <c r="L1644" t="inlineStr">
        <is>
          <t>Chicago : Loyola University Press, [1961]</t>
        </is>
      </c>
      <c r="M1644" t="inlineStr">
        <is>
          <t>1961</t>
        </is>
      </c>
      <c r="O1644" t="inlineStr">
        <is>
          <t>eng</t>
        </is>
      </c>
      <c r="P1644" t="inlineStr">
        <is>
          <t>___</t>
        </is>
      </c>
      <c r="R1644" t="inlineStr">
        <is>
          <t xml:space="preserve">BX </t>
        </is>
      </c>
      <c r="S1644" t="n">
        <v>1</v>
      </c>
      <c r="T1644" t="n">
        <v>1</v>
      </c>
      <c r="U1644" t="inlineStr">
        <is>
          <t>2006-06-02</t>
        </is>
      </c>
      <c r="V1644" t="inlineStr">
        <is>
          <t>2006-06-02</t>
        </is>
      </c>
      <c r="W1644" t="inlineStr">
        <is>
          <t>1991-10-31</t>
        </is>
      </c>
      <c r="X1644" t="inlineStr">
        <is>
          <t>1991-10-31</t>
        </is>
      </c>
      <c r="Y1644" t="n">
        <v>107</v>
      </c>
      <c r="Z1644" t="n">
        <v>94</v>
      </c>
      <c r="AA1644" t="n">
        <v>121</v>
      </c>
      <c r="AB1644" t="n">
        <v>2</v>
      </c>
      <c r="AC1644" t="n">
        <v>3</v>
      </c>
      <c r="AD1644" t="n">
        <v>20</v>
      </c>
      <c r="AE1644" t="n">
        <v>23</v>
      </c>
      <c r="AF1644" t="n">
        <v>6</v>
      </c>
      <c r="AG1644" t="n">
        <v>7</v>
      </c>
      <c r="AH1644" t="n">
        <v>6</v>
      </c>
      <c r="AI1644" t="n">
        <v>8</v>
      </c>
      <c r="AJ1644" t="n">
        <v>16</v>
      </c>
      <c r="AK1644" t="n">
        <v>16</v>
      </c>
      <c r="AL1644" t="n">
        <v>0</v>
      </c>
      <c r="AM1644" t="n">
        <v>1</v>
      </c>
      <c r="AN1644" t="n">
        <v>0</v>
      </c>
      <c r="AO1644" t="n">
        <v>0</v>
      </c>
      <c r="AP1644" t="inlineStr">
        <is>
          <t>No</t>
        </is>
      </c>
      <c r="AQ1644" t="inlineStr">
        <is>
          <t>No</t>
        </is>
      </c>
      <c r="AS1644">
        <f>HYPERLINK("https://creighton-primo.hosted.exlibrisgroup.com/primo-explore/search?tab=default_tab&amp;search_scope=EVERYTHING&amp;vid=01CRU&amp;lang=en_US&amp;offset=0&amp;query=any,contains,991003615639702656","Catalog Record")</f>
        <v/>
      </c>
      <c r="AT1644">
        <f>HYPERLINK("http://www.worldcat.org/oclc/1199415","WorldCat Record")</f>
        <v/>
      </c>
      <c r="AU1644" t="inlineStr">
        <is>
          <t>2163756:eng</t>
        </is>
      </c>
      <c r="AV1644" t="inlineStr">
        <is>
          <t>1199415</t>
        </is>
      </c>
      <c r="AW1644" t="inlineStr">
        <is>
          <t>991003615639702656</t>
        </is>
      </c>
      <c r="AX1644" t="inlineStr">
        <is>
          <t>991003615639702656</t>
        </is>
      </c>
      <c r="AY1644" t="inlineStr">
        <is>
          <t>2267572240002656</t>
        </is>
      </c>
      <c r="AZ1644" t="inlineStr">
        <is>
          <t>BOOK</t>
        </is>
      </c>
      <c r="BC1644" t="inlineStr">
        <is>
          <t>32285000830959</t>
        </is>
      </c>
      <c r="BD1644" t="inlineStr">
        <is>
          <t>893410468</t>
        </is>
      </c>
    </row>
    <row r="1645">
      <c r="A1645" t="inlineStr">
        <is>
          <t>No</t>
        </is>
      </c>
      <c r="B1645" t="inlineStr">
        <is>
          <t>BX2380 .B5 1986</t>
        </is>
      </c>
      <c r="C1645" t="inlineStr">
        <is>
          <t>0                      BX 2380000B  5           1986</t>
        </is>
      </c>
      <c r="D1645" t="inlineStr">
        <is>
          <t>Vocations and future church leadership : the Collegeville papers, June 9-16, 1986 / National Conference of Catholic Bishops.</t>
        </is>
      </c>
      <c r="F1645" t="inlineStr">
        <is>
          <t>No</t>
        </is>
      </c>
      <c r="G1645" t="inlineStr">
        <is>
          <t>1</t>
        </is>
      </c>
      <c r="H1645" t="inlineStr">
        <is>
          <t>No</t>
        </is>
      </c>
      <c r="I1645" t="inlineStr">
        <is>
          <t>No</t>
        </is>
      </c>
      <c r="J1645" t="inlineStr">
        <is>
          <t>0</t>
        </is>
      </c>
      <c r="K1645" t="inlineStr">
        <is>
          <t>Bishops' Assembly for Prayer and Reflection on Vocations (1986 : St. John's University)</t>
        </is>
      </c>
      <c r="L1645" t="inlineStr">
        <is>
          <t>Washington, D.C. : United States Catholic Conference c1986.</t>
        </is>
      </c>
      <c r="M1645" t="inlineStr">
        <is>
          <t>1986</t>
        </is>
      </c>
      <c r="O1645" t="inlineStr">
        <is>
          <t>eng</t>
        </is>
      </c>
      <c r="P1645" t="inlineStr">
        <is>
          <t>dcu</t>
        </is>
      </c>
      <c r="Q1645" t="inlineStr">
        <is>
          <t>Publication / Office of Publishing and Promotion Services, United States Catholic Conference ; no. 108</t>
        </is>
      </c>
      <c r="R1645" t="inlineStr">
        <is>
          <t xml:space="preserve">BX </t>
        </is>
      </c>
      <c r="S1645" t="n">
        <v>3</v>
      </c>
      <c r="T1645" t="n">
        <v>3</v>
      </c>
      <c r="U1645" t="inlineStr">
        <is>
          <t>2005-06-27</t>
        </is>
      </c>
      <c r="V1645" t="inlineStr">
        <is>
          <t>2005-06-27</t>
        </is>
      </c>
      <c r="W1645" t="inlineStr">
        <is>
          <t>1991-10-31</t>
        </is>
      </c>
      <c r="X1645" t="inlineStr">
        <is>
          <t>1991-10-31</t>
        </is>
      </c>
      <c r="Y1645" t="n">
        <v>124</v>
      </c>
      <c r="Z1645" t="n">
        <v>112</v>
      </c>
      <c r="AA1645" t="n">
        <v>117</v>
      </c>
      <c r="AB1645" t="n">
        <v>2</v>
      </c>
      <c r="AC1645" t="n">
        <v>2</v>
      </c>
      <c r="AD1645" t="n">
        <v>20</v>
      </c>
      <c r="AE1645" t="n">
        <v>20</v>
      </c>
      <c r="AF1645" t="n">
        <v>5</v>
      </c>
      <c r="AG1645" t="n">
        <v>5</v>
      </c>
      <c r="AH1645" t="n">
        <v>6</v>
      </c>
      <c r="AI1645" t="n">
        <v>6</v>
      </c>
      <c r="AJ1645" t="n">
        <v>16</v>
      </c>
      <c r="AK1645" t="n">
        <v>16</v>
      </c>
      <c r="AL1645" t="n">
        <v>0</v>
      </c>
      <c r="AM1645" t="n">
        <v>0</v>
      </c>
      <c r="AN1645" t="n">
        <v>0</v>
      </c>
      <c r="AO1645" t="n">
        <v>0</v>
      </c>
      <c r="AP1645" t="inlineStr">
        <is>
          <t>No</t>
        </is>
      </c>
      <c r="AQ1645" t="inlineStr">
        <is>
          <t>No</t>
        </is>
      </c>
      <c r="AS1645">
        <f>HYPERLINK("https://creighton-primo.hosted.exlibrisgroup.com/primo-explore/search?tab=default_tab&amp;search_scope=EVERYTHING&amp;vid=01CRU&amp;lang=en_US&amp;offset=0&amp;query=any,contains,991000966519702656","Catalog Record")</f>
        <v/>
      </c>
      <c r="AT1645">
        <f>HYPERLINK("http://www.worldcat.org/oclc/17208100","WorldCat Record")</f>
        <v/>
      </c>
      <c r="AU1645" t="inlineStr">
        <is>
          <t>15521566:eng</t>
        </is>
      </c>
      <c r="AV1645" t="inlineStr">
        <is>
          <t>17208100</t>
        </is>
      </c>
      <c r="AW1645" t="inlineStr">
        <is>
          <t>991000966519702656</t>
        </is>
      </c>
      <c r="AX1645" t="inlineStr">
        <is>
          <t>991000966519702656</t>
        </is>
      </c>
      <c r="AY1645" t="inlineStr">
        <is>
          <t>2267805400002656</t>
        </is>
      </c>
      <c r="AZ1645" t="inlineStr">
        <is>
          <t>BOOK</t>
        </is>
      </c>
      <c r="BB1645" t="inlineStr">
        <is>
          <t>9781555861087</t>
        </is>
      </c>
      <c r="BC1645" t="inlineStr">
        <is>
          <t>32285000831015</t>
        </is>
      </c>
      <c r="BD1645" t="inlineStr">
        <is>
          <t>893522170</t>
        </is>
      </c>
    </row>
    <row r="1646">
      <c r="A1646" t="inlineStr">
        <is>
          <t>No</t>
        </is>
      </c>
      <c r="B1646" t="inlineStr">
        <is>
          <t>BX2380 .B6 1932</t>
        </is>
      </c>
      <c r="C1646" t="inlineStr">
        <is>
          <t>0                      BX 2380000B  6           1932</t>
        </is>
      </c>
      <c r="D1646" t="inlineStr">
        <is>
          <t>Priestly vocation / by John Blowick.</t>
        </is>
      </c>
      <c r="F1646" t="inlineStr">
        <is>
          <t>No</t>
        </is>
      </c>
      <c r="G1646" t="inlineStr">
        <is>
          <t>1</t>
        </is>
      </c>
      <c r="H1646" t="inlineStr">
        <is>
          <t>No</t>
        </is>
      </c>
      <c r="I1646" t="inlineStr">
        <is>
          <t>No</t>
        </is>
      </c>
      <c r="J1646" t="inlineStr">
        <is>
          <t>0</t>
        </is>
      </c>
      <c r="K1646" t="inlineStr">
        <is>
          <t>Blowick, John.</t>
        </is>
      </c>
      <c r="L1646" t="inlineStr">
        <is>
          <t>Dublin : M. H. Gill and son, ltd., 1932.</t>
        </is>
      </c>
      <c r="M1646" t="inlineStr">
        <is>
          <t>1932</t>
        </is>
      </c>
      <c r="O1646" t="inlineStr">
        <is>
          <t>eng</t>
        </is>
      </c>
      <c r="P1646" t="inlineStr">
        <is>
          <t xml:space="preserve">ie </t>
        </is>
      </c>
      <c r="R1646" t="inlineStr">
        <is>
          <t xml:space="preserve">BX </t>
        </is>
      </c>
      <c r="S1646" t="n">
        <v>2</v>
      </c>
      <c r="T1646" t="n">
        <v>2</v>
      </c>
      <c r="U1646" t="inlineStr">
        <is>
          <t>1992-06-17</t>
        </is>
      </c>
      <c r="V1646" t="inlineStr">
        <is>
          <t>1992-06-17</t>
        </is>
      </c>
      <c r="W1646" t="inlineStr">
        <is>
          <t>1991-10-31</t>
        </is>
      </c>
      <c r="X1646" t="inlineStr">
        <is>
          <t>1991-10-31</t>
        </is>
      </c>
      <c r="Y1646" t="n">
        <v>58</v>
      </c>
      <c r="Z1646" t="n">
        <v>43</v>
      </c>
      <c r="AA1646" t="n">
        <v>45</v>
      </c>
      <c r="AB1646" t="n">
        <v>3</v>
      </c>
      <c r="AC1646" t="n">
        <v>3</v>
      </c>
      <c r="AD1646" t="n">
        <v>10</v>
      </c>
      <c r="AE1646" t="n">
        <v>10</v>
      </c>
      <c r="AF1646" t="n">
        <v>2</v>
      </c>
      <c r="AG1646" t="n">
        <v>2</v>
      </c>
      <c r="AH1646" t="n">
        <v>3</v>
      </c>
      <c r="AI1646" t="n">
        <v>3</v>
      </c>
      <c r="AJ1646" t="n">
        <v>7</v>
      </c>
      <c r="AK1646" t="n">
        <v>7</v>
      </c>
      <c r="AL1646" t="n">
        <v>0</v>
      </c>
      <c r="AM1646" t="n">
        <v>0</v>
      </c>
      <c r="AN1646" t="n">
        <v>0</v>
      </c>
      <c r="AO1646" t="n">
        <v>0</v>
      </c>
      <c r="AP1646" t="inlineStr">
        <is>
          <t>No</t>
        </is>
      </c>
      <c r="AQ1646" t="inlineStr">
        <is>
          <t>No</t>
        </is>
      </c>
      <c r="AS1646">
        <f>HYPERLINK("https://creighton-primo.hosted.exlibrisgroup.com/primo-explore/search?tab=default_tab&amp;search_scope=EVERYTHING&amp;vid=01CRU&amp;lang=en_US&amp;offset=0&amp;query=any,contains,991004441179702656","Catalog Record")</f>
        <v/>
      </c>
      <c r="AT1646">
        <f>HYPERLINK("http://www.worldcat.org/oclc/3462839","WorldCat Record")</f>
        <v/>
      </c>
      <c r="AU1646" t="inlineStr">
        <is>
          <t>10088844:eng</t>
        </is>
      </c>
      <c r="AV1646" t="inlineStr">
        <is>
          <t>3462839</t>
        </is>
      </c>
      <c r="AW1646" t="inlineStr">
        <is>
          <t>991004441179702656</t>
        </is>
      </c>
      <c r="AX1646" t="inlineStr">
        <is>
          <t>991004441179702656</t>
        </is>
      </c>
      <c r="AY1646" t="inlineStr">
        <is>
          <t>2272645070002656</t>
        </is>
      </c>
      <c r="AZ1646" t="inlineStr">
        <is>
          <t>BOOK</t>
        </is>
      </c>
      <c r="BC1646" t="inlineStr">
        <is>
          <t>32285000831031</t>
        </is>
      </c>
      <c r="BD1646" t="inlineStr">
        <is>
          <t>893794856</t>
        </is>
      </c>
    </row>
    <row r="1647">
      <c r="A1647" t="inlineStr">
        <is>
          <t>No</t>
        </is>
      </c>
      <c r="B1647" t="inlineStr">
        <is>
          <t>BX2380 .G613 1983</t>
        </is>
      </c>
      <c r="C1647" t="inlineStr">
        <is>
          <t>0                      BX 2380000G  613         1983</t>
        </is>
      </c>
      <c r="D1647" t="inlineStr">
        <is>
          <t>The psychology of religious vocations : problems of the religious life / André Godin ; translated and edited by LeRoy A. Wauck.</t>
        </is>
      </c>
      <c r="F1647" t="inlineStr">
        <is>
          <t>No</t>
        </is>
      </c>
      <c r="G1647" t="inlineStr">
        <is>
          <t>1</t>
        </is>
      </c>
      <c r="H1647" t="inlineStr">
        <is>
          <t>No</t>
        </is>
      </c>
      <c r="I1647" t="inlineStr">
        <is>
          <t>No</t>
        </is>
      </c>
      <c r="J1647" t="inlineStr">
        <is>
          <t>0</t>
        </is>
      </c>
      <c r="K1647" t="inlineStr">
        <is>
          <t>Godin, André.</t>
        </is>
      </c>
      <c r="L1647" t="inlineStr">
        <is>
          <t>Washington, D.C. : University Press of America, c1983.</t>
        </is>
      </c>
      <c r="M1647" t="inlineStr">
        <is>
          <t>1983</t>
        </is>
      </c>
      <c r="O1647" t="inlineStr">
        <is>
          <t>eng</t>
        </is>
      </c>
      <c r="P1647" t="inlineStr">
        <is>
          <t>dcu</t>
        </is>
      </c>
      <c r="R1647" t="inlineStr">
        <is>
          <t xml:space="preserve">BX </t>
        </is>
      </c>
      <c r="S1647" t="n">
        <v>3</v>
      </c>
      <c r="T1647" t="n">
        <v>3</v>
      </c>
      <c r="U1647" t="inlineStr">
        <is>
          <t>1993-12-11</t>
        </is>
      </c>
      <c r="V1647" t="inlineStr">
        <is>
          <t>1993-12-11</t>
        </is>
      </c>
      <c r="W1647" t="inlineStr">
        <is>
          <t>1991-10-31</t>
        </is>
      </c>
      <c r="X1647" t="inlineStr">
        <is>
          <t>1991-10-31</t>
        </is>
      </c>
      <c r="Y1647" t="n">
        <v>153</v>
      </c>
      <c r="Z1647" t="n">
        <v>127</v>
      </c>
      <c r="AA1647" t="n">
        <v>127</v>
      </c>
      <c r="AB1647" t="n">
        <v>1</v>
      </c>
      <c r="AC1647" t="n">
        <v>1</v>
      </c>
      <c r="AD1647" t="n">
        <v>13</v>
      </c>
      <c r="AE1647" t="n">
        <v>13</v>
      </c>
      <c r="AF1647" t="n">
        <v>3</v>
      </c>
      <c r="AG1647" t="n">
        <v>3</v>
      </c>
      <c r="AH1647" t="n">
        <v>4</v>
      </c>
      <c r="AI1647" t="n">
        <v>4</v>
      </c>
      <c r="AJ1647" t="n">
        <v>10</v>
      </c>
      <c r="AK1647" t="n">
        <v>10</v>
      </c>
      <c r="AL1647" t="n">
        <v>0</v>
      </c>
      <c r="AM1647" t="n">
        <v>0</v>
      </c>
      <c r="AN1647" t="n">
        <v>0</v>
      </c>
      <c r="AO1647" t="n">
        <v>0</v>
      </c>
      <c r="AP1647" t="inlineStr">
        <is>
          <t>No</t>
        </is>
      </c>
      <c r="AQ1647" t="inlineStr">
        <is>
          <t>No</t>
        </is>
      </c>
      <c r="AS1647">
        <f>HYPERLINK("https://creighton-primo.hosted.exlibrisgroup.com/primo-explore/search?tab=default_tab&amp;search_scope=EVERYTHING&amp;vid=01CRU&amp;lang=en_US&amp;offset=0&amp;query=any,contains,991000129319702656","Catalog Record")</f>
        <v/>
      </c>
      <c r="AT1647">
        <f>HYPERLINK("http://www.worldcat.org/oclc/9110389","WorldCat Record")</f>
        <v/>
      </c>
      <c r="AU1647" t="inlineStr">
        <is>
          <t>1151193402:eng</t>
        </is>
      </c>
      <c r="AV1647" t="inlineStr">
        <is>
          <t>9110389</t>
        </is>
      </c>
      <c r="AW1647" t="inlineStr">
        <is>
          <t>991000129319702656</t>
        </is>
      </c>
      <c r="AX1647" t="inlineStr">
        <is>
          <t>991000129319702656</t>
        </is>
      </c>
      <c r="AY1647" t="inlineStr">
        <is>
          <t>2268684930002656</t>
        </is>
      </c>
      <c r="AZ1647" t="inlineStr">
        <is>
          <t>BOOK</t>
        </is>
      </c>
      <c r="BB1647" t="inlineStr">
        <is>
          <t>9780819130082</t>
        </is>
      </c>
      <c r="BC1647" t="inlineStr">
        <is>
          <t>32285000831098</t>
        </is>
      </c>
      <c r="BD1647" t="inlineStr">
        <is>
          <t>893902906</t>
        </is>
      </c>
    </row>
    <row r="1648">
      <c r="A1648" t="inlineStr">
        <is>
          <t>No</t>
        </is>
      </c>
      <c r="B1648" t="inlineStr">
        <is>
          <t>BX2380 .R83 1971</t>
        </is>
      </c>
      <c r="C1648" t="inlineStr">
        <is>
          <t>0                      BX 2380000R  83          1971</t>
        </is>
      </c>
      <c r="D1648" t="inlineStr">
        <is>
          <t>Depth psychology and vocation : a psycho-social perspective / [by] Luigi M. Rulla.</t>
        </is>
      </c>
      <c r="F1648" t="inlineStr">
        <is>
          <t>No</t>
        </is>
      </c>
      <c r="G1648" t="inlineStr">
        <is>
          <t>1</t>
        </is>
      </c>
      <c r="H1648" t="inlineStr">
        <is>
          <t>No</t>
        </is>
      </c>
      <c r="I1648" t="inlineStr">
        <is>
          <t>No</t>
        </is>
      </c>
      <c r="J1648" t="inlineStr">
        <is>
          <t>0</t>
        </is>
      </c>
      <c r="K1648" t="inlineStr">
        <is>
          <t>Rulla, Luigi M., 1922-2002.</t>
        </is>
      </c>
      <c r="L1648" t="inlineStr">
        <is>
          <t>Rome : Gregorian University Press ; Chicago : Loyola University Press, 1971.</t>
        </is>
      </c>
      <c r="M1648" t="inlineStr">
        <is>
          <t>1971</t>
        </is>
      </c>
      <c r="O1648" t="inlineStr">
        <is>
          <t>eng</t>
        </is>
      </c>
      <c r="P1648" t="inlineStr">
        <is>
          <t xml:space="preserve">it </t>
        </is>
      </c>
      <c r="R1648" t="inlineStr">
        <is>
          <t xml:space="preserve">BX </t>
        </is>
      </c>
      <c r="S1648" t="n">
        <v>2</v>
      </c>
      <c r="T1648" t="n">
        <v>2</v>
      </c>
      <c r="U1648" t="inlineStr">
        <is>
          <t>2003-12-05</t>
        </is>
      </c>
      <c r="V1648" t="inlineStr">
        <is>
          <t>2003-12-05</t>
        </is>
      </c>
      <c r="W1648" t="inlineStr">
        <is>
          <t>1991-10-31</t>
        </is>
      </c>
      <c r="X1648" t="inlineStr">
        <is>
          <t>1991-10-31</t>
        </is>
      </c>
      <c r="Y1648" t="n">
        <v>217</v>
      </c>
      <c r="Z1648" t="n">
        <v>181</v>
      </c>
      <c r="AA1648" t="n">
        <v>192</v>
      </c>
      <c r="AB1648" t="n">
        <v>3</v>
      </c>
      <c r="AC1648" t="n">
        <v>3</v>
      </c>
      <c r="AD1648" t="n">
        <v>16</v>
      </c>
      <c r="AE1648" t="n">
        <v>16</v>
      </c>
      <c r="AF1648" t="n">
        <v>2</v>
      </c>
      <c r="AG1648" t="n">
        <v>2</v>
      </c>
      <c r="AH1648" t="n">
        <v>4</v>
      </c>
      <c r="AI1648" t="n">
        <v>4</v>
      </c>
      <c r="AJ1648" t="n">
        <v>13</v>
      </c>
      <c r="AK1648" t="n">
        <v>13</v>
      </c>
      <c r="AL1648" t="n">
        <v>0</v>
      </c>
      <c r="AM1648" t="n">
        <v>0</v>
      </c>
      <c r="AN1648" t="n">
        <v>0</v>
      </c>
      <c r="AO1648" t="n">
        <v>0</v>
      </c>
      <c r="AP1648" t="inlineStr">
        <is>
          <t>No</t>
        </is>
      </c>
      <c r="AQ1648" t="inlineStr">
        <is>
          <t>Yes</t>
        </is>
      </c>
      <c r="AR1648">
        <f>HYPERLINK("http://catalog.hathitrust.org/Record/002872606","HathiTrust Record")</f>
        <v/>
      </c>
      <c r="AS1648">
        <f>HYPERLINK("https://creighton-primo.hosted.exlibrisgroup.com/primo-explore/search?tab=default_tab&amp;search_scope=EVERYTHING&amp;vid=01CRU&amp;lang=en_US&amp;offset=0&amp;query=any,contains,991002176539702656","Catalog Record")</f>
        <v/>
      </c>
      <c r="AT1648">
        <f>HYPERLINK("http://www.worldcat.org/oclc/278082","WorldCat Record")</f>
        <v/>
      </c>
      <c r="AU1648" t="inlineStr">
        <is>
          <t>292696920:eng</t>
        </is>
      </c>
      <c r="AV1648" t="inlineStr">
        <is>
          <t>278082</t>
        </is>
      </c>
      <c r="AW1648" t="inlineStr">
        <is>
          <t>991002176539702656</t>
        </is>
      </c>
      <c r="AX1648" t="inlineStr">
        <is>
          <t>991002176539702656</t>
        </is>
      </c>
      <c r="AY1648" t="inlineStr">
        <is>
          <t>2261218890002656</t>
        </is>
      </c>
      <c r="AZ1648" t="inlineStr">
        <is>
          <t>BOOK</t>
        </is>
      </c>
      <c r="BB1648" t="inlineStr">
        <is>
          <t>9780829402100</t>
        </is>
      </c>
      <c r="BC1648" t="inlineStr">
        <is>
          <t>32285000831189</t>
        </is>
      </c>
      <c r="BD1648" t="inlineStr">
        <is>
          <t>893529636</t>
        </is>
      </c>
    </row>
    <row r="1649">
      <c r="A1649" t="inlineStr">
        <is>
          <t>No</t>
        </is>
      </c>
      <c r="B1649" t="inlineStr">
        <is>
          <t>BX2385 .B37 1969</t>
        </is>
      </c>
      <c r="C1649" t="inlineStr">
        <is>
          <t>0                      BX 2385000B  37          1969</t>
        </is>
      </c>
      <c r="D1649" t="inlineStr">
        <is>
          <t>Is religious life possible? / by Patrick J. Berkery, Ph.D.</t>
        </is>
      </c>
      <c r="F1649" t="inlineStr">
        <is>
          <t>No</t>
        </is>
      </c>
      <c r="G1649" t="inlineStr">
        <is>
          <t>1</t>
        </is>
      </c>
      <c r="H1649" t="inlineStr">
        <is>
          <t>No</t>
        </is>
      </c>
      <c r="I1649" t="inlineStr">
        <is>
          <t>No</t>
        </is>
      </c>
      <c r="J1649" t="inlineStr">
        <is>
          <t>0</t>
        </is>
      </c>
      <c r="K1649" t="inlineStr">
        <is>
          <t>Berkery, Patrick J.</t>
        </is>
      </c>
      <c r="L1649" t="inlineStr">
        <is>
          <t>Denville, N.J. : Dimension Books, 1969.</t>
        </is>
      </c>
      <c r="M1649" t="inlineStr">
        <is>
          <t>1969</t>
        </is>
      </c>
      <c r="O1649" t="inlineStr">
        <is>
          <t>eng</t>
        </is>
      </c>
      <c r="P1649" t="inlineStr">
        <is>
          <t>nyu</t>
        </is>
      </c>
      <c r="R1649" t="inlineStr">
        <is>
          <t xml:space="preserve">BX </t>
        </is>
      </c>
      <c r="S1649" t="n">
        <v>1</v>
      </c>
      <c r="T1649" t="n">
        <v>1</v>
      </c>
      <c r="U1649" t="inlineStr">
        <is>
          <t>1993-06-30</t>
        </is>
      </c>
      <c r="V1649" t="inlineStr">
        <is>
          <t>1993-06-30</t>
        </is>
      </c>
      <c r="W1649" t="inlineStr">
        <is>
          <t>1991-10-31</t>
        </is>
      </c>
      <c r="X1649" t="inlineStr">
        <is>
          <t>1991-10-31</t>
        </is>
      </c>
      <c r="Y1649" t="n">
        <v>39</v>
      </c>
      <c r="Z1649" t="n">
        <v>35</v>
      </c>
      <c r="AA1649" t="n">
        <v>40</v>
      </c>
      <c r="AB1649" t="n">
        <v>1</v>
      </c>
      <c r="AC1649" t="n">
        <v>1</v>
      </c>
      <c r="AD1649" t="n">
        <v>8</v>
      </c>
      <c r="AE1649" t="n">
        <v>8</v>
      </c>
      <c r="AF1649" t="n">
        <v>2</v>
      </c>
      <c r="AG1649" t="n">
        <v>2</v>
      </c>
      <c r="AH1649" t="n">
        <v>3</v>
      </c>
      <c r="AI1649" t="n">
        <v>3</v>
      </c>
      <c r="AJ1649" t="n">
        <v>5</v>
      </c>
      <c r="AK1649" t="n">
        <v>5</v>
      </c>
      <c r="AL1649" t="n">
        <v>0</v>
      </c>
      <c r="AM1649" t="n">
        <v>0</v>
      </c>
      <c r="AN1649" t="n">
        <v>0</v>
      </c>
      <c r="AO1649" t="n">
        <v>0</v>
      </c>
      <c r="AP1649" t="inlineStr">
        <is>
          <t>No</t>
        </is>
      </c>
      <c r="AQ1649" t="inlineStr">
        <is>
          <t>No</t>
        </is>
      </c>
      <c r="AS1649">
        <f>HYPERLINK("https://creighton-primo.hosted.exlibrisgroup.com/primo-explore/search?tab=default_tab&amp;search_scope=EVERYTHING&amp;vid=01CRU&amp;lang=en_US&amp;offset=0&amp;query=any,contains,991004924499702656","Catalog Record")</f>
        <v/>
      </c>
      <c r="AT1649">
        <f>HYPERLINK("http://www.worldcat.org/oclc/6078549","WorldCat Record")</f>
        <v/>
      </c>
      <c r="AU1649" t="inlineStr">
        <is>
          <t>5145553063:eng</t>
        </is>
      </c>
      <c r="AV1649" t="inlineStr">
        <is>
          <t>6078549</t>
        </is>
      </c>
      <c r="AW1649" t="inlineStr">
        <is>
          <t>991004924499702656</t>
        </is>
      </c>
      <c r="AX1649" t="inlineStr">
        <is>
          <t>991004924499702656</t>
        </is>
      </c>
      <c r="AY1649" t="inlineStr">
        <is>
          <t>2271415180002656</t>
        </is>
      </c>
      <c r="AZ1649" t="inlineStr">
        <is>
          <t>BOOK</t>
        </is>
      </c>
      <c r="BC1649" t="inlineStr">
        <is>
          <t>32285000831221</t>
        </is>
      </c>
      <c r="BD1649" t="inlineStr">
        <is>
          <t>893700829</t>
        </is>
      </c>
    </row>
    <row r="1650">
      <c r="A1650" t="inlineStr">
        <is>
          <t>No</t>
        </is>
      </c>
      <c r="B1650" t="inlineStr">
        <is>
          <t>BX2385 .C4513 2001</t>
        </is>
      </c>
      <c r="C1650" t="inlineStr">
        <is>
          <t>0                      BX 2385000C  4513        2001</t>
        </is>
      </c>
      <c r="D1650" t="inlineStr">
        <is>
          <t>Koinonia : spiritual and theological growth of the religious community / Fabio Ciardi.</t>
        </is>
      </c>
      <c r="F1650" t="inlineStr">
        <is>
          <t>No</t>
        </is>
      </c>
      <c r="G1650" t="inlineStr">
        <is>
          <t>1</t>
        </is>
      </c>
      <c r="H1650" t="inlineStr">
        <is>
          <t>No</t>
        </is>
      </c>
      <c r="I1650" t="inlineStr">
        <is>
          <t>No</t>
        </is>
      </c>
      <c r="J1650" t="inlineStr">
        <is>
          <t>0</t>
        </is>
      </c>
      <c r="K1650" t="inlineStr">
        <is>
          <t>Ciardi, Fabio, 1948-</t>
        </is>
      </c>
      <c r="L1650" t="inlineStr">
        <is>
          <t>Hyde Park, NY : New City Press, c2001.</t>
        </is>
      </c>
      <c r="M1650" t="inlineStr">
        <is>
          <t>2001</t>
        </is>
      </c>
      <c r="O1650" t="inlineStr">
        <is>
          <t>eng</t>
        </is>
      </c>
      <c r="P1650" t="inlineStr">
        <is>
          <t>nyu</t>
        </is>
      </c>
      <c r="R1650" t="inlineStr">
        <is>
          <t xml:space="preserve">BX </t>
        </is>
      </c>
      <c r="S1650" t="n">
        <v>2</v>
      </c>
      <c r="T1650" t="n">
        <v>2</v>
      </c>
      <c r="U1650" t="inlineStr">
        <is>
          <t>2009-06-21</t>
        </is>
      </c>
      <c r="V1650" t="inlineStr">
        <is>
          <t>2009-06-21</t>
        </is>
      </c>
      <c r="W1650" t="inlineStr">
        <is>
          <t>2004-02-16</t>
        </is>
      </c>
      <c r="X1650" t="inlineStr">
        <is>
          <t>2004-02-16</t>
        </is>
      </c>
      <c r="Y1650" t="n">
        <v>67</v>
      </c>
      <c r="Z1650" t="n">
        <v>61</v>
      </c>
      <c r="AA1650" t="n">
        <v>67</v>
      </c>
      <c r="AB1650" t="n">
        <v>1</v>
      </c>
      <c r="AC1650" t="n">
        <v>1</v>
      </c>
      <c r="AD1650" t="n">
        <v>7</v>
      </c>
      <c r="AE1650" t="n">
        <v>7</v>
      </c>
      <c r="AF1650" t="n">
        <v>1</v>
      </c>
      <c r="AG1650" t="n">
        <v>1</v>
      </c>
      <c r="AH1650" t="n">
        <v>2</v>
      </c>
      <c r="AI1650" t="n">
        <v>2</v>
      </c>
      <c r="AJ1650" t="n">
        <v>6</v>
      </c>
      <c r="AK1650" t="n">
        <v>6</v>
      </c>
      <c r="AL1650" t="n">
        <v>0</v>
      </c>
      <c r="AM1650" t="n">
        <v>0</v>
      </c>
      <c r="AN1650" t="n">
        <v>0</v>
      </c>
      <c r="AO1650" t="n">
        <v>0</v>
      </c>
      <c r="AP1650" t="inlineStr">
        <is>
          <t>No</t>
        </is>
      </c>
      <c r="AQ1650" t="inlineStr">
        <is>
          <t>No</t>
        </is>
      </c>
      <c r="AS1650">
        <f>HYPERLINK("https://creighton-primo.hosted.exlibrisgroup.com/primo-explore/search?tab=default_tab&amp;search_scope=EVERYTHING&amp;vid=01CRU&amp;lang=en_US&amp;offset=0&amp;query=any,contains,991004215729702656","Catalog Record")</f>
        <v/>
      </c>
      <c r="AT1650">
        <f>HYPERLINK("http://www.worldcat.org/oclc/44702083","WorldCat Record")</f>
        <v/>
      </c>
      <c r="AU1650" t="inlineStr">
        <is>
          <t>14242358:eng</t>
        </is>
      </c>
      <c r="AV1650" t="inlineStr">
        <is>
          <t>44702083</t>
        </is>
      </c>
      <c r="AW1650" t="inlineStr">
        <is>
          <t>991004215729702656</t>
        </is>
      </c>
      <c r="AX1650" t="inlineStr">
        <is>
          <t>991004215729702656</t>
        </is>
      </c>
      <c r="AY1650" t="inlineStr">
        <is>
          <t>2259145570002656</t>
        </is>
      </c>
      <c r="AZ1650" t="inlineStr">
        <is>
          <t>BOOK</t>
        </is>
      </c>
      <c r="BB1650" t="inlineStr">
        <is>
          <t>9781565481459</t>
        </is>
      </c>
      <c r="BC1650" t="inlineStr">
        <is>
          <t>32285004639380</t>
        </is>
      </c>
      <c r="BD1650" t="inlineStr">
        <is>
          <t>893599573</t>
        </is>
      </c>
    </row>
    <row r="1651">
      <c r="A1651" t="inlineStr">
        <is>
          <t>No</t>
        </is>
      </c>
      <c r="B1651" t="inlineStr">
        <is>
          <t>BX2385 .L43 1990</t>
        </is>
      </c>
      <c r="C1651" t="inlineStr">
        <is>
          <t>0                      BX 2385000L  43          1990</t>
        </is>
      </c>
      <c r="D1651" t="inlineStr">
        <is>
          <t>Reweaving religious life : beyond the liberal model / Mary Jo Leddy.</t>
        </is>
      </c>
      <c r="F1651" t="inlineStr">
        <is>
          <t>No</t>
        </is>
      </c>
      <c r="G1651" t="inlineStr">
        <is>
          <t>1</t>
        </is>
      </c>
      <c r="H1651" t="inlineStr">
        <is>
          <t>No</t>
        </is>
      </c>
      <c r="I1651" t="inlineStr">
        <is>
          <t>No</t>
        </is>
      </c>
      <c r="J1651" t="inlineStr">
        <is>
          <t>0</t>
        </is>
      </c>
      <c r="K1651" t="inlineStr">
        <is>
          <t>Leddy, Mary Jo.</t>
        </is>
      </c>
      <c r="L1651" t="inlineStr">
        <is>
          <t>Mystic, CT : Twenty-Third Publications, 1990.</t>
        </is>
      </c>
      <c r="M1651" t="inlineStr">
        <is>
          <t>1990</t>
        </is>
      </c>
      <c r="O1651" t="inlineStr">
        <is>
          <t>eng</t>
        </is>
      </c>
      <c r="P1651" t="inlineStr">
        <is>
          <t>ctu</t>
        </is>
      </c>
      <c r="R1651" t="inlineStr">
        <is>
          <t xml:space="preserve">BX </t>
        </is>
      </c>
      <c r="S1651" t="n">
        <v>4</v>
      </c>
      <c r="T1651" t="n">
        <v>4</v>
      </c>
      <c r="U1651" t="inlineStr">
        <is>
          <t>1996-02-08</t>
        </is>
      </c>
      <c r="V1651" t="inlineStr">
        <is>
          <t>1996-02-08</t>
        </is>
      </c>
      <c r="W1651" t="inlineStr">
        <is>
          <t>1991-06-05</t>
        </is>
      </c>
      <c r="X1651" t="inlineStr">
        <is>
          <t>1991-06-05</t>
        </is>
      </c>
      <c r="Y1651" t="n">
        <v>184</v>
      </c>
      <c r="Z1651" t="n">
        <v>134</v>
      </c>
      <c r="AA1651" t="n">
        <v>140</v>
      </c>
      <c r="AB1651" t="n">
        <v>1</v>
      </c>
      <c r="AC1651" t="n">
        <v>1</v>
      </c>
      <c r="AD1651" t="n">
        <v>16</v>
      </c>
      <c r="AE1651" t="n">
        <v>16</v>
      </c>
      <c r="AF1651" t="n">
        <v>3</v>
      </c>
      <c r="AG1651" t="n">
        <v>3</v>
      </c>
      <c r="AH1651" t="n">
        <v>6</v>
      </c>
      <c r="AI1651" t="n">
        <v>6</v>
      </c>
      <c r="AJ1651" t="n">
        <v>12</v>
      </c>
      <c r="AK1651" t="n">
        <v>12</v>
      </c>
      <c r="AL1651" t="n">
        <v>0</v>
      </c>
      <c r="AM1651" t="n">
        <v>0</v>
      </c>
      <c r="AN1651" t="n">
        <v>0</v>
      </c>
      <c r="AO1651" t="n">
        <v>0</v>
      </c>
      <c r="AP1651" t="inlineStr">
        <is>
          <t>No</t>
        </is>
      </c>
      <c r="AQ1651" t="inlineStr">
        <is>
          <t>Yes</t>
        </is>
      </c>
      <c r="AR1651">
        <f>HYPERLINK("http://catalog.hathitrust.org/Record/006019692","HathiTrust Record")</f>
        <v/>
      </c>
      <c r="AS1651">
        <f>HYPERLINK("https://creighton-primo.hosted.exlibrisgroup.com/primo-explore/search?tab=default_tab&amp;search_scope=EVERYTHING&amp;vid=01CRU&amp;lang=en_US&amp;offset=0&amp;query=any,contains,991001771689702656","Catalog Record")</f>
        <v/>
      </c>
      <c r="AT1651">
        <f>HYPERLINK("http://www.worldcat.org/oclc/22375900","WorldCat Record")</f>
        <v/>
      </c>
      <c r="AU1651" t="inlineStr">
        <is>
          <t>2081954250:eng</t>
        </is>
      </c>
      <c r="AV1651" t="inlineStr">
        <is>
          <t>22375900</t>
        </is>
      </c>
      <c r="AW1651" t="inlineStr">
        <is>
          <t>991001771689702656</t>
        </is>
      </c>
      <c r="AX1651" t="inlineStr">
        <is>
          <t>991001771689702656</t>
        </is>
      </c>
      <c r="AY1651" t="inlineStr">
        <is>
          <t>2262731460002656</t>
        </is>
      </c>
      <c r="AZ1651" t="inlineStr">
        <is>
          <t>BOOK</t>
        </is>
      </c>
      <c r="BB1651" t="inlineStr">
        <is>
          <t>9780896224407</t>
        </is>
      </c>
      <c r="BC1651" t="inlineStr">
        <is>
          <t>32285000593136</t>
        </is>
      </c>
      <c r="BD1651" t="inlineStr">
        <is>
          <t>893809182</t>
        </is>
      </c>
    </row>
    <row r="1652">
      <c r="A1652" t="inlineStr">
        <is>
          <t>No</t>
        </is>
      </c>
      <c r="B1652" t="inlineStr">
        <is>
          <t>BX2385 .T5414 1978</t>
        </is>
      </c>
      <c r="C1652" t="inlineStr">
        <is>
          <t>0                      BX 2385000T  5414        1978</t>
        </is>
      </c>
      <c r="D1652" t="inlineStr">
        <is>
          <t>A gospel path : the religious life / J. M. R. Tillard ; translated from the French by Olga Prendergast.</t>
        </is>
      </c>
      <c r="F1652" t="inlineStr">
        <is>
          <t>No</t>
        </is>
      </c>
      <c r="G1652" t="inlineStr">
        <is>
          <t>1</t>
        </is>
      </c>
      <c r="H1652" t="inlineStr">
        <is>
          <t>No</t>
        </is>
      </c>
      <c r="I1652" t="inlineStr">
        <is>
          <t>No</t>
        </is>
      </c>
      <c r="J1652" t="inlineStr">
        <is>
          <t>0</t>
        </is>
      </c>
      <c r="K1652" t="inlineStr">
        <is>
          <t>Tillard, J.-M.-R. (Jean-Marie-Roger), 1927-2000.</t>
        </is>
      </c>
      <c r="L1652" t="inlineStr">
        <is>
          <t>Brussels : Lumen Vitae, 1978.</t>
        </is>
      </c>
      <c r="M1652" t="inlineStr">
        <is>
          <t>1978</t>
        </is>
      </c>
      <c r="N1652" t="inlineStr">
        <is>
          <t>4th ed.</t>
        </is>
      </c>
      <c r="O1652" t="inlineStr">
        <is>
          <t>eng</t>
        </is>
      </c>
      <c r="P1652" t="inlineStr">
        <is>
          <t xml:space="preserve">be </t>
        </is>
      </c>
      <c r="R1652" t="inlineStr">
        <is>
          <t xml:space="preserve">BX </t>
        </is>
      </c>
      <c r="S1652" t="n">
        <v>4</v>
      </c>
      <c r="T1652" t="n">
        <v>4</v>
      </c>
      <c r="U1652" t="inlineStr">
        <is>
          <t>2004-05-10</t>
        </is>
      </c>
      <c r="V1652" t="inlineStr">
        <is>
          <t>2004-05-10</t>
        </is>
      </c>
      <c r="W1652" t="inlineStr">
        <is>
          <t>1991-10-31</t>
        </is>
      </c>
      <c r="X1652" t="inlineStr">
        <is>
          <t>1991-10-31</t>
        </is>
      </c>
      <c r="Y1652" t="n">
        <v>14</v>
      </c>
      <c r="Z1652" t="n">
        <v>7</v>
      </c>
      <c r="AA1652" t="n">
        <v>78</v>
      </c>
      <c r="AB1652" t="n">
        <v>1</v>
      </c>
      <c r="AC1652" t="n">
        <v>1</v>
      </c>
      <c r="AD1652" t="n">
        <v>1</v>
      </c>
      <c r="AE1652" t="n">
        <v>9</v>
      </c>
      <c r="AF1652" t="n">
        <v>0</v>
      </c>
      <c r="AG1652" t="n">
        <v>1</v>
      </c>
      <c r="AH1652" t="n">
        <v>1</v>
      </c>
      <c r="AI1652" t="n">
        <v>2</v>
      </c>
      <c r="AJ1652" t="n">
        <v>0</v>
      </c>
      <c r="AK1652" t="n">
        <v>6</v>
      </c>
      <c r="AL1652" t="n">
        <v>0</v>
      </c>
      <c r="AM1652" t="n">
        <v>0</v>
      </c>
      <c r="AN1652" t="n">
        <v>0</v>
      </c>
      <c r="AO1652" t="n">
        <v>0</v>
      </c>
      <c r="AP1652" t="inlineStr">
        <is>
          <t>No</t>
        </is>
      </c>
      <c r="AQ1652" t="inlineStr">
        <is>
          <t>No</t>
        </is>
      </c>
      <c r="AS1652">
        <f>HYPERLINK("https://creighton-primo.hosted.exlibrisgroup.com/primo-explore/search?tab=default_tab&amp;search_scope=EVERYTHING&amp;vid=01CRU&amp;lang=en_US&amp;offset=0&amp;query=any,contains,991004852739702656","Catalog Record")</f>
        <v/>
      </c>
      <c r="AT1652">
        <f>HYPERLINK("http://www.worldcat.org/oclc/5630886","WorldCat Record")</f>
        <v/>
      </c>
      <c r="AU1652" t="inlineStr">
        <is>
          <t>10678256042:eng</t>
        </is>
      </c>
      <c r="AV1652" t="inlineStr">
        <is>
          <t>5630886</t>
        </is>
      </c>
      <c r="AW1652" t="inlineStr">
        <is>
          <t>991004852739702656</t>
        </is>
      </c>
      <c r="AX1652" t="inlineStr">
        <is>
          <t>991004852739702656</t>
        </is>
      </c>
      <c r="AY1652" t="inlineStr">
        <is>
          <t>2267011390002656</t>
        </is>
      </c>
      <c r="AZ1652" t="inlineStr">
        <is>
          <t>BOOK</t>
        </is>
      </c>
      <c r="BC1652" t="inlineStr">
        <is>
          <t>32285000831304</t>
        </is>
      </c>
      <c r="BD1652" t="inlineStr">
        <is>
          <t>893600312</t>
        </is>
      </c>
    </row>
    <row r="1653">
      <c r="A1653" t="inlineStr">
        <is>
          <t>No</t>
        </is>
      </c>
      <c r="B1653" t="inlineStr">
        <is>
          <t>BX2385.T55 T4413</t>
        </is>
      </c>
      <c r="C1653" t="inlineStr">
        <is>
          <t>0                      BX 2385000T  55                 T  4413</t>
        </is>
      </c>
      <c r="D1653" t="inlineStr">
        <is>
          <t>There are charisms and charisms : the religious life / J. M.R. Tillard ; translated from the French by Olga Prendergast.</t>
        </is>
      </c>
      <c r="F1653" t="inlineStr">
        <is>
          <t>No</t>
        </is>
      </c>
      <c r="G1653" t="inlineStr">
        <is>
          <t>1</t>
        </is>
      </c>
      <c r="H1653" t="inlineStr">
        <is>
          <t>No</t>
        </is>
      </c>
      <c r="I1653" t="inlineStr">
        <is>
          <t>No</t>
        </is>
      </c>
      <c r="J1653" t="inlineStr">
        <is>
          <t>0</t>
        </is>
      </c>
      <c r="K1653" t="inlineStr">
        <is>
          <t>Tillard, J.-M.-R. (Jean-Marie-Roger), 1927-2000.</t>
        </is>
      </c>
      <c r="L1653" t="inlineStr">
        <is>
          <t>Bruxelles : Lumen Vitae, 1977.</t>
        </is>
      </c>
      <c r="M1653" t="inlineStr">
        <is>
          <t>1977</t>
        </is>
      </c>
      <c r="O1653" t="inlineStr">
        <is>
          <t>eng</t>
        </is>
      </c>
      <c r="P1653" t="inlineStr">
        <is>
          <t xml:space="preserve">be </t>
        </is>
      </c>
      <c r="R1653" t="inlineStr">
        <is>
          <t xml:space="preserve">BX </t>
        </is>
      </c>
      <c r="S1653" t="n">
        <v>5</v>
      </c>
      <c r="T1653" t="n">
        <v>5</v>
      </c>
      <c r="U1653" t="inlineStr">
        <is>
          <t>2004-05-10</t>
        </is>
      </c>
      <c r="V1653" t="inlineStr">
        <is>
          <t>2004-05-10</t>
        </is>
      </c>
      <c r="W1653" t="inlineStr">
        <is>
          <t>1990-03-02</t>
        </is>
      </c>
      <c r="X1653" t="inlineStr">
        <is>
          <t>1990-03-02</t>
        </is>
      </c>
      <c r="Y1653" t="n">
        <v>75</v>
      </c>
      <c r="Z1653" t="n">
        <v>54</v>
      </c>
      <c r="AA1653" t="n">
        <v>54</v>
      </c>
      <c r="AB1653" t="n">
        <v>1</v>
      </c>
      <c r="AC1653" t="n">
        <v>1</v>
      </c>
      <c r="AD1653" t="n">
        <v>8</v>
      </c>
      <c r="AE1653" t="n">
        <v>8</v>
      </c>
      <c r="AF1653" t="n">
        <v>1</v>
      </c>
      <c r="AG1653" t="n">
        <v>1</v>
      </c>
      <c r="AH1653" t="n">
        <v>2</v>
      </c>
      <c r="AI1653" t="n">
        <v>2</v>
      </c>
      <c r="AJ1653" t="n">
        <v>7</v>
      </c>
      <c r="AK1653" t="n">
        <v>7</v>
      </c>
      <c r="AL1653" t="n">
        <v>0</v>
      </c>
      <c r="AM1653" t="n">
        <v>0</v>
      </c>
      <c r="AN1653" t="n">
        <v>0</v>
      </c>
      <c r="AO1653" t="n">
        <v>0</v>
      </c>
      <c r="AP1653" t="inlineStr">
        <is>
          <t>No</t>
        </is>
      </c>
      <c r="AQ1653" t="inlineStr">
        <is>
          <t>No</t>
        </is>
      </c>
      <c r="AS1653">
        <f>HYPERLINK("https://creighton-primo.hosted.exlibrisgroup.com/primo-explore/search?tab=default_tab&amp;search_scope=EVERYTHING&amp;vid=01CRU&amp;lang=en_US&amp;offset=0&amp;query=any,contains,991004471439702656","Catalog Record")</f>
        <v/>
      </c>
      <c r="AT1653">
        <f>HYPERLINK("http://www.worldcat.org/oclc/3599882","WorldCat Record")</f>
        <v/>
      </c>
      <c r="AU1653" t="inlineStr">
        <is>
          <t>11645161:eng</t>
        </is>
      </c>
      <c r="AV1653" t="inlineStr">
        <is>
          <t>3599882</t>
        </is>
      </c>
      <c r="AW1653" t="inlineStr">
        <is>
          <t>991004471439702656</t>
        </is>
      </c>
      <c r="AX1653" t="inlineStr">
        <is>
          <t>991004471439702656</t>
        </is>
      </c>
      <c r="AY1653" t="inlineStr">
        <is>
          <t>2267993980002656</t>
        </is>
      </c>
      <c r="AZ1653" t="inlineStr">
        <is>
          <t>BOOK</t>
        </is>
      </c>
      <c r="BC1653" t="inlineStr">
        <is>
          <t>32285000074483</t>
        </is>
      </c>
      <c r="BD1653" t="inlineStr">
        <is>
          <t>893436325</t>
        </is>
      </c>
    </row>
    <row r="1654">
      <c r="A1654" t="inlineStr">
        <is>
          <t>No</t>
        </is>
      </c>
      <c r="B1654" t="inlineStr">
        <is>
          <t>BX2390.Y7 A4 1956</t>
        </is>
      </c>
      <c r="C1654" t="inlineStr">
        <is>
          <t>0                      BX 2390000Y  7                  A  4           1956</t>
        </is>
      </c>
      <c r="D1654" t="inlineStr">
        <is>
          <t>The popes on youth : principles for forming and guiding youth from Popes Leo XIII to Pius XII / compiled and edited by Raymond B. Fullam.</t>
        </is>
      </c>
      <c r="F1654" t="inlineStr">
        <is>
          <t>No</t>
        </is>
      </c>
      <c r="G1654" t="inlineStr">
        <is>
          <t>1</t>
        </is>
      </c>
      <c r="H1654" t="inlineStr">
        <is>
          <t>No</t>
        </is>
      </c>
      <c r="I1654" t="inlineStr">
        <is>
          <t>No</t>
        </is>
      </c>
      <c r="J1654" t="inlineStr">
        <is>
          <t>0</t>
        </is>
      </c>
      <c r="K1654" t="inlineStr">
        <is>
          <t>Catholic Church. Pope.</t>
        </is>
      </c>
      <c r="L1654" t="inlineStr">
        <is>
          <t>Buffalo, NY : Canisius High School, 1956.</t>
        </is>
      </c>
      <c r="M1654" t="inlineStr">
        <is>
          <t>1956</t>
        </is>
      </c>
      <c r="O1654" t="inlineStr">
        <is>
          <t>eng</t>
        </is>
      </c>
      <c r="P1654" t="inlineStr">
        <is>
          <t xml:space="preserve">xx </t>
        </is>
      </c>
      <c r="R1654" t="inlineStr">
        <is>
          <t xml:space="preserve">BX </t>
        </is>
      </c>
      <c r="S1654" t="n">
        <v>1</v>
      </c>
      <c r="T1654" t="n">
        <v>1</v>
      </c>
      <c r="U1654" t="inlineStr">
        <is>
          <t>1994-07-22</t>
        </is>
      </c>
      <c r="V1654" t="inlineStr">
        <is>
          <t>1994-07-22</t>
        </is>
      </c>
      <c r="W1654" t="inlineStr">
        <is>
          <t>1991-10-31</t>
        </is>
      </c>
      <c r="X1654" t="inlineStr">
        <is>
          <t>1991-10-31</t>
        </is>
      </c>
      <c r="Y1654" t="n">
        <v>223</v>
      </c>
      <c r="Z1654" t="n">
        <v>198</v>
      </c>
      <c r="AA1654" t="n">
        <v>235</v>
      </c>
      <c r="AB1654" t="n">
        <v>3</v>
      </c>
      <c r="AC1654" t="n">
        <v>3</v>
      </c>
      <c r="AD1654" t="n">
        <v>32</v>
      </c>
      <c r="AE1654" t="n">
        <v>32</v>
      </c>
      <c r="AF1654" t="n">
        <v>10</v>
      </c>
      <c r="AG1654" t="n">
        <v>10</v>
      </c>
      <c r="AH1654" t="n">
        <v>9</v>
      </c>
      <c r="AI1654" t="n">
        <v>9</v>
      </c>
      <c r="AJ1654" t="n">
        <v>24</v>
      </c>
      <c r="AK1654" t="n">
        <v>24</v>
      </c>
      <c r="AL1654" t="n">
        <v>1</v>
      </c>
      <c r="AM1654" t="n">
        <v>1</v>
      </c>
      <c r="AN1654" t="n">
        <v>0</v>
      </c>
      <c r="AO1654" t="n">
        <v>0</v>
      </c>
      <c r="AP1654" t="inlineStr">
        <is>
          <t>No</t>
        </is>
      </c>
      <c r="AQ1654" t="inlineStr">
        <is>
          <t>No</t>
        </is>
      </c>
      <c r="AS1654">
        <f>HYPERLINK("https://creighton-primo.hosted.exlibrisgroup.com/primo-explore/search?tab=default_tab&amp;search_scope=EVERYTHING&amp;vid=01CRU&amp;lang=en_US&amp;offset=0&amp;query=any,contains,991003173599702656","Catalog Record")</f>
        <v/>
      </c>
      <c r="AT1654">
        <f>HYPERLINK("http://www.worldcat.org/oclc/708960","WorldCat Record")</f>
        <v/>
      </c>
      <c r="AU1654" t="inlineStr">
        <is>
          <t>902285896:eng</t>
        </is>
      </c>
      <c r="AV1654" t="inlineStr">
        <is>
          <t>708960</t>
        </is>
      </c>
      <c r="AW1654" t="inlineStr">
        <is>
          <t>991003173599702656</t>
        </is>
      </c>
      <c r="AX1654" t="inlineStr">
        <is>
          <t>991003173599702656</t>
        </is>
      </c>
      <c r="AY1654" t="inlineStr">
        <is>
          <t>2269399940002656</t>
        </is>
      </c>
      <c r="AZ1654" t="inlineStr">
        <is>
          <t>BOOK</t>
        </is>
      </c>
      <c r="BC1654" t="inlineStr">
        <is>
          <t>32285000831346</t>
        </is>
      </c>
      <c r="BD1654" t="inlineStr">
        <is>
          <t>893692450</t>
        </is>
      </c>
    </row>
    <row r="1655">
      <c r="A1655" t="inlineStr">
        <is>
          <t>No</t>
        </is>
      </c>
      <c r="B1655" t="inlineStr">
        <is>
          <t>BX2415 .W5</t>
        </is>
      </c>
      <c r="C1655" t="inlineStr">
        <is>
          <t>0                      BX 2415000W  5</t>
        </is>
      </c>
      <c r="D1655" t="inlineStr">
        <is>
          <t>Monastic studies / by Watkin Williams.</t>
        </is>
      </c>
      <c r="F1655" t="inlineStr">
        <is>
          <t>No</t>
        </is>
      </c>
      <c r="G1655" t="inlineStr">
        <is>
          <t>1</t>
        </is>
      </c>
      <c r="H1655" t="inlineStr">
        <is>
          <t>No</t>
        </is>
      </c>
      <c r="I1655" t="inlineStr">
        <is>
          <t>No</t>
        </is>
      </c>
      <c r="J1655" t="inlineStr">
        <is>
          <t>0</t>
        </is>
      </c>
      <c r="K1655" t="inlineStr">
        <is>
          <t>Williams, Watkin Wynn, 1859-1944.</t>
        </is>
      </c>
      <c r="L1655" t="inlineStr">
        <is>
          <t>[Manchester] : Manchester University Press, 1938.</t>
        </is>
      </c>
      <c r="M1655" t="inlineStr">
        <is>
          <t>1938</t>
        </is>
      </c>
      <c r="O1655" t="inlineStr">
        <is>
          <t>eng</t>
        </is>
      </c>
      <c r="P1655" t="inlineStr">
        <is>
          <t>enk</t>
        </is>
      </c>
      <c r="Q1655" t="inlineStr">
        <is>
          <t>Publications of the University of Manchester, no. CCLXII. Historical series no. LXXVI</t>
        </is>
      </c>
      <c r="R1655" t="inlineStr">
        <is>
          <t xml:space="preserve">BX </t>
        </is>
      </c>
      <c r="S1655" t="n">
        <v>2</v>
      </c>
      <c r="T1655" t="n">
        <v>2</v>
      </c>
      <c r="U1655" t="inlineStr">
        <is>
          <t>2001-02-05</t>
        </is>
      </c>
      <c r="V1655" t="inlineStr">
        <is>
          <t>2001-02-05</t>
        </is>
      </c>
      <c r="W1655" t="inlineStr">
        <is>
          <t>1991-10-31</t>
        </is>
      </c>
      <c r="X1655" t="inlineStr">
        <is>
          <t>1991-10-31</t>
        </is>
      </c>
      <c r="Y1655" t="n">
        <v>168</v>
      </c>
      <c r="Z1655" t="n">
        <v>114</v>
      </c>
      <c r="AA1655" t="n">
        <v>114</v>
      </c>
      <c r="AB1655" t="n">
        <v>2</v>
      </c>
      <c r="AC1655" t="n">
        <v>2</v>
      </c>
      <c r="AD1655" t="n">
        <v>15</v>
      </c>
      <c r="AE1655" t="n">
        <v>15</v>
      </c>
      <c r="AF1655" t="n">
        <v>4</v>
      </c>
      <c r="AG1655" t="n">
        <v>4</v>
      </c>
      <c r="AH1655" t="n">
        <v>4</v>
      </c>
      <c r="AI1655" t="n">
        <v>4</v>
      </c>
      <c r="AJ1655" t="n">
        <v>10</v>
      </c>
      <c r="AK1655" t="n">
        <v>10</v>
      </c>
      <c r="AL1655" t="n">
        <v>1</v>
      </c>
      <c r="AM1655" t="n">
        <v>1</v>
      </c>
      <c r="AN1655" t="n">
        <v>1</v>
      </c>
      <c r="AO1655" t="n">
        <v>1</v>
      </c>
      <c r="AP1655" t="inlineStr">
        <is>
          <t>No</t>
        </is>
      </c>
      <c r="AQ1655" t="inlineStr">
        <is>
          <t>No</t>
        </is>
      </c>
      <c r="AS1655">
        <f>HYPERLINK("https://creighton-primo.hosted.exlibrisgroup.com/primo-explore/search?tab=default_tab&amp;search_scope=EVERYTHING&amp;vid=01CRU&amp;lang=en_US&amp;offset=0&amp;query=any,contains,991004462899702656","Catalog Record")</f>
        <v/>
      </c>
      <c r="AT1655">
        <f>HYPERLINK("http://www.worldcat.org/oclc/3553176","WorldCat Record")</f>
        <v/>
      </c>
      <c r="AU1655" t="inlineStr">
        <is>
          <t>5195066478:eng</t>
        </is>
      </c>
      <c r="AV1655" t="inlineStr">
        <is>
          <t>3553176</t>
        </is>
      </c>
      <c r="AW1655" t="inlineStr">
        <is>
          <t>991004462899702656</t>
        </is>
      </c>
      <c r="AX1655" t="inlineStr">
        <is>
          <t>991004462899702656</t>
        </is>
      </c>
      <c r="AY1655" t="inlineStr">
        <is>
          <t>2268082530002656</t>
        </is>
      </c>
      <c r="AZ1655" t="inlineStr">
        <is>
          <t>BOOK</t>
        </is>
      </c>
      <c r="BC1655" t="inlineStr">
        <is>
          <t>32285000831395</t>
        </is>
      </c>
      <c r="BD1655" t="inlineStr">
        <is>
          <t>893800990</t>
        </is>
      </c>
    </row>
    <row r="1656">
      <c r="A1656" t="inlineStr">
        <is>
          <t>No</t>
        </is>
      </c>
      <c r="B1656" t="inlineStr">
        <is>
          <t>BX2427 .F53 1983</t>
        </is>
      </c>
      <c r="C1656" t="inlineStr">
        <is>
          <t>0                      BX 2427000F  53          1983</t>
        </is>
      </c>
      <c r="D1656" t="inlineStr">
        <is>
          <t>Light for my path : the new Code of canon law for religious : digest, source material, commentary / Austin Flannery, Laurence Collins.</t>
        </is>
      </c>
      <c r="F1656" t="inlineStr">
        <is>
          <t>No</t>
        </is>
      </c>
      <c r="G1656" t="inlineStr">
        <is>
          <t>1</t>
        </is>
      </c>
      <c r="H1656" t="inlineStr">
        <is>
          <t>No</t>
        </is>
      </c>
      <c r="I1656" t="inlineStr">
        <is>
          <t>No</t>
        </is>
      </c>
      <c r="J1656" t="inlineStr">
        <is>
          <t>0</t>
        </is>
      </c>
      <c r="K1656" t="inlineStr">
        <is>
          <t>Flannery, Austin.</t>
        </is>
      </c>
      <c r="L1656" t="inlineStr">
        <is>
          <t>Wilmington, Del. : M. Glazier, 1983.</t>
        </is>
      </c>
      <c r="M1656" t="inlineStr">
        <is>
          <t>1983</t>
        </is>
      </c>
      <c r="O1656" t="inlineStr">
        <is>
          <t>eng</t>
        </is>
      </c>
      <c r="P1656" t="inlineStr">
        <is>
          <t>deu</t>
        </is>
      </c>
      <c r="R1656" t="inlineStr">
        <is>
          <t xml:space="preserve">BX </t>
        </is>
      </c>
      <c r="S1656" t="n">
        <v>6</v>
      </c>
      <c r="T1656" t="n">
        <v>6</v>
      </c>
      <c r="U1656" t="inlineStr">
        <is>
          <t>1995-09-05</t>
        </is>
      </c>
      <c r="V1656" t="inlineStr">
        <is>
          <t>1995-09-05</t>
        </is>
      </c>
      <c r="W1656" t="inlineStr">
        <is>
          <t>1990-07-02</t>
        </is>
      </c>
      <c r="X1656" t="inlineStr">
        <is>
          <t>1990-07-02</t>
        </is>
      </c>
      <c r="Y1656" t="n">
        <v>91</v>
      </c>
      <c r="Z1656" t="n">
        <v>83</v>
      </c>
      <c r="AA1656" t="n">
        <v>89</v>
      </c>
      <c r="AB1656" t="n">
        <v>3</v>
      </c>
      <c r="AC1656" t="n">
        <v>3</v>
      </c>
      <c r="AD1656" t="n">
        <v>14</v>
      </c>
      <c r="AE1656" t="n">
        <v>14</v>
      </c>
      <c r="AF1656" t="n">
        <v>2</v>
      </c>
      <c r="AG1656" t="n">
        <v>2</v>
      </c>
      <c r="AH1656" t="n">
        <v>5</v>
      </c>
      <c r="AI1656" t="n">
        <v>5</v>
      </c>
      <c r="AJ1656" t="n">
        <v>7</v>
      </c>
      <c r="AK1656" t="n">
        <v>7</v>
      </c>
      <c r="AL1656" t="n">
        <v>0</v>
      </c>
      <c r="AM1656" t="n">
        <v>0</v>
      </c>
      <c r="AN1656" t="n">
        <v>1</v>
      </c>
      <c r="AO1656" t="n">
        <v>1</v>
      </c>
      <c r="AP1656" t="inlineStr">
        <is>
          <t>No</t>
        </is>
      </c>
      <c r="AQ1656" t="inlineStr">
        <is>
          <t>No</t>
        </is>
      </c>
      <c r="AS1656">
        <f>HYPERLINK("https://creighton-primo.hosted.exlibrisgroup.com/primo-explore/search?tab=default_tab&amp;search_scope=EVERYTHING&amp;vid=01CRU&amp;lang=en_US&amp;offset=0&amp;query=any,contains,991000237199702656","Catalog Record")</f>
        <v/>
      </c>
      <c r="AT1656">
        <f>HYPERLINK("http://www.worldcat.org/oclc/9667930","WorldCat Record")</f>
        <v/>
      </c>
      <c r="AU1656" t="inlineStr">
        <is>
          <t>291520509:eng</t>
        </is>
      </c>
      <c r="AV1656" t="inlineStr">
        <is>
          <t>9667930</t>
        </is>
      </c>
      <c r="AW1656" t="inlineStr">
        <is>
          <t>991000237199702656</t>
        </is>
      </c>
      <c r="AX1656" t="inlineStr">
        <is>
          <t>991000237199702656</t>
        </is>
      </c>
      <c r="AY1656" t="inlineStr">
        <is>
          <t>2270393510002656</t>
        </is>
      </c>
      <c r="AZ1656" t="inlineStr">
        <is>
          <t>BOOK</t>
        </is>
      </c>
      <c r="BB1656" t="inlineStr">
        <is>
          <t>9780894533341</t>
        </is>
      </c>
      <c r="BC1656" t="inlineStr">
        <is>
          <t>32285000218544</t>
        </is>
      </c>
      <c r="BD1656" t="inlineStr">
        <is>
          <t>893701967</t>
        </is>
      </c>
    </row>
    <row r="1657">
      <c r="A1657" t="inlineStr">
        <is>
          <t>No</t>
        </is>
      </c>
      <c r="B1657" t="inlineStr">
        <is>
          <t>BX2430 .B6 1922</t>
        </is>
      </c>
      <c r="C1657" t="inlineStr">
        <is>
          <t>0                      BX 2430000B  6           1922</t>
        </is>
      </c>
      <c r="D1657" t="inlineStr">
        <is>
          <t>A Franciscan view of the spiritual and religious life : being three treatises from the writings of Saint Bonaventure / Done into English by Dominic Devas, O.F.M.</t>
        </is>
      </c>
      <c r="F1657" t="inlineStr">
        <is>
          <t>No</t>
        </is>
      </c>
      <c r="G1657" t="inlineStr">
        <is>
          <t>1</t>
        </is>
      </c>
      <c r="H1657" t="inlineStr">
        <is>
          <t>No</t>
        </is>
      </c>
      <c r="I1657" t="inlineStr">
        <is>
          <t>No</t>
        </is>
      </c>
      <c r="J1657" t="inlineStr">
        <is>
          <t>0</t>
        </is>
      </c>
      <c r="K1657" t="inlineStr">
        <is>
          <t>Bonaventure, Saint, Cardinal, approximately 1217-1274.</t>
        </is>
      </c>
      <c r="L1657" t="inlineStr">
        <is>
          <t>London : Thomas Baker, 1922.</t>
        </is>
      </c>
      <c r="M1657" t="inlineStr">
        <is>
          <t>1922</t>
        </is>
      </c>
      <c r="O1657" t="inlineStr">
        <is>
          <t>eng</t>
        </is>
      </c>
      <c r="P1657" t="inlineStr">
        <is>
          <t xml:space="preserve">xx </t>
        </is>
      </c>
      <c r="R1657" t="inlineStr">
        <is>
          <t xml:space="preserve">BX </t>
        </is>
      </c>
      <c r="S1657" t="n">
        <v>7</v>
      </c>
      <c r="T1657" t="n">
        <v>7</v>
      </c>
      <c r="U1657" t="inlineStr">
        <is>
          <t>2003-07-13</t>
        </is>
      </c>
      <c r="V1657" t="inlineStr">
        <is>
          <t>2003-07-13</t>
        </is>
      </c>
      <c r="W1657" t="inlineStr">
        <is>
          <t>1991-10-31</t>
        </is>
      </c>
      <c r="X1657" t="inlineStr">
        <is>
          <t>1991-10-31</t>
        </is>
      </c>
      <c r="Y1657" t="n">
        <v>39</v>
      </c>
      <c r="Z1657" t="n">
        <v>29</v>
      </c>
      <c r="AA1657" t="n">
        <v>97</v>
      </c>
      <c r="AB1657" t="n">
        <v>1</v>
      </c>
      <c r="AC1657" t="n">
        <v>1</v>
      </c>
      <c r="AD1657" t="n">
        <v>7</v>
      </c>
      <c r="AE1657" t="n">
        <v>12</v>
      </c>
      <c r="AF1657" t="n">
        <v>1</v>
      </c>
      <c r="AG1657" t="n">
        <v>3</v>
      </c>
      <c r="AH1657" t="n">
        <v>2</v>
      </c>
      <c r="AI1657" t="n">
        <v>4</v>
      </c>
      <c r="AJ1657" t="n">
        <v>6</v>
      </c>
      <c r="AK1657" t="n">
        <v>9</v>
      </c>
      <c r="AL1657" t="n">
        <v>0</v>
      </c>
      <c r="AM1657" t="n">
        <v>0</v>
      </c>
      <c r="AN1657" t="n">
        <v>0</v>
      </c>
      <c r="AO1657" t="n">
        <v>0</v>
      </c>
      <c r="AP1657" t="inlineStr">
        <is>
          <t>Yes</t>
        </is>
      </c>
      <c r="AQ1657" t="inlineStr">
        <is>
          <t>No</t>
        </is>
      </c>
      <c r="AR1657">
        <f>HYPERLINK("http://catalog.hathitrust.org/Record/011987463","HathiTrust Record")</f>
        <v/>
      </c>
      <c r="AS1657">
        <f>HYPERLINK("https://creighton-primo.hosted.exlibrisgroup.com/primo-explore/search?tab=default_tab&amp;search_scope=EVERYTHING&amp;vid=01CRU&amp;lang=en_US&amp;offset=0&amp;query=any,contains,991004524479702656","Catalog Record")</f>
        <v/>
      </c>
      <c r="AT1657">
        <f>HYPERLINK("http://www.worldcat.org/oclc/3838283","WorldCat Record")</f>
        <v/>
      </c>
      <c r="AU1657" t="inlineStr">
        <is>
          <t>13163236:eng</t>
        </is>
      </c>
      <c r="AV1657" t="inlineStr">
        <is>
          <t>3838283</t>
        </is>
      </c>
      <c r="AW1657" t="inlineStr">
        <is>
          <t>991004524479702656</t>
        </is>
      </c>
      <c r="AX1657" t="inlineStr">
        <is>
          <t>991004524479702656</t>
        </is>
      </c>
      <c r="AY1657" t="inlineStr">
        <is>
          <t>2259276890002656</t>
        </is>
      </c>
      <c r="AZ1657" t="inlineStr">
        <is>
          <t>BOOK</t>
        </is>
      </c>
      <c r="BC1657" t="inlineStr">
        <is>
          <t>32285000831411</t>
        </is>
      </c>
      <c r="BD1657" t="inlineStr">
        <is>
          <t>893247676</t>
        </is>
      </c>
    </row>
    <row r="1658">
      <c r="A1658" t="inlineStr">
        <is>
          <t>No</t>
        </is>
      </c>
      <c r="B1658" t="inlineStr">
        <is>
          <t>BX2431 .M4 1957</t>
        </is>
      </c>
      <c r="C1658" t="inlineStr">
        <is>
          <t>0                      BX 2431000M  4           1957</t>
        </is>
      </c>
      <c r="D1658" t="inlineStr">
        <is>
          <t>The silent life / Thomas Merton.</t>
        </is>
      </c>
      <c r="F1658" t="inlineStr">
        <is>
          <t>No</t>
        </is>
      </c>
      <c r="G1658" t="inlineStr">
        <is>
          <t>1</t>
        </is>
      </c>
      <c r="H1658" t="inlineStr">
        <is>
          <t>No</t>
        </is>
      </c>
      <c r="I1658" t="inlineStr">
        <is>
          <t>No</t>
        </is>
      </c>
      <c r="J1658" t="inlineStr">
        <is>
          <t>0</t>
        </is>
      </c>
      <c r="K1658" t="inlineStr">
        <is>
          <t>Merton, Thomas, 1915-1968.</t>
        </is>
      </c>
      <c r="L1658" t="inlineStr">
        <is>
          <t>New York : Farrar, Straus &amp; Cudahy, [1957]</t>
        </is>
      </c>
      <c r="M1658" t="inlineStr">
        <is>
          <t>1957</t>
        </is>
      </c>
      <c r="O1658" t="inlineStr">
        <is>
          <t>eng</t>
        </is>
      </c>
      <c r="P1658" t="inlineStr">
        <is>
          <t>nyu</t>
        </is>
      </c>
      <c r="R1658" t="inlineStr">
        <is>
          <t xml:space="preserve">BX </t>
        </is>
      </c>
      <c r="S1658" t="n">
        <v>6</v>
      </c>
      <c r="T1658" t="n">
        <v>6</v>
      </c>
      <c r="U1658" t="inlineStr">
        <is>
          <t>1996-04-26</t>
        </is>
      </c>
      <c r="V1658" t="inlineStr">
        <is>
          <t>1996-04-26</t>
        </is>
      </c>
      <c r="W1658" t="inlineStr">
        <is>
          <t>1991-10-31</t>
        </is>
      </c>
      <c r="X1658" t="inlineStr">
        <is>
          <t>1991-10-31</t>
        </is>
      </c>
      <c r="Y1658" t="n">
        <v>620</v>
      </c>
      <c r="Z1658" t="n">
        <v>584</v>
      </c>
      <c r="AA1658" t="n">
        <v>859</v>
      </c>
      <c r="AB1658" t="n">
        <v>5</v>
      </c>
      <c r="AC1658" t="n">
        <v>7</v>
      </c>
      <c r="AD1658" t="n">
        <v>32</v>
      </c>
      <c r="AE1658" t="n">
        <v>40</v>
      </c>
      <c r="AF1658" t="n">
        <v>11</v>
      </c>
      <c r="AG1658" t="n">
        <v>15</v>
      </c>
      <c r="AH1658" t="n">
        <v>7</v>
      </c>
      <c r="AI1658" t="n">
        <v>10</v>
      </c>
      <c r="AJ1658" t="n">
        <v>21</v>
      </c>
      <c r="AK1658" t="n">
        <v>25</v>
      </c>
      <c r="AL1658" t="n">
        <v>2</v>
      </c>
      <c r="AM1658" t="n">
        <v>3</v>
      </c>
      <c r="AN1658" t="n">
        <v>0</v>
      </c>
      <c r="AO1658" t="n">
        <v>0</v>
      </c>
      <c r="AP1658" t="inlineStr">
        <is>
          <t>No</t>
        </is>
      </c>
      <c r="AQ1658" t="inlineStr">
        <is>
          <t>Yes</t>
        </is>
      </c>
      <c r="AR1658">
        <f>HYPERLINK("http://catalog.hathitrust.org/Record/007939679","HathiTrust Record")</f>
        <v/>
      </c>
      <c r="AS1658">
        <f>HYPERLINK("https://creighton-primo.hosted.exlibrisgroup.com/primo-explore/search?tab=default_tab&amp;search_scope=EVERYTHING&amp;vid=01CRU&amp;lang=en_US&amp;offset=0&amp;query=any,contains,991003249369702656","Catalog Record")</f>
        <v/>
      </c>
      <c r="AT1658">
        <f>HYPERLINK("http://www.worldcat.org/oclc/774280","WorldCat Record")</f>
        <v/>
      </c>
      <c r="AU1658" t="inlineStr">
        <is>
          <t>572496:eng</t>
        </is>
      </c>
      <c r="AV1658" t="inlineStr">
        <is>
          <t>774280</t>
        </is>
      </c>
      <c r="AW1658" t="inlineStr">
        <is>
          <t>991003249369702656</t>
        </is>
      </c>
      <c r="AX1658" t="inlineStr">
        <is>
          <t>991003249369702656</t>
        </is>
      </c>
      <c r="AY1658" t="inlineStr">
        <is>
          <t>2262796250002656</t>
        </is>
      </c>
      <c r="AZ1658" t="inlineStr">
        <is>
          <t>BOOK</t>
        </is>
      </c>
      <c r="BC1658" t="inlineStr">
        <is>
          <t>32285000831437</t>
        </is>
      </c>
      <c r="BD1658" t="inlineStr">
        <is>
          <t>893336291</t>
        </is>
      </c>
    </row>
    <row r="1659">
      <c r="A1659" t="inlineStr">
        <is>
          <t>No</t>
        </is>
      </c>
      <c r="B1659" t="inlineStr">
        <is>
          <t>BX2432 .V313</t>
        </is>
      </c>
      <c r="C1659" t="inlineStr">
        <is>
          <t>0                      BX 2432000V  313</t>
        </is>
      </c>
      <c r="D1659" t="inlineStr">
        <is>
          <t>Why monks? / François Vandenbroucke. Translated by Leon Brockman.</t>
        </is>
      </c>
      <c r="F1659" t="inlineStr">
        <is>
          <t>No</t>
        </is>
      </c>
      <c r="G1659" t="inlineStr">
        <is>
          <t>1</t>
        </is>
      </c>
      <c r="H1659" t="inlineStr">
        <is>
          <t>No</t>
        </is>
      </c>
      <c r="I1659" t="inlineStr">
        <is>
          <t>No</t>
        </is>
      </c>
      <c r="J1659" t="inlineStr">
        <is>
          <t>0</t>
        </is>
      </c>
      <c r="K1659" t="inlineStr">
        <is>
          <t>Vandenbroucke, François, 1912-1971.</t>
        </is>
      </c>
      <c r="L1659" t="inlineStr">
        <is>
          <t>Washington : Cistercian Publications, 1972.</t>
        </is>
      </c>
      <c r="M1659" t="inlineStr">
        <is>
          <t>1972</t>
        </is>
      </c>
      <c r="O1659" t="inlineStr">
        <is>
          <t>eng</t>
        </is>
      </c>
      <c r="P1659" t="inlineStr">
        <is>
          <t>dcu</t>
        </is>
      </c>
      <c r="Q1659" t="inlineStr">
        <is>
          <t>Cistercian studies series ; no. 17</t>
        </is>
      </c>
      <c r="R1659" t="inlineStr">
        <is>
          <t xml:space="preserve">BX </t>
        </is>
      </c>
      <c r="S1659" t="n">
        <v>4</v>
      </c>
      <c r="T1659" t="n">
        <v>4</v>
      </c>
      <c r="U1659" t="inlineStr">
        <is>
          <t>1997-06-12</t>
        </is>
      </c>
      <c r="V1659" t="inlineStr">
        <is>
          <t>1997-06-12</t>
        </is>
      </c>
      <c r="W1659" t="inlineStr">
        <is>
          <t>1991-10-31</t>
        </is>
      </c>
      <c r="X1659" t="inlineStr">
        <is>
          <t>1991-10-31</t>
        </is>
      </c>
      <c r="Y1659" t="n">
        <v>249</v>
      </c>
      <c r="Z1659" t="n">
        <v>219</v>
      </c>
      <c r="AA1659" t="n">
        <v>224</v>
      </c>
      <c r="AB1659" t="n">
        <v>3</v>
      </c>
      <c r="AC1659" t="n">
        <v>3</v>
      </c>
      <c r="AD1659" t="n">
        <v>26</v>
      </c>
      <c r="AE1659" t="n">
        <v>26</v>
      </c>
      <c r="AF1659" t="n">
        <v>6</v>
      </c>
      <c r="AG1659" t="n">
        <v>6</v>
      </c>
      <c r="AH1659" t="n">
        <v>8</v>
      </c>
      <c r="AI1659" t="n">
        <v>8</v>
      </c>
      <c r="AJ1659" t="n">
        <v>19</v>
      </c>
      <c r="AK1659" t="n">
        <v>19</v>
      </c>
      <c r="AL1659" t="n">
        <v>1</v>
      </c>
      <c r="AM1659" t="n">
        <v>1</v>
      </c>
      <c r="AN1659" t="n">
        <v>0</v>
      </c>
      <c r="AO1659" t="n">
        <v>0</v>
      </c>
      <c r="AP1659" t="inlineStr">
        <is>
          <t>No</t>
        </is>
      </c>
      <c r="AQ1659" t="inlineStr">
        <is>
          <t>No</t>
        </is>
      </c>
      <c r="AS1659">
        <f>HYPERLINK("https://creighton-primo.hosted.exlibrisgroup.com/primo-explore/search?tab=default_tab&amp;search_scope=EVERYTHING&amp;vid=01CRU&amp;lang=en_US&amp;offset=0&amp;query=any,contains,991003045479702656","Catalog Record")</f>
        <v/>
      </c>
      <c r="AT1659">
        <f>HYPERLINK("http://www.worldcat.org/oclc/606202","WorldCat Record")</f>
        <v/>
      </c>
      <c r="AU1659" t="inlineStr">
        <is>
          <t>3943657637:eng</t>
        </is>
      </c>
      <c r="AV1659" t="inlineStr">
        <is>
          <t>606202</t>
        </is>
      </c>
      <c r="AW1659" t="inlineStr">
        <is>
          <t>991003045479702656</t>
        </is>
      </c>
      <c r="AX1659" t="inlineStr">
        <is>
          <t>991003045479702656</t>
        </is>
      </c>
      <c r="AY1659" t="inlineStr">
        <is>
          <t>2263965340002656</t>
        </is>
      </c>
      <c r="AZ1659" t="inlineStr">
        <is>
          <t>BOOK</t>
        </is>
      </c>
      <c r="BB1659" t="inlineStr">
        <is>
          <t>9780879078171</t>
        </is>
      </c>
      <c r="BC1659" t="inlineStr">
        <is>
          <t>32285000831510</t>
        </is>
      </c>
      <c r="BD1659" t="inlineStr">
        <is>
          <t>893317602</t>
        </is>
      </c>
    </row>
    <row r="1660">
      <c r="A1660" t="inlineStr">
        <is>
          <t>No</t>
        </is>
      </c>
      <c r="B1660" t="inlineStr">
        <is>
          <t>BX2432 .Z37 1972</t>
        </is>
      </c>
      <c r="C1660" t="inlineStr">
        <is>
          <t>0                      BX 2432000Z  37          1972</t>
        </is>
      </c>
      <c r="D1660" t="inlineStr">
        <is>
          <t>The monastic achievement / George Zarnecki.</t>
        </is>
      </c>
      <c r="F1660" t="inlineStr">
        <is>
          <t>No</t>
        </is>
      </c>
      <c r="G1660" t="inlineStr">
        <is>
          <t>1</t>
        </is>
      </c>
      <c r="H1660" t="inlineStr">
        <is>
          <t>No</t>
        </is>
      </c>
      <c r="I1660" t="inlineStr">
        <is>
          <t>No</t>
        </is>
      </c>
      <c r="J1660" t="inlineStr">
        <is>
          <t>0</t>
        </is>
      </c>
      <c r="K1660" t="inlineStr">
        <is>
          <t>Zarnecki, George.</t>
        </is>
      </c>
      <c r="L1660" t="inlineStr">
        <is>
          <t>New York : McGraw-Hill, [1972]</t>
        </is>
      </c>
      <c r="M1660" t="inlineStr">
        <is>
          <t>1972</t>
        </is>
      </c>
      <c r="O1660" t="inlineStr">
        <is>
          <t>eng</t>
        </is>
      </c>
      <c r="P1660" t="inlineStr">
        <is>
          <t>nyu</t>
        </is>
      </c>
      <c r="Q1660" t="inlineStr">
        <is>
          <t>Library of medieval civilization</t>
        </is>
      </c>
      <c r="R1660" t="inlineStr">
        <is>
          <t xml:space="preserve">BX </t>
        </is>
      </c>
      <c r="S1660" t="n">
        <v>3</v>
      </c>
      <c r="T1660" t="n">
        <v>3</v>
      </c>
      <c r="U1660" t="inlineStr">
        <is>
          <t>2001-02-05</t>
        </is>
      </c>
      <c r="V1660" t="inlineStr">
        <is>
          <t>2001-02-05</t>
        </is>
      </c>
      <c r="W1660" t="inlineStr">
        <is>
          <t>1991-10-31</t>
        </is>
      </c>
      <c r="X1660" t="inlineStr">
        <is>
          <t>1991-10-31</t>
        </is>
      </c>
      <c r="Y1660" t="n">
        <v>633</v>
      </c>
      <c r="Z1660" t="n">
        <v>585</v>
      </c>
      <c r="AA1660" t="n">
        <v>626</v>
      </c>
      <c r="AB1660" t="n">
        <v>9</v>
      </c>
      <c r="AC1660" t="n">
        <v>10</v>
      </c>
      <c r="AD1660" t="n">
        <v>33</v>
      </c>
      <c r="AE1660" t="n">
        <v>35</v>
      </c>
      <c r="AF1660" t="n">
        <v>10</v>
      </c>
      <c r="AG1660" t="n">
        <v>10</v>
      </c>
      <c r="AH1660" t="n">
        <v>7</v>
      </c>
      <c r="AI1660" t="n">
        <v>7</v>
      </c>
      <c r="AJ1660" t="n">
        <v>17</v>
      </c>
      <c r="AK1660" t="n">
        <v>18</v>
      </c>
      <c r="AL1660" t="n">
        <v>6</v>
      </c>
      <c r="AM1660" t="n">
        <v>7</v>
      </c>
      <c r="AN1660" t="n">
        <v>1</v>
      </c>
      <c r="AO1660" t="n">
        <v>1</v>
      </c>
      <c r="AP1660" t="inlineStr">
        <is>
          <t>No</t>
        </is>
      </c>
      <c r="AQ1660" t="inlineStr">
        <is>
          <t>Yes</t>
        </is>
      </c>
      <c r="AR1660">
        <f>HYPERLINK("http://catalog.hathitrust.org/Record/001590956","HathiTrust Record")</f>
        <v/>
      </c>
      <c r="AS1660">
        <f>HYPERLINK("https://creighton-primo.hosted.exlibrisgroup.com/primo-explore/search?tab=default_tab&amp;search_scope=EVERYTHING&amp;vid=01CRU&amp;lang=en_US&amp;offset=0&amp;query=any,contains,991003006179702656","Catalog Record")</f>
        <v/>
      </c>
      <c r="AT1660">
        <f>HYPERLINK("http://www.worldcat.org/oclc/573106","WorldCat Record")</f>
        <v/>
      </c>
      <c r="AU1660" t="inlineStr">
        <is>
          <t>1678804:eng</t>
        </is>
      </c>
      <c r="AV1660" t="inlineStr">
        <is>
          <t>573106</t>
        </is>
      </c>
      <c r="AW1660" t="inlineStr">
        <is>
          <t>991003006179702656</t>
        </is>
      </c>
      <c r="AX1660" t="inlineStr">
        <is>
          <t>991003006179702656</t>
        </is>
      </c>
      <c r="AY1660" t="inlineStr">
        <is>
          <t>2270923730002656</t>
        </is>
      </c>
      <c r="AZ1660" t="inlineStr">
        <is>
          <t>BOOK</t>
        </is>
      </c>
      <c r="BB1660" t="inlineStr">
        <is>
          <t>9780070727366</t>
        </is>
      </c>
      <c r="BC1660" t="inlineStr">
        <is>
          <t>32285000831528</t>
        </is>
      </c>
      <c r="BD1660" t="inlineStr">
        <is>
          <t>893710948</t>
        </is>
      </c>
    </row>
    <row r="1661">
      <c r="A1661" t="inlineStr">
        <is>
          <t>No</t>
        </is>
      </c>
      <c r="B1661" t="inlineStr">
        <is>
          <t>BX2434.2 .S2413 1972</t>
        </is>
      </c>
      <c r="C1661" t="inlineStr">
        <is>
          <t>0                      BX 2434200S  2413        1972</t>
        </is>
      </c>
      <c r="D1661" t="inlineStr">
        <is>
          <t>The abbot in monastic tradition; a contribution to the history of the perpetual character of the office of religious superiors in the West / Pierre Salmon. Translated by Claire Lavoie.</t>
        </is>
      </c>
      <c r="F1661" t="inlineStr">
        <is>
          <t>No</t>
        </is>
      </c>
      <c r="G1661" t="inlineStr">
        <is>
          <t>1</t>
        </is>
      </c>
      <c r="H1661" t="inlineStr">
        <is>
          <t>No</t>
        </is>
      </c>
      <c r="I1661" t="inlineStr">
        <is>
          <t>No</t>
        </is>
      </c>
      <c r="J1661" t="inlineStr">
        <is>
          <t>0</t>
        </is>
      </c>
      <c r="K1661" t="inlineStr">
        <is>
          <t>Salmon, Pierre, 1896-1982.</t>
        </is>
      </c>
      <c r="L1661" t="inlineStr">
        <is>
          <t>Washington : Cistercian Publications, Consortium Press, 1972.</t>
        </is>
      </c>
      <c r="M1661" t="inlineStr">
        <is>
          <t>1972</t>
        </is>
      </c>
      <c r="O1661" t="inlineStr">
        <is>
          <t>eng</t>
        </is>
      </c>
      <c r="P1661" t="inlineStr">
        <is>
          <t>dcu</t>
        </is>
      </c>
      <c r="Q1661" t="inlineStr">
        <is>
          <t>Cistercian studies series ; no. 14</t>
        </is>
      </c>
      <c r="R1661" t="inlineStr">
        <is>
          <t xml:space="preserve">BX </t>
        </is>
      </c>
      <c r="S1661" t="n">
        <v>4</v>
      </c>
      <c r="T1661" t="n">
        <v>4</v>
      </c>
      <c r="U1661" t="inlineStr">
        <is>
          <t>1996-09-22</t>
        </is>
      </c>
      <c r="V1661" t="inlineStr">
        <is>
          <t>1996-09-22</t>
        </is>
      </c>
      <c r="W1661" t="inlineStr">
        <is>
          <t>1991-10-31</t>
        </is>
      </c>
      <c r="X1661" t="inlineStr">
        <is>
          <t>1991-10-31</t>
        </is>
      </c>
      <c r="Y1661" t="n">
        <v>294</v>
      </c>
      <c r="Z1661" t="n">
        <v>248</v>
      </c>
      <c r="AA1661" t="n">
        <v>249</v>
      </c>
      <c r="AB1661" t="n">
        <v>4</v>
      </c>
      <c r="AC1661" t="n">
        <v>4</v>
      </c>
      <c r="AD1661" t="n">
        <v>24</v>
      </c>
      <c r="AE1661" t="n">
        <v>24</v>
      </c>
      <c r="AF1661" t="n">
        <v>5</v>
      </c>
      <c r="AG1661" t="n">
        <v>5</v>
      </c>
      <c r="AH1661" t="n">
        <v>8</v>
      </c>
      <c r="AI1661" t="n">
        <v>8</v>
      </c>
      <c r="AJ1661" t="n">
        <v>17</v>
      </c>
      <c r="AK1661" t="n">
        <v>17</v>
      </c>
      <c r="AL1661" t="n">
        <v>2</v>
      </c>
      <c r="AM1661" t="n">
        <v>2</v>
      </c>
      <c r="AN1661" t="n">
        <v>0</v>
      </c>
      <c r="AO1661" t="n">
        <v>0</v>
      </c>
      <c r="AP1661" t="inlineStr">
        <is>
          <t>No</t>
        </is>
      </c>
      <c r="AQ1661" t="inlineStr">
        <is>
          <t>No</t>
        </is>
      </c>
      <c r="AS1661">
        <f>HYPERLINK("https://creighton-primo.hosted.exlibrisgroup.com/primo-explore/search?tab=default_tab&amp;search_scope=EVERYTHING&amp;vid=01CRU&amp;lang=en_US&amp;offset=0&amp;query=any,contains,991004239029702656","Catalog Record")</f>
        <v/>
      </c>
      <c r="AT1661">
        <f>HYPERLINK("http://www.worldcat.org/oclc/644583","WorldCat Record")</f>
        <v/>
      </c>
      <c r="AU1661" t="inlineStr">
        <is>
          <t>496893398:eng</t>
        </is>
      </c>
      <c r="AV1661" t="inlineStr">
        <is>
          <t>644583</t>
        </is>
      </c>
      <c r="AW1661" t="inlineStr">
        <is>
          <t>991004239029702656</t>
        </is>
      </c>
      <c r="AX1661" t="inlineStr">
        <is>
          <t>991004239029702656</t>
        </is>
      </c>
      <c r="AY1661" t="inlineStr">
        <is>
          <t>2255790090002656</t>
        </is>
      </c>
      <c r="AZ1661" t="inlineStr">
        <is>
          <t>BOOK</t>
        </is>
      </c>
      <c r="BB1661" t="inlineStr">
        <is>
          <t>9780879078140</t>
        </is>
      </c>
      <c r="BC1661" t="inlineStr">
        <is>
          <t>32285000831551</t>
        </is>
      </c>
      <c r="BD1661" t="inlineStr">
        <is>
          <t>893593448</t>
        </is>
      </c>
    </row>
    <row r="1662">
      <c r="A1662" t="inlineStr">
        <is>
          <t>No</t>
        </is>
      </c>
      <c r="B1662" t="inlineStr">
        <is>
          <t>BX2435 .A333 1971</t>
        </is>
      </c>
      <c r="C1662" t="inlineStr">
        <is>
          <t>0                      BX 2435000A  333         1971</t>
        </is>
      </c>
      <c r="D1662" t="inlineStr">
        <is>
          <t>Apostolic exhortation of the Supreme Pontiff Paul VI to the members of every religious family in the Catholic world on the renewal of the religious life according to the prescriptions of the Second Ecumenical Vatican Council.</t>
        </is>
      </c>
      <c r="F1662" t="inlineStr">
        <is>
          <t>No</t>
        </is>
      </c>
      <c r="G1662" t="inlineStr">
        <is>
          <t>1</t>
        </is>
      </c>
      <c r="H1662" t="inlineStr">
        <is>
          <t>No</t>
        </is>
      </c>
      <c r="I1662" t="inlineStr">
        <is>
          <t>No</t>
        </is>
      </c>
      <c r="J1662" t="inlineStr">
        <is>
          <t>0</t>
        </is>
      </c>
      <c r="K1662" t="inlineStr">
        <is>
          <t>Catholic Church. Pope (1963-1978 : Paul VI).</t>
        </is>
      </c>
      <c r="L1662" t="inlineStr">
        <is>
          <t>[Devon, Pa. : W. T. Cooke Publishing, 1971]</t>
        </is>
      </c>
      <c r="M1662" t="inlineStr">
        <is>
          <t>1971</t>
        </is>
      </c>
      <c r="O1662" t="inlineStr">
        <is>
          <t>eng</t>
        </is>
      </c>
      <c r="P1662" t="inlineStr">
        <is>
          <t>pau</t>
        </is>
      </c>
      <c r="R1662" t="inlineStr">
        <is>
          <t xml:space="preserve">BX </t>
        </is>
      </c>
      <c r="S1662" t="n">
        <v>1</v>
      </c>
      <c r="T1662" t="n">
        <v>1</v>
      </c>
      <c r="U1662" t="inlineStr">
        <is>
          <t>2002-06-20</t>
        </is>
      </c>
      <c r="V1662" t="inlineStr">
        <is>
          <t>2002-06-20</t>
        </is>
      </c>
      <c r="W1662" t="inlineStr">
        <is>
          <t>1990-02-13</t>
        </is>
      </c>
      <c r="X1662" t="inlineStr">
        <is>
          <t>1990-02-13</t>
        </is>
      </c>
      <c r="Y1662" t="n">
        <v>37</v>
      </c>
      <c r="Z1662" t="n">
        <v>37</v>
      </c>
      <c r="AA1662" t="n">
        <v>37</v>
      </c>
      <c r="AB1662" t="n">
        <v>2</v>
      </c>
      <c r="AC1662" t="n">
        <v>2</v>
      </c>
      <c r="AD1662" t="n">
        <v>5</v>
      </c>
      <c r="AE1662" t="n">
        <v>5</v>
      </c>
      <c r="AF1662" t="n">
        <v>1</v>
      </c>
      <c r="AG1662" t="n">
        <v>1</v>
      </c>
      <c r="AH1662" t="n">
        <v>1</v>
      </c>
      <c r="AI1662" t="n">
        <v>1</v>
      </c>
      <c r="AJ1662" t="n">
        <v>5</v>
      </c>
      <c r="AK1662" t="n">
        <v>5</v>
      </c>
      <c r="AL1662" t="n">
        <v>0</v>
      </c>
      <c r="AM1662" t="n">
        <v>0</v>
      </c>
      <c r="AN1662" t="n">
        <v>0</v>
      </c>
      <c r="AO1662" t="n">
        <v>0</v>
      </c>
      <c r="AP1662" t="inlineStr">
        <is>
          <t>No</t>
        </is>
      </c>
      <c r="AQ1662" t="inlineStr">
        <is>
          <t>No</t>
        </is>
      </c>
      <c r="AS1662">
        <f>HYPERLINK("https://creighton-primo.hosted.exlibrisgroup.com/primo-explore/search?tab=default_tab&amp;search_scope=EVERYTHING&amp;vid=01CRU&amp;lang=en_US&amp;offset=0&amp;query=any,contains,991002179269702656","Catalog Record")</f>
        <v/>
      </c>
      <c r="AT1662">
        <f>HYPERLINK("http://www.worldcat.org/oclc/278568","WorldCat Record")</f>
        <v/>
      </c>
      <c r="AU1662" t="inlineStr">
        <is>
          <t>3373058830:eng</t>
        </is>
      </c>
      <c r="AV1662" t="inlineStr">
        <is>
          <t>278568</t>
        </is>
      </c>
      <c r="AW1662" t="inlineStr">
        <is>
          <t>991002179269702656</t>
        </is>
      </c>
      <c r="AX1662" t="inlineStr">
        <is>
          <t>991002179269702656</t>
        </is>
      </c>
      <c r="AY1662" t="inlineStr">
        <is>
          <t>2258205480002656</t>
        </is>
      </c>
      <c r="AZ1662" t="inlineStr">
        <is>
          <t>BOOK</t>
        </is>
      </c>
      <c r="BC1662" t="inlineStr">
        <is>
          <t>32285000050541</t>
        </is>
      </c>
      <c r="BD1662" t="inlineStr">
        <is>
          <t>893421018</t>
        </is>
      </c>
    </row>
    <row r="1663">
      <c r="A1663" t="inlineStr">
        <is>
          <t>No</t>
        </is>
      </c>
      <c r="B1663" t="inlineStr">
        <is>
          <t>BX2435 .A98413 1995</t>
        </is>
      </c>
      <c r="C1663" t="inlineStr">
        <is>
          <t>0                      BX 2435000A  98413       1995</t>
        </is>
      </c>
      <c r="D1663" t="inlineStr">
        <is>
          <t>The consecrated life : crossroads and directions / Marcello Azevedo.</t>
        </is>
      </c>
      <c r="F1663" t="inlineStr">
        <is>
          <t>No</t>
        </is>
      </c>
      <c r="G1663" t="inlineStr">
        <is>
          <t>1</t>
        </is>
      </c>
      <c r="H1663" t="inlineStr">
        <is>
          <t>No</t>
        </is>
      </c>
      <c r="I1663" t="inlineStr">
        <is>
          <t>No</t>
        </is>
      </c>
      <c r="J1663" t="inlineStr">
        <is>
          <t>0</t>
        </is>
      </c>
      <c r="K1663" t="inlineStr">
        <is>
          <t>Azevedo, Marcello de Carvalho.</t>
        </is>
      </c>
      <c r="L1663" t="inlineStr">
        <is>
          <t>Maryknoll, N.Y. : Orbis Books ; Herefordshire, England : Gracewing, c1995.</t>
        </is>
      </c>
      <c r="M1663" t="inlineStr">
        <is>
          <t>1995</t>
        </is>
      </c>
      <c r="O1663" t="inlineStr">
        <is>
          <t>eng</t>
        </is>
      </c>
      <c r="P1663" t="inlineStr">
        <is>
          <t>nyu</t>
        </is>
      </c>
      <c r="R1663" t="inlineStr">
        <is>
          <t xml:space="preserve">BX </t>
        </is>
      </c>
      <c r="S1663" t="n">
        <v>8</v>
      </c>
      <c r="T1663" t="n">
        <v>8</v>
      </c>
      <c r="U1663" t="inlineStr">
        <is>
          <t>1998-07-12</t>
        </is>
      </c>
      <c r="V1663" t="inlineStr">
        <is>
          <t>1998-07-12</t>
        </is>
      </c>
      <c r="W1663" t="inlineStr">
        <is>
          <t>1995-12-27</t>
        </is>
      </c>
      <c r="X1663" t="inlineStr">
        <is>
          <t>1995-12-27</t>
        </is>
      </c>
      <c r="Y1663" t="n">
        <v>120</v>
      </c>
      <c r="Z1663" t="n">
        <v>95</v>
      </c>
      <c r="AA1663" t="n">
        <v>95</v>
      </c>
      <c r="AB1663" t="n">
        <v>1</v>
      </c>
      <c r="AC1663" t="n">
        <v>1</v>
      </c>
      <c r="AD1663" t="n">
        <v>7</v>
      </c>
      <c r="AE1663" t="n">
        <v>7</v>
      </c>
      <c r="AF1663" t="n">
        <v>1</v>
      </c>
      <c r="AG1663" t="n">
        <v>1</v>
      </c>
      <c r="AH1663" t="n">
        <v>2</v>
      </c>
      <c r="AI1663" t="n">
        <v>2</v>
      </c>
      <c r="AJ1663" t="n">
        <v>5</v>
      </c>
      <c r="AK1663" t="n">
        <v>5</v>
      </c>
      <c r="AL1663" t="n">
        <v>0</v>
      </c>
      <c r="AM1663" t="n">
        <v>0</v>
      </c>
      <c r="AN1663" t="n">
        <v>0</v>
      </c>
      <c r="AO1663" t="n">
        <v>0</v>
      </c>
      <c r="AP1663" t="inlineStr">
        <is>
          <t>No</t>
        </is>
      </c>
      <c r="AQ1663" t="inlineStr">
        <is>
          <t>No</t>
        </is>
      </c>
      <c r="AS1663">
        <f>HYPERLINK("https://creighton-primo.hosted.exlibrisgroup.com/primo-explore/search?tab=default_tab&amp;search_scope=EVERYTHING&amp;vid=01CRU&amp;lang=en_US&amp;offset=0&amp;query=any,contains,991002481949702656","Catalog Record")</f>
        <v/>
      </c>
      <c r="AT1663">
        <f>HYPERLINK("http://www.worldcat.org/oclc/32311385","WorldCat Record")</f>
        <v/>
      </c>
      <c r="AU1663" t="inlineStr">
        <is>
          <t>1809593465:eng</t>
        </is>
      </c>
      <c r="AV1663" t="inlineStr">
        <is>
          <t>32311385</t>
        </is>
      </c>
      <c r="AW1663" t="inlineStr">
        <is>
          <t>991002481949702656</t>
        </is>
      </c>
      <c r="AX1663" t="inlineStr">
        <is>
          <t>991002481949702656</t>
        </is>
      </c>
      <c r="AY1663" t="inlineStr">
        <is>
          <t>2266839570002656</t>
        </is>
      </c>
      <c r="AZ1663" t="inlineStr">
        <is>
          <t>BOOK</t>
        </is>
      </c>
      <c r="BB1663" t="inlineStr">
        <is>
          <t>9780852443378</t>
        </is>
      </c>
      <c r="BC1663" t="inlineStr">
        <is>
          <t>32285002112604</t>
        </is>
      </c>
      <c r="BD1663" t="inlineStr">
        <is>
          <t>893622338</t>
        </is>
      </c>
    </row>
    <row r="1664">
      <c r="A1664" t="inlineStr">
        <is>
          <t>No</t>
        </is>
      </c>
      <c r="B1664" t="inlineStr">
        <is>
          <t>BX2435 .B6413 1910</t>
        </is>
      </c>
      <c r="C1664" t="inlineStr">
        <is>
          <t>0                      BX 2435000B  6413        1910</t>
        </is>
      </c>
      <c r="D1664" t="inlineStr">
        <is>
          <t>The contemplative life considered in its apostolic aspect / by a Carthusian monk. Translated from the seventh French edition by A.M. Buchanan.</t>
        </is>
      </c>
      <c r="F1664" t="inlineStr">
        <is>
          <t>No</t>
        </is>
      </c>
      <c r="G1664" t="inlineStr">
        <is>
          <t>1</t>
        </is>
      </c>
      <c r="H1664" t="inlineStr">
        <is>
          <t>No</t>
        </is>
      </c>
      <c r="I1664" t="inlineStr">
        <is>
          <t>No</t>
        </is>
      </c>
      <c r="J1664" t="inlineStr">
        <is>
          <t>0</t>
        </is>
      </c>
      <c r="K1664" t="inlineStr">
        <is>
          <t>Chartreux, 1837-1900.</t>
        </is>
      </c>
      <c r="L1664" t="inlineStr">
        <is>
          <t>London : R. &amp; T. Washbourne , [1910]</t>
        </is>
      </c>
      <c r="M1664" t="inlineStr">
        <is>
          <t>1910</t>
        </is>
      </c>
      <c r="O1664" t="inlineStr">
        <is>
          <t>eng</t>
        </is>
      </c>
      <c r="P1664" t="inlineStr">
        <is>
          <t>enk</t>
        </is>
      </c>
      <c r="R1664" t="inlineStr">
        <is>
          <t xml:space="preserve">BX </t>
        </is>
      </c>
      <c r="S1664" t="n">
        <v>7</v>
      </c>
      <c r="T1664" t="n">
        <v>7</v>
      </c>
      <c r="U1664" t="inlineStr">
        <is>
          <t>2004-11-18</t>
        </is>
      </c>
      <c r="V1664" t="inlineStr">
        <is>
          <t>2004-11-18</t>
        </is>
      </c>
      <c r="W1664" t="inlineStr">
        <is>
          <t>1991-10-31</t>
        </is>
      </c>
      <c r="X1664" t="inlineStr">
        <is>
          <t>1991-10-31</t>
        </is>
      </c>
      <c r="Y1664" t="n">
        <v>8</v>
      </c>
      <c r="Z1664" t="n">
        <v>7</v>
      </c>
      <c r="AA1664" t="n">
        <v>51</v>
      </c>
      <c r="AB1664" t="n">
        <v>1</v>
      </c>
      <c r="AC1664" t="n">
        <v>1</v>
      </c>
      <c r="AD1664" t="n">
        <v>0</v>
      </c>
      <c r="AE1664" t="n">
        <v>6</v>
      </c>
      <c r="AF1664" t="n">
        <v>0</v>
      </c>
      <c r="AG1664" t="n">
        <v>2</v>
      </c>
      <c r="AH1664" t="n">
        <v>0</v>
      </c>
      <c r="AI1664" t="n">
        <v>1</v>
      </c>
      <c r="AJ1664" t="n">
        <v>0</v>
      </c>
      <c r="AK1664" t="n">
        <v>4</v>
      </c>
      <c r="AL1664" t="n">
        <v>0</v>
      </c>
      <c r="AM1664" t="n">
        <v>0</v>
      </c>
      <c r="AN1664" t="n">
        <v>0</v>
      </c>
      <c r="AO1664" t="n">
        <v>0</v>
      </c>
      <c r="AP1664" t="inlineStr">
        <is>
          <t>No</t>
        </is>
      </c>
      <c r="AQ1664" t="inlineStr">
        <is>
          <t>No</t>
        </is>
      </c>
      <c r="AS1664">
        <f>HYPERLINK("https://creighton-primo.hosted.exlibrisgroup.com/primo-explore/search?tab=default_tab&amp;search_scope=EVERYTHING&amp;vid=01CRU&amp;lang=en_US&amp;offset=0&amp;query=any,contains,991003985209702656","Catalog Record")</f>
        <v/>
      </c>
      <c r="AT1664">
        <f>HYPERLINK("http://www.worldcat.org/oclc/2028444","WorldCat Record")</f>
        <v/>
      </c>
      <c r="AU1664" t="inlineStr">
        <is>
          <t>423481306:eng</t>
        </is>
      </c>
      <c r="AV1664" t="inlineStr">
        <is>
          <t>2028444</t>
        </is>
      </c>
      <c r="AW1664" t="inlineStr">
        <is>
          <t>991003985209702656</t>
        </is>
      </c>
      <c r="AX1664" t="inlineStr">
        <is>
          <t>991003985209702656</t>
        </is>
      </c>
      <c r="AY1664" t="inlineStr">
        <is>
          <t>2266919620002656</t>
        </is>
      </c>
      <c r="AZ1664" t="inlineStr">
        <is>
          <t>BOOK</t>
        </is>
      </c>
      <c r="BC1664" t="inlineStr">
        <is>
          <t>32285000831585</t>
        </is>
      </c>
      <c r="BD1664" t="inlineStr">
        <is>
          <t>893410971</t>
        </is>
      </c>
    </row>
    <row r="1665">
      <c r="A1665" t="inlineStr">
        <is>
          <t>No</t>
        </is>
      </c>
      <c r="B1665" t="inlineStr">
        <is>
          <t>BX2435 .B8 1981</t>
        </is>
      </c>
      <c r="C1665" t="inlineStr">
        <is>
          <t>0                      BX 2435000B  8           1981</t>
        </is>
      </c>
      <c r="D1665" t="inlineStr">
        <is>
          <t>God's witnesses in the heart of the world / Leonardo Boff ; translated and edited by Robert Fath.</t>
        </is>
      </c>
      <c r="F1665" t="inlineStr">
        <is>
          <t>No</t>
        </is>
      </c>
      <c r="G1665" t="inlineStr">
        <is>
          <t>1</t>
        </is>
      </c>
      <c r="H1665" t="inlineStr">
        <is>
          <t>No</t>
        </is>
      </c>
      <c r="I1665" t="inlineStr">
        <is>
          <t>No</t>
        </is>
      </c>
      <c r="J1665" t="inlineStr">
        <is>
          <t>0</t>
        </is>
      </c>
      <c r="K1665" t="inlineStr">
        <is>
          <t>Boff, Leonardo.</t>
        </is>
      </c>
      <c r="L1665" t="inlineStr">
        <is>
          <t>Chicago : Claret Center for Resources in Spirituality, 1981.</t>
        </is>
      </c>
      <c r="M1665" t="inlineStr">
        <is>
          <t>1981</t>
        </is>
      </c>
      <c r="O1665" t="inlineStr">
        <is>
          <t>eng</t>
        </is>
      </c>
      <c r="P1665" t="inlineStr">
        <is>
          <t>ilu</t>
        </is>
      </c>
      <c r="Q1665" t="inlineStr">
        <is>
          <t>Religious life series ; v. 3</t>
        </is>
      </c>
      <c r="R1665" t="inlineStr">
        <is>
          <t xml:space="preserve">BX </t>
        </is>
      </c>
      <c r="S1665" t="n">
        <v>6</v>
      </c>
      <c r="T1665" t="n">
        <v>6</v>
      </c>
      <c r="U1665" t="inlineStr">
        <is>
          <t>2004-09-20</t>
        </is>
      </c>
      <c r="V1665" t="inlineStr">
        <is>
          <t>2004-09-20</t>
        </is>
      </c>
      <c r="W1665" t="inlineStr">
        <is>
          <t>1990-08-08</t>
        </is>
      </c>
      <c r="X1665" t="inlineStr">
        <is>
          <t>1990-08-08</t>
        </is>
      </c>
      <c r="Y1665" t="n">
        <v>102</v>
      </c>
      <c r="Z1665" t="n">
        <v>84</v>
      </c>
      <c r="AA1665" t="n">
        <v>84</v>
      </c>
      <c r="AB1665" t="n">
        <v>1</v>
      </c>
      <c r="AC1665" t="n">
        <v>1</v>
      </c>
      <c r="AD1665" t="n">
        <v>9</v>
      </c>
      <c r="AE1665" t="n">
        <v>9</v>
      </c>
      <c r="AF1665" t="n">
        <v>2</v>
      </c>
      <c r="AG1665" t="n">
        <v>2</v>
      </c>
      <c r="AH1665" t="n">
        <v>1</v>
      </c>
      <c r="AI1665" t="n">
        <v>1</v>
      </c>
      <c r="AJ1665" t="n">
        <v>8</v>
      </c>
      <c r="AK1665" t="n">
        <v>8</v>
      </c>
      <c r="AL1665" t="n">
        <v>0</v>
      </c>
      <c r="AM1665" t="n">
        <v>0</v>
      </c>
      <c r="AN1665" t="n">
        <v>0</v>
      </c>
      <c r="AO1665" t="n">
        <v>0</v>
      </c>
      <c r="AP1665" t="inlineStr">
        <is>
          <t>No</t>
        </is>
      </c>
      <c r="AQ1665" t="inlineStr">
        <is>
          <t>No</t>
        </is>
      </c>
      <c r="AS1665">
        <f>HYPERLINK("https://creighton-primo.hosted.exlibrisgroup.com/primo-explore/search?tab=default_tab&amp;search_scope=EVERYTHING&amp;vid=01CRU&amp;lang=en_US&amp;offset=0&amp;query=any,contains,991000069199702656","Catalog Record")</f>
        <v/>
      </c>
      <c r="AT1665">
        <f>HYPERLINK("http://www.worldcat.org/oclc/8769753","WorldCat Record")</f>
        <v/>
      </c>
      <c r="AU1665" t="inlineStr">
        <is>
          <t>2909053046:eng</t>
        </is>
      </c>
      <c r="AV1665" t="inlineStr">
        <is>
          <t>8769753</t>
        </is>
      </c>
      <c r="AW1665" t="inlineStr">
        <is>
          <t>991000069199702656</t>
        </is>
      </c>
      <c r="AX1665" t="inlineStr">
        <is>
          <t>991000069199702656</t>
        </is>
      </c>
      <c r="AY1665" t="inlineStr">
        <is>
          <t>2265916910002656</t>
        </is>
      </c>
      <c r="AZ1665" t="inlineStr">
        <is>
          <t>BOOK</t>
        </is>
      </c>
      <c r="BC1665" t="inlineStr">
        <is>
          <t>32285000270768</t>
        </is>
      </c>
      <c r="BD1665" t="inlineStr">
        <is>
          <t>893339239</t>
        </is>
      </c>
    </row>
    <row r="1666">
      <c r="A1666" t="inlineStr">
        <is>
          <t>No</t>
        </is>
      </c>
      <c r="B1666" t="inlineStr">
        <is>
          <t>BX2435 .C25 1971</t>
        </is>
      </c>
      <c r="C1666" t="inlineStr">
        <is>
          <t>0                      BX 2435000C  25          1971</t>
        </is>
      </c>
      <c r="D1666" t="inlineStr">
        <is>
          <t>Maturity and religious life.</t>
        </is>
      </c>
      <c r="F1666" t="inlineStr">
        <is>
          <t>No</t>
        </is>
      </c>
      <c r="G1666" t="inlineStr">
        <is>
          <t>1</t>
        </is>
      </c>
      <c r="H1666" t="inlineStr">
        <is>
          <t>No</t>
        </is>
      </c>
      <c r="I1666" t="inlineStr">
        <is>
          <t>No</t>
        </is>
      </c>
      <c r="J1666" t="inlineStr">
        <is>
          <t>0</t>
        </is>
      </c>
      <c r="K1666" t="inlineStr">
        <is>
          <t>Canadian Religious Conference.</t>
        </is>
      </c>
      <c r="L1666" t="inlineStr">
        <is>
          <t>Ottawa : Canadian Religious Conference, 1971.</t>
        </is>
      </c>
      <c r="M1666" t="inlineStr">
        <is>
          <t>1971</t>
        </is>
      </c>
      <c r="O1666" t="inlineStr">
        <is>
          <t>eng</t>
        </is>
      </c>
      <c r="P1666" t="inlineStr">
        <is>
          <t>onc</t>
        </is>
      </c>
      <c r="Q1666" t="inlineStr">
        <is>
          <t>Donum Dei ; 15</t>
        </is>
      </c>
      <c r="R1666" t="inlineStr">
        <is>
          <t xml:space="preserve">BX </t>
        </is>
      </c>
      <c r="S1666" t="n">
        <v>1</v>
      </c>
      <c r="T1666" t="n">
        <v>1</v>
      </c>
      <c r="U1666" t="inlineStr">
        <is>
          <t>1993-07-03</t>
        </is>
      </c>
      <c r="V1666" t="inlineStr">
        <is>
          <t>1993-07-03</t>
        </is>
      </c>
      <c r="W1666" t="inlineStr">
        <is>
          <t>1991-10-31</t>
        </is>
      </c>
      <c r="X1666" t="inlineStr">
        <is>
          <t>1991-10-31</t>
        </is>
      </c>
      <c r="Y1666" t="n">
        <v>41</v>
      </c>
      <c r="Z1666" t="n">
        <v>30</v>
      </c>
      <c r="AA1666" t="n">
        <v>35</v>
      </c>
      <c r="AB1666" t="n">
        <v>1</v>
      </c>
      <c r="AC1666" t="n">
        <v>1</v>
      </c>
      <c r="AD1666" t="n">
        <v>4</v>
      </c>
      <c r="AE1666" t="n">
        <v>4</v>
      </c>
      <c r="AF1666" t="n">
        <v>0</v>
      </c>
      <c r="AG1666" t="n">
        <v>0</v>
      </c>
      <c r="AH1666" t="n">
        <v>0</v>
      </c>
      <c r="AI1666" t="n">
        <v>0</v>
      </c>
      <c r="AJ1666" t="n">
        <v>4</v>
      </c>
      <c r="AK1666" t="n">
        <v>4</v>
      </c>
      <c r="AL1666" t="n">
        <v>0</v>
      </c>
      <c r="AM1666" t="n">
        <v>0</v>
      </c>
      <c r="AN1666" t="n">
        <v>0</v>
      </c>
      <c r="AO1666" t="n">
        <v>0</v>
      </c>
      <c r="AP1666" t="inlineStr">
        <is>
          <t>No</t>
        </is>
      </c>
      <c r="AQ1666" t="inlineStr">
        <is>
          <t>No</t>
        </is>
      </c>
      <c r="AS1666">
        <f>HYPERLINK("https://creighton-primo.hosted.exlibrisgroup.com/primo-explore/search?tab=default_tab&amp;search_scope=EVERYTHING&amp;vid=01CRU&amp;lang=en_US&amp;offset=0&amp;query=any,contains,991003973579702656","Catalog Record")</f>
        <v/>
      </c>
      <c r="AT1666">
        <f>HYPERLINK("http://www.worldcat.org/oclc/1994850","WorldCat Record")</f>
        <v/>
      </c>
      <c r="AU1666" t="inlineStr">
        <is>
          <t>10161660241:eng</t>
        </is>
      </c>
      <c r="AV1666" t="inlineStr">
        <is>
          <t>1994850</t>
        </is>
      </c>
      <c r="AW1666" t="inlineStr">
        <is>
          <t>991003973579702656</t>
        </is>
      </c>
      <c r="AX1666" t="inlineStr">
        <is>
          <t>991003973579702656</t>
        </is>
      </c>
      <c r="AY1666" t="inlineStr">
        <is>
          <t>2263547510002656</t>
        </is>
      </c>
      <c r="AZ1666" t="inlineStr">
        <is>
          <t>BOOK</t>
        </is>
      </c>
      <c r="BC1666" t="inlineStr">
        <is>
          <t>32285000831593</t>
        </is>
      </c>
      <c r="BD1666" t="inlineStr">
        <is>
          <t>893318651</t>
        </is>
      </c>
    </row>
    <row r="1667">
      <c r="A1667" t="inlineStr">
        <is>
          <t>No</t>
        </is>
      </c>
      <c r="B1667" t="inlineStr">
        <is>
          <t>BX2435 .C3313 1967</t>
        </is>
      </c>
      <c r="C1667" t="inlineStr">
        <is>
          <t>0                      BX 2435000C  3313        1967</t>
        </is>
      </c>
      <c r="D1667" t="inlineStr">
        <is>
          <t>The states of perfection / Selected and arr. by the Benedictine Monks of Solesmes. Translated by Mother E. O'Gorman.</t>
        </is>
      </c>
      <c r="F1667" t="inlineStr">
        <is>
          <t>No</t>
        </is>
      </c>
      <c r="G1667" t="inlineStr">
        <is>
          <t>1</t>
        </is>
      </c>
      <c r="H1667" t="inlineStr">
        <is>
          <t>No</t>
        </is>
      </c>
      <c r="I1667" t="inlineStr">
        <is>
          <t>No</t>
        </is>
      </c>
      <c r="J1667" t="inlineStr">
        <is>
          <t>0</t>
        </is>
      </c>
      <c r="K1667" t="inlineStr">
        <is>
          <t>Catholic Church. Pope.</t>
        </is>
      </c>
      <c r="L1667" t="inlineStr">
        <is>
          <t>[Boston] : St. Paul Editions, [1967]</t>
        </is>
      </c>
      <c r="M1667" t="inlineStr">
        <is>
          <t>1967</t>
        </is>
      </c>
      <c r="O1667" t="inlineStr">
        <is>
          <t>eng</t>
        </is>
      </c>
      <c r="P1667" t="inlineStr">
        <is>
          <t>mau</t>
        </is>
      </c>
      <c r="Q1667" t="inlineStr">
        <is>
          <t>Papal teachings</t>
        </is>
      </c>
      <c r="R1667" t="inlineStr">
        <is>
          <t xml:space="preserve">BX </t>
        </is>
      </c>
      <c r="S1667" t="n">
        <v>3</v>
      </c>
      <c r="T1667" t="n">
        <v>3</v>
      </c>
      <c r="U1667" t="inlineStr">
        <is>
          <t>2009-09-10</t>
        </is>
      </c>
      <c r="V1667" t="inlineStr">
        <is>
          <t>2009-09-10</t>
        </is>
      </c>
      <c r="W1667" t="inlineStr">
        <is>
          <t>1991-10-31</t>
        </is>
      </c>
      <c r="X1667" t="inlineStr">
        <is>
          <t>1991-10-31</t>
        </is>
      </c>
      <c r="Y1667" t="n">
        <v>93</v>
      </c>
      <c r="Z1667" t="n">
        <v>83</v>
      </c>
      <c r="AA1667" t="n">
        <v>83</v>
      </c>
      <c r="AB1667" t="n">
        <v>2</v>
      </c>
      <c r="AC1667" t="n">
        <v>2</v>
      </c>
      <c r="AD1667" t="n">
        <v>15</v>
      </c>
      <c r="AE1667" t="n">
        <v>15</v>
      </c>
      <c r="AF1667" t="n">
        <v>6</v>
      </c>
      <c r="AG1667" t="n">
        <v>6</v>
      </c>
      <c r="AH1667" t="n">
        <v>3</v>
      </c>
      <c r="AI1667" t="n">
        <v>3</v>
      </c>
      <c r="AJ1667" t="n">
        <v>12</v>
      </c>
      <c r="AK1667" t="n">
        <v>12</v>
      </c>
      <c r="AL1667" t="n">
        <v>0</v>
      </c>
      <c r="AM1667" t="n">
        <v>0</v>
      </c>
      <c r="AN1667" t="n">
        <v>0</v>
      </c>
      <c r="AO1667" t="n">
        <v>0</v>
      </c>
      <c r="AP1667" t="inlineStr">
        <is>
          <t>No</t>
        </is>
      </c>
      <c r="AQ1667" t="inlineStr">
        <is>
          <t>No</t>
        </is>
      </c>
      <c r="AS1667">
        <f>HYPERLINK("https://creighton-primo.hosted.exlibrisgroup.com/primo-explore/search?tab=default_tab&amp;search_scope=EVERYTHING&amp;vid=01CRU&amp;lang=en_US&amp;offset=0&amp;query=any,contains,991003414149702656","Catalog Record")</f>
        <v/>
      </c>
      <c r="AT1667">
        <f>HYPERLINK("http://www.worldcat.org/oclc/952785","WorldCat Record")</f>
        <v/>
      </c>
      <c r="AU1667" t="inlineStr">
        <is>
          <t>5623826742:eng</t>
        </is>
      </c>
      <c r="AV1667" t="inlineStr">
        <is>
          <t>952785</t>
        </is>
      </c>
      <c r="AW1667" t="inlineStr">
        <is>
          <t>991003414149702656</t>
        </is>
      </c>
      <c r="AX1667" t="inlineStr">
        <is>
          <t>991003414149702656</t>
        </is>
      </c>
      <c r="AY1667" t="inlineStr">
        <is>
          <t>2261446230002656</t>
        </is>
      </c>
      <c r="AZ1667" t="inlineStr">
        <is>
          <t>BOOK</t>
        </is>
      </c>
      <c r="BC1667" t="inlineStr">
        <is>
          <t>32285000831601</t>
        </is>
      </c>
      <c r="BD1667" t="inlineStr">
        <is>
          <t>893711356</t>
        </is>
      </c>
    </row>
    <row r="1668">
      <c r="A1668" t="inlineStr">
        <is>
          <t>No</t>
        </is>
      </c>
      <c r="B1668" t="inlineStr">
        <is>
          <t>BX2435 .C343 1961</t>
        </is>
      </c>
      <c r="C1668" t="inlineStr">
        <is>
          <t>0                      BX 2435000C  343         1961</t>
        </is>
      </c>
      <c r="D1668" t="inlineStr">
        <is>
          <t>The states of perfection according to the teaching of the church : papal documents from Leo XIII to Pius XII / [edited by] Gaston Courtois. Pref. by Valerio Cardinal Valeri. Translated by John A. O'Flynn.</t>
        </is>
      </c>
      <c r="F1668" t="inlineStr">
        <is>
          <t>No</t>
        </is>
      </c>
      <c r="G1668" t="inlineStr">
        <is>
          <t>1</t>
        </is>
      </c>
      <c r="H1668" t="inlineStr">
        <is>
          <t>No</t>
        </is>
      </c>
      <c r="I1668" t="inlineStr">
        <is>
          <t>No</t>
        </is>
      </c>
      <c r="J1668" t="inlineStr">
        <is>
          <t>0</t>
        </is>
      </c>
      <c r="K1668" t="inlineStr">
        <is>
          <t>Catholic Church. Pope.</t>
        </is>
      </c>
      <c r="L1668" t="inlineStr">
        <is>
          <t>Westminster, Md. : Newman Press, 1961.</t>
        </is>
      </c>
      <c r="M1668" t="inlineStr">
        <is>
          <t>1961</t>
        </is>
      </c>
      <c r="O1668" t="inlineStr">
        <is>
          <t>eng</t>
        </is>
      </c>
      <c r="P1668" t="inlineStr">
        <is>
          <t>mdu</t>
        </is>
      </c>
      <c r="R1668" t="inlineStr">
        <is>
          <t xml:space="preserve">BX </t>
        </is>
      </c>
      <c r="S1668" t="n">
        <v>2</v>
      </c>
      <c r="T1668" t="n">
        <v>2</v>
      </c>
      <c r="U1668" t="inlineStr">
        <is>
          <t>1994-11-02</t>
        </is>
      </c>
      <c r="V1668" t="inlineStr">
        <is>
          <t>1994-11-02</t>
        </is>
      </c>
      <c r="W1668" t="inlineStr">
        <is>
          <t>1991-10-31</t>
        </is>
      </c>
      <c r="X1668" t="inlineStr">
        <is>
          <t>1991-10-31</t>
        </is>
      </c>
      <c r="Y1668" t="n">
        <v>135</v>
      </c>
      <c r="Z1668" t="n">
        <v>127</v>
      </c>
      <c r="AA1668" t="n">
        <v>137</v>
      </c>
      <c r="AB1668" t="n">
        <v>1</v>
      </c>
      <c r="AC1668" t="n">
        <v>1</v>
      </c>
      <c r="AD1668" t="n">
        <v>18</v>
      </c>
      <c r="AE1668" t="n">
        <v>19</v>
      </c>
      <c r="AF1668" t="n">
        <v>6</v>
      </c>
      <c r="AG1668" t="n">
        <v>6</v>
      </c>
      <c r="AH1668" t="n">
        <v>4</v>
      </c>
      <c r="AI1668" t="n">
        <v>5</v>
      </c>
      <c r="AJ1668" t="n">
        <v>14</v>
      </c>
      <c r="AK1668" t="n">
        <v>15</v>
      </c>
      <c r="AL1668" t="n">
        <v>0</v>
      </c>
      <c r="AM1668" t="n">
        <v>0</v>
      </c>
      <c r="AN1668" t="n">
        <v>0</v>
      </c>
      <c r="AO1668" t="n">
        <v>0</v>
      </c>
      <c r="AP1668" t="inlineStr">
        <is>
          <t>No</t>
        </is>
      </c>
      <c r="AQ1668" t="inlineStr">
        <is>
          <t>No</t>
        </is>
      </c>
      <c r="AS1668">
        <f>HYPERLINK("https://creighton-primo.hosted.exlibrisgroup.com/primo-explore/search?tab=default_tab&amp;search_scope=EVERYTHING&amp;vid=01CRU&amp;lang=en_US&amp;offset=0&amp;query=any,contains,991004162359702656","Catalog Record")</f>
        <v/>
      </c>
      <c r="AT1668">
        <f>HYPERLINK("http://www.worldcat.org/oclc/2554874","WorldCat Record")</f>
        <v/>
      </c>
      <c r="AU1668" t="inlineStr">
        <is>
          <t>2286715939:eng</t>
        </is>
      </c>
      <c r="AV1668" t="inlineStr">
        <is>
          <t>2554874</t>
        </is>
      </c>
      <c r="AW1668" t="inlineStr">
        <is>
          <t>991004162359702656</t>
        </is>
      </c>
      <c r="AX1668" t="inlineStr">
        <is>
          <t>991004162359702656</t>
        </is>
      </c>
      <c r="AY1668" t="inlineStr">
        <is>
          <t>2272285190002656</t>
        </is>
      </c>
      <c r="AZ1668" t="inlineStr">
        <is>
          <t>BOOK</t>
        </is>
      </c>
      <c r="BC1668" t="inlineStr">
        <is>
          <t>32285000831619</t>
        </is>
      </c>
      <c r="BD1668" t="inlineStr">
        <is>
          <t>893500197</t>
        </is>
      </c>
    </row>
    <row r="1669">
      <c r="A1669" t="inlineStr">
        <is>
          <t>No</t>
        </is>
      </c>
      <c r="B1669" t="inlineStr">
        <is>
          <t>BX2435 .C35 1963</t>
        </is>
      </c>
      <c r="C1669" t="inlineStr">
        <is>
          <t>0                      BX 2435000C  35          1963</t>
        </is>
      </c>
      <c r="D1669" t="inlineStr">
        <is>
          <t>Religious chastity : its conditions. Plenary sessions of 1962.</t>
        </is>
      </c>
      <c r="F1669" t="inlineStr">
        <is>
          <t>No</t>
        </is>
      </c>
      <c r="G1669" t="inlineStr">
        <is>
          <t>1</t>
        </is>
      </c>
      <c r="H1669" t="inlineStr">
        <is>
          <t>No</t>
        </is>
      </c>
      <c r="I1669" t="inlineStr">
        <is>
          <t>No</t>
        </is>
      </c>
      <c r="J1669" t="inlineStr">
        <is>
          <t>0</t>
        </is>
      </c>
      <c r="K1669" t="inlineStr">
        <is>
          <t>Canadian Religious Conference.</t>
        </is>
      </c>
      <c r="M1669" t="inlineStr">
        <is>
          <t>1963</t>
        </is>
      </c>
      <c r="O1669" t="inlineStr">
        <is>
          <t>eng</t>
        </is>
      </c>
      <c r="P1669" t="inlineStr">
        <is>
          <t>___</t>
        </is>
      </c>
      <c r="Q1669" t="inlineStr">
        <is>
          <t>Donum Dei ; 6</t>
        </is>
      </c>
      <c r="R1669" t="inlineStr">
        <is>
          <t xml:space="preserve">BX </t>
        </is>
      </c>
      <c r="S1669" t="n">
        <v>2</v>
      </c>
      <c r="T1669" t="n">
        <v>2</v>
      </c>
      <c r="U1669" t="inlineStr">
        <is>
          <t>1999-02-01</t>
        </is>
      </c>
      <c r="V1669" t="inlineStr">
        <is>
          <t>1999-02-01</t>
        </is>
      </c>
      <c r="W1669" t="inlineStr">
        <is>
          <t>1991-10-31</t>
        </is>
      </c>
      <c r="X1669" t="inlineStr">
        <is>
          <t>1991-10-31</t>
        </is>
      </c>
      <c r="Y1669" t="n">
        <v>42</v>
      </c>
      <c r="Z1669" t="n">
        <v>34</v>
      </c>
      <c r="AA1669" t="n">
        <v>39</v>
      </c>
      <c r="AB1669" t="n">
        <v>1</v>
      </c>
      <c r="AC1669" t="n">
        <v>1</v>
      </c>
      <c r="AD1669" t="n">
        <v>8</v>
      </c>
      <c r="AE1669" t="n">
        <v>8</v>
      </c>
      <c r="AF1669" t="n">
        <v>2</v>
      </c>
      <c r="AG1669" t="n">
        <v>2</v>
      </c>
      <c r="AH1669" t="n">
        <v>2</v>
      </c>
      <c r="AI1669" t="n">
        <v>2</v>
      </c>
      <c r="AJ1669" t="n">
        <v>7</v>
      </c>
      <c r="AK1669" t="n">
        <v>7</v>
      </c>
      <c r="AL1669" t="n">
        <v>0</v>
      </c>
      <c r="AM1669" t="n">
        <v>0</v>
      </c>
      <c r="AN1669" t="n">
        <v>0</v>
      </c>
      <c r="AO1669" t="n">
        <v>0</v>
      </c>
      <c r="AP1669" t="inlineStr">
        <is>
          <t>No</t>
        </is>
      </c>
      <c r="AQ1669" t="inlineStr">
        <is>
          <t>No</t>
        </is>
      </c>
      <c r="AS1669">
        <f>HYPERLINK("https://creighton-primo.hosted.exlibrisgroup.com/primo-explore/search?tab=default_tab&amp;search_scope=EVERYTHING&amp;vid=01CRU&amp;lang=en_US&amp;offset=0&amp;query=any,contains,991003536879702656","Catalog Record")</f>
        <v/>
      </c>
      <c r="AT1669">
        <f>HYPERLINK("http://www.worldcat.org/oclc/1102600","WorldCat Record")</f>
        <v/>
      </c>
      <c r="AU1669" t="inlineStr">
        <is>
          <t>1966545:eng</t>
        </is>
      </c>
      <c r="AV1669" t="inlineStr">
        <is>
          <t>1102600</t>
        </is>
      </c>
      <c r="AW1669" t="inlineStr">
        <is>
          <t>991003536879702656</t>
        </is>
      </c>
      <c r="AX1669" t="inlineStr">
        <is>
          <t>991003536879702656</t>
        </is>
      </c>
      <c r="AY1669" t="inlineStr">
        <is>
          <t>2270308970002656</t>
        </is>
      </c>
      <c r="AZ1669" t="inlineStr">
        <is>
          <t>BOOK</t>
        </is>
      </c>
      <c r="BC1669" t="inlineStr">
        <is>
          <t>32285000831627</t>
        </is>
      </c>
      <c r="BD1669" t="inlineStr">
        <is>
          <t>893799848</t>
        </is>
      </c>
    </row>
    <row r="1670">
      <c r="A1670" t="inlineStr">
        <is>
          <t>No</t>
        </is>
      </c>
      <c r="B1670" t="inlineStr">
        <is>
          <t>BX2435 .C38 1994</t>
        </is>
      </c>
      <c r="C1670" t="inlineStr">
        <is>
          <t>0                      BX 2435000C  38          1994</t>
        </is>
      </c>
      <c r="D1670" t="inlineStr">
        <is>
          <t>Fraternal life in community / Congregation for Institutes of Consecrated Life and Societies of Apostolic Life.</t>
        </is>
      </c>
      <c r="F1670" t="inlineStr">
        <is>
          <t>No</t>
        </is>
      </c>
      <c r="G1670" t="inlineStr">
        <is>
          <t>1</t>
        </is>
      </c>
      <c r="H1670" t="inlineStr">
        <is>
          <t>No</t>
        </is>
      </c>
      <c r="I1670" t="inlineStr">
        <is>
          <t>No</t>
        </is>
      </c>
      <c r="J1670" t="inlineStr">
        <is>
          <t>0</t>
        </is>
      </c>
      <c r="K1670" t="inlineStr">
        <is>
          <t>Catholic Church. Congregatio pro Institutis Vitae Consecratae et Societatibus Vitae Apostolicae.</t>
        </is>
      </c>
      <c r="L1670" t="inlineStr">
        <is>
          <t>Vatican City : [s.n.] ; Washington, D.C. : United States Catholic Conference, 1994.</t>
        </is>
      </c>
      <c r="M1670" t="inlineStr">
        <is>
          <t>1994</t>
        </is>
      </c>
      <c r="O1670" t="inlineStr">
        <is>
          <t>eng</t>
        </is>
      </c>
      <c r="P1670" t="inlineStr">
        <is>
          <t xml:space="preserve">vc </t>
        </is>
      </c>
      <c r="Q1670" t="inlineStr">
        <is>
          <t>Publication / Office for Publishing and Promotion Services, United States Catholic Conference ; no. 808-8.</t>
        </is>
      </c>
      <c r="R1670" t="inlineStr">
        <is>
          <t xml:space="preserve">BX </t>
        </is>
      </c>
      <c r="S1670" t="n">
        <v>2</v>
      </c>
      <c r="T1670" t="n">
        <v>2</v>
      </c>
      <c r="U1670" t="inlineStr">
        <is>
          <t>2004-07-12</t>
        </is>
      </c>
      <c r="V1670" t="inlineStr">
        <is>
          <t>2004-07-12</t>
        </is>
      </c>
      <c r="W1670" t="inlineStr">
        <is>
          <t>1994-12-14</t>
        </is>
      </c>
      <c r="X1670" t="inlineStr">
        <is>
          <t>1994-12-14</t>
        </is>
      </c>
      <c r="Y1670" t="n">
        <v>51</v>
      </c>
      <c r="Z1670" t="n">
        <v>49</v>
      </c>
      <c r="AA1670" t="n">
        <v>72</v>
      </c>
      <c r="AB1670" t="n">
        <v>1</v>
      </c>
      <c r="AC1670" t="n">
        <v>2</v>
      </c>
      <c r="AD1670" t="n">
        <v>6</v>
      </c>
      <c r="AE1670" t="n">
        <v>8</v>
      </c>
      <c r="AF1670" t="n">
        <v>2</v>
      </c>
      <c r="AG1670" t="n">
        <v>2</v>
      </c>
      <c r="AH1670" t="n">
        <v>3</v>
      </c>
      <c r="AI1670" t="n">
        <v>3</v>
      </c>
      <c r="AJ1670" t="n">
        <v>4</v>
      </c>
      <c r="AK1670" t="n">
        <v>6</v>
      </c>
      <c r="AL1670" t="n">
        <v>0</v>
      </c>
      <c r="AM1670" t="n">
        <v>0</v>
      </c>
      <c r="AN1670" t="n">
        <v>0</v>
      </c>
      <c r="AO1670" t="n">
        <v>0</v>
      </c>
      <c r="AP1670" t="inlineStr">
        <is>
          <t>No</t>
        </is>
      </c>
      <c r="AQ1670" t="inlineStr">
        <is>
          <t>No</t>
        </is>
      </c>
      <c r="AS1670">
        <f>HYPERLINK("https://creighton-primo.hosted.exlibrisgroup.com/primo-explore/search?tab=default_tab&amp;search_scope=EVERYTHING&amp;vid=01CRU&amp;lang=en_US&amp;offset=0&amp;query=any,contains,991002373059702656","Catalog Record")</f>
        <v/>
      </c>
      <c r="AT1670">
        <f>HYPERLINK("http://www.worldcat.org/oclc/30888021","WorldCat Record")</f>
        <v/>
      </c>
      <c r="AU1670" t="inlineStr">
        <is>
          <t>32718214:eng</t>
        </is>
      </c>
      <c r="AV1670" t="inlineStr">
        <is>
          <t>30888021</t>
        </is>
      </c>
      <c r="AW1670" t="inlineStr">
        <is>
          <t>991002373059702656</t>
        </is>
      </c>
      <c r="AX1670" t="inlineStr">
        <is>
          <t>991002373059702656</t>
        </is>
      </c>
      <c r="AY1670" t="inlineStr">
        <is>
          <t>2256590010002656</t>
        </is>
      </c>
      <c r="AZ1670" t="inlineStr">
        <is>
          <t>BOOK</t>
        </is>
      </c>
      <c r="BB1670" t="inlineStr">
        <is>
          <t>9781555868086</t>
        </is>
      </c>
      <c r="BC1670" t="inlineStr">
        <is>
          <t>32285001972719</t>
        </is>
      </c>
      <c r="BD1670" t="inlineStr">
        <is>
          <t>893347424</t>
        </is>
      </c>
    </row>
    <row r="1671">
      <c r="A1671" t="inlineStr">
        <is>
          <t>No</t>
        </is>
      </c>
      <c r="B1671" t="inlineStr">
        <is>
          <t>BX2435 .C62 1955</t>
        </is>
      </c>
      <c r="C1671" t="inlineStr">
        <is>
          <t>0                      BX 2435000C  62          1955</t>
        </is>
      </c>
      <c r="D1671" t="inlineStr">
        <is>
          <t>The practice of the vows / L. Colin. Translated by Suzanne Rickman.</t>
        </is>
      </c>
      <c r="F1671" t="inlineStr">
        <is>
          <t>No</t>
        </is>
      </c>
      <c r="G1671" t="inlineStr">
        <is>
          <t>1</t>
        </is>
      </c>
      <c r="H1671" t="inlineStr">
        <is>
          <t>No</t>
        </is>
      </c>
      <c r="I1671" t="inlineStr">
        <is>
          <t>No</t>
        </is>
      </c>
      <c r="J1671" t="inlineStr">
        <is>
          <t>0</t>
        </is>
      </c>
      <c r="K1671" t="inlineStr">
        <is>
          <t>Colin, L. (Louis), 1884-</t>
        </is>
      </c>
      <c r="L1671" t="inlineStr">
        <is>
          <t>Chicago : H. Regnery Co., 1955.</t>
        </is>
      </c>
      <c r="M1671" t="inlineStr">
        <is>
          <t>1955</t>
        </is>
      </c>
      <c r="O1671" t="inlineStr">
        <is>
          <t>eng</t>
        </is>
      </c>
      <c r="P1671" t="inlineStr">
        <is>
          <t>ilu</t>
        </is>
      </c>
      <c r="R1671" t="inlineStr">
        <is>
          <t xml:space="preserve">BX </t>
        </is>
      </c>
      <c r="S1671" t="n">
        <v>2</v>
      </c>
      <c r="T1671" t="n">
        <v>2</v>
      </c>
      <c r="U1671" t="inlineStr">
        <is>
          <t>1996-06-18</t>
        </is>
      </c>
      <c r="V1671" t="inlineStr">
        <is>
          <t>1996-06-18</t>
        </is>
      </c>
      <c r="W1671" t="inlineStr">
        <is>
          <t>1991-10-31</t>
        </is>
      </c>
      <c r="X1671" t="inlineStr">
        <is>
          <t>1991-10-31</t>
        </is>
      </c>
      <c r="Y1671" t="n">
        <v>97</v>
      </c>
      <c r="Z1671" t="n">
        <v>87</v>
      </c>
      <c r="AA1671" t="n">
        <v>95</v>
      </c>
      <c r="AB1671" t="n">
        <v>3</v>
      </c>
      <c r="AC1671" t="n">
        <v>3</v>
      </c>
      <c r="AD1671" t="n">
        <v>13</v>
      </c>
      <c r="AE1671" t="n">
        <v>14</v>
      </c>
      <c r="AF1671" t="n">
        <v>3</v>
      </c>
      <c r="AG1671" t="n">
        <v>3</v>
      </c>
      <c r="AH1671" t="n">
        <v>5</v>
      </c>
      <c r="AI1671" t="n">
        <v>5</v>
      </c>
      <c r="AJ1671" t="n">
        <v>10</v>
      </c>
      <c r="AK1671" t="n">
        <v>11</v>
      </c>
      <c r="AL1671" t="n">
        <v>0</v>
      </c>
      <c r="AM1671" t="n">
        <v>0</v>
      </c>
      <c r="AN1671" t="n">
        <v>0</v>
      </c>
      <c r="AO1671" t="n">
        <v>0</v>
      </c>
      <c r="AP1671" t="inlineStr">
        <is>
          <t>No</t>
        </is>
      </c>
      <c r="AQ1671" t="inlineStr">
        <is>
          <t>No</t>
        </is>
      </c>
      <c r="AS1671">
        <f>HYPERLINK("https://creighton-primo.hosted.exlibrisgroup.com/primo-explore/search?tab=default_tab&amp;search_scope=EVERYTHING&amp;vid=01CRU&amp;lang=en_US&amp;offset=0&amp;query=any,contains,991004348469702656","Catalog Record")</f>
        <v/>
      </c>
      <c r="AT1671">
        <f>HYPERLINK("http://www.worldcat.org/oclc/3108479","WorldCat Record")</f>
        <v/>
      </c>
      <c r="AU1671" t="inlineStr">
        <is>
          <t>7735984:eng</t>
        </is>
      </c>
      <c r="AV1671" t="inlineStr">
        <is>
          <t>3108479</t>
        </is>
      </c>
      <c r="AW1671" t="inlineStr">
        <is>
          <t>991004348469702656</t>
        </is>
      </c>
      <c r="AX1671" t="inlineStr">
        <is>
          <t>991004348469702656</t>
        </is>
      </c>
      <c r="AY1671" t="inlineStr">
        <is>
          <t>2268835330002656</t>
        </is>
      </c>
      <c r="AZ1671" t="inlineStr">
        <is>
          <t>BOOK</t>
        </is>
      </c>
      <c r="BC1671" t="inlineStr">
        <is>
          <t>32285000831668</t>
        </is>
      </c>
      <c r="BD1671" t="inlineStr">
        <is>
          <t>893593582</t>
        </is>
      </c>
    </row>
    <row r="1672">
      <c r="A1672" t="inlineStr">
        <is>
          <t>No</t>
        </is>
      </c>
      <c r="B1672" t="inlineStr">
        <is>
          <t>BX2435 .C648 1980</t>
        </is>
      </c>
      <c r="C1672" t="inlineStr">
        <is>
          <t>0                      BX 2435000C  648         1980</t>
        </is>
      </c>
      <c r="D1672" t="inlineStr">
        <is>
          <t>Consider your call : a theology of monastic life today / Daniel Rees and other members of the English Benedictine Congregation ; foreword by Cardinal Basil Hume.</t>
        </is>
      </c>
      <c r="F1672" t="inlineStr">
        <is>
          <t>No</t>
        </is>
      </c>
      <c r="G1672" t="inlineStr">
        <is>
          <t>1</t>
        </is>
      </c>
      <c r="H1672" t="inlineStr">
        <is>
          <t>No</t>
        </is>
      </c>
      <c r="I1672" t="inlineStr">
        <is>
          <t>No</t>
        </is>
      </c>
      <c r="J1672" t="inlineStr">
        <is>
          <t>0</t>
        </is>
      </c>
      <c r="L1672" t="inlineStr">
        <is>
          <t>Kalamazoo : Cistercian, 1980.</t>
        </is>
      </c>
      <c r="M1672" t="inlineStr">
        <is>
          <t>1980</t>
        </is>
      </c>
      <c r="O1672" t="inlineStr">
        <is>
          <t>eng</t>
        </is>
      </c>
      <c r="P1672" t="inlineStr">
        <is>
          <t>miu</t>
        </is>
      </c>
      <c r="R1672" t="inlineStr">
        <is>
          <t xml:space="preserve">BX </t>
        </is>
      </c>
      <c r="S1672" t="n">
        <v>9</v>
      </c>
      <c r="T1672" t="n">
        <v>9</v>
      </c>
      <c r="U1672" t="inlineStr">
        <is>
          <t>1998-10-11</t>
        </is>
      </c>
      <c r="V1672" t="inlineStr">
        <is>
          <t>1998-10-11</t>
        </is>
      </c>
      <c r="W1672" t="inlineStr">
        <is>
          <t>1991-10-31</t>
        </is>
      </c>
      <c r="X1672" t="inlineStr">
        <is>
          <t>1991-10-31</t>
        </is>
      </c>
      <c r="Y1672" t="n">
        <v>128</v>
      </c>
      <c r="Z1672" t="n">
        <v>123</v>
      </c>
      <c r="AA1672" t="n">
        <v>182</v>
      </c>
      <c r="AB1672" t="n">
        <v>2</v>
      </c>
      <c r="AC1672" t="n">
        <v>3</v>
      </c>
      <c r="AD1672" t="n">
        <v>17</v>
      </c>
      <c r="AE1672" t="n">
        <v>24</v>
      </c>
      <c r="AF1672" t="n">
        <v>4</v>
      </c>
      <c r="AG1672" t="n">
        <v>6</v>
      </c>
      <c r="AH1672" t="n">
        <v>6</v>
      </c>
      <c r="AI1672" t="n">
        <v>7</v>
      </c>
      <c r="AJ1672" t="n">
        <v>13</v>
      </c>
      <c r="AK1672" t="n">
        <v>18</v>
      </c>
      <c r="AL1672" t="n">
        <v>0</v>
      </c>
      <c r="AM1672" t="n">
        <v>1</v>
      </c>
      <c r="AN1672" t="n">
        <v>0</v>
      </c>
      <c r="AO1672" t="n">
        <v>0</v>
      </c>
      <c r="AP1672" t="inlineStr">
        <is>
          <t>No</t>
        </is>
      </c>
      <c r="AQ1672" t="inlineStr">
        <is>
          <t>Yes</t>
        </is>
      </c>
      <c r="AR1672">
        <f>HYPERLINK("http://catalog.hathitrust.org/Record/000708571","HathiTrust Record")</f>
        <v/>
      </c>
      <c r="AS1672">
        <f>HYPERLINK("https://creighton-primo.hosted.exlibrisgroup.com/primo-explore/search?tab=default_tab&amp;search_scope=EVERYTHING&amp;vid=01CRU&amp;lang=en_US&amp;offset=0&amp;query=any,contains,991004986839702656","Catalog Record")</f>
        <v/>
      </c>
      <c r="AT1672">
        <f>HYPERLINK("http://www.worldcat.org/oclc/6457460","WorldCat Record")</f>
        <v/>
      </c>
      <c r="AU1672" t="inlineStr">
        <is>
          <t>836716042:eng</t>
        </is>
      </c>
      <c r="AV1672" t="inlineStr">
        <is>
          <t>6457460</t>
        </is>
      </c>
      <c r="AW1672" t="inlineStr">
        <is>
          <t>991004986839702656</t>
        </is>
      </c>
      <c r="AX1672" t="inlineStr">
        <is>
          <t>991004986839702656</t>
        </is>
      </c>
      <c r="AY1672" t="inlineStr">
        <is>
          <t>2258577210002656</t>
        </is>
      </c>
      <c r="AZ1672" t="inlineStr">
        <is>
          <t>BOOK</t>
        </is>
      </c>
      <c r="BB1672" t="inlineStr">
        <is>
          <t>9780879078201</t>
        </is>
      </c>
      <c r="BC1672" t="inlineStr">
        <is>
          <t>32285000831676</t>
        </is>
      </c>
      <c r="BD1672" t="inlineStr">
        <is>
          <t>893332247</t>
        </is>
      </c>
    </row>
    <row r="1673">
      <c r="A1673" t="inlineStr">
        <is>
          <t>No</t>
        </is>
      </c>
      <c r="B1673" t="inlineStr">
        <is>
          <t>BX2435 .D27 1966</t>
        </is>
      </c>
      <c r="C1673" t="inlineStr">
        <is>
          <t>0                      BX 2435000D  27          1966</t>
        </is>
      </c>
      <c r="D1673" t="inlineStr">
        <is>
          <t>Obedience, the greatest freedom / in the words of Alberione [and others.] Compiled by the Daughters of St. Paul.</t>
        </is>
      </c>
      <c r="F1673" t="inlineStr">
        <is>
          <t>No</t>
        </is>
      </c>
      <c r="G1673" t="inlineStr">
        <is>
          <t>1</t>
        </is>
      </c>
      <c r="H1673" t="inlineStr">
        <is>
          <t>No</t>
        </is>
      </c>
      <c r="I1673" t="inlineStr">
        <is>
          <t>No</t>
        </is>
      </c>
      <c r="J1673" t="inlineStr">
        <is>
          <t>0</t>
        </is>
      </c>
      <c r="K1673" t="inlineStr">
        <is>
          <t>Daughters of St. Paul.</t>
        </is>
      </c>
      <c r="L1673" t="inlineStr">
        <is>
          <t>Boston : St. Paul Editions, [1966]</t>
        </is>
      </c>
      <c r="M1673" t="inlineStr">
        <is>
          <t>1966</t>
        </is>
      </c>
      <c r="O1673" t="inlineStr">
        <is>
          <t>eng</t>
        </is>
      </c>
      <c r="P1673" t="inlineStr">
        <is>
          <t>mau</t>
        </is>
      </c>
      <c r="R1673" t="inlineStr">
        <is>
          <t xml:space="preserve">BX </t>
        </is>
      </c>
      <c r="S1673" t="n">
        <v>3</v>
      </c>
      <c r="T1673" t="n">
        <v>3</v>
      </c>
      <c r="U1673" t="inlineStr">
        <is>
          <t>2002-04-02</t>
        </is>
      </c>
      <c r="V1673" t="inlineStr">
        <is>
          <t>2002-04-02</t>
        </is>
      </c>
      <c r="W1673" t="inlineStr">
        <is>
          <t>1991-10-31</t>
        </is>
      </c>
      <c r="X1673" t="inlineStr">
        <is>
          <t>1991-10-31</t>
        </is>
      </c>
      <c r="Y1673" t="n">
        <v>99</v>
      </c>
      <c r="Z1673" t="n">
        <v>88</v>
      </c>
      <c r="AA1673" t="n">
        <v>88</v>
      </c>
      <c r="AB1673" t="n">
        <v>1</v>
      </c>
      <c r="AC1673" t="n">
        <v>1</v>
      </c>
      <c r="AD1673" t="n">
        <v>13</v>
      </c>
      <c r="AE1673" t="n">
        <v>13</v>
      </c>
      <c r="AF1673" t="n">
        <v>3</v>
      </c>
      <c r="AG1673" t="n">
        <v>3</v>
      </c>
      <c r="AH1673" t="n">
        <v>4</v>
      </c>
      <c r="AI1673" t="n">
        <v>4</v>
      </c>
      <c r="AJ1673" t="n">
        <v>10</v>
      </c>
      <c r="AK1673" t="n">
        <v>10</v>
      </c>
      <c r="AL1673" t="n">
        <v>0</v>
      </c>
      <c r="AM1673" t="n">
        <v>0</v>
      </c>
      <c r="AN1673" t="n">
        <v>0</v>
      </c>
      <c r="AO1673" t="n">
        <v>0</v>
      </c>
      <c r="AP1673" t="inlineStr">
        <is>
          <t>No</t>
        </is>
      </c>
      <c r="AQ1673" t="inlineStr">
        <is>
          <t>No</t>
        </is>
      </c>
      <c r="AS1673">
        <f>HYPERLINK("https://creighton-primo.hosted.exlibrisgroup.com/primo-explore/search?tab=default_tab&amp;search_scope=EVERYTHING&amp;vid=01CRU&amp;lang=en_US&amp;offset=0&amp;query=any,contains,991004691739702656","Catalog Record")</f>
        <v/>
      </c>
      <c r="AT1673">
        <f>HYPERLINK("http://www.worldcat.org/oclc/4618957","WorldCat Record")</f>
        <v/>
      </c>
      <c r="AU1673" t="inlineStr">
        <is>
          <t>4081709056:eng</t>
        </is>
      </c>
      <c r="AV1673" t="inlineStr">
        <is>
          <t>4618957</t>
        </is>
      </c>
      <c r="AW1673" t="inlineStr">
        <is>
          <t>991004691739702656</t>
        </is>
      </c>
      <c r="AX1673" t="inlineStr">
        <is>
          <t>991004691739702656</t>
        </is>
      </c>
      <c r="AY1673" t="inlineStr">
        <is>
          <t>2271060550002656</t>
        </is>
      </c>
      <c r="AZ1673" t="inlineStr">
        <is>
          <t>BOOK</t>
        </is>
      </c>
      <c r="BC1673" t="inlineStr">
        <is>
          <t>32285000831692</t>
        </is>
      </c>
      <c r="BD1673" t="inlineStr">
        <is>
          <t>893247858</t>
        </is>
      </c>
    </row>
    <row r="1674">
      <c r="A1674" t="inlineStr">
        <is>
          <t>No</t>
        </is>
      </c>
      <c r="B1674" t="inlineStr">
        <is>
          <t>BX2435 .E3 1961</t>
        </is>
      </c>
      <c r="C1674" t="inlineStr">
        <is>
          <t>0                      BX 2435000E  3           1961</t>
        </is>
      </c>
      <c r="D1674" t="inlineStr">
        <is>
          <t>Points worth pondering / by B. Edwin.</t>
        </is>
      </c>
      <c r="F1674" t="inlineStr">
        <is>
          <t>No</t>
        </is>
      </c>
      <c r="G1674" t="inlineStr">
        <is>
          <t>1</t>
        </is>
      </c>
      <c r="H1674" t="inlineStr">
        <is>
          <t>No</t>
        </is>
      </c>
      <c r="I1674" t="inlineStr">
        <is>
          <t>No</t>
        </is>
      </c>
      <c r="J1674" t="inlineStr">
        <is>
          <t>0</t>
        </is>
      </c>
      <c r="K1674" t="inlineStr">
        <is>
          <t>Edwin, B.</t>
        </is>
      </c>
      <c r="L1674" t="inlineStr">
        <is>
          <t>Milwaukee : Bruce Pub. Co., [1961]</t>
        </is>
      </c>
      <c r="M1674" t="inlineStr">
        <is>
          <t>1961</t>
        </is>
      </c>
      <c r="O1674" t="inlineStr">
        <is>
          <t>eng</t>
        </is>
      </c>
      <c r="P1674" t="inlineStr">
        <is>
          <t>wiu</t>
        </is>
      </c>
      <c r="R1674" t="inlineStr">
        <is>
          <t xml:space="preserve">BX </t>
        </is>
      </c>
      <c r="S1674" t="n">
        <v>1</v>
      </c>
      <c r="T1674" t="n">
        <v>1</v>
      </c>
      <c r="U1674" t="inlineStr">
        <is>
          <t>1993-03-16</t>
        </is>
      </c>
      <c r="V1674" t="inlineStr">
        <is>
          <t>1993-03-16</t>
        </is>
      </c>
      <c r="W1674" t="inlineStr">
        <is>
          <t>1991-11-04</t>
        </is>
      </c>
      <c r="X1674" t="inlineStr">
        <is>
          <t>1991-11-04</t>
        </is>
      </c>
      <c r="Y1674" t="n">
        <v>48</v>
      </c>
      <c r="Z1674" t="n">
        <v>41</v>
      </c>
      <c r="AA1674" t="n">
        <v>41</v>
      </c>
      <c r="AB1674" t="n">
        <v>1</v>
      </c>
      <c r="AC1674" t="n">
        <v>1</v>
      </c>
      <c r="AD1674" t="n">
        <v>7</v>
      </c>
      <c r="AE1674" t="n">
        <v>7</v>
      </c>
      <c r="AF1674" t="n">
        <v>2</v>
      </c>
      <c r="AG1674" t="n">
        <v>2</v>
      </c>
      <c r="AH1674" t="n">
        <v>2</v>
      </c>
      <c r="AI1674" t="n">
        <v>2</v>
      </c>
      <c r="AJ1674" t="n">
        <v>6</v>
      </c>
      <c r="AK1674" t="n">
        <v>6</v>
      </c>
      <c r="AL1674" t="n">
        <v>0</v>
      </c>
      <c r="AM1674" t="n">
        <v>0</v>
      </c>
      <c r="AN1674" t="n">
        <v>0</v>
      </c>
      <c r="AO1674" t="n">
        <v>0</v>
      </c>
      <c r="AP1674" t="inlineStr">
        <is>
          <t>No</t>
        </is>
      </c>
      <c r="AQ1674" t="inlineStr">
        <is>
          <t>No</t>
        </is>
      </c>
      <c r="AS1674">
        <f>HYPERLINK("https://creighton-primo.hosted.exlibrisgroup.com/primo-explore/search?tab=default_tab&amp;search_scope=EVERYTHING&amp;vid=01CRU&amp;lang=en_US&amp;offset=0&amp;query=any,contains,991004180339702656","Catalog Record")</f>
        <v/>
      </c>
      <c r="AT1674">
        <f>HYPERLINK("http://www.worldcat.org/oclc/2602680","WorldCat Record")</f>
        <v/>
      </c>
      <c r="AU1674" t="inlineStr">
        <is>
          <t>9090609087:eng</t>
        </is>
      </c>
      <c r="AV1674" t="inlineStr">
        <is>
          <t>2602680</t>
        </is>
      </c>
      <c r="AW1674" t="inlineStr">
        <is>
          <t>991004180339702656</t>
        </is>
      </c>
      <c r="AX1674" t="inlineStr">
        <is>
          <t>991004180339702656</t>
        </is>
      </c>
      <c r="AY1674" t="inlineStr">
        <is>
          <t>2271721300002656</t>
        </is>
      </c>
      <c r="AZ1674" t="inlineStr">
        <is>
          <t>BOOK</t>
        </is>
      </c>
      <c r="BC1674" t="inlineStr">
        <is>
          <t>32285000831767</t>
        </is>
      </c>
      <c r="BD1674" t="inlineStr">
        <is>
          <t>893618350</t>
        </is>
      </c>
    </row>
    <row r="1675">
      <c r="A1675" t="inlineStr">
        <is>
          <t>No</t>
        </is>
      </c>
      <c r="B1675" t="inlineStr">
        <is>
          <t>BX2435 .F328 1983</t>
        </is>
      </c>
      <c r="C1675" t="inlineStr">
        <is>
          <t>0                      BX 2435000F  328         1983</t>
        </is>
      </c>
      <c r="D1675" t="inlineStr">
        <is>
          <t>The end of the religious life / Robert Faricy.</t>
        </is>
      </c>
      <c r="F1675" t="inlineStr">
        <is>
          <t>No</t>
        </is>
      </c>
      <c r="G1675" t="inlineStr">
        <is>
          <t>1</t>
        </is>
      </c>
      <c r="H1675" t="inlineStr">
        <is>
          <t>No</t>
        </is>
      </c>
      <c r="I1675" t="inlineStr">
        <is>
          <t>No</t>
        </is>
      </c>
      <c r="J1675" t="inlineStr">
        <is>
          <t>0</t>
        </is>
      </c>
      <c r="K1675" t="inlineStr">
        <is>
          <t>Faricy, Robert L., 1926-</t>
        </is>
      </c>
      <c r="L1675" t="inlineStr">
        <is>
          <t>Minneapolis, Minn. : Winston Press, c1983.</t>
        </is>
      </c>
      <c r="M1675" t="inlineStr">
        <is>
          <t>1983</t>
        </is>
      </c>
      <c r="O1675" t="inlineStr">
        <is>
          <t>eng</t>
        </is>
      </c>
      <c r="P1675" t="inlineStr">
        <is>
          <t>mnu</t>
        </is>
      </c>
      <c r="R1675" t="inlineStr">
        <is>
          <t xml:space="preserve">BX </t>
        </is>
      </c>
      <c r="S1675" t="n">
        <v>5</v>
      </c>
      <c r="T1675" t="n">
        <v>5</v>
      </c>
      <c r="U1675" t="inlineStr">
        <is>
          <t>2000-06-27</t>
        </is>
      </c>
      <c r="V1675" t="inlineStr">
        <is>
          <t>2000-06-27</t>
        </is>
      </c>
      <c r="W1675" t="inlineStr">
        <is>
          <t>1991-07-11</t>
        </is>
      </c>
      <c r="X1675" t="inlineStr">
        <is>
          <t>1991-07-11</t>
        </is>
      </c>
      <c r="Y1675" t="n">
        <v>93</v>
      </c>
      <c r="Z1675" t="n">
        <v>76</v>
      </c>
      <c r="AA1675" t="n">
        <v>76</v>
      </c>
      <c r="AB1675" t="n">
        <v>2</v>
      </c>
      <c r="AC1675" t="n">
        <v>2</v>
      </c>
      <c r="AD1675" t="n">
        <v>12</v>
      </c>
      <c r="AE1675" t="n">
        <v>12</v>
      </c>
      <c r="AF1675" t="n">
        <v>4</v>
      </c>
      <c r="AG1675" t="n">
        <v>4</v>
      </c>
      <c r="AH1675" t="n">
        <v>4</v>
      </c>
      <c r="AI1675" t="n">
        <v>4</v>
      </c>
      <c r="AJ1675" t="n">
        <v>9</v>
      </c>
      <c r="AK1675" t="n">
        <v>9</v>
      </c>
      <c r="AL1675" t="n">
        <v>0</v>
      </c>
      <c r="AM1675" t="n">
        <v>0</v>
      </c>
      <c r="AN1675" t="n">
        <v>0</v>
      </c>
      <c r="AO1675" t="n">
        <v>0</v>
      </c>
      <c r="AP1675" t="inlineStr">
        <is>
          <t>No</t>
        </is>
      </c>
      <c r="AQ1675" t="inlineStr">
        <is>
          <t>No</t>
        </is>
      </c>
      <c r="AS1675">
        <f>HYPERLINK("https://creighton-primo.hosted.exlibrisgroup.com/primo-explore/search?tab=default_tab&amp;search_scope=EVERYTHING&amp;vid=01CRU&amp;lang=en_US&amp;offset=0&amp;query=any,contains,991000239729702656","Catalog Record")</f>
        <v/>
      </c>
      <c r="AT1675">
        <f>HYPERLINK("http://www.worldcat.org/oclc/9682913","WorldCat Record")</f>
        <v/>
      </c>
      <c r="AU1675" t="inlineStr">
        <is>
          <t>1863580132:eng</t>
        </is>
      </c>
      <c r="AV1675" t="inlineStr">
        <is>
          <t>9682913</t>
        </is>
      </c>
      <c r="AW1675" t="inlineStr">
        <is>
          <t>991000239729702656</t>
        </is>
      </c>
      <c r="AX1675" t="inlineStr">
        <is>
          <t>991000239729702656</t>
        </is>
      </c>
      <c r="AY1675" t="inlineStr">
        <is>
          <t>2264007380002656</t>
        </is>
      </c>
      <c r="AZ1675" t="inlineStr">
        <is>
          <t>BOOK</t>
        </is>
      </c>
      <c r="BB1675" t="inlineStr">
        <is>
          <t>9780866836906</t>
        </is>
      </c>
      <c r="BC1675" t="inlineStr">
        <is>
          <t>32285000637651</t>
        </is>
      </c>
      <c r="BD1675" t="inlineStr">
        <is>
          <t>893701969</t>
        </is>
      </c>
    </row>
    <row r="1676">
      <c r="A1676" t="inlineStr">
        <is>
          <t>No</t>
        </is>
      </c>
      <c r="B1676" t="inlineStr">
        <is>
          <t>BX2435 .F33 1976</t>
        </is>
      </c>
      <c r="C1676" t="inlineStr">
        <is>
          <t>0                      BX 2435000F  33          1976</t>
        </is>
      </c>
      <c r="D1676" t="inlineStr">
        <is>
          <t>Spirituality for religious life / by Robert Faricy.</t>
        </is>
      </c>
      <c r="F1676" t="inlineStr">
        <is>
          <t>No</t>
        </is>
      </c>
      <c r="G1676" t="inlineStr">
        <is>
          <t>1</t>
        </is>
      </c>
      <c r="H1676" t="inlineStr">
        <is>
          <t>No</t>
        </is>
      </c>
      <c r="I1676" t="inlineStr">
        <is>
          <t>No</t>
        </is>
      </c>
      <c r="J1676" t="inlineStr">
        <is>
          <t>0</t>
        </is>
      </c>
      <c r="K1676" t="inlineStr">
        <is>
          <t>Faricy, Robert L., 1926-</t>
        </is>
      </c>
      <c r="L1676" t="inlineStr">
        <is>
          <t>New York : Paulist Press, c1976.</t>
        </is>
      </c>
      <c r="M1676" t="inlineStr">
        <is>
          <t>1976</t>
        </is>
      </c>
      <c r="O1676" t="inlineStr">
        <is>
          <t>eng</t>
        </is>
      </c>
      <c r="P1676" t="inlineStr">
        <is>
          <t>nyu</t>
        </is>
      </c>
      <c r="R1676" t="inlineStr">
        <is>
          <t xml:space="preserve">BX </t>
        </is>
      </c>
      <c r="S1676" t="n">
        <v>3</v>
      </c>
      <c r="T1676" t="n">
        <v>3</v>
      </c>
      <c r="U1676" t="inlineStr">
        <is>
          <t>2002-06-18</t>
        </is>
      </c>
      <c r="V1676" t="inlineStr">
        <is>
          <t>2002-06-18</t>
        </is>
      </c>
      <c r="W1676" t="inlineStr">
        <is>
          <t>1991-11-04</t>
        </is>
      </c>
      <c r="X1676" t="inlineStr">
        <is>
          <t>1991-11-04</t>
        </is>
      </c>
      <c r="Y1676" t="n">
        <v>81</v>
      </c>
      <c r="Z1676" t="n">
        <v>60</v>
      </c>
      <c r="AA1676" t="n">
        <v>60</v>
      </c>
      <c r="AB1676" t="n">
        <v>1</v>
      </c>
      <c r="AC1676" t="n">
        <v>1</v>
      </c>
      <c r="AD1676" t="n">
        <v>7</v>
      </c>
      <c r="AE1676" t="n">
        <v>7</v>
      </c>
      <c r="AF1676" t="n">
        <v>1</v>
      </c>
      <c r="AG1676" t="n">
        <v>1</v>
      </c>
      <c r="AH1676" t="n">
        <v>2</v>
      </c>
      <c r="AI1676" t="n">
        <v>2</v>
      </c>
      <c r="AJ1676" t="n">
        <v>6</v>
      </c>
      <c r="AK1676" t="n">
        <v>6</v>
      </c>
      <c r="AL1676" t="n">
        <v>0</v>
      </c>
      <c r="AM1676" t="n">
        <v>0</v>
      </c>
      <c r="AN1676" t="n">
        <v>0</v>
      </c>
      <c r="AO1676" t="n">
        <v>0</v>
      </c>
      <c r="AP1676" t="inlineStr">
        <is>
          <t>No</t>
        </is>
      </c>
      <c r="AQ1676" t="inlineStr">
        <is>
          <t>No</t>
        </is>
      </c>
      <c r="AS1676">
        <f>HYPERLINK("https://creighton-primo.hosted.exlibrisgroup.com/primo-explore/search?tab=default_tab&amp;search_scope=EVERYTHING&amp;vid=01CRU&amp;lang=en_US&amp;offset=0&amp;query=any,contains,991004091579702656","Catalog Record")</f>
        <v/>
      </c>
      <c r="AT1676">
        <f>HYPERLINK("http://www.worldcat.org/oclc/2345873","WorldCat Record")</f>
        <v/>
      </c>
      <c r="AU1676" t="inlineStr">
        <is>
          <t>10624455962:eng</t>
        </is>
      </c>
      <c r="AV1676" t="inlineStr">
        <is>
          <t>2345873</t>
        </is>
      </c>
      <c r="AW1676" t="inlineStr">
        <is>
          <t>991004091579702656</t>
        </is>
      </c>
      <c r="AX1676" t="inlineStr">
        <is>
          <t>991004091579702656</t>
        </is>
      </c>
      <c r="AY1676" t="inlineStr">
        <is>
          <t>2262041240002656</t>
        </is>
      </c>
      <c r="AZ1676" t="inlineStr">
        <is>
          <t>BOOK</t>
        </is>
      </c>
      <c r="BB1676" t="inlineStr">
        <is>
          <t>9780809119325</t>
        </is>
      </c>
      <c r="BC1676" t="inlineStr">
        <is>
          <t>32285000831775</t>
        </is>
      </c>
      <c r="BD1676" t="inlineStr">
        <is>
          <t>893794462</t>
        </is>
      </c>
    </row>
    <row r="1677">
      <c r="A1677" t="inlineStr">
        <is>
          <t>No</t>
        </is>
      </c>
      <c r="B1677" t="inlineStr">
        <is>
          <t>BX2435 .F48 2001</t>
        </is>
      </c>
      <c r="C1677" t="inlineStr">
        <is>
          <t>0                      BX 2435000F  48          2001</t>
        </is>
      </c>
      <c r="D1677" t="inlineStr">
        <is>
          <t>Refocusing the vision : religious life into the future / Barbara Fiand.</t>
        </is>
      </c>
      <c r="F1677" t="inlineStr">
        <is>
          <t>No</t>
        </is>
      </c>
      <c r="G1677" t="inlineStr">
        <is>
          <t>1</t>
        </is>
      </c>
      <c r="H1677" t="inlineStr">
        <is>
          <t>No</t>
        </is>
      </c>
      <c r="I1677" t="inlineStr">
        <is>
          <t>No</t>
        </is>
      </c>
      <c r="J1677" t="inlineStr">
        <is>
          <t>0</t>
        </is>
      </c>
      <c r="K1677" t="inlineStr">
        <is>
          <t>Fiand, Barbara.</t>
        </is>
      </c>
      <c r="L1677" t="inlineStr">
        <is>
          <t>New York : Crossroad Pub. Co., c2001.</t>
        </is>
      </c>
      <c r="M1677" t="inlineStr">
        <is>
          <t>2001</t>
        </is>
      </c>
      <c r="O1677" t="inlineStr">
        <is>
          <t>eng</t>
        </is>
      </c>
      <c r="P1677" t="inlineStr">
        <is>
          <t>nyu</t>
        </is>
      </c>
      <c r="R1677" t="inlineStr">
        <is>
          <t xml:space="preserve">BX </t>
        </is>
      </c>
      <c r="S1677" t="n">
        <v>3</v>
      </c>
      <c r="T1677" t="n">
        <v>3</v>
      </c>
      <c r="U1677" t="inlineStr">
        <is>
          <t>2008-07-10</t>
        </is>
      </c>
      <c r="V1677" t="inlineStr">
        <is>
          <t>2008-07-10</t>
        </is>
      </c>
      <c r="W1677" t="inlineStr">
        <is>
          <t>2001-05-30</t>
        </is>
      </c>
      <c r="X1677" t="inlineStr">
        <is>
          <t>2001-05-30</t>
        </is>
      </c>
      <c r="Y1677" t="n">
        <v>92</v>
      </c>
      <c r="Z1677" t="n">
        <v>74</v>
      </c>
      <c r="AA1677" t="n">
        <v>79</v>
      </c>
      <c r="AB1677" t="n">
        <v>1</v>
      </c>
      <c r="AC1677" t="n">
        <v>1</v>
      </c>
      <c r="AD1677" t="n">
        <v>7</v>
      </c>
      <c r="AE1677" t="n">
        <v>7</v>
      </c>
      <c r="AF1677" t="n">
        <v>2</v>
      </c>
      <c r="AG1677" t="n">
        <v>2</v>
      </c>
      <c r="AH1677" t="n">
        <v>2</v>
      </c>
      <c r="AI1677" t="n">
        <v>2</v>
      </c>
      <c r="AJ1677" t="n">
        <v>6</v>
      </c>
      <c r="AK1677" t="n">
        <v>6</v>
      </c>
      <c r="AL1677" t="n">
        <v>0</v>
      </c>
      <c r="AM1677" t="n">
        <v>0</v>
      </c>
      <c r="AN1677" t="n">
        <v>0</v>
      </c>
      <c r="AO1677" t="n">
        <v>0</v>
      </c>
      <c r="AP1677" t="inlineStr">
        <is>
          <t>No</t>
        </is>
      </c>
      <c r="AQ1677" t="inlineStr">
        <is>
          <t>No</t>
        </is>
      </c>
      <c r="AS1677">
        <f>HYPERLINK("https://creighton-primo.hosted.exlibrisgroup.com/primo-explore/search?tab=default_tab&amp;search_scope=EVERYTHING&amp;vid=01CRU&amp;lang=en_US&amp;offset=0&amp;query=any,contains,991003535909702656","Catalog Record")</f>
        <v/>
      </c>
      <c r="AT1677">
        <f>HYPERLINK("http://www.worldcat.org/oclc/45420235","WorldCat Record")</f>
        <v/>
      </c>
      <c r="AU1677" t="inlineStr">
        <is>
          <t>5164232800:eng</t>
        </is>
      </c>
      <c r="AV1677" t="inlineStr">
        <is>
          <t>45420235</t>
        </is>
      </c>
      <c r="AW1677" t="inlineStr">
        <is>
          <t>991003535909702656</t>
        </is>
      </c>
      <c r="AX1677" t="inlineStr">
        <is>
          <t>991003535909702656</t>
        </is>
      </c>
      <c r="AY1677" t="inlineStr">
        <is>
          <t>2256270240002656</t>
        </is>
      </c>
      <c r="AZ1677" t="inlineStr">
        <is>
          <t>BOOK</t>
        </is>
      </c>
      <c r="BB1677" t="inlineStr">
        <is>
          <t>9780824518905</t>
        </is>
      </c>
      <c r="BC1677" t="inlineStr">
        <is>
          <t>32285004319249</t>
        </is>
      </c>
      <c r="BD1677" t="inlineStr">
        <is>
          <t>893598676</t>
        </is>
      </c>
    </row>
    <row r="1678">
      <c r="A1678" t="inlineStr">
        <is>
          <t>No</t>
        </is>
      </c>
      <c r="B1678" t="inlineStr">
        <is>
          <t>BX2435 .G33513 1973, v...</t>
        </is>
      </c>
      <c r="C1678" t="inlineStr">
        <is>
          <t>0                      BX 2435000G  33513       1973                                        v...</t>
        </is>
      </c>
      <c r="D1678" t="inlineStr">
        <is>
          <t>Consecration and service / by Elio Gambari. Translated and abridged by Mary Magdalen Bellasis.</t>
        </is>
      </c>
      <c r="E1678" t="inlineStr">
        <is>
          <t>V.1</t>
        </is>
      </c>
      <c r="F1678" t="inlineStr">
        <is>
          <t>No</t>
        </is>
      </c>
      <c r="G1678" t="inlineStr">
        <is>
          <t>1</t>
        </is>
      </c>
      <c r="H1678" t="inlineStr">
        <is>
          <t>No</t>
        </is>
      </c>
      <c r="I1678" t="inlineStr">
        <is>
          <t>No</t>
        </is>
      </c>
      <c r="J1678" t="inlineStr">
        <is>
          <t>0</t>
        </is>
      </c>
      <c r="K1678" t="inlineStr">
        <is>
          <t>Gambari, Elio.</t>
        </is>
      </c>
      <c r="L1678" t="inlineStr">
        <is>
          <t>[Boston] : St. Paul Editions, [1973-</t>
        </is>
      </c>
      <c r="M1678" t="inlineStr">
        <is>
          <t>1973</t>
        </is>
      </c>
      <c r="O1678" t="inlineStr">
        <is>
          <t>eng</t>
        </is>
      </c>
      <c r="P1678" t="inlineStr">
        <is>
          <t>mau</t>
        </is>
      </c>
      <c r="R1678" t="inlineStr">
        <is>
          <t xml:space="preserve">BX </t>
        </is>
      </c>
      <c r="S1678" t="n">
        <v>3</v>
      </c>
      <c r="T1678" t="n">
        <v>3</v>
      </c>
      <c r="U1678" t="inlineStr">
        <is>
          <t>1996-09-26</t>
        </is>
      </c>
      <c r="V1678" t="inlineStr">
        <is>
          <t>1996-09-26</t>
        </is>
      </c>
      <c r="W1678" t="inlineStr">
        <is>
          <t>1991-11-04</t>
        </is>
      </c>
      <c r="X1678" t="inlineStr">
        <is>
          <t>1991-11-04</t>
        </is>
      </c>
      <c r="Y1678" t="n">
        <v>48</v>
      </c>
      <c r="Z1678" t="n">
        <v>44</v>
      </c>
      <c r="AA1678" t="n">
        <v>44</v>
      </c>
      <c r="AB1678" t="n">
        <v>1</v>
      </c>
      <c r="AC1678" t="n">
        <v>1</v>
      </c>
      <c r="AD1678" t="n">
        <v>8</v>
      </c>
      <c r="AE1678" t="n">
        <v>8</v>
      </c>
      <c r="AF1678" t="n">
        <v>1</v>
      </c>
      <c r="AG1678" t="n">
        <v>1</v>
      </c>
      <c r="AH1678" t="n">
        <v>2</v>
      </c>
      <c r="AI1678" t="n">
        <v>2</v>
      </c>
      <c r="AJ1678" t="n">
        <v>6</v>
      </c>
      <c r="AK1678" t="n">
        <v>6</v>
      </c>
      <c r="AL1678" t="n">
        <v>0</v>
      </c>
      <c r="AM1678" t="n">
        <v>0</v>
      </c>
      <c r="AN1678" t="n">
        <v>0</v>
      </c>
      <c r="AO1678" t="n">
        <v>0</v>
      </c>
      <c r="AP1678" t="inlineStr">
        <is>
          <t>No</t>
        </is>
      </c>
      <c r="AQ1678" t="inlineStr">
        <is>
          <t>No</t>
        </is>
      </c>
      <c r="AS1678">
        <f>HYPERLINK("https://creighton-primo.hosted.exlibrisgroup.com/primo-explore/search?tab=default_tab&amp;search_scope=EVERYTHING&amp;vid=01CRU&amp;lang=en_US&amp;offset=0&amp;query=any,contains,991003066929702656","Catalog Record")</f>
        <v/>
      </c>
      <c r="AT1678">
        <f>HYPERLINK("http://www.worldcat.org/oclc/622697","WorldCat Record")</f>
        <v/>
      </c>
      <c r="AU1678" t="inlineStr">
        <is>
          <t>10252767191:eng</t>
        </is>
      </c>
      <c r="AV1678" t="inlineStr">
        <is>
          <t>622697</t>
        </is>
      </c>
      <c r="AW1678" t="inlineStr">
        <is>
          <t>991003066929702656</t>
        </is>
      </c>
      <c r="AX1678" t="inlineStr">
        <is>
          <t>991003066929702656</t>
        </is>
      </c>
      <c r="AY1678" t="inlineStr">
        <is>
          <t>2257228250002656</t>
        </is>
      </c>
      <c r="AZ1678" t="inlineStr">
        <is>
          <t>BOOK</t>
        </is>
      </c>
      <c r="BC1678" t="inlineStr">
        <is>
          <t>32285000831791</t>
        </is>
      </c>
      <c r="BD1678" t="inlineStr">
        <is>
          <t>893704869</t>
        </is>
      </c>
    </row>
    <row r="1679">
      <c r="A1679" t="inlineStr">
        <is>
          <t>No</t>
        </is>
      </c>
      <c r="B1679" t="inlineStr">
        <is>
          <t>BX2435 .G4 1966</t>
        </is>
      </c>
      <c r="C1679" t="inlineStr">
        <is>
          <t>0                      BX 2435000G  4           1966</t>
        </is>
      </c>
      <c r="D1679" t="inlineStr">
        <is>
          <t>Functional asceticism : a guideline for American religious / Donald L. Gelpi.</t>
        </is>
      </c>
      <c r="F1679" t="inlineStr">
        <is>
          <t>No</t>
        </is>
      </c>
      <c r="G1679" t="inlineStr">
        <is>
          <t>1</t>
        </is>
      </c>
      <c r="H1679" t="inlineStr">
        <is>
          <t>No</t>
        </is>
      </c>
      <c r="I1679" t="inlineStr">
        <is>
          <t>No</t>
        </is>
      </c>
      <c r="J1679" t="inlineStr">
        <is>
          <t>0</t>
        </is>
      </c>
      <c r="K1679" t="inlineStr">
        <is>
          <t>Gelpi, Donald L., 1934-2011.</t>
        </is>
      </c>
      <c r="L1679" t="inlineStr">
        <is>
          <t>New York : Sheed and Ward, [1966]</t>
        </is>
      </c>
      <c r="M1679" t="inlineStr">
        <is>
          <t>1966</t>
        </is>
      </c>
      <c r="O1679" t="inlineStr">
        <is>
          <t>eng</t>
        </is>
      </c>
      <c r="P1679" t="inlineStr">
        <is>
          <t xml:space="preserve">xx </t>
        </is>
      </c>
      <c r="R1679" t="inlineStr">
        <is>
          <t xml:space="preserve">BX </t>
        </is>
      </c>
      <c r="S1679" t="n">
        <v>4</v>
      </c>
      <c r="T1679" t="n">
        <v>4</v>
      </c>
      <c r="U1679" t="inlineStr">
        <is>
          <t>2003-11-03</t>
        </is>
      </c>
      <c r="V1679" t="inlineStr">
        <is>
          <t>2003-11-03</t>
        </is>
      </c>
      <c r="W1679" t="inlineStr">
        <is>
          <t>1991-11-04</t>
        </is>
      </c>
      <c r="X1679" t="inlineStr">
        <is>
          <t>1991-11-04</t>
        </is>
      </c>
      <c r="Y1679" t="n">
        <v>229</v>
      </c>
      <c r="Z1679" t="n">
        <v>205</v>
      </c>
      <c r="AA1679" t="n">
        <v>210</v>
      </c>
      <c r="AB1679" t="n">
        <v>2</v>
      </c>
      <c r="AC1679" t="n">
        <v>2</v>
      </c>
      <c r="AD1679" t="n">
        <v>30</v>
      </c>
      <c r="AE1679" t="n">
        <v>30</v>
      </c>
      <c r="AF1679" t="n">
        <v>10</v>
      </c>
      <c r="AG1679" t="n">
        <v>10</v>
      </c>
      <c r="AH1679" t="n">
        <v>7</v>
      </c>
      <c r="AI1679" t="n">
        <v>7</v>
      </c>
      <c r="AJ1679" t="n">
        <v>24</v>
      </c>
      <c r="AK1679" t="n">
        <v>24</v>
      </c>
      <c r="AL1679" t="n">
        <v>0</v>
      </c>
      <c r="AM1679" t="n">
        <v>0</v>
      </c>
      <c r="AN1679" t="n">
        <v>0</v>
      </c>
      <c r="AO1679" t="n">
        <v>0</v>
      </c>
      <c r="AP1679" t="inlineStr">
        <is>
          <t>No</t>
        </is>
      </c>
      <c r="AQ1679" t="inlineStr">
        <is>
          <t>No</t>
        </is>
      </c>
      <c r="AS1679">
        <f>HYPERLINK("https://creighton-primo.hosted.exlibrisgroup.com/primo-explore/search?tab=default_tab&amp;search_scope=EVERYTHING&amp;vid=01CRU&amp;lang=en_US&amp;offset=0&amp;query=any,contains,991003680059702656","Catalog Record")</f>
        <v/>
      </c>
      <c r="AT1679">
        <f>HYPERLINK("http://www.worldcat.org/oclc/1305147","WorldCat Record")</f>
        <v/>
      </c>
      <c r="AU1679" t="inlineStr">
        <is>
          <t>2173909:eng</t>
        </is>
      </c>
      <c r="AV1679" t="inlineStr">
        <is>
          <t>1305147</t>
        </is>
      </c>
      <c r="AW1679" t="inlineStr">
        <is>
          <t>991003680059702656</t>
        </is>
      </c>
      <c r="AX1679" t="inlineStr">
        <is>
          <t>991003680059702656</t>
        </is>
      </c>
      <c r="AY1679" t="inlineStr">
        <is>
          <t>2264516740002656</t>
        </is>
      </c>
      <c r="AZ1679" t="inlineStr">
        <is>
          <t>BOOK</t>
        </is>
      </c>
      <c r="BC1679" t="inlineStr">
        <is>
          <t>32285000831825</t>
        </is>
      </c>
      <c r="BD1679" t="inlineStr">
        <is>
          <t>893422829</t>
        </is>
      </c>
    </row>
    <row r="1680">
      <c r="A1680" t="inlineStr">
        <is>
          <t>No</t>
        </is>
      </c>
      <c r="B1680" t="inlineStr">
        <is>
          <t>BX2435 .H85 2003</t>
        </is>
      </c>
      <c r="C1680" t="inlineStr">
        <is>
          <t>0                      BX 2435000H  85          2003</t>
        </is>
      </c>
      <c r="D1680" t="inlineStr">
        <is>
          <t>The intentional life : the making of a monastic vocation / Cardinal Basil Hume.</t>
        </is>
      </c>
      <c r="F1680" t="inlineStr">
        <is>
          <t>No</t>
        </is>
      </c>
      <c r="G1680" t="inlineStr">
        <is>
          <t>1</t>
        </is>
      </c>
      <c r="H1680" t="inlineStr">
        <is>
          <t>No</t>
        </is>
      </c>
      <c r="I1680" t="inlineStr">
        <is>
          <t>No</t>
        </is>
      </c>
      <c r="J1680" t="inlineStr">
        <is>
          <t>0</t>
        </is>
      </c>
      <c r="K1680" t="inlineStr">
        <is>
          <t>Hume, Basil, 1923-1999.</t>
        </is>
      </c>
      <c r="L1680" t="inlineStr">
        <is>
          <t>Brewster, Mass. : Paraclete Press, 2003.</t>
        </is>
      </c>
      <c r="M1680" t="inlineStr">
        <is>
          <t>2003</t>
        </is>
      </c>
      <c r="O1680" t="inlineStr">
        <is>
          <t>eng</t>
        </is>
      </c>
      <c r="P1680" t="inlineStr">
        <is>
          <t>mau</t>
        </is>
      </c>
      <c r="R1680" t="inlineStr">
        <is>
          <t xml:space="preserve">BX </t>
        </is>
      </c>
      <c r="S1680" t="n">
        <v>4</v>
      </c>
      <c r="T1680" t="n">
        <v>4</v>
      </c>
      <c r="U1680" t="inlineStr">
        <is>
          <t>2007-05-22</t>
        </is>
      </c>
      <c r="V1680" t="inlineStr">
        <is>
          <t>2007-05-22</t>
        </is>
      </c>
      <c r="W1680" t="inlineStr">
        <is>
          <t>2007-05-15</t>
        </is>
      </c>
      <c r="X1680" t="inlineStr">
        <is>
          <t>2007-05-15</t>
        </is>
      </c>
      <c r="Y1680" t="n">
        <v>42</v>
      </c>
      <c r="Z1680" t="n">
        <v>37</v>
      </c>
      <c r="AA1680" t="n">
        <v>37</v>
      </c>
      <c r="AB1680" t="n">
        <v>1</v>
      </c>
      <c r="AC1680" t="n">
        <v>1</v>
      </c>
      <c r="AD1680" t="n">
        <v>4</v>
      </c>
      <c r="AE1680" t="n">
        <v>4</v>
      </c>
      <c r="AF1680" t="n">
        <v>1</v>
      </c>
      <c r="AG1680" t="n">
        <v>1</v>
      </c>
      <c r="AH1680" t="n">
        <v>1</v>
      </c>
      <c r="AI1680" t="n">
        <v>1</v>
      </c>
      <c r="AJ1680" t="n">
        <v>2</v>
      </c>
      <c r="AK1680" t="n">
        <v>2</v>
      </c>
      <c r="AL1680" t="n">
        <v>0</v>
      </c>
      <c r="AM1680" t="n">
        <v>0</v>
      </c>
      <c r="AN1680" t="n">
        <v>0</v>
      </c>
      <c r="AO1680" t="n">
        <v>0</v>
      </c>
      <c r="AP1680" t="inlineStr">
        <is>
          <t>No</t>
        </is>
      </c>
      <c r="AQ1680" t="inlineStr">
        <is>
          <t>No</t>
        </is>
      </c>
      <c r="AS1680">
        <f>HYPERLINK("https://creighton-primo.hosted.exlibrisgroup.com/primo-explore/search?tab=default_tab&amp;search_scope=EVERYTHING&amp;vid=01CRU&amp;lang=en_US&amp;offset=0&amp;query=any,contains,991005079869702656","Catalog Record")</f>
        <v/>
      </c>
      <c r="AT1680">
        <f>HYPERLINK("http://www.worldcat.org/oclc/51040546","WorldCat Record")</f>
        <v/>
      </c>
      <c r="AU1680" t="inlineStr">
        <is>
          <t>773014:eng</t>
        </is>
      </c>
      <c r="AV1680" t="inlineStr">
        <is>
          <t>51040546</t>
        </is>
      </c>
      <c r="AW1680" t="inlineStr">
        <is>
          <t>991005079869702656</t>
        </is>
      </c>
      <c r="AX1680" t="inlineStr">
        <is>
          <t>991005079869702656</t>
        </is>
      </c>
      <c r="AY1680" t="inlineStr">
        <is>
          <t>2255395810002656</t>
        </is>
      </c>
      <c r="AZ1680" t="inlineStr">
        <is>
          <t>BOOK</t>
        </is>
      </c>
      <c r="BB1680" t="inlineStr">
        <is>
          <t>9781557253262</t>
        </is>
      </c>
      <c r="BC1680" t="inlineStr">
        <is>
          <t>32285005312946</t>
        </is>
      </c>
      <c r="BD1680" t="inlineStr">
        <is>
          <t>893782986</t>
        </is>
      </c>
    </row>
    <row r="1681">
      <c r="A1681" t="inlineStr">
        <is>
          <t>No</t>
        </is>
      </c>
      <c r="B1681" t="inlineStr">
        <is>
          <t>BX2435 .K65</t>
        </is>
      </c>
      <c r="C1681" t="inlineStr">
        <is>
          <t>0                      BX 2435000K  65</t>
        </is>
      </c>
      <c r="D1681" t="inlineStr">
        <is>
          <t>Cloud by day, fire by night : the religious life as passionate response to God / by David M. Knight.</t>
        </is>
      </c>
      <c r="F1681" t="inlineStr">
        <is>
          <t>No</t>
        </is>
      </c>
      <c r="G1681" t="inlineStr">
        <is>
          <t>1</t>
        </is>
      </c>
      <c r="H1681" t="inlineStr">
        <is>
          <t>No</t>
        </is>
      </c>
      <c r="I1681" t="inlineStr">
        <is>
          <t>No</t>
        </is>
      </c>
      <c r="J1681" t="inlineStr">
        <is>
          <t>0</t>
        </is>
      </c>
      <c r="K1681" t="inlineStr">
        <is>
          <t>Knight, David M.</t>
        </is>
      </c>
      <c r="L1681" t="inlineStr">
        <is>
          <t>Ottawa, Ontario : Canadian Religious Conference, [1976?]</t>
        </is>
      </c>
      <c r="M1681" t="inlineStr">
        <is>
          <t>1976</t>
        </is>
      </c>
      <c r="O1681" t="inlineStr">
        <is>
          <t>eng</t>
        </is>
      </c>
      <c r="P1681" t="inlineStr">
        <is>
          <t>onc</t>
        </is>
      </c>
      <c r="Q1681" t="inlineStr">
        <is>
          <t>Vita evangelica ; 8</t>
        </is>
      </c>
      <c r="R1681" t="inlineStr">
        <is>
          <t xml:space="preserve">BX </t>
        </is>
      </c>
      <c r="S1681" t="n">
        <v>4</v>
      </c>
      <c r="T1681" t="n">
        <v>4</v>
      </c>
      <c r="U1681" t="inlineStr">
        <is>
          <t>2000-06-27</t>
        </is>
      </c>
      <c r="V1681" t="inlineStr">
        <is>
          <t>2000-06-27</t>
        </is>
      </c>
      <c r="W1681" t="inlineStr">
        <is>
          <t>1991-11-04</t>
        </is>
      </c>
      <c r="X1681" t="inlineStr">
        <is>
          <t>1991-11-04</t>
        </is>
      </c>
      <c r="Y1681" t="n">
        <v>30</v>
      </c>
      <c r="Z1681" t="n">
        <v>19</v>
      </c>
      <c r="AA1681" t="n">
        <v>61</v>
      </c>
      <c r="AB1681" t="n">
        <v>1</v>
      </c>
      <c r="AC1681" t="n">
        <v>1</v>
      </c>
      <c r="AD1681" t="n">
        <v>3</v>
      </c>
      <c r="AE1681" t="n">
        <v>7</v>
      </c>
      <c r="AF1681" t="n">
        <v>0</v>
      </c>
      <c r="AG1681" t="n">
        <v>0</v>
      </c>
      <c r="AH1681" t="n">
        <v>1</v>
      </c>
      <c r="AI1681" t="n">
        <v>2</v>
      </c>
      <c r="AJ1681" t="n">
        <v>3</v>
      </c>
      <c r="AK1681" t="n">
        <v>6</v>
      </c>
      <c r="AL1681" t="n">
        <v>0</v>
      </c>
      <c r="AM1681" t="n">
        <v>0</v>
      </c>
      <c r="AN1681" t="n">
        <v>0</v>
      </c>
      <c r="AO1681" t="n">
        <v>0</v>
      </c>
      <c r="AP1681" t="inlineStr">
        <is>
          <t>No</t>
        </is>
      </c>
      <c r="AQ1681" t="inlineStr">
        <is>
          <t>No</t>
        </is>
      </c>
      <c r="AS1681">
        <f>HYPERLINK("https://creighton-primo.hosted.exlibrisgroup.com/primo-explore/search?tab=default_tab&amp;search_scope=EVERYTHING&amp;vid=01CRU&amp;lang=en_US&amp;offset=0&amp;query=any,contains,991004440659702656","Catalog Record")</f>
        <v/>
      </c>
      <c r="AT1681">
        <f>HYPERLINK("http://www.worldcat.org/oclc/3460853","WorldCat Record")</f>
        <v/>
      </c>
      <c r="AU1681" t="inlineStr">
        <is>
          <t>3135823540:eng</t>
        </is>
      </c>
      <c r="AV1681" t="inlineStr">
        <is>
          <t>3460853</t>
        </is>
      </c>
      <c r="AW1681" t="inlineStr">
        <is>
          <t>991004440659702656</t>
        </is>
      </c>
      <c r="AX1681" t="inlineStr">
        <is>
          <t>991004440659702656</t>
        </is>
      </c>
      <c r="AY1681" t="inlineStr">
        <is>
          <t>2267204220002656</t>
        </is>
      </c>
      <c r="AZ1681" t="inlineStr">
        <is>
          <t>BOOK</t>
        </is>
      </c>
      <c r="BC1681" t="inlineStr">
        <is>
          <t>32285000831882</t>
        </is>
      </c>
      <c r="BD1681" t="inlineStr">
        <is>
          <t>893241434</t>
        </is>
      </c>
    </row>
    <row r="1682">
      <c r="A1682" t="inlineStr">
        <is>
          <t>No</t>
        </is>
      </c>
      <c r="B1682" t="inlineStr">
        <is>
          <t>BX2435 .L42513 1978</t>
        </is>
      </c>
      <c r="C1682" t="inlineStr">
        <is>
          <t>0                      BX 2435000L  42513       1978</t>
        </is>
      </c>
      <c r="D1682" t="inlineStr">
        <is>
          <t>Contemplative life / Jean Leclercq, translated by Elizabeth Funder.</t>
        </is>
      </c>
      <c r="F1682" t="inlineStr">
        <is>
          <t>No</t>
        </is>
      </c>
      <c r="G1682" t="inlineStr">
        <is>
          <t>1</t>
        </is>
      </c>
      <c r="H1682" t="inlineStr">
        <is>
          <t>No</t>
        </is>
      </c>
      <c r="I1682" t="inlineStr">
        <is>
          <t>No</t>
        </is>
      </c>
      <c r="J1682" t="inlineStr">
        <is>
          <t>0</t>
        </is>
      </c>
      <c r="K1682" t="inlineStr">
        <is>
          <t>Leclercq, Jean, 1911-1993.</t>
        </is>
      </c>
      <c r="L1682" t="inlineStr">
        <is>
          <t>Kalamazoo, Michigan : Cistercian Publications, 1978.</t>
        </is>
      </c>
      <c r="M1682" t="inlineStr">
        <is>
          <t>1978</t>
        </is>
      </c>
      <c r="O1682" t="inlineStr">
        <is>
          <t>eng</t>
        </is>
      </c>
      <c r="P1682" t="inlineStr">
        <is>
          <t xml:space="preserve">mi </t>
        </is>
      </c>
      <c r="Q1682" t="inlineStr">
        <is>
          <t>Cistercian studies series ; no. 19</t>
        </is>
      </c>
      <c r="R1682" t="inlineStr">
        <is>
          <t xml:space="preserve">BX </t>
        </is>
      </c>
      <c r="S1682" t="n">
        <v>6</v>
      </c>
      <c r="T1682" t="n">
        <v>6</v>
      </c>
      <c r="U1682" t="inlineStr">
        <is>
          <t>1997-08-22</t>
        </is>
      </c>
      <c r="V1682" t="inlineStr">
        <is>
          <t>1997-08-22</t>
        </is>
      </c>
      <c r="W1682" t="inlineStr">
        <is>
          <t>1991-11-04</t>
        </is>
      </c>
      <c r="X1682" t="inlineStr">
        <is>
          <t>1991-11-04</t>
        </is>
      </c>
      <c r="Y1682" t="n">
        <v>190</v>
      </c>
      <c r="Z1682" t="n">
        <v>165</v>
      </c>
      <c r="AA1682" t="n">
        <v>184</v>
      </c>
      <c r="AB1682" t="n">
        <v>1</v>
      </c>
      <c r="AC1682" t="n">
        <v>1</v>
      </c>
      <c r="AD1682" t="n">
        <v>19</v>
      </c>
      <c r="AE1682" t="n">
        <v>21</v>
      </c>
      <c r="AF1682" t="n">
        <v>5</v>
      </c>
      <c r="AG1682" t="n">
        <v>5</v>
      </c>
      <c r="AH1682" t="n">
        <v>5</v>
      </c>
      <c r="AI1682" t="n">
        <v>6</v>
      </c>
      <c r="AJ1682" t="n">
        <v>16</v>
      </c>
      <c r="AK1682" t="n">
        <v>17</v>
      </c>
      <c r="AL1682" t="n">
        <v>0</v>
      </c>
      <c r="AM1682" t="n">
        <v>0</v>
      </c>
      <c r="AN1682" t="n">
        <v>0</v>
      </c>
      <c r="AO1682" t="n">
        <v>0</v>
      </c>
      <c r="AP1682" t="inlineStr">
        <is>
          <t>No</t>
        </is>
      </c>
      <c r="AQ1682" t="inlineStr">
        <is>
          <t>Yes</t>
        </is>
      </c>
      <c r="AR1682">
        <f>HYPERLINK("http://catalog.hathitrust.org/Record/000175896","HathiTrust Record")</f>
        <v/>
      </c>
      <c r="AS1682">
        <f>HYPERLINK("https://creighton-primo.hosted.exlibrisgroup.com/primo-explore/search?tab=default_tab&amp;search_scope=EVERYTHING&amp;vid=01CRU&amp;lang=en_US&amp;offset=0&amp;query=any,contains,991004559179702656","Catalog Record")</f>
        <v/>
      </c>
      <c r="AT1682">
        <f>HYPERLINK("http://www.worldcat.org/oclc/3985547","WorldCat Record")</f>
        <v/>
      </c>
      <c r="AU1682" t="inlineStr">
        <is>
          <t>131138938:eng</t>
        </is>
      </c>
      <c r="AV1682" t="inlineStr">
        <is>
          <t>3985547</t>
        </is>
      </c>
      <c r="AW1682" t="inlineStr">
        <is>
          <t>991004559179702656</t>
        </is>
      </c>
      <c r="AX1682" t="inlineStr">
        <is>
          <t>991004559179702656</t>
        </is>
      </c>
      <c r="AY1682" t="inlineStr">
        <is>
          <t>2262780460002656</t>
        </is>
      </c>
      <c r="AZ1682" t="inlineStr">
        <is>
          <t>BOOK</t>
        </is>
      </c>
      <c r="BB1682" t="inlineStr">
        <is>
          <t>9780879078195</t>
        </is>
      </c>
      <c r="BC1682" t="inlineStr">
        <is>
          <t>32285000831908</t>
        </is>
      </c>
      <c r="BD1682" t="inlineStr">
        <is>
          <t>893247721</t>
        </is>
      </c>
    </row>
    <row r="1683">
      <c r="A1683" t="inlineStr">
        <is>
          <t>No</t>
        </is>
      </c>
      <c r="B1683" t="inlineStr">
        <is>
          <t>BX2435 .L44 1959</t>
        </is>
      </c>
      <c r="C1683" t="inlineStr">
        <is>
          <t>0                      BX 2435000L  44          1959</t>
        </is>
      </c>
      <c r="D1683" t="inlineStr">
        <is>
          <t>Retreat notes for religious / by Edward Leen. Edited with a biographical note by R. F. Walker.</t>
        </is>
      </c>
      <c r="F1683" t="inlineStr">
        <is>
          <t>No</t>
        </is>
      </c>
      <c r="G1683" t="inlineStr">
        <is>
          <t>1</t>
        </is>
      </c>
      <c r="H1683" t="inlineStr">
        <is>
          <t>No</t>
        </is>
      </c>
      <c r="I1683" t="inlineStr">
        <is>
          <t>No</t>
        </is>
      </c>
      <c r="J1683" t="inlineStr">
        <is>
          <t>0</t>
        </is>
      </c>
      <c r="K1683" t="inlineStr">
        <is>
          <t>Leen, Edward, 1885-1944.</t>
        </is>
      </c>
      <c r="L1683" t="inlineStr">
        <is>
          <t>New York : Kenedy, [1959]</t>
        </is>
      </c>
      <c r="M1683" t="inlineStr">
        <is>
          <t>1959</t>
        </is>
      </c>
      <c r="O1683" t="inlineStr">
        <is>
          <t>eng</t>
        </is>
      </c>
      <c r="P1683" t="inlineStr">
        <is>
          <t>___</t>
        </is>
      </c>
      <c r="R1683" t="inlineStr">
        <is>
          <t xml:space="preserve">BX </t>
        </is>
      </c>
      <c r="S1683" t="n">
        <v>3</v>
      </c>
      <c r="T1683" t="n">
        <v>3</v>
      </c>
      <c r="U1683" t="inlineStr">
        <is>
          <t>1996-06-18</t>
        </is>
      </c>
      <c r="V1683" t="inlineStr">
        <is>
          <t>1996-06-18</t>
        </is>
      </c>
      <c r="W1683" t="inlineStr">
        <is>
          <t>1991-11-04</t>
        </is>
      </c>
      <c r="X1683" t="inlineStr">
        <is>
          <t>1991-11-04</t>
        </is>
      </c>
      <c r="Y1683" t="n">
        <v>93</v>
      </c>
      <c r="Z1683" t="n">
        <v>76</v>
      </c>
      <c r="AA1683" t="n">
        <v>76</v>
      </c>
      <c r="AB1683" t="n">
        <v>2</v>
      </c>
      <c r="AC1683" t="n">
        <v>2</v>
      </c>
      <c r="AD1683" t="n">
        <v>14</v>
      </c>
      <c r="AE1683" t="n">
        <v>14</v>
      </c>
      <c r="AF1683" t="n">
        <v>2</v>
      </c>
      <c r="AG1683" t="n">
        <v>2</v>
      </c>
      <c r="AH1683" t="n">
        <v>4</v>
      </c>
      <c r="AI1683" t="n">
        <v>4</v>
      </c>
      <c r="AJ1683" t="n">
        <v>11</v>
      </c>
      <c r="AK1683" t="n">
        <v>11</v>
      </c>
      <c r="AL1683" t="n">
        <v>0</v>
      </c>
      <c r="AM1683" t="n">
        <v>0</v>
      </c>
      <c r="AN1683" t="n">
        <v>0</v>
      </c>
      <c r="AO1683" t="n">
        <v>0</v>
      </c>
      <c r="AP1683" t="inlineStr">
        <is>
          <t>No</t>
        </is>
      </c>
      <c r="AQ1683" t="inlineStr">
        <is>
          <t>No</t>
        </is>
      </c>
      <c r="AS1683">
        <f>HYPERLINK("https://creighton-primo.hosted.exlibrisgroup.com/primo-explore/search?tab=default_tab&amp;search_scope=EVERYTHING&amp;vid=01CRU&amp;lang=en_US&amp;offset=0&amp;query=any,contains,991003641409702656","Catalog Record")</f>
        <v/>
      </c>
      <c r="AT1683">
        <f>HYPERLINK("http://www.worldcat.org/oclc/1239200","WorldCat Record")</f>
        <v/>
      </c>
      <c r="AU1683" t="inlineStr">
        <is>
          <t>2142481:eng</t>
        </is>
      </c>
      <c r="AV1683" t="inlineStr">
        <is>
          <t>1239200</t>
        </is>
      </c>
      <c r="AW1683" t="inlineStr">
        <is>
          <t>991003641409702656</t>
        </is>
      </c>
      <c r="AX1683" t="inlineStr">
        <is>
          <t>991003641409702656</t>
        </is>
      </c>
      <c r="AY1683" t="inlineStr">
        <is>
          <t>2266268370002656</t>
        </is>
      </c>
      <c r="AZ1683" t="inlineStr">
        <is>
          <t>BOOK</t>
        </is>
      </c>
      <c r="BC1683" t="inlineStr">
        <is>
          <t>32285000831916</t>
        </is>
      </c>
      <c r="BD1683" t="inlineStr">
        <is>
          <t>893904452</t>
        </is>
      </c>
    </row>
    <row r="1684">
      <c r="A1684" t="inlineStr">
        <is>
          <t>No</t>
        </is>
      </c>
      <c r="B1684" t="inlineStr">
        <is>
          <t>BX2435 .L6913</t>
        </is>
      </c>
      <c r="C1684" t="inlineStr">
        <is>
          <t>0                      BX 2435000L  6913</t>
        </is>
      </c>
      <c r="D1684" t="inlineStr">
        <is>
          <t>Discipleship : towards an understanding of religious life / John M. Lozano ; translated by Beatrice Wilczynski from the original manuscript in Italian.</t>
        </is>
      </c>
      <c r="F1684" t="inlineStr">
        <is>
          <t>No</t>
        </is>
      </c>
      <c r="G1684" t="inlineStr">
        <is>
          <t>1</t>
        </is>
      </c>
      <c r="H1684" t="inlineStr">
        <is>
          <t>No</t>
        </is>
      </c>
      <c r="I1684" t="inlineStr">
        <is>
          <t>No</t>
        </is>
      </c>
      <c r="J1684" t="inlineStr">
        <is>
          <t>0</t>
        </is>
      </c>
      <c r="K1684" t="inlineStr">
        <is>
          <t>Lozano, Juan María.</t>
        </is>
      </c>
      <c r="L1684" t="inlineStr">
        <is>
          <t>Chicago (221 W. Madison St., Chicago, 60606) : Claret Center for Resources in Spirituality, 1980.</t>
        </is>
      </c>
      <c r="M1684" t="inlineStr">
        <is>
          <t>1980</t>
        </is>
      </c>
      <c r="O1684" t="inlineStr">
        <is>
          <t>eng</t>
        </is>
      </c>
      <c r="P1684" t="inlineStr">
        <is>
          <t>ilu</t>
        </is>
      </c>
      <c r="Q1684" t="inlineStr">
        <is>
          <t>Religious life series ; v. 2</t>
        </is>
      </c>
      <c r="R1684" t="inlineStr">
        <is>
          <t xml:space="preserve">BX </t>
        </is>
      </c>
      <c r="S1684" t="n">
        <v>3</v>
      </c>
      <c r="T1684" t="n">
        <v>3</v>
      </c>
      <c r="U1684" t="inlineStr">
        <is>
          <t>1995-03-16</t>
        </is>
      </c>
      <c r="V1684" t="inlineStr">
        <is>
          <t>1995-03-16</t>
        </is>
      </c>
      <c r="W1684" t="inlineStr">
        <is>
          <t>1990-07-11</t>
        </is>
      </c>
      <c r="X1684" t="inlineStr">
        <is>
          <t>1990-07-11</t>
        </is>
      </c>
      <c r="Y1684" t="n">
        <v>73</v>
      </c>
      <c r="Z1684" t="n">
        <v>62</v>
      </c>
      <c r="AA1684" t="n">
        <v>89</v>
      </c>
      <c r="AB1684" t="n">
        <v>2</v>
      </c>
      <c r="AC1684" t="n">
        <v>2</v>
      </c>
      <c r="AD1684" t="n">
        <v>8</v>
      </c>
      <c r="AE1684" t="n">
        <v>11</v>
      </c>
      <c r="AF1684" t="n">
        <v>1</v>
      </c>
      <c r="AG1684" t="n">
        <v>1</v>
      </c>
      <c r="AH1684" t="n">
        <v>2</v>
      </c>
      <c r="AI1684" t="n">
        <v>3</v>
      </c>
      <c r="AJ1684" t="n">
        <v>7</v>
      </c>
      <c r="AK1684" t="n">
        <v>9</v>
      </c>
      <c r="AL1684" t="n">
        <v>0</v>
      </c>
      <c r="AM1684" t="n">
        <v>0</v>
      </c>
      <c r="AN1684" t="n">
        <v>0</v>
      </c>
      <c r="AO1684" t="n">
        <v>0</v>
      </c>
      <c r="AP1684" t="inlineStr">
        <is>
          <t>No</t>
        </is>
      </c>
      <c r="AQ1684" t="inlineStr">
        <is>
          <t>No</t>
        </is>
      </c>
      <c r="AS1684">
        <f>HYPERLINK("https://creighton-primo.hosted.exlibrisgroup.com/primo-explore/search?tab=default_tab&amp;search_scope=EVERYTHING&amp;vid=01CRU&amp;lang=en_US&amp;offset=0&amp;query=any,contains,991005133039702656","Catalog Record")</f>
        <v/>
      </c>
      <c r="AT1684">
        <f>HYPERLINK("http://www.worldcat.org/oclc/7574171","WorldCat Record")</f>
        <v/>
      </c>
      <c r="AU1684" t="inlineStr">
        <is>
          <t>3227462:eng</t>
        </is>
      </c>
      <c r="AV1684" t="inlineStr">
        <is>
          <t>7574171</t>
        </is>
      </c>
      <c r="AW1684" t="inlineStr">
        <is>
          <t>991005133039702656</t>
        </is>
      </c>
      <c r="AX1684" t="inlineStr">
        <is>
          <t>991005133039702656</t>
        </is>
      </c>
      <c r="AY1684" t="inlineStr">
        <is>
          <t>2271052920002656</t>
        </is>
      </c>
      <c r="AZ1684" t="inlineStr">
        <is>
          <t>BOOK</t>
        </is>
      </c>
      <c r="BC1684" t="inlineStr">
        <is>
          <t>32285000224237</t>
        </is>
      </c>
      <c r="BD1684" t="inlineStr">
        <is>
          <t>893600672</t>
        </is>
      </c>
    </row>
    <row r="1685">
      <c r="A1685" t="inlineStr">
        <is>
          <t>No</t>
        </is>
      </c>
      <c r="B1685" t="inlineStr">
        <is>
          <t>BX2435 .M358 1949</t>
        </is>
      </c>
      <c r="C1685" t="inlineStr">
        <is>
          <t>0                      BX 2435000M  358         1949</t>
        </is>
      </c>
      <c r="D1685" t="inlineStr">
        <is>
          <t>As we ought / Vincent P. McCorry.</t>
        </is>
      </c>
      <c r="F1685" t="inlineStr">
        <is>
          <t>No</t>
        </is>
      </c>
      <c r="G1685" t="inlineStr">
        <is>
          <t>1</t>
        </is>
      </c>
      <c r="H1685" t="inlineStr">
        <is>
          <t>No</t>
        </is>
      </c>
      <c r="I1685" t="inlineStr">
        <is>
          <t>No</t>
        </is>
      </c>
      <c r="J1685" t="inlineStr">
        <is>
          <t>0</t>
        </is>
      </c>
      <c r="K1685" t="inlineStr">
        <is>
          <t>McCorry, Vincent P., 1909-1990.</t>
        </is>
      </c>
      <c r="L1685" t="inlineStr">
        <is>
          <t>New York : D. X. McMullen Co., [1949]</t>
        </is>
      </c>
      <c r="M1685" t="inlineStr">
        <is>
          <t>1949</t>
        </is>
      </c>
      <c r="O1685" t="inlineStr">
        <is>
          <t>eng</t>
        </is>
      </c>
      <c r="P1685" t="inlineStr">
        <is>
          <t>___</t>
        </is>
      </c>
      <c r="R1685" t="inlineStr">
        <is>
          <t xml:space="preserve">BX </t>
        </is>
      </c>
      <c r="S1685" t="n">
        <v>2</v>
      </c>
      <c r="T1685" t="n">
        <v>2</v>
      </c>
      <c r="U1685" t="inlineStr">
        <is>
          <t>1996-09-23</t>
        </is>
      </c>
      <c r="V1685" t="inlineStr">
        <is>
          <t>1996-09-23</t>
        </is>
      </c>
      <c r="W1685" t="inlineStr">
        <is>
          <t>1991-11-04</t>
        </is>
      </c>
      <c r="X1685" t="inlineStr">
        <is>
          <t>1991-11-04</t>
        </is>
      </c>
      <c r="Y1685" t="n">
        <v>70</v>
      </c>
      <c r="Z1685" t="n">
        <v>63</v>
      </c>
      <c r="AA1685" t="n">
        <v>65</v>
      </c>
      <c r="AB1685" t="n">
        <v>2</v>
      </c>
      <c r="AC1685" t="n">
        <v>2</v>
      </c>
      <c r="AD1685" t="n">
        <v>17</v>
      </c>
      <c r="AE1685" t="n">
        <v>18</v>
      </c>
      <c r="AF1685" t="n">
        <v>5</v>
      </c>
      <c r="AG1685" t="n">
        <v>6</v>
      </c>
      <c r="AH1685" t="n">
        <v>5</v>
      </c>
      <c r="AI1685" t="n">
        <v>6</v>
      </c>
      <c r="AJ1685" t="n">
        <v>14</v>
      </c>
      <c r="AK1685" t="n">
        <v>14</v>
      </c>
      <c r="AL1685" t="n">
        <v>0</v>
      </c>
      <c r="AM1685" t="n">
        <v>0</v>
      </c>
      <c r="AN1685" t="n">
        <v>0</v>
      </c>
      <c r="AO1685" t="n">
        <v>0</v>
      </c>
      <c r="AP1685" t="inlineStr">
        <is>
          <t>No</t>
        </is>
      </c>
      <c r="AQ1685" t="inlineStr">
        <is>
          <t>No</t>
        </is>
      </c>
      <c r="AS1685">
        <f>HYPERLINK("https://creighton-primo.hosted.exlibrisgroup.com/primo-explore/search?tab=default_tab&amp;search_scope=EVERYTHING&amp;vid=01CRU&amp;lang=en_US&amp;offset=0&amp;query=any,contains,991003825759702656","Catalog Record")</f>
        <v/>
      </c>
      <c r="AT1685">
        <f>HYPERLINK("http://www.worldcat.org/oclc/1575851","WorldCat Record")</f>
        <v/>
      </c>
      <c r="AU1685" t="inlineStr">
        <is>
          <t>2439216:eng</t>
        </is>
      </c>
      <c r="AV1685" t="inlineStr">
        <is>
          <t>1575851</t>
        </is>
      </c>
      <c r="AW1685" t="inlineStr">
        <is>
          <t>991003825759702656</t>
        </is>
      </c>
      <c r="AX1685" t="inlineStr">
        <is>
          <t>991003825759702656</t>
        </is>
      </c>
      <c r="AY1685" t="inlineStr">
        <is>
          <t>2264611630002656</t>
        </is>
      </c>
      <c r="AZ1685" t="inlineStr">
        <is>
          <t>BOOK</t>
        </is>
      </c>
      <c r="BC1685" t="inlineStr">
        <is>
          <t>32285000831924</t>
        </is>
      </c>
      <c r="BD1685" t="inlineStr">
        <is>
          <t>893617841</t>
        </is>
      </c>
    </row>
    <row r="1686">
      <c r="A1686" t="inlineStr">
        <is>
          <t>No</t>
        </is>
      </c>
      <c r="B1686" t="inlineStr">
        <is>
          <t>BX2435 .M38 1926</t>
        </is>
      </c>
      <c r="C1686" t="inlineStr">
        <is>
          <t>0                      BX 2435000M  38          1926</t>
        </is>
      </c>
      <c r="D1686" t="inlineStr">
        <is>
          <t>Christ the ideal of the monk : spiritual conferences on the monastic and religious life. Translated from the French by a nun of Tyburn convent.</t>
        </is>
      </c>
      <c r="F1686" t="inlineStr">
        <is>
          <t>No</t>
        </is>
      </c>
      <c r="G1686" t="inlineStr">
        <is>
          <t>1</t>
        </is>
      </c>
      <c r="H1686" t="inlineStr">
        <is>
          <t>No</t>
        </is>
      </c>
      <c r="I1686" t="inlineStr">
        <is>
          <t>No</t>
        </is>
      </c>
      <c r="J1686" t="inlineStr">
        <is>
          <t>0</t>
        </is>
      </c>
      <c r="K1686" t="inlineStr">
        <is>
          <t>Marmion, Columba, 1858-1923.</t>
        </is>
      </c>
      <c r="L1686" t="inlineStr">
        <is>
          <t>St. Louis, Mo. : B. Herder [1926]</t>
        </is>
      </c>
      <c r="M1686" t="inlineStr">
        <is>
          <t>1926</t>
        </is>
      </c>
      <c r="N1686" t="inlineStr">
        <is>
          <t>2nd ed., 8th thousand.</t>
        </is>
      </c>
      <c r="O1686" t="inlineStr">
        <is>
          <t>eng</t>
        </is>
      </c>
      <c r="P1686" t="inlineStr">
        <is>
          <t>mou</t>
        </is>
      </c>
      <c r="R1686" t="inlineStr">
        <is>
          <t xml:space="preserve">BX </t>
        </is>
      </c>
      <c r="S1686" t="n">
        <v>5</v>
      </c>
      <c r="T1686" t="n">
        <v>5</v>
      </c>
      <c r="U1686" t="inlineStr">
        <is>
          <t>2007-03-09</t>
        </is>
      </c>
      <c r="V1686" t="inlineStr">
        <is>
          <t>2007-03-09</t>
        </is>
      </c>
      <c r="W1686" t="inlineStr">
        <is>
          <t>1991-11-04</t>
        </is>
      </c>
      <c r="X1686" t="inlineStr">
        <is>
          <t>1991-11-04</t>
        </is>
      </c>
      <c r="Y1686" t="n">
        <v>32</v>
      </c>
      <c r="Z1686" t="n">
        <v>28</v>
      </c>
      <c r="AA1686" t="n">
        <v>203</v>
      </c>
      <c r="AB1686" t="n">
        <v>1</v>
      </c>
      <c r="AC1686" t="n">
        <v>2</v>
      </c>
      <c r="AD1686" t="n">
        <v>7</v>
      </c>
      <c r="AE1686" t="n">
        <v>29</v>
      </c>
      <c r="AF1686" t="n">
        <v>1</v>
      </c>
      <c r="AG1686" t="n">
        <v>10</v>
      </c>
      <c r="AH1686" t="n">
        <v>3</v>
      </c>
      <c r="AI1686" t="n">
        <v>8</v>
      </c>
      <c r="AJ1686" t="n">
        <v>5</v>
      </c>
      <c r="AK1686" t="n">
        <v>21</v>
      </c>
      <c r="AL1686" t="n">
        <v>0</v>
      </c>
      <c r="AM1686" t="n">
        <v>0</v>
      </c>
      <c r="AN1686" t="n">
        <v>0</v>
      </c>
      <c r="AO1686" t="n">
        <v>0</v>
      </c>
      <c r="AP1686" t="inlineStr">
        <is>
          <t>No</t>
        </is>
      </c>
      <c r="AQ1686" t="inlineStr">
        <is>
          <t>No</t>
        </is>
      </c>
      <c r="AS1686">
        <f>HYPERLINK("https://creighton-primo.hosted.exlibrisgroup.com/primo-explore/search?tab=default_tab&amp;search_scope=EVERYTHING&amp;vid=01CRU&amp;lang=en_US&amp;offset=0&amp;query=any,contains,991000031889702656","Catalog Record")</f>
        <v/>
      </c>
      <c r="AT1686">
        <f>HYPERLINK("http://www.worldcat.org/oclc/8614215","WorldCat Record")</f>
        <v/>
      </c>
      <c r="AU1686" t="inlineStr">
        <is>
          <t>423823419:eng</t>
        </is>
      </c>
      <c r="AV1686" t="inlineStr">
        <is>
          <t>8614215</t>
        </is>
      </c>
      <c r="AW1686" t="inlineStr">
        <is>
          <t>991000031889702656</t>
        </is>
      </c>
      <c r="AX1686" t="inlineStr">
        <is>
          <t>991000031889702656</t>
        </is>
      </c>
      <c r="AY1686" t="inlineStr">
        <is>
          <t>2255459120002656</t>
        </is>
      </c>
      <c r="AZ1686" t="inlineStr">
        <is>
          <t>BOOK</t>
        </is>
      </c>
      <c r="BC1686" t="inlineStr">
        <is>
          <t>32285000831940</t>
        </is>
      </c>
      <c r="BD1686" t="inlineStr">
        <is>
          <t>893595195</t>
        </is>
      </c>
    </row>
    <row r="1687">
      <c r="A1687" t="inlineStr">
        <is>
          <t>No</t>
        </is>
      </c>
      <c r="B1687" t="inlineStr">
        <is>
          <t>BX2435 .M58 1981</t>
        </is>
      </c>
      <c r="C1687" t="inlineStr">
        <is>
          <t>0                      BX 2435000M  58          1981</t>
        </is>
      </c>
      <c r="D1687" t="inlineStr">
        <is>
          <t>Disciples and prophets : a Biblical model for the religious life / Francis J. Moloney.</t>
        </is>
      </c>
      <c r="F1687" t="inlineStr">
        <is>
          <t>No</t>
        </is>
      </c>
      <c r="G1687" t="inlineStr">
        <is>
          <t>1</t>
        </is>
      </c>
      <c r="H1687" t="inlineStr">
        <is>
          <t>No</t>
        </is>
      </c>
      <c r="I1687" t="inlineStr">
        <is>
          <t>No</t>
        </is>
      </c>
      <c r="J1687" t="inlineStr">
        <is>
          <t>0</t>
        </is>
      </c>
      <c r="K1687" t="inlineStr">
        <is>
          <t>Moloney, Francis J.</t>
        </is>
      </c>
      <c r="L1687" t="inlineStr">
        <is>
          <t>New York : Crossroad, 1981, c1980.</t>
        </is>
      </c>
      <c r="M1687" t="inlineStr">
        <is>
          <t>1981</t>
        </is>
      </c>
      <c r="O1687" t="inlineStr">
        <is>
          <t>eng</t>
        </is>
      </c>
      <c r="P1687" t="inlineStr">
        <is>
          <t>nyu</t>
        </is>
      </c>
      <c r="R1687" t="inlineStr">
        <is>
          <t xml:space="preserve">BX </t>
        </is>
      </c>
      <c r="S1687" t="n">
        <v>6</v>
      </c>
      <c r="T1687" t="n">
        <v>6</v>
      </c>
      <c r="U1687" t="inlineStr">
        <is>
          <t>2002-04-23</t>
        </is>
      </c>
      <c r="V1687" t="inlineStr">
        <is>
          <t>2002-04-23</t>
        </is>
      </c>
      <c r="W1687" t="inlineStr">
        <is>
          <t>1991-11-04</t>
        </is>
      </c>
      <c r="X1687" t="inlineStr">
        <is>
          <t>1991-11-04</t>
        </is>
      </c>
      <c r="Y1687" t="n">
        <v>149</v>
      </c>
      <c r="Z1687" t="n">
        <v>140</v>
      </c>
      <c r="AA1687" t="n">
        <v>166</v>
      </c>
      <c r="AB1687" t="n">
        <v>3</v>
      </c>
      <c r="AC1687" t="n">
        <v>3</v>
      </c>
      <c r="AD1687" t="n">
        <v>16</v>
      </c>
      <c r="AE1687" t="n">
        <v>18</v>
      </c>
      <c r="AF1687" t="n">
        <v>4</v>
      </c>
      <c r="AG1687" t="n">
        <v>4</v>
      </c>
      <c r="AH1687" t="n">
        <v>6</v>
      </c>
      <c r="AI1687" t="n">
        <v>6</v>
      </c>
      <c r="AJ1687" t="n">
        <v>9</v>
      </c>
      <c r="AK1687" t="n">
        <v>11</v>
      </c>
      <c r="AL1687" t="n">
        <v>1</v>
      </c>
      <c r="AM1687" t="n">
        <v>1</v>
      </c>
      <c r="AN1687" t="n">
        <v>0</v>
      </c>
      <c r="AO1687" t="n">
        <v>0</v>
      </c>
      <c r="AP1687" t="inlineStr">
        <is>
          <t>No</t>
        </is>
      </c>
      <c r="AQ1687" t="inlineStr">
        <is>
          <t>No</t>
        </is>
      </c>
      <c r="AS1687">
        <f>HYPERLINK("https://creighton-primo.hosted.exlibrisgroup.com/primo-explore/search?tab=default_tab&amp;search_scope=EVERYTHING&amp;vid=01CRU&amp;lang=en_US&amp;offset=0&amp;query=any,contains,991005093159702656","Catalog Record")</f>
        <v/>
      </c>
      <c r="AT1687">
        <f>HYPERLINK("http://www.worldcat.org/oclc/7249434","WorldCat Record")</f>
        <v/>
      </c>
      <c r="AU1687" t="inlineStr">
        <is>
          <t>890262764:eng</t>
        </is>
      </c>
      <c r="AV1687" t="inlineStr">
        <is>
          <t>7249434</t>
        </is>
      </c>
      <c r="AW1687" t="inlineStr">
        <is>
          <t>991005093159702656</t>
        </is>
      </c>
      <c r="AX1687" t="inlineStr">
        <is>
          <t>991005093159702656</t>
        </is>
      </c>
      <c r="AY1687" t="inlineStr">
        <is>
          <t>2266974850002656</t>
        </is>
      </c>
      <c r="AZ1687" t="inlineStr">
        <is>
          <t>BOOK</t>
        </is>
      </c>
      <c r="BB1687" t="inlineStr">
        <is>
          <t>9780824500498</t>
        </is>
      </c>
      <c r="BC1687" t="inlineStr">
        <is>
          <t>32285000831973</t>
        </is>
      </c>
      <c r="BD1687" t="inlineStr">
        <is>
          <t>893807808</t>
        </is>
      </c>
    </row>
    <row r="1688">
      <c r="A1688" t="inlineStr">
        <is>
          <t>No</t>
        </is>
      </c>
      <c r="B1688" t="inlineStr">
        <is>
          <t>BX2435 .M6</t>
        </is>
      </c>
      <c r="C1688" t="inlineStr">
        <is>
          <t>0                      BX 2435000M  6</t>
        </is>
      </c>
      <c r="D1688" t="inlineStr">
        <is>
          <t>Experiences in community : should religious life survive? / [By] Gabriel Moran and Maria Harris.</t>
        </is>
      </c>
      <c r="F1688" t="inlineStr">
        <is>
          <t>No</t>
        </is>
      </c>
      <c r="G1688" t="inlineStr">
        <is>
          <t>1</t>
        </is>
      </c>
      <c r="H1688" t="inlineStr">
        <is>
          <t>No</t>
        </is>
      </c>
      <c r="I1688" t="inlineStr">
        <is>
          <t>No</t>
        </is>
      </c>
      <c r="J1688" t="inlineStr">
        <is>
          <t>0</t>
        </is>
      </c>
      <c r="K1688" t="inlineStr">
        <is>
          <t>Moran, Gabriel.</t>
        </is>
      </c>
      <c r="L1688" t="inlineStr">
        <is>
          <t>[New York] : Herder and Herder, [1968]</t>
        </is>
      </c>
      <c r="M1688" t="inlineStr">
        <is>
          <t>1968</t>
        </is>
      </c>
      <c r="O1688" t="inlineStr">
        <is>
          <t>eng</t>
        </is>
      </c>
      <c r="P1688" t="inlineStr">
        <is>
          <t>nyu</t>
        </is>
      </c>
      <c r="R1688" t="inlineStr">
        <is>
          <t xml:space="preserve">BX </t>
        </is>
      </c>
      <c r="S1688" t="n">
        <v>4</v>
      </c>
      <c r="T1688" t="n">
        <v>4</v>
      </c>
      <c r="U1688" t="inlineStr">
        <is>
          <t>1996-03-20</t>
        </is>
      </c>
      <c r="V1688" t="inlineStr">
        <is>
          <t>1996-03-20</t>
        </is>
      </c>
      <c r="W1688" t="inlineStr">
        <is>
          <t>1991-11-04</t>
        </is>
      </c>
      <c r="X1688" t="inlineStr">
        <is>
          <t>1991-11-04</t>
        </is>
      </c>
      <c r="Y1688" t="n">
        <v>244</v>
      </c>
      <c r="Z1688" t="n">
        <v>211</v>
      </c>
      <c r="AA1688" t="n">
        <v>223</v>
      </c>
      <c r="AB1688" t="n">
        <v>3</v>
      </c>
      <c r="AC1688" t="n">
        <v>3</v>
      </c>
      <c r="AD1688" t="n">
        <v>25</v>
      </c>
      <c r="AE1688" t="n">
        <v>25</v>
      </c>
      <c r="AF1688" t="n">
        <v>5</v>
      </c>
      <c r="AG1688" t="n">
        <v>5</v>
      </c>
      <c r="AH1688" t="n">
        <v>7</v>
      </c>
      <c r="AI1688" t="n">
        <v>7</v>
      </c>
      <c r="AJ1688" t="n">
        <v>19</v>
      </c>
      <c r="AK1688" t="n">
        <v>19</v>
      </c>
      <c r="AL1688" t="n">
        <v>1</v>
      </c>
      <c r="AM1688" t="n">
        <v>1</v>
      </c>
      <c r="AN1688" t="n">
        <v>0</v>
      </c>
      <c r="AO1688" t="n">
        <v>0</v>
      </c>
      <c r="AP1688" t="inlineStr">
        <is>
          <t>No</t>
        </is>
      </c>
      <c r="AQ1688" t="inlineStr">
        <is>
          <t>Yes</t>
        </is>
      </c>
      <c r="AR1688">
        <f>HYPERLINK("http://catalog.hathitrust.org/Record/001590959","HathiTrust Record")</f>
        <v/>
      </c>
      <c r="AS1688">
        <f>HYPERLINK("https://creighton-primo.hosted.exlibrisgroup.com/primo-explore/search?tab=default_tab&amp;search_scope=EVERYTHING&amp;vid=01CRU&amp;lang=en_US&amp;offset=0&amp;query=any,contains,991005434309702656","Catalog Record")</f>
        <v/>
      </c>
      <c r="AT1688">
        <f>HYPERLINK("http://www.worldcat.org/oclc/2385","WorldCat Record")</f>
        <v/>
      </c>
      <c r="AU1688" t="inlineStr">
        <is>
          <t>1125642:eng</t>
        </is>
      </c>
      <c r="AV1688" t="inlineStr">
        <is>
          <t>2385</t>
        </is>
      </c>
      <c r="AW1688" t="inlineStr">
        <is>
          <t>991005434309702656</t>
        </is>
      </c>
      <c r="AX1688" t="inlineStr">
        <is>
          <t>991005434309702656</t>
        </is>
      </c>
      <c r="AY1688" t="inlineStr">
        <is>
          <t>2262738960002656</t>
        </is>
      </c>
      <c r="AZ1688" t="inlineStr">
        <is>
          <t>BOOK</t>
        </is>
      </c>
      <c r="BC1688" t="inlineStr">
        <is>
          <t>32285000831999</t>
        </is>
      </c>
      <c r="BD1688" t="inlineStr">
        <is>
          <t>893902723</t>
        </is>
      </c>
    </row>
    <row r="1689">
      <c r="A1689" t="inlineStr">
        <is>
          <t>No</t>
        </is>
      </c>
      <c r="B1689" t="inlineStr">
        <is>
          <t>BX2435 .M87</t>
        </is>
      </c>
      <c r="C1689" t="inlineStr">
        <is>
          <t>0                      BX 2435000M  87</t>
        </is>
      </c>
      <c r="D1689" t="inlineStr">
        <is>
          <t>What is religious life? : a critical appraisal / Jerome Murphy-O'Connor, O.P. --</t>
        </is>
      </c>
      <c r="F1689" t="inlineStr">
        <is>
          <t>No</t>
        </is>
      </c>
      <c r="G1689" t="inlineStr">
        <is>
          <t>1</t>
        </is>
      </c>
      <c r="H1689" t="inlineStr">
        <is>
          <t>No</t>
        </is>
      </c>
      <c r="I1689" t="inlineStr">
        <is>
          <t>No</t>
        </is>
      </c>
      <c r="J1689" t="inlineStr">
        <is>
          <t>0</t>
        </is>
      </c>
      <c r="K1689" t="inlineStr">
        <is>
          <t>Murphy-O'Connor, J. (Jerome), 1935-2013.</t>
        </is>
      </c>
      <c r="L1689" t="inlineStr">
        <is>
          <t>Wilmington, Delaware : Michael Glazier,Inc., [1977].</t>
        </is>
      </c>
      <c r="M1689" t="inlineStr">
        <is>
          <t>1977</t>
        </is>
      </c>
      <c r="N1689" t="inlineStr">
        <is>
          <t>First American ed. --</t>
        </is>
      </c>
      <c r="O1689" t="inlineStr">
        <is>
          <t>eng</t>
        </is>
      </c>
      <c r="P1689" t="inlineStr">
        <is>
          <t>deu</t>
        </is>
      </c>
      <c r="R1689" t="inlineStr">
        <is>
          <t xml:space="preserve">BX </t>
        </is>
      </c>
      <c r="S1689" t="n">
        <v>2</v>
      </c>
      <c r="T1689" t="n">
        <v>2</v>
      </c>
      <c r="U1689" t="inlineStr">
        <is>
          <t>1996-09-28</t>
        </is>
      </c>
      <c r="V1689" t="inlineStr">
        <is>
          <t>1996-09-28</t>
        </is>
      </c>
      <c r="W1689" t="inlineStr">
        <is>
          <t>1991-11-04</t>
        </is>
      </c>
      <c r="X1689" t="inlineStr">
        <is>
          <t>1991-11-04</t>
        </is>
      </c>
      <c r="Y1689" t="n">
        <v>82</v>
      </c>
      <c r="Z1689" t="n">
        <v>71</v>
      </c>
      <c r="AA1689" t="n">
        <v>86</v>
      </c>
      <c r="AB1689" t="n">
        <v>1</v>
      </c>
      <c r="AC1689" t="n">
        <v>1</v>
      </c>
      <c r="AD1689" t="n">
        <v>12</v>
      </c>
      <c r="AE1689" t="n">
        <v>12</v>
      </c>
      <c r="AF1689" t="n">
        <v>2</v>
      </c>
      <c r="AG1689" t="n">
        <v>2</v>
      </c>
      <c r="AH1689" t="n">
        <v>6</v>
      </c>
      <c r="AI1689" t="n">
        <v>6</v>
      </c>
      <c r="AJ1689" t="n">
        <v>8</v>
      </c>
      <c r="AK1689" t="n">
        <v>8</v>
      </c>
      <c r="AL1689" t="n">
        <v>0</v>
      </c>
      <c r="AM1689" t="n">
        <v>0</v>
      </c>
      <c r="AN1689" t="n">
        <v>0</v>
      </c>
      <c r="AO1689" t="n">
        <v>0</v>
      </c>
      <c r="AP1689" t="inlineStr">
        <is>
          <t>No</t>
        </is>
      </c>
      <c r="AQ1689" t="inlineStr">
        <is>
          <t>No</t>
        </is>
      </c>
      <c r="AS1689">
        <f>HYPERLINK("https://creighton-primo.hosted.exlibrisgroup.com/primo-explore/search?tab=default_tab&amp;search_scope=EVERYTHING&amp;vid=01CRU&amp;lang=en_US&amp;offset=0&amp;query=any,contains,991004519789702656","Catalog Record")</f>
        <v/>
      </c>
      <c r="AT1689">
        <f>HYPERLINK("http://www.worldcat.org/oclc/5456328","WorldCat Record")</f>
        <v/>
      </c>
      <c r="AU1689" t="inlineStr">
        <is>
          <t>12515093:eng</t>
        </is>
      </c>
      <c r="AV1689" t="inlineStr">
        <is>
          <t>5456328</t>
        </is>
      </c>
      <c r="AW1689" t="inlineStr">
        <is>
          <t>991004519789702656</t>
        </is>
      </c>
      <c r="AX1689" t="inlineStr">
        <is>
          <t>991004519789702656</t>
        </is>
      </c>
      <c r="AY1689" t="inlineStr">
        <is>
          <t>2268175710002656</t>
        </is>
      </c>
      <c r="AZ1689" t="inlineStr">
        <is>
          <t>BOOK</t>
        </is>
      </c>
      <c r="BC1689" t="inlineStr">
        <is>
          <t>32285000832013</t>
        </is>
      </c>
      <c r="BD1689" t="inlineStr">
        <is>
          <t>893423908</t>
        </is>
      </c>
    </row>
    <row r="1690">
      <c r="A1690" t="inlineStr">
        <is>
          <t>No</t>
        </is>
      </c>
      <c r="B1690" t="inlineStr">
        <is>
          <t>BX2435 .O35 1968</t>
        </is>
      </c>
      <c r="C1690" t="inlineStr">
        <is>
          <t>0                      BX 2435000O  35          1968</t>
        </is>
      </c>
      <c r="D1690" t="inlineStr">
        <is>
          <t>Open to the Spirit : religious life after Vatican II / by Ladislas M. Örsy.</t>
        </is>
      </c>
      <c r="F1690" t="inlineStr">
        <is>
          <t>No</t>
        </is>
      </c>
      <c r="G1690" t="inlineStr">
        <is>
          <t>1</t>
        </is>
      </c>
      <c r="H1690" t="inlineStr">
        <is>
          <t>No</t>
        </is>
      </c>
      <c r="I1690" t="inlineStr">
        <is>
          <t>No</t>
        </is>
      </c>
      <c r="J1690" t="inlineStr">
        <is>
          <t>0</t>
        </is>
      </c>
      <c r="K1690" t="inlineStr">
        <is>
          <t>Orsy, Ladislas M., 1921-</t>
        </is>
      </c>
      <c r="L1690" t="inlineStr">
        <is>
          <t>Washington : Corpus Books, [1968]</t>
        </is>
      </c>
      <c r="M1690" t="inlineStr">
        <is>
          <t>1968</t>
        </is>
      </c>
      <c r="O1690" t="inlineStr">
        <is>
          <t>eng</t>
        </is>
      </c>
      <c r="P1690" t="inlineStr">
        <is>
          <t>dcu</t>
        </is>
      </c>
      <c r="R1690" t="inlineStr">
        <is>
          <t xml:space="preserve">BX </t>
        </is>
      </c>
      <c r="S1690" t="n">
        <v>1</v>
      </c>
      <c r="T1690" t="n">
        <v>1</v>
      </c>
      <c r="U1690" t="inlineStr">
        <is>
          <t>2002-06-18</t>
        </is>
      </c>
      <c r="V1690" t="inlineStr">
        <is>
          <t>2002-06-18</t>
        </is>
      </c>
      <c r="W1690" t="inlineStr">
        <is>
          <t>1991-11-04</t>
        </is>
      </c>
      <c r="X1690" t="inlineStr">
        <is>
          <t>1991-11-04</t>
        </is>
      </c>
      <c r="Y1690" t="n">
        <v>227</v>
      </c>
      <c r="Z1690" t="n">
        <v>197</v>
      </c>
      <c r="AA1690" t="n">
        <v>223</v>
      </c>
      <c r="AB1690" t="n">
        <v>4</v>
      </c>
      <c r="AC1690" t="n">
        <v>4</v>
      </c>
      <c r="AD1690" t="n">
        <v>28</v>
      </c>
      <c r="AE1690" t="n">
        <v>31</v>
      </c>
      <c r="AF1690" t="n">
        <v>10</v>
      </c>
      <c r="AG1690" t="n">
        <v>10</v>
      </c>
      <c r="AH1690" t="n">
        <v>7</v>
      </c>
      <c r="AI1690" t="n">
        <v>9</v>
      </c>
      <c r="AJ1690" t="n">
        <v>21</v>
      </c>
      <c r="AK1690" t="n">
        <v>24</v>
      </c>
      <c r="AL1690" t="n">
        <v>1</v>
      </c>
      <c r="AM1690" t="n">
        <v>1</v>
      </c>
      <c r="AN1690" t="n">
        <v>0</v>
      </c>
      <c r="AO1690" t="n">
        <v>0</v>
      </c>
      <c r="AP1690" t="inlineStr">
        <is>
          <t>No</t>
        </is>
      </c>
      <c r="AQ1690" t="inlineStr">
        <is>
          <t>No</t>
        </is>
      </c>
      <c r="AS1690">
        <f>HYPERLINK("https://creighton-primo.hosted.exlibrisgroup.com/primo-explore/search?tab=default_tab&amp;search_scope=EVERYTHING&amp;vid=01CRU&amp;lang=en_US&amp;offset=0&amp;query=any,contains,991002768899702656","Catalog Record")</f>
        <v/>
      </c>
      <c r="AT1690">
        <f>HYPERLINK("http://www.worldcat.org/oclc/436067","WorldCat Record")</f>
        <v/>
      </c>
      <c r="AU1690" t="inlineStr">
        <is>
          <t>1194992:eng</t>
        </is>
      </c>
      <c r="AV1690" t="inlineStr">
        <is>
          <t>436067</t>
        </is>
      </c>
      <c r="AW1690" t="inlineStr">
        <is>
          <t>991002768899702656</t>
        </is>
      </c>
      <c r="AX1690" t="inlineStr">
        <is>
          <t>991002768899702656</t>
        </is>
      </c>
      <c r="AY1690" t="inlineStr">
        <is>
          <t>2268902320002656</t>
        </is>
      </c>
      <c r="AZ1690" t="inlineStr">
        <is>
          <t>BOOK</t>
        </is>
      </c>
      <c r="BC1690" t="inlineStr">
        <is>
          <t>32285000832021</t>
        </is>
      </c>
      <c r="BD1690" t="inlineStr">
        <is>
          <t>893780201</t>
        </is>
      </c>
    </row>
    <row r="1691">
      <c r="A1691" t="inlineStr">
        <is>
          <t>No</t>
        </is>
      </c>
      <c r="B1691" t="inlineStr">
        <is>
          <t>BX2435 .O43 1970</t>
        </is>
      </c>
      <c r="C1691" t="inlineStr">
        <is>
          <t>0                      BX 2435000O  43          1970</t>
        </is>
      </c>
      <c r="D1691" t="inlineStr">
        <is>
          <t>Holiness and radicalism in religious life / [by] Thomas F. O'Meara.</t>
        </is>
      </c>
      <c r="F1691" t="inlineStr">
        <is>
          <t>No</t>
        </is>
      </c>
      <c r="G1691" t="inlineStr">
        <is>
          <t>1</t>
        </is>
      </c>
      <c r="H1691" t="inlineStr">
        <is>
          <t>No</t>
        </is>
      </c>
      <c r="I1691" t="inlineStr">
        <is>
          <t>No</t>
        </is>
      </c>
      <c r="J1691" t="inlineStr">
        <is>
          <t>0</t>
        </is>
      </c>
      <c r="K1691" t="inlineStr">
        <is>
          <t>O'Meara, Thomas F., 1935-</t>
        </is>
      </c>
      <c r="L1691" t="inlineStr">
        <is>
          <t>[New York] : Herder and Herder, [1970]</t>
        </is>
      </c>
      <c r="M1691" t="inlineStr">
        <is>
          <t>1970</t>
        </is>
      </c>
      <c r="O1691" t="inlineStr">
        <is>
          <t>eng</t>
        </is>
      </c>
      <c r="P1691" t="inlineStr">
        <is>
          <t>nyu</t>
        </is>
      </c>
      <c r="R1691" t="inlineStr">
        <is>
          <t xml:space="preserve">BX </t>
        </is>
      </c>
      <c r="S1691" t="n">
        <v>1</v>
      </c>
      <c r="T1691" t="n">
        <v>1</v>
      </c>
      <c r="U1691" t="inlineStr">
        <is>
          <t>1996-09-28</t>
        </is>
      </c>
      <c r="V1691" t="inlineStr">
        <is>
          <t>1996-09-28</t>
        </is>
      </c>
      <c r="W1691" t="inlineStr">
        <is>
          <t>1991-11-04</t>
        </is>
      </c>
      <c r="X1691" t="inlineStr">
        <is>
          <t>1991-11-04</t>
        </is>
      </c>
      <c r="Y1691" t="n">
        <v>304</v>
      </c>
      <c r="Z1691" t="n">
        <v>277</v>
      </c>
      <c r="AA1691" t="n">
        <v>283</v>
      </c>
      <c r="AB1691" t="n">
        <v>3</v>
      </c>
      <c r="AC1691" t="n">
        <v>3</v>
      </c>
      <c r="AD1691" t="n">
        <v>21</v>
      </c>
      <c r="AE1691" t="n">
        <v>21</v>
      </c>
      <c r="AF1691" t="n">
        <v>5</v>
      </c>
      <c r="AG1691" t="n">
        <v>5</v>
      </c>
      <c r="AH1691" t="n">
        <v>7</v>
      </c>
      <c r="AI1691" t="n">
        <v>7</v>
      </c>
      <c r="AJ1691" t="n">
        <v>17</v>
      </c>
      <c r="AK1691" t="n">
        <v>17</v>
      </c>
      <c r="AL1691" t="n">
        <v>0</v>
      </c>
      <c r="AM1691" t="n">
        <v>0</v>
      </c>
      <c r="AN1691" t="n">
        <v>0</v>
      </c>
      <c r="AO1691" t="n">
        <v>0</v>
      </c>
      <c r="AP1691" t="inlineStr">
        <is>
          <t>No</t>
        </is>
      </c>
      <c r="AQ1691" t="inlineStr">
        <is>
          <t>Yes</t>
        </is>
      </c>
      <c r="AR1691">
        <f>HYPERLINK("http://catalog.hathitrust.org/Record/008304612","HathiTrust Record")</f>
        <v/>
      </c>
      <c r="AS1691">
        <f>HYPERLINK("https://creighton-primo.hosted.exlibrisgroup.com/primo-explore/search?tab=default_tab&amp;search_scope=EVERYTHING&amp;vid=01CRU&amp;lang=en_US&amp;offset=0&amp;query=any,contains,991000425509702656","Catalog Record")</f>
        <v/>
      </c>
      <c r="AT1691">
        <f>HYPERLINK("http://www.worldcat.org/oclc/74947","WorldCat Record")</f>
        <v/>
      </c>
      <c r="AU1691" t="inlineStr">
        <is>
          <t>1247383:eng</t>
        </is>
      </c>
      <c r="AV1691" t="inlineStr">
        <is>
          <t>74947</t>
        </is>
      </c>
      <c r="AW1691" t="inlineStr">
        <is>
          <t>991000425509702656</t>
        </is>
      </c>
      <c r="AX1691" t="inlineStr">
        <is>
          <t>991000425509702656</t>
        </is>
      </c>
      <c r="AY1691" t="inlineStr">
        <is>
          <t>2272149260002656</t>
        </is>
      </c>
      <c r="AZ1691" t="inlineStr">
        <is>
          <t>BOOK</t>
        </is>
      </c>
      <c r="BC1691" t="inlineStr">
        <is>
          <t>32285000832047</t>
        </is>
      </c>
      <c r="BD1691" t="inlineStr">
        <is>
          <t>893802762</t>
        </is>
      </c>
    </row>
    <row r="1692">
      <c r="A1692" t="inlineStr">
        <is>
          <t>No</t>
        </is>
      </c>
      <c r="B1692" t="inlineStr">
        <is>
          <t>BX2435 .P4 1966</t>
        </is>
      </c>
      <c r="C1692" t="inlineStr">
        <is>
          <t>0                      BX 2435000P  4           1966</t>
        </is>
      </c>
      <c r="D1692" t="inlineStr">
        <is>
          <t>Monastic spirituality / by Claude J. Peifer.</t>
        </is>
      </c>
      <c r="F1692" t="inlineStr">
        <is>
          <t>No</t>
        </is>
      </c>
      <c r="G1692" t="inlineStr">
        <is>
          <t>1</t>
        </is>
      </c>
      <c r="H1692" t="inlineStr">
        <is>
          <t>No</t>
        </is>
      </c>
      <c r="I1692" t="inlineStr">
        <is>
          <t>No</t>
        </is>
      </c>
      <c r="J1692" t="inlineStr">
        <is>
          <t>0</t>
        </is>
      </c>
      <c r="K1692" t="inlineStr">
        <is>
          <t>Peifer, Claude J.</t>
        </is>
      </c>
      <c r="L1692" t="inlineStr">
        <is>
          <t>New York : Sheed and Ward, [1966]</t>
        </is>
      </c>
      <c r="M1692" t="inlineStr">
        <is>
          <t>1966</t>
        </is>
      </c>
      <c r="O1692" t="inlineStr">
        <is>
          <t>eng</t>
        </is>
      </c>
      <c r="P1692" t="inlineStr">
        <is>
          <t>___</t>
        </is>
      </c>
      <c r="R1692" t="inlineStr">
        <is>
          <t xml:space="preserve">BX </t>
        </is>
      </c>
      <c r="S1692" t="n">
        <v>4</v>
      </c>
      <c r="T1692" t="n">
        <v>4</v>
      </c>
      <c r="U1692" t="inlineStr">
        <is>
          <t>1993-07-14</t>
        </is>
      </c>
      <c r="V1692" t="inlineStr">
        <is>
          <t>1993-07-14</t>
        </is>
      </c>
      <c r="W1692" t="inlineStr">
        <is>
          <t>1991-11-04</t>
        </is>
      </c>
      <c r="X1692" t="inlineStr">
        <is>
          <t>1991-11-04</t>
        </is>
      </c>
      <c r="Y1692" t="n">
        <v>288</v>
      </c>
      <c r="Z1692" t="n">
        <v>254</v>
      </c>
      <c r="AA1692" t="n">
        <v>255</v>
      </c>
      <c r="AB1692" t="n">
        <v>2</v>
      </c>
      <c r="AC1692" t="n">
        <v>2</v>
      </c>
      <c r="AD1692" t="n">
        <v>18</v>
      </c>
      <c r="AE1692" t="n">
        <v>18</v>
      </c>
      <c r="AF1692" t="n">
        <v>8</v>
      </c>
      <c r="AG1692" t="n">
        <v>8</v>
      </c>
      <c r="AH1692" t="n">
        <v>4</v>
      </c>
      <c r="AI1692" t="n">
        <v>4</v>
      </c>
      <c r="AJ1692" t="n">
        <v>13</v>
      </c>
      <c r="AK1692" t="n">
        <v>13</v>
      </c>
      <c r="AL1692" t="n">
        <v>0</v>
      </c>
      <c r="AM1692" t="n">
        <v>0</v>
      </c>
      <c r="AN1692" t="n">
        <v>0</v>
      </c>
      <c r="AO1692" t="n">
        <v>0</v>
      </c>
      <c r="AP1692" t="inlineStr">
        <is>
          <t>No</t>
        </is>
      </c>
      <c r="AQ1692" t="inlineStr">
        <is>
          <t>Yes</t>
        </is>
      </c>
      <c r="AR1692">
        <f>HYPERLINK("http://catalog.hathitrust.org/Record/101872490","HathiTrust Record")</f>
        <v/>
      </c>
      <c r="AS1692">
        <f>HYPERLINK("https://creighton-primo.hosted.exlibrisgroup.com/primo-explore/search?tab=default_tab&amp;search_scope=EVERYTHING&amp;vid=01CRU&amp;lang=en_US&amp;offset=0&amp;query=any,contains,991002654029702656","Catalog Record")</f>
        <v/>
      </c>
      <c r="AT1692">
        <f>HYPERLINK("http://www.worldcat.org/oclc/388070","WorldCat Record")</f>
        <v/>
      </c>
      <c r="AU1692" t="inlineStr">
        <is>
          <t>1673261919:eng</t>
        </is>
      </c>
      <c r="AV1692" t="inlineStr">
        <is>
          <t>388070</t>
        </is>
      </c>
      <c r="AW1692" t="inlineStr">
        <is>
          <t>991002654029702656</t>
        </is>
      </c>
      <c r="AX1692" t="inlineStr">
        <is>
          <t>991002654029702656</t>
        </is>
      </c>
      <c r="AY1692" t="inlineStr">
        <is>
          <t>2255015300002656</t>
        </is>
      </c>
      <c r="AZ1692" t="inlineStr">
        <is>
          <t>BOOK</t>
        </is>
      </c>
      <c r="BC1692" t="inlineStr">
        <is>
          <t>32285000832062</t>
        </is>
      </c>
      <c r="BD1692" t="inlineStr">
        <is>
          <t>893245448</t>
        </is>
      </c>
    </row>
    <row r="1693">
      <c r="A1693" t="inlineStr">
        <is>
          <t>No</t>
        </is>
      </c>
      <c r="B1693" t="inlineStr">
        <is>
          <t>BX2435 .P4514 1977</t>
        </is>
      </c>
      <c r="C1693" t="inlineStr">
        <is>
          <t>0                      BX 2435000P  4514        1977</t>
        </is>
      </c>
      <c r="D1693" t="inlineStr">
        <is>
          <t>L'École du cloître / Pierre de Celle ; introduction, texte critique, traduction et notes par Gérard de Martel.</t>
        </is>
      </c>
      <c r="F1693" t="inlineStr">
        <is>
          <t>No</t>
        </is>
      </c>
      <c r="G1693" t="inlineStr">
        <is>
          <t>1</t>
        </is>
      </c>
      <c r="H1693" t="inlineStr">
        <is>
          <t>No</t>
        </is>
      </c>
      <c r="I1693" t="inlineStr">
        <is>
          <t>No</t>
        </is>
      </c>
      <c r="J1693" t="inlineStr">
        <is>
          <t>0</t>
        </is>
      </c>
      <c r="K1693" t="inlineStr">
        <is>
          <t>Peter, of Celle, Bishop of Chartres, approximately 1115-1183.</t>
        </is>
      </c>
      <c r="L1693" t="inlineStr">
        <is>
          <t>Paris : Éditions du Cerf, 1977.</t>
        </is>
      </c>
      <c r="M1693" t="inlineStr">
        <is>
          <t>1977</t>
        </is>
      </c>
      <c r="O1693" t="inlineStr">
        <is>
          <t>fre</t>
        </is>
      </c>
      <c r="P1693" t="inlineStr">
        <is>
          <t xml:space="preserve">fr </t>
        </is>
      </c>
      <c r="Q1693" t="inlineStr">
        <is>
          <t>Série des textes monastiques d'Occident ; 47</t>
        </is>
      </c>
      <c r="R1693" t="inlineStr">
        <is>
          <t xml:space="preserve">BX </t>
        </is>
      </c>
      <c r="S1693" t="n">
        <v>1</v>
      </c>
      <c r="T1693" t="n">
        <v>1</v>
      </c>
      <c r="U1693" t="inlineStr">
        <is>
          <t>1998-07-28</t>
        </is>
      </c>
      <c r="V1693" t="inlineStr">
        <is>
          <t>1998-07-28</t>
        </is>
      </c>
      <c r="W1693" t="inlineStr">
        <is>
          <t>1991-11-04</t>
        </is>
      </c>
      <c r="X1693" t="inlineStr">
        <is>
          <t>1991-11-04</t>
        </is>
      </c>
      <c r="Y1693" t="n">
        <v>211</v>
      </c>
      <c r="Z1693" t="n">
        <v>134</v>
      </c>
      <c r="AA1693" t="n">
        <v>136</v>
      </c>
      <c r="AB1693" t="n">
        <v>2</v>
      </c>
      <c r="AC1693" t="n">
        <v>2</v>
      </c>
      <c r="AD1693" t="n">
        <v>15</v>
      </c>
      <c r="AE1693" t="n">
        <v>15</v>
      </c>
      <c r="AF1693" t="n">
        <v>4</v>
      </c>
      <c r="AG1693" t="n">
        <v>4</v>
      </c>
      <c r="AH1693" t="n">
        <v>2</v>
      </c>
      <c r="AI1693" t="n">
        <v>2</v>
      </c>
      <c r="AJ1693" t="n">
        <v>12</v>
      </c>
      <c r="AK1693" t="n">
        <v>12</v>
      </c>
      <c r="AL1693" t="n">
        <v>1</v>
      </c>
      <c r="AM1693" t="n">
        <v>1</v>
      </c>
      <c r="AN1693" t="n">
        <v>0</v>
      </c>
      <c r="AO1693" t="n">
        <v>0</v>
      </c>
      <c r="AP1693" t="inlineStr">
        <is>
          <t>No</t>
        </is>
      </c>
      <c r="AQ1693" t="inlineStr">
        <is>
          <t>Yes</t>
        </is>
      </c>
      <c r="AR1693">
        <f>HYPERLINK("http://catalog.hathitrust.org/Record/000133213","HathiTrust Record")</f>
        <v/>
      </c>
      <c r="AS1693">
        <f>HYPERLINK("https://creighton-primo.hosted.exlibrisgroup.com/primo-explore/search?tab=default_tab&amp;search_scope=EVERYTHING&amp;vid=01CRU&amp;lang=en_US&amp;offset=0&amp;query=any,contains,991004511219702656","Catalog Record")</f>
        <v/>
      </c>
      <c r="AT1693">
        <f>HYPERLINK("http://www.worldcat.org/oclc/3766633","WorldCat Record")</f>
        <v/>
      </c>
      <c r="AU1693" t="inlineStr">
        <is>
          <t>8909025592:fre</t>
        </is>
      </c>
      <c r="AV1693" t="inlineStr">
        <is>
          <t>3766633</t>
        </is>
      </c>
      <c r="AW1693" t="inlineStr">
        <is>
          <t>991004511219702656</t>
        </is>
      </c>
      <c r="AX1693" t="inlineStr">
        <is>
          <t>991004511219702656</t>
        </is>
      </c>
      <c r="AY1693" t="inlineStr">
        <is>
          <t>2259155160002656</t>
        </is>
      </c>
      <c r="AZ1693" t="inlineStr">
        <is>
          <t>BOOK</t>
        </is>
      </c>
      <c r="BB1693" t="inlineStr">
        <is>
          <t>9782204011921</t>
        </is>
      </c>
      <c r="BC1693" t="inlineStr">
        <is>
          <t>32285000832070</t>
        </is>
      </c>
      <c r="BD1693" t="inlineStr">
        <is>
          <t>893895078</t>
        </is>
      </c>
    </row>
    <row r="1694">
      <c r="A1694" t="inlineStr">
        <is>
          <t>No</t>
        </is>
      </c>
      <c r="B1694" t="inlineStr">
        <is>
          <t>BX2435 .R3313 1976b</t>
        </is>
      </c>
      <c r="C1694" t="inlineStr">
        <is>
          <t>0                      BX 2435000R  3313        1976b</t>
        </is>
      </c>
      <c r="D1694" t="inlineStr">
        <is>
          <t>The religious life today / Karl Rahner ; [translation was made by V. Green].</t>
        </is>
      </c>
      <c r="F1694" t="inlineStr">
        <is>
          <t>No</t>
        </is>
      </c>
      <c r="G1694" t="inlineStr">
        <is>
          <t>1</t>
        </is>
      </c>
      <c r="H1694" t="inlineStr">
        <is>
          <t>No</t>
        </is>
      </c>
      <c r="I1694" t="inlineStr">
        <is>
          <t>No</t>
        </is>
      </c>
      <c r="J1694" t="inlineStr">
        <is>
          <t>0</t>
        </is>
      </c>
      <c r="K1694" t="inlineStr">
        <is>
          <t>Rahner, Karl, 1904-1984.</t>
        </is>
      </c>
      <c r="L1694" t="inlineStr">
        <is>
          <t>New York : Seabury Press, c1976.</t>
        </is>
      </c>
      <c r="M1694" t="inlineStr">
        <is>
          <t>1976</t>
        </is>
      </c>
      <c r="O1694" t="inlineStr">
        <is>
          <t>eng</t>
        </is>
      </c>
      <c r="P1694" t="inlineStr">
        <is>
          <t>nyu</t>
        </is>
      </c>
      <c r="R1694" t="inlineStr">
        <is>
          <t xml:space="preserve">BX </t>
        </is>
      </c>
      <c r="S1694" t="n">
        <v>6</v>
      </c>
      <c r="T1694" t="n">
        <v>6</v>
      </c>
      <c r="U1694" t="inlineStr">
        <is>
          <t>2002-06-18</t>
        </is>
      </c>
      <c r="V1694" t="inlineStr">
        <is>
          <t>2002-06-18</t>
        </is>
      </c>
      <c r="W1694" t="inlineStr">
        <is>
          <t>1991-07-31</t>
        </is>
      </c>
      <c r="X1694" t="inlineStr">
        <is>
          <t>1991-07-31</t>
        </is>
      </c>
      <c r="Y1694" t="n">
        <v>204</v>
      </c>
      <c r="Z1694" t="n">
        <v>185</v>
      </c>
      <c r="AA1694" t="n">
        <v>231</v>
      </c>
      <c r="AB1694" t="n">
        <v>1</v>
      </c>
      <c r="AC1694" t="n">
        <v>3</v>
      </c>
      <c r="AD1694" t="n">
        <v>22</v>
      </c>
      <c r="AE1694" t="n">
        <v>25</v>
      </c>
      <c r="AF1694" t="n">
        <v>6</v>
      </c>
      <c r="AG1694" t="n">
        <v>6</v>
      </c>
      <c r="AH1694" t="n">
        <v>8</v>
      </c>
      <c r="AI1694" t="n">
        <v>8</v>
      </c>
      <c r="AJ1694" t="n">
        <v>17</v>
      </c>
      <c r="AK1694" t="n">
        <v>18</v>
      </c>
      <c r="AL1694" t="n">
        <v>0</v>
      </c>
      <c r="AM1694" t="n">
        <v>2</v>
      </c>
      <c r="AN1694" t="n">
        <v>0</v>
      </c>
      <c r="AO1694" t="n">
        <v>0</v>
      </c>
      <c r="AP1694" t="inlineStr">
        <is>
          <t>No</t>
        </is>
      </c>
      <c r="AQ1694" t="inlineStr">
        <is>
          <t>No</t>
        </is>
      </c>
      <c r="AS1694">
        <f>HYPERLINK("https://creighton-primo.hosted.exlibrisgroup.com/primo-explore/search?tab=default_tab&amp;search_scope=EVERYTHING&amp;vid=01CRU&amp;lang=en_US&amp;offset=0&amp;query=any,contains,991004204819702656","Catalog Record")</f>
        <v/>
      </c>
      <c r="AT1694">
        <f>HYPERLINK("http://www.worldcat.org/oclc/2662290","WorldCat Record")</f>
        <v/>
      </c>
      <c r="AU1694" t="inlineStr">
        <is>
          <t>1150962949:eng</t>
        </is>
      </c>
      <c r="AV1694" t="inlineStr">
        <is>
          <t>2662290</t>
        </is>
      </c>
      <c r="AW1694" t="inlineStr">
        <is>
          <t>991004204819702656</t>
        </is>
      </c>
      <c r="AX1694" t="inlineStr">
        <is>
          <t>991004204819702656</t>
        </is>
      </c>
      <c r="AY1694" t="inlineStr">
        <is>
          <t>2261515320002656</t>
        </is>
      </c>
      <c r="AZ1694" t="inlineStr">
        <is>
          <t>BOOK</t>
        </is>
      </c>
      <c r="BB1694" t="inlineStr">
        <is>
          <t>9780816403233</t>
        </is>
      </c>
      <c r="BC1694" t="inlineStr">
        <is>
          <t>32285000680149</t>
        </is>
      </c>
      <c r="BD1694" t="inlineStr">
        <is>
          <t>893500268</t>
        </is>
      </c>
    </row>
    <row r="1695">
      <c r="A1695" t="inlineStr">
        <is>
          <t>No</t>
        </is>
      </c>
      <c r="B1695" t="inlineStr">
        <is>
          <t>BX2435 .R426 1985</t>
        </is>
      </c>
      <c r="C1695" t="inlineStr">
        <is>
          <t>0                      BX 2435000R  426         1985</t>
        </is>
      </c>
      <c r="D1695" t="inlineStr">
        <is>
          <t>Religious life at the crossroads / edited by David A. Fleming.</t>
        </is>
      </c>
      <c r="F1695" t="inlineStr">
        <is>
          <t>No</t>
        </is>
      </c>
      <c r="G1695" t="inlineStr">
        <is>
          <t>1</t>
        </is>
      </c>
      <c r="H1695" t="inlineStr">
        <is>
          <t>No</t>
        </is>
      </c>
      <c r="I1695" t="inlineStr">
        <is>
          <t>No</t>
        </is>
      </c>
      <c r="J1695" t="inlineStr">
        <is>
          <t>0</t>
        </is>
      </c>
      <c r="L1695" t="inlineStr">
        <is>
          <t>New York : Paulist Press, c1985.</t>
        </is>
      </c>
      <c r="M1695" t="inlineStr">
        <is>
          <t>1985</t>
        </is>
      </c>
      <c r="O1695" t="inlineStr">
        <is>
          <t>eng</t>
        </is>
      </c>
      <c r="P1695" t="inlineStr">
        <is>
          <t>nyu</t>
        </is>
      </c>
      <c r="R1695" t="inlineStr">
        <is>
          <t xml:space="preserve">BX </t>
        </is>
      </c>
      <c r="S1695" t="n">
        <v>3</v>
      </c>
      <c r="T1695" t="n">
        <v>3</v>
      </c>
      <c r="U1695" t="inlineStr">
        <is>
          <t>2006-04-03</t>
        </is>
      </c>
      <c r="V1695" t="inlineStr">
        <is>
          <t>2006-04-03</t>
        </is>
      </c>
      <c r="W1695" t="inlineStr">
        <is>
          <t>1990-08-08</t>
        </is>
      </c>
      <c r="X1695" t="inlineStr">
        <is>
          <t>1990-08-08</t>
        </is>
      </c>
      <c r="Y1695" t="n">
        <v>106</v>
      </c>
      <c r="Z1695" t="n">
        <v>89</v>
      </c>
      <c r="AA1695" t="n">
        <v>89</v>
      </c>
      <c r="AB1695" t="n">
        <v>1</v>
      </c>
      <c r="AC1695" t="n">
        <v>1</v>
      </c>
      <c r="AD1695" t="n">
        <v>12</v>
      </c>
      <c r="AE1695" t="n">
        <v>12</v>
      </c>
      <c r="AF1695" t="n">
        <v>1</v>
      </c>
      <c r="AG1695" t="n">
        <v>1</v>
      </c>
      <c r="AH1695" t="n">
        <v>3</v>
      </c>
      <c r="AI1695" t="n">
        <v>3</v>
      </c>
      <c r="AJ1695" t="n">
        <v>10</v>
      </c>
      <c r="AK1695" t="n">
        <v>10</v>
      </c>
      <c r="AL1695" t="n">
        <v>0</v>
      </c>
      <c r="AM1695" t="n">
        <v>0</v>
      </c>
      <c r="AN1695" t="n">
        <v>0</v>
      </c>
      <c r="AO1695" t="n">
        <v>0</v>
      </c>
      <c r="AP1695" t="inlineStr">
        <is>
          <t>No</t>
        </is>
      </c>
      <c r="AQ1695" t="inlineStr">
        <is>
          <t>No</t>
        </is>
      </c>
      <c r="AS1695">
        <f>HYPERLINK("https://creighton-primo.hosted.exlibrisgroup.com/primo-explore/search?tab=default_tab&amp;search_scope=EVERYTHING&amp;vid=01CRU&amp;lang=en_US&amp;offset=0&amp;query=any,contains,991000728269702656","Catalog Record")</f>
        <v/>
      </c>
      <c r="AT1695">
        <f>HYPERLINK("http://www.worldcat.org/oclc/12720647","WorldCat Record")</f>
        <v/>
      </c>
      <c r="AU1695" t="inlineStr">
        <is>
          <t>5501995:eng</t>
        </is>
      </c>
      <c r="AV1695" t="inlineStr">
        <is>
          <t>12720647</t>
        </is>
      </c>
      <c r="AW1695" t="inlineStr">
        <is>
          <t>991000728269702656</t>
        </is>
      </c>
      <c r="AX1695" t="inlineStr">
        <is>
          <t>991000728269702656</t>
        </is>
      </c>
      <c r="AY1695" t="inlineStr">
        <is>
          <t>2260401320002656</t>
        </is>
      </c>
      <c r="AZ1695" t="inlineStr">
        <is>
          <t>BOOK</t>
        </is>
      </c>
      <c r="BB1695" t="inlineStr">
        <is>
          <t>9780809127092</t>
        </is>
      </c>
      <c r="BC1695" t="inlineStr">
        <is>
          <t>32285000270784</t>
        </is>
      </c>
      <c r="BD1695" t="inlineStr">
        <is>
          <t>893496501</t>
        </is>
      </c>
    </row>
    <row r="1696">
      <c r="A1696" t="inlineStr">
        <is>
          <t>No</t>
        </is>
      </c>
      <c r="B1696" t="inlineStr">
        <is>
          <t>BX2435 .R45 1984</t>
        </is>
      </c>
      <c r="C1696" t="inlineStr">
        <is>
          <t>0                      BX 2435000R  45          1984</t>
        </is>
      </c>
      <c r="D1696" t="inlineStr">
        <is>
          <t>Religious life in the U.S. church : the new dialogue / edited by Robert J. Daly, S.J. ... [et al.]</t>
        </is>
      </c>
      <c r="F1696" t="inlineStr">
        <is>
          <t>No</t>
        </is>
      </c>
      <c r="G1696" t="inlineStr">
        <is>
          <t>1</t>
        </is>
      </c>
      <c r="H1696" t="inlineStr">
        <is>
          <t>No</t>
        </is>
      </c>
      <c r="I1696" t="inlineStr">
        <is>
          <t>No</t>
        </is>
      </c>
      <c r="J1696" t="inlineStr">
        <is>
          <t>0</t>
        </is>
      </c>
      <c r="L1696" t="inlineStr">
        <is>
          <t>New York, N.Y. : Paulist Press, c1984.</t>
        </is>
      </c>
      <c r="M1696" t="inlineStr">
        <is>
          <t>1984</t>
        </is>
      </c>
      <c r="O1696" t="inlineStr">
        <is>
          <t>eng</t>
        </is>
      </c>
      <c r="P1696" t="inlineStr">
        <is>
          <t>nyu</t>
        </is>
      </c>
      <c r="R1696" t="inlineStr">
        <is>
          <t xml:space="preserve">BX </t>
        </is>
      </c>
      <c r="S1696" t="n">
        <v>7</v>
      </c>
      <c r="T1696" t="n">
        <v>7</v>
      </c>
      <c r="U1696" t="inlineStr">
        <is>
          <t>1994-01-12</t>
        </is>
      </c>
      <c r="V1696" t="inlineStr">
        <is>
          <t>1994-01-12</t>
        </is>
      </c>
      <c r="W1696" t="inlineStr">
        <is>
          <t>1991-11-04</t>
        </is>
      </c>
      <c r="X1696" t="inlineStr">
        <is>
          <t>1991-11-04</t>
        </is>
      </c>
      <c r="Y1696" t="n">
        <v>130</v>
      </c>
      <c r="Z1696" t="n">
        <v>122</v>
      </c>
      <c r="AA1696" t="n">
        <v>127</v>
      </c>
      <c r="AB1696" t="n">
        <v>1</v>
      </c>
      <c r="AC1696" t="n">
        <v>1</v>
      </c>
      <c r="AD1696" t="n">
        <v>17</v>
      </c>
      <c r="AE1696" t="n">
        <v>17</v>
      </c>
      <c r="AF1696" t="n">
        <v>4</v>
      </c>
      <c r="AG1696" t="n">
        <v>4</v>
      </c>
      <c r="AH1696" t="n">
        <v>3</v>
      </c>
      <c r="AI1696" t="n">
        <v>3</v>
      </c>
      <c r="AJ1696" t="n">
        <v>14</v>
      </c>
      <c r="AK1696" t="n">
        <v>14</v>
      </c>
      <c r="AL1696" t="n">
        <v>0</v>
      </c>
      <c r="AM1696" t="n">
        <v>0</v>
      </c>
      <c r="AN1696" t="n">
        <v>0</v>
      </c>
      <c r="AO1696" t="n">
        <v>0</v>
      </c>
      <c r="AP1696" t="inlineStr">
        <is>
          <t>No</t>
        </is>
      </c>
      <c r="AQ1696" t="inlineStr">
        <is>
          <t>No</t>
        </is>
      </c>
      <c r="AS1696">
        <f>HYPERLINK("https://creighton-primo.hosted.exlibrisgroup.com/primo-explore/search?tab=default_tab&amp;search_scope=EVERYTHING&amp;vid=01CRU&amp;lang=en_US&amp;offset=0&amp;query=any,contains,991000593689702656","Catalog Record")</f>
        <v/>
      </c>
      <c r="AT1696">
        <f>HYPERLINK("http://www.worldcat.org/oclc/11794063","WorldCat Record")</f>
        <v/>
      </c>
      <c r="AU1696" t="inlineStr">
        <is>
          <t>4732709:eng</t>
        </is>
      </c>
      <c r="AV1696" t="inlineStr">
        <is>
          <t>11794063</t>
        </is>
      </c>
      <c r="AW1696" t="inlineStr">
        <is>
          <t>991000593689702656</t>
        </is>
      </c>
      <c r="AX1696" t="inlineStr">
        <is>
          <t>991000593689702656</t>
        </is>
      </c>
      <c r="AY1696" t="inlineStr">
        <is>
          <t>2254855580002656</t>
        </is>
      </c>
      <c r="AZ1696" t="inlineStr">
        <is>
          <t>BOOK</t>
        </is>
      </c>
      <c r="BB1696" t="inlineStr">
        <is>
          <t>9780809126835</t>
        </is>
      </c>
      <c r="BC1696" t="inlineStr">
        <is>
          <t>32285000832088</t>
        </is>
      </c>
      <c r="BD1696" t="inlineStr">
        <is>
          <t>893425855</t>
        </is>
      </c>
    </row>
    <row r="1697">
      <c r="A1697" t="inlineStr">
        <is>
          <t>No</t>
        </is>
      </c>
      <c r="B1697" t="inlineStr">
        <is>
          <t>BX2435 .R534</t>
        </is>
      </c>
      <c r="C1697" t="inlineStr">
        <is>
          <t>0                      BX 2435000R  534</t>
        </is>
      </c>
      <c r="D1697" t="inlineStr">
        <is>
          <t>Centered on Christ : an introduction to monastic profession / Augustine Roberts.</t>
        </is>
      </c>
      <c r="F1697" t="inlineStr">
        <is>
          <t>No</t>
        </is>
      </c>
      <c r="G1697" t="inlineStr">
        <is>
          <t>1</t>
        </is>
      </c>
      <c r="H1697" t="inlineStr">
        <is>
          <t>No</t>
        </is>
      </c>
      <c r="I1697" t="inlineStr">
        <is>
          <t>No</t>
        </is>
      </c>
      <c r="J1697" t="inlineStr">
        <is>
          <t>0</t>
        </is>
      </c>
      <c r="K1697" t="inlineStr">
        <is>
          <t>Roberts, Augustine, 1932-</t>
        </is>
      </c>
      <c r="L1697" t="inlineStr">
        <is>
          <t>Still River, Mass. : St. Bede's Publications, c1979.</t>
        </is>
      </c>
      <c r="M1697" t="inlineStr">
        <is>
          <t>1979</t>
        </is>
      </c>
      <c r="O1697" t="inlineStr">
        <is>
          <t>eng</t>
        </is>
      </c>
      <c r="P1697" t="inlineStr">
        <is>
          <t>mau</t>
        </is>
      </c>
      <c r="R1697" t="inlineStr">
        <is>
          <t xml:space="preserve">BX </t>
        </is>
      </c>
      <c r="S1697" t="n">
        <v>3</v>
      </c>
      <c r="T1697" t="n">
        <v>3</v>
      </c>
      <c r="U1697" t="inlineStr">
        <is>
          <t>1993-06-17</t>
        </is>
      </c>
      <c r="V1697" t="inlineStr">
        <is>
          <t>1993-06-17</t>
        </is>
      </c>
      <c r="W1697" t="inlineStr">
        <is>
          <t>1991-11-04</t>
        </is>
      </c>
      <c r="X1697" t="inlineStr">
        <is>
          <t>1991-11-04</t>
        </is>
      </c>
      <c r="Y1697" t="n">
        <v>67</v>
      </c>
      <c r="Z1697" t="n">
        <v>59</v>
      </c>
      <c r="AA1697" t="n">
        <v>98</v>
      </c>
      <c r="AB1697" t="n">
        <v>2</v>
      </c>
      <c r="AC1697" t="n">
        <v>2</v>
      </c>
      <c r="AD1697" t="n">
        <v>7</v>
      </c>
      <c r="AE1697" t="n">
        <v>12</v>
      </c>
      <c r="AF1697" t="n">
        <v>4</v>
      </c>
      <c r="AG1697" t="n">
        <v>6</v>
      </c>
      <c r="AH1697" t="n">
        <v>0</v>
      </c>
      <c r="AI1697" t="n">
        <v>2</v>
      </c>
      <c r="AJ1697" t="n">
        <v>6</v>
      </c>
      <c r="AK1697" t="n">
        <v>8</v>
      </c>
      <c r="AL1697" t="n">
        <v>0</v>
      </c>
      <c r="AM1697" t="n">
        <v>0</v>
      </c>
      <c r="AN1697" t="n">
        <v>0</v>
      </c>
      <c r="AO1697" t="n">
        <v>0</v>
      </c>
      <c r="AP1697" t="inlineStr">
        <is>
          <t>No</t>
        </is>
      </c>
      <c r="AQ1697" t="inlineStr">
        <is>
          <t>No</t>
        </is>
      </c>
      <c r="AS1697">
        <f>HYPERLINK("https://creighton-primo.hosted.exlibrisgroup.com/primo-explore/search?tab=default_tab&amp;search_scope=EVERYTHING&amp;vid=01CRU&amp;lang=en_US&amp;offset=0&amp;query=any,contains,991004717159702656","Catalog Record")</f>
        <v/>
      </c>
      <c r="AT1697">
        <f>HYPERLINK("http://www.worldcat.org/oclc/4776739","WorldCat Record")</f>
        <v/>
      </c>
      <c r="AU1697" t="inlineStr">
        <is>
          <t>325647499:eng</t>
        </is>
      </c>
      <c r="AV1697" t="inlineStr">
        <is>
          <t>4776739</t>
        </is>
      </c>
      <c r="AW1697" t="inlineStr">
        <is>
          <t>991004717159702656</t>
        </is>
      </c>
      <c r="AX1697" t="inlineStr">
        <is>
          <t>991004717159702656</t>
        </is>
      </c>
      <c r="AY1697" t="inlineStr">
        <is>
          <t>2254991340002656</t>
        </is>
      </c>
      <c r="AZ1697" t="inlineStr">
        <is>
          <t>BOOK</t>
        </is>
      </c>
      <c r="BB1697" t="inlineStr">
        <is>
          <t>9780932506047</t>
        </is>
      </c>
      <c r="BC1697" t="inlineStr">
        <is>
          <t>32285000832104</t>
        </is>
      </c>
      <c r="BD1697" t="inlineStr">
        <is>
          <t>893353508</t>
        </is>
      </c>
    </row>
    <row r="1698">
      <c r="A1698" t="inlineStr">
        <is>
          <t>No</t>
        </is>
      </c>
      <c r="B1698" t="inlineStr">
        <is>
          <t>BX2435 .R57 1967</t>
        </is>
      </c>
      <c r="C1698" t="inlineStr">
        <is>
          <t>0                      BX 2435000R  57          1967</t>
        </is>
      </c>
      <c r="D1698" t="inlineStr">
        <is>
          <t>Signs of contradiction : religious life in a time of change / by Anselm W. Romb.</t>
        </is>
      </c>
      <c r="F1698" t="inlineStr">
        <is>
          <t>No</t>
        </is>
      </c>
      <c r="G1698" t="inlineStr">
        <is>
          <t>1</t>
        </is>
      </c>
      <c r="H1698" t="inlineStr">
        <is>
          <t>No</t>
        </is>
      </c>
      <c r="I1698" t="inlineStr">
        <is>
          <t>No</t>
        </is>
      </c>
      <c r="J1698" t="inlineStr">
        <is>
          <t>0</t>
        </is>
      </c>
      <c r="K1698" t="inlineStr">
        <is>
          <t>Romb, Anselm W. (Anselm William), 1929-</t>
        </is>
      </c>
      <c r="L1698" t="inlineStr">
        <is>
          <t>St. Louis : B. Herder Book Co., [1967]</t>
        </is>
      </c>
      <c r="M1698" t="inlineStr">
        <is>
          <t>1967</t>
        </is>
      </c>
      <c r="O1698" t="inlineStr">
        <is>
          <t>eng</t>
        </is>
      </c>
      <c r="P1698" t="inlineStr">
        <is>
          <t>mou</t>
        </is>
      </c>
      <c r="R1698" t="inlineStr">
        <is>
          <t xml:space="preserve">BX </t>
        </is>
      </c>
      <c r="S1698" t="n">
        <v>2</v>
      </c>
      <c r="T1698" t="n">
        <v>2</v>
      </c>
      <c r="U1698" t="inlineStr">
        <is>
          <t>2002-06-18</t>
        </is>
      </c>
      <c r="V1698" t="inlineStr">
        <is>
          <t>2002-06-18</t>
        </is>
      </c>
      <c r="W1698" t="inlineStr">
        <is>
          <t>1990-11-20</t>
        </is>
      </c>
      <c r="X1698" t="inlineStr">
        <is>
          <t>1990-11-20</t>
        </is>
      </c>
      <c r="Y1698" t="n">
        <v>108</v>
      </c>
      <c r="Z1698" t="n">
        <v>101</v>
      </c>
      <c r="AA1698" t="n">
        <v>101</v>
      </c>
      <c r="AB1698" t="n">
        <v>2</v>
      </c>
      <c r="AC1698" t="n">
        <v>2</v>
      </c>
      <c r="AD1698" t="n">
        <v>12</v>
      </c>
      <c r="AE1698" t="n">
        <v>12</v>
      </c>
      <c r="AF1698" t="n">
        <v>1</v>
      </c>
      <c r="AG1698" t="n">
        <v>1</v>
      </c>
      <c r="AH1698" t="n">
        <v>5</v>
      </c>
      <c r="AI1698" t="n">
        <v>5</v>
      </c>
      <c r="AJ1698" t="n">
        <v>9</v>
      </c>
      <c r="AK1698" t="n">
        <v>9</v>
      </c>
      <c r="AL1698" t="n">
        <v>0</v>
      </c>
      <c r="AM1698" t="n">
        <v>0</v>
      </c>
      <c r="AN1698" t="n">
        <v>0</v>
      </c>
      <c r="AO1698" t="n">
        <v>0</v>
      </c>
      <c r="AP1698" t="inlineStr">
        <is>
          <t>No</t>
        </is>
      </c>
      <c r="AQ1698" t="inlineStr">
        <is>
          <t>No</t>
        </is>
      </c>
      <c r="AS1698">
        <f>HYPERLINK("https://creighton-primo.hosted.exlibrisgroup.com/primo-explore/search?tab=default_tab&amp;search_scope=EVERYTHING&amp;vid=01CRU&amp;lang=en_US&amp;offset=0&amp;query=any,contains,991003889619702656","Catalog Record")</f>
        <v/>
      </c>
      <c r="AT1698">
        <f>HYPERLINK("http://www.worldcat.org/oclc/1749959","WorldCat Record")</f>
        <v/>
      </c>
      <c r="AU1698" t="inlineStr">
        <is>
          <t>5399015012:eng</t>
        </is>
      </c>
      <c r="AV1698" t="inlineStr">
        <is>
          <t>1749959</t>
        </is>
      </c>
      <c r="AW1698" t="inlineStr">
        <is>
          <t>991003889619702656</t>
        </is>
      </c>
      <c r="AX1698" t="inlineStr">
        <is>
          <t>991003889619702656</t>
        </is>
      </c>
      <c r="AY1698" t="inlineStr">
        <is>
          <t>2260802740002656</t>
        </is>
      </c>
      <c r="AZ1698" t="inlineStr">
        <is>
          <t>BOOK</t>
        </is>
      </c>
      <c r="BC1698" t="inlineStr">
        <is>
          <t>32285000297233</t>
        </is>
      </c>
      <c r="BD1698" t="inlineStr">
        <is>
          <t>893416928</t>
        </is>
      </c>
    </row>
    <row r="1699">
      <c r="A1699" t="inlineStr">
        <is>
          <t>No</t>
        </is>
      </c>
      <c r="B1699" t="inlineStr">
        <is>
          <t>BX2435 .T5 1967</t>
        </is>
      </c>
      <c r="C1699" t="inlineStr">
        <is>
          <t>0                      BX 2435000T  5           1967</t>
        </is>
      </c>
      <c r="D1699" t="inlineStr">
        <is>
          <t>The mystery of religious life / J. M. R. Tillard ; edited by R. F. Smith.</t>
        </is>
      </c>
      <c r="F1699" t="inlineStr">
        <is>
          <t>No</t>
        </is>
      </c>
      <c r="G1699" t="inlineStr">
        <is>
          <t>1</t>
        </is>
      </c>
      <c r="H1699" t="inlineStr">
        <is>
          <t>No</t>
        </is>
      </c>
      <c r="I1699" t="inlineStr">
        <is>
          <t>No</t>
        </is>
      </c>
      <c r="J1699" t="inlineStr">
        <is>
          <t>0</t>
        </is>
      </c>
      <c r="K1699" t="inlineStr">
        <is>
          <t>Tillard, J.-M.-R. (Jean-Marie-Roger), 1927-2000.</t>
        </is>
      </c>
      <c r="L1699" t="inlineStr">
        <is>
          <t>St. Louis ; London : B. Herder, 1967.</t>
        </is>
      </c>
      <c r="M1699" t="inlineStr">
        <is>
          <t>1967</t>
        </is>
      </c>
      <c r="O1699" t="inlineStr">
        <is>
          <t>eng</t>
        </is>
      </c>
      <c r="P1699" t="inlineStr">
        <is>
          <t>mou</t>
        </is>
      </c>
      <c r="R1699" t="inlineStr">
        <is>
          <t xml:space="preserve">BX </t>
        </is>
      </c>
      <c r="S1699" t="n">
        <v>6</v>
      </c>
      <c r="T1699" t="n">
        <v>6</v>
      </c>
      <c r="U1699" t="inlineStr">
        <is>
          <t>2004-05-10</t>
        </is>
      </c>
      <c r="V1699" t="inlineStr">
        <is>
          <t>2004-05-10</t>
        </is>
      </c>
      <c r="W1699" t="inlineStr">
        <is>
          <t>1991-11-04</t>
        </is>
      </c>
      <c r="X1699" t="inlineStr">
        <is>
          <t>1991-11-04</t>
        </is>
      </c>
      <c r="Y1699" t="n">
        <v>83</v>
      </c>
      <c r="Z1699" t="n">
        <v>65</v>
      </c>
      <c r="AA1699" t="n">
        <v>65</v>
      </c>
      <c r="AB1699" t="n">
        <v>1</v>
      </c>
      <c r="AC1699" t="n">
        <v>1</v>
      </c>
      <c r="AD1699" t="n">
        <v>8</v>
      </c>
      <c r="AE1699" t="n">
        <v>8</v>
      </c>
      <c r="AF1699" t="n">
        <v>2</v>
      </c>
      <c r="AG1699" t="n">
        <v>2</v>
      </c>
      <c r="AH1699" t="n">
        <v>4</v>
      </c>
      <c r="AI1699" t="n">
        <v>4</v>
      </c>
      <c r="AJ1699" t="n">
        <v>6</v>
      </c>
      <c r="AK1699" t="n">
        <v>6</v>
      </c>
      <c r="AL1699" t="n">
        <v>0</v>
      </c>
      <c r="AM1699" t="n">
        <v>0</v>
      </c>
      <c r="AN1699" t="n">
        <v>0</v>
      </c>
      <c r="AO1699" t="n">
        <v>0</v>
      </c>
      <c r="AP1699" t="inlineStr">
        <is>
          <t>No</t>
        </is>
      </c>
      <c r="AQ1699" t="inlineStr">
        <is>
          <t>No</t>
        </is>
      </c>
      <c r="AS1699">
        <f>HYPERLINK("https://creighton-primo.hosted.exlibrisgroup.com/primo-explore/search?tab=default_tab&amp;search_scope=EVERYTHING&amp;vid=01CRU&amp;lang=en_US&amp;offset=0&amp;query=any,contains,991004396629702656","Catalog Record")</f>
        <v/>
      </c>
      <c r="AT1699">
        <f>HYPERLINK("http://www.worldcat.org/oclc/3282260","WorldCat Record")</f>
        <v/>
      </c>
      <c r="AU1699" t="inlineStr">
        <is>
          <t>9461253:eng</t>
        </is>
      </c>
      <c r="AV1699" t="inlineStr">
        <is>
          <t>3282260</t>
        </is>
      </c>
      <c r="AW1699" t="inlineStr">
        <is>
          <t>991004396629702656</t>
        </is>
      </c>
      <c r="AX1699" t="inlineStr">
        <is>
          <t>991004396629702656</t>
        </is>
      </c>
      <c r="AY1699" t="inlineStr">
        <is>
          <t>2259388680002656</t>
        </is>
      </c>
      <c r="AZ1699" t="inlineStr">
        <is>
          <t>BOOK</t>
        </is>
      </c>
      <c r="BC1699" t="inlineStr">
        <is>
          <t>32285000832120</t>
        </is>
      </c>
      <c r="BD1699" t="inlineStr">
        <is>
          <t>893506799</t>
        </is>
      </c>
    </row>
    <row r="1700">
      <c r="A1700" t="inlineStr">
        <is>
          <t>No</t>
        </is>
      </c>
      <c r="B1700" t="inlineStr">
        <is>
          <t>BX2435 .T64 1983</t>
        </is>
      </c>
      <c r="C1700" t="inlineStr">
        <is>
          <t>0                      BX 2435000T  64          1983</t>
        </is>
      </c>
      <c r="D1700" t="inlineStr">
        <is>
          <t>Together before the Lord : religious community today / translated by Beatrice Wilczynski from the original in Italian.</t>
        </is>
      </c>
      <c r="F1700" t="inlineStr">
        <is>
          <t>No</t>
        </is>
      </c>
      <c r="G1700" t="inlineStr">
        <is>
          <t>1</t>
        </is>
      </c>
      <c r="H1700" t="inlineStr">
        <is>
          <t>No</t>
        </is>
      </c>
      <c r="I1700" t="inlineStr">
        <is>
          <t>No</t>
        </is>
      </c>
      <c r="J1700" t="inlineStr">
        <is>
          <t>0</t>
        </is>
      </c>
      <c r="L1700" t="inlineStr">
        <is>
          <t>Chicago : Claret Center for Resources in Spirituality, 1983.</t>
        </is>
      </c>
      <c r="M1700" t="inlineStr">
        <is>
          <t>1983</t>
        </is>
      </c>
      <c r="O1700" t="inlineStr">
        <is>
          <t>eng</t>
        </is>
      </c>
      <c r="P1700" t="inlineStr">
        <is>
          <t>ilu</t>
        </is>
      </c>
      <c r="Q1700" t="inlineStr">
        <is>
          <t>Religious life series ; v. 4</t>
        </is>
      </c>
      <c r="R1700" t="inlineStr">
        <is>
          <t xml:space="preserve">BX </t>
        </is>
      </c>
      <c r="S1700" t="n">
        <v>7</v>
      </c>
      <c r="T1700" t="n">
        <v>7</v>
      </c>
      <c r="U1700" t="inlineStr">
        <is>
          <t>2002-06-18</t>
        </is>
      </c>
      <c r="V1700" t="inlineStr">
        <is>
          <t>2002-06-18</t>
        </is>
      </c>
      <c r="W1700" t="inlineStr">
        <is>
          <t>1991-11-04</t>
        </is>
      </c>
      <c r="X1700" t="inlineStr">
        <is>
          <t>1991-11-04</t>
        </is>
      </c>
      <c r="Y1700" t="n">
        <v>35</v>
      </c>
      <c r="Z1700" t="n">
        <v>28</v>
      </c>
      <c r="AA1700" t="n">
        <v>28</v>
      </c>
      <c r="AB1700" t="n">
        <v>1</v>
      </c>
      <c r="AC1700" t="n">
        <v>1</v>
      </c>
      <c r="AD1700" t="n">
        <v>4</v>
      </c>
      <c r="AE1700" t="n">
        <v>4</v>
      </c>
      <c r="AF1700" t="n">
        <v>0</v>
      </c>
      <c r="AG1700" t="n">
        <v>0</v>
      </c>
      <c r="AH1700" t="n">
        <v>0</v>
      </c>
      <c r="AI1700" t="n">
        <v>0</v>
      </c>
      <c r="AJ1700" t="n">
        <v>4</v>
      </c>
      <c r="AK1700" t="n">
        <v>4</v>
      </c>
      <c r="AL1700" t="n">
        <v>0</v>
      </c>
      <c r="AM1700" t="n">
        <v>0</v>
      </c>
      <c r="AN1700" t="n">
        <v>0</v>
      </c>
      <c r="AO1700" t="n">
        <v>0</v>
      </c>
      <c r="AP1700" t="inlineStr">
        <is>
          <t>No</t>
        </is>
      </c>
      <c r="AQ1700" t="inlineStr">
        <is>
          <t>No</t>
        </is>
      </c>
      <c r="AS1700">
        <f>HYPERLINK("https://creighton-primo.hosted.exlibrisgroup.com/primo-explore/search?tab=default_tab&amp;search_scope=EVERYTHING&amp;vid=01CRU&amp;lang=en_US&amp;offset=0&amp;query=any,contains,991000338829702656","Catalog Record")</f>
        <v/>
      </c>
      <c r="AT1700">
        <f>HYPERLINK("http://www.worldcat.org/oclc/10242889","WorldCat Record")</f>
        <v/>
      </c>
      <c r="AU1700" t="inlineStr">
        <is>
          <t>3494396:eng</t>
        </is>
      </c>
      <c r="AV1700" t="inlineStr">
        <is>
          <t>10242889</t>
        </is>
      </c>
      <c r="AW1700" t="inlineStr">
        <is>
          <t>991000338829702656</t>
        </is>
      </c>
      <c r="AX1700" t="inlineStr">
        <is>
          <t>991000338829702656</t>
        </is>
      </c>
      <c r="AY1700" t="inlineStr">
        <is>
          <t>2270590620002656</t>
        </is>
      </c>
      <c r="AZ1700" t="inlineStr">
        <is>
          <t>BOOK</t>
        </is>
      </c>
      <c r="BC1700" t="inlineStr">
        <is>
          <t>32285000832138</t>
        </is>
      </c>
      <c r="BD1700" t="inlineStr">
        <is>
          <t>893708291</t>
        </is>
      </c>
    </row>
    <row r="1701">
      <c r="A1701" t="inlineStr">
        <is>
          <t>No</t>
        </is>
      </c>
      <c r="B1701" t="inlineStr">
        <is>
          <t>BX2435 .V35 1968</t>
        </is>
      </c>
      <c r="C1701" t="inlineStr">
        <is>
          <t>0                      BX 2435000V  35          1968</t>
        </is>
      </c>
      <c r="D1701" t="inlineStr">
        <is>
          <t>The vowed life : dynamics of personal and spiritual unfolding / by Adrian Van Kaam.</t>
        </is>
      </c>
      <c r="F1701" t="inlineStr">
        <is>
          <t>No</t>
        </is>
      </c>
      <c r="G1701" t="inlineStr">
        <is>
          <t>1</t>
        </is>
      </c>
      <c r="H1701" t="inlineStr">
        <is>
          <t>No</t>
        </is>
      </c>
      <c r="I1701" t="inlineStr">
        <is>
          <t>No</t>
        </is>
      </c>
      <c r="J1701" t="inlineStr">
        <is>
          <t>0</t>
        </is>
      </c>
      <c r="K1701" t="inlineStr">
        <is>
          <t>Van Kaam, Adrian L., 1920-2007.</t>
        </is>
      </c>
      <c r="L1701" t="inlineStr">
        <is>
          <t>Denville, N.J. : Dimension Books, 1968.</t>
        </is>
      </c>
      <c r="M1701" t="inlineStr">
        <is>
          <t>1968</t>
        </is>
      </c>
      <c r="O1701" t="inlineStr">
        <is>
          <t>eng</t>
        </is>
      </c>
      <c r="P1701" t="inlineStr">
        <is>
          <t>nju</t>
        </is>
      </c>
      <c r="R1701" t="inlineStr">
        <is>
          <t xml:space="preserve">BX </t>
        </is>
      </c>
      <c r="S1701" t="n">
        <v>2</v>
      </c>
      <c r="T1701" t="n">
        <v>2</v>
      </c>
      <c r="U1701" t="inlineStr">
        <is>
          <t>2002-07-27</t>
        </is>
      </c>
      <c r="V1701" t="inlineStr">
        <is>
          <t>2002-07-27</t>
        </is>
      </c>
      <c r="W1701" t="inlineStr">
        <is>
          <t>1990-02-06</t>
        </is>
      </c>
      <c r="X1701" t="inlineStr">
        <is>
          <t>1990-02-06</t>
        </is>
      </c>
      <c r="Y1701" t="n">
        <v>153</v>
      </c>
      <c r="Z1701" t="n">
        <v>125</v>
      </c>
      <c r="AA1701" t="n">
        <v>130</v>
      </c>
      <c r="AB1701" t="n">
        <v>3</v>
      </c>
      <c r="AC1701" t="n">
        <v>3</v>
      </c>
      <c r="AD1701" t="n">
        <v>18</v>
      </c>
      <c r="AE1701" t="n">
        <v>18</v>
      </c>
      <c r="AF1701" t="n">
        <v>2</v>
      </c>
      <c r="AG1701" t="n">
        <v>2</v>
      </c>
      <c r="AH1701" t="n">
        <v>5</v>
      </c>
      <c r="AI1701" t="n">
        <v>5</v>
      </c>
      <c r="AJ1701" t="n">
        <v>12</v>
      </c>
      <c r="AK1701" t="n">
        <v>12</v>
      </c>
      <c r="AL1701" t="n">
        <v>2</v>
      </c>
      <c r="AM1701" t="n">
        <v>2</v>
      </c>
      <c r="AN1701" t="n">
        <v>0</v>
      </c>
      <c r="AO1701" t="n">
        <v>0</v>
      </c>
      <c r="AP1701" t="inlineStr">
        <is>
          <t>No</t>
        </is>
      </c>
      <c r="AQ1701" t="inlineStr">
        <is>
          <t>No</t>
        </is>
      </c>
      <c r="AS1701">
        <f>HYPERLINK("https://creighton-primo.hosted.exlibrisgroup.com/primo-explore/search?tab=default_tab&amp;search_scope=EVERYTHING&amp;vid=01CRU&amp;lang=en_US&amp;offset=0&amp;query=any,contains,991004442239702656","Catalog Record")</f>
        <v/>
      </c>
      <c r="AT1701">
        <f>HYPERLINK("http://www.worldcat.org/oclc/3469262","WorldCat Record")</f>
        <v/>
      </c>
      <c r="AU1701" t="inlineStr">
        <is>
          <t>10241227:eng</t>
        </is>
      </c>
      <c r="AV1701" t="inlineStr">
        <is>
          <t>3469262</t>
        </is>
      </c>
      <c r="AW1701" t="inlineStr">
        <is>
          <t>991004442239702656</t>
        </is>
      </c>
      <c r="AX1701" t="inlineStr">
        <is>
          <t>991004442239702656</t>
        </is>
      </c>
      <c r="AY1701" t="inlineStr">
        <is>
          <t>2256184520002656</t>
        </is>
      </c>
      <c r="AZ1701" t="inlineStr">
        <is>
          <t>BOOK</t>
        </is>
      </c>
      <c r="BC1701" t="inlineStr">
        <is>
          <t>32285000039726</t>
        </is>
      </c>
      <c r="BD1701" t="inlineStr">
        <is>
          <t>893888713</t>
        </is>
      </c>
    </row>
    <row r="1702">
      <c r="A1702" t="inlineStr">
        <is>
          <t>No</t>
        </is>
      </c>
      <c r="B1702" t="inlineStr">
        <is>
          <t>BX2435 .V37 1975</t>
        </is>
      </c>
      <c r="C1702" t="inlineStr">
        <is>
          <t>0                      BX 2435000V  37          1975</t>
        </is>
      </c>
      <c r="D1702" t="inlineStr">
        <is>
          <t>Religious life--a mystery in Christ and the church : a collated study according to Vatican Council II and subsequent papal and ecclesial documents / edited by Rose Eileen Masterman.</t>
        </is>
      </c>
      <c r="F1702" t="inlineStr">
        <is>
          <t>No</t>
        </is>
      </c>
      <c r="G1702" t="inlineStr">
        <is>
          <t>1</t>
        </is>
      </c>
      <c r="H1702" t="inlineStr">
        <is>
          <t>No</t>
        </is>
      </c>
      <c r="I1702" t="inlineStr">
        <is>
          <t>No</t>
        </is>
      </c>
      <c r="J1702" t="inlineStr">
        <is>
          <t>0</t>
        </is>
      </c>
      <c r="K1702" t="inlineStr">
        <is>
          <t>Vatican Council (2nd : 1962-1965 : Basilica di San Pietro in Vaticano)</t>
        </is>
      </c>
      <c r="L1702" t="inlineStr">
        <is>
          <t>New York : Alba House, [1975]</t>
        </is>
      </c>
      <c r="M1702" t="inlineStr">
        <is>
          <t>1975</t>
        </is>
      </c>
      <c r="O1702" t="inlineStr">
        <is>
          <t>eng</t>
        </is>
      </c>
      <c r="P1702" t="inlineStr">
        <is>
          <t>nyu</t>
        </is>
      </c>
      <c r="R1702" t="inlineStr">
        <is>
          <t xml:space="preserve">BX </t>
        </is>
      </c>
      <c r="S1702" t="n">
        <v>3</v>
      </c>
      <c r="T1702" t="n">
        <v>3</v>
      </c>
      <c r="U1702" t="inlineStr">
        <is>
          <t>2003-11-23</t>
        </is>
      </c>
      <c r="V1702" t="inlineStr">
        <is>
          <t>2003-11-23</t>
        </is>
      </c>
      <c r="W1702" t="inlineStr">
        <is>
          <t>1991-11-04</t>
        </is>
      </c>
      <c r="X1702" t="inlineStr">
        <is>
          <t>1991-11-04</t>
        </is>
      </c>
      <c r="Y1702" t="n">
        <v>119</v>
      </c>
      <c r="Z1702" t="n">
        <v>100</v>
      </c>
      <c r="AA1702" t="n">
        <v>100</v>
      </c>
      <c r="AB1702" t="n">
        <v>2</v>
      </c>
      <c r="AC1702" t="n">
        <v>2</v>
      </c>
      <c r="AD1702" t="n">
        <v>15</v>
      </c>
      <c r="AE1702" t="n">
        <v>15</v>
      </c>
      <c r="AF1702" t="n">
        <v>3</v>
      </c>
      <c r="AG1702" t="n">
        <v>3</v>
      </c>
      <c r="AH1702" t="n">
        <v>5</v>
      </c>
      <c r="AI1702" t="n">
        <v>5</v>
      </c>
      <c r="AJ1702" t="n">
        <v>11</v>
      </c>
      <c r="AK1702" t="n">
        <v>11</v>
      </c>
      <c r="AL1702" t="n">
        <v>0</v>
      </c>
      <c r="AM1702" t="n">
        <v>0</v>
      </c>
      <c r="AN1702" t="n">
        <v>0</v>
      </c>
      <c r="AO1702" t="n">
        <v>0</v>
      </c>
      <c r="AP1702" t="inlineStr">
        <is>
          <t>No</t>
        </is>
      </c>
      <c r="AQ1702" t="inlineStr">
        <is>
          <t>No</t>
        </is>
      </c>
      <c r="AS1702">
        <f>HYPERLINK("https://creighton-primo.hosted.exlibrisgroup.com/primo-explore/search?tab=default_tab&amp;search_scope=EVERYTHING&amp;vid=01CRU&amp;lang=en_US&amp;offset=0&amp;query=any,contains,991003662469702656","Catalog Record")</f>
        <v/>
      </c>
      <c r="AT1702">
        <f>HYPERLINK("http://www.worldcat.org/oclc/1273398","WorldCat Record")</f>
        <v/>
      </c>
      <c r="AU1702" t="inlineStr">
        <is>
          <t>2200584:eng</t>
        </is>
      </c>
      <c r="AV1702" t="inlineStr">
        <is>
          <t>1273398</t>
        </is>
      </c>
      <c r="AW1702" t="inlineStr">
        <is>
          <t>991003662469702656</t>
        </is>
      </c>
      <c r="AX1702" t="inlineStr">
        <is>
          <t>991003662469702656</t>
        </is>
      </c>
      <c r="AY1702" t="inlineStr">
        <is>
          <t>2267754860002656</t>
        </is>
      </c>
      <c r="AZ1702" t="inlineStr">
        <is>
          <t>BOOK</t>
        </is>
      </c>
      <c r="BB1702" t="inlineStr">
        <is>
          <t>9780818903038</t>
        </is>
      </c>
      <c r="BC1702" t="inlineStr">
        <is>
          <t>32285000832161</t>
        </is>
      </c>
      <c r="BD1702" t="inlineStr">
        <is>
          <t>893525076</t>
        </is>
      </c>
    </row>
    <row r="1703">
      <c r="A1703" t="inlineStr">
        <is>
          <t>No</t>
        </is>
      </c>
      <c r="B1703" t="inlineStr">
        <is>
          <t>BX2435 .V62713 1975b</t>
        </is>
      </c>
      <c r="C1703" t="inlineStr">
        <is>
          <t>0                      BX 2435000V  62713       1975b</t>
        </is>
      </c>
      <c r="D1703" t="inlineStr">
        <is>
          <t>Spirituality from the desert : retreat at Beni-Abbès / René Voillaume ; translated by Alan Neame.</t>
        </is>
      </c>
      <c r="F1703" t="inlineStr">
        <is>
          <t>No</t>
        </is>
      </c>
      <c r="G1703" t="inlineStr">
        <is>
          <t>1</t>
        </is>
      </c>
      <c r="H1703" t="inlineStr">
        <is>
          <t>No</t>
        </is>
      </c>
      <c r="I1703" t="inlineStr">
        <is>
          <t>No</t>
        </is>
      </c>
      <c r="J1703" t="inlineStr">
        <is>
          <t>0</t>
        </is>
      </c>
      <c r="K1703" t="inlineStr">
        <is>
          <t>Voillaume, René.</t>
        </is>
      </c>
      <c r="L1703" t="inlineStr">
        <is>
          <t>Huntington, Ind. : Our Sunday Visitor, 1975.</t>
        </is>
      </c>
      <c r="M1703" t="inlineStr">
        <is>
          <t>1975</t>
        </is>
      </c>
      <c r="O1703" t="inlineStr">
        <is>
          <t>eng</t>
        </is>
      </c>
      <c r="P1703" t="inlineStr">
        <is>
          <t>inu</t>
        </is>
      </c>
      <c r="R1703" t="inlineStr">
        <is>
          <t xml:space="preserve">BX </t>
        </is>
      </c>
      <c r="S1703" t="n">
        <v>4</v>
      </c>
      <c r="T1703" t="n">
        <v>4</v>
      </c>
      <c r="U1703" t="inlineStr">
        <is>
          <t>2002-06-18</t>
        </is>
      </c>
      <c r="V1703" t="inlineStr">
        <is>
          <t>2002-06-18</t>
        </is>
      </c>
      <c r="W1703" t="inlineStr">
        <is>
          <t>1991-11-04</t>
        </is>
      </c>
      <c r="X1703" t="inlineStr">
        <is>
          <t>1991-11-04</t>
        </is>
      </c>
      <c r="Y1703" t="n">
        <v>85</v>
      </c>
      <c r="Z1703" t="n">
        <v>69</v>
      </c>
      <c r="AA1703" t="n">
        <v>71</v>
      </c>
      <c r="AB1703" t="n">
        <v>2</v>
      </c>
      <c r="AC1703" t="n">
        <v>2</v>
      </c>
      <c r="AD1703" t="n">
        <v>9</v>
      </c>
      <c r="AE1703" t="n">
        <v>9</v>
      </c>
      <c r="AF1703" t="n">
        <v>2</v>
      </c>
      <c r="AG1703" t="n">
        <v>2</v>
      </c>
      <c r="AH1703" t="n">
        <v>4</v>
      </c>
      <c r="AI1703" t="n">
        <v>4</v>
      </c>
      <c r="AJ1703" t="n">
        <v>5</v>
      </c>
      <c r="AK1703" t="n">
        <v>5</v>
      </c>
      <c r="AL1703" t="n">
        <v>0</v>
      </c>
      <c r="AM1703" t="n">
        <v>0</v>
      </c>
      <c r="AN1703" t="n">
        <v>0</v>
      </c>
      <c r="AO1703" t="n">
        <v>0</v>
      </c>
      <c r="AP1703" t="inlineStr">
        <is>
          <t>No</t>
        </is>
      </c>
      <c r="AQ1703" t="inlineStr">
        <is>
          <t>Yes</t>
        </is>
      </c>
      <c r="AR1703">
        <f>HYPERLINK("http://catalog.hathitrust.org/Record/011236825","HathiTrust Record")</f>
        <v/>
      </c>
      <c r="AS1703">
        <f>HYPERLINK("https://creighton-primo.hosted.exlibrisgroup.com/primo-explore/search?tab=default_tab&amp;search_scope=EVERYTHING&amp;vid=01CRU&amp;lang=en_US&amp;offset=0&amp;query=any,contains,991004041229702656","Catalog Record")</f>
        <v/>
      </c>
      <c r="AT1703">
        <f>HYPERLINK("http://www.worldcat.org/oclc/2188515","WorldCat Record")</f>
        <v/>
      </c>
      <c r="AU1703" t="inlineStr">
        <is>
          <t>8907612466:eng</t>
        </is>
      </c>
      <c r="AV1703" t="inlineStr">
        <is>
          <t>2188515</t>
        </is>
      </c>
      <c r="AW1703" t="inlineStr">
        <is>
          <t>991004041229702656</t>
        </is>
      </c>
      <c r="AX1703" t="inlineStr">
        <is>
          <t>991004041229702656</t>
        </is>
      </c>
      <c r="AY1703" t="inlineStr">
        <is>
          <t>2266625440002656</t>
        </is>
      </c>
      <c r="AZ1703" t="inlineStr">
        <is>
          <t>BOOK</t>
        </is>
      </c>
      <c r="BB1703" t="inlineStr">
        <is>
          <t>9780879737986</t>
        </is>
      </c>
      <c r="BC1703" t="inlineStr">
        <is>
          <t>32285000832179</t>
        </is>
      </c>
      <c r="BD1703" t="inlineStr">
        <is>
          <t>893512734</t>
        </is>
      </c>
    </row>
    <row r="1704">
      <c r="A1704" t="inlineStr">
        <is>
          <t>No</t>
        </is>
      </c>
      <c r="B1704" t="inlineStr">
        <is>
          <t>BX2436 .R45 1997</t>
        </is>
      </c>
      <c r="C1704" t="inlineStr">
        <is>
          <t>0                      BX 2436000R  45          1997</t>
        </is>
      </c>
      <c r="D1704" t="inlineStr">
        <is>
          <t>Regular life : monastic, canonical, and mendicant rules / selected and introduced by Douglas J. McMillan and Kathryn Smith Fladenmuller.</t>
        </is>
      </c>
      <c r="F1704" t="inlineStr">
        <is>
          <t>No</t>
        </is>
      </c>
      <c r="G1704" t="inlineStr">
        <is>
          <t>1</t>
        </is>
      </c>
      <c r="H1704" t="inlineStr">
        <is>
          <t>No</t>
        </is>
      </c>
      <c r="I1704" t="inlineStr">
        <is>
          <t>No</t>
        </is>
      </c>
      <c r="J1704" t="inlineStr">
        <is>
          <t>0</t>
        </is>
      </c>
      <c r="L1704" t="inlineStr">
        <is>
          <t>Kalamazoo, Mich. : Published for TEAMS by Medieval Institute Publications, 1997.</t>
        </is>
      </c>
      <c r="M1704" t="inlineStr">
        <is>
          <t>1997</t>
        </is>
      </c>
      <c r="O1704" t="inlineStr">
        <is>
          <t>eng</t>
        </is>
      </c>
      <c r="P1704" t="inlineStr">
        <is>
          <t>miu</t>
        </is>
      </c>
      <c r="Q1704" t="inlineStr">
        <is>
          <t>Documents of practice series</t>
        </is>
      </c>
      <c r="R1704" t="inlineStr">
        <is>
          <t xml:space="preserve">BX </t>
        </is>
      </c>
      <c r="S1704" t="n">
        <v>5</v>
      </c>
      <c r="T1704" t="n">
        <v>5</v>
      </c>
      <c r="U1704" t="inlineStr">
        <is>
          <t>2003-11-03</t>
        </is>
      </c>
      <c r="V1704" t="inlineStr">
        <is>
          <t>2003-11-03</t>
        </is>
      </c>
      <c r="W1704" t="inlineStr">
        <is>
          <t>2002-08-27</t>
        </is>
      </c>
      <c r="X1704" t="inlineStr">
        <is>
          <t>2002-08-27</t>
        </is>
      </c>
      <c r="Y1704" t="n">
        <v>163</v>
      </c>
      <c r="Z1704" t="n">
        <v>130</v>
      </c>
      <c r="AA1704" t="n">
        <v>218</v>
      </c>
      <c r="AB1704" t="n">
        <v>1</v>
      </c>
      <c r="AC1704" t="n">
        <v>2</v>
      </c>
      <c r="AD1704" t="n">
        <v>9</v>
      </c>
      <c r="AE1704" t="n">
        <v>18</v>
      </c>
      <c r="AF1704" t="n">
        <v>3</v>
      </c>
      <c r="AG1704" t="n">
        <v>6</v>
      </c>
      <c r="AH1704" t="n">
        <v>2</v>
      </c>
      <c r="AI1704" t="n">
        <v>6</v>
      </c>
      <c r="AJ1704" t="n">
        <v>7</v>
      </c>
      <c r="AK1704" t="n">
        <v>12</v>
      </c>
      <c r="AL1704" t="n">
        <v>0</v>
      </c>
      <c r="AM1704" t="n">
        <v>1</v>
      </c>
      <c r="AN1704" t="n">
        <v>0</v>
      </c>
      <c r="AO1704" t="n">
        <v>0</v>
      </c>
      <c r="AP1704" t="inlineStr">
        <is>
          <t>No</t>
        </is>
      </c>
      <c r="AQ1704" t="inlineStr">
        <is>
          <t>Yes</t>
        </is>
      </c>
      <c r="AR1704">
        <f>HYPERLINK("http://catalog.hathitrust.org/Record/004025449","HathiTrust Record")</f>
        <v/>
      </c>
      <c r="AS1704">
        <f>HYPERLINK("https://creighton-primo.hosted.exlibrisgroup.com/primo-explore/search?tab=default_tab&amp;search_scope=EVERYTHING&amp;vid=01CRU&amp;lang=en_US&amp;offset=0&amp;query=any,contains,991003836249702656","Catalog Record")</f>
        <v/>
      </c>
      <c r="AT1704">
        <f>HYPERLINK("http://www.worldcat.org/oclc/37675874","WorldCat Record")</f>
        <v/>
      </c>
      <c r="AU1704" t="inlineStr">
        <is>
          <t>2564866700:eng</t>
        </is>
      </c>
      <c r="AV1704" t="inlineStr">
        <is>
          <t>37675874</t>
        </is>
      </c>
      <c r="AW1704" t="inlineStr">
        <is>
          <t>991003836249702656</t>
        </is>
      </c>
      <c r="AX1704" t="inlineStr">
        <is>
          <t>991003836249702656</t>
        </is>
      </c>
      <c r="AY1704" t="inlineStr">
        <is>
          <t>2266454730002656</t>
        </is>
      </c>
      <c r="AZ1704" t="inlineStr">
        <is>
          <t>BOOK</t>
        </is>
      </c>
      <c r="BB1704" t="inlineStr">
        <is>
          <t>9781879288959</t>
        </is>
      </c>
      <c r="BC1704" t="inlineStr">
        <is>
          <t>32285004645213</t>
        </is>
      </c>
      <c r="BD1704" t="inlineStr">
        <is>
          <t>893775243</t>
        </is>
      </c>
    </row>
    <row r="1705">
      <c r="A1705" t="inlineStr">
        <is>
          <t>No</t>
        </is>
      </c>
      <c r="B1705" t="inlineStr">
        <is>
          <t>BX2438 .S64</t>
        </is>
      </c>
      <c r="C1705" t="inlineStr">
        <is>
          <t>0                      BX 2438000S  64</t>
        </is>
      </c>
      <c r="D1705" t="inlineStr">
        <is>
          <t>Spiritual direction / John Sullivan, editor.</t>
        </is>
      </c>
      <c r="F1705" t="inlineStr">
        <is>
          <t>No</t>
        </is>
      </c>
      <c r="G1705" t="inlineStr">
        <is>
          <t>1</t>
        </is>
      </c>
      <c r="H1705" t="inlineStr">
        <is>
          <t>No</t>
        </is>
      </c>
      <c r="I1705" t="inlineStr">
        <is>
          <t>No</t>
        </is>
      </c>
      <c r="J1705" t="inlineStr">
        <is>
          <t>0</t>
        </is>
      </c>
      <c r="L1705" t="inlineStr">
        <is>
          <t>Washington, D.C. : ICS Publications, 1980.</t>
        </is>
      </c>
      <c r="M1705" t="inlineStr">
        <is>
          <t>1980</t>
        </is>
      </c>
      <c r="O1705" t="inlineStr">
        <is>
          <t>eng</t>
        </is>
      </c>
      <c r="P1705" t="inlineStr">
        <is>
          <t>dcu</t>
        </is>
      </c>
      <c r="Q1705" t="inlineStr">
        <is>
          <t>Carmelite studies</t>
        </is>
      </c>
      <c r="R1705" t="inlineStr">
        <is>
          <t xml:space="preserve">BX </t>
        </is>
      </c>
      <c r="S1705" t="n">
        <v>6</v>
      </c>
      <c r="T1705" t="n">
        <v>6</v>
      </c>
      <c r="U1705" t="inlineStr">
        <is>
          <t>2010-12-13</t>
        </is>
      </c>
      <c r="V1705" t="inlineStr">
        <is>
          <t>2010-12-13</t>
        </is>
      </c>
      <c r="W1705" t="inlineStr">
        <is>
          <t>1991-11-06</t>
        </is>
      </c>
      <c r="X1705" t="inlineStr">
        <is>
          <t>1991-11-06</t>
        </is>
      </c>
      <c r="Y1705" t="n">
        <v>122</v>
      </c>
      <c r="Z1705" t="n">
        <v>99</v>
      </c>
      <c r="AA1705" t="n">
        <v>99</v>
      </c>
      <c r="AB1705" t="n">
        <v>5</v>
      </c>
      <c r="AC1705" t="n">
        <v>5</v>
      </c>
      <c r="AD1705" t="n">
        <v>16</v>
      </c>
      <c r="AE1705" t="n">
        <v>16</v>
      </c>
      <c r="AF1705" t="n">
        <v>1</v>
      </c>
      <c r="AG1705" t="n">
        <v>1</v>
      </c>
      <c r="AH1705" t="n">
        <v>5</v>
      </c>
      <c r="AI1705" t="n">
        <v>5</v>
      </c>
      <c r="AJ1705" t="n">
        <v>11</v>
      </c>
      <c r="AK1705" t="n">
        <v>11</v>
      </c>
      <c r="AL1705" t="n">
        <v>2</v>
      </c>
      <c r="AM1705" t="n">
        <v>2</v>
      </c>
      <c r="AN1705" t="n">
        <v>0</v>
      </c>
      <c r="AO1705" t="n">
        <v>0</v>
      </c>
      <c r="AP1705" t="inlineStr">
        <is>
          <t>No</t>
        </is>
      </c>
      <c r="AQ1705" t="inlineStr">
        <is>
          <t>No</t>
        </is>
      </c>
      <c r="AS1705">
        <f>HYPERLINK("https://creighton-primo.hosted.exlibrisgroup.com/primo-explore/search?tab=default_tab&amp;search_scope=EVERYTHING&amp;vid=01CRU&amp;lang=en_US&amp;offset=0&amp;query=any,contains,991005063869702656","Catalog Record")</f>
        <v/>
      </c>
      <c r="AT1705">
        <f>HYPERLINK("http://www.worldcat.org/oclc/6942584","WorldCat Record")</f>
        <v/>
      </c>
      <c r="AU1705" t="inlineStr">
        <is>
          <t>54416783:eng</t>
        </is>
      </c>
      <c r="AV1705" t="inlineStr">
        <is>
          <t>6942584</t>
        </is>
      </c>
      <c r="AW1705" t="inlineStr">
        <is>
          <t>991005063869702656</t>
        </is>
      </c>
      <c r="AX1705" t="inlineStr">
        <is>
          <t>991005063869702656</t>
        </is>
      </c>
      <c r="AY1705" t="inlineStr">
        <is>
          <t>2257283420002656</t>
        </is>
      </c>
      <c r="AZ1705" t="inlineStr">
        <is>
          <t>BOOK</t>
        </is>
      </c>
      <c r="BC1705" t="inlineStr">
        <is>
          <t>32285000832336</t>
        </is>
      </c>
      <c r="BD1705" t="inlineStr">
        <is>
          <t>893613062</t>
        </is>
      </c>
    </row>
    <row r="1706">
      <c r="A1706" t="inlineStr">
        <is>
          <t>No</t>
        </is>
      </c>
      <c r="B1706" t="inlineStr">
        <is>
          <t>BX2440 .C35 1969</t>
        </is>
      </c>
      <c r="C1706" t="inlineStr">
        <is>
          <t>0                      BX 2440000C  35          1969</t>
        </is>
      </c>
      <c r="D1706" t="inlineStr">
        <is>
          <t>Psychological realities and religious life.</t>
        </is>
      </c>
      <c r="F1706" t="inlineStr">
        <is>
          <t>No</t>
        </is>
      </c>
      <c r="G1706" t="inlineStr">
        <is>
          <t>1</t>
        </is>
      </c>
      <c r="H1706" t="inlineStr">
        <is>
          <t>No</t>
        </is>
      </c>
      <c r="I1706" t="inlineStr">
        <is>
          <t>No</t>
        </is>
      </c>
      <c r="J1706" t="inlineStr">
        <is>
          <t>0</t>
        </is>
      </c>
      <c r="K1706" t="inlineStr">
        <is>
          <t>Canadian Religious Conference.</t>
        </is>
      </c>
      <c r="M1706" t="inlineStr">
        <is>
          <t>1969</t>
        </is>
      </c>
      <c r="O1706" t="inlineStr">
        <is>
          <t>eng</t>
        </is>
      </c>
      <c r="P1706" t="inlineStr">
        <is>
          <t>onc</t>
        </is>
      </c>
      <c r="Q1706" t="inlineStr">
        <is>
          <t>Vita evangelica, 3</t>
        </is>
      </c>
      <c r="R1706" t="inlineStr">
        <is>
          <t xml:space="preserve">BX </t>
        </is>
      </c>
      <c r="S1706" t="n">
        <v>1</v>
      </c>
      <c r="T1706" t="n">
        <v>1</v>
      </c>
      <c r="U1706" t="inlineStr">
        <is>
          <t>1993-01-05</t>
        </is>
      </c>
      <c r="V1706" t="inlineStr">
        <is>
          <t>1993-01-05</t>
        </is>
      </c>
      <c r="W1706" t="inlineStr">
        <is>
          <t>1991-11-06</t>
        </is>
      </c>
      <c r="X1706" t="inlineStr">
        <is>
          <t>1991-11-06</t>
        </is>
      </c>
      <c r="Y1706" t="n">
        <v>50</v>
      </c>
      <c r="Z1706" t="n">
        <v>32</v>
      </c>
      <c r="AA1706" t="n">
        <v>32</v>
      </c>
      <c r="AB1706" t="n">
        <v>1</v>
      </c>
      <c r="AC1706" t="n">
        <v>1</v>
      </c>
      <c r="AD1706" t="n">
        <v>4</v>
      </c>
      <c r="AE1706" t="n">
        <v>4</v>
      </c>
      <c r="AF1706" t="n">
        <v>1</v>
      </c>
      <c r="AG1706" t="n">
        <v>1</v>
      </c>
      <c r="AH1706" t="n">
        <v>0</v>
      </c>
      <c r="AI1706" t="n">
        <v>0</v>
      </c>
      <c r="AJ1706" t="n">
        <v>4</v>
      </c>
      <c r="AK1706" t="n">
        <v>4</v>
      </c>
      <c r="AL1706" t="n">
        <v>0</v>
      </c>
      <c r="AM1706" t="n">
        <v>0</v>
      </c>
      <c r="AN1706" t="n">
        <v>0</v>
      </c>
      <c r="AO1706" t="n">
        <v>0</v>
      </c>
      <c r="AP1706" t="inlineStr">
        <is>
          <t>No</t>
        </is>
      </c>
      <c r="AQ1706" t="inlineStr">
        <is>
          <t>No</t>
        </is>
      </c>
      <c r="AS1706">
        <f>HYPERLINK("https://creighton-primo.hosted.exlibrisgroup.com/primo-explore/search?tab=default_tab&amp;search_scope=EVERYTHING&amp;vid=01CRU&amp;lang=en_US&amp;offset=0&amp;query=any,contains,991000658449702656","Catalog Record")</f>
        <v/>
      </c>
      <c r="AT1706">
        <f>HYPERLINK("http://www.worldcat.org/oclc/116559","WorldCat Record")</f>
        <v/>
      </c>
      <c r="AU1706" t="inlineStr">
        <is>
          <t>1234379:eng</t>
        </is>
      </c>
      <c r="AV1706" t="inlineStr">
        <is>
          <t>116559</t>
        </is>
      </c>
      <c r="AW1706" t="inlineStr">
        <is>
          <t>991000658449702656</t>
        </is>
      </c>
      <c r="AX1706" t="inlineStr">
        <is>
          <t>991000658449702656</t>
        </is>
      </c>
      <c r="AY1706" t="inlineStr">
        <is>
          <t>2260548860002656</t>
        </is>
      </c>
      <c r="AZ1706" t="inlineStr">
        <is>
          <t>BOOK</t>
        </is>
      </c>
      <c r="BC1706" t="inlineStr">
        <is>
          <t>32285000832351</t>
        </is>
      </c>
      <c r="BD1706" t="inlineStr">
        <is>
          <t>893237499</t>
        </is>
      </c>
    </row>
    <row r="1707">
      <c r="A1707" t="inlineStr">
        <is>
          <t>No</t>
        </is>
      </c>
      <c r="B1707" t="inlineStr">
        <is>
          <t>BX2461 .M6 1861</t>
        </is>
      </c>
      <c r="C1707" t="inlineStr">
        <is>
          <t>0                      BX 2461000M  6           1861</t>
        </is>
      </c>
      <c r="D1707" t="inlineStr">
        <is>
          <t>The monks of the West, from St. Benedict to St. Bernard / by the Count de Montalembert. Authorised translation.</t>
        </is>
      </c>
      <c r="E1707" t="inlineStr">
        <is>
          <t>V.2</t>
        </is>
      </c>
      <c r="F1707" t="inlineStr">
        <is>
          <t>Yes</t>
        </is>
      </c>
      <c r="G1707" t="inlineStr">
        <is>
          <t>1</t>
        </is>
      </c>
      <c r="H1707" t="inlineStr">
        <is>
          <t>No</t>
        </is>
      </c>
      <c r="I1707" t="inlineStr">
        <is>
          <t>No</t>
        </is>
      </c>
      <c r="J1707" t="inlineStr">
        <is>
          <t>0</t>
        </is>
      </c>
      <c r="K1707" t="inlineStr">
        <is>
          <t>Montalembert, Charles Forbes, comte de, 1810-1870.</t>
        </is>
      </c>
      <c r="L1707" t="inlineStr">
        <is>
          <t>Edinburgh and London : W. Blackwood and Sons, 1861-79.</t>
        </is>
      </c>
      <c r="M1707" t="inlineStr">
        <is>
          <t>1861</t>
        </is>
      </c>
      <c r="O1707" t="inlineStr">
        <is>
          <t>eng</t>
        </is>
      </c>
      <c r="P1707" t="inlineStr">
        <is>
          <t>enk</t>
        </is>
      </c>
      <c r="R1707" t="inlineStr">
        <is>
          <t xml:space="preserve">BX </t>
        </is>
      </c>
      <c r="S1707" t="n">
        <v>6</v>
      </c>
      <c r="T1707" t="n">
        <v>20</v>
      </c>
      <c r="U1707" t="inlineStr">
        <is>
          <t>2003-03-04</t>
        </is>
      </c>
      <c r="V1707" t="inlineStr">
        <is>
          <t>2005-03-15</t>
        </is>
      </c>
      <c r="W1707" t="inlineStr">
        <is>
          <t>1991-11-06</t>
        </is>
      </c>
      <c r="X1707" t="inlineStr">
        <is>
          <t>1991-11-06</t>
        </is>
      </c>
      <c r="Y1707" t="n">
        <v>243</v>
      </c>
      <c r="Z1707" t="n">
        <v>185</v>
      </c>
      <c r="AA1707" t="n">
        <v>328</v>
      </c>
      <c r="AB1707" t="n">
        <v>1</v>
      </c>
      <c r="AC1707" t="n">
        <v>3</v>
      </c>
      <c r="AD1707" t="n">
        <v>19</v>
      </c>
      <c r="AE1707" t="n">
        <v>25</v>
      </c>
      <c r="AF1707" t="n">
        <v>9</v>
      </c>
      <c r="AG1707" t="n">
        <v>10</v>
      </c>
      <c r="AH1707" t="n">
        <v>4</v>
      </c>
      <c r="AI1707" t="n">
        <v>5</v>
      </c>
      <c r="AJ1707" t="n">
        <v>10</v>
      </c>
      <c r="AK1707" t="n">
        <v>13</v>
      </c>
      <c r="AL1707" t="n">
        <v>0</v>
      </c>
      <c r="AM1707" t="n">
        <v>2</v>
      </c>
      <c r="AN1707" t="n">
        <v>0</v>
      </c>
      <c r="AO1707" t="n">
        <v>0</v>
      </c>
      <c r="AP1707" t="inlineStr">
        <is>
          <t>Yes</t>
        </is>
      </c>
      <c r="AQ1707" t="inlineStr">
        <is>
          <t>No</t>
        </is>
      </c>
      <c r="AR1707">
        <f>HYPERLINK("http://catalog.hathitrust.org/Record/001590993","HathiTrust Record")</f>
        <v/>
      </c>
      <c r="AS1707">
        <f>HYPERLINK("https://creighton-primo.hosted.exlibrisgroup.com/primo-explore/search?tab=default_tab&amp;search_scope=EVERYTHING&amp;vid=01CRU&amp;lang=en_US&amp;offset=0&amp;query=any,contains,991004231779702656","Catalog Record")</f>
        <v/>
      </c>
      <c r="AT1707">
        <f>HYPERLINK("http://www.worldcat.org/oclc/2749151","WorldCat Record")</f>
        <v/>
      </c>
      <c r="AU1707" t="inlineStr">
        <is>
          <t>4923494206:eng</t>
        </is>
      </c>
      <c r="AV1707" t="inlineStr">
        <is>
          <t>2749151</t>
        </is>
      </c>
      <c r="AW1707" t="inlineStr">
        <is>
          <t>991004231779702656</t>
        </is>
      </c>
      <c r="AX1707" t="inlineStr">
        <is>
          <t>991004231779702656</t>
        </is>
      </c>
      <c r="AY1707" t="inlineStr">
        <is>
          <t>2254973200002656</t>
        </is>
      </c>
      <c r="AZ1707" t="inlineStr">
        <is>
          <t>BOOK</t>
        </is>
      </c>
      <c r="BC1707" t="inlineStr">
        <is>
          <t>32285000832450</t>
        </is>
      </c>
      <c r="BD1707" t="inlineStr">
        <is>
          <t>893442366</t>
        </is>
      </c>
    </row>
    <row r="1708">
      <c r="A1708" t="inlineStr">
        <is>
          <t>No</t>
        </is>
      </c>
      <c r="B1708" t="inlineStr">
        <is>
          <t>BX2461 .M6 1861</t>
        </is>
      </c>
      <c r="C1708" t="inlineStr">
        <is>
          <t>0                      BX 2461000M  6           1861</t>
        </is>
      </c>
      <c r="D1708" t="inlineStr">
        <is>
          <t>The monks of the West, from St. Benedict to St. Bernard / by the Count de Montalembert. Authorised translation.</t>
        </is>
      </c>
      <c r="E1708" t="inlineStr">
        <is>
          <t>V.7</t>
        </is>
      </c>
      <c r="F1708" t="inlineStr">
        <is>
          <t>Yes</t>
        </is>
      </c>
      <c r="G1708" t="inlineStr">
        <is>
          <t>1</t>
        </is>
      </c>
      <c r="H1708" t="inlineStr">
        <is>
          <t>No</t>
        </is>
      </c>
      <c r="I1708" t="inlineStr">
        <is>
          <t>No</t>
        </is>
      </c>
      <c r="J1708" t="inlineStr">
        <is>
          <t>0</t>
        </is>
      </c>
      <c r="K1708" t="inlineStr">
        <is>
          <t>Montalembert, Charles Forbes, comte de, 1810-1870.</t>
        </is>
      </c>
      <c r="L1708" t="inlineStr">
        <is>
          <t>Edinburgh and London : W. Blackwood and Sons, 1861-79.</t>
        </is>
      </c>
      <c r="M1708" t="inlineStr">
        <is>
          <t>1861</t>
        </is>
      </c>
      <c r="O1708" t="inlineStr">
        <is>
          <t>eng</t>
        </is>
      </c>
      <c r="P1708" t="inlineStr">
        <is>
          <t>enk</t>
        </is>
      </c>
      <c r="R1708" t="inlineStr">
        <is>
          <t xml:space="preserve">BX </t>
        </is>
      </c>
      <c r="S1708" t="n">
        <v>1</v>
      </c>
      <c r="T1708" t="n">
        <v>20</v>
      </c>
      <c r="V1708" t="inlineStr">
        <is>
          <t>2005-03-15</t>
        </is>
      </c>
      <c r="W1708" t="inlineStr">
        <is>
          <t>1991-11-06</t>
        </is>
      </c>
      <c r="X1708" t="inlineStr">
        <is>
          <t>1991-11-06</t>
        </is>
      </c>
      <c r="Y1708" t="n">
        <v>243</v>
      </c>
      <c r="Z1708" t="n">
        <v>185</v>
      </c>
      <c r="AA1708" t="n">
        <v>328</v>
      </c>
      <c r="AB1708" t="n">
        <v>1</v>
      </c>
      <c r="AC1708" t="n">
        <v>3</v>
      </c>
      <c r="AD1708" t="n">
        <v>19</v>
      </c>
      <c r="AE1708" t="n">
        <v>25</v>
      </c>
      <c r="AF1708" t="n">
        <v>9</v>
      </c>
      <c r="AG1708" t="n">
        <v>10</v>
      </c>
      <c r="AH1708" t="n">
        <v>4</v>
      </c>
      <c r="AI1708" t="n">
        <v>5</v>
      </c>
      <c r="AJ1708" t="n">
        <v>10</v>
      </c>
      <c r="AK1708" t="n">
        <v>13</v>
      </c>
      <c r="AL1708" t="n">
        <v>0</v>
      </c>
      <c r="AM1708" t="n">
        <v>2</v>
      </c>
      <c r="AN1708" t="n">
        <v>0</v>
      </c>
      <c r="AO1708" t="n">
        <v>0</v>
      </c>
      <c r="AP1708" t="inlineStr">
        <is>
          <t>Yes</t>
        </is>
      </c>
      <c r="AQ1708" t="inlineStr">
        <is>
          <t>No</t>
        </is>
      </c>
      <c r="AR1708">
        <f>HYPERLINK("http://catalog.hathitrust.org/Record/001590993","HathiTrust Record")</f>
        <v/>
      </c>
      <c r="AS1708">
        <f>HYPERLINK("https://creighton-primo.hosted.exlibrisgroup.com/primo-explore/search?tab=default_tab&amp;search_scope=EVERYTHING&amp;vid=01CRU&amp;lang=en_US&amp;offset=0&amp;query=any,contains,991004231779702656","Catalog Record")</f>
        <v/>
      </c>
      <c r="AT1708">
        <f>HYPERLINK("http://www.worldcat.org/oclc/2749151","WorldCat Record")</f>
        <v/>
      </c>
      <c r="AU1708" t="inlineStr">
        <is>
          <t>4923494206:eng</t>
        </is>
      </c>
      <c r="AV1708" t="inlineStr">
        <is>
          <t>2749151</t>
        </is>
      </c>
      <c r="AW1708" t="inlineStr">
        <is>
          <t>991004231779702656</t>
        </is>
      </c>
      <c r="AX1708" t="inlineStr">
        <is>
          <t>991004231779702656</t>
        </is>
      </c>
      <c r="AY1708" t="inlineStr">
        <is>
          <t>2254973200002656</t>
        </is>
      </c>
      <c r="AZ1708" t="inlineStr">
        <is>
          <t>BOOK</t>
        </is>
      </c>
      <c r="BC1708" t="inlineStr">
        <is>
          <t>32285000832500</t>
        </is>
      </c>
      <c r="BD1708" t="inlineStr">
        <is>
          <t>893436040</t>
        </is>
      </c>
    </row>
    <row r="1709">
      <c r="A1709" t="inlineStr">
        <is>
          <t>No</t>
        </is>
      </c>
      <c r="B1709" t="inlineStr">
        <is>
          <t>BX2461 .M6 1861</t>
        </is>
      </c>
      <c r="C1709" t="inlineStr">
        <is>
          <t>0                      BX 2461000M  6           1861</t>
        </is>
      </c>
      <c r="D1709" t="inlineStr">
        <is>
          <t>The monks of the West, from St. Benedict to St. Bernard / by the Count de Montalembert. Authorised translation.</t>
        </is>
      </c>
      <c r="E1709" t="inlineStr">
        <is>
          <t>V.4</t>
        </is>
      </c>
      <c r="F1709" t="inlineStr">
        <is>
          <t>Yes</t>
        </is>
      </c>
      <c r="G1709" t="inlineStr">
        <is>
          <t>1</t>
        </is>
      </c>
      <c r="H1709" t="inlineStr">
        <is>
          <t>No</t>
        </is>
      </c>
      <c r="I1709" t="inlineStr">
        <is>
          <t>No</t>
        </is>
      </c>
      <c r="J1709" t="inlineStr">
        <is>
          <t>0</t>
        </is>
      </c>
      <c r="K1709" t="inlineStr">
        <is>
          <t>Montalembert, Charles Forbes, comte de, 1810-1870.</t>
        </is>
      </c>
      <c r="L1709" t="inlineStr">
        <is>
          <t>Edinburgh and London : W. Blackwood and Sons, 1861-79.</t>
        </is>
      </c>
      <c r="M1709" t="inlineStr">
        <is>
          <t>1861</t>
        </is>
      </c>
      <c r="O1709" t="inlineStr">
        <is>
          <t>eng</t>
        </is>
      </c>
      <c r="P1709" t="inlineStr">
        <is>
          <t>enk</t>
        </is>
      </c>
      <c r="R1709" t="inlineStr">
        <is>
          <t xml:space="preserve">BX </t>
        </is>
      </c>
      <c r="S1709" t="n">
        <v>2</v>
      </c>
      <c r="T1709" t="n">
        <v>20</v>
      </c>
      <c r="U1709" t="inlineStr">
        <is>
          <t>2005-03-15</t>
        </is>
      </c>
      <c r="V1709" t="inlineStr">
        <is>
          <t>2005-03-15</t>
        </is>
      </c>
      <c r="W1709" t="inlineStr">
        <is>
          <t>1991-11-06</t>
        </is>
      </c>
      <c r="X1709" t="inlineStr">
        <is>
          <t>1991-11-06</t>
        </is>
      </c>
      <c r="Y1709" t="n">
        <v>243</v>
      </c>
      <c r="Z1709" t="n">
        <v>185</v>
      </c>
      <c r="AA1709" t="n">
        <v>328</v>
      </c>
      <c r="AB1709" t="n">
        <v>1</v>
      </c>
      <c r="AC1709" t="n">
        <v>3</v>
      </c>
      <c r="AD1709" t="n">
        <v>19</v>
      </c>
      <c r="AE1709" t="n">
        <v>25</v>
      </c>
      <c r="AF1709" t="n">
        <v>9</v>
      </c>
      <c r="AG1709" t="n">
        <v>10</v>
      </c>
      <c r="AH1709" t="n">
        <v>4</v>
      </c>
      <c r="AI1709" t="n">
        <v>5</v>
      </c>
      <c r="AJ1709" t="n">
        <v>10</v>
      </c>
      <c r="AK1709" t="n">
        <v>13</v>
      </c>
      <c r="AL1709" t="n">
        <v>0</v>
      </c>
      <c r="AM1709" t="n">
        <v>2</v>
      </c>
      <c r="AN1709" t="n">
        <v>0</v>
      </c>
      <c r="AO1709" t="n">
        <v>0</v>
      </c>
      <c r="AP1709" t="inlineStr">
        <is>
          <t>Yes</t>
        </is>
      </c>
      <c r="AQ1709" t="inlineStr">
        <is>
          <t>No</t>
        </is>
      </c>
      <c r="AR1709">
        <f>HYPERLINK("http://catalog.hathitrust.org/Record/001590993","HathiTrust Record")</f>
        <v/>
      </c>
      <c r="AS1709">
        <f>HYPERLINK("https://creighton-primo.hosted.exlibrisgroup.com/primo-explore/search?tab=default_tab&amp;search_scope=EVERYTHING&amp;vid=01CRU&amp;lang=en_US&amp;offset=0&amp;query=any,contains,991004231779702656","Catalog Record")</f>
        <v/>
      </c>
      <c r="AT1709">
        <f>HYPERLINK("http://www.worldcat.org/oclc/2749151","WorldCat Record")</f>
        <v/>
      </c>
      <c r="AU1709" t="inlineStr">
        <is>
          <t>4923494206:eng</t>
        </is>
      </c>
      <c r="AV1709" t="inlineStr">
        <is>
          <t>2749151</t>
        </is>
      </c>
      <c r="AW1709" t="inlineStr">
        <is>
          <t>991004231779702656</t>
        </is>
      </c>
      <c r="AX1709" t="inlineStr">
        <is>
          <t>991004231779702656</t>
        </is>
      </c>
      <c r="AY1709" t="inlineStr">
        <is>
          <t>2254973200002656</t>
        </is>
      </c>
      <c r="AZ1709" t="inlineStr">
        <is>
          <t>BOOK</t>
        </is>
      </c>
      <c r="BC1709" t="inlineStr">
        <is>
          <t>32285000832476</t>
        </is>
      </c>
      <c r="BD1709" t="inlineStr">
        <is>
          <t>893436039</t>
        </is>
      </c>
    </row>
    <row r="1710">
      <c r="A1710" t="inlineStr">
        <is>
          <t>No</t>
        </is>
      </c>
      <c r="B1710" t="inlineStr">
        <is>
          <t>BX2461 .M6 1861</t>
        </is>
      </c>
      <c r="C1710" t="inlineStr">
        <is>
          <t>0                      BX 2461000M  6           1861</t>
        </is>
      </c>
      <c r="D1710" t="inlineStr">
        <is>
          <t>The monks of the West, from St. Benedict to St. Bernard / by the Count de Montalembert. Authorised translation.</t>
        </is>
      </c>
      <c r="E1710" t="inlineStr">
        <is>
          <t>V.5</t>
        </is>
      </c>
      <c r="F1710" t="inlineStr">
        <is>
          <t>Yes</t>
        </is>
      </c>
      <c r="G1710" t="inlineStr">
        <is>
          <t>1</t>
        </is>
      </c>
      <c r="H1710" t="inlineStr">
        <is>
          <t>No</t>
        </is>
      </c>
      <c r="I1710" t="inlineStr">
        <is>
          <t>No</t>
        </is>
      </c>
      <c r="J1710" t="inlineStr">
        <is>
          <t>0</t>
        </is>
      </c>
      <c r="K1710" t="inlineStr">
        <is>
          <t>Montalembert, Charles Forbes, comte de, 1810-1870.</t>
        </is>
      </c>
      <c r="L1710" t="inlineStr">
        <is>
          <t>Edinburgh and London : W. Blackwood and Sons, 1861-79.</t>
        </is>
      </c>
      <c r="M1710" t="inlineStr">
        <is>
          <t>1861</t>
        </is>
      </c>
      <c r="O1710" t="inlineStr">
        <is>
          <t>eng</t>
        </is>
      </c>
      <c r="P1710" t="inlineStr">
        <is>
          <t>enk</t>
        </is>
      </c>
      <c r="R1710" t="inlineStr">
        <is>
          <t xml:space="preserve">BX </t>
        </is>
      </c>
      <c r="S1710" t="n">
        <v>0</v>
      </c>
      <c r="T1710" t="n">
        <v>20</v>
      </c>
      <c r="V1710" t="inlineStr">
        <is>
          <t>2005-03-15</t>
        </is>
      </c>
      <c r="W1710" t="inlineStr">
        <is>
          <t>1991-11-06</t>
        </is>
      </c>
      <c r="X1710" t="inlineStr">
        <is>
          <t>1991-11-06</t>
        </is>
      </c>
      <c r="Y1710" t="n">
        <v>243</v>
      </c>
      <c r="Z1710" t="n">
        <v>185</v>
      </c>
      <c r="AA1710" t="n">
        <v>328</v>
      </c>
      <c r="AB1710" t="n">
        <v>1</v>
      </c>
      <c r="AC1710" t="n">
        <v>3</v>
      </c>
      <c r="AD1710" t="n">
        <v>19</v>
      </c>
      <c r="AE1710" t="n">
        <v>25</v>
      </c>
      <c r="AF1710" t="n">
        <v>9</v>
      </c>
      <c r="AG1710" t="n">
        <v>10</v>
      </c>
      <c r="AH1710" t="n">
        <v>4</v>
      </c>
      <c r="AI1710" t="n">
        <v>5</v>
      </c>
      <c r="AJ1710" t="n">
        <v>10</v>
      </c>
      <c r="AK1710" t="n">
        <v>13</v>
      </c>
      <c r="AL1710" t="n">
        <v>0</v>
      </c>
      <c r="AM1710" t="n">
        <v>2</v>
      </c>
      <c r="AN1710" t="n">
        <v>0</v>
      </c>
      <c r="AO1710" t="n">
        <v>0</v>
      </c>
      <c r="AP1710" t="inlineStr">
        <is>
          <t>Yes</t>
        </is>
      </c>
      <c r="AQ1710" t="inlineStr">
        <is>
          <t>No</t>
        </is>
      </c>
      <c r="AR1710">
        <f>HYPERLINK("http://catalog.hathitrust.org/Record/001590993","HathiTrust Record")</f>
        <v/>
      </c>
      <c r="AS1710">
        <f>HYPERLINK("https://creighton-primo.hosted.exlibrisgroup.com/primo-explore/search?tab=default_tab&amp;search_scope=EVERYTHING&amp;vid=01CRU&amp;lang=en_US&amp;offset=0&amp;query=any,contains,991004231779702656","Catalog Record")</f>
        <v/>
      </c>
      <c r="AT1710">
        <f>HYPERLINK("http://www.worldcat.org/oclc/2749151","WorldCat Record")</f>
        <v/>
      </c>
      <c r="AU1710" t="inlineStr">
        <is>
          <t>4923494206:eng</t>
        </is>
      </c>
      <c r="AV1710" t="inlineStr">
        <is>
          <t>2749151</t>
        </is>
      </c>
      <c r="AW1710" t="inlineStr">
        <is>
          <t>991004231779702656</t>
        </is>
      </c>
      <c r="AX1710" t="inlineStr">
        <is>
          <t>991004231779702656</t>
        </is>
      </c>
      <c r="AY1710" t="inlineStr">
        <is>
          <t>2254973200002656</t>
        </is>
      </c>
      <c r="AZ1710" t="inlineStr">
        <is>
          <t>BOOK</t>
        </is>
      </c>
      <c r="BC1710" t="inlineStr">
        <is>
          <t>32285000832484</t>
        </is>
      </c>
      <c r="BD1710" t="inlineStr">
        <is>
          <t>893423540</t>
        </is>
      </c>
    </row>
    <row r="1711">
      <c r="A1711" t="inlineStr">
        <is>
          <t>No</t>
        </is>
      </c>
      <c r="B1711" t="inlineStr">
        <is>
          <t>BX2461 .M6 1861</t>
        </is>
      </c>
      <c r="C1711" t="inlineStr">
        <is>
          <t>0                      BX 2461000M  6           1861</t>
        </is>
      </c>
      <c r="D1711" t="inlineStr">
        <is>
          <t>The monks of the West, from St. Benedict to St. Bernard / by the Count de Montalembert. Authorised translation.</t>
        </is>
      </c>
      <c r="E1711" t="inlineStr">
        <is>
          <t>V.1</t>
        </is>
      </c>
      <c r="F1711" t="inlineStr">
        <is>
          <t>Yes</t>
        </is>
      </c>
      <c r="G1711" t="inlineStr">
        <is>
          <t>1</t>
        </is>
      </c>
      <c r="H1711" t="inlineStr">
        <is>
          <t>No</t>
        </is>
      </c>
      <c r="I1711" t="inlineStr">
        <is>
          <t>No</t>
        </is>
      </c>
      <c r="J1711" t="inlineStr">
        <is>
          <t>0</t>
        </is>
      </c>
      <c r="K1711" t="inlineStr">
        <is>
          <t>Montalembert, Charles Forbes, comte de, 1810-1870.</t>
        </is>
      </c>
      <c r="L1711" t="inlineStr">
        <is>
          <t>Edinburgh and London : W. Blackwood and Sons, 1861-79.</t>
        </is>
      </c>
      <c r="M1711" t="inlineStr">
        <is>
          <t>1861</t>
        </is>
      </c>
      <c r="O1711" t="inlineStr">
        <is>
          <t>eng</t>
        </is>
      </c>
      <c r="P1711" t="inlineStr">
        <is>
          <t>enk</t>
        </is>
      </c>
      <c r="R1711" t="inlineStr">
        <is>
          <t xml:space="preserve">BX </t>
        </is>
      </c>
      <c r="S1711" t="n">
        <v>2</v>
      </c>
      <c r="T1711" t="n">
        <v>20</v>
      </c>
      <c r="U1711" t="inlineStr">
        <is>
          <t>1994-12-06</t>
        </is>
      </c>
      <c r="V1711" t="inlineStr">
        <is>
          <t>2005-03-15</t>
        </is>
      </c>
      <c r="W1711" t="inlineStr">
        <is>
          <t>1991-11-06</t>
        </is>
      </c>
      <c r="X1711" t="inlineStr">
        <is>
          <t>1991-11-06</t>
        </is>
      </c>
      <c r="Y1711" t="n">
        <v>243</v>
      </c>
      <c r="Z1711" t="n">
        <v>185</v>
      </c>
      <c r="AA1711" t="n">
        <v>328</v>
      </c>
      <c r="AB1711" t="n">
        <v>1</v>
      </c>
      <c r="AC1711" t="n">
        <v>3</v>
      </c>
      <c r="AD1711" t="n">
        <v>19</v>
      </c>
      <c r="AE1711" t="n">
        <v>25</v>
      </c>
      <c r="AF1711" t="n">
        <v>9</v>
      </c>
      <c r="AG1711" t="n">
        <v>10</v>
      </c>
      <c r="AH1711" t="n">
        <v>4</v>
      </c>
      <c r="AI1711" t="n">
        <v>5</v>
      </c>
      <c r="AJ1711" t="n">
        <v>10</v>
      </c>
      <c r="AK1711" t="n">
        <v>13</v>
      </c>
      <c r="AL1711" t="n">
        <v>0</v>
      </c>
      <c r="AM1711" t="n">
        <v>2</v>
      </c>
      <c r="AN1711" t="n">
        <v>0</v>
      </c>
      <c r="AO1711" t="n">
        <v>0</v>
      </c>
      <c r="AP1711" t="inlineStr">
        <is>
          <t>Yes</t>
        </is>
      </c>
      <c r="AQ1711" t="inlineStr">
        <is>
          <t>No</t>
        </is>
      </c>
      <c r="AR1711">
        <f>HYPERLINK("http://catalog.hathitrust.org/Record/001590993","HathiTrust Record")</f>
        <v/>
      </c>
      <c r="AS1711">
        <f>HYPERLINK("https://creighton-primo.hosted.exlibrisgroup.com/primo-explore/search?tab=default_tab&amp;search_scope=EVERYTHING&amp;vid=01CRU&amp;lang=en_US&amp;offset=0&amp;query=any,contains,991004231779702656","Catalog Record")</f>
        <v/>
      </c>
      <c r="AT1711">
        <f>HYPERLINK("http://www.worldcat.org/oclc/2749151","WorldCat Record")</f>
        <v/>
      </c>
      <c r="AU1711" t="inlineStr">
        <is>
          <t>4923494206:eng</t>
        </is>
      </c>
      <c r="AV1711" t="inlineStr">
        <is>
          <t>2749151</t>
        </is>
      </c>
      <c r="AW1711" t="inlineStr">
        <is>
          <t>991004231779702656</t>
        </is>
      </c>
      <c r="AX1711" t="inlineStr">
        <is>
          <t>991004231779702656</t>
        </is>
      </c>
      <c r="AY1711" t="inlineStr">
        <is>
          <t>2254973200002656</t>
        </is>
      </c>
      <c r="AZ1711" t="inlineStr">
        <is>
          <t>BOOK</t>
        </is>
      </c>
      <c r="BC1711" t="inlineStr">
        <is>
          <t>32285000832443</t>
        </is>
      </c>
      <c r="BD1711" t="inlineStr">
        <is>
          <t>893423541</t>
        </is>
      </c>
    </row>
    <row r="1712">
      <c r="A1712" t="inlineStr">
        <is>
          <t>No</t>
        </is>
      </c>
      <c r="B1712" t="inlineStr">
        <is>
          <t>BX2461 .M6 1861</t>
        </is>
      </c>
      <c r="C1712" t="inlineStr">
        <is>
          <t>0                      BX 2461000M  6           1861</t>
        </is>
      </c>
      <c r="D1712" t="inlineStr">
        <is>
          <t>The monks of the West, from St. Benedict to St. Bernard / by the Count de Montalembert. Authorised translation.</t>
        </is>
      </c>
      <c r="E1712" t="inlineStr">
        <is>
          <t>V.3</t>
        </is>
      </c>
      <c r="F1712" t="inlineStr">
        <is>
          <t>Yes</t>
        </is>
      </c>
      <c r="G1712" t="inlineStr">
        <is>
          <t>1</t>
        </is>
      </c>
      <c r="H1712" t="inlineStr">
        <is>
          <t>No</t>
        </is>
      </c>
      <c r="I1712" t="inlineStr">
        <is>
          <t>No</t>
        </is>
      </c>
      <c r="J1712" t="inlineStr">
        <is>
          <t>0</t>
        </is>
      </c>
      <c r="K1712" t="inlineStr">
        <is>
          <t>Montalembert, Charles Forbes, comte de, 1810-1870.</t>
        </is>
      </c>
      <c r="L1712" t="inlineStr">
        <is>
          <t>Edinburgh and London : W. Blackwood and Sons, 1861-79.</t>
        </is>
      </c>
      <c r="M1712" t="inlineStr">
        <is>
          <t>1861</t>
        </is>
      </c>
      <c r="O1712" t="inlineStr">
        <is>
          <t>eng</t>
        </is>
      </c>
      <c r="P1712" t="inlineStr">
        <is>
          <t>enk</t>
        </is>
      </c>
      <c r="R1712" t="inlineStr">
        <is>
          <t xml:space="preserve">BX </t>
        </is>
      </c>
      <c r="S1712" t="n">
        <v>6</v>
      </c>
      <c r="T1712" t="n">
        <v>20</v>
      </c>
      <c r="U1712" t="inlineStr">
        <is>
          <t>2003-03-04</t>
        </is>
      </c>
      <c r="V1712" t="inlineStr">
        <is>
          <t>2005-03-15</t>
        </is>
      </c>
      <c r="W1712" t="inlineStr">
        <is>
          <t>1991-11-06</t>
        </is>
      </c>
      <c r="X1712" t="inlineStr">
        <is>
          <t>1991-11-06</t>
        </is>
      </c>
      <c r="Y1712" t="n">
        <v>243</v>
      </c>
      <c r="Z1712" t="n">
        <v>185</v>
      </c>
      <c r="AA1712" t="n">
        <v>328</v>
      </c>
      <c r="AB1712" t="n">
        <v>1</v>
      </c>
      <c r="AC1712" t="n">
        <v>3</v>
      </c>
      <c r="AD1712" t="n">
        <v>19</v>
      </c>
      <c r="AE1712" t="n">
        <v>25</v>
      </c>
      <c r="AF1712" t="n">
        <v>9</v>
      </c>
      <c r="AG1712" t="n">
        <v>10</v>
      </c>
      <c r="AH1712" t="n">
        <v>4</v>
      </c>
      <c r="AI1712" t="n">
        <v>5</v>
      </c>
      <c r="AJ1712" t="n">
        <v>10</v>
      </c>
      <c r="AK1712" t="n">
        <v>13</v>
      </c>
      <c r="AL1712" t="n">
        <v>0</v>
      </c>
      <c r="AM1712" t="n">
        <v>2</v>
      </c>
      <c r="AN1712" t="n">
        <v>0</v>
      </c>
      <c r="AO1712" t="n">
        <v>0</v>
      </c>
      <c r="AP1712" t="inlineStr">
        <is>
          <t>Yes</t>
        </is>
      </c>
      <c r="AQ1712" t="inlineStr">
        <is>
          <t>No</t>
        </is>
      </c>
      <c r="AR1712">
        <f>HYPERLINK("http://catalog.hathitrust.org/Record/001590993","HathiTrust Record")</f>
        <v/>
      </c>
      <c r="AS1712">
        <f>HYPERLINK("https://creighton-primo.hosted.exlibrisgroup.com/primo-explore/search?tab=default_tab&amp;search_scope=EVERYTHING&amp;vid=01CRU&amp;lang=en_US&amp;offset=0&amp;query=any,contains,991004231779702656","Catalog Record")</f>
        <v/>
      </c>
      <c r="AT1712">
        <f>HYPERLINK("http://www.worldcat.org/oclc/2749151","WorldCat Record")</f>
        <v/>
      </c>
      <c r="AU1712" t="inlineStr">
        <is>
          <t>4923494206:eng</t>
        </is>
      </c>
      <c r="AV1712" t="inlineStr">
        <is>
          <t>2749151</t>
        </is>
      </c>
      <c r="AW1712" t="inlineStr">
        <is>
          <t>991004231779702656</t>
        </is>
      </c>
      <c r="AX1712" t="inlineStr">
        <is>
          <t>991004231779702656</t>
        </is>
      </c>
      <c r="AY1712" t="inlineStr">
        <is>
          <t>2254973200002656</t>
        </is>
      </c>
      <c r="AZ1712" t="inlineStr">
        <is>
          <t>BOOK</t>
        </is>
      </c>
      <c r="BC1712" t="inlineStr">
        <is>
          <t>32285000832468</t>
        </is>
      </c>
      <c r="BD1712" t="inlineStr">
        <is>
          <t>893446097</t>
        </is>
      </c>
    </row>
    <row r="1713">
      <c r="A1713" t="inlineStr">
        <is>
          <t>No</t>
        </is>
      </c>
      <c r="B1713" t="inlineStr">
        <is>
          <t>BX2461 .M6 1861</t>
        </is>
      </c>
      <c r="C1713" t="inlineStr">
        <is>
          <t>0                      BX 2461000M  6           1861</t>
        </is>
      </c>
      <c r="D1713" t="inlineStr">
        <is>
          <t>The monks of the West, from St. Benedict to St. Bernard / by the Count de Montalembert. Authorised translation.</t>
        </is>
      </c>
      <c r="E1713" t="inlineStr">
        <is>
          <t>V.6</t>
        </is>
      </c>
      <c r="F1713" t="inlineStr">
        <is>
          <t>Yes</t>
        </is>
      </c>
      <c r="G1713" t="inlineStr">
        <is>
          <t>1</t>
        </is>
      </c>
      <c r="H1713" t="inlineStr">
        <is>
          <t>No</t>
        </is>
      </c>
      <c r="I1713" t="inlineStr">
        <is>
          <t>No</t>
        </is>
      </c>
      <c r="J1713" t="inlineStr">
        <is>
          <t>0</t>
        </is>
      </c>
      <c r="K1713" t="inlineStr">
        <is>
          <t>Montalembert, Charles Forbes, comte de, 1810-1870.</t>
        </is>
      </c>
      <c r="L1713" t="inlineStr">
        <is>
          <t>Edinburgh and London : W. Blackwood and Sons, 1861-79.</t>
        </is>
      </c>
      <c r="M1713" t="inlineStr">
        <is>
          <t>1861</t>
        </is>
      </c>
      <c r="O1713" t="inlineStr">
        <is>
          <t>eng</t>
        </is>
      </c>
      <c r="P1713" t="inlineStr">
        <is>
          <t>enk</t>
        </is>
      </c>
      <c r="R1713" t="inlineStr">
        <is>
          <t xml:space="preserve">BX </t>
        </is>
      </c>
      <c r="S1713" t="n">
        <v>3</v>
      </c>
      <c r="T1713" t="n">
        <v>20</v>
      </c>
      <c r="U1713" t="inlineStr">
        <is>
          <t>1994-11-02</t>
        </is>
      </c>
      <c r="V1713" t="inlineStr">
        <is>
          <t>2005-03-15</t>
        </is>
      </c>
      <c r="W1713" t="inlineStr">
        <is>
          <t>1991-11-06</t>
        </is>
      </c>
      <c r="X1713" t="inlineStr">
        <is>
          <t>1991-11-06</t>
        </is>
      </c>
      <c r="Y1713" t="n">
        <v>243</v>
      </c>
      <c r="Z1713" t="n">
        <v>185</v>
      </c>
      <c r="AA1713" t="n">
        <v>328</v>
      </c>
      <c r="AB1713" t="n">
        <v>1</v>
      </c>
      <c r="AC1713" t="n">
        <v>3</v>
      </c>
      <c r="AD1713" t="n">
        <v>19</v>
      </c>
      <c r="AE1713" t="n">
        <v>25</v>
      </c>
      <c r="AF1713" t="n">
        <v>9</v>
      </c>
      <c r="AG1713" t="n">
        <v>10</v>
      </c>
      <c r="AH1713" t="n">
        <v>4</v>
      </c>
      <c r="AI1713" t="n">
        <v>5</v>
      </c>
      <c r="AJ1713" t="n">
        <v>10</v>
      </c>
      <c r="AK1713" t="n">
        <v>13</v>
      </c>
      <c r="AL1713" t="n">
        <v>0</v>
      </c>
      <c r="AM1713" t="n">
        <v>2</v>
      </c>
      <c r="AN1713" t="n">
        <v>0</v>
      </c>
      <c r="AO1713" t="n">
        <v>0</v>
      </c>
      <c r="AP1713" t="inlineStr">
        <is>
          <t>Yes</t>
        </is>
      </c>
      <c r="AQ1713" t="inlineStr">
        <is>
          <t>No</t>
        </is>
      </c>
      <c r="AR1713">
        <f>HYPERLINK("http://catalog.hathitrust.org/Record/001590993","HathiTrust Record")</f>
        <v/>
      </c>
      <c r="AS1713">
        <f>HYPERLINK("https://creighton-primo.hosted.exlibrisgroup.com/primo-explore/search?tab=default_tab&amp;search_scope=EVERYTHING&amp;vid=01CRU&amp;lang=en_US&amp;offset=0&amp;query=any,contains,991004231779702656","Catalog Record")</f>
        <v/>
      </c>
      <c r="AT1713">
        <f>HYPERLINK("http://www.worldcat.org/oclc/2749151","WorldCat Record")</f>
        <v/>
      </c>
      <c r="AU1713" t="inlineStr">
        <is>
          <t>4923494206:eng</t>
        </is>
      </c>
      <c r="AV1713" t="inlineStr">
        <is>
          <t>2749151</t>
        </is>
      </c>
      <c r="AW1713" t="inlineStr">
        <is>
          <t>991004231779702656</t>
        </is>
      </c>
      <c r="AX1713" t="inlineStr">
        <is>
          <t>991004231779702656</t>
        </is>
      </c>
      <c r="AY1713" t="inlineStr">
        <is>
          <t>2254973200002656</t>
        </is>
      </c>
      <c r="AZ1713" t="inlineStr">
        <is>
          <t>BOOK</t>
        </is>
      </c>
      <c r="BC1713" t="inlineStr">
        <is>
          <t>32285000832492</t>
        </is>
      </c>
      <c r="BD1713" t="inlineStr">
        <is>
          <t>893442365</t>
        </is>
      </c>
    </row>
    <row r="1714">
      <c r="A1714" t="inlineStr">
        <is>
          <t>No</t>
        </is>
      </c>
      <c r="B1714" t="inlineStr">
        <is>
          <t>BX2465 .C45</t>
        </is>
      </c>
      <c r="C1714" t="inlineStr">
        <is>
          <t>0                      BX 2465000C  45</t>
        </is>
      </c>
      <c r="D1714" t="inlineStr">
        <is>
          <t>The lives of the fathers of the eastern deserts / by the Rev. Dr. Challoner.</t>
        </is>
      </c>
      <c r="F1714" t="inlineStr">
        <is>
          <t>No</t>
        </is>
      </c>
      <c r="G1714" t="inlineStr">
        <is>
          <t>1</t>
        </is>
      </c>
      <c r="H1714" t="inlineStr">
        <is>
          <t>No</t>
        </is>
      </c>
      <c r="I1714" t="inlineStr">
        <is>
          <t>No</t>
        </is>
      </c>
      <c r="J1714" t="inlineStr">
        <is>
          <t>0</t>
        </is>
      </c>
      <c r="K1714" t="inlineStr">
        <is>
          <t>Challoner, Richard, 1691-1781.</t>
        </is>
      </c>
      <c r="L1714" t="inlineStr">
        <is>
          <t>New York : D. &amp; J. Sadlier, 1852, 1855.</t>
        </is>
      </c>
      <c r="M1714" t="inlineStr">
        <is>
          <t>1852</t>
        </is>
      </c>
      <c r="O1714" t="inlineStr">
        <is>
          <t>eng</t>
        </is>
      </c>
      <c r="P1714" t="inlineStr">
        <is>
          <t>nyu</t>
        </is>
      </c>
      <c r="R1714" t="inlineStr">
        <is>
          <t xml:space="preserve">BX </t>
        </is>
      </c>
      <c r="S1714" t="n">
        <v>6</v>
      </c>
      <c r="T1714" t="n">
        <v>6</v>
      </c>
      <c r="U1714" t="inlineStr">
        <is>
          <t>2004-06-17</t>
        </is>
      </c>
      <c r="V1714" t="inlineStr">
        <is>
          <t>2004-06-17</t>
        </is>
      </c>
      <c r="W1714" t="inlineStr">
        <is>
          <t>1991-11-06</t>
        </is>
      </c>
      <c r="X1714" t="inlineStr">
        <is>
          <t>1991-11-06</t>
        </is>
      </c>
      <c r="Y1714" t="n">
        <v>26</v>
      </c>
      <c r="Z1714" t="n">
        <v>25</v>
      </c>
      <c r="AA1714" t="n">
        <v>32</v>
      </c>
      <c r="AB1714" t="n">
        <v>1</v>
      </c>
      <c r="AC1714" t="n">
        <v>1</v>
      </c>
      <c r="AD1714" t="n">
        <v>6</v>
      </c>
      <c r="AE1714" t="n">
        <v>8</v>
      </c>
      <c r="AF1714" t="n">
        <v>1</v>
      </c>
      <c r="AG1714" t="n">
        <v>1</v>
      </c>
      <c r="AH1714" t="n">
        <v>2</v>
      </c>
      <c r="AI1714" t="n">
        <v>3</v>
      </c>
      <c r="AJ1714" t="n">
        <v>5</v>
      </c>
      <c r="AK1714" t="n">
        <v>6</v>
      </c>
      <c r="AL1714" t="n">
        <v>0</v>
      </c>
      <c r="AM1714" t="n">
        <v>0</v>
      </c>
      <c r="AN1714" t="n">
        <v>0</v>
      </c>
      <c r="AO1714" t="n">
        <v>0</v>
      </c>
      <c r="AP1714" t="inlineStr">
        <is>
          <t>No</t>
        </is>
      </c>
      <c r="AQ1714" t="inlineStr">
        <is>
          <t>No</t>
        </is>
      </c>
      <c r="AS1714">
        <f>HYPERLINK("https://creighton-primo.hosted.exlibrisgroup.com/primo-explore/search?tab=default_tab&amp;search_scope=EVERYTHING&amp;vid=01CRU&amp;lang=en_US&amp;offset=0&amp;query=any,contains,991005175449702656","Catalog Record")</f>
        <v/>
      </c>
      <c r="AT1714">
        <f>HYPERLINK("http://www.worldcat.org/oclc/7917986","WorldCat Record")</f>
        <v/>
      </c>
      <c r="AU1714" t="inlineStr">
        <is>
          <t>3901278111:eng</t>
        </is>
      </c>
      <c r="AV1714" t="inlineStr">
        <is>
          <t>7917986</t>
        </is>
      </c>
      <c r="AW1714" t="inlineStr">
        <is>
          <t>991005175449702656</t>
        </is>
      </c>
      <c r="AX1714" t="inlineStr">
        <is>
          <t>991005175449702656</t>
        </is>
      </c>
      <c r="AY1714" t="inlineStr">
        <is>
          <t>2271036270002656</t>
        </is>
      </c>
      <c r="AZ1714" t="inlineStr">
        <is>
          <t>BOOK</t>
        </is>
      </c>
      <c r="BC1714" t="inlineStr">
        <is>
          <t>32285000832591</t>
        </is>
      </c>
      <c r="BD1714" t="inlineStr">
        <is>
          <t>893412442</t>
        </is>
      </c>
    </row>
    <row r="1715">
      <c r="A1715" t="inlineStr">
        <is>
          <t>No</t>
        </is>
      </c>
      <c r="B1715" t="inlineStr">
        <is>
          <t>BX2465 .D413 1964</t>
        </is>
      </c>
      <c r="C1715" t="inlineStr">
        <is>
          <t>0                      BX 2465000D  413         1964</t>
        </is>
      </c>
      <c r="D1715" t="inlineStr">
        <is>
          <t>Monks and civilization : from the barbarian invasions to the reign of Charlemagne / Translated by Charlotte Haldane.</t>
        </is>
      </c>
      <c r="F1715" t="inlineStr">
        <is>
          <t>No</t>
        </is>
      </c>
      <c r="G1715" t="inlineStr">
        <is>
          <t>1</t>
        </is>
      </c>
      <c r="H1715" t="inlineStr">
        <is>
          <t>No</t>
        </is>
      </c>
      <c r="I1715" t="inlineStr">
        <is>
          <t>No</t>
        </is>
      </c>
      <c r="J1715" t="inlineStr">
        <is>
          <t>0</t>
        </is>
      </c>
      <c r="K1715" t="inlineStr">
        <is>
          <t>Décarreaux, Jean, 1899-</t>
        </is>
      </c>
      <c r="L1715" t="inlineStr">
        <is>
          <t>Garden City, N.Y. : Doubleday, 1964.</t>
        </is>
      </c>
      <c r="M1715" t="inlineStr">
        <is>
          <t>1964</t>
        </is>
      </c>
      <c r="N1715" t="inlineStr">
        <is>
          <t>[1st ed. in the U.S.A.]</t>
        </is>
      </c>
      <c r="O1715" t="inlineStr">
        <is>
          <t>eng</t>
        </is>
      </c>
      <c r="P1715" t="inlineStr">
        <is>
          <t>nyu</t>
        </is>
      </c>
      <c r="R1715" t="inlineStr">
        <is>
          <t xml:space="preserve">BX </t>
        </is>
      </c>
      <c r="S1715" t="n">
        <v>7</v>
      </c>
      <c r="T1715" t="n">
        <v>7</v>
      </c>
      <c r="U1715" t="inlineStr">
        <is>
          <t>2009-05-26</t>
        </is>
      </c>
      <c r="V1715" t="inlineStr">
        <is>
          <t>2009-05-26</t>
        </is>
      </c>
      <c r="W1715" t="inlineStr">
        <is>
          <t>1991-07-11</t>
        </is>
      </c>
      <c r="X1715" t="inlineStr">
        <is>
          <t>1991-07-11</t>
        </is>
      </c>
      <c r="Y1715" t="n">
        <v>311</v>
      </c>
      <c r="Z1715" t="n">
        <v>300</v>
      </c>
      <c r="AA1715" t="n">
        <v>562</v>
      </c>
      <c r="AB1715" t="n">
        <v>2</v>
      </c>
      <c r="AC1715" t="n">
        <v>5</v>
      </c>
      <c r="AD1715" t="n">
        <v>17</v>
      </c>
      <c r="AE1715" t="n">
        <v>30</v>
      </c>
      <c r="AF1715" t="n">
        <v>6</v>
      </c>
      <c r="AG1715" t="n">
        <v>8</v>
      </c>
      <c r="AH1715" t="n">
        <v>4</v>
      </c>
      <c r="AI1715" t="n">
        <v>6</v>
      </c>
      <c r="AJ1715" t="n">
        <v>10</v>
      </c>
      <c r="AK1715" t="n">
        <v>19</v>
      </c>
      <c r="AL1715" t="n">
        <v>1</v>
      </c>
      <c r="AM1715" t="n">
        <v>4</v>
      </c>
      <c r="AN1715" t="n">
        <v>0</v>
      </c>
      <c r="AO1715" t="n">
        <v>0</v>
      </c>
      <c r="AP1715" t="inlineStr">
        <is>
          <t>No</t>
        </is>
      </c>
      <c r="AQ1715" t="inlineStr">
        <is>
          <t>Yes</t>
        </is>
      </c>
      <c r="AR1715">
        <f>HYPERLINK("http://catalog.hathitrust.org/Record/007121323","HathiTrust Record")</f>
        <v/>
      </c>
      <c r="AS1715">
        <f>HYPERLINK("https://creighton-primo.hosted.exlibrisgroup.com/primo-explore/search?tab=default_tab&amp;search_scope=EVERYTHING&amp;vid=01CRU&amp;lang=en_US&amp;offset=0&amp;query=any,contains,991002653999702656","Catalog Record")</f>
        <v/>
      </c>
      <c r="AT1715">
        <f>HYPERLINK("http://www.worldcat.org/oclc/388060","WorldCat Record")</f>
        <v/>
      </c>
      <c r="AU1715" t="inlineStr">
        <is>
          <t>1515881:eng</t>
        </is>
      </c>
      <c r="AV1715" t="inlineStr">
        <is>
          <t>388060</t>
        </is>
      </c>
      <c r="AW1715" t="inlineStr">
        <is>
          <t>991002653999702656</t>
        </is>
      </c>
      <c r="AX1715" t="inlineStr">
        <is>
          <t>991002653999702656</t>
        </is>
      </c>
      <c r="AY1715" t="inlineStr">
        <is>
          <t>2255028060002656</t>
        </is>
      </c>
      <c r="AZ1715" t="inlineStr">
        <is>
          <t>BOOK</t>
        </is>
      </c>
      <c r="BC1715" t="inlineStr">
        <is>
          <t>32285000637628</t>
        </is>
      </c>
      <c r="BD1715" t="inlineStr">
        <is>
          <t>893352445</t>
        </is>
      </c>
    </row>
    <row r="1716">
      <c r="A1716" t="inlineStr">
        <is>
          <t>No</t>
        </is>
      </c>
      <c r="B1716" t="inlineStr">
        <is>
          <t>BX2465 .W37 1992</t>
        </is>
      </c>
      <c r="C1716" t="inlineStr">
        <is>
          <t>0                      BX 2465000W  37          1992</t>
        </is>
      </c>
      <c r="D1716" t="inlineStr">
        <is>
          <t>Signs and wonders : saints, miracles, and prayers from the 4th century to the 14th / Benedicta Ward.</t>
        </is>
      </c>
      <c r="F1716" t="inlineStr">
        <is>
          <t>No</t>
        </is>
      </c>
      <c r="G1716" t="inlineStr">
        <is>
          <t>1</t>
        </is>
      </c>
      <c r="H1716" t="inlineStr">
        <is>
          <t>No</t>
        </is>
      </c>
      <c r="I1716" t="inlineStr">
        <is>
          <t>No</t>
        </is>
      </c>
      <c r="J1716" t="inlineStr">
        <is>
          <t>0</t>
        </is>
      </c>
      <c r="K1716" t="inlineStr">
        <is>
          <t>Ward, Benedicta, 1933-</t>
        </is>
      </c>
      <c r="L1716" t="inlineStr">
        <is>
          <t>[Aldershot], Hampshire, Great Britain : Variorum ; Brookfield, Vt. : Ashgate Pub. Co., c1992.</t>
        </is>
      </c>
      <c r="M1716" t="inlineStr">
        <is>
          <t>1992</t>
        </is>
      </c>
      <c r="O1716" t="inlineStr">
        <is>
          <t>eng</t>
        </is>
      </c>
      <c r="P1716" t="inlineStr">
        <is>
          <t>enk</t>
        </is>
      </c>
      <c r="Q1716" t="inlineStr">
        <is>
          <t>Collected studies series ; CS361</t>
        </is>
      </c>
      <c r="R1716" t="inlineStr">
        <is>
          <t xml:space="preserve">BX </t>
        </is>
      </c>
      <c r="S1716" t="n">
        <v>7</v>
      </c>
      <c r="T1716" t="n">
        <v>7</v>
      </c>
      <c r="U1716" t="inlineStr">
        <is>
          <t>1999-04-12</t>
        </is>
      </c>
      <c r="V1716" t="inlineStr">
        <is>
          <t>1999-04-12</t>
        </is>
      </c>
      <c r="W1716" t="inlineStr">
        <is>
          <t>1995-06-01</t>
        </is>
      </c>
      <c r="X1716" t="inlineStr">
        <is>
          <t>1995-06-01</t>
        </is>
      </c>
      <c r="Y1716" t="n">
        <v>256</v>
      </c>
      <c r="Z1716" t="n">
        <v>176</v>
      </c>
      <c r="AA1716" t="n">
        <v>178</v>
      </c>
      <c r="AB1716" t="n">
        <v>1</v>
      </c>
      <c r="AC1716" t="n">
        <v>1</v>
      </c>
      <c r="AD1716" t="n">
        <v>13</v>
      </c>
      <c r="AE1716" t="n">
        <v>13</v>
      </c>
      <c r="AF1716" t="n">
        <v>5</v>
      </c>
      <c r="AG1716" t="n">
        <v>5</v>
      </c>
      <c r="AH1716" t="n">
        <v>5</v>
      </c>
      <c r="AI1716" t="n">
        <v>5</v>
      </c>
      <c r="AJ1716" t="n">
        <v>8</v>
      </c>
      <c r="AK1716" t="n">
        <v>8</v>
      </c>
      <c r="AL1716" t="n">
        <v>0</v>
      </c>
      <c r="AM1716" t="n">
        <v>0</v>
      </c>
      <c r="AN1716" t="n">
        <v>0</v>
      </c>
      <c r="AO1716" t="n">
        <v>0</v>
      </c>
      <c r="AP1716" t="inlineStr">
        <is>
          <t>No</t>
        </is>
      </c>
      <c r="AQ1716" t="inlineStr">
        <is>
          <t>Yes</t>
        </is>
      </c>
      <c r="AR1716">
        <f>HYPERLINK("http://catalog.hathitrust.org/Record/002560955","HathiTrust Record")</f>
        <v/>
      </c>
      <c r="AS1716">
        <f>HYPERLINK("https://creighton-primo.hosted.exlibrisgroup.com/primo-explore/search?tab=default_tab&amp;search_scope=EVERYTHING&amp;vid=01CRU&amp;lang=en_US&amp;offset=0&amp;query=any,contains,991001970919702656","Catalog Record")</f>
        <v/>
      </c>
      <c r="AT1716">
        <f>HYPERLINK("http://www.worldcat.org/oclc/25008885","WorldCat Record")</f>
        <v/>
      </c>
      <c r="AU1716" t="inlineStr">
        <is>
          <t>28747143:eng</t>
        </is>
      </c>
      <c r="AV1716" t="inlineStr">
        <is>
          <t>25008885</t>
        </is>
      </c>
      <c r="AW1716" t="inlineStr">
        <is>
          <t>991001970919702656</t>
        </is>
      </c>
      <c r="AX1716" t="inlineStr">
        <is>
          <t>991001970919702656</t>
        </is>
      </c>
      <c r="AY1716" t="inlineStr">
        <is>
          <t>2269023520002656</t>
        </is>
      </c>
      <c r="AZ1716" t="inlineStr">
        <is>
          <t>BOOK</t>
        </is>
      </c>
      <c r="BB1716" t="inlineStr">
        <is>
          <t>9780860783169</t>
        </is>
      </c>
      <c r="BC1716" t="inlineStr">
        <is>
          <t>32285002049046</t>
        </is>
      </c>
      <c r="BD1716" t="inlineStr">
        <is>
          <t>893791900</t>
        </is>
      </c>
    </row>
    <row r="1717">
      <c r="A1717" t="inlineStr">
        <is>
          <t>No</t>
        </is>
      </c>
      <c r="B1717" t="inlineStr">
        <is>
          <t>BX2470 .B64 1983a</t>
        </is>
      </c>
      <c r="C1717" t="inlineStr">
        <is>
          <t>0                      BX 2470000B  64          1983a</t>
        </is>
      </c>
      <c r="D1717" t="inlineStr">
        <is>
          <t>The medieval reformation / Brenda Bolton.</t>
        </is>
      </c>
      <c r="F1717" t="inlineStr">
        <is>
          <t>No</t>
        </is>
      </c>
      <c r="G1717" t="inlineStr">
        <is>
          <t>1</t>
        </is>
      </c>
      <c r="H1717" t="inlineStr">
        <is>
          <t>No</t>
        </is>
      </c>
      <c r="I1717" t="inlineStr">
        <is>
          <t>No</t>
        </is>
      </c>
      <c r="J1717" t="inlineStr">
        <is>
          <t>0</t>
        </is>
      </c>
      <c r="K1717" t="inlineStr">
        <is>
          <t>Bolton, Brenda.</t>
        </is>
      </c>
      <c r="L1717" t="inlineStr">
        <is>
          <t>London : Edward Arnold, 1983.</t>
        </is>
      </c>
      <c r="M1717" t="inlineStr">
        <is>
          <t>1983</t>
        </is>
      </c>
      <c r="O1717" t="inlineStr">
        <is>
          <t>eng</t>
        </is>
      </c>
      <c r="P1717" t="inlineStr">
        <is>
          <t>enk</t>
        </is>
      </c>
      <c r="Q1717" t="inlineStr">
        <is>
          <t>Foundations of medieval history</t>
        </is>
      </c>
      <c r="R1717" t="inlineStr">
        <is>
          <t xml:space="preserve">BX </t>
        </is>
      </c>
      <c r="S1717" t="n">
        <v>7</v>
      </c>
      <c r="T1717" t="n">
        <v>7</v>
      </c>
      <c r="U1717" t="inlineStr">
        <is>
          <t>2005-04-14</t>
        </is>
      </c>
      <c r="V1717" t="inlineStr">
        <is>
          <t>2005-04-14</t>
        </is>
      </c>
      <c r="W1717" t="inlineStr">
        <is>
          <t>1991-11-06</t>
        </is>
      </c>
      <c r="X1717" t="inlineStr">
        <is>
          <t>1991-11-06</t>
        </is>
      </c>
      <c r="Y1717" t="n">
        <v>235</v>
      </c>
      <c r="Z1717" t="n">
        <v>77</v>
      </c>
      <c r="AA1717" t="n">
        <v>239</v>
      </c>
      <c r="AB1717" t="n">
        <v>1</v>
      </c>
      <c r="AC1717" t="n">
        <v>2</v>
      </c>
      <c r="AD1717" t="n">
        <v>9</v>
      </c>
      <c r="AE1717" t="n">
        <v>16</v>
      </c>
      <c r="AF1717" t="n">
        <v>4</v>
      </c>
      <c r="AG1717" t="n">
        <v>5</v>
      </c>
      <c r="AH1717" t="n">
        <v>3</v>
      </c>
      <c r="AI1717" t="n">
        <v>5</v>
      </c>
      <c r="AJ1717" t="n">
        <v>7</v>
      </c>
      <c r="AK1717" t="n">
        <v>11</v>
      </c>
      <c r="AL1717" t="n">
        <v>0</v>
      </c>
      <c r="AM1717" t="n">
        <v>1</v>
      </c>
      <c r="AN1717" t="n">
        <v>0</v>
      </c>
      <c r="AO1717" t="n">
        <v>0</v>
      </c>
      <c r="AP1717" t="inlineStr">
        <is>
          <t>No</t>
        </is>
      </c>
      <c r="AQ1717" t="inlineStr">
        <is>
          <t>No</t>
        </is>
      </c>
      <c r="AS1717">
        <f>HYPERLINK("https://creighton-primo.hosted.exlibrisgroup.com/primo-explore/search?tab=default_tab&amp;search_scope=EVERYTHING&amp;vid=01CRU&amp;lang=en_US&amp;offset=0&amp;query=any,contains,991000271569702656","Catalog Record")</f>
        <v/>
      </c>
      <c r="AT1717">
        <f>HYPERLINK("http://www.worldcat.org/oclc/9864835","WorldCat Record")</f>
        <v/>
      </c>
      <c r="AU1717" t="inlineStr">
        <is>
          <t>20645156:eng</t>
        </is>
      </c>
      <c r="AV1717" t="inlineStr">
        <is>
          <t>9864835</t>
        </is>
      </c>
      <c r="AW1717" t="inlineStr">
        <is>
          <t>991000271569702656</t>
        </is>
      </c>
      <c r="AX1717" t="inlineStr">
        <is>
          <t>991000271569702656</t>
        </is>
      </c>
      <c r="AY1717" t="inlineStr">
        <is>
          <t>2255870480002656</t>
        </is>
      </c>
      <c r="AZ1717" t="inlineStr">
        <is>
          <t>BOOK</t>
        </is>
      </c>
      <c r="BB1717" t="inlineStr">
        <is>
          <t>9780713162523</t>
        </is>
      </c>
      <c r="BC1717" t="inlineStr">
        <is>
          <t>32285000832609</t>
        </is>
      </c>
      <c r="BD1717" t="inlineStr">
        <is>
          <t>893871540</t>
        </is>
      </c>
    </row>
    <row r="1718">
      <c r="A1718" t="inlineStr">
        <is>
          <t>No</t>
        </is>
      </c>
      <c r="B1718" t="inlineStr">
        <is>
          <t>BX2470 .C65</t>
        </is>
      </c>
      <c r="C1718" t="inlineStr">
        <is>
          <t>0                      BX 2470000C  65</t>
        </is>
      </c>
      <c r="D1718" t="inlineStr">
        <is>
          <t>Medieval monasticism : a select bibliography / Giles Constable.</t>
        </is>
      </c>
      <c r="F1718" t="inlineStr">
        <is>
          <t>No</t>
        </is>
      </c>
      <c r="G1718" t="inlineStr">
        <is>
          <t>1</t>
        </is>
      </c>
      <c r="H1718" t="inlineStr">
        <is>
          <t>No</t>
        </is>
      </c>
      <c r="I1718" t="inlineStr">
        <is>
          <t>No</t>
        </is>
      </c>
      <c r="J1718" t="inlineStr">
        <is>
          <t>0</t>
        </is>
      </c>
      <c r="K1718" t="inlineStr">
        <is>
          <t>Constable, Giles.</t>
        </is>
      </c>
      <c r="L1718" t="inlineStr">
        <is>
          <t>Toronto ; Buffalo : University of Toronto Press, c1976.</t>
        </is>
      </c>
      <c r="M1718" t="inlineStr">
        <is>
          <t>1976</t>
        </is>
      </c>
      <c r="O1718" t="inlineStr">
        <is>
          <t>eng</t>
        </is>
      </c>
      <c r="P1718" t="inlineStr">
        <is>
          <t>onc</t>
        </is>
      </c>
      <c r="Q1718" t="inlineStr">
        <is>
          <t>Toronto medieval bibliographies ; 6</t>
        </is>
      </c>
      <c r="R1718" t="inlineStr">
        <is>
          <t xml:space="preserve">BX </t>
        </is>
      </c>
      <c r="S1718" t="n">
        <v>5</v>
      </c>
      <c r="T1718" t="n">
        <v>5</v>
      </c>
      <c r="U1718" t="inlineStr">
        <is>
          <t>2003-10-29</t>
        </is>
      </c>
      <c r="V1718" t="inlineStr">
        <is>
          <t>2003-10-29</t>
        </is>
      </c>
      <c r="W1718" t="inlineStr">
        <is>
          <t>1991-11-06</t>
        </is>
      </c>
      <c r="X1718" t="inlineStr">
        <is>
          <t>1991-11-06</t>
        </is>
      </c>
      <c r="Y1718" t="n">
        <v>556</v>
      </c>
      <c r="Z1718" t="n">
        <v>428</v>
      </c>
      <c r="AA1718" t="n">
        <v>482</v>
      </c>
      <c r="AB1718" t="n">
        <v>3</v>
      </c>
      <c r="AC1718" t="n">
        <v>4</v>
      </c>
      <c r="AD1718" t="n">
        <v>25</v>
      </c>
      <c r="AE1718" t="n">
        <v>31</v>
      </c>
      <c r="AF1718" t="n">
        <v>9</v>
      </c>
      <c r="AG1718" t="n">
        <v>14</v>
      </c>
      <c r="AH1718" t="n">
        <v>7</v>
      </c>
      <c r="AI1718" t="n">
        <v>8</v>
      </c>
      <c r="AJ1718" t="n">
        <v>17</v>
      </c>
      <c r="AK1718" t="n">
        <v>17</v>
      </c>
      <c r="AL1718" t="n">
        <v>2</v>
      </c>
      <c r="AM1718" t="n">
        <v>3</v>
      </c>
      <c r="AN1718" t="n">
        <v>0</v>
      </c>
      <c r="AO1718" t="n">
        <v>0</v>
      </c>
      <c r="AP1718" t="inlineStr">
        <is>
          <t>No</t>
        </is>
      </c>
      <c r="AQ1718" t="inlineStr">
        <is>
          <t>Yes</t>
        </is>
      </c>
      <c r="AR1718">
        <f>HYPERLINK("http://catalog.hathitrust.org/Record/000716172","HathiTrust Record")</f>
        <v/>
      </c>
      <c r="AS1718">
        <f>HYPERLINK("https://creighton-primo.hosted.exlibrisgroup.com/primo-explore/search?tab=default_tab&amp;search_scope=EVERYTHING&amp;vid=01CRU&amp;lang=en_US&amp;offset=0&amp;query=any,contains,991003959529702656","Catalog Record")</f>
        <v/>
      </c>
      <c r="AT1718">
        <f>HYPERLINK("http://www.worldcat.org/oclc/1974086","WorldCat Record")</f>
        <v/>
      </c>
      <c r="AU1718" t="inlineStr">
        <is>
          <t>2723406:eng</t>
        </is>
      </c>
      <c r="AV1718" t="inlineStr">
        <is>
          <t>1974086</t>
        </is>
      </c>
      <c r="AW1718" t="inlineStr">
        <is>
          <t>991003959529702656</t>
        </is>
      </c>
      <c r="AX1718" t="inlineStr">
        <is>
          <t>991003959529702656</t>
        </is>
      </c>
      <c r="AY1718" t="inlineStr">
        <is>
          <t>2262943020002656</t>
        </is>
      </c>
      <c r="AZ1718" t="inlineStr">
        <is>
          <t>BOOK</t>
        </is>
      </c>
      <c r="BB1718" t="inlineStr">
        <is>
          <t>9780802022004</t>
        </is>
      </c>
      <c r="BC1718" t="inlineStr">
        <is>
          <t>32285000832625</t>
        </is>
      </c>
      <c r="BD1718" t="inlineStr">
        <is>
          <t>893722190</t>
        </is>
      </c>
    </row>
    <row r="1719">
      <c r="A1719" t="inlineStr">
        <is>
          <t>No</t>
        </is>
      </c>
      <c r="B1719" t="inlineStr">
        <is>
          <t>BX2470 .L4 1957</t>
        </is>
      </c>
      <c r="C1719" t="inlineStr">
        <is>
          <t>0                      BX 2470000L  4           1957</t>
        </is>
      </c>
      <c r="D1719" t="inlineStr">
        <is>
          <t>L'amour des lettres et le désir de Dieu : initiation aux auteurs monastiques du Moyen Age.</t>
        </is>
      </c>
      <c r="F1719" t="inlineStr">
        <is>
          <t>No</t>
        </is>
      </c>
      <c r="G1719" t="inlineStr">
        <is>
          <t>1</t>
        </is>
      </c>
      <c r="H1719" t="inlineStr">
        <is>
          <t>No</t>
        </is>
      </c>
      <c r="I1719" t="inlineStr">
        <is>
          <t>No</t>
        </is>
      </c>
      <c r="J1719" t="inlineStr">
        <is>
          <t>0</t>
        </is>
      </c>
      <c r="K1719" t="inlineStr">
        <is>
          <t>Leclercq, Jean, 1911-1993.</t>
        </is>
      </c>
      <c r="L1719" t="inlineStr">
        <is>
          <t>Paris : Éditions du Cerf, 1957.</t>
        </is>
      </c>
      <c r="M1719" t="inlineStr">
        <is>
          <t>1957</t>
        </is>
      </c>
      <c r="O1719" t="inlineStr">
        <is>
          <t>fre</t>
        </is>
      </c>
      <c r="P1719" t="inlineStr">
        <is>
          <t xml:space="preserve">fr </t>
        </is>
      </c>
      <c r="R1719" t="inlineStr">
        <is>
          <t xml:space="preserve">BX </t>
        </is>
      </c>
      <c r="S1719" t="n">
        <v>0</v>
      </c>
      <c r="T1719" t="n">
        <v>0</v>
      </c>
      <c r="U1719" t="inlineStr">
        <is>
          <t>2006-10-27</t>
        </is>
      </c>
      <c r="V1719" t="inlineStr">
        <is>
          <t>2006-10-27</t>
        </is>
      </c>
      <c r="W1719" t="inlineStr">
        <is>
          <t>1991-11-06</t>
        </is>
      </c>
      <c r="X1719" t="inlineStr">
        <is>
          <t>1991-11-06</t>
        </is>
      </c>
      <c r="Y1719" t="n">
        <v>109</v>
      </c>
      <c r="Z1719" t="n">
        <v>68</v>
      </c>
      <c r="AA1719" t="n">
        <v>75</v>
      </c>
      <c r="AB1719" t="n">
        <v>2</v>
      </c>
      <c r="AC1719" t="n">
        <v>2</v>
      </c>
      <c r="AD1719" t="n">
        <v>10</v>
      </c>
      <c r="AE1719" t="n">
        <v>10</v>
      </c>
      <c r="AF1719" t="n">
        <v>0</v>
      </c>
      <c r="AG1719" t="n">
        <v>0</v>
      </c>
      <c r="AH1719" t="n">
        <v>4</v>
      </c>
      <c r="AI1719" t="n">
        <v>4</v>
      </c>
      <c r="AJ1719" t="n">
        <v>6</v>
      </c>
      <c r="AK1719" t="n">
        <v>6</v>
      </c>
      <c r="AL1719" t="n">
        <v>1</v>
      </c>
      <c r="AM1719" t="n">
        <v>1</v>
      </c>
      <c r="AN1719" t="n">
        <v>0</v>
      </c>
      <c r="AO1719" t="n">
        <v>0</v>
      </c>
      <c r="AP1719" t="inlineStr">
        <is>
          <t>No</t>
        </is>
      </c>
      <c r="AQ1719" t="inlineStr">
        <is>
          <t>Yes</t>
        </is>
      </c>
      <c r="AR1719">
        <f>HYPERLINK("http://catalog.hathitrust.org/Record/101882277","HathiTrust Record")</f>
        <v/>
      </c>
      <c r="AS1719">
        <f>HYPERLINK("https://creighton-primo.hosted.exlibrisgroup.com/primo-explore/search?tab=default_tab&amp;search_scope=EVERYTHING&amp;vid=01CRU&amp;lang=en_US&amp;offset=0&amp;query=any,contains,991004348499702656","Catalog Record")</f>
        <v/>
      </c>
      <c r="AT1719">
        <f>HYPERLINK("http://www.worldcat.org/oclc/3108542","WorldCat Record")</f>
        <v/>
      </c>
      <c r="AU1719" t="inlineStr">
        <is>
          <t>2908552687:fre</t>
        </is>
      </c>
      <c r="AV1719" t="inlineStr">
        <is>
          <t>3108542</t>
        </is>
      </c>
      <c r="AW1719" t="inlineStr">
        <is>
          <t>991004348499702656</t>
        </is>
      </c>
      <c r="AX1719" t="inlineStr">
        <is>
          <t>991004348499702656</t>
        </is>
      </c>
      <c r="AY1719" t="inlineStr">
        <is>
          <t>2268892100002656</t>
        </is>
      </c>
      <c r="AZ1719" t="inlineStr">
        <is>
          <t>BOOK</t>
        </is>
      </c>
      <c r="BC1719" t="inlineStr">
        <is>
          <t>32285000832633</t>
        </is>
      </c>
      <c r="BD1719" t="inlineStr">
        <is>
          <t>893411425</t>
        </is>
      </c>
    </row>
    <row r="1720">
      <c r="A1720" t="inlineStr">
        <is>
          <t>No</t>
        </is>
      </c>
      <c r="B1720" t="inlineStr">
        <is>
          <t>BX2470 .L95 1976</t>
        </is>
      </c>
      <c r="C1720" t="inlineStr">
        <is>
          <t>0                      BX 2470000L  95          1976</t>
        </is>
      </c>
      <c r="D1720" t="inlineStr">
        <is>
          <t>Simoniacal entry into religious life from 1000 to 1260 : a social, economic, and legal study / Joseph H. Lynch.</t>
        </is>
      </c>
      <c r="F1720" t="inlineStr">
        <is>
          <t>No</t>
        </is>
      </c>
      <c r="G1720" t="inlineStr">
        <is>
          <t>1</t>
        </is>
      </c>
      <c r="H1720" t="inlineStr">
        <is>
          <t>No</t>
        </is>
      </c>
      <c r="I1720" t="inlineStr">
        <is>
          <t>No</t>
        </is>
      </c>
      <c r="J1720" t="inlineStr">
        <is>
          <t>0</t>
        </is>
      </c>
      <c r="K1720" t="inlineStr">
        <is>
          <t>Lynch, Joseph H., 1943-2008.</t>
        </is>
      </c>
      <c r="L1720" t="inlineStr">
        <is>
          <t>Columbus : Ohio State University Press, c1976.</t>
        </is>
      </c>
      <c r="M1720" t="inlineStr">
        <is>
          <t>1976</t>
        </is>
      </c>
      <c r="O1720" t="inlineStr">
        <is>
          <t>eng</t>
        </is>
      </c>
      <c r="P1720" t="inlineStr">
        <is>
          <t>ohu</t>
        </is>
      </c>
      <c r="R1720" t="inlineStr">
        <is>
          <t xml:space="preserve">BX </t>
        </is>
      </c>
      <c r="S1720" t="n">
        <v>2</v>
      </c>
      <c r="T1720" t="n">
        <v>2</v>
      </c>
      <c r="U1720" t="inlineStr">
        <is>
          <t>2009-06-11</t>
        </is>
      </c>
      <c r="V1720" t="inlineStr">
        <is>
          <t>2009-06-11</t>
        </is>
      </c>
      <c r="W1720" t="inlineStr">
        <is>
          <t>1991-11-06</t>
        </is>
      </c>
      <c r="X1720" t="inlineStr">
        <is>
          <t>1991-11-06</t>
        </is>
      </c>
      <c r="Y1720" t="n">
        <v>411</v>
      </c>
      <c r="Z1720" t="n">
        <v>314</v>
      </c>
      <c r="AA1720" t="n">
        <v>332</v>
      </c>
      <c r="AB1720" t="n">
        <v>2</v>
      </c>
      <c r="AC1720" t="n">
        <v>2</v>
      </c>
      <c r="AD1720" t="n">
        <v>18</v>
      </c>
      <c r="AE1720" t="n">
        <v>18</v>
      </c>
      <c r="AF1720" t="n">
        <v>4</v>
      </c>
      <c r="AG1720" t="n">
        <v>4</v>
      </c>
      <c r="AH1720" t="n">
        <v>5</v>
      </c>
      <c r="AI1720" t="n">
        <v>5</v>
      </c>
      <c r="AJ1720" t="n">
        <v>11</v>
      </c>
      <c r="AK1720" t="n">
        <v>11</v>
      </c>
      <c r="AL1720" t="n">
        <v>1</v>
      </c>
      <c r="AM1720" t="n">
        <v>1</v>
      </c>
      <c r="AN1720" t="n">
        <v>0</v>
      </c>
      <c r="AO1720" t="n">
        <v>0</v>
      </c>
      <c r="AP1720" t="inlineStr">
        <is>
          <t>No</t>
        </is>
      </c>
      <c r="AQ1720" t="inlineStr">
        <is>
          <t>No</t>
        </is>
      </c>
      <c r="AS1720">
        <f>HYPERLINK("https://creighton-primo.hosted.exlibrisgroup.com/primo-explore/search?tab=default_tab&amp;search_scope=EVERYTHING&amp;vid=01CRU&amp;lang=en_US&amp;offset=0&amp;query=any,contains,991004084089702656","Catalog Record")</f>
        <v/>
      </c>
      <c r="AT1720">
        <f>HYPERLINK("http://www.worldcat.org/oclc/2331622","WorldCat Record")</f>
        <v/>
      </c>
      <c r="AU1720" t="inlineStr">
        <is>
          <t>890211208:eng</t>
        </is>
      </c>
      <c r="AV1720" t="inlineStr">
        <is>
          <t>2331622</t>
        </is>
      </c>
      <c r="AW1720" t="inlineStr">
        <is>
          <t>991004084089702656</t>
        </is>
      </c>
      <c r="AX1720" t="inlineStr">
        <is>
          <t>991004084089702656</t>
        </is>
      </c>
      <c r="AY1720" t="inlineStr">
        <is>
          <t>2264201990002656</t>
        </is>
      </c>
      <c r="AZ1720" t="inlineStr">
        <is>
          <t>BOOK</t>
        </is>
      </c>
      <c r="BB1720" t="inlineStr">
        <is>
          <t>9780814202227</t>
        </is>
      </c>
      <c r="BC1720" t="inlineStr">
        <is>
          <t>32285000832666</t>
        </is>
      </c>
      <c r="BD1720" t="inlineStr">
        <is>
          <t>893712138</t>
        </is>
      </c>
    </row>
    <row r="1721">
      <c r="A1721" t="inlineStr">
        <is>
          <t>No</t>
        </is>
      </c>
      <c r="B1721" t="inlineStr">
        <is>
          <t>BX2470 .M52 1992</t>
        </is>
      </c>
      <c r="C1721" t="inlineStr">
        <is>
          <t>0                      BX 2470000M  52          1992</t>
        </is>
      </c>
      <c r="D1721" t="inlineStr">
        <is>
          <t>Angelic monks and earthly men : monasticism and its meaning to medieval society / Ludo J.R. Milis.</t>
        </is>
      </c>
      <c r="F1721" t="inlineStr">
        <is>
          <t>No</t>
        </is>
      </c>
      <c r="G1721" t="inlineStr">
        <is>
          <t>1</t>
        </is>
      </c>
      <c r="H1721" t="inlineStr">
        <is>
          <t>No</t>
        </is>
      </c>
      <c r="I1721" t="inlineStr">
        <is>
          <t>No</t>
        </is>
      </c>
      <c r="J1721" t="inlineStr">
        <is>
          <t>0</t>
        </is>
      </c>
      <c r="K1721" t="inlineStr">
        <is>
          <t>Milis, Ludovicus, 1940-</t>
        </is>
      </c>
      <c r="L1721" t="inlineStr">
        <is>
          <t>Woodbridge, Suffolk, UK ; Rochester, NY, USA : Boydell Press, 1992.</t>
        </is>
      </c>
      <c r="M1721" t="inlineStr">
        <is>
          <t>1992</t>
        </is>
      </c>
      <c r="O1721" t="inlineStr">
        <is>
          <t>eng</t>
        </is>
      </c>
      <c r="P1721" t="inlineStr">
        <is>
          <t>enk</t>
        </is>
      </c>
      <c r="R1721" t="inlineStr">
        <is>
          <t xml:space="preserve">BX </t>
        </is>
      </c>
      <c r="S1721" t="n">
        <v>7</v>
      </c>
      <c r="T1721" t="n">
        <v>7</v>
      </c>
      <c r="U1721" t="inlineStr">
        <is>
          <t>2005-04-04</t>
        </is>
      </c>
      <c r="V1721" t="inlineStr">
        <is>
          <t>2005-04-04</t>
        </is>
      </c>
      <c r="W1721" t="inlineStr">
        <is>
          <t>1993-12-22</t>
        </is>
      </c>
      <c r="X1721" t="inlineStr">
        <is>
          <t>1993-12-22</t>
        </is>
      </c>
      <c r="Y1721" t="n">
        <v>429</v>
      </c>
      <c r="Z1721" t="n">
        <v>298</v>
      </c>
      <c r="AA1721" t="n">
        <v>311</v>
      </c>
      <c r="AB1721" t="n">
        <v>2</v>
      </c>
      <c r="AC1721" t="n">
        <v>2</v>
      </c>
      <c r="AD1721" t="n">
        <v>23</v>
      </c>
      <c r="AE1721" t="n">
        <v>25</v>
      </c>
      <c r="AF1721" t="n">
        <v>9</v>
      </c>
      <c r="AG1721" t="n">
        <v>10</v>
      </c>
      <c r="AH1721" t="n">
        <v>6</v>
      </c>
      <c r="AI1721" t="n">
        <v>7</v>
      </c>
      <c r="AJ1721" t="n">
        <v>16</v>
      </c>
      <c r="AK1721" t="n">
        <v>17</v>
      </c>
      <c r="AL1721" t="n">
        <v>1</v>
      </c>
      <c r="AM1721" t="n">
        <v>1</v>
      </c>
      <c r="AN1721" t="n">
        <v>0</v>
      </c>
      <c r="AO1721" t="n">
        <v>0</v>
      </c>
      <c r="AP1721" t="inlineStr">
        <is>
          <t>No</t>
        </is>
      </c>
      <c r="AQ1721" t="inlineStr">
        <is>
          <t>No</t>
        </is>
      </c>
      <c r="AS1721">
        <f>HYPERLINK("https://creighton-primo.hosted.exlibrisgroup.com/primo-explore/search?tab=default_tab&amp;search_scope=EVERYTHING&amp;vid=01CRU&amp;lang=en_US&amp;offset=0&amp;query=any,contains,991001974309702656","Catalog Record")</f>
        <v/>
      </c>
      <c r="AT1721">
        <f>HYPERLINK("http://www.worldcat.org/oclc/25026682","WorldCat Record")</f>
        <v/>
      </c>
      <c r="AU1721" t="inlineStr">
        <is>
          <t>836856671:eng</t>
        </is>
      </c>
      <c r="AV1721" t="inlineStr">
        <is>
          <t>25026682</t>
        </is>
      </c>
      <c r="AW1721" t="inlineStr">
        <is>
          <t>991001974309702656</t>
        </is>
      </c>
      <c r="AX1721" t="inlineStr">
        <is>
          <t>991001974309702656</t>
        </is>
      </c>
      <c r="AY1721" t="inlineStr">
        <is>
          <t>2262146210002656</t>
        </is>
      </c>
      <c r="AZ1721" t="inlineStr">
        <is>
          <t>BOOK</t>
        </is>
      </c>
      <c r="BB1721" t="inlineStr">
        <is>
          <t>9780851153032</t>
        </is>
      </c>
      <c r="BC1721" t="inlineStr">
        <is>
          <t>32285001816791</t>
        </is>
      </c>
      <c r="BD1721" t="inlineStr">
        <is>
          <t>893596889</t>
        </is>
      </c>
    </row>
    <row r="1722">
      <c r="A1722" t="inlineStr">
        <is>
          <t>No</t>
        </is>
      </c>
      <c r="B1722" t="inlineStr">
        <is>
          <t>BX2505 .A44 1988</t>
        </is>
      </c>
      <c r="C1722" t="inlineStr">
        <is>
          <t>0                      BX 2505000A  44          1988</t>
        </is>
      </c>
      <c r="D1722" t="inlineStr">
        <is>
          <t>The American Catholic religious life : selected historical essays / edited with an introduction by Joseph M. White.</t>
        </is>
      </c>
      <c r="F1722" t="inlineStr">
        <is>
          <t>No</t>
        </is>
      </c>
      <c r="G1722" t="inlineStr">
        <is>
          <t>1</t>
        </is>
      </c>
      <c r="H1722" t="inlineStr">
        <is>
          <t>No</t>
        </is>
      </c>
      <c r="I1722" t="inlineStr">
        <is>
          <t>No</t>
        </is>
      </c>
      <c r="J1722" t="inlineStr">
        <is>
          <t>0</t>
        </is>
      </c>
      <c r="L1722" t="inlineStr">
        <is>
          <t>New York : Garland, 1988.</t>
        </is>
      </c>
      <c r="M1722" t="inlineStr">
        <is>
          <t>1988</t>
        </is>
      </c>
      <c r="O1722" t="inlineStr">
        <is>
          <t>eng</t>
        </is>
      </c>
      <c r="P1722" t="inlineStr">
        <is>
          <t>nyu</t>
        </is>
      </c>
      <c r="Q1722" t="inlineStr">
        <is>
          <t>The Heritage of American Catholicism</t>
        </is>
      </c>
      <c r="R1722" t="inlineStr">
        <is>
          <t xml:space="preserve">BX </t>
        </is>
      </c>
      <c r="S1722" t="n">
        <v>6</v>
      </c>
      <c r="T1722" t="n">
        <v>6</v>
      </c>
      <c r="U1722" t="inlineStr">
        <is>
          <t>1996-09-17</t>
        </is>
      </c>
      <c r="V1722" t="inlineStr">
        <is>
          <t>1996-09-17</t>
        </is>
      </c>
      <c r="W1722" t="inlineStr">
        <is>
          <t>1991-11-06</t>
        </is>
      </c>
      <c r="X1722" t="inlineStr">
        <is>
          <t>1991-11-06</t>
        </is>
      </c>
      <c r="Y1722" t="n">
        <v>140</v>
      </c>
      <c r="Z1722" t="n">
        <v>123</v>
      </c>
      <c r="AA1722" t="n">
        <v>124</v>
      </c>
      <c r="AB1722" t="n">
        <v>1</v>
      </c>
      <c r="AC1722" t="n">
        <v>1</v>
      </c>
      <c r="AD1722" t="n">
        <v>18</v>
      </c>
      <c r="AE1722" t="n">
        <v>18</v>
      </c>
      <c r="AF1722" t="n">
        <v>5</v>
      </c>
      <c r="AG1722" t="n">
        <v>5</v>
      </c>
      <c r="AH1722" t="n">
        <v>5</v>
      </c>
      <c r="AI1722" t="n">
        <v>5</v>
      </c>
      <c r="AJ1722" t="n">
        <v>12</v>
      </c>
      <c r="AK1722" t="n">
        <v>12</v>
      </c>
      <c r="AL1722" t="n">
        <v>0</v>
      </c>
      <c r="AM1722" t="n">
        <v>0</v>
      </c>
      <c r="AN1722" t="n">
        <v>0</v>
      </c>
      <c r="AO1722" t="n">
        <v>0</v>
      </c>
      <c r="AP1722" t="inlineStr">
        <is>
          <t>No</t>
        </is>
      </c>
      <c r="AQ1722" t="inlineStr">
        <is>
          <t>No</t>
        </is>
      </c>
      <c r="AS1722">
        <f>HYPERLINK("https://creighton-primo.hosted.exlibrisgroup.com/primo-explore/search?tab=default_tab&amp;search_scope=EVERYTHING&amp;vid=01CRU&amp;lang=en_US&amp;offset=0&amp;query=any,contains,991001362089702656","Catalog Record")</f>
        <v/>
      </c>
      <c r="AT1722">
        <f>HYPERLINK("http://www.worldcat.org/oclc/18522334","WorldCat Record")</f>
        <v/>
      </c>
      <c r="AU1722" t="inlineStr">
        <is>
          <t>17636711:eng</t>
        </is>
      </c>
      <c r="AV1722" t="inlineStr">
        <is>
          <t>18522334</t>
        </is>
      </c>
      <c r="AW1722" t="inlineStr">
        <is>
          <t>991001362089702656</t>
        </is>
      </c>
      <c r="AX1722" t="inlineStr">
        <is>
          <t>991001362089702656</t>
        </is>
      </c>
      <c r="AY1722" t="inlineStr">
        <is>
          <t>2267702840002656</t>
        </is>
      </c>
      <c r="AZ1722" t="inlineStr">
        <is>
          <t>BOOK</t>
        </is>
      </c>
      <c r="BB1722" t="inlineStr">
        <is>
          <t>9780824040826</t>
        </is>
      </c>
      <c r="BC1722" t="inlineStr">
        <is>
          <t>32285000832674</t>
        </is>
      </c>
      <c r="BD1722" t="inlineStr">
        <is>
          <t>893497021</t>
        </is>
      </c>
    </row>
    <row r="1723">
      <c r="A1723" t="inlineStr">
        <is>
          <t>No</t>
        </is>
      </c>
      <c r="B1723" t="inlineStr">
        <is>
          <t>BX2505 .E7 1931</t>
        </is>
      </c>
      <c r="C1723" t="inlineStr">
        <is>
          <t>0                      BX 2505000E  7           1931</t>
        </is>
      </c>
      <c r="D1723" t="inlineStr">
        <is>
          <t>Our brothers / by Brother Ernest, C. S. C.</t>
        </is>
      </c>
      <c r="F1723" t="inlineStr">
        <is>
          <t>No</t>
        </is>
      </c>
      <c r="G1723" t="inlineStr">
        <is>
          <t>1</t>
        </is>
      </c>
      <c r="H1723" t="inlineStr">
        <is>
          <t>No</t>
        </is>
      </c>
      <c r="I1723" t="inlineStr">
        <is>
          <t>No</t>
        </is>
      </c>
      <c r="J1723" t="inlineStr">
        <is>
          <t>0</t>
        </is>
      </c>
      <c r="K1723" t="inlineStr">
        <is>
          <t>Ernest, Brother, C.S.C., 1897-1963.</t>
        </is>
      </c>
      <c r="L1723" t="inlineStr">
        <is>
          <t>Chicago, Atlanta [etc.] : Scott, Foresman and company, [c1931]</t>
        </is>
      </c>
      <c r="M1723" t="inlineStr">
        <is>
          <t>1931</t>
        </is>
      </c>
      <c r="O1723" t="inlineStr">
        <is>
          <t>eng</t>
        </is>
      </c>
      <c r="P1723" t="inlineStr">
        <is>
          <t xml:space="preserve">xx </t>
        </is>
      </c>
      <c r="R1723" t="inlineStr">
        <is>
          <t xml:space="preserve">BX </t>
        </is>
      </c>
      <c r="S1723" t="n">
        <v>2</v>
      </c>
      <c r="T1723" t="n">
        <v>2</v>
      </c>
      <c r="U1723" t="inlineStr">
        <is>
          <t>1994-04-16</t>
        </is>
      </c>
      <c r="V1723" t="inlineStr">
        <is>
          <t>1994-04-16</t>
        </is>
      </c>
      <c r="W1723" t="inlineStr">
        <is>
          <t>1991-11-06</t>
        </is>
      </c>
      <c r="X1723" t="inlineStr">
        <is>
          <t>1991-11-06</t>
        </is>
      </c>
      <c r="Y1723" t="n">
        <v>48</v>
      </c>
      <c r="Z1723" t="n">
        <v>47</v>
      </c>
      <c r="AA1723" t="n">
        <v>52</v>
      </c>
      <c r="AB1723" t="n">
        <v>1</v>
      </c>
      <c r="AC1723" t="n">
        <v>1</v>
      </c>
      <c r="AD1723" t="n">
        <v>9</v>
      </c>
      <c r="AE1723" t="n">
        <v>9</v>
      </c>
      <c r="AF1723" t="n">
        <v>1</v>
      </c>
      <c r="AG1723" t="n">
        <v>1</v>
      </c>
      <c r="AH1723" t="n">
        <v>4</v>
      </c>
      <c r="AI1723" t="n">
        <v>4</v>
      </c>
      <c r="AJ1723" t="n">
        <v>5</v>
      </c>
      <c r="AK1723" t="n">
        <v>5</v>
      </c>
      <c r="AL1723" t="n">
        <v>0</v>
      </c>
      <c r="AM1723" t="n">
        <v>0</v>
      </c>
      <c r="AN1723" t="n">
        <v>0</v>
      </c>
      <c r="AO1723" t="n">
        <v>0</v>
      </c>
      <c r="AP1723" t="inlineStr">
        <is>
          <t>No</t>
        </is>
      </c>
      <c r="AQ1723" t="inlineStr">
        <is>
          <t>No</t>
        </is>
      </c>
      <c r="AS1723">
        <f>HYPERLINK("https://creighton-primo.hosted.exlibrisgroup.com/primo-explore/search?tab=default_tab&amp;search_scope=EVERYTHING&amp;vid=01CRU&amp;lang=en_US&amp;offset=0&amp;query=any,contains,991004443799702656","Catalog Record")</f>
        <v/>
      </c>
      <c r="AT1723">
        <f>HYPERLINK("http://www.worldcat.org/oclc/3476878","WorldCat Record")</f>
        <v/>
      </c>
      <c r="AU1723" t="inlineStr">
        <is>
          <t>10171993285:eng</t>
        </is>
      </c>
      <c r="AV1723" t="inlineStr">
        <is>
          <t>3476878</t>
        </is>
      </c>
      <c r="AW1723" t="inlineStr">
        <is>
          <t>991004443799702656</t>
        </is>
      </c>
      <c r="AX1723" t="inlineStr">
        <is>
          <t>991004443799702656</t>
        </is>
      </c>
      <c r="AY1723" t="inlineStr">
        <is>
          <t>2269825660002656</t>
        </is>
      </c>
      <c r="AZ1723" t="inlineStr">
        <is>
          <t>BOOK</t>
        </is>
      </c>
      <c r="BC1723" t="inlineStr">
        <is>
          <t>32285000832682</t>
        </is>
      </c>
      <c r="BD1723" t="inlineStr">
        <is>
          <t>893319233</t>
        </is>
      </c>
    </row>
    <row r="1724">
      <c r="A1724" t="inlineStr">
        <is>
          <t>No</t>
        </is>
      </c>
      <c r="B1724" t="inlineStr">
        <is>
          <t>BX2525.A33 D69 1997</t>
        </is>
      </c>
      <c r="C1724" t="inlineStr">
        <is>
          <t>0                      BX 2525000A  33                 D  69          1997</t>
        </is>
      </c>
      <c r="D1724" t="inlineStr">
        <is>
          <t>Trappist : living in the land of desire / by Michael Downey ; photography by Michael Mauney.</t>
        </is>
      </c>
      <c r="F1724" t="inlineStr">
        <is>
          <t>No</t>
        </is>
      </c>
      <c r="G1724" t="inlineStr">
        <is>
          <t>1</t>
        </is>
      </c>
      <c r="H1724" t="inlineStr">
        <is>
          <t>No</t>
        </is>
      </c>
      <c r="I1724" t="inlineStr">
        <is>
          <t>No</t>
        </is>
      </c>
      <c r="J1724" t="inlineStr">
        <is>
          <t>0</t>
        </is>
      </c>
      <c r="K1724" t="inlineStr">
        <is>
          <t>Downey, Michael.</t>
        </is>
      </c>
      <c r="L1724" t="inlineStr">
        <is>
          <t>New York : Paulist Press, c1997.</t>
        </is>
      </c>
      <c r="M1724" t="inlineStr">
        <is>
          <t>1997</t>
        </is>
      </c>
      <c r="O1724" t="inlineStr">
        <is>
          <t>eng</t>
        </is>
      </c>
      <c r="P1724" t="inlineStr">
        <is>
          <t>nju</t>
        </is>
      </c>
      <c r="R1724" t="inlineStr">
        <is>
          <t xml:space="preserve">BX </t>
        </is>
      </c>
      <c r="S1724" t="n">
        <v>6</v>
      </c>
      <c r="T1724" t="n">
        <v>6</v>
      </c>
      <c r="U1724" t="inlineStr">
        <is>
          <t>2001-06-22</t>
        </is>
      </c>
      <c r="V1724" t="inlineStr">
        <is>
          <t>2001-06-22</t>
        </is>
      </c>
      <c r="W1724" t="inlineStr">
        <is>
          <t>1998-08-13</t>
        </is>
      </c>
      <c r="X1724" t="inlineStr">
        <is>
          <t>1998-08-13</t>
        </is>
      </c>
      <c r="Y1724" t="n">
        <v>365</v>
      </c>
      <c r="Z1724" t="n">
        <v>339</v>
      </c>
      <c r="AA1724" t="n">
        <v>344</v>
      </c>
      <c r="AB1724" t="n">
        <v>3</v>
      </c>
      <c r="AC1724" t="n">
        <v>3</v>
      </c>
      <c r="AD1724" t="n">
        <v>18</v>
      </c>
      <c r="AE1724" t="n">
        <v>18</v>
      </c>
      <c r="AF1724" t="n">
        <v>7</v>
      </c>
      <c r="AG1724" t="n">
        <v>7</v>
      </c>
      <c r="AH1724" t="n">
        <v>4</v>
      </c>
      <c r="AI1724" t="n">
        <v>4</v>
      </c>
      <c r="AJ1724" t="n">
        <v>11</v>
      </c>
      <c r="AK1724" t="n">
        <v>11</v>
      </c>
      <c r="AL1724" t="n">
        <v>1</v>
      </c>
      <c r="AM1724" t="n">
        <v>1</v>
      </c>
      <c r="AN1724" t="n">
        <v>0</v>
      </c>
      <c r="AO1724" t="n">
        <v>0</v>
      </c>
      <c r="AP1724" t="inlineStr">
        <is>
          <t>No</t>
        </is>
      </c>
      <c r="AQ1724" t="inlineStr">
        <is>
          <t>No</t>
        </is>
      </c>
      <c r="AS1724">
        <f>HYPERLINK("https://creighton-primo.hosted.exlibrisgroup.com/primo-explore/search?tab=default_tab&amp;search_scope=EVERYTHING&amp;vid=01CRU&amp;lang=en_US&amp;offset=0&amp;query=any,contains,991002808159702656","Catalog Record")</f>
        <v/>
      </c>
      <c r="AT1724">
        <f>HYPERLINK("http://www.worldcat.org/oclc/36892840","WorldCat Record")</f>
        <v/>
      </c>
      <c r="AU1724" t="inlineStr">
        <is>
          <t>616855:eng</t>
        </is>
      </c>
      <c r="AV1724" t="inlineStr">
        <is>
          <t>36892840</t>
        </is>
      </c>
      <c r="AW1724" t="inlineStr">
        <is>
          <t>991002808159702656</t>
        </is>
      </c>
      <c r="AX1724" t="inlineStr">
        <is>
          <t>991002808159702656</t>
        </is>
      </c>
      <c r="AY1724" t="inlineStr">
        <is>
          <t>2264976850002656</t>
        </is>
      </c>
      <c r="AZ1724" t="inlineStr">
        <is>
          <t>BOOK</t>
        </is>
      </c>
      <c r="BB1724" t="inlineStr">
        <is>
          <t>9780809104918</t>
        </is>
      </c>
      <c r="BC1724" t="inlineStr">
        <is>
          <t>32285003453528</t>
        </is>
      </c>
      <c r="BD1724" t="inlineStr">
        <is>
          <t>893591808</t>
        </is>
      </c>
    </row>
    <row r="1725">
      <c r="A1725" t="inlineStr">
        <is>
          <t>No</t>
        </is>
      </c>
      <c r="B1725" t="inlineStr">
        <is>
          <t>BX2525.A8 S22 1957</t>
        </is>
      </c>
      <c r="C1725" t="inlineStr">
        <is>
          <t>0                      BX 2525000A  8                  S  22          1957</t>
        </is>
      </c>
      <c r="D1725" t="inlineStr">
        <is>
          <t>Kansas monks : a history of St. Benedict's Abbey.</t>
        </is>
      </c>
      <c r="F1725" t="inlineStr">
        <is>
          <t>No</t>
        </is>
      </c>
      <c r="G1725" t="inlineStr">
        <is>
          <t>1</t>
        </is>
      </c>
      <c r="H1725" t="inlineStr">
        <is>
          <t>No</t>
        </is>
      </c>
      <c r="I1725" t="inlineStr">
        <is>
          <t>No</t>
        </is>
      </c>
      <c r="J1725" t="inlineStr">
        <is>
          <t>0</t>
        </is>
      </c>
      <c r="K1725" t="inlineStr">
        <is>
          <t>Beckman, Peter, 1911-</t>
        </is>
      </c>
      <c r="L1725" t="inlineStr">
        <is>
          <t>Atchison, Kan. : Abbey Student Press, [1957]</t>
        </is>
      </c>
      <c r="M1725" t="inlineStr">
        <is>
          <t>1957</t>
        </is>
      </c>
      <c r="O1725" t="inlineStr">
        <is>
          <t>eng</t>
        </is>
      </c>
      <c r="P1725" t="inlineStr">
        <is>
          <t>ksu</t>
        </is>
      </c>
      <c r="Q1725" t="inlineStr">
        <is>
          <t>American Benedictine Academy. Historical studies. Monasteries and convents, 3</t>
        </is>
      </c>
      <c r="R1725" t="inlineStr">
        <is>
          <t xml:space="preserve">BX </t>
        </is>
      </c>
      <c r="S1725" t="n">
        <v>3</v>
      </c>
      <c r="T1725" t="n">
        <v>3</v>
      </c>
      <c r="U1725" t="inlineStr">
        <is>
          <t>2008-04-11</t>
        </is>
      </c>
      <c r="V1725" t="inlineStr">
        <is>
          <t>2008-04-11</t>
        </is>
      </c>
      <c r="W1725" t="inlineStr">
        <is>
          <t>1991-11-06</t>
        </is>
      </c>
      <c r="X1725" t="inlineStr">
        <is>
          <t>1991-11-06</t>
        </is>
      </c>
      <c r="Y1725" t="n">
        <v>98</v>
      </c>
      <c r="Z1725" t="n">
        <v>94</v>
      </c>
      <c r="AA1725" t="n">
        <v>107</v>
      </c>
      <c r="AB1725" t="n">
        <v>4</v>
      </c>
      <c r="AC1725" t="n">
        <v>4</v>
      </c>
      <c r="AD1725" t="n">
        <v>12</v>
      </c>
      <c r="AE1725" t="n">
        <v>13</v>
      </c>
      <c r="AF1725" t="n">
        <v>0</v>
      </c>
      <c r="AG1725" t="n">
        <v>0</v>
      </c>
      <c r="AH1725" t="n">
        <v>5</v>
      </c>
      <c r="AI1725" t="n">
        <v>5</v>
      </c>
      <c r="AJ1725" t="n">
        <v>8</v>
      </c>
      <c r="AK1725" t="n">
        <v>9</v>
      </c>
      <c r="AL1725" t="n">
        <v>1</v>
      </c>
      <c r="AM1725" t="n">
        <v>1</v>
      </c>
      <c r="AN1725" t="n">
        <v>0</v>
      </c>
      <c r="AO1725" t="n">
        <v>0</v>
      </c>
      <c r="AP1725" t="inlineStr">
        <is>
          <t>Yes</t>
        </is>
      </c>
      <c r="AQ1725" t="inlineStr">
        <is>
          <t>No</t>
        </is>
      </c>
      <c r="AR1725">
        <f>HYPERLINK("http://catalog.hathitrust.org/Record/005922005","HathiTrust Record")</f>
        <v/>
      </c>
      <c r="AS1725">
        <f>HYPERLINK("https://creighton-primo.hosted.exlibrisgroup.com/primo-explore/search?tab=default_tab&amp;search_scope=EVERYTHING&amp;vid=01CRU&amp;lang=en_US&amp;offset=0&amp;query=any,contains,991004614799702656","Catalog Record")</f>
        <v/>
      </c>
      <c r="AT1725">
        <f>HYPERLINK("http://www.worldcat.org/oclc/4242922","WorldCat Record")</f>
        <v/>
      </c>
      <c r="AU1725" t="inlineStr">
        <is>
          <t>14607483:eng</t>
        </is>
      </c>
      <c r="AV1725" t="inlineStr">
        <is>
          <t>4242922</t>
        </is>
      </c>
      <c r="AW1725" t="inlineStr">
        <is>
          <t>991004614799702656</t>
        </is>
      </c>
      <c r="AX1725" t="inlineStr">
        <is>
          <t>991004614799702656</t>
        </is>
      </c>
      <c r="AY1725" t="inlineStr">
        <is>
          <t>2266232360002656</t>
        </is>
      </c>
      <c r="AZ1725" t="inlineStr">
        <is>
          <t>BOOK</t>
        </is>
      </c>
      <c r="BC1725" t="inlineStr">
        <is>
          <t>32285000832690</t>
        </is>
      </c>
      <c r="BD1725" t="inlineStr">
        <is>
          <t>893612551</t>
        </is>
      </c>
    </row>
    <row r="1726">
      <c r="A1726" t="inlineStr">
        <is>
          <t>No</t>
        </is>
      </c>
      <c r="B1726" t="inlineStr">
        <is>
          <t>BX2525.C65 S33</t>
        </is>
      </c>
      <c r="C1726" t="inlineStr">
        <is>
          <t>0                      BX 2525000C  65                 S  33</t>
        </is>
      </c>
      <c r="D1726" t="inlineStr">
        <is>
          <t>Worship and work : Saint John's Abbey and University, 1856-1980 / Colman J. Barry.</t>
        </is>
      </c>
      <c r="F1726" t="inlineStr">
        <is>
          <t>No</t>
        </is>
      </c>
      <c r="G1726" t="inlineStr">
        <is>
          <t>1</t>
        </is>
      </c>
      <c r="H1726" t="inlineStr">
        <is>
          <t>No</t>
        </is>
      </c>
      <c r="I1726" t="inlineStr">
        <is>
          <t>No</t>
        </is>
      </c>
      <c r="J1726" t="inlineStr">
        <is>
          <t>0</t>
        </is>
      </c>
      <c r="K1726" t="inlineStr">
        <is>
          <t>Barry, Colman J. (Colman James), 1921-1994.</t>
        </is>
      </c>
      <c r="L1726" t="inlineStr">
        <is>
          <t>Collegeville, Minn. : Liturgical Press, 1980.</t>
        </is>
      </c>
      <c r="M1726" t="inlineStr">
        <is>
          <t>1980</t>
        </is>
      </c>
      <c r="O1726" t="inlineStr">
        <is>
          <t>eng</t>
        </is>
      </c>
      <c r="P1726" t="inlineStr">
        <is>
          <t>mnu</t>
        </is>
      </c>
      <c r="R1726" t="inlineStr">
        <is>
          <t xml:space="preserve">BX </t>
        </is>
      </c>
      <c r="S1726" t="n">
        <v>4</v>
      </c>
      <c r="T1726" t="n">
        <v>4</v>
      </c>
      <c r="U1726" t="inlineStr">
        <is>
          <t>1994-04-14</t>
        </is>
      </c>
      <c r="V1726" t="inlineStr">
        <is>
          <t>1994-04-14</t>
        </is>
      </c>
      <c r="W1726" t="inlineStr">
        <is>
          <t>1991-11-06</t>
        </is>
      </c>
      <c r="X1726" t="inlineStr">
        <is>
          <t>1991-11-06</t>
        </is>
      </c>
      <c r="Y1726" t="n">
        <v>93</v>
      </c>
      <c r="Z1726" t="n">
        <v>85</v>
      </c>
      <c r="AA1726" t="n">
        <v>109</v>
      </c>
      <c r="AB1726" t="n">
        <v>1</v>
      </c>
      <c r="AC1726" t="n">
        <v>1</v>
      </c>
      <c r="AD1726" t="n">
        <v>7</v>
      </c>
      <c r="AE1726" t="n">
        <v>8</v>
      </c>
      <c r="AF1726" t="n">
        <v>1</v>
      </c>
      <c r="AG1726" t="n">
        <v>1</v>
      </c>
      <c r="AH1726" t="n">
        <v>1</v>
      </c>
      <c r="AI1726" t="n">
        <v>1</v>
      </c>
      <c r="AJ1726" t="n">
        <v>5</v>
      </c>
      <c r="AK1726" t="n">
        <v>6</v>
      </c>
      <c r="AL1726" t="n">
        <v>0</v>
      </c>
      <c r="AM1726" t="n">
        <v>0</v>
      </c>
      <c r="AN1726" t="n">
        <v>0</v>
      </c>
      <c r="AO1726" t="n">
        <v>0</v>
      </c>
      <c r="AP1726" t="inlineStr">
        <is>
          <t>No</t>
        </is>
      </c>
      <c r="AQ1726" t="inlineStr">
        <is>
          <t>No</t>
        </is>
      </c>
      <c r="AS1726">
        <f>HYPERLINK("https://creighton-primo.hosted.exlibrisgroup.com/primo-explore/search?tab=default_tab&amp;search_scope=EVERYTHING&amp;vid=01CRU&amp;lang=en_US&amp;offset=0&amp;query=any,contains,991004920079702656","Catalog Record")</f>
        <v/>
      </c>
      <c r="AT1726">
        <f>HYPERLINK("http://www.worldcat.org/oclc/6042787","WorldCat Record")</f>
        <v/>
      </c>
      <c r="AU1726" t="inlineStr">
        <is>
          <t>9381826281:eng</t>
        </is>
      </c>
      <c r="AV1726" t="inlineStr">
        <is>
          <t>6042787</t>
        </is>
      </c>
      <c r="AW1726" t="inlineStr">
        <is>
          <t>991004920079702656</t>
        </is>
      </c>
      <c r="AX1726" t="inlineStr">
        <is>
          <t>991004920079702656</t>
        </is>
      </c>
      <c r="AY1726" t="inlineStr">
        <is>
          <t>2256392120002656</t>
        </is>
      </c>
      <c r="AZ1726" t="inlineStr">
        <is>
          <t>BOOK</t>
        </is>
      </c>
      <c r="BB1726" t="inlineStr">
        <is>
          <t>9780814611234</t>
        </is>
      </c>
      <c r="BC1726" t="inlineStr">
        <is>
          <t>32285000832708</t>
        </is>
      </c>
      <c r="BD1726" t="inlineStr">
        <is>
          <t>893412072</t>
        </is>
      </c>
    </row>
    <row r="1727">
      <c r="A1727" t="inlineStr">
        <is>
          <t>No</t>
        </is>
      </c>
      <c r="B1727" t="inlineStr">
        <is>
          <t>BX2525.T7 G4 1949</t>
        </is>
      </c>
      <c r="C1727" t="inlineStr">
        <is>
          <t>0                      BX 2525000T  7                  G  4           1949</t>
        </is>
      </c>
      <c r="D1727" t="inlineStr">
        <is>
          <t>Gethsemani magnificat : centenary of Gethsemani abbey.</t>
        </is>
      </c>
      <c r="F1727" t="inlineStr">
        <is>
          <t>No</t>
        </is>
      </c>
      <c r="G1727" t="inlineStr">
        <is>
          <t>1</t>
        </is>
      </c>
      <c r="H1727" t="inlineStr">
        <is>
          <t>No</t>
        </is>
      </c>
      <c r="I1727" t="inlineStr">
        <is>
          <t>No</t>
        </is>
      </c>
      <c r="J1727" t="inlineStr">
        <is>
          <t>0</t>
        </is>
      </c>
      <c r="K1727" t="inlineStr">
        <is>
          <t>Abbey of Our Lady of Gethsemani (Trappist, Ky.)</t>
        </is>
      </c>
      <c r="M1727" t="inlineStr">
        <is>
          <t>1949</t>
        </is>
      </c>
      <c r="O1727" t="inlineStr">
        <is>
          <t>eng</t>
        </is>
      </c>
      <c r="P1727" t="inlineStr">
        <is>
          <t xml:space="preserve">xx </t>
        </is>
      </c>
      <c r="R1727" t="inlineStr">
        <is>
          <t xml:space="preserve">BX </t>
        </is>
      </c>
      <c r="S1727" t="n">
        <v>7</v>
      </c>
      <c r="T1727" t="n">
        <v>7</v>
      </c>
      <c r="U1727" t="inlineStr">
        <is>
          <t>2009-06-21</t>
        </is>
      </c>
      <c r="V1727" t="inlineStr">
        <is>
          <t>2009-06-21</t>
        </is>
      </c>
      <c r="W1727" t="inlineStr">
        <is>
          <t>1991-11-07</t>
        </is>
      </c>
      <c r="X1727" t="inlineStr">
        <is>
          <t>1991-11-07</t>
        </is>
      </c>
      <c r="Y1727" t="n">
        <v>65</v>
      </c>
      <c r="Z1727" t="n">
        <v>59</v>
      </c>
      <c r="AA1727" t="n">
        <v>64</v>
      </c>
      <c r="AB1727" t="n">
        <v>2</v>
      </c>
      <c r="AC1727" t="n">
        <v>2</v>
      </c>
      <c r="AD1727" t="n">
        <v>12</v>
      </c>
      <c r="AE1727" t="n">
        <v>12</v>
      </c>
      <c r="AF1727" t="n">
        <v>5</v>
      </c>
      <c r="AG1727" t="n">
        <v>5</v>
      </c>
      <c r="AH1727" t="n">
        <v>4</v>
      </c>
      <c r="AI1727" t="n">
        <v>4</v>
      </c>
      <c r="AJ1727" t="n">
        <v>8</v>
      </c>
      <c r="AK1727" t="n">
        <v>8</v>
      </c>
      <c r="AL1727" t="n">
        <v>0</v>
      </c>
      <c r="AM1727" t="n">
        <v>0</v>
      </c>
      <c r="AN1727" t="n">
        <v>0</v>
      </c>
      <c r="AO1727" t="n">
        <v>0</v>
      </c>
      <c r="AP1727" t="inlineStr">
        <is>
          <t>No</t>
        </is>
      </c>
      <c r="AQ1727" t="inlineStr">
        <is>
          <t>No</t>
        </is>
      </c>
      <c r="AS1727">
        <f>HYPERLINK("https://creighton-primo.hosted.exlibrisgroup.com/primo-explore/search?tab=default_tab&amp;search_scope=EVERYTHING&amp;vid=01CRU&amp;lang=en_US&amp;offset=0&amp;query=any,contains,991003285919702656","Catalog Record")</f>
        <v/>
      </c>
      <c r="AT1727">
        <f>HYPERLINK("http://www.worldcat.org/oclc/807717","WorldCat Record")</f>
        <v/>
      </c>
      <c r="AU1727" t="inlineStr">
        <is>
          <t>5092083076:eng</t>
        </is>
      </c>
      <c r="AV1727" t="inlineStr">
        <is>
          <t>807717</t>
        </is>
      </c>
      <c r="AW1727" t="inlineStr">
        <is>
          <t>991003285919702656</t>
        </is>
      </c>
      <c r="AX1727" t="inlineStr">
        <is>
          <t>991003285919702656</t>
        </is>
      </c>
      <c r="AY1727" t="inlineStr">
        <is>
          <t>2268429830002656</t>
        </is>
      </c>
      <c r="AZ1727" t="inlineStr">
        <is>
          <t>BOOK</t>
        </is>
      </c>
      <c r="BC1727" t="inlineStr">
        <is>
          <t>32285000832740</t>
        </is>
      </c>
      <c r="BD1727" t="inlineStr">
        <is>
          <t>893604626</t>
        </is>
      </c>
    </row>
    <row r="1728">
      <c r="A1728" t="inlineStr">
        <is>
          <t>No</t>
        </is>
      </c>
      <c r="B1728" t="inlineStr">
        <is>
          <t>BX2590 .E3 1958</t>
        </is>
      </c>
      <c r="C1728" t="inlineStr">
        <is>
          <t>0                      BX 2590000E  3           1958</t>
        </is>
      </c>
      <c r="D1728" t="inlineStr">
        <is>
          <t>Worlds apart : a journey to the great living monastaries [sic] of Europe.</t>
        </is>
      </c>
      <c r="F1728" t="inlineStr">
        <is>
          <t>No</t>
        </is>
      </c>
      <c r="G1728" t="inlineStr">
        <is>
          <t>1</t>
        </is>
      </c>
      <c r="H1728" t="inlineStr">
        <is>
          <t>No</t>
        </is>
      </c>
      <c r="I1728" t="inlineStr">
        <is>
          <t>No</t>
        </is>
      </c>
      <c r="J1728" t="inlineStr">
        <is>
          <t>0</t>
        </is>
      </c>
      <c r="K1728" t="inlineStr">
        <is>
          <t>Edwards, Tudor.</t>
        </is>
      </c>
      <c r="L1728" t="inlineStr">
        <is>
          <t>New York : Coward-McCann, [1958]</t>
        </is>
      </c>
      <c r="M1728" t="inlineStr">
        <is>
          <t>1958</t>
        </is>
      </c>
      <c r="N1728" t="inlineStr">
        <is>
          <t>[1st American ed.]</t>
        </is>
      </c>
      <c r="O1728" t="inlineStr">
        <is>
          <t>eng</t>
        </is>
      </c>
      <c r="P1728" t="inlineStr">
        <is>
          <t>nyu</t>
        </is>
      </c>
      <c r="R1728" t="inlineStr">
        <is>
          <t xml:space="preserve">BX </t>
        </is>
      </c>
      <c r="S1728" t="n">
        <v>2</v>
      </c>
      <c r="T1728" t="n">
        <v>2</v>
      </c>
      <c r="U1728" t="inlineStr">
        <is>
          <t>2005-03-30</t>
        </is>
      </c>
      <c r="V1728" t="inlineStr">
        <is>
          <t>2005-03-30</t>
        </is>
      </c>
      <c r="W1728" t="inlineStr">
        <is>
          <t>1991-11-07</t>
        </is>
      </c>
      <c r="X1728" t="inlineStr">
        <is>
          <t>1991-11-07</t>
        </is>
      </c>
      <c r="Y1728" t="n">
        <v>355</v>
      </c>
      <c r="Z1728" t="n">
        <v>335</v>
      </c>
      <c r="AA1728" t="n">
        <v>350</v>
      </c>
      <c r="AB1728" t="n">
        <v>5</v>
      </c>
      <c r="AC1728" t="n">
        <v>5</v>
      </c>
      <c r="AD1728" t="n">
        <v>27</v>
      </c>
      <c r="AE1728" t="n">
        <v>28</v>
      </c>
      <c r="AF1728" t="n">
        <v>9</v>
      </c>
      <c r="AG1728" t="n">
        <v>10</v>
      </c>
      <c r="AH1728" t="n">
        <v>5</v>
      </c>
      <c r="AI1728" t="n">
        <v>5</v>
      </c>
      <c r="AJ1728" t="n">
        <v>19</v>
      </c>
      <c r="AK1728" t="n">
        <v>19</v>
      </c>
      <c r="AL1728" t="n">
        <v>2</v>
      </c>
      <c r="AM1728" t="n">
        <v>2</v>
      </c>
      <c r="AN1728" t="n">
        <v>0</v>
      </c>
      <c r="AO1728" t="n">
        <v>0</v>
      </c>
      <c r="AP1728" t="inlineStr">
        <is>
          <t>No</t>
        </is>
      </c>
      <c r="AQ1728" t="inlineStr">
        <is>
          <t>No</t>
        </is>
      </c>
      <c r="AS1728">
        <f>HYPERLINK("https://creighton-primo.hosted.exlibrisgroup.com/primo-explore/search?tab=default_tab&amp;search_scope=EVERYTHING&amp;vid=01CRU&amp;lang=en_US&amp;offset=0&amp;query=any,contains,991002646329702656","Catalog Record")</f>
        <v/>
      </c>
      <c r="AT1728">
        <f>HYPERLINK("http://www.worldcat.org/oclc/385919","WorldCat Record")</f>
        <v/>
      </c>
      <c r="AU1728" t="inlineStr">
        <is>
          <t>10278947132:eng</t>
        </is>
      </c>
      <c r="AV1728" t="inlineStr">
        <is>
          <t>385919</t>
        </is>
      </c>
      <c r="AW1728" t="inlineStr">
        <is>
          <t>991002646329702656</t>
        </is>
      </c>
      <c r="AX1728" t="inlineStr">
        <is>
          <t>991002646329702656</t>
        </is>
      </c>
      <c r="AY1728" t="inlineStr">
        <is>
          <t>2259150820002656</t>
        </is>
      </c>
      <c r="AZ1728" t="inlineStr">
        <is>
          <t>BOOK</t>
        </is>
      </c>
      <c r="BC1728" t="inlineStr">
        <is>
          <t>32285000832765</t>
        </is>
      </c>
      <c r="BD1728" t="inlineStr">
        <is>
          <t>893498359</t>
        </is>
      </c>
    </row>
    <row r="1729">
      <c r="A1729" t="inlineStr">
        <is>
          <t>No</t>
        </is>
      </c>
      <c r="B1729" t="inlineStr">
        <is>
          <t>BX2592 .B35</t>
        </is>
      </c>
      <c r="C1729" t="inlineStr">
        <is>
          <t>0                      BX 2592000B  35</t>
        </is>
      </c>
      <c r="D1729" t="inlineStr">
        <is>
          <t>English monks and the suppression of the monasteries / by Geoffrey Baskerville.</t>
        </is>
      </c>
      <c r="F1729" t="inlineStr">
        <is>
          <t>No</t>
        </is>
      </c>
      <c r="G1729" t="inlineStr">
        <is>
          <t>1</t>
        </is>
      </c>
      <c r="H1729" t="inlineStr">
        <is>
          <t>No</t>
        </is>
      </c>
      <c r="I1729" t="inlineStr">
        <is>
          <t>No</t>
        </is>
      </c>
      <c r="J1729" t="inlineStr">
        <is>
          <t>0</t>
        </is>
      </c>
      <c r="K1729" t="inlineStr">
        <is>
          <t>Baskerville, Geoffrey.</t>
        </is>
      </c>
      <c r="L1729" t="inlineStr">
        <is>
          <t>New Haven : Yale university press, 1937.</t>
        </is>
      </c>
      <c r="M1729" t="inlineStr">
        <is>
          <t>1937</t>
        </is>
      </c>
      <c r="O1729" t="inlineStr">
        <is>
          <t>eng</t>
        </is>
      </c>
      <c r="P1729" t="inlineStr">
        <is>
          <t>___</t>
        </is>
      </c>
      <c r="R1729" t="inlineStr">
        <is>
          <t xml:space="preserve">BX </t>
        </is>
      </c>
      <c r="S1729" t="n">
        <v>3</v>
      </c>
      <c r="T1729" t="n">
        <v>3</v>
      </c>
      <c r="U1729" t="inlineStr">
        <is>
          <t>2008-01-08</t>
        </is>
      </c>
      <c r="V1729" t="inlineStr">
        <is>
          <t>2008-01-08</t>
        </is>
      </c>
      <c r="W1729" t="inlineStr">
        <is>
          <t>1991-11-07</t>
        </is>
      </c>
      <c r="X1729" t="inlineStr">
        <is>
          <t>1991-11-07</t>
        </is>
      </c>
      <c r="Y1729" t="n">
        <v>429</v>
      </c>
      <c r="Z1729" t="n">
        <v>416</v>
      </c>
      <c r="AA1729" t="n">
        <v>425</v>
      </c>
      <c r="AB1729" t="n">
        <v>6</v>
      </c>
      <c r="AC1729" t="n">
        <v>6</v>
      </c>
      <c r="AD1729" t="n">
        <v>30</v>
      </c>
      <c r="AE1729" t="n">
        <v>30</v>
      </c>
      <c r="AF1729" t="n">
        <v>12</v>
      </c>
      <c r="AG1729" t="n">
        <v>12</v>
      </c>
      <c r="AH1729" t="n">
        <v>6</v>
      </c>
      <c r="AI1729" t="n">
        <v>6</v>
      </c>
      <c r="AJ1729" t="n">
        <v>11</v>
      </c>
      <c r="AK1729" t="n">
        <v>11</v>
      </c>
      <c r="AL1729" t="n">
        <v>5</v>
      </c>
      <c r="AM1729" t="n">
        <v>5</v>
      </c>
      <c r="AN1729" t="n">
        <v>1</v>
      </c>
      <c r="AO1729" t="n">
        <v>1</v>
      </c>
      <c r="AP1729" t="inlineStr">
        <is>
          <t>No</t>
        </is>
      </c>
      <c r="AQ1729" t="inlineStr">
        <is>
          <t>Yes</t>
        </is>
      </c>
      <c r="AR1729">
        <f>HYPERLINK("http://catalog.hathitrust.org/Record/001591004","HathiTrust Record")</f>
        <v/>
      </c>
      <c r="AS1729">
        <f>HYPERLINK("https://creighton-primo.hosted.exlibrisgroup.com/primo-explore/search?tab=default_tab&amp;search_scope=EVERYTHING&amp;vid=01CRU&amp;lang=en_US&amp;offset=0&amp;query=any,contains,991003344299702656","Catalog Record")</f>
        <v/>
      </c>
      <c r="AT1729">
        <f>HYPERLINK("http://www.worldcat.org/oclc/875806","WorldCat Record")</f>
        <v/>
      </c>
      <c r="AU1729" t="inlineStr">
        <is>
          <t>5090364449:eng</t>
        </is>
      </c>
      <c r="AV1729" t="inlineStr">
        <is>
          <t>875806</t>
        </is>
      </c>
      <c r="AW1729" t="inlineStr">
        <is>
          <t>991003344299702656</t>
        </is>
      </c>
      <c r="AX1729" t="inlineStr">
        <is>
          <t>991003344299702656</t>
        </is>
      </c>
      <c r="AY1729" t="inlineStr">
        <is>
          <t>2263371240002656</t>
        </is>
      </c>
      <c r="AZ1729" t="inlineStr">
        <is>
          <t>BOOK</t>
        </is>
      </c>
      <c r="BC1729" t="inlineStr">
        <is>
          <t>32285000832773</t>
        </is>
      </c>
      <c r="BD1729" t="inlineStr">
        <is>
          <t>893874675</t>
        </is>
      </c>
    </row>
    <row r="1730">
      <c r="A1730" t="inlineStr">
        <is>
          <t>No</t>
        </is>
      </c>
      <c r="B1730" t="inlineStr">
        <is>
          <t>BX2592 .G38 1910</t>
        </is>
      </c>
      <c r="C1730" t="inlineStr">
        <is>
          <t>0                      BX 2592000G  38          1910</t>
        </is>
      </c>
      <c r="D1730" t="inlineStr">
        <is>
          <t>Henry VIII and the English monasteries : an attempt to illustrate the history of the supression / by Abbot Gasquet.</t>
        </is>
      </c>
      <c r="F1730" t="inlineStr">
        <is>
          <t>No</t>
        </is>
      </c>
      <c r="G1730" t="inlineStr">
        <is>
          <t>1</t>
        </is>
      </c>
      <c r="H1730" t="inlineStr">
        <is>
          <t>No</t>
        </is>
      </c>
      <c r="I1730" t="inlineStr">
        <is>
          <t>No</t>
        </is>
      </c>
      <c r="J1730" t="inlineStr">
        <is>
          <t>0</t>
        </is>
      </c>
      <c r="K1730" t="inlineStr">
        <is>
          <t>Gasquet, Francis Aidan, 1846-1929.</t>
        </is>
      </c>
      <c r="L1730" t="inlineStr">
        <is>
          <t>London : G. Bell, [1910]</t>
        </is>
      </c>
      <c r="M1730" t="inlineStr">
        <is>
          <t>1910</t>
        </is>
      </c>
      <c r="N1730" t="inlineStr">
        <is>
          <t>6th ed.</t>
        </is>
      </c>
      <c r="O1730" t="inlineStr">
        <is>
          <t>eng</t>
        </is>
      </c>
      <c r="P1730" t="inlineStr">
        <is>
          <t>enk</t>
        </is>
      </c>
      <c r="Q1730" t="inlineStr">
        <is>
          <t>The Catholic standard library.</t>
        </is>
      </c>
      <c r="R1730" t="inlineStr">
        <is>
          <t xml:space="preserve">BX </t>
        </is>
      </c>
      <c r="S1730" t="n">
        <v>4</v>
      </c>
      <c r="T1730" t="n">
        <v>4</v>
      </c>
      <c r="U1730" t="inlineStr">
        <is>
          <t>2008-03-14</t>
        </is>
      </c>
      <c r="V1730" t="inlineStr">
        <is>
          <t>2008-03-14</t>
        </is>
      </c>
      <c r="W1730" t="inlineStr">
        <is>
          <t>1991-11-07</t>
        </is>
      </c>
      <c r="X1730" t="inlineStr">
        <is>
          <t>1991-11-07</t>
        </is>
      </c>
      <c r="Y1730" t="n">
        <v>47</v>
      </c>
      <c r="Z1730" t="n">
        <v>44</v>
      </c>
      <c r="AA1730" t="n">
        <v>207</v>
      </c>
      <c r="AB1730" t="n">
        <v>1</v>
      </c>
      <c r="AC1730" t="n">
        <v>2</v>
      </c>
      <c r="AD1730" t="n">
        <v>8</v>
      </c>
      <c r="AE1730" t="n">
        <v>15</v>
      </c>
      <c r="AF1730" t="n">
        <v>3</v>
      </c>
      <c r="AG1730" t="n">
        <v>6</v>
      </c>
      <c r="AH1730" t="n">
        <v>1</v>
      </c>
      <c r="AI1730" t="n">
        <v>5</v>
      </c>
      <c r="AJ1730" t="n">
        <v>7</v>
      </c>
      <c r="AK1730" t="n">
        <v>8</v>
      </c>
      <c r="AL1730" t="n">
        <v>0</v>
      </c>
      <c r="AM1730" t="n">
        <v>1</v>
      </c>
      <c r="AN1730" t="n">
        <v>0</v>
      </c>
      <c r="AO1730" t="n">
        <v>0</v>
      </c>
      <c r="AP1730" t="inlineStr">
        <is>
          <t>No</t>
        </is>
      </c>
      <c r="AQ1730" t="inlineStr">
        <is>
          <t>No</t>
        </is>
      </c>
      <c r="AS1730">
        <f>HYPERLINK("https://creighton-primo.hosted.exlibrisgroup.com/primo-explore/search?tab=default_tab&amp;search_scope=EVERYTHING&amp;vid=01CRU&amp;lang=en_US&amp;offset=0&amp;query=any,contains,991003927229702656","Catalog Record")</f>
        <v/>
      </c>
      <c r="AT1730">
        <f>HYPERLINK("http://www.worldcat.org/oclc/1886268","WorldCat Record")</f>
        <v/>
      </c>
      <c r="AU1730" t="inlineStr">
        <is>
          <t>9989496848:eng</t>
        </is>
      </c>
      <c r="AV1730" t="inlineStr">
        <is>
          <t>1886268</t>
        </is>
      </c>
      <c r="AW1730" t="inlineStr">
        <is>
          <t>991003927229702656</t>
        </is>
      </c>
      <c r="AX1730" t="inlineStr">
        <is>
          <t>991003927229702656</t>
        </is>
      </c>
      <c r="AY1730" t="inlineStr">
        <is>
          <t>2255763050002656</t>
        </is>
      </c>
      <c r="AZ1730" t="inlineStr">
        <is>
          <t>BOOK</t>
        </is>
      </c>
      <c r="BC1730" t="inlineStr">
        <is>
          <t>32285000832823</t>
        </is>
      </c>
      <c r="BD1730" t="inlineStr">
        <is>
          <t>893800379</t>
        </is>
      </c>
    </row>
    <row r="1731">
      <c r="A1731" t="inlineStr">
        <is>
          <t>No</t>
        </is>
      </c>
      <c r="B1731" t="inlineStr">
        <is>
          <t>BX2592 .K57 1950</t>
        </is>
      </c>
      <c r="C1731" t="inlineStr">
        <is>
          <t>0                      BX 2592000K  57          1950</t>
        </is>
      </c>
      <c r="D1731" t="inlineStr">
        <is>
          <t>The monastic order in England: a history of its development from the times of St. Dunstan to the Fourth Lateran council, 943-1216, by Dom David Knowles.</t>
        </is>
      </c>
      <c r="F1731" t="inlineStr">
        <is>
          <t>No</t>
        </is>
      </c>
      <c r="G1731" t="inlineStr">
        <is>
          <t>1</t>
        </is>
      </c>
      <c r="H1731" t="inlineStr">
        <is>
          <t>No</t>
        </is>
      </c>
      <c r="I1731" t="inlineStr">
        <is>
          <t>No</t>
        </is>
      </c>
      <c r="J1731" t="inlineStr">
        <is>
          <t>0</t>
        </is>
      </c>
      <c r="K1731" t="inlineStr">
        <is>
          <t>Knowles, David, 1896-1974.</t>
        </is>
      </c>
      <c r="L1731" t="inlineStr">
        <is>
          <t>Cambridge, [Eng.], The University Press, [1950]</t>
        </is>
      </c>
      <c r="M1731" t="inlineStr">
        <is>
          <t>1949</t>
        </is>
      </c>
      <c r="O1731" t="inlineStr">
        <is>
          <t>eng</t>
        </is>
      </c>
      <c r="P1731" t="inlineStr">
        <is>
          <t>enk</t>
        </is>
      </c>
      <c r="R1731" t="inlineStr">
        <is>
          <t xml:space="preserve">BX </t>
        </is>
      </c>
      <c r="S1731" t="n">
        <v>1</v>
      </c>
      <c r="T1731" t="n">
        <v>1</v>
      </c>
      <c r="U1731" t="inlineStr">
        <is>
          <t>2008-01-04</t>
        </is>
      </c>
      <c r="V1731" t="inlineStr">
        <is>
          <t>2008-01-04</t>
        </is>
      </c>
      <c r="W1731" t="inlineStr">
        <is>
          <t>1991-11-07</t>
        </is>
      </c>
      <c r="X1731" t="inlineStr">
        <is>
          <t>1991-11-07</t>
        </is>
      </c>
      <c r="Y1731" t="n">
        <v>136</v>
      </c>
      <c r="Z1731" t="n">
        <v>115</v>
      </c>
      <c r="AA1731" t="n">
        <v>415</v>
      </c>
      <c r="AB1731" t="n">
        <v>1</v>
      </c>
      <c r="AC1731" t="n">
        <v>2</v>
      </c>
      <c r="AD1731" t="n">
        <v>6</v>
      </c>
      <c r="AE1731" t="n">
        <v>31</v>
      </c>
      <c r="AF1731" t="n">
        <v>2</v>
      </c>
      <c r="AG1731" t="n">
        <v>14</v>
      </c>
      <c r="AH1731" t="n">
        <v>3</v>
      </c>
      <c r="AI1731" t="n">
        <v>6</v>
      </c>
      <c r="AJ1731" t="n">
        <v>2</v>
      </c>
      <c r="AK1731" t="n">
        <v>19</v>
      </c>
      <c r="AL1731" t="n">
        <v>0</v>
      </c>
      <c r="AM1731" t="n">
        <v>1</v>
      </c>
      <c r="AN1731" t="n">
        <v>0</v>
      </c>
      <c r="AO1731" t="n">
        <v>0</v>
      </c>
      <c r="AP1731" t="inlineStr">
        <is>
          <t>No</t>
        </is>
      </c>
      <c r="AQ1731" t="inlineStr">
        <is>
          <t>No</t>
        </is>
      </c>
      <c r="AS1731">
        <f>HYPERLINK("https://creighton-primo.hosted.exlibrisgroup.com/primo-explore/search?tab=default_tab&amp;search_scope=EVERYTHING&amp;vid=01CRU&amp;lang=en_US&amp;offset=0&amp;query=any,contains,991004265509702656","Catalog Record")</f>
        <v/>
      </c>
      <c r="AT1731">
        <f>HYPERLINK("http://www.worldcat.org/oclc/2863139","WorldCat Record")</f>
        <v/>
      </c>
      <c r="AU1731" t="inlineStr">
        <is>
          <t>4417316762:eng</t>
        </is>
      </c>
      <c r="AV1731" t="inlineStr">
        <is>
          <t>2863139</t>
        </is>
      </c>
      <c r="AW1731" t="inlineStr">
        <is>
          <t>991004265509702656</t>
        </is>
      </c>
      <c r="AX1731" t="inlineStr">
        <is>
          <t>991004265509702656</t>
        </is>
      </c>
      <c r="AY1731" t="inlineStr">
        <is>
          <t>2267880360002656</t>
        </is>
      </c>
      <c r="AZ1731" t="inlineStr">
        <is>
          <t>BOOK</t>
        </is>
      </c>
      <c r="BC1731" t="inlineStr">
        <is>
          <t>32285000832856</t>
        </is>
      </c>
      <c r="BD1731" t="inlineStr">
        <is>
          <t>893436091</t>
        </is>
      </c>
    </row>
    <row r="1732">
      <c r="A1732" t="inlineStr">
        <is>
          <t>No</t>
        </is>
      </c>
      <c r="B1732" t="inlineStr">
        <is>
          <t>BX2592 .M48 1979</t>
        </is>
      </c>
      <c r="C1732" t="inlineStr">
        <is>
          <t>0                      BX 2592000M  48          1979</t>
        </is>
      </c>
      <c r="D1732" t="inlineStr">
        <is>
          <t>English mediaeval monasteries, 1066-1540 : a summary / Roy Midmer.</t>
        </is>
      </c>
      <c r="F1732" t="inlineStr">
        <is>
          <t>No</t>
        </is>
      </c>
      <c r="G1732" t="inlineStr">
        <is>
          <t>1</t>
        </is>
      </c>
      <c r="H1732" t="inlineStr">
        <is>
          <t>No</t>
        </is>
      </c>
      <c r="I1732" t="inlineStr">
        <is>
          <t>No</t>
        </is>
      </c>
      <c r="J1732" t="inlineStr">
        <is>
          <t>0</t>
        </is>
      </c>
      <c r="K1732" t="inlineStr">
        <is>
          <t>Midmer, Roy.</t>
        </is>
      </c>
      <c r="L1732" t="inlineStr">
        <is>
          <t>Athens : University of Georgia Press, c1979.</t>
        </is>
      </c>
      <c r="M1732" t="inlineStr">
        <is>
          <t>1979</t>
        </is>
      </c>
      <c r="O1732" t="inlineStr">
        <is>
          <t>eng</t>
        </is>
      </c>
      <c r="P1732" t="inlineStr">
        <is>
          <t>gau</t>
        </is>
      </c>
      <c r="R1732" t="inlineStr">
        <is>
          <t xml:space="preserve">BX </t>
        </is>
      </c>
      <c r="S1732" t="n">
        <v>2</v>
      </c>
      <c r="T1732" t="n">
        <v>2</v>
      </c>
      <c r="U1732" t="inlineStr">
        <is>
          <t>2008-01-02</t>
        </is>
      </c>
      <c r="V1732" t="inlineStr">
        <is>
          <t>2008-01-02</t>
        </is>
      </c>
      <c r="W1732" t="inlineStr">
        <is>
          <t>1991-11-07</t>
        </is>
      </c>
      <c r="X1732" t="inlineStr">
        <is>
          <t>1991-11-07</t>
        </is>
      </c>
      <c r="Y1732" t="n">
        <v>360</v>
      </c>
      <c r="Z1732" t="n">
        <v>325</v>
      </c>
      <c r="AA1732" t="n">
        <v>353</v>
      </c>
      <c r="AB1732" t="n">
        <v>2</v>
      </c>
      <c r="AC1732" t="n">
        <v>2</v>
      </c>
      <c r="AD1732" t="n">
        <v>16</v>
      </c>
      <c r="AE1732" t="n">
        <v>17</v>
      </c>
      <c r="AF1732" t="n">
        <v>3</v>
      </c>
      <c r="AG1732" t="n">
        <v>3</v>
      </c>
      <c r="AH1732" t="n">
        <v>5</v>
      </c>
      <c r="AI1732" t="n">
        <v>5</v>
      </c>
      <c r="AJ1732" t="n">
        <v>11</v>
      </c>
      <c r="AK1732" t="n">
        <v>12</v>
      </c>
      <c r="AL1732" t="n">
        <v>1</v>
      </c>
      <c r="AM1732" t="n">
        <v>1</v>
      </c>
      <c r="AN1732" t="n">
        <v>0</v>
      </c>
      <c r="AO1732" t="n">
        <v>0</v>
      </c>
      <c r="AP1732" t="inlineStr">
        <is>
          <t>No</t>
        </is>
      </c>
      <c r="AQ1732" t="inlineStr">
        <is>
          <t>Yes</t>
        </is>
      </c>
      <c r="AR1732">
        <f>HYPERLINK("http://catalog.hathitrust.org/Record/000032225","HathiTrust Record")</f>
        <v/>
      </c>
      <c r="AS1732">
        <f>HYPERLINK("https://creighton-primo.hosted.exlibrisgroup.com/primo-explore/search?tab=default_tab&amp;search_scope=EVERYTHING&amp;vid=01CRU&amp;lang=en_US&amp;offset=0&amp;query=any,contains,991004835109702656","Catalog Record")</f>
        <v/>
      </c>
      <c r="AT1732">
        <f>HYPERLINK("http://www.worldcat.org/oclc/5447146","WorldCat Record")</f>
        <v/>
      </c>
      <c r="AU1732" t="inlineStr">
        <is>
          <t>889679310:eng</t>
        </is>
      </c>
      <c r="AV1732" t="inlineStr">
        <is>
          <t>5447146</t>
        </is>
      </c>
      <c r="AW1732" t="inlineStr">
        <is>
          <t>991004835109702656</t>
        </is>
      </c>
      <c r="AX1732" t="inlineStr">
        <is>
          <t>991004835109702656</t>
        </is>
      </c>
      <c r="AY1732" t="inlineStr">
        <is>
          <t>2259256970002656</t>
        </is>
      </c>
      <c r="AZ1732" t="inlineStr">
        <is>
          <t>BOOK</t>
        </is>
      </c>
      <c r="BB1732" t="inlineStr">
        <is>
          <t>9780820304885</t>
        </is>
      </c>
      <c r="BC1732" t="inlineStr">
        <is>
          <t>32285000832906</t>
        </is>
      </c>
      <c r="BD1732" t="inlineStr">
        <is>
          <t>893713120</t>
        </is>
      </c>
    </row>
    <row r="1733">
      <c r="A1733" t="inlineStr">
        <is>
          <t>No</t>
        </is>
      </c>
      <c r="B1733" t="inlineStr">
        <is>
          <t>BX2592 .T46 1975</t>
        </is>
      </c>
      <c r="C1733" t="inlineStr">
        <is>
          <t>0                      BX 2592000T  46          1975</t>
        </is>
      </c>
      <c r="D1733" t="inlineStr">
        <is>
          <t>Tenth-century studies : essays in commemoration of the millennium of the Council of Winchester and Regularis concordia / edited with an introd. by David Parsons.</t>
        </is>
      </c>
      <c r="F1733" t="inlineStr">
        <is>
          <t>No</t>
        </is>
      </c>
      <c r="G1733" t="inlineStr">
        <is>
          <t>1</t>
        </is>
      </c>
      <c r="H1733" t="inlineStr">
        <is>
          <t>No</t>
        </is>
      </c>
      <c r="I1733" t="inlineStr">
        <is>
          <t>No</t>
        </is>
      </c>
      <c r="J1733" t="inlineStr">
        <is>
          <t>0</t>
        </is>
      </c>
      <c r="L1733" t="inlineStr">
        <is>
          <t>London : Phillimore, 1975.</t>
        </is>
      </c>
      <c r="M1733" t="inlineStr">
        <is>
          <t>1975</t>
        </is>
      </c>
      <c r="O1733" t="inlineStr">
        <is>
          <t>eng</t>
        </is>
      </c>
      <c r="P1733" t="inlineStr">
        <is>
          <t>enk</t>
        </is>
      </c>
      <c r="R1733" t="inlineStr">
        <is>
          <t xml:space="preserve">BX </t>
        </is>
      </c>
      <c r="S1733" t="n">
        <v>6</v>
      </c>
      <c r="T1733" t="n">
        <v>6</v>
      </c>
      <c r="U1733" t="inlineStr">
        <is>
          <t>2009-04-08</t>
        </is>
      </c>
      <c r="V1733" t="inlineStr">
        <is>
          <t>2009-04-08</t>
        </is>
      </c>
      <c r="W1733" t="inlineStr">
        <is>
          <t>1991-11-07</t>
        </is>
      </c>
      <c r="X1733" t="inlineStr">
        <is>
          <t>1991-11-07</t>
        </is>
      </c>
      <c r="Y1733" t="n">
        <v>360</v>
      </c>
      <c r="Z1733" t="n">
        <v>240</v>
      </c>
      <c r="AA1733" t="n">
        <v>247</v>
      </c>
      <c r="AB1733" t="n">
        <v>3</v>
      </c>
      <c r="AC1733" t="n">
        <v>3</v>
      </c>
      <c r="AD1733" t="n">
        <v>19</v>
      </c>
      <c r="AE1733" t="n">
        <v>19</v>
      </c>
      <c r="AF1733" t="n">
        <v>4</v>
      </c>
      <c r="AG1733" t="n">
        <v>4</v>
      </c>
      <c r="AH1733" t="n">
        <v>7</v>
      </c>
      <c r="AI1733" t="n">
        <v>7</v>
      </c>
      <c r="AJ1733" t="n">
        <v>11</v>
      </c>
      <c r="AK1733" t="n">
        <v>11</v>
      </c>
      <c r="AL1733" t="n">
        <v>2</v>
      </c>
      <c r="AM1733" t="n">
        <v>2</v>
      </c>
      <c r="AN1733" t="n">
        <v>0</v>
      </c>
      <c r="AO1733" t="n">
        <v>0</v>
      </c>
      <c r="AP1733" t="inlineStr">
        <is>
          <t>No</t>
        </is>
      </c>
      <c r="AQ1733" t="inlineStr">
        <is>
          <t>Yes</t>
        </is>
      </c>
      <c r="AR1733">
        <f>HYPERLINK("http://catalog.hathitrust.org/Record/000714150","HathiTrust Record")</f>
        <v/>
      </c>
      <c r="AS1733">
        <f>HYPERLINK("https://creighton-primo.hosted.exlibrisgroup.com/primo-explore/search?tab=default_tab&amp;search_scope=EVERYTHING&amp;vid=01CRU&amp;lang=en_US&amp;offset=0&amp;query=any,contains,991004019809702656","Catalog Record")</f>
        <v/>
      </c>
      <c r="AT1733">
        <f>HYPERLINK("http://www.worldcat.org/oclc/2119864","WorldCat Record")</f>
        <v/>
      </c>
      <c r="AU1733" t="inlineStr">
        <is>
          <t>909819633:eng</t>
        </is>
      </c>
      <c r="AV1733" t="inlineStr">
        <is>
          <t>2119864</t>
        </is>
      </c>
      <c r="AW1733" t="inlineStr">
        <is>
          <t>991004019809702656</t>
        </is>
      </c>
      <c r="AX1733" t="inlineStr">
        <is>
          <t>991004019809702656</t>
        </is>
      </c>
      <c r="AY1733" t="inlineStr">
        <is>
          <t>2267986470002656</t>
        </is>
      </c>
      <c r="AZ1733" t="inlineStr">
        <is>
          <t>BOOK</t>
        </is>
      </c>
      <c r="BB1733" t="inlineStr">
        <is>
          <t>9780850331790</t>
        </is>
      </c>
      <c r="BC1733" t="inlineStr">
        <is>
          <t>32285000832930</t>
        </is>
      </c>
      <c r="BD1733" t="inlineStr">
        <is>
          <t>893240909</t>
        </is>
      </c>
    </row>
    <row r="1734">
      <c r="A1734" t="inlineStr">
        <is>
          <t>No</t>
        </is>
      </c>
      <c r="B1734" t="inlineStr">
        <is>
          <t>BX2592 .W65 1955</t>
        </is>
      </c>
      <c r="C1734" t="inlineStr">
        <is>
          <t>0                      BX 2592000W  65          1955</t>
        </is>
      </c>
      <c r="D1734" t="inlineStr">
        <is>
          <t>English monasteries and their patrons in the thirteenth century.</t>
        </is>
      </c>
      <c r="F1734" t="inlineStr">
        <is>
          <t>No</t>
        </is>
      </c>
      <c r="G1734" t="inlineStr">
        <is>
          <t>1</t>
        </is>
      </c>
      <c r="H1734" t="inlineStr">
        <is>
          <t>No</t>
        </is>
      </c>
      <c r="I1734" t="inlineStr">
        <is>
          <t>No</t>
        </is>
      </c>
      <c r="J1734" t="inlineStr">
        <is>
          <t>0</t>
        </is>
      </c>
      <c r="K1734" t="inlineStr">
        <is>
          <t>Wood, Susan.</t>
        </is>
      </c>
      <c r="L1734" t="inlineStr">
        <is>
          <t>London : Oxford University Press, 1955.</t>
        </is>
      </c>
      <c r="M1734" t="inlineStr">
        <is>
          <t>1955</t>
        </is>
      </c>
      <c r="O1734" t="inlineStr">
        <is>
          <t>eng</t>
        </is>
      </c>
      <c r="P1734" t="inlineStr">
        <is>
          <t>enk</t>
        </is>
      </c>
      <c r="Q1734" t="inlineStr">
        <is>
          <t>Oxford historical series. British series</t>
        </is>
      </c>
      <c r="R1734" t="inlineStr">
        <is>
          <t xml:space="preserve">BX </t>
        </is>
      </c>
      <c r="S1734" t="n">
        <v>1</v>
      </c>
      <c r="T1734" t="n">
        <v>1</v>
      </c>
      <c r="U1734" t="inlineStr">
        <is>
          <t>2008-01-08</t>
        </is>
      </c>
      <c r="V1734" t="inlineStr">
        <is>
          <t>2008-01-08</t>
        </is>
      </c>
      <c r="W1734" t="inlineStr">
        <is>
          <t>1991-11-07</t>
        </is>
      </c>
      <c r="X1734" t="inlineStr">
        <is>
          <t>1991-11-07</t>
        </is>
      </c>
      <c r="Y1734" t="n">
        <v>321</v>
      </c>
      <c r="Z1734" t="n">
        <v>210</v>
      </c>
      <c r="AA1734" t="n">
        <v>222</v>
      </c>
      <c r="AB1734" t="n">
        <v>2</v>
      </c>
      <c r="AC1734" t="n">
        <v>2</v>
      </c>
      <c r="AD1734" t="n">
        <v>19</v>
      </c>
      <c r="AE1734" t="n">
        <v>19</v>
      </c>
      <c r="AF1734" t="n">
        <v>4</v>
      </c>
      <c r="AG1734" t="n">
        <v>4</v>
      </c>
      <c r="AH1734" t="n">
        <v>6</v>
      </c>
      <c r="AI1734" t="n">
        <v>6</v>
      </c>
      <c r="AJ1734" t="n">
        <v>13</v>
      </c>
      <c r="AK1734" t="n">
        <v>13</v>
      </c>
      <c r="AL1734" t="n">
        <v>1</v>
      </c>
      <c r="AM1734" t="n">
        <v>1</v>
      </c>
      <c r="AN1734" t="n">
        <v>0</v>
      </c>
      <c r="AO1734" t="n">
        <v>0</v>
      </c>
      <c r="AP1734" t="inlineStr">
        <is>
          <t>No</t>
        </is>
      </c>
      <c r="AQ1734" t="inlineStr">
        <is>
          <t>Yes</t>
        </is>
      </c>
      <c r="AR1734">
        <f>HYPERLINK("http://catalog.hathitrust.org/Record/001591141","HathiTrust Record")</f>
        <v/>
      </c>
      <c r="AS1734">
        <f>HYPERLINK("https://creighton-primo.hosted.exlibrisgroup.com/primo-explore/search?tab=default_tab&amp;search_scope=EVERYTHING&amp;vid=01CRU&amp;lang=en_US&amp;offset=0&amp;query=any,contains,991004522329702656","Catalog Record")</f>
        <v/>
      </c>
      <c r="AT1734">
        <f>HYPERLINK("http://www.worldcat.org/oclc/4166742","WorldCat Record")</f>
        <v/>
      </c>
      <c r="AU1734" t="inlineStr">
        <is>
          <t>4723109:eng</t>
        </is>
      </c>
      <c r="AV1734" t="inlineStr">
        <is>
          <t>4166742</t>
        </is>
      </c>
      <c r="AW1734" t="inlineStr">
        <is>
          <t>991004522329702656</t>
        </is>
      </c>
      <c r="AX1734" t="inlineStr">
        <is>
          <t>991004522329702656</t>
        </is>
      </c>
      <c r="AY1734" t="inlineStr">
        <is>
          <t>2259833910002656</t>
        </is>
      </c>
      <c r="AZ1734" t="inlineStr">
        <is>
          <t>BOOK</t>
        </is>
      </c>
      <c r="BC1734" t="inlineStr">
        <is>
          <t>32285000832948</t>
        </is>
      </c>
      <c r="BD1734" t="inlineStr">
        <is>
          <t>893229464</t>
        </is>
      </c>
    </row>
    <row r="1735">
      <c r="A1735" t="inlineStr">
        <is>
          <t>No</t>
        </is>
      </c>
      <c r="B1735" t="inlineStr">
        <is>
          <t>BX2592 .Y68 1971</t>
        </is>
      </c>
      <c r="C1735" t="inlineStr">
        <is>
          <t>0                      BX 2592000Y  68          1971</t>
        </is>
      </c>
      <c r="D1735" t="inlineStr">
        <is>
          <t>The dissolution of the monasteries [by] Joyce Youings.</t>
        </is>
      </c>
      <c r="F1735" t="inlineStr">
        <is>
          <t>No</t>
        </is>
      </c>
      <c r="G1735" t="inlineStr">
        <is>
          <t>1</t>
        </is>
      </c>
      <c r="H1735" t="inlineStr">
        <is>
          <t>No</t>
        </is>
      </c>
      <c r="I1735" t="inlineStr">
        <is>
          <t>No</t>
        </is>
      </c>
      <c r="J1735" t="inlineStr">
        <is>
          <t>0</t>
        </is>
      </c>
      <c r="K1735" t="inlineStr">
        <is>
          <t>Youings, Joyce A.</t>
        </is>
      </c>
      <c r="L1735" t="inlineStr">
        <is>
          <t>London, Allen and Unwin; New York, Barnes and Noble, 1971.</t>
        </is>
      </c>
      <c r="M1735" t="inlineStr">
        <is>
          <t>1971</t>
        </is>
      </c>
      <c r="O1735" t="inlineStr">
        <is>
          <t>eng</t>
        </is>
      </c>
      <c r="P1735" t="inlineStr">
        <is>
          <t>enk</t>
        </is>
      </c>
      <c r="Q1735" t="inlineStr">
        <is>
          <t>Historical problems--studies and documents ; 14</t>
        </is>
      </c>
      <c r="R1735" t="inlineStr">
        <is>
          <t xml:space="preserve">BX </t>
        </is>
      </c>
      <c r="S1735" t="n">
        <v>4</v>
      </c>
      <c r="T1735" t="n">
        <v>4</v>
      </c>
      <c r="U1735" t="inlineStr">
        <is>
          <t>2008-01-08</t>
        </is>
      </c>
      <c r="V1735" t="inlineStr">
        <is>
          <t>2008-01-08</t>
        </is>
      </c>
      <c r="W1735" t="inlineStr">
        <is>
          <t>1991-11-07</t>
        </is>
      </c>
      <c r="X1735" t="inlineStr">
        <is>
          <t>1991-11-07</t>
        </is>
      </c>
      <c r="Y1735" t="n">
        <v>767</v>
      </c>
      <c r="Z1735" t="n">
        <v>538</v>
      </c>
      <c r="AA1735" t="n">
        <v>541</v>
      </c>
      <c r="AB1735" t="n">
        <v>3</v>
      </c>
      <c r="AC1735" t="n">
        <v>3</v>
      </c>
      <c r="AD1735" t="n">
        <v>32</v>
      </c>
      <c r="AE1735" t="n">
        <v>32</v>
      </c>
      <c r="AF1735" t="n">
        <v>11</v>
      </c>
      <c r="AG1735" t="n">
        <v>11</v>
      </c>
      <c r="AH1735" t="n">
        <v>9</v>
      </c>
      <c r="AI1735" t="n">
        <v>9</v>
      </c>
      <c r="AJ1735" t="n">
        <v>21</v>
      </c>
      <c r="AK1735" t="n">
        <v>21</v>
      </c>
      <c r="AL1735" t="n">
        <v>2</v>
      </c>
      <c r="AM1735" t="n">
        <v>2</v>
      </c>
      <c r="AN1735" t="n">
        <v>0</v>
      </c>
      <c r="AO1735" t="n">
        <v>0</v>
      </c>
      <c r="AP1735" t="inlineStr">
        <is>
          <t>No</t>
        </is>
      </c>
      <c r="AQ1735" t="inlineStr">
        <is>
          <t>Yes</t>
        </is>
      </c>
      <c r="AR1735">
        <f>HYPERLINK("http://catalog.hathitrust.org/Record/001591024","HathiTrust Record")</f>
        <v/>
      </c>
      <c r="AS1735">
        <f>HYPERLINK("https://creighton-primo.hosted.exlibrisgroup.com/primo-explore/search?tab=default_tab&amp;search_scope=EVERYTHING&amp;vid=01CRU&amp;lang=en_US&amp;offset=0&amp;query=any,contains,991002289629702656","Catalog Record")</f>
        <v/>
      </c>
      <c r="AT1735">
        <f>HYPERLINK("http://www.worldcat.org/oclc/312569","WorldCat Record")</f>
        <v/>
      </c>
      <c r="AU1735" t="inlineStr">
        <is>
          <t>1375698:eng</t>
        </is>
      </c>
      <c r="AV1735" t="inlineStr">
        <is>
          <t>312569</t>
        </is>
      </c>
      <c r="AW1735" t="inlineStr">
        <is>
          <t>991002289629702656</t>
        </is>
      </c>
      <c r="AX1735" t="inlineStr">
        <is>
          <t>991002289629702656</t>
        </is>
      </c>
      <c r="AY1735" t="inlineStr">
        <is>
          <t>2271167930002656</t>
        </is>
      </c>
      <c r="AZ1735" t="inlineStr">
        <is>
          <t>BOOK</t>
        </is>
      </c>
      <c r="BB1735" t="inlineStr">
        <is>
          <t>9780389044543</t>
        </is>
      </c>
      <c r="BC1735" t="inlineStr">
        <is>
          <t>32285000832955</t>
        </is>
      </c>
      <c r="BD1735" t="inlineStr">
        <is>
          <t>893892385</t>
        </is>
      </c>
    </row>
    <row r="1736">
      <c r="A1736" t="inlineStr">
        <is>
          <t>No</t>
        </is>
      </c>
      <c r="B1736" t="inlineStr">
        <is>
          <t>BX2596.C43 R87 1907</t>
        </is>
      </c>
      <c r="C1736" t="inlineStr">
        <is>
          <t>0                      BX 2596000C  43                 R  87          1907</t>
        </is>
      </c>
      <c r="D1736" t="inlineStr">
        <is>
          <t>The monk of fiction and the monk of fact / by Father Rudolph.</t>
        </is>
      </c>
      <c r="F1736" t="inlineStr">
        <is>
          <t>No</t>
        </is>
      </c>
      <c r="G1736" t="inlineStr">
        <is>
          <t>1</t>
        </is>
      </c>
      <c r="H1736" t="inlineStr">
        <is>
          <t>No</t>
        </is>
      </c>
      <c r="I1736" t="inlineStr">
        <is>
          <t>No</t>
        </is>
      </c>
      <c r="J1736" t="inlineStr">
        <is>
          <t>0</t>
        </is>
      </c>
      <c r="K1736" t="inlineStr">
        <is>
          <t>R̲udōḷph, Father.</t>
        </is>
      </c>
      <c r="L1736" t="inlineStr">
        <is>
          <t>Chester [Eng.] : Monastery, 1907.</t>
        </is>
      </c>
      <c r="M1736" t="inlineStr">
        <is>
          <t>1907</t>
        </is>
      </c>
      <c r="N1736" t="inlineStr">
        <is>
          <t>New and enlarged ed.</t>
        </is>
      </c>
      <c r="O1736" t="inlineStr">
        <is>
          <t>eng</t>
        </is>
      </c>
      <c r="P1736" t="inlineStr">
        <is>
          <t>enk</t>
        </is>
      </c>
      <c r="R1736" t="inlineStr">
        <is>
          <t xml:space="preserve">BX </t>
        </is>
      </c>
      <c r="S1736" t="n">
        <v>2</v>
      </c>
      <c r="T1736" t="n">
        <v>2</v>
      </c>
      <c r="U1736" t="inlineStr">
        <is>
          <t>1996-09-28</t>
        </is>
      </c>
      <c r="V1736" t="inlineStr">
        <is>
          <t>1996-09-28</t>
        </is>
      </c>
      <c r="W1736" t="inlineStr">
        <is>
          <t>1991-11-07</t>
        </is>
      </c>
      <c r="X1736" t="inlineStr">
        <is>
          <t>1991-11-07</t>
        </is>
      </c>
      <c r="Y1736" t="n">
        <v>7</v>
      </c>
      <c r="Z1736" t="n">
        <v>5</v>
      </c>
      <c r="AA1736" t="n">
        <v>5</v>
      </c>
      <c r="AB1736" t="n">
        <v>1</v>
      </c>
      <c r="AC1736" t="n">
        <v>1</v>
      </c>
      <c r="AD1736" t="n">
        <v>0</v>
      </c>
      <c r="AE1736" t="n">
        <v>0</v>
      </c>
      <c r="AF1736" t="n">
        <v>0</v>
      </c>
      <c r="AG1736" t="n">
        <v>0</v>
      </c>
      <c r="AH1736" t="n">
        <v>0</v>
      </c>
      <c r="AI1736" t="n">
        <v>0</v>
      </c>
      <c r="AJ1736" t="n">
        <v>0</v>
      </c>
      <c r="AK1736" t="n">
        <v>0</v>
      </c>
      <c r="AL1736" t="n">
        <v>0</v>
      </c>
      <c r="AM1736" t="n">
        <v>0</v>
      </c>
      <c r="AN1736" t="n">
        <v>0</v>
      </c>
      <c r="AO1736" t="n">
        <v>0</v>
      </c>
      <c r="AP1736" t="inlineStr">
        <is>
          <t>No</t>
        </is>
      </c>
      <c r="AQ1736" t="inlineStr">
        <is>
          <t>No</t>
        </is>
      </c>
      <c r="AS1736">
        <f>HYPERLINK("https://creighton-primo.hosted.exlibrisgroup.com/primo-explore/search?tab=default_tab&amp;search_scope=EVERYTHING&amp;vid=01CRU&amp;lang=en_US&amp;offset=0&amp;query=any,contains,991001134819702656","Catalog Record")</f>
        <v/>
      </c>
      <c r="AT1736">
        <f>HYPERLINK("http://www.worldcat.org/oclc/16706649","WorldCat Record")</f>
        <v/>
      </c>
      <c r="AU1736" t="inlineStr">
        <is>
          <t>13200780:eng</t>
        </is>
      </c>
      <c r="AV1736" t="inlineStr">
        <is>
          <t>16706649</t>
        </is>
      </c>
      <c r="AW1736" t="inlineStr">
        <is>
          <t>991001134819702656</t>
        </is>
      </c>
      <c r="AX1736" t="inlineStr">
        <is>
          <t>991001134819702656</t>
        </is>
      </c>
      <c r="AY1736" t="inlineStr">
        <is>
          <t>2258617550002656</t>
        </is>
      </c>
      <c r="AZ1736" t="inlineStr">
        <is>
          <t>BOOK</t>
        </is>
      </c>
      <c r="BC1736" t="inlineStr">
        <is>
          <t>32285000832963</t>
        </is>
      </c>
      <c r="BD1736" t="inlineStr">
        <is>
          <t>893346271</t>
        </is>
      </c>
    </row>
    <row r="1737">
      <c r="A1737" t="inlineStr">
        <is>
          <t>No</t>
        </is>
      </c>
      <c r="B1737" t="inlineStr">
        <is>
          <t>BX2600 .B72 1974</t>
        </is>
      </c>
      <c r="C1737" t="inlineStr">
        <is>
          <t>0                      BX 2600000B  72          1974</t>
        </is>
      </c>
      <c r="D1737" t="inlineStr">
        <is>
          <t>The dissolution of the religious orders in Ireland under Henry VIII.</t>
        </is>
      </c>
      <c r="F1737" t="inlineStr">
        <is>
          <t>No</t>
        </is>
      </c>
      <c r="G1737" t="inlineStr">
        <is>
          <t>1</t>
        </is>
      </c>
      <c r="H1737" t="inlineStr">
        <is>
          <t>No</t>
        </is>
      </c>
      <c r="I1737" t="inlineStr">
        <is>
          <t>No</t>
        </is>
      </c>
      <c r="J1737" t="inlineStr">
        <is>
          <t>0</t>
        </is>
      </c>
      <c r="K1737" t="inlineStr">
        <is>
          <t>Bradshaw, Brendan.</t>
        </is>
      </c>
      <c r="L1737" t="inlineStr">
        <is>
          <t>[London ; New York] : Cambridge University Press, [1974]</t>
        </is>
      </c>
      <c r="M1737" t="inlineStr">
        <is>
          <t>1974</t>
        </is>
      </c>
      <c r="O1737" t="inlineStr">
        <is>
          <t>eng</t>
        </is>
      </c>
      <c r="P1737" t="inlineStr">
        <is>
          <t>enk</t>
        </is>
      </c>
      <c r="R1737" t="inlineStr">
        <is>
          <t xml:space="preserve">BX </t>
        </is>
      </c>
      <c r="S1737" t="n">
        <v>4</v>
      </c>
      <c r="T1737" t="n">
        <v>4</v>
      </c>
      <c r="U1737" t="inlineStr">
        <is>
          <t>2008-01-08</t>
        </is>
      </c>
      <c r="V1737" t="inlineStr">
        <is>
          <t>2008-01-08</t>
        </is>
      </c>
      <c r="W1737" t="inlineStr">
        <is>
          <t>1990-03-20</t>
        </is>
      </c>
      <c r="X1737" t="inlineStr">
        <is>
          <t>1990-03-20</t>
        </is>
      </c>
      <c r="Y1737" t="n">
        <v>599</v>
      </c>
      <c r="Z1737" t="n">
        <v>443</v>
      </c>
      <c r="AA1737" t="n">
        <v>448</v>
      </c>
      <c r="AB1737" t="n">
        <v>4</v>
      </c>
      <c r="AC1737" t="n">
        <v>4</v>
      </c>
      <c r="AD1737" t="n">
        <v>27</v>
      </c>
      <c r="AE1737" t="n">
        <v>28</v>
      </c>
      <c r="AF1737" t="n">
        <v>8</v>
      </c>
      <c r="AG1737" t="n">
        <v>9</v>
      </c>
      <c r="AH1737" t="n">
        <v>8</v>
      </c>
      <c r="AI1737" t="n">
        <v>8</v>
      </c>
      <c r="AJ1737" t="n">
        <v>16</v>
      </c>
      <c r="AK1737" t="n">
        <v>16</v>
      </c>
      <c r="AL1737" t="n">
        <v>3</v>
      </c>
      <c r="AM1737" t="n">
        <v>3</v>
      </c>
      <c r="AN1737" t="n">
        <v>0</v>
      </c>
      <c r="AO1737" t="n">
        <v>0</v>
      </c>
      <c r="AP1737" t="inlineStr">
        <is>
          <t>No</t>
        </is>
      </c>
      <c r="AQ1737" t="inlineStr">
        <is>
          <t>No</t>
        </is>
      </c>
      <c r="AS1737">
        <f>HYPERLINK("https://creighton-primo.hosted.exlibrisgroup.com/primo-explore/search?tab=default_tab&amp;search_scope=EVERYTHING&amp;vid=01CRU&amp;lang=en_US&amp;offset=0&amp;query=any,contains,991003483319702656","Catalog Record")</f>
        <v/>
      </c>
      <c r="AT1737">
        <f>HYPERLINK("http://www.worldcat.org/oclc/1030970","WorldCat Record")</f>
        <v/>
      </c>
      <c r="AU1737" t="inlineStr">
        <is>
          <t>1974693:eng</t>
        </is>
      </c>
      <c r="AV1737" t="inlineStr">
        <is>
          <t>1030970</t>
        </is>
      </c>
      <c r="AW1737" t="inlineStr">
        <is>
          <t>991003483319702656</t>
        </is>
      </c>
      <c r="AX1737" t="inlineStr">
        <is>
          <t>991003483319702656</t>
        </is>
      </c>
      <c r="AY1737" t="inlineStr">
        <is>
          <t>2269481400002656</t>
        </is>
      </c>
      <c r="AZ1737" t="inlineStr">
        <is>
          <t>BOOK</t>
        </is>
      </c>
      <c r="BB1737" t="inlineStr">
        <is>
          <t>9780521203425</t>
        </is>
      </c>
      <c r="BC1737" t="inlineStr">
        <is>
          <t>32285000087428</t>
        </is>
      </c>
      <c r="BD1737" t="inlineStr">
        <is>
          <t>893441327</t>
        </is>
      </c>
    </row>
    <row r="1738">
      <c r="A1738" t="inlineStr">
        <is>
          <t>No</t>
        </is>
      </c>
      <c r="B1738" t="inlineStr">
        <is>
          <t>BX2613 .E4 1962</t>
        </is>
      </c>
      <c r="C1738" t="inlineStr">
        <is>
          <t>0                      BX 2613000E  4           1962</t>
        </is>
      </c>
      <c r="D1738" t="inlineStr">
        <is>
          <t>The friars in medieval France : a catalogue of French mendicant convents, 1200-1550 / by Richard W. Emery.</t>
        </is>
      </c>
      <c r="F1738" t="inlineStr">
        <is>
          <t>No</t>
        </is>
      </c>
      <c r="G1738" t="inlineStr">
        <is>
          <t>1</t>
        </is>
      </c>
      <c r="H1738" t="inlineStr">
        <is>
          <t>No</t>
        </is>
      </c>
      <c r="I1738" t="inlineStr">
        <is>
          <t>No</t>
        </is>
      </c>
      <c r="J1738" t="inlineStr">
        <is>
          <t>0</t>
        </is>
      </c>
      <c r="K1738" t="inlineStr">
        <is>
          <t>Emery, Richard W. (Richard Wilder), 1912-1989.</t>
        </is>
      </c>
      <c r="L1738" t="inlineStr">
        <is>
          <t>New York : Columbia University Press, 1962.</t>
        </is>
      </c>
      <c r="M1738" t="inlineStr">
        <is>
          <t>1962</t>
        </is>
      </c>
      <c r="O1738" t="inlineStr">
        <is>
          <t>eng</t>
        </is>
      </c>
      <c r="P1738" t="inlineStr">
        <is>
          <t>___</t>
        </is>
      </c>
      <c r="R1738" t="inlineStr">
        <is>
          <t xml:space="preserve">BX </t>
        </is>
      </c>
      <c r="S1738" t="n">
        <v>5</v>
      </c>
      <c r="T1738" t="n">
        <v>5</v>
      </c>
      <c r="U1738" t="inlineStr">
        <is>
          <t>2003-05-07</t>
        </is>
      </c>
      <c r="V1738" t="inlineStr">
        <is>
          <t>2003-05-07</t>
        </is>
      </c>
      <c r="W1738" t="inlineStr">
        <is>
          <t>1991-11-07</t>
        </is>
      </c>
      <c r="X1738" t="inlineStr">
        <is>
          <t>1991-11-07</t>
        </is>
      </c>
      <c r="Y1738" t="n">
        <v>345</v>
      </c>
      <c r="Z1738" t="n">
        <v>275</v>
      </c>
      <c r="AA1738" t="n">
        <v>282</v>
      </c>
      <c r="AB1738" t="n">
        <v>3</v>
      </c>
      <c r="AC1738" t="n">
        <v>3</v>
      </c>
      <c r="AD1738" t="n">
        <v>22</v>
      </c>
      <c r="AE1738" t="n">
        <v>22</v>
      </c>
      <c r="AF1738" t="n">
        <v>5</v>
      </c>
      <c r="AG1738" t="n">
        <v>5</v>
      </c>
      <c r="AH1738" t="n">
        <v>6</v>
      </c>
      <c r="AI1738" t="n">
        <v>6</v>
      </c>
      <c r="AJ1738" t="n">
        <v>14</v>
      </c>
      <c r="AK1738" t="n">
        <v>14</v>
      </c>
      <c r="AL1738" t="n">
        <v>2</v>
      </c>
      <c r="AM1738" t="n">
        <v>2</v>
      </c>
      <c r="AN1738" t="n">
        <v>0</v>
      </c>
      <c r="AO1738" t="n">
        <v>0</v>
      </c>
      <c r="AP1738" t="inlineStr">
        <is>
          <t>Yes</t>
        </is>
      </c>
      <c r="AQ1738" t="inlineStr">
        <is>
          <t>No</t>
        </is>
      </c>
      <c r="AR1738">
        <f>HYPERLINK("http://catalog.hathitrust.org/Record/001591055","HathiTrust Record")</f>
        <v/>
      </c>
      <c r="AS1738">
        <f>HYPERLINK("https://creighton-primo.hosted.exlibrisgroup.com/primo-explore/search?tab=default_tab&amp;search_scope=EVERYTHING&amp;vid=01CRU&amp;lang=en_US&amp;offset=0&amp;query=any,contains,991002259089702656","Catalog Record")</f>
        <v/>
      </c>
      <c r="AT1738">
        <f>HYPERLINK("http://www.worldcat.org/oclc/303352","WorldCat Record")</f>
        <v/>
      </c>
      <c r="AU1738" t="inlineStr">
        <is>
          <t>308761825:eng</t>
        </is>
      </c>
      <c r="AV1738" t="inlineStr">
        <is>
          <t>303352</t>
        </is>
      </c>
      <c r="AW1738" t="inlineStr">
        <is>
          <t>991002259089702656</t>
        </is>
      </c>
      <c r="AX1738" t="inlineStr">
        <is>
          <t>991002259089702656</t>
        </is>
      </c>
      <c r="AY1738" t="inlineStr">
        <is>
          <t>2272651730002656</t>
        </is>
      </c>
      <c r="AZ1738" t="inlineStr">
        <is>
          <t>BOOK</t>
        </is>
      </c>
      <c r="BC1738" t="inlineStr">
        <is>
          <t>32285000832997</t>
        </is>
      </c>
      <c r="BD1738" t="inlineStr">
        <is>
          <t>893504192</t>
        </is>
      </c>
    </row>
    <row r="1739">
      <c r="A1739" t="inlineStr">
        <is>
          <t>No</t>
        </is>
      </c>
      <c r="B1739" t="inlineStr">
        <is>
          <t>BX2615.C63 H8 1968</t>
        </is>
      </c>
      <c r="C1739" t="inlineStr">
        <is>
          <t>0                      BX 2615000C  63                 H  8           1968</t>
        </is>
      </c>
      <c r="D1739" t="inlineStr">
        <is>
          <t>Cluny under Saint Hugh, 1049-1109.</t>
        </is>
      </c>
      <c r="F1739" t="inlineStr">
        <is>
          <t>No</t>
        </is>
      </c>
      <c r="G1739" t="inlineStr">
        <is>
          <t>1</t>
        </is>
      </c>
      <c r="H1739" t="inlineStr">
        <is>
          <t>No</t>
        </is>
      </c>
      <c r="I1739" t="inlineStr">
        <is>
          <t>No</t>
        </is>
      </c>
      <c r="J1739" t="inlineStr">
        <is>
          <t>0</t>
        </is>
      </c>
      <c r="K1739" t="inlineStr">
        <is>
          <t>Hunt, Noreen.</t>
        </is>
      </c>
      <c r="L1739" t="inlineStr">
        <is>
          <t>Notre Dame, Ind.] : University of Notre Dame Press, [1968, c1967]</t>
        </is>
      </c>
      <c r="M1739" t="inlineStr">
        <is>
          <t>1968</t>
        </is>
      </c>
      <c r="N1739" t="inlineStr">
        <is>
          <t>[1st American ed.</t>
        </is>
      </c>
      <c r="O1739" t="inlineStr">
        <is>
          <t>eng</t>
        </is>
      </c>
      <c r="P1739" t="inlineStr">
        <is>
          <t>inu</t>
        </is>
      </c>
      <c r="R1739" t="inlineStr">
        <is>
          <t xml:space="preserve">BX </t>
        </is>
      </c>
      <c r="S1739" t="n">
        <v>5</v>
      </c>
      <c r="T1739" t="n">
        <v>5</v>
      </c>
      <c r="U1739" t="inlineStr">
        <is>
          <t>2010-03-08</t>
        </is>
      </c>
      <c r="V1739" t="inlineStr">
        <is>
          <t>2010-03-08</t>
        </is>
      </c>
      <c r="W1739" t="inlineStr">
        <is>
          <t>1991-11-07</t>
        </is>
      </c>
      <c r="X1739" t="inlineStr">
        <is>
          <t>1991-11-07</t>
        </is>
      </c>
      <c r="Y1739" t="n">
        <v>374</v>
      </c>
      <c r="Z1739" t="n">
        <v>344</v>
      </c>
      <c r="AA1739" t="n">
        <v>462</v>
      </c>
      <c r="AB1739" t="n">
        <v>5</v>
      </c>
      <c r="AC1739" t="n">
        <v>6</v>
      </c>
      <c r="AD1739" t="n">
        <v>25</v>
      </c>
      <c r="AE1739" t="n">
        <v>36</v>
      </c>
      <c r="AF1739" t="n">
        <v>12</v>
      </c>
      <c r="AG1739" t="n">
        <v>12</v>
      </c>
      <c r="AH1739" t="n">
        <v>5</v>
      </c>
      <c r="AI1739" t="n">
        <v>8</v>
      </c>
      <c r="AJ1739" t="n">
        <v>14</v>
      </c>
      <c r="AK1739" t="n">
        <v>22</v>
      </c>
      <c r="AL1739" t="n">
        <v>3</v>
      </c>
      <c r="AM1739" t="n">
        <v>4</v>
      </c>
      <c r="AN1739" t="n">
        <v>0</v>
      </c>
      <c r="AO1739" t="n">
        <v>0</v>
      </c>
      <c r="AP1739" t="inlineStr">
        <is>
          <t>No</t>
        </is>
      </c>
      <c r="AQ1739" t="inlineStr">
        <is>
          <t>Yes</t>
        </is>
      </c>
      <c r="AR1739">
        <f>HYPERLINK("http://catalog.hathitrust.org/Record/007135228","HathiTrust Record")</f>
        <v/>
      </c>
      <c r="AS1739">
        <f>HYPERLINK("https://creighton-primo.hosted.exlibrisgroup.com/primo-explore/search?tab=default_tab&amp;search_scope=EVERYTHING&amp;vid=01CRU&amp;lang=en_US&amp;offset=0&amp;query=any,contains,991002863719702656","Catalog Record")</f>
        <v/>
      </c>
      <c r="AT1739">
        <f>HYPERLINK("http://www.worldcat.org/oclc/494954","WorldCat Record")</f>
        <v/>
      </c>
      <c r="AU1739" t="inlineStr">
        <is>
          <t>155324:eng</t>
        </is>
      </c>
      <c r="AV1739" t="inlineStr">
        <is>
          <t>494954</t>
        </is>
      </c>
      <c r="AW1739" t="inlineStr">
        <is>
          <t>991002863719702656</t>
        </is>
      </c>
      <c r="AX1739" t="inlineStr">
        <is>
          <t>991002863719702656</t>
        </is>
      </c>
      <c r="AY1739" t="inlineStr">
        <is>
          <t>2255785990002656</t>
        </is>
      </c>
      <c r="AZ1739" t="inlineStr">
        <is>
          <t>BOOK</t>
        </is>
      </c>
      <c r="BC1739" t="inlineStr">
        <is>
          <t>32285000833003</t>
        </is>
      </c>
      <c r="BD1739" t="inlineStr">
        <is>
          <t>893517850</t>
        </is>
      </c>
    </row>
    <row r="1740">
      <c r="A1740" t="inlineStr">
        <is>
          <t>No</t>
        </is>
      </c>
      <c r="B1740" t="inlineStr">
        <is>
          <t>BX2615.C63 I5613 2002</t>
        </is>
      </c>
      <c r="C1740" t="inlineStr">
        <is>
          <t>0                      BX 2615000C  63                 I  5613        2002</t>
        </is>
      </c>
      <c r="D1740" t="inlineStr">
        <is>
          <t>Order &amp; exclusion : Cluny and Christendom face heresy, Judaism, and Islam (1000-1150) / Dominique Iogna-Prat ; translated from the French by Graham Robert Edwards ; foreword by Barbara H. Rosenwein.</t>
        </is>
      </c>
      <c r="F1740" t="inlineStr">
        <is>
          <t>No</t>
        </is>
      </c>
      <c r="G1740" t="inlineStr">
        <is>
          <t>1</t>
        </is>
      </c>
      <c r="H1740" t="inlineStr">
        <is>
          <t>No</t>
        </is>
      </c>
      <c r="I1740" t="inlineStr">
        <is>
          <t>No</t>
        </is>
      </c>
      <c r="J1740" t="inlineStr">
        <is>
          <t>0</t>
        </is>
      </c>
      <c r="K1740" t="inlineStr">
        <is>
          <t>Iogna-Prat, Dominique.</t>
        </is>
      </c>
      <c r="L1740" t="inlineStr">
        <is>
          <t>Ithaca, N.Y. : Cornell University Press, 2002.</t>
        </is>
      </c>
      <c r="M1740" t="inlineStr">
        <is>
          <t>2002</t>
        </is>
      </c>
      <c r="O1740" t="inlineStr">
        <is>
          <t>eng</t>
        </is>
      </c>
      <c r="P1740" t="inlineStr">
        <is>
          <t>nyu</t>
        </is>
      </c>
      <c r="Q1740" t="inlineStr">
        <is>
          <t>Conjunctions of religion &amp; power in the medieval past</t>
        </is>
      </c>
      <c r="R1740" t="inlineStr">
        <is>
          <t xml:space="preserve">BX </t>
        </is>
      </c>
      <c r="S1740" t="n">
        <v>8</v>
      </c>
      <c r="T1740" t="n">
        <v>8</v>
      </c>
      <c r="U1740" t="inlineStr">
        <is>
          <t>2010-09-28</t>
        </is>
      </c>
      <c r="V1740" t="inlineStr">
        <is>
          <t>2010-09-28</t>
        </is>
      </c>
      <c r="W1740" t="inlineStr">
        <is>
          <t>2003-10-15</t>
        </is>
      </c>
      <c r="X1740" t="inlineStr">
        <is>
          <t>2003-10-15</t>
        </is>
      </c>
      <c r="Y1740" t="n">
        <v>381</v>
      </c>
      <c r="Z1740" t="n">
        <v>295</v>
      </c>
      <c r="AA1740" t="n">
        <v>307</v>
      </c>
      <c r="AB1740" t="n">
        <v>2</v>
      </c>
      <c r="AC1740" t="n">
        <v>2</v>
      </c>
      <c r="AD1740" t="n">
        <v>29</v>
      </c>
      <c r="AE1740" t="n">
        <v>29</v>
      </c>
      <c r="AF1740" t="n">
        <v>11</v>
      </c>
      <c r="AG1740" t="n">
        <v>11</v>
      </c>
      <c r="AH1740" t="n">
        <v>8</v>
      </c>
      <c r="AI1740" t="n">
        <v>8</v>
      </c>
      <c r="AJ1740" t="n">
        <v>17</v>
      </c>
      <c r="AK1740" t="n">
        <v>17</v>
      </c>
      <c r="AL1740" t="n">
        <v>1</v>
      </c>
      <c r="AM1740" t="n">
        <v>1</v>
      </c>
      <c r="AN1740" t="n">
        <v>0</v>
      </c>
      <c r="AO1740" t="n">
        <v>0</v>
      </c>
      <c r="AP1740" t="inlineStr">
        <is>
          <t>No</t>
        </is>
      </c>
      <c r="AQ1740" t="inlineStr">
        <is>
          <t>No</t>
        </is>
      </c>
      <c r="AS1740">
        <f>HYPERLINK("https://creighton-primo.hosted.exlibrisgroup.com/primo-explore/search?tab=default_tab&amp;search_scope=EVERYTHING&amp;vid=01CRU&amp;lang=en_US&amp;offset=0&amp;query=any,contains,991004115599702656","Catalog Record")</f>
        <v/>
      </c>
      <c r="AT1740">
        <f>HYPERLINK("http://www.worldcat.org/oclc/50198289","WorldCat Record")</f>
        <v/>
      </c>
      <c r="AU1740" t="inlineStr">
        <is>
          <t>375382504:eng</t>
        </is>
      </c>
      <c r="AV1740" t="inlineStr">
        <is>
          <t>50198289</t>
        </is>
      </c>
      <c r="AW1740" t="inlineStr">
        <is>
          <t>991004115599702656</t>
        </is>
      </c>
      <c r="AX1740" t="inlineStr">
        <is>
          <t>991004115599702656</t>
        </is>
      </c>
      <c r="AY1740" t="inlineStr">
        <is>
          <t>2272374760002656</t>
        </is>
      </c>
      <c r="AZ1740" t="inlineStr">
        <is>
          <t>BOOK</t>
        </is>
      </c>
      <c r="BB1740" t="inlineStr">
        <is>
          <t>9780801437083</t>
        </is>
      </c>
      <c r="BC1740" t="inlineStr">
        <is>
          <t>32285004788682</t>
        </is>
      </c>
      <c r="BD1740" t="inlineStr">
        <is>
          <t>893228947</t>
        </is>
      </c>
    </row>
    <row r="1741">
      <c r="A1741" t="inlineStr">
        <is>
          <t>No</t>
        </is>
      </c>
      <c r="B1741" t="inlineStr">
        <is>
          <t>BX2615.C63 R68 1989</t>
        </is>
      </c>
      <c r="C1741" t="inlineStr">
        <is>
          <t>0                      BX 2615000C  63                 R  68          1989</t>
        </is>
      </c>
      <c r="D1741" t="inlineStr">
        <is>
          <t>To be the neighbor of Saint Peter : the social meaning of Cluny's property, 909-1049 / Barbara H. Rosenwein.</t>
        </is>
      </c>
      <c r="F1741" t="inlineStr">
        <is>
          <t>No</t>
        </is>
      </c>
      <c r="G1741" t="inlineStr">
        <is>
          <t>1</t>
        </is>
      </c>
      <c r="H1741" t="inlineStr">
        <is>
          <t>No</t>
        </is>
      </c>
      <c r="I1741" t="inlineStr">
        <is>
          <t>No</t>
        </is>
      </c>
      <c r="J1741" t="inlineStr">
        <is>
          <t>0</t>
        </is>
      </c>
      <c r="K1741" t="inlineStr">
        <is>
          <t>Rosenwein, Barbara H.</t>
        </is>
      </c>
      <c r="L1741" t="inlineStr">
        <is>
          <t>Ithaca : Cornell University Press, 1989.</t>
        </is>
      </c>
      <c r="M1741" t="inlineStr">
        <is>
          <t>1989</t>
        </is>
      </c>
      <c r="O1741" t="inlineStr">
        <is>
          <t>eng</t>
        </is>
      </c>
      <c r="P1741" t="inlineStr">
        <is>
          <t>nyu</t>
        </is>
      </c>
      <c r="R1741" t="inlineStr">
        <is>
          <t xml:space="preserve">BX </t>
        </is>
      </c>
      <c r="S1741" t="n">
        <v>2</v>
      </c>
      <c r="T1741" t="n">
        <v>2</v>
      </c>
      <c r="U1741" t="inlineStr">
        <is>
          <t>2006-04-11</t>
        </is>
      </c>
      <c r="V1741" t="inlineStr">
        <is>
          <t>2006-04-11</t>
        </is>
      </c>
      <c r="W1741" t="inlineStr">
        <is>
          <t>1992-06-22</t>
        </is>
      </c>
      <c r="X1741" t="inlineStr">
        <is>
          <t>1992-06-22</t>
        </is>
      </c>
      <c r="Y1741" t="n">
        <v>390</v>
      </c>
      <c r="Z1741" t="n">
        <v>302</v>
      </c>
      <c r="AA1741" t="n">
        <v>303</v>
      </c>
      <c r="AB1741" t="n">
        <v>3</v>
      </c>
      <c r="AC1741" t="n">
        <v>3</v>
      </c>
      <c r="AD1741" t="n">
        <v>18</v>
      </c>
      <c r="AE1741" t="n">
        <v>18</v>
      </c>
      <c r="AF1741" t="n">
        <v>2</v>
      </c>
      <c r="AG1741" t="n">
        <v>2</v>
      </c>
      <c r="AH1741" t="n">
        <v>5</v>
      </c>
      <c r="AI1741" t="n">
        <v>5</v>
      </c>
      <c r="AJ1741" t="n">
        <v>13</v>
      </c>
      <c r="AK1741" t="n">
        <v>13</v>
      </c>
      <c r="AL1741" t="n">
        <v>2</v>
      </c>
      <c r="AM1741" t="n">
        <v>2</v>
      </c>
      <c r="AN1741" t="n">
        <v>0</v>
      </c>
      <c r="AO1741" t="n">
        <v>0</v>
      </c>
      <c r="AP1741" t="inlineStr">
        <is>
          <t>No</t>
        </is>
      </c>
      <c r="AQ1741" t="inlineStr">
        <is>
          <t>No</t>
        </is>
      </c>
      <c r="AS1741">
        <f>HYPERLINK("https://creighton-primo.hosted.exlibrisgroup.com/primo-explore/search?tab=default_tab&amp;search_scope=EVERYTHING&amp;vid=01CRU&amp;lang=en_US&amp;offset=0&amp;query=any,contains,991001380559702656","Catalog Record")</f>
        <v/>
      </c>
      <c r="AT1741">
        <f>HYPERLINK("http://www.worldcat.org/oclc/18681902","WorldCat Record")</f>
        <v/>
      </c>
      <c r="AU1741" t="inlineStr">
        <is>
          <t>836734702:eng</t>
        </is>
      </c>
      <c r="AV1741" t="inlineStr">
        <is>
          <t>18681902</t>
        </is>
      </c>
      <c r="AW1741" t="inlineStr">
        <is>
          <t>991001380559702656</t>
        </is>
      </c>
      <c r="AX1741" t="inlineStr">
        <is>
          <t>991001380559702656</t>
        </is>
      </c>
      <c r="AY1741" t="inlineStr">
        <is>
          <t>2265999160002656</t>
        </is>
      </c>
      <c r="AZ1741" t="inlineStr">
        <is>
          <t>BOOK</t>
        </is>
      </c>
      <c r="BB1741" t="inlineStr">
        <is>
          <t>9780801422065</t>
        </is>
      </c>
      <c r="BC1741" t="inlineStr">
        <is>
          <t>32285001129120</t>
        </is>
      </c>
      <c r="BD1741" t="inlineStr">
        <is>
          <t>893256209</t>
        </is>
      </c>
    </row>
    <row r="1742">
      <c r="A1742" t="inlineStr">
        <is>
          <t>No</t>
        </is>
      </c>
      <c r="B1742" t="inlineStr">
        <is>
          <t>BX2624.P3 C64 1985</t>
        </is>
      </c>
      <c r="C1742" t="inlineStr">
        <is>
          <t>0                      BX 2624000P  3                  C  64          1985</t>
        </is>
      </c>
      <c r="D1742" t="inlineStr">
        <is>
          <t>Italian Benedictine scholars and the Reformation : the Congregation of Santa Giustina of Padua / Barry Collett.</t>
        </is>
      </c>
      <c r="F1742" t="inlineStr">
        <is>
          <t>No</t>
        </is>
      </c>
      <c r="G1742" t="inlineStr">
        <is>
          <t>1</t>
        </is>
      </c>
      <c r="H1742" t="inlineStr">
        <is>
          <t>No</t>
        </is>
      </c>
      <c r="I1742" t="inlineStr">
        <is>
          <t>No</t>
        </is>
      </c>
      <c r="J1742" t="inlineStr">
        <is>
          <t>0</t>
        </is>
      </c>
      <c r="K1742" t="inlineStr">
        <is>
          <t>Collett, Barry.</t>
        </is>
      </c>
      <c r="L1742" t="inlineStr">
        <is>
          <t>Oxford [Oxfordshire] : Clarendon Press ; New York : Oxford University Press, 1985.</t>
        </is>
      </c>
      <c r="M1742" t="inlineStr">
        <is>
          <t>1985</t>
        </is>
      </c>
      <c r="O1742" t="inlineStr">
        <is>
          <t>eng</t>
        </is>
      </c>
      <c r="P1742" t="inlineStr">
        <is>
          <t>enk</t>
        </is>
      </c>
      <c r="Q1742" t="inlineStr">
        <is>
          <t>Oxford historical monographs</t>
        </is>
      </c>
      <c r="R1742" t="inlineStr">
        <is>
          <t xml:space="preserve">BX </t>
        </is>
      </c>
      <c r="S1742" t="n">
        <v>0</v>
      </c>
      <c r="T1742" t="n">
        <v>0</v>
      </c>
      <c r="U1742" t="inlineStr">
        <is>
          <t>2010-07-12</t>
        </is>
      </c>
      <c r="V1742" t="inlineStr">
        <is>
          <t>2010-07-12</t>
        </is>
      </c>
      <c r="W1742" t="inlineStr">
        <is>
          <t>1990-03-13</t>
        </is>
      </c>
      <c r="X1742" t="inlineStr">
        <is>
          <t>1990-03-13</t>
        </is>
      </c>
      <c r="Y1742" t="n">
        <v>384</v>
      </c>
      <c r="Z1742" t="n">
        <v>286</v>
      </c>
      <c r="AA1742" t="n">
        <v>295</v>
      </c>
      <c r="AB1742" t="n">
        <v>2</v>
      </c>
      <c r="AC1742" t="n">
        <v>2</v>
      </c>
      <c r="AD1742" t="n">
        <v>18</v>
      </c>
      <c r="AE1742" t="n">
        <v>18</v>
      </c>
      <c r="AF1742" t="n">
        <v>3</v>
      </c>
      <c r="AG1742" t="n">
        <v>3</v>
      </c>
      <c r="AH1742" t="n">
        <v>8</v>
      </c>
      <c r="AI1742" t="n">
        <v>8</v>
      </c>
      <c r="AJ1742" t="n">
        <v>12</v>
      </c>
      <c r="AK1742" t="n">
        <v>12</v>
      </c>
      <c r="AL1742" t="n">
        <v>0</v>
      </c>
      <c r="AM1742" t="n">
        <v>0</v>
      </c>
      <c r="AN1742" t="n">
        <v>0</v>
      </c>
      <c r="AO1742" t="n">
        <v>0</v>
      </c>
      <c r="AP1742" t="inlineStr">
        <is>
          <t>No</t>
        </is>
      </c>
      <c r="AQ1742" t="inlineStr">
        <is>
          <t>No</t>
        </is>
      </c>
      <c r="AS1742">
        <f>HYPERLINK("https://creighton-primo.hosted.exlibrisgroup.com/primo-explore/search?tab=default_tab&amp;search_scope=EVERYTHING&amp;vid=01CRU&amp;lang=en_US&amp;offset=0&amp;query=any,contains,991000636129702656","Catalog Record")</f>
        <v/>
      </c>
      <c r="AT1742">
        <f>HYPERLINK("http://www.worldcat.org/oclc/12081472","WorldCat Record")</f>
        <v/>
      </c>
      <c r="AU1742" t="inlineStr">
        <is>
          <t>836713617:eng</t>
        </is>
      </c>
      <c r="AV1742" t="inlineStr">
        <is>
          <t>12081472</t>
        </is>
      </c>
      <c r="AW1742" t="inlineStr">
        <is>
          <t>991000636129702656</t>
        </is>
      </c>
      <c r="AX1742" t="inlineStr">
        <is>
          <t>991000636129702656</t>
        </is>
      </c>
      <c r="AY1742" t="inlineStr">
        <is>
          <t>2266222600002656</t>
        </is>
      </c>
      <c r="AZ1742" t="inlineStr">
        <is>
          <t>BOOK</t>
        </is>
      </c>
      <c r="BB1742" t="inlineStr">
        <is>
          <t>9780198229346</t>
        </is>
      </c>
      <c r="BC1742" t="inlineStr">
        <is>
          <t>32285000079698</t>
        </is>
      </c>
      <c r="BD1742" t="inlineStr">
        <is>
          <t>893802954</t>
        </is>
      </c>
    </row>
    <row r="1743">
      <c r="A1743" t="inlineStr">
        <is>
          <t>No</t>
        </is>
      </c>
      <c r="B1743" t="inlineStr">
        <is>
          <t>BX264 .F11 1923</t>
        </is>
      </c>
      <c r="C1743" t="inlineStr">
        <is>
          <t>0                      BX 0264000F  11          1923</t>
        </is>
      </c>
      <c r="D1743" t="inlineStr">
        <is>
          <t>The creator and the creature ; or, The wonders of divine love / by Frederick William Faber, D. D. Newly edited and with an introduction by John C. Reville, S. J.</t>
        </is>
      </c>
      <c r="F1743" t="inlineStr">
        <is>
          <t>No</t>
        </is>
      </c>
      <c r="G1743" t="inlineStr">
        <is>
          <t>1</t>
        </is>
      </c>
      <c r="H1743" t="inlineStr">
        <is>
          <t>No</t>
        </is>
      </c>
      <c r="I1743" t="inlineStr">
        <is>
          <t>No</t>
        </is>
      </c>
      <c r="J1743" t="inlineStr">
        <is>
          <t>0</t>
        </is>
      </c>
      <c r="K1743" t="inlineStr">
        <is>
          <t>Faber, Frederick William, 1814-1863.</t>
        </is>
      </c>
      <c r="L1743" t="inlineStr">
        <is>
          <t>New York : Joseph F. Wagner, [1923]</t>
        </is>
      </c>
      <c r="M1743" t="inlineStr">
        <is>
          <t>1923</t>
        </is>
      </c>
      <c r="O1743" t="inlineStr">
        <is>
          <t>eng</t>
        </is>
      </c>
      <c r="P1743" t="inlineStr">
        <is>
          <t>nyu</t>
        </is>
      </c>
      <c r="Q1743" t="inlineStr">
        <is>
          <t>My bookcase series</t>
        </is>
      </c>
      <c r="R1743" t="inlineStr">
        <is>
          <t xml:space="preserve">BX </t>
        </is>
      </c>
      <c r="S1743" t="n">
        <v>2</v>
      </c>
      <c r="T1743" t="n">
        <v>2</v>
      </c>
      <c r="U1743" t="inlineStr">
        <is>
          <t>1999-10-13</t>
        </is>
      </c>
      <c r="V1743" t="inlineStr">
        <is>
          <t>1999-10-13</t>
        </is>
      </c>
      <c r="W1743" t="inlineStr">
        <is>
          <t>1992-03-26</t>
        </is>
      </c>
      <c r="X1743" t="inlineStr">
        <is>
          <t>1992-03-26</t>
        </is>
      </c>
      <c r="Y1743" t="n">
        <v>40</v>
      </c>
      <c r="Z1743" t="n">
        <v>37</v>
      </c>
      <c r="AA1743" t="n">
        <v>254</v>
      </c>
      <c r="AB1743" t="n">
        <v>1</v>
      </c>
      <c r="AC1743" t="n">
        <v>5</v>
      </c>
      <c r="AD1743" t="n">
        <v>11</v>
      </c>
      <c r="AE1743" t="n">
        <v>33</v>
      </c>
      <c r="AF1743" t="n">
        <v>1</v>
      </c>
      <c r="AG1743" t="n">
        <v>10</v>
      </c>
      <c r="AH1743" t="n">
        <v>4</v>
      </c>
      <c r="AI1743" t="n">
        <v>9</v>
      </c>
      <c r="AJ1743" t="n">
        <v>8</v>
      </c>
      <c r="AK1743" t="n">
        <v>24</v>
      </c>
      <c r="AL1743" t="n">
        <v>0</v>
      </c>
      <c r="AM1743" t="n">
        <v>2</v>
      </c>
      <c r="AN1743" t="n">
        <v>0</v>
      </c>
      <c r="AO1743" t="n">
        <v>0</v>
      </c>
      <c r="AP1743" t="inlineStr">
        <is>
          <t>No</t>
        </is>
      </c>
      <c r="AQ1743" t="inlineStr">
        <is>
          <t>No</t>
        </is>
      </c>
      <c r="AS1743">
        <f>HYPERLINK("https://creighton-primo.hosted.exlibrisgroup.com/primo-explore/search?tab=default_tab&amp;search_scope=EVERYTHING&amp;vid=01CRU&amp;lang=en_US&amp;offset=0&amp;query=any,contains,991004569269702656","Catalog Record")</f>
        <v/>
      </c>
      <c r="AT1743">
        <f>HYPERLINK("http://www.worldcat.org/oclc/4011468","WorldCat Record")</f>
        <v/>
      </c>
      <c r="AU1743" t="inlineStr">
        <is>
          <t>2033185:eng</t>
        </is>
      </c>
      <c r="AV1743" t="inlineStr">
        <is>
          <t>4011468</t>
        </is>
      </c>
      <c r="AW1743" t="inlineStr">
        <is>
          <t>991004569269702656</t>
        </is>
      </c>
      <c r="AX1743" t="inlineStr">
        <is>
          <t>991004569269702656</t>
        </is>
      </c>
      <c r="AY1743" t="inlineStr">
        <is>
          <t>2267500580002656</t>
        </is>
      </c>
      <c r="AZ1743" t="inlineStr">
        <is>
          <t>BOOK</t>
        </is>
      </c>
      <c r="BC1743" t="inlineStr">
        <is>
          <t>32285001017440</t>
        </is>
      </c>
      <c r="BD1743" t="inlineStr">
        <is>
          <t>893593860</t>
        </is>
      </c>
    </row>
    <row r="1744">
      <c r="A1744" t="inlineStr">
        <is>
          <t>No</t>
        </is>
      </c>
      <c r="B1744" t="inlineStr">
        <is>
          <t>BX2660 .H38 2007</t>
        </is>
      </c>
      <c r="C1744" t="inlineStr">
        <is>
          <t>0                      BX 2660000H  38          2007</t>
        </is>
      </c>
      <c r="D1744" t="inlineStr">
        <is>
          <t>The monks and monasteries of Constantinople, ca. 350-850 / Peter Hatlie.</t>
        </is>
      </c>
      <c r="F1744" t="inlineStr">
        <is>
          <t>No</t>
        </is>
      </c>
      <c r="G1744" t="inlineStr">
        <is>
          <t>1</t>
        </is>
      </c>
      <c r="H1744" t="inlineStr">
        <is>
          <t>No</t>
        </is>
      </c>
      <c r="I1744" t="inlineStr">
        <is>
          <t>No</t>
        </is>
      </c>
      <c r="J1744" t="inlineStr">
        <is>
          <t>0</t>
        </is>
      </c>
      <c r="K1744" t="inlineStr">
        <is>
          <t>Hatlie, Peter.</t>
        </is>
      </c>
      <c r="L1744" t="inlineStr">
        <is>
          <t>Cambridge, UK ; New York : Cambridge University Press, 2007.</t>
        </is>
      </c>
      <c r="M1744" t="inlineStr">
        <is>
          <t>2007</t>
        </is>
      </c>
      <c r="O1744" t="inlineStr">
        <is>
          <t>eng</t>
        </is>
      </c>
      <c r="P1744" t="inlineStr">
        <is>
          <t>enk</t>
        </is>
      </c>
      <c r="R1744" t="inlineStr">
        <is>
          <t xml:space="preserve">BX </t>
        </is>
      </c>
      <c r="S1744" t="n">
        <v>1</v>
      </c>
      <c r="T1744" t="n">
        <v>1</v>
      </c>
      <c r="U1744" t="inlineStr">
        <is>
          <t>2009-04-22</t>
        </is>
      </c>
      <c r="V1744" t="inlineStr">
        <is>
          <t>2009-04-22</t>
        </is>
      </c>
      <c r="W1744" t="inlineStr">
        <is>
          <t>2009-04-22</t>
        </is>
      </c>
      <c r="X1744" t="inlineStr">
        <is>
          <t>2009-04-22</t>
        </is>
      </c>
      <c r="Y1744" t="n">
        <v>202</v>
      </c>
      <c r="Z1744" t="n">
        <v>122</v>
      </c>
      <c r="AA1744" t="n">
        <v>123</v>
      </c>
      <c r="AB1744" t="n">
        <v>1</v>
      </c>
      <c r="AC1744" t="n">
        <v>1</v>
      </c>
      <c r="AD1744" t="n">
        <v>9</v>
      </c>
      <c r="AE1744" t="n">
        <v>9</v>
      </c>
      <c r="AF1744" t="n">
        <v>1</v>
      </c>
      <c r="AG1744" t="n">
        <v>1</v>
      </c>
      <c r="AH1744" t="n">
        <v>4</v>
      </c>
      <c r="AI1744" t="n">
        <v>4</v>
      </c>
      <c r="AJ1744" t="n">
        <v>7</v>
      </c>
      <c r="AK1744" t="n">
        <v>7</v>
      </c>
      <c r="AL1744" t="n">
        <v>0</v>
      </c>
      <c r="AM1744" t="n">
        <v>0</v>
      </c>
      <c r="AN1744" t="n">
        <v>0</v>
      </c>
      <c r="AO1744" t="n">
        <v>0</v>
      </c>
      <c r="AP1744" t="inlineStr">
        <is>
          <t>No</t>
        </is>
      </c>
      <c r="AQ1744" t="inlineStr">
        <is>
          <t>No</t>
        </is>
      </c>
      <c r="AS1744">
        <f>HYPERLINK("https://creighton-primo.hosted.exlibrisgroup.com/primo-explore/search?tab=default_tab&amp;search_scope=EVERYTHING&amp;vid=01CRU&amp;lang=en_US&amp;offset=0&amp;query=any,contains,991005302939702656","Catalog Record")</f>
        <v/>
      </c>
      <c r="AT1744">
        <f>HYPERLINK("http://www.worldcat.org/oclc/149011857","WorldCat Record")</f>
        <v/>
      </c>
      <c r="AU1744" t="inlineStr">
        <is>
          <t>103634508:eng</t>
        </is>
      </c>
      <c r="AV1744" t="inlineStr">
        <is>
          <t>149011857</t>
        </is>
      </c>
      <c r="AW1744" t="inlineStr">
        <is>
          <t>991005302939702656</t>
        </is>
      </c>
      <c r="AX1744" t="inlineStr">
        <is>
          <t>991005302939702656</t>
        </is>
      </c>
      <c r="AY1744" t="inlineStr">
        <is>
          <t>2258336290002656</t>
        </is>
      </c>
      <c r="AZ1744" t="inlineStr">
        <is>
          <t>BOOK</t>
        </is>
      </c>
      <c r="BB1744" t="inlineStr">
        <is>
          <t>9780521848213</t>
        </is>
      </c>
      <c r="BC1744" t="inlineStr">
        <is>
          <t>32285005517668</t>
        </is>
      </c>
      <c r="BD1744" t="inlineStr">
        <is>
          <t>893802095</t>
        </is>
      </c>
    </row>
    <row r="1745">
      <c r="A1745" t="inlineStr">
        <is>
          <t>No</t>
        </is>
      </c>
      <c r="B1745" t="inlineStr">
        <is>
          <t>BX2790 .B3 1970</t>
        </is>
      </c>
      <c r="C1745" t="inlineStr">
        <is>
          <t>0                      BX 2790000B  3           1970</t>
        </is>
      </c>
      <c r="D1745" t="inlineStr">
        <is>
          <t>Changing habits / by Regis N. Barwig. Foreword by Walter Holmes.</t>
        </is>
      </c>
      <c r="F1745" t="inlineStr">
        <is>
          <t>No</t>
        </is>
      </c>
      <c r="G1745" t="inlineStr">
        <is>
          <t>1</t>
        </is>
      </c>
      <c r="H1745" t="inlineStr">
        <is>
          <t>No</t>
        </is>
      </c>
      <c r="I1745" t="inlineStr">
        <is>
          <t>No</t>
        </is>
      </c>
      <c r="J1745" t="inlineStr">
        <is>
          <t>0</t>
        </is>
      </c>
      <c r="K1745" t="inlineStr">
        <is>
          <t>Barwig, Regis N.-J.</t>
        </is>
      </c>
      <c r="L1745" t="inlineStr">
        <is>
          <t>New York : Pageant Press International Corp., [c1970]</t>
        </is>
      </c>
      <c r="M1745" t="inlineStr">
        <is>
          <t>1970</t>
        </is>
      </c>
      <c r="N1745" t="inlineStr">
        <is>
          <t>[1st ed.]</t>
        </is>
      </c>
      <c r="O1745" t="inlineStr">
        <is>
          <t>eng</t>
        </is>
      </c>
      <c r="P1745" t="inlineStr">
        <is>
          <t xml:space="preserve">xx </t>
        </is>
      </c>
      <c r="R1745" t="inlineStr">
        <is>
          <t xml:space="preserve">BX </t>
        </is>
      </c>
      <c r="S1745" t="n">
        <v>4</v>
      </c>
      <c r="T1745" t="n">
        <v>4</v>
      </c>
      <c r="U1745" t="inlineStr">
        <is>
          <t>1995-03-23</t>
        </is>
      </c>
      <c r="V1745" t="inlineStr">
        <is>
          <t>1995-03-23</t>
        </is>
      </c>
      <c r="W1745" t="inlineStr">
        <is>
          <t>1991-11-07</t>
        </is>
      </c>
      <c r="X1745" t="inlineStr">
        <is>
          <t>1991-11-07</t>
        </is>
      </c>
      <c r="Y1745" t="n">
        <v>34</v>
      </c>
      <c r="Z1745" t="n">
        <v>33</v>
      </c>
      <c r="AA1745" t="n">
        <v>33</v>
      </c>
      <c r="AB1745" t="n">
        <v>2</v>
      </c>
      <c r="AC1745" t="n">
        <v>2</v>
      </c>
      <c r="AD1745" t="n">
        <v>4</v>
      </c>
      <c r="AE1745" t="n">
        <v>4</v>
      </c>
      <c r="AF1745" t="n">
        <v>1</v>
      </c>
      <c r="AG1745" t="n">
        <v>1</v>
      </c>
      <c r="AH1745" t="n">
        <v>1</v>
      </c>
      <c r="AI1745" t="n">
        <v>1</v>
      </c>
      <c r="AJ1745" t="n">
        <v>4</v>
      </c>
      <c r="AK1745" t="n">
        <v>4</v>
      </c>
      <c r="AL1745" t="n">
        <v>0</v>
      </c>
      <c r="AM1745" t="n">
        <v>0</v>
      </c>
      <c r="AN1745" t="n">
        <v>0</v>
      </c>
      <c r="AO1745" t="n">
        <v>0</v>
      </c>
      <c r="AP1745" t="inlineStr">
        <is>
          <t>No</t>
        </is>
      </c>
      <c r="AQ1745" t="inlineStr">
        <is>
          <t>No</t>
        </is>
      </c>
      <c r="AS1745">
        <f>HYPERLINK("https://creighton-primo.hosted.exlibrisgroup.com/primo-explore/search?tab=default_tab&amp;search_scope=EVERYTHING&amp;vid=01CRU&amp;lang=en_US&amp;offset=0&amp;query=any,contains,991003308429702656","Catalog Record")</f>
        <v/>
      </c>
      <c r="AT1745">
        <f>HYPERLINK("http://www.worldcat.org/oclc/832003","WorldCat Record")</f>
        <v/>
      </c>
      <c r="AU1745" t="inlineStr">
        <is>
          <t>1745041:eng</t>
        </is>
      </c>
      <c r="AV1745" t="inlineStr">
        <is>
          <t>832003</t>
        </is>
      </c>
      <c r="AW1745" t="inlineStr">
        <is>
          <t>991003308429702656</t>
        </is>
      </c>
      <c r="AX1745" t="inlineStr">
        <is>
          <t>991003308429702656</t>
        </is>
      </c>
      <c r="AY1745" t="inlineStr">
        <is>
          <t>2271047320002656</t>
        </is>
      </c>
      <c r="AZ1745" t="inlineStr">
        <is>
          <t>BOOK</t>
        </is>
      </c>
      <c r="BC1745" t="inlineStr">
        <is>
          <t>32285000833102</t>
        </is>
      </c>
      <c r="BD1745" t="inlineStr">
        <is>
          <t>893805651</t>
        </is>
      </c>
    </row>
    <row r="1746">
      <c r="A1746" t="inlineStr">
        <is>
          <t>No</t>
        </is>
      </c>
      <c r="B1746" t="inlineStr">
        <is>
          <t>BX2845 .M37 1919</t>
        </is>
      </c>
      <c r="C1746" t="inlineStr">
        <is>
          <t>0                      BX 2845000M  37          1919</t>
        </is>
      </c>
      <c r="D1746" t="inlineStr">
        <is>
          <t>Upon God's holy hills : I. The guides: St. Anthony of Egypt, St. Bruno of Cologne, St. John of the Cross / by C. C. Martindale.</t>
        </is>
      </c>
      <c r="F1746" t="inlineStr">
        <is>
          <t>No</t>
        </is>
      </c>
      <c r="G1746" t="inlineStr">
        <is>
          <t>1</t>
        </is>
      </c>
      <c r="H1746" t="inlineStr">
        <is>
          <t>No</t>
        </is>
      </c>
      <c r="I1746" t="inlineStr">
        <is>
          <t>No</t>
        </is>
      </c>
      <c r="J1746" t="inlineStr">
        <is>
          <t>0</t>
        </is>
      </c>
      <c r="K1746" t="inlineStr">
        <is>
          <t>Martindale, C. C. (Cyril Charlie), 1879-1963.</t>
        </is>
      </c>
      <c r="L1746" t="inlineStr">
        <is>
          <t>New York : P. J. Kenedy &amp; sons, 1919.</t>
        </is>
      </c>
      <c r="M1746" t="inlineStr">
        <is>
          <t>1919</t>
        </is>
      </c>
      <c r="O1746" t="inlineStr">
        <is>
          <t>eng</t>
        </is>
      </c>
      <c r="P1746" t="inlineStr">
        <is>
          <t>nyu</t>
        </is>
      </c>
      <c r="Q1746" t="inlineStr">
        <is>
          <t>The Household of God series</t>
        </is>
      </c>
      <c r="R1746" t="inlineStr">
        <is>
          <t xml:space="preserve">BX </t>
        </is>
      </c>
      <c r="S1746" t="n">
        <v>8</v>
      </c>
      <c r="T1746" t="n">
        <v>8</v>
      </c>
      <c r="U1746" t="inlineStr">
        <is>
          <t>2001-06-23</t>
        </is>
      </c>
      <c r="V1746" t="inlineStr">
        <is>
          <t>2001-06-23</t>
        </is>
      </c>
      <c r="W1746" t="inlineStr">
        <is>
          <t>1992-06-09</t>
        </is>
      </c>
      <c r="X1746" t="inlineStr">
        <is>
          <t>1992-06-09</t>
        </is>
      </c>
      <c r="Y1746" t="n">
        <v>25</v>
      </c>
      <c r="Z1746" t="n">
        <v>23</v>
      </c>
      <c r="AA1746" t="n">
        <v>42</v>
      </c>
      <c r="AB1746" t="n">
        <v>1</v>
      </c>
      <c r="AC1746" t="n">
        <v>1</v>
      </c>
      <c r="AD1746" t="n">
        <v>9</v>
      </c>
      <c r="AE1746" t="n">
        <v>12</v>
      </c>
      <c r="AF1746" t="n">
        <v>1</v>
      </c>
      <c r="AG1746" t="n">
        <v>1</v>
      </c>
      <c r="AH1746" t="n">
        <v>2</v>
      </c>
      <c r="AI1746" t="n">
        <v>3</v>
      </c>
      <c r="AJ1746" t="n">
        <v>7</v>
      </c>
      <c r="AK1746" t="n">
        <v>10</v>
      </c>
      <c r="AL1746" t="n">
        <v>0</v>
      </c>
      <c r="AM1746" t="n">
        <v>0</v>
      </c>
      <c r="AN1746" t="n">
        <v>0</v>
      </c>
      <c r="AO1746" t="n">
        <v>0</v>
      </c>
      <c r="AP1746" t="inlineStr">
        <is>
          <t>No</t>
        </is>
      </c>
      <c r="AQ1746" t="inlineStr">
        <is>
          <t>No</t>
        </is>
      </c>
      <c r="AS1746">
        <f>HYPERLINK("https://creighton-primo.hosted.exlibrisgroup.com/primo-explore/search?tab=default_tab&amp;search_scope=EVERYTHING&amp;vid=01CRU&amp;lang=en_US&amp;offset=0&amp;query=any,contains,991004629019702656","Catalog Record")</f>
        <v/>
      </c>
      <c r="AT1746">
        <f>HYPERLINK("http://www.worldcat.org/oclc/4359590","WorldCat Record")</f>
        <v/>
      </c>
      <c r="AU1746" t="inlineStr">
        <is>
          <t>28564592:eng</t>
        </is>
      </c>
      <c r="AV1746" t="inlineStr">
        <is>
          <t>4359590</t>
        </is>
      </c>
      <c r="AW1746" t="inlineStr">
        <is>
          <t>991004629019702656</t>
        </is>
      </c>
      <c r="AX1746" t="inlineStr">
        <is>
          <t>991004629019702656</t>
        </is>
      </c>
      <c r="AY1746" t="inlineStr">
        <is>
          <t>2267758740002656</t>
        </is>
      </c>
      <c r="AZ1746" t="inlineStr">
        <is>
          <t>BOOK</t>
        </is>
      </c>
      <c r="BC1746" t="inlineStr">
        <is>
          <t>32285001074706</t>
        </is>
      </c>
      <c r="BD1746" t="inlineStr">
        <is>
          <t>893882683</t>
        </is>
      </c>
    </row>
    <row r="1747">
      <c r="A1747" t="inlineStr">
        <is>
          <t>No</t>
        </is>
      </c>
      <c r="B1747" t="inlineStr">
        <is>
          <t>BX2845 .S7 1903</t>
        </is>
      </c>
      <c r="C1747" t="inlineStr">
        <is>
          <t>0                      BX 2845000S  7           1903</t>
        </is>
      </c>
      <c r="D1747" t="inlineStr">
        <is>
          <t>Anchoresses of the west / by Francesca M. Steele (Darley Dale). --With preface on mysticism by the Very Rev. Vincent McNabb.</t>
        </is>
      </c>
      <c r="F1747" t="inlineStr">
        <is>
          <t>No</t>
        </is>
      </c>
      <c r="G1747" t="inlineStr">
        <is>
          <t>1</t>
        </is>
      </c>
      <c r="H1747" t="inlineStr">
        <is>
          <t>No</t>
        </is>
      </c>
      <c r="I1747" t="inlineStr">
        <is>
          <t>No</t>
        </is>
      </c>
      <c r="J1747" t="inlineStr">
        <is>
          <t>0</t>
        </is>
      </c>
      <c r="K1747" t="inlineStr">
        <is>
          <t>Dale, Darley, 1848-1931.</t>
        </is>
      </c>
      <c r="L1747" t="inlineStr">
        <is>
          <t>London : Sands, 1903.</t>
        </is>
      </c>
      <c r="M1747" t="inlineStr">
        <is>
          <t>1903</t>
        </is>
      </c>
      <c r="O1747" t="inlineStr">
        <is>
          <t>eng</t>
        </is>
      </c>
      <c r="P1747" t="inlineStr">
        <is>
          <t>enk</t>
        </is>
      </c>
      <c r="R1747" t="inlineStr">
        <is>
          <t xml:space="preserve">BX </t>
        </is>
      </c>
      <c r="S1747" t="n">
        <v>5</v>
      </c>
      <c r="T1747" t="n">
        <v>5</v>
      </c>
      <c r="U1747" t="inlineStr">
        <is>
          <t>2000-06-24</t>
        </is>
      </c>
      <c r="V1747" t="inlineStr">
        <is>
          <t>2000-06-24</t>
        </is>
      </c>
      <c r="W1747" t="inlineStr">
        <is>
          <t>1990-04-25</t>
        </is>
      </c>
      <c r="X1747" t="inlineStr">
        <is>
          <t>1990-04-25</t>
        </is>
      </c>
      <c r="Y1747" t="n">
        <v>29</v>
      </c>
      <c r="Z1747" t="n">
        <v>19</v>
      </c>
      <c r="AA1747" t="n">
        <v>45</v>
      </c>
      <c r="AB1747" t="n">
        <v>1</v>
      </c>
      <c r="AC1747" t="n">
        <v>1</v>
      </c>
      <c r="AD1747" t="n">
        <v>4</v>
      </c>
      <c r="AE1747" t="n">
        <v>7</v>
      </c>
      <c r="AF1747" t="n">
        <v>2</v>
      </c>
      <c r="AG1747" t="n">
        <v>2</v>
      </c>
      <c r="AH1747" t="n">
        <v>1</v>
      </c>
      <c r="AI1747" t="n">
        <v>3</v>
      </c>
      <c r="AJ1747" t="n">
        <v>4</v>
      </c>
      <c r="AK1747" t="n">
        <v>5</v>
      </c>
      <c r="AL1747" t="n">
        <v>0</v>
      </c>
      <c r="AM1747" t="n">
        <v>0</v>
      </c>
      <c r="AN1747" t="n">
        <v>0</v>
      </c>
      <c r="AO1747" t="n">
        <v>0</v>
      </c>
      <c r="AP1747" t="inlineStr">
        <is>
          <t>Yes</t>
        </is>
      </c>
      <c r="AQ1747" t="inlineStr">
        <is>
          <t>No</t>
        </is>
      </c>
      <c r="AR1747">
        <f>HYPERLINK("http://catalog.hathitrust.org/Record/102427206","HathiTrust Record")</f>
        <v/>
      </c>
      <c r="AS1747">
        <f>HYPERLINK("https://creighton-primo.hosted.exlibrisgroup.com/primo-explore/search?tab=default_tab&amp;search_scope=EVERYTHING&amp;vid=01CRU&amp;lang=en_US&amp;offset=0&amp;query=any,contains,991000899049702656","Catalog Record")</f>
        <v/>
      </c>
      <c r="AT1747">
        <f>HYPERLINK("http://www.worldcat.org/oclc/14007663","WorldCat Record")</f>
        <v/>
      </c>
      <c r="AU1747" t="inlineStr">
        <is>
          <t>424685803:eng</t>
        </is>
      </c>
      <c r="AV1747" t="inlineStr">
        <is>
          <t>14007663</t>
        </is>
      </c>
      <c r="AW1747" t="inlineStr">
        <is>
          <t>991000899049702656</t>
        </is>
      </c>
      <c r="AX1747" t="inlineStr">
        <is>
          <t>991000899049702656</t>
        </is>
      </c>
      <c r="AY1747" t="inlineStr">
        <is>
          <t>2269838300002656</t>
        </is>
      </c>
      <c r="AZ1747" t="inlineStr">
        <is>
          <t>BOOK</t>
        </is>
      </c>
      <c r="BC1747" t="inlineStr">
        <is>
          <t>32285000132372</t>
        </is>
      </c>
      <c r="BD1747" t="inlineStr">
        <is>
          <t>893772088</t>
        </is>
      </c>
    </row>
    <row r="1748">
      <c r="A1748" t="inlineStr">
        <is>
          <t>No</t>
        </is>
      </c>
      <c r="B1748" t="inlineStr">
        <is>
          <t>BX2923 .M83</t>
        </is>
      </c>
      <c r="C1748" t="inlineStr">
        <is>
          <t>0                      BX 2923000M  83</t>
        </is>
      </c>
      <c r="D1748" t="inlineStr">
        <is>
          <t>John Knox : portrait of a Calvinist / by Edwin Muir.</t>
        </is>
      </c>
      <c r="F1748" t="inlineStr">
        <is>
          <t>No</t>
        </is>
      </c>
      <c r="G1748" t="inlineStr">
        <is>
          <t>1</t>
        </is>
      </c>
      <c r="H1748" t="inlineStr">
        <is>
          <t>No</t>
        </is>
      </c>
      <c r="I1748" t="inlineStr">
        <is>
          <t>No</t>
        </is>
      </c>
      <c r="J1748" t="inlineStr">
        <is>
          <t>0</t>
        </is>
      </c>
      <c r="K1748" t="inlineStr">
        <is>
          <t>Muir, Edwin, 1887-1959.</t>
        </is>
      </c>
      <c r="L1748" t="inlineStr">
        <is>
          <t>New York : Viking Press, 1929.</t>
        </is>
      </c>
      <c r="M1748" t="inlineStr">
        <is>
          <t>1929</t>
        </is>
      </c>
      <c r="O1748" t="inlineStr">
        <is>
          <t>eng</t>
        </is>
      </c>
      <c r="P1748" t="inlineStr">
        <is>
          <t>nyu</t>
        </is>
      </c>
      <c r="R1748" t="inlineStr">
        <is>
          <t xml:space="preserve">BX </t>
        </is>
      </c>
      <c r="S1748" t="n">
        <v>2</v>
      </c>
      <c r="T1748" t="n">
        <v>2</v>
      </c>
      <c r="U1748" t="inlineStr">
        <is>
          <t>1994-09-10</t>
        </is>
      </c>
      <c r="V1748" t="inlineStr">
        <is>
          <t>1994-09-10</t>
        </is>
      </c>
      <c r="W1748" t="inlineStr">
        <is>
          <t>1991-11-07</t>
        </is>
      </c>
      <c r="X1748" t="inlineStr">
        <is>
          <t>1991-11-07</t>
        </is>
      </c>
      <c r="Y1748" t="n">
        <v>179</v>
      </c>
      <c r="Z1748" t="n">
        <v>175</v>
      </c>
      <c r="AA1748" t="n">
        <v>559</v>
      </c>
      <c r="AB1748" t="n">
        <v>2</v>
      </c>
      <c r="AC1748" t="n">
        <v>6</v>
      </c>
      <c r="AD1748" t="n">
        <v>9</v>
      </c>
      <c r="AE1748" t="n">
        <v>33</v>
      </c>
      <c r="AF1748" t="n">
        <v>2</v>
      </c>
      <c r="AG1748" t="n">
        <v>10</v>
      </c>
      <c r="AH1748" t="n">
        <v>2</v>
      </c>
      <c r="AI1748" t="n">
        <v>8</v>
      </c>
      <c r="AJ1748" t="n">
        <v>5</v>
      </c>
      <c r="AK1748" t="n">
        <v>17</v>
      </c>
      <c r="AL1748" t="n">
        <v>1</v>
      </c>
      <c r="AM1748" t="n">
        <v>5</v>
      </c>
      <c r="AN1748" t="n">
        <v>0</v>
      </c>
      <c r="AO1748" t="n">
        <v>0</v>
      </c>
      <c r="AP1748" t="inlineStr">
        <is>
          <t>No</t>
        </is>
      </c>
      <c r="AQ1748" t="inlineStr">
        <is>
          <t>Yes</t>
        </is>
      </c>
      <c r="AR1748">
        <f>HYPERLINK("http://catalog.hathitrust.org/Record/001961441","HathiTrust Record")</f>
        <v/>
      </c>
      <c r="AS1748">
        <f>HYPERLINK("https://creighton-primo.hosted.exlibrisgroup.com/primo-explore/search?tab=default_tab&amp;search_scope=EVERYTHING&amp;vid=01CRU&amp;lang=en_US&amp;offset=0&amp;query=any,contains,991004509749702656","Catalog Record")</f>
        <v/>
      </c>
      <c r="AT1748">
        <f>HYPERLINK("http://www.worldcat.org/oclc/3756551","WorldCat Record")</f>
        <v/>
      </c>
      <c r="AU1748" t="inlineStr">
        <is>
          <t>1266867:eng</t>
        </is>
      </c>
      <c r="AV1748" t="inlineStr">
        <is>
          <t>3756551</t>
        </is>
      </c>
      <c r="AW1748" t="inlineStr">
        <is>
          <t>991004509749702656</t>
        </is>
      </c>
      <c r="AX1748" t="inlineStr">
        <is>
          <t>991004509749702656</t>
        </is>
      </c>
      <c r="AY1748" t="inlineStr">
        <is>
          <t>2267155870002656</t>
        </is>
      </c>
      <c r="AZ1748" t="inlineStr">
        <is>
          <t>BOOK</t>
        </is>
      </c>
      <c r="BC1748" t="inlineStr">
        <is>
          <t>32285000833151</t>
        </is>
      </c>
      <c r="BD1748" t="inlineStr">
        <is>
          <t>893247654</t>
        </is>
      </c>
    </row>
    <row r="1749">
      <c r="A1749" t="inlineStr">
        <is>
          <t>No</t>
        </is>
      </c>
      <c r="B1749" t="inlineStr">
        <is>
          <t>BX3 .A2 1988</t>
        </is>
      </c>
      <c r="C1749" t="inlineStr">
        <is>
          <t>0                      BX 0003000A  2           1988</t>
        </is>
      </c>
      <c r="D1749" t="inlineStr">
        <is>
          <t>Instruments of unity : national councils of churches within the one ecumenical movement / edited by Thomas F. Best.</t>
        </is>
      </c>
      <c r="F1749" t="inlineStr">
        <is>
          <t>No</t>
        </is>
      </c>
      <c r="G1749" t="inlineStr">
        <is>
          <t>1</t>
        </is>
      </c>
      <c r="H1749" t="inlineStr">
        <is>
          <t>No</t>
        </is>
      </c>
      <c r="I1749" t="inlineStr">
        <is>
          <t>No</t>
        </is>
      </c>
      <c r="J1749" t="inlineStr">
        <is>
          <t>0</t>
        </is>
      </c>
      <c r="L1749" t="inlineStr">
        <is>
          <t>Geneva : WCC Publications, c1988.</t>
        </is>
      </c>
      <c r="M1749" t="inlineStr">
        <is>
          <t>1988</t>
        </is>
      </c>
      <c r="O1749" t="inlineStr">
        <is>
          <t>eng</t>
        </is>
      </c>
      <c r="P1749" t="inlineStr">
        <is>
          <t xml:space="preserve">sz </t>
        </is>
      </c>
      <c r="R1749" t="inlineStr">
        <is>
          <t xml:space="preserve">BX </t>
        </is>
      </c>
      <c r="S1749" t="n">
        <v>4</v>
      </c>
      <c r="T1749" t="n">
        <v>4</v>
      </c>
      <c r="U1749" t="inlineStr">
        <is>
          <t>2008-04-14</t>
        </is>
      </c>
      <c r="V1749" t="inlineStr">
        <is>
          <t>2008-04-14</t>
        </is>
      </c>
      <c r="W1749" t="inlineStr">
        <is>
          <t>1991-01-24</t>
        </is>
      </c>
      <c r="X1749" t="inlineStr">
        <is>
          <t>1991-01-24</t>
        </is>
      </c>
      <c r="Y1749" t="n">
        <v>132</v>
      </c>
      <c r="Z1749" t="n">
        <v>96</v>
      </c>
      <c r="AA1749" t="n">
        <v>98</v>
      </c>
      <c r="AB1749" t="n">
        <v>1</v>
      </c>
      <c r="AC1749" t="n">
        <v>1</v>
      </c>
      <c r="AD1749" t="n">
        <v>4</v>
      </c>
      <c r="AE1749" t="n">
        <v>4</v>
      </c>
      <c r="AF1749" t="n">
        <v>1</v>
      </c>
      <c r="AG1749" t="n">
        <v>1</v>
      </c>
      <c r="AH1749" t="n">
        <v>1</v>
      </c>
      <c r="AI1749" t="n">
        <v>1</v>
      </c>
      <c r="AJ1749" t="n">
        <v>2</v>
      </c>
      <c r="AK1749" t="n">
        <v>2</v>
      </c>
      <c r="AL1749" t="n">
        <v>0</v>
      </c>
      <c r="AM1749" t="n">
        <v>0</v>
      </c>
      <c r="AN1749" t="n">
        <v>0</v>
      </c>
      <c r="AO1749" t="n">
        <v>0</v>
      </c>
      <c r="AP1749" t="inlineStr">
        <is>
          <t>No</t>
        </is>
      </c>
      <c r="AQ1749" t="inlineStr">
        <is>
          <t>Yes</t>
        </is>
      </c>
      <c r="AR1749">
        <f>HYPERLINK("http://catalog.hathitrust.org/Record/101887950","HathiTrust Record")</f>
        <v/>
      </c>
      <c r="AS1749">
        <f>HYPERLINK("https://creighton-primo.hosted.exlibrisgroup.com/primo-explore/search?tab=default_tab&amp;search_scope=EVERYTHING&amp;vid=01CRU&amp;lang=en_US&amp;offset=0&amp;query=any,contains,991001321799702656","Catalog Record")</f>
        <v/>
      </c>
      <c r="AT1749">
        <f>HYPERLINK("http://www.worldcat.org/oclc/18231875","WorldCat Record")</f>
        <v/>
      </c>
      <c r="AU1749" t="inlineStr">
        <is>
          <t>365244855:eng</t>
        </is>
      </c>
      <c r="AV1749" t="inlineStr">
        <is>
          <t>18231875</t>
        </is>
      </c>
      <c r="AW1749" t="inlineStr">
        <is>
          <t>991001321799702656</t>
        </is>
      </c>
      <c r="AX1749" t="inlineStr">
        <is>
          <t>991001321799702656</t>
        </is>
      </c>
      <c r="AY1749" t="inlineStr">
        <is>
          <t>2259010990002656</t>
        </is>
      </c>
      <c r="AZ1749" t="inlineStr">
        <is>
          <t>BOOK</t>
        </is>
      </c>
      <c r="BB1749" t="inlineStr">
        <is>
          <t>9782825409367</t>
        </is>
      </c>
      <c r="BC1749" t="inlineStr">
        <is>
          <t>32285000460625</t>
        </is>
      </c>
      <c r="BD1749" t="inlineStr">
        <is>
          <t>893509547</t>
        </is>
      </c>
    </row>
    <row r="1750">
      <c r="A1750" t="inlineStr">
        <is>
          <t>No</t>
        </is>
      </c>
      <c r="B1750" t="inlineStr">
        <is>
          <t>BX300 .R86</t>
        </is>
      </c>
      <c r="C1750" t="inlineStr">
        <is>
          <t>0                      BX 0300000R  86</t>
        </is>
      </c>
      <c r="D1750" t="inlineStr">
        <is>
          <t>The Byzantine theocracy / Steven Runciman.</t>
        </is>
      </c>
      <c r="F1750" t="inlineStr">
        <is>
          <t>No</t>
        </is>
      </c>
      <c r="G1750" t="inlineStr">
        <is>
          <t>1</t>
        </is>
      </c>
      <c r="H1750" t="inlineStr">
        <is>
          <t>No</t>
        </is>
      </c>
      <c r="I1750" t="inlineStr">
        <is>
          <t>No</t>
        </is>
      </c>
      <c r="J1750" t="inlineStr">
        <is>
          <t>0</t>
        </is>
      </c>
      <c r="K1750" t="inlineStr">
        <is>
          <t>Runciman, Steven, 1903-2000.</t>
        </is>
      </c>
      <c r="L1750" t="inlineStr">
        <is>
          <t>Cambridge ; New York : Cambridge University Press, 1977.</t>
        </is>
      </c>
      <c r="M1750" t="inlineStr">
        <is>
          <t>1977</t>
        </is>
      </c>
      <c r="O1750" t="inlineStr">
        <is>
          <t>eng</t>
        </is>
      </c>
      <c r="P1750" t="inlineStr">
        <is>
          <t>enk</t>
        </is>
      </c>
      <c r="Q1750" t="inlineStr">
        <is>
          <t>The Weil lectures ; 1973</t>
        </is>
      </c>
      <c r="R1750" t="inlineStr">
        <is>
          <t xml:space="preserve">BX </t>
        </is>
      </c>
      <c r="S1750" t="n">
        <v>5</v>
      </c>
      <c r="T1750" t="n">
        <v>5</v>
      </c>
      <c r="U1750" t="inlineStr">
        <is>
          <t>2010-02-27</t>
        </is>
      </c>
      <c r="V1750" t="inlineStr">
        <is>
          <t>2010-02-27</t>
        </is>
      </c>
      <c r="W1750" t="inlineStr">
        <is>
          <t>1992-03-26</t>
        </is>
      </c>
      <c r="X1750" t="inlineStr">
        <is>
          <t>1992-03-26</t>
        </is>
      </c>
      <c r="Y1750" t="n">
        <v>716</v>
      </c>
      <c r="Z1750" t="n">
        <v>538</v>
      </c>
      <c r="AA1750" t="n">
        <v>562</v>
      </c>
      <c r="AB1750" t="n">
        <v>5</v>
      </c>
      <c r="AC1750" t="n">
        <v>6</v>
      </c>
      <c r="AD1750" t="n">
        <v>30</v>
      </c>
      <c r="AE1750" t="n">
        <v>31</v>
      </c>
      <c r="AF1750" t="n">
        <v>11</v>
      </c>
      <c r="AG1750" t="n">
        <v>12</v>
      </c>
      <c r="AH1750" t="n">
        <v>9</v>
      </c>
      <c r="AI1750" t="n">
        <v>9</v>
      </c>
      <c r="AJ1750" t="n">
        <v>15</v>
      </c>
      <c r="AK1750" t="n">
        <v>15</v>
      </c>
      <c r="AL1750" t="n">
        <v>4</v>
      </c>
      <c r="AM1750" t="n">
        <v>4</v>
      </c>
      <c r="AN1750" t="n">
        <v>0</v>
      </c>
      <c r="AO1750" t="n">
        <v>0</v>
      </c>
      <c r="AP1750" t="inlineStr">
        <is>
          <t>No</t>
        </is>
      </c>
      <c r="AQ1750" t="inlineStr">
        <is>
          <t>Yes</t>
        </is>
      </c>
      <c r="AR1750">
        <f>HYPERLINK("http://catalog.hathitrust.org/Record/000741511","HathiTrust Record")</f>
        <v/>
      </c>
      <c r="AS1750">
        <f>HYPERLINK("https://creighton-primo.hosted.exlibrisgroup.com/primo-explore/search?tab=default_tab&amp;search_scope=EVERYTHING&amp;vid=01CRU&amp;lang=en_US&amp;offset=0&amp;query=any,contains,991005369909702656","Catalog Record")</f>
        <v/>
      </c>
      <c r="AT1750">
        <f>HYPERLINK("http://www.worldcat.org/oclc/2597107","WorldCat Record")</f>
        <v/>
      </c>
      <c r="AU1750" t="inlineStr">
        <is>
          <t>52980840:eng</t>
        </is>
      </c>
      <c r="AV1750" t="inlineStr">
        <is>
          <t>2597107</t>
        </is>
      </c>
      <c r="AW1750" t="inlineStr">
        <is>
          <t>991005369909702656</t>
        </is>
      </c>
      <c r="AX1750" t="inlineStr">
        <is>
          <t>991005369909702656</t>
        </is>
      </c>
      <c r="AY1750" t="inlineStr">
        <is>
          <t>2268734120002656</t>
        </is>
      </c>
      <c r="AZ1750" t="inlineStr">
        <is>
          <t>BOOK</t>
        </is>
      </c>
      <c r="BB1750" t="inlineStr">
        <is>
          <t>9780521214018</t>
        </is>
      </c>
      <c r="BC1750" t="inlineStr">
        <is>
          <t>32285001017481</t>
        </is>
      </c>
      <c r="BD1750" t="inlineStr">
        <is>
          <t>893320528</t>
        </is>
      </c>
    </row>
    <row r="1751">
      <c r="A1751" t="inlineStr">
        <is>
          <t>No</t>
        </is>
      </c>
      <c r="B1751" t="inlineStr">
        <is>
          <t>BX3002 .B8 1919</t>
        </is>
      </c>
      <c r="C1751" t="inlineStr">
        <is>
          <t>0                      BX 3002000B  8           1919</t>
        </is>
      </c>
      <c r="D1751" t="inlineStr">
        <is>
          <t>Benedictine monachism : studies in Benedictine life and rule / by ... Cuthbert Butler.</t>
        </is>
      </c>
      <c r="F1751" t="inlineStr">
        <is>
          <t>No</t>
        </is>
      </c>
      <c r="G1751" t="inlineStr">
        <is>
          <t>1</t>
        </is>
      </c>
      <c r="H1751" t="inlineStr">
        <is>
          <t>No</t>
        </is>
      </c>
      <c r="I1751" t="inlineStr">
        <is>
          <t>No</t>
        </is>
      </c>
      <c r="J1751" t="inlineStr">
        <is>
          <t>0</t>
        </is>
      </c>
      <c r="K1751" t="inlineStr">
        <is>
          <t>Butler, Cuthbert, 1858-1934.</t>
        </is>
      </c>
      <c r="L1751" t="inlineStr">
        <is>
          <t>London ; New York : Longmans, Green, 1919.</t>
        </is>
      </c>
      <c r="M1751" t="inlineStr">
        <is>
          <t>1919</t>
        </is>
      </c>
      <c r="O1751" t="inlineStr">
        <is>
          <t>eng</t>
        </is>
      </c>
      <c r="P1751" t="inlineStr">
        <is>
          <t>enk</t>
        </is>
      </c>
      <c r="R1751" t="inlineStr">
        <is>
          <t xml:space="preserve">BX </t>
        </is>
      </c>
      <c r="S1751" t="n">
        <v>6</v>
      </c>
      <c r="T1751" t="n">
        <v>6</v>
      </c>
      <c r="U1751" t="inlineStr">
        <is>
          <t>2005-03-15</t>
        </is>
      </c>
      <c r="V1751" t="inlineStr">
        <is>
          <t>2005-03-15</t>
        </is>
      </c>
      <c r="W1751" t="inlineStr">
        <is>
          <t>1991-11-07</t>
        </is>
      </c>
      <c r="X1751" t="inlineStr">
        <is>
          <t>1991-11-07</t>
        </is>
      </c>
      <c r="Y1751" t="n">
        <v>152</v>
      </c>
      <c r="Z1751" t="n">
        <v>106</v>
      </c>
      <c r="AA1751" t="n">
        <v>453</v>
      </c>
      <c r="AB1751" t="n">
        <v>1</v>
      </c>
      <c r="AC1751" t="n">
        <v>4</v>
      </c>
      <c r="AD1751" t="n">
        <v>9</v>
      </c>
      <c r="AE1751" t="n">
        <v>29</v>
      </c>
      <c r="AF1751" t="n">
        <v>2</v>
      </c>
      <c r="AG1751" t="n">
        <v>10</v>
      </c>
      <c r="AH1751" t="n">
        <v>4</v>
      </c>
      <c r="AI1751" t="n">
        <v>7</v>
      </c>
      <c r="AJ1751" t="n">
        <v>5</v>
      </c>
      <c r="AK1751" t="n">
        <v>20</v>
      </c>
      <c r="AL1751" t="n">
        <v>0</v>
      </c>
      <c r="AM1751" t="n">
        <v>2</v>
      </c>
      <c r="AN1751" t="n">
        <v>0</v>
      </c>
      <c r="AO1751" t="n">
        <v>0</v>
      </c>
      <c r="AP1751" t="inlineStr">
        <is>
          <t>Yes</t>
        </is>
      </c>
      <c r="AQ1751" t="inlineStr">
        <is>
          <t>No</t>
        </is>
      </c>
      <c r="AR1751">
        <f>HYPERLINK("http://catalog.hathitrust.org/Record/008733352","HathiTrust Record")</f>
        <v/>
      </c>
      <c r="AS1751">
        <f>HYPERLINK("https://creighton-primo.hosted.exlibrisgroup.com/primo-explore/search?tab=default_tab&amp;search_scope=EVERYTHING&amp;vid=01CRU&amp;lang=en_US&amp;offset=0&amp;query=any,contains,991004116789702656","Catalog Record")</f>
        <v/>
      </c>
      <c r="AT1751">
        <f>HYPERLINK("http://www.worldcat.org/oclc/2416144","WorldCat Record")</f>
        <v/>
      </c>
      <c r="AU1751" t="inlineStr">
        <is>
          <t>197870704:eng</t>
        </is>
      </c>
      <c r="AV1751" t="inlineStr">
        <is>
          <t>2416144</t>
        </is>
      </c>
      <c r="AW1751" t="inlineStr">
        <is>
          <t>991004116789702656</t>
        </is>
      </c>
      <c r="AX1751" t="inlineStr">
        <is>
          <t>991004116789702656</t>
        </is>
      </c>
      <c r="AY1751" t="inlineStr">
        <is>
          <t>2265319860002656</t>
        </is>
      </c>
      <c r="AZ1751" t="inlineStr">
        <is>
          <t>BOOK</t>
        </is>
      </c>
      <c r="BC1751" t="inlineStr">
        <is>
          <t>32285000833169</t>
        </is>
      </c>
      <c r="BD1751" t="inlineStr">
        <is>
          <t>893423404</t>
        </is>
      </c>
    </row>
    <row r="1752">
      <c r="A1752" t="inlineStr">
        <is>
          <t>No</t>
        </is>
      </c>
      <c r="B1752" t="inlineStr">
        <is>
          <t>BX3003 .M62 1914</t>
        </is>
      </c>
      <c r="C1752" t="inlineStr">
        <is>
          <t>0                      BX 3003000M  62          1914</t>
        </is>
      </c>
      <c r="D1752" t="inlineStr">
        <is>
          <t>The ideal of the monastic life found in the apostolic age / by Dom Germain Morin ; tr. from the French by C. Gunning ; with a preface by Dom Bede Camm.</t>
        </is>
      </c>
      <c r="F1752" t="inlineStr">
        <is>
          <t>No</t>
        </is>
      </c>
      <c r="G1752" t="inlineStr">
        <is>
          <t>1</t>
        </is>
      </c>
      <c r="H1752" t="inlineStr">
        <is>
          <t>No</t>
        </is>
      </c>
      <c r="I1752" t="inlineStr">
        <is>
          <t>No</t>
        </is>
      </c>
      <c r="J1752" t="inlineStr">
        <is>
          <t>0</t>
        </is>
      </c>
      <c r="K1752" t="inlineStr">
        <is>
          <t>Morin, Germain, 1861-1946.</t>
        </is>
      </c>
      <c r="L1752" t="inlineStr">
        <is>
          <t>London : R. &amp; T. Washbourne, 1914.</t>
        </is>
      </c>
      <c r="M1752" t="inlineStr">
        <is>
          <t>1914</t>
        </is>
      </c>
      <c r="O1752" t="inlineStr">
        <is>
          <t>eng</t>
        </is>
      </c>
      <c r="P1752" t="inlineStr">
        <is>
          <t>enk</t>
        </is>
      </c>
      <c r="R1752" t="inlineStr">
        <is>
          <t xml:space="preserve">BX </t>
        </is>
      </c>
      <c r="S1752" t="n">
        <v>5</v>
      </c>
      <c r="T1752" t="n">
        <v>5</v>
      </c>
      <c r="U1752" t="inlineStr">
        <is>
          <t>2003-10-27</t>
        </is>
      </c>
      <c r="V1752" t="inlineStr">
        <is>
          <t>2003-10-27</t>
        </is>
      </c>
      <c r="W1752" t="inlineStr">
        <is>
          <t>1991-12-17</t>
        </is>
      </c>
      <c r="X1752" t="inlineStr">
        <is>
          <t>1991-12-17</t>
        </is>
      </c>
      <c r="Y1752" t="n">
        <v>37</v>
      </c>
      <c r="Z1752" t="n">
        <v>21</v>
      </c>
      <c r="AA1752" t="n">
        <v>119</v>
      </c>
      <c r="AB1752" t="n">
        <v>1</v>
      </c>
      <c r="AC1752" t="n">
        <v>2</v>
      </c>
      <c r="AD1752" t="n">
        <v>3</v>
      </c>
      <c r="AE1752" t="n">
        <v>16</v>
      </c>
      <c r="AF1752" t="n">
        <v>1</v>
      </c>
      <c r="AG1752" t="n">
        <v>5</v>
      </c>
      <c r="AH1752" t="n">
        <v>1</v>
      </c>
      <c r="AI1752" t="n">
        <v>5</v>
      </c>
      <c r="AJ1752" t="n">
        <v>2</v>
      </c>
      <c r="AK1752" t="n">
        <v>12</v>
      </c>
      <c r="AL1752" t="n">
        <v>0</v>
      </c>
      <c r="AM1752" t="n">
        <v>0</v>
      </c>
      <c r="AN1752" t="n">
        <v>0</v>
      </c>
      <c r="AO1752" t="n">
        <v>0</v>
      </c>
      <c r="AP1752" t="inlineStr">
        <is>
          <t>No</t>
        </is>
      </c>
      <c r="AQ1752" t="inlineStr">
        <is>
          <t>No</t>
        </is>
      </c>
      <c r="AS1752">
        <f>HYPERLINK("https://creighton-primo.hosted.exlibrisgroup.com/primo-explore/search?tab=default_tab&amp;search_scope=EVERYTHING&amp;vid=01CRU&amp;lang=en_US&amp;offset=0&amp;query=any,contains,991004897679702656","Catalog Record")</f>
        <v/>
      </c>
      <c r="AT1752">
        <f>HYPERLINK("http://www.worldcat.org/oclc/5898285","WorldCat Record")</f>
        <v/>
      </c>
      <c r="AU1752" t="inlineStr">
        <is>
          <t>13714622:eng</t>
        </is>
      </c>
      <c r="AV1752" t="inlineStr">
        <is>
          <t>5898285</t>
        </is>
      </c>
      <c r="AW1752" t="inlineStr">
        <is>
          <t>991004897679702656</t>
        </is>
      </c>
      <c r="AX1752" t="inlineStr">
        <is>
          <t>991004897679702656</t>
        </is>
      </c>
      <c r="AY1752" t="inlineStr">
        <is>
          <t>2268356330002656</t>
        </is>
      </c>
      <c r="AZ1752" t="inlineStr">
        <is>
          <t>BOOK</t>
        </is>
      </c>
      <c r="BC1752" t="inlineStr">
        <is>
          <t>32285000907260</t>
        </is>
      </c>
      <c r="BD1752" t="inlineStr">
        <is>
          <t>893412044</t>
        </is>
      </c>
    </row>
    <row r="1753">
      <c r="A1753" t="inlineStr">
        <is>
          <t>No</t>
        </is>
      </c>
      <c r="B1753" t="inlineStr">
        <is>
          <t>BX3003 .S6 1951</t>
        </is>
      </c>
      <c r="C1753" t="inlineStr">
        <is>
          <t>0                      BX 3003000S  6           1951</t>
        </is>
      </c>
      <c r="D1753" t="inlineStr">
        <is>
          <t>Towards a Benedictine theology of manual labor.</t>
        </is>
      </c>
      <c r="F1753" t="inlineStr">
        <is>
          <t>No</t>
        </is>
      </c>
      <c r="G1753" t="inlineStr">
        <is>
          <t>1</t>
        </is>
      </c>
      <c r="H1753" t="inlineStr">
        <is>
          <t>No</t>
        </is>
      </c>
      <c r="I1753" t="inlineStr">
        <is>
          <t>No</t>
        </is>
      </c>
      <c r="J1753" t="inlineStr">
        <is>
          <t>0</t>
        </is>
      </c>
      <c r="K1753" t="inlineStr">
        <is>
          <t>Sorg, Rembert, 1908-1986.</t>
        </is>
      </c>
      <c r="L1753" t="inlineStr">
        <is>
          <t>Lisle, Ill. : Benedictine Orient, St. Procopius Abbey, c1951.</t>
        </is>
      </c>
      <c r="M1753" t="inlineStr">
        <is>
          <t>1951</t>
        </is>
      </c>
      <c r="O1753" t="inlineStr">
        <is>
          <t>eng</t>
        </is>
      </c>
      <c r="P1753" t="inlineStr">
        <is>
          <t xml:space="preserve">xx </t>
        </is>
      </c>
      <c r="R1753" t="inlineStr">
        <is>
          <t xml:space="preserve">BX </t>
        </is>
      </c>
      <c r="S1753" t="n">
        <v>2</v>
      </c>
      <c r="T1753" t="n">
        <v>2</v>
      </c>
      <c r="U1753" t="inlineStr">
        <is>
          <t>2001-10-11</t>
        </is>
      </c>
      <c r="V1753" t="inlineStr">
        <is>
          <t>2001-10-11</t>
        </is>
      </c>
      <c r="W1753" t="inlineStr">
        <is>
          <t>1991-11-07</t>
        </is>
      </c>
      <c r="X1753" t="inlineStr">
        <is>
          <t>1991-11-07</t>
        </is>
      </c>
      <c r="Y1753" t="n">
        <v>109</v>
      </c>
      <c r="Z1753" t="n">
        <v>100</v>
      </c>
      <c r="AA1753" t="n">
        <v>139</v>
      </c>
      <c r="AB1753" t="n">
        <v>2</v>
      </c>
      <c r="AC1753" t="n">
        <v>2</v>
      </c>
      <c r="AD1753" t="n">
        <v>15</v>
      </c>
      <c r="AE1753" t="n">
        <v>21</v>
      </c>
      <c r="AF1753" t="n">
        <v>4</v>
      </c>
      <c r="AG1753" t="n">
        <v>6</v>
      </c>
      <c r="AH1753" t="n">
        <v>4</v>
      </c>
      <c r="AI1753" t="n">
        <v>5</v>
      </c>
      <c r="AJ1753" t="n">
        <v>12</v>
      </c>
      <c r="AK1753" t="n">
        <v>16</v>
      </c>
      <c r="AL1753" t="n">
        <v>0</v>
      </c>
      <c r="AM1753" t="n">
        <v>0</v>
      </c>
      <c r="AN1753" t="n">
        <v>0</v>
      </c>
      <c r="AO1753" t="n">
        <v>0</v>
      </c>
      <c r="AP1753" t="inlineStr">
        <is>
          <t>No</t>
        </is>
      </c>
      <c r="AQ1753" t="inlineStr">
        <is>
          <t>No</t>
        </is>
      </c>
      <c r="AS1753">
        <f>HYPERLINK("https://creighton-primo.hosted.exlibrisgroup.com/primo-explore/search?tab=default_tab&amp;search_scope=EVERYTHING&amp;vid=01CRU&amp;lang=en_US&amp;offset=0&amp;query=any,contains,991004443699702656","Catalog Record")</f>
        <v/>
      </c>
      <c r="AT1753">
        <f>HYPERLINK("http://www.worldcat.org/oclc/3476765","WorldCat Record")</f>
        <v/>
      </c>
      <c r="AU1753" t="inlineStr">
        <is>
          <t>10424696:eng</t>
        </is>
      </c>
      <c r="AV1753" t="inlineStr">
        <is>
          <t>3476765</t>
        </is>
      </c>
      <c r="AW1753" t="inlineStr">
        <is>
          <t>991004443699702656</t>
        </is>
      </c>
      <c r="AX1753" t="inlineStr">
        <is>
          <t>991004443699702656</t>
        </is>
      </c>
      <c r="AY1753" t="inlineStr">
        <is>
          <t>2269848550002656</t>
        </is>
      </c>
      <c r="AZ1753" t="inlineStr">
        <is>
          <t>BOOK</t>
        </is>
      </c>
      <c r="BC1753" t="inlineStr">
        <is>
          <t>32285000833177</t>
        </is>
      </c>
      <c r="BD1753" t="inlineStr">
        <is>
          <t>893869720</t>
        </is>
      </c>
    </row>
    <row r="1754">
      <c r="A1754" t="inlineStr">
        <is>
          <t>No</t>
        </is>
      </c>
      <c r="B1754" t="inlineStr">
        <is>
          <t>BX3004 .A22 1989</t>
        </is>
      </c>
      <c r="C1754" t="inlineStr">
        <is>
          <t>0                      BX 3004000A  22          1989</t>
        </is>
      </c>
      <c r="D1754" t="inlineStr">
        <is>
          <t>In the unity of the Holy Spirit : spiritual talks on the Rule of Saint Benedict / Sighard Kleiner ; translated by James Scharinger.</t>
        </is>
      </c>
      <c r="F1754" t="inlineStr">
        <is>
          <t>No</t>
        </is>
      </c>
      <c r="G1754" t="inlineStr">
        <is>
          <t>1</t>
        </is>
      </c>
      <c r="H1754" t="inlineStr">
        <is>
          <t>No</t>
        </is>
      </c>
      <c r="I1754" t="inlineStr">
        <is>
          <t>No</t>
        </is>
      </c>
      <c r="J1754" t="inlineStr">
        <is>
          <t>0</t>
        </is>
      </c>
      <c r="K1754" t="inlineStr">
        <is>
          <t>Kleiner, Sighard.</t>
        </is>
      </c>
      <c r="L1754" t="inlineStr">
        <is>
          <t>Kalamazoo, Mich. : Cistercian Publications, 1989.</t>
        </is>
      </c>
      <c r="M1754" t="inlineStr">
        <is>
          <t>1989</t>
        </is>
      </c>
      <c r="O1754" t="inlineStr">
        <is>
          <t>eng</t>
        </is>
      </c>
      <c r="P1754" t="inlineStr">
        <is>
          <t>miu</t>
        </is>
      </c>
      <c r="Q1754" t="inlineStr">
        <is>
          <t>Cistercian studies series ; no. 115</t>
        </is>
      </c>
      <c r="R1754" t="inlineStr">
        <is>
          <t xml:space="preserve">BX </t>
        </is>
      </c>
      <c r="S1754" t="n">
        <v>8</v>
      </c>
      <c r="T1754" t="n">
        <v>8</v>
      </c>
      <c r="U1754" t="inlineStr">
        <is>
          <t>2006-06-15</t>
        </is>
      </c>
      <c r="V1754" t="inlineStr">
        <is>
          <t>2006-06-15</t>
        </is>
      </c>
      <c r="W1754" t="inlineStr">
        <is>
          <t>1990-04-02</t>
        </is>
      </c>
      <c r="X1754" t="inlineStr">
        <is>
          <t>1990-04-02</t>
        </is>
      </c>
      <c r="Y1754" t="n">
        <v>167</v>
      </c>
      <c r="Z1754" t="n">
        <v>146</v>
      </c>
      <c r="AA1754" t="n">
        <v>148</v>
      </c>
      <c r="AB1754" t="n">
        <v>2</v>
      </c>
      <c r="AC1754" t="n">
        <v>2</v>
      </c>
      <c r="AD1754" t="n">
        <v>14</v>
      </c>
      <c r="AE1754" t="n">
        <v>14</v>
      </c>
      <c r="AF1754" t="n">
        <v>4</v>
      </c>
      <c r="AG1754" t="n">
        <v>4</v>
      </c>
      <c r="AH1754" t="n">
        <v>3</v>
      </c>
      <c r="AI1754" t="n">
        <v>3</v>
      </c>
      <c r="AJ1754" t="n">
        <v>11</v>
      </c>
      <c r="AK1754" t="n">
        <v>11</v>
      </c>
      <c r="AL1754" t="n">
        <v>0</v>
      </c>
      <c r="AM1754" t="n">
        <v>0</v>
      </c>
      <c r="AN1754" t="n">
        <v>0</v>
      </c>
      <c r="AO1754" t="n">
        <v>0</v>
      </c>
      <c r="AP1754" t="inlineStr">
        <is>
          <t>No</t>
        </is>
      </c>
      <c r="AQ1754" t="inlineStr">
        <is>
          <t>Yes</t>
        </is>
      </c>
      <c r="AR1754">
        <f>HYPERLINK("http://catalog.hathitrust.org/Record/001545705","HathiTrust Record")</f>
        <v/>
      </c>
      <c r="AS1754">
        <f>HYPERLINK("https://creighton-primo.hosted.exlibrisgroup.com/primo-explore/search?tab=default_tab&amp;search_scope=EVERYTHING&amp;vid=01CRU&amp;lang=en_US&amp;offset=0&amp;query=any,contains,991001415199702656","Catalog Record")</f>
        <v/>
      </c>
      <c r="AT1754">
        <f>HYPERLINK("http://www.worldcat.org/oclc/18947937","WorldCat Record")</f>
        <v/>
      </c>
      <c r="AU1754" t="inlineStr">
        <is>
          <t>19406050:eng</t>
        </is>
      </c>
      <c r="AV1754" t="inlineStr">
        <is>
          <t>18947937</t>
        </is>
      </c>
      <c r="AW1754" t="inlineStr">
        <is>
          <t>991001415199702656</t>
        </is>
      </c>
      <c r="AX1754" t="inlineStr">
        <is>
          <t>991001415199702656</t>
        </is>
      </c>
      <c r="AY1754" t="inlineStr">
        <is>
          <t>2272256790002656</t>
        </is>
      </c>
      <c r="AZ1754" t="inlineStr">
        <is>
          <t>BOOK</t>
        </is>
      </c>
      <c r="BB1754" t="inlineStr">
        <is>
          <t>9780879077150</t>
        </is>
      </c>
      <c r="BC1754" t="inlineStr">
        <is>
          <t>32285000092717</t>
        </is>
      </c>
      <c r="BD1754" t="inlineStr">
        <is>
          <t>893615060</t>
        </is>
      </c>
    </row>
    <row r="1755">
      <c r="A1755" t="inlineStr">
        <is>
          <t>No</t>
        </is>
      </c>
      <c r="B1755" t="inlineStr">
        <is>
          <t>BX3004 .D413 1921</t>
        </is>
      </c>
      <c r="C1755" t="inlineStr">
        <is>
          <t>0                      BX 3004000D  413         1921</t>
        </is>
      </c>
      <c r="D1755" t="inlineStr">
        <is>
          <t>The rule of St. Benedict : a commentary / by the Right Rev. Dom Paul Delatte. Translated by Dom Justin McCann.</t>
        </is>
      </c>
      <c r="F1755" t="inlineStr">
        <is>
          <t>No</t>
        </is>
      </c>
      <c r="G1755" t="inlineStr">
        <is>
          <t>1</t>
        </is>
      </c>
      <c r="H1755" t="inlineStr">
        <is>
          <t>No</t>
        </is>
      </c>
      <c r="I1755" t="inlineStr">
        <is>
          <t>No</t>
        </is>
      </c>
      <c r="J1755" t="inlineStr">
        <is>
          <t>0</t>
        </is>
      </c>
      <c r="K1755" t="inlineStr">
        <is>
          <t>Delatte, Paul, 1848-1937.</t>
        </is>
      </c>
      <c r="L1755" t="inlineStr">
        <is>
          <t>New York : Benzinger, 1921.</t>
        </is>
      </c>
      <c r="M1755" t="inlineStr">
        <is>
          <t>1921</t>
        </is>
      </c>
      <c r="O1755" t="inlineStr">
        <is>
          <t>eng</t>
        </is>
      </c>
      <c r="P1755" t="inlineStr">
        <is>
          <t>nyu</t>
        </is>
      </c>
      <c r="R1755" t="inlineStr">
        <is>
          <t xml:space="preserve">BX </t>
        </is>
      </c>
      <c r="S1755" t="n">
        <v>7</v>
      </c>
      <c r="T1755" t="n">
        <v>7</v>
      </c>
      <c r="U1755" t="inlineStr">
        <is>
          <t>2004-06-25</t>
        </is>
      </c>
      <c r="V1755" t="inlineStr">
        <is>
          <t>2004-06-25</t>
        </is>
      </c>
      <c r="W1755" t="inlineStr">
        <is>
          <t>1991-11-07</t>
        </is>
      </c>
      <c r="X1755" t="inlineStr">
        <is>
          <t>1991-11-07</t>
        </is>
      </c>
      <c r="Y1755" t="n">
        <v>25</v>
      </c>
      <c r="Z1755" t="n">
        <v>24</v>
      </c>
      <c r="AA1755" t="n">
        <v>35</v>
      </c>
      <c r="AB1755" t="n">
        <v>1</v>
      </c>
      <c r="AC1755" t="n">
        <v>1</v>
      </c>
      <c r="AD1755" t="n">
        <v>5</v>
      </c>
      <c r="AE1755" t="n">
        <v>5</v>
      </c>
      <c r="AF1755" t="n">
        <v>2</v>
      </c>
      <c r="AG1755" t="n">
        <v>2</v>
      </c>
      <c r="AH1755" t="n">
        <v>2</v>
      </c>
      <c r="AI1755" t="n">
        <v>2</v>
      </c>
      <c r="AJ1755" t="n">
        <v>3</v>
      </c>
      <c r="AK1755" t="n">
        <v>3</v>
      </c>
      <c r="AL1755" t="n">
        <v>0</v>
      </c>
      <c r="AM1755" t="n">
        <v>0</v>
      </c>
      <c r="AN1755" t="n">
        <v>0</v>
      </c>
      <c r="AO1755" t="n">
        <v>0</v>
      </c>
      <c r="AP1755" t="inlineStr">
        <is>
          <t>No</t>
        </is>
      </c>
      <c r="AQ1755" t="inlineStr">
        <is>
          <t>No</t>
        </is>
      </c>
      <c r="AS1755">
        <f>HYPERLINK("https://creighton-primo.hosted.exlibrisgroup.com/primo-explore/search?tab=default_tab&amp;search_scope=EVERYTHING&amp;vid=01CRU&amp;lang=en_US&amp;offset=0&amp;query=any,contains,991004988539702656","Catalog Record")</f>
        <v/>
      </c>
      <c r="AT1755">
        <f>HYPERLINK("http://www.worldcat.org/oclc/6481622","WorldCat Record")</f>
        <v/>
      </c>
      <c r="AU1755" t="inlineStr">
        <is>
          <t>10568588342:eng</t>
        </is>
      </c>
      <c r="AV1755" t="inlineStr">
        <is>
          <t>6481622</t>
        </is>
      </c>
      <c r="AW1755" t="inlineStr">
        <is>
          <t>991004988539702656</t>
        </is>
      </c>
      <c r="AX1755" t="inlineStr">
        <is>
          <t>991004988539702656</t>
        </is>
      </c>
      <c r="AY1755" t="inlineStr">
        <is>
          <t>2270434370002656</t>
        </is>
      </c>
      <c r="AZ1755" t="inlineStr">
        <is>
          <t>BOOK</t>
        </is>
      </c>
      <c r="BC1755" t="inlineStr">
        <is>
          <t>32285000833185</t>
        </is>
      </c>
      <c r="BD1755" t="inlineStr">
        <is>
          <t>893424421</t>
        </is>
      </c>
    </row>
    <row r="1756">
      <c r="A1756" t="inlineStr">
        <is>
          <t>No</t>
        </is>
      </c>
      <c r="B1756" t="inlineStr">
        <is>
          <t>BX3004.A2 D85 1996</t>
        </is>
      </c>
      <c r="C1756" t="inlineStr">
        <is>
          <t>0                      BX 3004000A  2                  D  85          1996</t>
        </is>
      </c>
      <c r="D1756" t="inlineStr">
        <is>
          <t>Cherish Christ above all : the Bible in the rule of Benedict / by Demetrius Dumm.</t>
        </is>
      </c>
      <c r="F1756" t="inlineStr">
        <is>
          <t>No</t>
        </is>
      </c>
      <c r="G1756" t="inlineStr">
        <is>
          <t>1</t>
        </is>
      </c>
      <c r="H1756" t="inlineStr">
        <is>
          <t>No</t>
        </is>
      </c>
      <c r="I1756" t="inlineStr">
        <is>
          <t>No</t>
        </is>
      </c>
      <c r="J1756" t="inlineStr">
        <is>
          <t>0</t>
        </is>
      </c>
      <c r="K1756" t="inlineStr">
        <is>
          <t>Dumm, Demetrius, 1923-</t>
        </is>
      </c>
      <c r="L1756" t="inlineStr">
        <is>
          <t>New York : Paulist Press, c1996.</t>
        </is>
      </c>
      <c r="M1756" t="inlineStr">
        <is>
          <t>1996</t>
        </is>
      </c>
      <c r="O1756" t="inlineStr">
        <is>
          <t>eng</t>
        </is>
      </c>
      <c r="P1756" t="inlineStr">
        <is>
          <t>nyu</t>
        </is>
      </c>
      <c r="R1756" t="inlineStr">
        <is>
          <t xml:space="preserve">BX </t>
        </is>
      </c>
      <c r="S1756" t="n">
        <v>4</v>
      </c>
      <c r="T1756" t="n">
        <v>4</v>
      </c>
      <c r="U1756" t="inlineStr">
        <is>
          <t>2010-01-18</t>
        </is>
      </c>
      <c r="V1756" t="inlineStr">
        <is>
          <t>2010-01-18</t>
        </is>
      </c>
      <c r="W1756" t="inlineStr">
        <is>
          <t>1997-01-03</t>
        </is>
      </c>
      <c r="X1756" t="inlineStr">
        <is>
          <t>1997-01-03</t>
        </is>
      </c>
      <c r="Y1756" t="n">
        <v>129</v>
      </c>
      <c r="Z1756" t="n">
        <v>111</v>
      </c>
      <c r="AA1756" t="n">
        <v>114</v>
      </c>
      <c r="AB1756" t="n">
        <v>2</v>
      </c>
      <c r="AC1756" t="n">
        <v>2</v>
      </c>
      <c r="AD1756" t="n">
        <v>14</v>
      </c>
      <c r="AE1756" t="n">
        <v>14</v>
      </c>
      <c r="AF1756" t="n">
        <v>5</v>
      </c>
      <c r="AG1756" t="n">
        <v>5</v>
      </c>
      <c r="AH1756" t="n">
        <v>4</v>
      </c>
      <c r="AI1756" t="n">
        <v>4</v>
      </c>
      <c r="AJ1756" t="n">
        <v>10</v>
      </c>
      <c r="AK1756" t="n">
        <v>10</v>
      </c>
      <c r="AL1756" t="n">
        <v>0</v>
      </c>
      <c r="AM1756" t="n">
        <v>0</v>
      </c>
      <c r="AN1756" t="n">
        <v>0</v>
      </c>
      <c r="AO1756" t="n">
        <v>0</v>
      </c>
      <c r="AP1756" t="inlineStr">
        <is>
          <t>No</t>
        </is>
      </c>
      <c r="AQ1756" t="inlineStr">
        <is>
          <t>No</t>
        </is>
      </c>
      <c r="AS1756">
        <f>HYPERLINK("https://creighton-primo.hosted.exlibrisgroup.com/primo-explore/search?tab=default_tab&amp;search_scope=EVERYTHING&amp;vid=01CRU&amp;lang=en_US&amp;offset=0&amp;query=any,contains,991002615529702656","Catalog Record")</f>
        <v/>
      </c>
      <c r="AT1756">
        <f>HYPERLINK("http://www.worldcat.org/oclc/34283389","WorldCat Record")</f>
        <v/>
      </c>
      <c r="AU1756" t="inlineStr">
        <is>
          <t>39763992:eng</t>
        </is>
      </c>
      <c r="AV1756" t="inlineStr">
        <is>
          <t>34283389</t>
        </is>
      </c>
      <c r="AW1756" t="inlineStr">
        <is>
          <t>991002615529702656</t>
        </is>
      </c>
      <c r="AX1756" t="inlineStr">
        <is>
          <t>991002615529702656</t>
        </is>
      </c>
      <c r="AY1756" t="inlineStr">
        <is>
          <t>2257613740002656</t>
        </is>
      </c>
      <c r="AZ1756" t="inlineStr">
        <is>
          <t>BOOK</t>
        </is>
      </c>
      <c r="BB1756" t="inlineStr">
        <is>
          <t>9780809136469</t>
        </is>
      </c>
      <c r="BC1756" t="inlineStr">
        <is>
          <t>32285002404852</t>
        </is>
      </c>
      <c r="BD1756" t="inlineStr">
        <is>
          <t>893239282</t>
        </is>
      </c>
    </row>
    <row r="1757">
      <c r="A1757" t="inlineStr">
        <is>
          <t>No</t>
        </is>
      </c>
      <c r="B1757" t="inlineStr">
        <is>
          <t>BX3006 .H513 1958</t>
        </is>
      </c>
      <c r="C1757" t="inlineStr">
        <is>
          <t>0                      BX 3006000H  513         1958</t>
        </is>
      </c>
      <c r="D1757" t="inlineStr">
        <is>
          <t>Benedictinism through changing centuries / Translated from the German by Leonard J. Doyle.</t>
        </is>
      </c>
      <c r="F1757" t="inlineStr">
        <is>
          <t>No</t>
        </is>
      </c>
      <c r="G1757" t="inlineStr">
        <is>
          <t>1</t>
        </is>
      </c>
      <c r="H1757" t="inlineStr">
        <is>
          <t>No</t>
        </is>
      </c>
      <c r="I1757" t="inlineStr">
        <is>
          <t>No</t>
        </is>
      </c>
      <c r="J1757" t="inlineStr">
        <is>
          <t>0</t>
        </is>
      </c>
      <c r="K1757" t="inlineStr">
        <is>
          <t>Hilpisch, Stephanus, 1894-</t>
        </is>
      </c>
      <c r="L1757" t="inlineStr">
        <is>
          <t>Collegeville, Minn. : St. John's Abbey Press, 1958.</t>
        </is>
      </c>
      <c r="M1757" t="inlineStr">
        <is>
          <t>1958</t>
        </is>
      </c>
      <c r="O1757" t="inlineStr">
        <is>
          <t>eng</t>
        </is>
      </c>
      <c r="P1757" t="inlineStr">
        <is>
          <t xml:space="preserve">xx </t>
        </is>
      </c>
      <c r="R1757" t="inlineStr">
        <is>
          <t xml:space="preserve">BX </t>
        </is>
      </c>
      <c r="S1757" t="n">
        <v>4</v>
      </c>
      <c r="T1757" t="n">
        <v>4</v>
      </c>
      <c r="U1757" t="inlineStr">
        <is>
          <t>2005-04-14</t>
        </is>
      </c>
      <c r="V1757" t="inlineStr">
        <is>
          <t>2005-04-14</t>
        </is>
      </c>
      <c r="W1757" t="inlineStr">
        <is>
          <t>1991-11-07</t>
        </is>
      </c>
      <c r="X1757" t="inlineStr">
        <is>
          <t>1991-11-07</t>
        </is>
      </c>
      <c r="Y1757" t="n">
        <v>153</v>
      </c>
      <c r="Z1757" t="n">
        <v>145</v>
      </c>
      <c r="AA1757" t="n">
        <v>146</v>
      </c>
      <c r="AB1757" t="n">
        <v>2</v>
      </c>
      <c r="AC1757" t="n">
        <v>2</v>
      </c>
      <c r="AD1757" t="n">
        <v>13</v>
      </c>
      <c r="AE1757" t="n">
        <v>13</v>
      </c>
      <c r="AF1757" t="n">
        <v>4</v>
      </c>
      <c r="AG1757" t="n">
        <v>4</v>
      </c>
      <c r="AH1757" t="n">
        <v>3</v>
      </c>
      <c r="AI1757" t="n">
        <v>3</v>
      </c>
      <c r="AJ1757" t="n">
        <v>7</v>
      </c>
      <c r="AK1757" t="n">
        <v>7</v>
      </c>
      <c r="AL1757" t="n">
        <v>0</v>
      </c>
      <c r="AM1757" t="n">
        <v>0</v>
      </c>
      <c r="AN1757" t="n">
        <v>0</v>
      </c>
      <c r="AO1757" t="n">
        <v>0</v>
      </c>
      <c r="AP1757" t="inlineStr">
        <is>
          <t>No</t>
        </is>
      </c>
      <c r="AQ1757" t="inlineStr">
        <is>
          <t>No</t>
        </is>
      </c>
      <c r="AS1757">
        <f>HYPERLINK("https://creighton-primo.hosted.exlibrisgroup.com/primo-explore/search?tab=default_tab&amp;search_scope=EVERYTHING&amp;vid=01CRU&amp;lang=en_US&amp;offset=0&amp;query=any,contains,991004143009702656","Catalog Record")</f>
        <v/>
      </c>
      <c r="AT1757">
        <f>HYPERLINK("http://www.worldcat.org/oclc/2504171","WorldCat Record")</f>
        <v/>
      </c>
      <c r="AU1757" t="inlineStr">
        <is>
          <t>4663601175:eng</t>
        </is>
      </c>
      <c r="AV1757" t="inlineStr">
        <is>
          <t>2504171</t>
        </is>
      </c>
      <c r="AW1757" t="inlineStr">
        <is>
          <t>991004143009702656</t>
        </is>
      </c>
      <c r="AX1757" t="inlineStr">
        <is>
          <t>991004143009702656</t>
        </is>
      </c>
      <c r="AY1757" t="inlineStr">
        <is>
          <t>2258566750002656</t>
        </is>
      </c>
      <c r="AZ1757" t="inlineStr">
        <is>
          <t>BOOK</t>
        </is>
      </c>
      <c r="BC1757" t="inlineStr">
        <is>
          <t>32285000833342</t>
        </is>
      </c>
      <c r="BD1757" t="inlineStr">
        <is>
          <t>893525704</t>
        </is>
      </c>
    </row>
    <row r="1758">
      <c r="A1758" t="inlineStr">
        <is>
          <t>No</t>
        </is>
      </c>
      <c r="B1758" t="inlineStr">
        <is>
          <t>BX3008 .R56 1990</t>
        </is>
      </c>
      <c r="C1758" t="inlineStr">
        <is>
          <t>0                      BX 3008000R  56          1990</t>
        </is>
      </c>
      <c r="D1758" t="inlineStr">
        <is>
          <t>The Benedictine Order in the United States : an interpretive history / Joel Rippinger.</t>
        </is>
      </c>
      <c r="F1758" t="inlineStr">
        <is>
          <t>No</t>
        </is>
      </c>
      <c r="G1758" t="inlineStr">
        <is>
          <t>1</t>
        </is>
      </c>
      <c r="H1758" t="inlineStr">
        <is>
          <t>No</t>
        </is>
      </c>
      <c r="I1758" t="inlineStr">
        <is>
          <t>No</t>
        </is>
      </c>
      <c r="J1758" t="inlineStr">
        <is>
          <t>0</t>
        </is>
      </c>
      <c r="K1758" t="inlineStr">
        <is>
          <t>Rippinger, Joel, 1948-</t>
        </is>
      </c>
      <c r="L1758" t="inlineStr">
        <is>
          <t>Collegeville, Minn. : Liturgical Press, c1990.</t>
        </is>
      </c>
      <c r="M1758" t="inlineStr">
        <is>
          <t>1990</t>
        </is>
      </c>
      <c r="O1758" t="inlineStr">
        <is>
          <t>eng</t>
        </is>
      </c>
      <c r="P1758" t="inlineStr">
        <is>
          <t>mnu</t>
        </is>
      </c>
      <c r="R1758" t="inlineStr">
        <is>
          <t xml:space="preserve">BX </t>
        </is>
      </c>
      <c r="S1758" t="n">
        <v>9</v>
      </c>
      <c r="T1758" t="n">
        <v>9</v>
      </c>
      <c r="U1758" t="inlineStr">
        <is>
          <t>2010-03-01</t>
        </is>
      </c>
      <c r="V1758" t="inlineStr">
        <is>
          <t>2010-03-01</t>
        </is>
      </c>
      <c r="W1758" t="inlineStr">
        <is>
          <t>1992-01-28</t>
        </is>
      </c>
      <c r="X1758" t="inlineStr">
        <is>
          <t>1992-01-28</t>
        </is>
      </c>
      <c r="Y1758" t="n">
        <v>145</v>
      </c>
      <c r="Z1758" t="n">
        <v>134</v>
      </c>
      <c r="AA1758" t="n">
        <v>136</v>
      </c>
      <c r="AB1758" t="n">
        <v>1</v>
      </c>
      <c r="AC1758" t="n">
        <v>1</v>
      </c>
      <c r="AD1758" t="n">
        <v>12</v>
      </c>
      <c r="AE1758" t="n">
        <v>12</v>
      </c>
      <c r="AF1758" t="n">
        <v>5</v>
      </c>
      <c r="AG1758" t="n">
        <v>5</v>
      </c>
      <c r="AH1758" t="n">
        <v>4</v>
      </c>
      <c r="AI1758" t="n">
        <v>4</v>
      </c>
      <c r="AJ1758" t="n">
        <v>8</v>
      </c>
      <c r="AK1758" t="n">
        <v>8</v>
      </c>
      <c r="AL1758" t="n">
        <v>0</v>
      </c>
      <c r="AM1758" t="n">
        <v>0</v>
      </c>
      <c r="AN1758" t="n">
        <v>0</v>
      </c>
      <c r="AO1758" t="n">
        <v>0</v>
      </c>
      <c r="AP1758" t="inlineStr">
        <is>
          <t>No</t>
        </is>
      </c>
      <c r="AQ1758" t="inlineStr">
        <is>
          <t>Yes</t>
        </is>
      </c>
      <c r="AR1758">
        <f>HYPERLINK("http://catalog.hathitrust.org/Record/002898057","HathiTrust Record")</f>
        <v/>
      </c>
      <c r="AS1758">
        <f>HYPERLINK("https://creighton-primo.hosted.exlibrisgroup.com/primo-explore/search?tab=default_tab&amp;search_scope=EVERYTHING&amp;vid=01CRU&amp;lang=en_US&amp;offset=0&amp;query=any,contains,991001755719702656","Catalog Record")</f>
        <v/>
      </c>
      <c r="AT1758">
        <f>HYPERLINK("http://www.worldcat.org/oclc/22208964","WorldCat Record")</f>
        <v/>
      </c>
      <c r="AU1758" t="inlineStr">
        <is>
          <t>23925934:eng</t>
        </is>
      </c>
      <c r="AV1758" t="inlineStr">
        <is>
          <t>22208964</t>
        </is>
      </c>
      <c r="AW1758" t="inlineStr">
        <is>
          <t>991001755719702656</t>
        </is>
      </c>
      <c r="AX1758" t="inlineStr">
        <is>
          <t>991001755719702656</t>
        </is>
      </c>
      <c r="AY1758" t="inlineStr">
        <is>
          <t>2254854250002656</t>
        </is>
      </c>
      <c r="AZ1758" t="inlineStr">
        <is>
          <t>BOOK</t>
        </is>
      </c>
      <c r="BB1758" t="inlineStr">
        <is>
          <t>9780814618172</t>
        </is>
      </c>
      <c r="BC1758" t="inlineStr">
        <is>
          <t>32285000867076</t>
        </is>
      </c>
      <c r="BD1758" t="inlineStr">
        <is>
          <t>893244371</t>
        </is>
      </c>
    </row>
    <row r="1759">
      <c r="A1759" t="inlineStr">
        <is>
          <t>No</t>
        </is>
      </c>
      <c r="B1759" t="inlineStr">
        <is>
          <t>BX3016 .W4 1881</t>
        </is>
      </c>
      <c r="C1759" t="inlineStr">
        <is>
          <t>0                      BX 3016000W  4           1881</t>
        </is>
      </c>
      <c r="D1759" t="inlineStr">
        <is>
          <t>Chronological notes : containing the rise, growth and present state of the English congregation of the Order of St. Benedict drawn from the archives of the houses of the said congregation at Douay in Flanders, Dieulwart in Lorraine, Paris in France, and Lambspring in Germany, where are preserved the authentic acts and original deeds, etc. an: 1709 / by Dom Bennet Weldon.</t>
        </is>
      </c>
      <c r="F1759" t="inlineStr">
        <is>
          <t>No</t>
        </is>
      </c>
      <c r="G1759" t="inlineStr">
        <is>
          <t>1</t>
        </is>
      </c>
      <c r="H1759" t="inlineStr">
        <is>
          <t>No</t>
        </is>
      </c>
      <c r="I1759" t="inlineStr">
        <is>
          <t>No</t>
        </is>
      </c>
      <c r="J1759" t="inlineStr">
        <is>
          <t>0</t>
        </is>
      </c>
      <c r="K1759" t="inlineStr">
        <is>
          <t>Weldon, Ralph, 1674-1713.</t>
        </is>
      </c>
      <c r="L1759" t="inlineStr">
        <is>
          <t>Stanbrook, Worcester : Abbey of Our Lady of Consolation, 1881.</t>
        </is>
      </c>
      <c r="M1759" t="inlineStr">
        <is>
          <t>1881</t>
        </is>
      </c>
      <c r="O1759" t="inlineStr">
        <is>
          <t>eng</t>
        </is>
      </c>
      <c r="P1759" t="inlineStr">
        <is>
          <t>enk</t>
        </is>
      </c>
      <c r="R1759" t="inlineStr">
        <is>
          <t xml:space="preserve">BX </t>
        </is>
      </c>
      <c r="S1759" t="n">
        <v>1</v>
      </c>
      <c r="T1759" t="n">
        <v>1</v>
      </c>
      <c r="U1759" t="inlineStr">
        <is>
          <t>1994-07-27</t>
        </is>
      </c>
      <c r="V1759" t="inlineStr">
        <is>
          <t>1994-07-27</t>
        </is>
      </c>
      <c r="W1759" t="inlineStr">
        <is>
          <t>1994-07-25</t>
        </is>
      </c>
      <c r="X1759" t="inlineStr">
        <is>
          <t>1994-07-25</t>
        </is>
      </c>
      <c r="Y1759" t="n">
        <v>10</v>
      </c>
      <c r="Z1759" t="n">
        <v>9</v>
      </c>
      <c r="AA1759" t="n">
        <v>56</v>
      </c>
      <c r="AB1759" t="n">
        <v>1</v>
      </c>
      <c r="AC1759" t="n">
        <v>2</v>
      </c>
      <c r="AD1759" t="n">
        <v>2</v>
      </c>
      <c r="AE1759" t="n">
        <v>6</v>
      </c>
      <c r="AF1759" t="n">
        <v>0</v>
      </c>
      <c r="AG1759" t="n">
        <v>0</v>
      </c>
      <c r="AH1759" t="n">
        <v>0</v>
      </c>
      <c r="AI1759" t="n">
        <v>1</v>
      </c>
      <c r="AJ1759" t="n">
        <v>2</v>
      </c>
      <c r="AK1759" t="n">
        <v>4</v>
      </c>
      <c r="AL1759" t="n">
        <v>0</v>
      </c>
      <c r="AM1759" t="n">
        <v>1</v>
      </c>
      <c r="AN1759" t="n">
        <v>0</v>
      </c>
      <c r="AO1759" t="n">
        <v>0</v>
      </c>
      <c r="AP1759" t="inlineStr">
        <is>
          <t>No</t>
        </is>
      </c>
      <c r="AQ1759" t="inlineStr">
        <is>
          <t>No</t>
        </is>
      </c>
      <c r="AS1759">
        <f>HYPERLINK("https://creighton-primo.hosted.exlibrisgroup.com/primo-explore/search?tab=default_tab&amp;search_scope=EVERYTHING&amp;vid=01CRU&amp;lang=en_US&amp;offset=0&amp;query=any,contains,991000680969702656","Catalog Record")</f>
        <v/>
      </c>
      <c r="AT1759">
        <f>HYPERLINK("http://www.worldcat.org/oclc/12391539","WorldCat Record")</f>
        <v/>
      </c>
      <c r="AU1759" t="inlineStr">
        <is>
          <t>255473048:eng</t>
        </is>
      </c>
      <c r="AV1759" t="inlineStr">
        <is>
          <t>12391539</t>
        </is>
      </c>
      <c r="AW1759" t="inlineStr">
        <is>
          <t>991000680969702656</t>
        </is>
      </c>
      <c r="AX1759" t="inlineStr">
        <is>
          <t>991000680969702656</t>
        </is>
      </c>
      <c r="AY1759" t="inlineStr">
        <is>
          <t>2264828080002656</t>
        </is>
      </c>
      <c r="AZ1759" t="inlineStr">
        <is>
          <t>BOOK</t>
        </is>
      </c>
      <c r="BC1759" t="inlineStr">
        <is>
          <t>32285001940088</t>
        </is>
      </c>
      <c r="BD1759" t="inlineStr">
        <is>
          <t>893796905</t>
        </is>
      </c>
    </row>
    <row r="1760">
      <c r="A1760" t="inlineStr">
        <is>
          <t>No</t>
        </is>
      </c>
      <c r="B1760" t="inlineStr">
        <is>
          <t>BX303 .G4 1966a</t>
        </is>
      </c>
      <c r="C1760" t="inlineStr">
        <is>
          <t>0                      BX 0303000G  4           1966a</t>
        </is>
      </c>
      <c r="D1760" t="inlineStr">
        <is>
          <t>Byzantine East and Latin West, two worlds of Christendom in Middle Ages and Renaissance : studies in ecclesiastical and cultural history / [by] Deno J. Geanakoplos.</t>
        </is>
      </c>
      <c r="F1760" t="inlineStr">
        <is>
          <t>No</t>
        </is>
      </c>
      <c r="G1760" t="inlineStr">
        <is>
          <t>1</t>
        </is>
      </c>
      <c r="H1760" t="inlineStr">
        <is>
          <t>No</t>
        </is>
      </c>
      <c r="I1760" t="inlineStr">
        <is>
          <t>No</t>
        </is>
      </c>
      <c r="J1760" t="inlineStr">
        <is>
          <t>0</t>
        </is>
      </c>
      <c r="K1760" t="inlineStr">
        <is>
          <t>Geanakoplos, Deno John.</t>
        </is>
      </c>
      <c r="L1760" t="inlineStr">
        <is>
          <t>Oxford, Blackwell, 1966.</t>
        </is>
      </c>
      <c r="M1760" t="inlineStr">
        <is>
          <t>1966</t>
        </is>
      </c>
      <c r="O1760" t="inlineStr">
        <is>
          <t>eng</t>
        </is>
      </c>
      <c r="P1760" t="inlineStr">
        <is>
          <t>enk</t>
        </is>
      </c>
      <c r="R1760" t="inlineStr">
        <is>
          <t xml:space="preserve">BX </t>
        </is>
      </c>
      <c r="S1760" t="n">
        <v>10</v>
      </c>
      <c r="T1760" t="n">
        <v>10</v>
      </c>
      <c r="U1760" t="inlineStr">
        <is>
          <t>2004-09-27</t>
        </is>
      </c>
      <c r="V1760" t="inlineStr">
        <is>
          <t>2004-09-27</t>
        </is>
      </c>
      <c r="W1760" t="inlineStr">
        <is>
          <t>1992-03-26</t>
        </is>
      </c>
      <c r="X1760" t="inlineStr">
        <is>
          <t>1992-03-26</t>
        </is>
      </c>
      <c r="Y1760" t="n">
        <v>372</v>
      </c>
      <c r="Z1760" t="n">
        <v>247</v>
      </c>
      <c r="AA1760" t="n">
        <v>848</v>
      </c>
      <c r="AB1760" t="n">
        <v>2</v>
      </c>
      <c r="AC1760" t="n">
        <v>6</v>
      </c>
      <c r="AD1760" t="n">
        <v>7</v>
      </c>
      <c r="AE1760" t="n">
        <v>41</v>
      </c>
      <c r="AF1760" t="n">
        <v>3</v>
      </c>
      <c r="AG1760" t="n">
        <v>18</v>
      </c>
      <c r="AH1760" t="n">
        <v>1</v>
      </c>
      <c r="AI1760" t="n">
        <v>8</v>
      </c>
      <c r="AJ1760" t="n">
        <v>4</v>
      </c>
      <c r="AK1760" t="n">
        <v>21</v>
      </c>
      <c r="AL1760" t="n">
        <v>1</v>
      </c>
      <c r="AM1760" t="n">
        <v>4</v>
      </c>
      <c r="AN1760" t="n">
        <v>0</v>
      </c>
      <c r="AO1760" t="n">
        <v>0</v>
      </c>
      <c r="AP1760" t="inlineStr">
        <is>
          <t>No</t>
        </is>
      </c>
      <c r="AQ1760" t="inlineStr">
        <is>
          <t>No</t>
        </is>
      </c>
      <c r="AS1760">
        <f>HYPERLINK("https://creighton-primo.hosted.exlibrisgroup.com/primo-explore/search?tab=default_tab&amp;search_scope=EVERYTHING&amp;vid=01CRU&amp;lang=en_US&amp;offset=0&amp;query=any,contains,991001084839702656","Catalog Record")</f>
        <v/>
      </c>
      <c r="AT1760">
        <f>HYPERLINK("http://www.worldcat.org/oclc/179895","WorldCat Record")</f>
        <v/>
      </c>
      <c r="AU1760" t="inlineStr">
        <is>
          <t>1743295:eng</t>
        </is>
      </c>
      <c r="AV1760" t="inlineStr">
        <is>
          <t>179895</t>
        </is>
      </c>
      <c r="AW1760" t="inlineStr">
        <is>
          <t>991001084839702656</t>
        </is>
      </c>
      <c r="AX1760" t="inlineStr">
        <is>
          <t>991001084839702656</t>
        </is>
      </c>
      <c r="AY1760" t="inlineStr">
        <is>
          <t>2264872080002656</t>
        </is>
      </c>
      <c r="AZ1760" t="inlineStr">
        <is>
          <t>BOOK</t>
        </is>
      </c>
      <c r="BC1760" t="inlineStr">
        <is>
          <t>32285001017515</t>
        </is>
      </c>
      <c r="BD1760" t="inlineStr">
        <is>
          <t>893249952</t>
        </is>
      </c>
    </row>
    <row r="1761">
      <c r="A1761" t="inlineStr">
        <is>
          <t>No</t>
        </is>
      </c>
      <c r="B1761" t="inlineStr">
        <is>
          <t>BX3070.P68 M6</t>
        </is>
      </c>
      <c r="C1761" t="inlineStr">
        <is>
          <t>0                      BX 3070000P  68                 M  6</t>
        </is>
      </c>
      <c r="D1761" t="inlineStr">
        <is>
          <t>The modern devotion : confrontation with reformation and humanism / by R. R. Post.</t>
        </is>
      </c>
      <c r="F1761" t="inlineStr">
        <is>
          <t>No</t>
        </is>
      </c>
      <c r="G1761" t="inlineStr">
        <is>
          <t>1</t>
        </is>
      </c>
      <c r="H1761" t="inlineStr">
        <is>
          <t>No</t>
        </is>
      </c>
      <c r="I1761" t="inlineStr">
        <is>
          <t>No</t>
        </is>
      </c>
      <c r="J1761" t="inlineStr">
        <is>
          <t>0</t>
        </is>
      </c>
      <c r="K1761" t="inlineStr">
        <is>
          <t>Post, R. R. (Regnerus Richardus), 1894-1968.</t>
        </is>
      </c>
      <c r="L1761" t="inlineStr">
        <is>
          <t>Leiden : E. J. Brill, 1968.</t>
        </is>
      </c>
      <c r="M1761" t="inlineStr">
        <is>
          <t>1968</t>
        </is>
      </c>
      <c r="O1761" t="inlineStr">
        <is>
          <t>eng</t>
        </is>
      </c>
      <c r="P1761" t="inlineStr">
        <is>
          <t xml:space="preserve">ne </t>
        </is>
      </c>
      <c r="Q1761" t="inlineStr">
        <is>
          <t>Studies in medieval and Reformation thought ; v. 3</t>
        </is>
      </c>
      <c r="R1761" t="inlineStr">
        <is>
          <t xml:space="preserve">BX </t>
        </is>
      </c>
      <c r="S1761" t="n">
        <v>2</v>
      </c>
      <c r="T1761" t="n">
        <v>2</v>
      </c>
      <c r="U1761" t="inlineStr">
        <is>
          <t>2008-11-01</t>
        </is>
      </c>
      <c r="V1761" t="inlineStr">
        <is>
          <t>2008-11-01</t>
        </is>
      </c>
      <c r="W1761" t="inlineStr">
        <is>
          <t>1991-11-07</t>
        </is>
      </c>
      <c r="X1761" t="inlineStr">
        <is>
          <t>1991-11-07</t>
        </is>
      </c>
      <c r="Y1761" t="n">
        <v>500</v>
      </c>
      <c r="Z1761" t="n">
        <v>406</v>
      </c>
      <c r="AA1761" t="n">
        <v>419</v>
      </c>
      <c r="AB1761" t="n">
        <v>3</v>
      </c>
      <c r="AC1761" t="n">
        <v>3</v>
      </c>
      <c r="AD1761" t="n">
        <v>30</v>
      </c>
      <c r="AE1761" t="n">
        <v>30</v>
      </c>
      <c r="AF1761" t="n">
        <v>8</v>
      </c>
      <c r="AG1761" t="n">
        <v>8</v>
      </c>
      <c r="AH1761" t="n">
        <v>8</v>
      </c>
      <c r="AI1761" t="n">
        <v>8</v>
      </c>
      <c r="AJ1761" t="n">
        <v>20</v>
      </c>
      <c r="AK1761" t="n">
        <v>20</v>
      </c>
      <c r="AL1761" t="n">
        <v>2</v>
      </c>
      <c r="AM1761" t="n">
        <v>2</v>
      </c>
      <c r="AN1761" t="n">
        <v>0</v>
      </c>
      <c r="AO1761" t="n">
        <v>0</v>
      </c>
      <c r="AP1761" t="inlineStr">
        <is>
          <t>No</t>
        </is>
      </c>
      <c r="AQ1761" t="inlineStr">
        <is>
          <t>Yes</t>
        </is>
      </c>
      <c r="AR1761">
        <f>HYPERLINK("http://catalog.hathitrust.org/Record/001414932","HathiTrust Record")</f>
        <v/>
      </c>
      <c r="AS1761">
        <f>HYPERLINK("https://creighton-primo.hosted.exlibrisgroup.com/primo-explore/search?tab=default_tab&amp;search_scope=EVERYTHING&amp;vid=01CRU&amp;lang=en_US&amp;offset=0&amp;query=any,contains,991001393959702656","Catalog Record")</f>
        <v/>
      </c>
      <c r="AT1761">
        <f>HYPERLINK("http://www.worldcat.org/oclc/228424","WorldCat Record")</f>
        <v/>
      </c>
      <c r="AU1761" t="inlineStr">
        <is>
          <t>134020873:eng</t>
        </is>
      </c>
      <c r="AV1761" t="inlineStr">
        <is>
          <t>228424</t>
        </is>
      </c>
      <c r="AW1761" t="inlineStr">
        <is>
          <t>991001393959702656</t>
        </is>
      </c>
      <c r="AX1761" t="inlineStr">
        <is>
          <t>991001393959702656</t>
        </is>
      </c>
      <c r="AY1761" t="inlineStr">
        <is>
          <t>2256813080002656</t>
        </is>
      </c>
      <c r="AZ1761" t="inlineStr">
        <is>
          <t>BOOK</t>
        </is>
      </c>
      <c r="BC1761" t="inlineStr">
        <is>
          <t>32285000833466</t>
        </is>
      </c>
      <c r="BD1761" t="inlineStr">
        <is>
          <t>893891548</t>
        </is>
      </c>
    </row>
    <row r="1762">
      <c r="A1762" t="inlineStr">
        <is>
          <t>No</t>
        </is>
      </c>
      <c r="B1762" t="inlineStr">
        <is>
          <t>BX3115 .C8 1929</t>
        </is>
      </c>
      <c r="C1762" t="inlineStr">
        <is>
          <t>0                      BX 3115000C  8           1929</t>
        </is>
      </c>
      <c r="D1762" t="inlineStr">
        <is>
          <t>The Capuchins : a contribution to the history of the Counter-Reformation / Father Cuthbert.</t>
        </is>
      </c>
      <c r="E1762" t="inlineStr">
        <is>
          <t>V.1</t>
        </is>
      </c>
      <c r="F1762" t="inlineStr">
        <is>
          <t>Yes</t>
        </is>
      </c>
      <c r="G1762" t="inlineStr">
        <is>
          <t>1</t>
        </is>
      </c>
      <c r="H1762" t="inlineStr">
        <is>
          <t>No</t>
        </is>
      </c>
      <c r="I1762" t="inlineStr">
        <is>
          <t>No</t>
        </is>
      </c>
      <c r="J1762" t="inlineStr">
        <is>
          <t>0</t>
        </is>
      </c>
      <c r="K1762" t="inlineStr">
        <is>
          <t>Cuthbert, Father, O.S.F.C., 1866-1939.</t>
        </is>
      </c>
      <c r="L1762" t="inlineStr">
        <is>
          <t>New York : Longmans, Green, 1929.</t>
        </is>
      </c>
      <c r="M1762" t="inlineStr">
        <is>
          <t>1929</t>
        </is>
      </c>
      <c r="O1762" t="inlineStr">
        <is>
          <t>eng</t>
        </is>
      </c>
      <c r="P1762" t="inlineStr">
        <is>
          <t>nyu</t>
        </is>
      </c>
      <c r="R1762" t="inlineStr">
        <is>
          <t xml:space="preserve">BX </t>
        </is>
      </c>
      <c r="S1762" t="n">
        <v>7</v>
      </c>
      <c r="T1762" t="n">
        <v>9</v>
      </c>
      <c r="U1762" t="inlineStr">
        <is>
          <t>1998-01-14</t>
        </is>
      </c>
      <c r="V1762" t="inlineStr">
        <is>
          <t>1998-01-14</t>
        </is>
      </c>
      <c r="W1762" t="inlineStr">
        <is>
          <t>1991-11-07</t>
        </is>
      </c>
      <c r="X1762" t="inlineStr">
        <is>
          <t>1991-11-07</t>
        </is>
      </c>
      <c r="Y1762" t="n">
        <v>193</v>
      </c>
      <c r="Z1762" t="n">
        <v>179</v>
      </c>
      <c r="AA1762" t="n">
        <v>461</v>
      </c>
      <c r="AB1762" t="n">
        <v>2</v>
      </c>
      <c r="AC1762" t="n">
        <v>2</v>
      </c>
      <c r="AD1762" t="n">
        <v>18</v>
      </c>
      <c r="AE1762" t="n">
        <v>36</v>
      </c>
      <c r="AF1762" t="n">
        <v>6</v>
      </c>
      <c r="AG1762" t="n">
        <v>14</v>
      </c>
      <c r="AH1762" t="n">
        <v>6</v>
      </c>
      <c r="AI1762" t="n">
        <v>9</v>
      </c>
      <c r="AJ1762" t="n">
        <v>11</v>
      </c>
      <c r="AK1762" t="n">
        <v>25</v>
      </c>
      <c r="AL1762" t="n">
        <v>0</v>
      </c>
      <c r="AM1762" t="n">
        <v>0</v>
      </c>
      <c r="AN1762" t="n">
        <v>0</v>
      </c>
      <c r="AO1762" t="n">
        <v>0</v>
      </c>
      <c r="AP1762" t="inlineStr">
        <is>
          <t>Yes</t>
        </is>
      </c>
      <c r="AQ1762" t="inlineStr">
        <is>
          <t>No</t>
        </is>
      </c>
      <c r="AR1762">
        <f>HYPERLINK("http://catalog.hathitrust.org/Record/001940788","HathiTrust Record")</f>
        <v/>
      </c>
      <c r="AS1762">
        <f>HYPERLINK("https://creighton-primo.hosted.exlibrisgroup.com/primo-explore/search?tab=default_tab&amp;search_scope=EVERYTHING&amp;vid=01CRU&amp;lang=en_US&amp;offset=0&amp;query=any,contains,991004162329702656","Catalog Record")</f>
        <v/>
      </c>
      <c r="AT1762">
        <f>HYPERLINK("http://www.worldcat.org/oclc/2554856","WorldCat Record")</f>
        <v/>
      </c>
      <c r="AU1762" t="inlineStr">
        <is>
          <t>2863674606:eng</t>
        </is>
      </c>
      <c r="AV1762" t="inlineStr">
        <is>
          <t>2554856</t>
        </is>
      </c>
      <c r="AW1762" t="inlineStr">
        <is>
          <t>991004162329702656</t>
        </is>
      </c>
      <c r="AX1762" t="inlineStr">
        <is>
          <t>991004162329702656</t>
        </is>
      </c>
      <c r="AY1762" t="inlineStr">
        <is>
          <t>2272273470002656</t>
        </is>
      </c>
      <c r="AZ1762" t="inlineStr">
        <is>
          <t>BOOK</t>
        </is>
      </c>
      <c r="BC1762" t="inlineStr">
        <is>
          <t>32285000833474</t>
        </is>
      </c>
      <c r="BD1762" t="inlineStr">
        <is>
          <t>893706061</t>
        </is>
      </c>
    </row>
    <row r="1763">
      <c r="A1763" t="inlineStr">
        <is>
          <t>No</t>
        </is>
      </c>
      <c r="B1763" t="inlineStr">
        <is>
          <t>BX3115 .C8 1929</t>
        </is>
      </c>
      <c r="C1763" t="inlineStr">
        <is>
          <t>0                      BX 3115000C  8           1929</t>
        </is>
      </c>
      <c r="D1763" t="inlineStr">
        <is>
          <t>The Capuchins : a contribution to the history of the Counter-Reformation / Father Cuthbert.</t>
        </is>
      </c>
      <c r="E1763" t="inlineStr">
        <is>
          <t>V.2</t>
        </is>
      </c>
      <c r="F1763" t="inlineStr">
        <is>
          <t>Yes</t>
        </is>
      </c>
      <c r="G1763" t="inlineStr">
        <is>
          <t>1</t>
        </is>
      </c>
      <c r="H1763" t="inlineStr">
        <is>
          <t>No</t>
        </is>
      </c>
      <c r="I1763" t="inlineStr">
        <is>
          <t>No</t>
        </is>
      </c>
      <c r="J1763" t="inlineStr">
        <is>
          <t>0</t>
        </is>
      </c>
      <c r="K1763" t="inlineStr">
        <is>
          <t>Cuthbert, Father, O.S.F.C., 1866-1939.</t>
        </is>
      </c>
      <c r="L1763" t="inlineStr">
        <is>
          <t>New York : Longmans, Green, 1929.</t>
        </is>
      </c>
      <c r="M1763" t="inlineStr">
        <is>
          <t>1929</t>
        </is>
      </c>
      <c r="O1763" t="inlineStr">
        <is>
          <t>eng</t>
        </is>
      </c>
      <c r="P1763" t="inlineStr">
        <is>
          <t>nyu</t>
        </is>
      </c>
      <c r="R1763" t="inlineStr">
        <is>
          <t xml:space="preserve">BX </t>
        </is>
      </c>
      <c r="S1763" t="n">
        <v>2</v>
      </c>
      <c r="T1763" t="n">
        <v>9</v>
      </c>
      <c r="V1763" t="inlineStr">
        <is>
          <t>1998-01-14</t>
        </is>
      </c>
      <c r="W1763" t="inlineStr">
        <is>
          <t>1991-11-07</t>
        </is>
      </c>
      <c r="X1763" t="inlineStr">
        <is>
          <t>1991-11-07</t>
        </is>
      </c>
      <c r="Y1763" t="n">
        <v>193</v>
      </c>
      <c r="Z1763" t="n">
        <v>179</v>
      </c>
      <c r="AA1763" t="n">
        <v>461</v>
      </c>
      <c r="AB1763" t="n">
        <v>2</v>
      </c>
      <c r="AC1763" t="n">
        <v>2</v>
      </c>
      <c r="AD1763" t="n">
        <v>18</v>
      </c>
      <c r="AE1763" t="n">
        <v>36</v>
      </c>
      <c r="AF1763" t="n">
        <v>6</v>
      </c>
      <c r="AG1763" t="n">
        <v>14</v>
      </c>
      <c r="AH1763" t="n">
        <v>6</v>
      </c>
      <c r="AI1763" t="n">
        <v>9</v>
      </c>
      <c r="AJ1763" t="n">
        <v>11</v>
      </c>
      <c r="AK1763" t="n">
        <v>25</v>
      </c>
      <c r="AL1763" t="n">
        <v>0</v>
      </c>
      <c r="AM1763" t="n">
        <v>0</v>
      </c>
      <c r="AN1763" t="n">
        <v>0</v>
      </c>
      <c r="AO1763" t="n">
        <v>0</v>
      </c>
      <c r="AP1763" t="inlineStr">
        <is>
          <t>Yes</t>
        </is>
      </c>
      <c r="AQ1763" t="inlineStr">
        <is>
          <t>No</t>
        </is>
      </c>
      <c r="AR1763">
        <f>HYPERLINK("http://catalog.hathitrust.org/Record/001940788","HathiTrust Record")</f>
        <v/>
      </c>
      <c r="AS1763">
        <f>HYPERLINK("https://creighton-primo.hosted.exlibrisgroup.com/primo-explore/search?tab=default_tab&amp;search_scope=EVERYTHING&amp;vid=01CRU&amp;lang=en_US&amp;offset=0&amp;query=any,contains,991004162329702656","Catalog Record")</f>
        <v/>
      </c>
      <c r="AT1763">
        <f>HYPERLINK("http://www.worldcat.org/oclc/2554856","WorldCat Record")</f>
        <v/>
      </c>
      <c r="AU1763" t="inlineStr">
        <is>
          <t>2863674606:eng</t>
        </is>
      </c>
      <c r="AV1763" t="inlineStr">
        <is>
          <t>2554856</t>
        </is>
      </c>
      <c r="AW1763" t="inlineStr">
        <is>
          <t>991004162329702656</t>
        </is>
      </c>
      <c r="AX1763" t="inlineStr">
        <is>
          <t>991004162329702656</t>
        </is>
      </c>
      <c r="AY1763" t="inlineStr">
        <is>
          <t>2272273470002656</t>
        </is>
      </c>
      <c r="AZ1763" t="inlineStr">
        <is>
          <t>BOOK</t>
        </is>
      </c>
      <c r="BC1763" t="inlineStr">
        <is>
          <t>32285000833482</t>
        </is>
      </c>
      <c r="BD1763" t="inlineStr">
        <is>
          <t>893706060</t>
        </is>
      </c>
    </row>
    <row r="1764">
      <c r="A1764" t="inlineStr">
        <is>
          <t>No</t>
        </is>
      </c>
      <c r="B1764" t="inlineStr">
        <is>
          <t>BX320 .A78 1961</t>
        </is>
      </c>
      <c r="C1764" t="inlineStr">
        <is>
          <t>0                      BX 0320000A  78          1961</t>
        </is>
      </c>
      <c r="D1764" t="inlineStr">
        <is>
          <t>The Christian churches of the East / by Donald Attwater.</t>
        </is>
      </c>
      <c r="E1764" t="inlineStr">
        <is>
          <t>V.2</t>
        </is>
      </c>
      <c r="F1764" t="inlineStr">
        <is>
          <t>Yes</t>
        </is>
      </c>
      <c r="G1764" t="inlineStr">
        <is>
          <t>1</t>
        </is>
      </c>
      <c r="H1764" t="inlineStr">
        <is>
          <t>No</t>
        </is>
      </c>
      <c r="I1764" t="inlineStr">
        <is>
          <t>No</t>
        </is>
      </c>
      <c r="J1764" t="inlineStr">
        <is>
          <t>0</t>
        </is>
      </c>
      <c r="K1764" t="inlineStr">
        <is>
          <t>Attwater, Donald, 1892-1977.</t>
        </is>
      </c>
      <c r="L1764" t="inlineStr">
        <is>
          <t>Milwaukee : Bruce, 1961-62.</t>
        </is>
      </c>
      <c r="M1764" t="inlineStr">
        <is>
          <t>1961</t>
        </is>
      </c>
      <c r="N1764" t="inlineStr">
        <is>
          <t>Rev. ed.</t>
        </is>
      </c>
      <c r="O1764" t="inlineStr">
        <is>
          <t>eng</t>
        </is>
      </c>
      <c r="P1764" t="inlineStr">
        <is>
          <t>wiu</t>
        </is>
      </c>
      <c r="R1764" t="inlineStr">
        <is>
          <t xml:space="preserve">BX </t>
        </is>
      </c>
      <c r="S1764" t="n">
        <v>0</v>
      </c>
      <c r="T1764" t="n">
        <v>1</v>
      </c>
      <c r="V1764" t="inlineStr">
        <is>
          <t>2005-03-10</t>
        </is>
      </c>
      <c r="W1764" t="inlineStr">
        <is>
          <t>1992-03-26</t>
        </is>
      </c>
      <c r="X1764" t="inlineStr">
        <is>
          <t>1992-03-26</t>
        </is>
      </c>
      <c r="Y1764" t="n">
        <v>196</v>
      </c>
      <c r="Z1764" t="n">
        <v>174</v>
      </c>
      <c r="AA1764" t="n">
        <v>248</v>
      </c>
      <c r="AB1764" t="n">
        <v>1</v>
      </c>
      <c r="AC1764" t="n">
        <v>2</v>
      </c>
      <c r="AD1764" t="n">
        <v>11</v>
      </c>
      <c r="AE1764" t="n">
        <v>13</v>
      </c>
      <c r="AF1764" t="n">
        <v>4</v>
      </c>
      <c r="AG1764" t="n">
        <v>5</v>
      </c>
      <c r="AH1764" t="n">
        <v>3</v>
      </c>
      <c r="AI1764" t="n">
        <v>3</v>
      </c>
      <c r="AJ1764" t="n">
        <v>5</v>
      </c>
      <c r="AK1764" t="n">
        <v>5</v>
      </c>
      <c r="AL1764" t="n">
        <v>0</v>
      </c>
      <c r="AM1764" t="n">
        <v>1</v>
      </c>
      <c r="AN1764" t="n">
        <v>0</v>
      </c>
      <c r="AO1764" t="n">
        <v>0</v>
      </c>
      <c r="AP1764" t="inlineStr">
        <is>
          <t>No</t>
        </is>
      </c>
      <c r="AQ1764" t="inlineStr">
        <is>
          <t>No</t>
        </is>
      </c>
      <c r="AS1764">
        <f>HYPERLINK("https://creighton-primo.hosted.exlibrisgroup.com/primo-explore/search?tab=default_tab&amp;search_scope=EVERYTHING&amp;vid=01CRU&amp;lang=en_US&amp;offset=0&amp;query=any,contains,991002670689702656","Catalog Record")</f>
        <v/>
      </c>
      <c r="AT1764">
        <f>HYPERLINK("http://www.worldcat.org/oclc/394965","WorldCat Record")</f>
        <v/>
      </c>
      <c r="AU1764" t="inlineStr">
        <is>
          <t>1537343:eng</t>
        </is>
      </c>
      <c r="AV1764" t="inlineStr">
        <is>
          <t>394965</t>
        </is>
      </c>
      <c r="AW1764" t="inlineStr">
        <is>
          <t>991002670689702656</t>
        </is>
      </c>
      <c r="AX1764" t="inlineStr">
        <is>
          <t>991002670689702656</t>
        </is>
      </c>
      <c r="AY1764" t="inlineStr">
        <is>
          <t>2260281070002656</t>
        </is>
      </c>
      <c r="AZ1764" t="inlineStr">
        <is>
          <t>BOOK</t>
        </is>
      </c>
      <c r="BC1764" t="inlineStr">
        <is>
          <t>32285001017549</t>
        </is>
      </c>
      <c r="BD1764" t="inlineStr">
        <is>
          <t>893427860</t>
        </is>
      </c>
    </row>
    <row r="1765">
      <c r="A1765" t="inlineStr">
        <is>
          <t>No</t>
        </is>
      </c>
      <c r="B1765" t="inlineStr">
        <is>
          <t>BX320 .A78 1961</t>
        </is>
      </c>
      <c r="C1765" t="inlineStr">
        <is>
          <t>0                      BX 0320000A  78          1961</t>
        </is>
      </c>
      <c r="D1765" t="inlineStr">
        <is>
          <t>The Christian churches of the East / by Donald Attwater.</t>
        </is>
      </c>
      <c r="E1765" t="inlineStr">
        <is>
          <t>V.1</t>
        </is>
      </c>
      <c r="F1765" t="inlineStr">
        <is>
          <t>Yes</t>
        </is>
      </c>
      <c r="G1765" t="inlineStr">
        <is>
          <t>1</t>
        </is>
      </c>
      <c r="H1765" t="inlineStr">
        <is>
          <t>No</t>
        </is>
      </c>
      <c r="I1765" t="inlineStr">
        <is>
          <t>No</t>
        </is>
      </c>
      <c r="J1765" t="inlineStr">
        <is>
          <t>0</t>
        </is>
      </c>
      <c r="K1765" t="inlineStr">
        <is>
          <t>Attwater, Donald, 1892-1977.</t>
        </is>
      </c>
      <c r="L1765" t="inlineStr">
        <is>
          <t>Milwaukee : Bruce, 1961-62.</t>
        </is>
      </c>
      <c r="M1765" t="inlineStr">
        <is>
          <t>1961</t>
        </is>
      </c>
      <c r="N1765" t="inlineStr">
        <is>
          <t>Rev. ed.</t>
        </is>
      </c>
      <c r="O1765" t="inlineStr">
        <is>
          <t>eng</t>
        </is>
      </c>
      <c r="P1765" t="inlineStr">
        <is>
          <t>wiu</t>
        </is>
      </c>
      <c r="R1765" t="inlineStr">
        <is>
          <t xml:space="preserve">BX </t>
        </is>
      </c>
      <c r="S1765" t="n">
        <v>1</v>
      </c>
      <c r="T1765" t="n">
        <v>1</v>
      </c>
      <c r="U1765" t="inlineStr">
        <is>
          <t>2005-03-10</t>
        </is>
      </c>
      <c r="V1765" t="inlineStr">
        <is>
          <t>2005-03-10</t>
        </is>
      </c>
      <c r="W1765" t="inlineStr">
        <is>
          <t>1992-03-26</t>
        </is>
      </c>
      <c r="X1765" t="inlineStr">
        <is>
          <t>1992-03-26</t>
        </is>
      </c>
      <c r="Y1765" t="n">
        <v>196</v>
      </c>
      <c r="Z1765" t="n">
        <v>174</v>
      </c>
      <c r="AA1765" t="n">
        <v>248</v>
      </c>
      <c r="AB1765" t="n">
        <v>1</v>
      </c>
      <c r="AC1765" t="n">
        <v>2</v>
      </c>
      <c r="AD1765" t="n">
        <v>11</v>
      </c>
      <c r="AE1765" t="n">
        <v>13</v>
      </c>
      <c r="AF1765" t="n">
        <v>4</v>
      </c>
      <c r="AG1765" t="n">
        <v>5</v>
      </c>
      <c r="AH1765" t="n">
        <v>3</v>
      </c>
      <c r="AI1765" t="n">
        <v>3</v>
      </c>
      <c r="AJ1765" t="n">
        <v>5</v>
      </c>
      <c r="AK1765" t="n">
        <v>5</v>
      </c>
      <c r="AL1765" t="n">
        <v>0</v>
      </c>
      <c r="AM1765" t="n">
        <v>1</v>
      </c>
      <c r="AN1765" t="n">
        <v>0</v>
      </c>
      <c r="AO1765" t="n">
        <v>0</v>
      </c>
      <c r="AP1765" t="inlineStr">
        <is>
          <t>No</t>
        </is>
      </c>
      <c r="AQ1765" t="inlineStr">
        <is>
          <t>No</t>
        </is>
      </c>
      <c r="AS1765">
        <f>HYPERLINK("https://creighton-primo.hosted.exlibrisgroup.com/primo-explore/search?tab=default_tab&amp;search_scope=EVERYTHING&amp;vid=01CRU&amp;lang=en_US&amp;offset=0&amp;query=any,contains,991002670689702656","Catalog Record")</f>
        <v/>
      </c>
      <c r="AT1765">
        <f>HYPERLINK("http://www.worldcat.org/oclc/394965","WorldCat Record")</f>
        <v/>
      </c>
      <c r="AU1765" t="inlineStr">
        <is>
          <t>1537343:eng</t>
        </is>
      </c>
      <c r="AV1765" t="inlineStr">
        <is>
          <t>394965</t>
        </is>
      </c>
      <c r="AW1765" t="inlineStr">
        <is>
          <t>991002670689702656</t>
        </is>
      </c>
      <c r="AX1765" t="inlineStr">
        <is>
          <t>991002670689702656</t>
        </is>
      </c>
      <c r="AY1765" t="inlineStr">
        <is>
          <t>2260281070002656</t>
        </is>
      </c>
      <c r="AZ1765" t="inlineStr">
        <is>
          <t>BOOK</t>
        </is>
      </c>
      <c r="BC1765" t="inlineStr">
        <is>
          <t>32285001017531</t>
        </is>
      </c>
      <c r="BD1765" t="inlineStr">
        <is>
          <t>893434145</t>
        </is>
      </c>
    </row>
    <row r="1766">
      <c r="A1766" t="inlineStr">
        <is>
          <t>No</t>
        </is>
      </c>
      <c r="B1766" t="inlineStr">
        <is>
          <t>BX320.2 .M473 1983</t>
        </is>
      </c>
      <c r="C1766" t="inlineStr">
        <is>
          <t>0                      BX 0320200M  473         1983</t>
        </is>
      </c>
      <c r="D1766" t="inlineStr">
        <is>
          <t>Catholicity and the church / John Meyendorff.</t>
        </is>
      </c>
      <c r="F1766" t="inlineStr">
        <is>
          <t>No</t>
        </is>
      </c>
      <c r="G1766" t="inlineStr">
        <is>
          <t>1</t>
        </is>
      </c>
      <c r="H1766" t="inlineStr">
        <is>
          <t>No</t>
        </is>
      </c>
      <c r="I1766" t="inlineStr">
        <is>
          <t>No</t>
        </is>
      </c>
      <c r="J1766" t="inlineStr">
        <is>
          <t>0</t>
        </is>
      </c>
      <c r="K1766" t="inlineStr">
        <is>
          <t>Meyendorff, John, 1926-1992.</t>
        </is>
      </c>
      <c r="L1766" t="inlineStr">
        <is>
          <t>Crestwood, N.Y. : St. Vladimir's Seminary Press, 1983.</t>
        </is>
      </c>
      <c r="M1766" t="inlineStr">
        <is>
          <t>1983</t>
        </is>
      </c>
      <c r="O1766" t="inlineStr">
        <is>
          <t>eng</t>
        </is>
      </c>
      <c r="P1766" t="inlineStr">
        <is>
          <t>nyu</t>
        </is>
      </c>
      <c r="R1766" t="inlineStr">
        <is>
          <t xml:space="preserve">BX </t>
        </is>
      </c>
      <c r="S1766" t="n">
        <v>6</v>
      </c>
      <c r="T1766" t="n">
        <v>6</v>
      </c>
      <c r="U1766" t="inlineStr">
        <is>
          <t>2006-12-01</t>
        </is>
      </c>
      <c r="V1766" t="inlineStr">
        <is>
          <t>2006-12-01</t>
        </is>
      </c>
      <c r="W1766" t="inlineStr">
        <is>
          <t>1992-10-09</t>
        </is>
      </c>
      <c r="X1766" t="inlineStr">
        <is>
          <t>1992-10-09</t>
        </is>
      </c>
      <c r="Y1766" t="n">
        <v>272</v>
      </c>
      <c r="Z1766" t="n">
        <v>226</v>
      </c>
      <c r="AA1766" t="n">
        <v>226</v>
      </c>
      <c r="AB1766" t="n">
        <v>2</v>
      </c>
      <c r="AC1766" t="n">
        <v>2</v>
      </c>
      <c r="AD1766" t="n">
        <v>23</v>
      </c>
      <c r="AE1766" t="n">
        <v>23</v>
      </c>
      <c r="AF1766" t="n">
        <v>11</v>
      </c>
      <c r="AG1766" t="n">
        <v>11</v>
      </c>
      <c r="AH1766" t="n">
        <v>4</v>
      </c>
      <c r="AI1766" t="n">
        <v>4</v>
      </c>
      <c r="AJ1766" t="n">
        <v>15</v>
      </c>
      <c r="AK1766" t="n">
        <v>15</v>
      </c>
      <c r="AL1766" t="n">
        <v>0</v>
      </c>
      <c r="AM1766" t="n">
        <v>0</v>
      </c>
      <c r="AN1766" t="n">
        <v>0</v>
      </c>
      <c r="AO1766" t="n">
        <v>0</v>
      </c>
      <c r="AP1766" t="inlineStr">
        <is>
          <t>No</t>
        </is>
      </c>
      <c r="AQ1766" t="inlineStr">
        <is>
          <t>No</t>
        </is>
      </c>
      <c r="AS1766">
        <f>HYPERLINK("https://creighton-primo.hosted.exlibrisgroup.com/primo-explore/search?tab=default_tab&amp;search_scope=EVERYTHING&amp;vid=01CRU&amp;lang=en_US&amp;offset=0&amp;query=any,contains,991000319549702656","Catalog Record")</f>
        <v/>
      </c>
      <c r="AT1766">
        <f>HYPERLINK("http://www.worldcat.org/oclc/10145805","WorldCat Record")</f>
        <v/>
      </c>
      <c r="AU1766" t="inlineStr">
        <is>
          <t>3559174:eng</t>
        </is>
      </c>
      <c r="AV1766" t="inlineStr">
        <is>
          <t>10145805</t>
        </is>
      </c>
      <c r="AW1766" t="inlineStr">
        <is>
          <t>991000319549702656</t>
        </is>
      </c>
      <c r="AX1766" t="inlineStr">
        <is>
          <t>991000319549702656</t>
        </is>
      </c>
      <c r="AY1766" t="inlineStr">
        <is>
          <t>2256181870002656</t>
        </is>
      </c>
      <c r="AZ1766" t="inlineStr">
        <is>
          <t>BOOK</t>
        </is>
      </c>
      <c r="BB1766" t="inlineStr">
        <is>
          <t>9780881410068</t>
        </is>
      </c>
      <c r="BC1766" t="inlineStr">
        <is>
          <t>32285001017630</t>
        </is>
      </c>
      <c r="BD1766" t="inlineStr">
        <is>
          <t>893255336</t>
        </is>
      </c>
    </row>
    <row r="1767">
      <c r="A1767" t="inlineStr">
        <is>
          <t>No</t>
        </is>
      </c>
      <c r="B1767" t="inlineStr">
        <is>
          <t>BX320.2 .M475</t>
        </is>
      </c>
      <c r="C1767" t="inlineStr">
        <is>
          <t>0                      BX 0320200M  475</t>
        </is>
      </c>
      <c r="D1767" t="inlineStr">
        <is>
          <t>Living tradition : orthodox witness in the contemporary world / John Meyendorff.</t>
        </is>
      </c>
      <c r="F1767" t="inlineStr">
        <is>
          <t>No</t>
        </is>
      </c>
      <c r="G1767" t="inlineStr">
        <is>
          <t>1</t>
        </is>
      </c>
      <c r="H1767" t="inlineStr">
        <is>
          <t>No</t>
        </is>
      </c>
      <c r="I1767" t="inlineStr">
        <is>
          <t>No</t>
        </is>
      </c>
      <c r="J1767" t="inlineStr">
        <is>
          <t>0</t>
        </is>
      </c>
      <c r="K1767" t="inlineStr">
        <is>
          <t>Meyendorff, John, 1926-1992.</t>
        </is>
      </c>
      <c r="L1767" t="inlineStr">
        <is>
          <t>Crestwood, N.Y. : St. Vladimir's Seminary Press, 1978.</t>
        </is>
      </c>
      <c r="M1767" t="inlineStr">
        <is>
          <t>1978</t>
        </is>
      </c>
      <c r="O1767" t="inlineStr">
        <is>
          <t>eng</t>
        </is>
      </c>
      <c r="P1767" t="inlineStr">
        <is>
          <t>nyu</t>
        </is>
      </c>
      <c r="R1767" t="inlineStr">
        <is>
          <t xml:space="preserve">BX </t>
        </is>
      </c>
      <c r="S1767" t="n">
        <v>2</v>
      </c>
      <c r="T1767" t="n">
        <v>2</v>
      </c>
      <c r="U1767" t="inlineStr">
        <is>
          <t>1998-04-19</t>
        </is>
      </c>
      <c r="V1767" t="inlineStr">
        <is>
          <t>1998-04-19</t>
        </is>
      </c>
      <c r="W1767" t="inlineStr">
        <is>
          <t>1992-03-26</t>
        </is>
      </c>
      <c r="X1767" t="inlineStr">
        <is>
          <t>1992-03-26</t>
        </is>
      </c>
      <c r="Y1767" t="n">
        <v>275</v>
      </c>
      <c r="Z1767" t="n">
        <v>223</v>
      </c>
      <c r="AA1767" t="n">
        <v>223</v>
      </c>
      <c r="AB1767" t="n">
        <v>1</v>
      </c>
      <c r="AC1767" t="n">
        <v>1</v>
      </c>
      <c r="AD1767" t="n">
        <v>21</v>
      </c>
      <c r="AE1767" t="n">
        <v>21</v>
      </c>
      <c r="AF1767" t="n">
        <v>7</v>
      </c>
      <c r="AG1767" t="n">
        <v>7</v>
      </c>
      <c r="AH1767" t="n">
        <v>5</v>
      </c>
      <c r="AI1767" t="n">
        <v>5</v>
      </c>
      <c r="AJ1767" t="n">
        <v>13</v>
      </c>
      <c r="AK1767" t="n">
        <v>13</v>
      </c>
      <c r="AL1767" t="n">
        <v>0</v>
      </c>
      <c r="AM1767" t="n">
        <v>0</v>
      </c>
      <c r="AN1767" t="n">
        <v>0</v>
      </c>
      <c r="AO1767" t="n">
        <v>0</v>
      </c>
      <c r="AP1767" t="inlineStr">
        <is>
          <t>No</t>
        </is>
      </c>
      <c r="AQ1767" t="inlineStr">
        <is>
          <t>No</t>
        </is>
      </c>
      <c r="AS1767">
        <f>HYPERLINK("https://creighton-primo.hosted.exlibrisgroup.com/primo-explore/search?tab=default_tab&amp;search_scope=EVERYTHING&amp;vid=01CRU&amp;lang=en_US&amp;offset=0&amp;query=any,contains,991004498269702656","Catalog Record")</f>
        <v/>
      </c>
      <c r="AT1767">
        <f>HYPERLINK("http://www.worldcat.org/oclc/3706944","WorldCat Record")</f>
        <v/>
      </c>
      <c r="AU1767" t="inlineStr">
        <is>
          <t>58774293:eng</t>
        </is>
      </c>
      <c r="AV1767" t="inlineStr">
        <is>
          <t>3706944</t>
        </is>
      </c>
      <c r="AW1767" t="inlineStr">
        <is>
          <t>991004498269702656</t>
        </is>
      </c>
      <c r="AX1767" t="inlineStr">
        <is>
          <t>991004498269702656</t>
        </is>
      </c>
      <c r="AY1767" t="inlineStr">
        <is>
          <t>2265165000002656</t>
        </is>
      </c>
      <c r="AZ1767" t="inlineStr">
        <is>
          <t>BOOK</t>
        </is>
      </c>
      <c r="BB1767" t="inlineStr">
        <is>
          <t>9780913836484</t>
        </is>
      </c>
      <c r="BC1767" t="inlineStr">
        <is>
          <t>32285001017648</t>
        </is>
      </c>
      <c r="BD1767" t="inlineStr">
        <is>
          <t>893423883</t>
        </is>
      </c>
    </row>
    <row r="1768">
      <c r="A1768" t="inlineStr">
        <is>
          <t>No</t>
        </is>
      </c>
      <c r="B1768" t="inlineStr">
        <is>
          <t>BX320.2 .O76 1981</t>
        </is>
      </c>
      <c r="C1768" t="inlineStr">
        <is>
          <t>0                      BX 0320200O  76          1981</t>
        </is>
      </c>
      <c r="D1768" t="inlineStr">
        <is>
          <t>Orthodox synthesis : the unity of theological thought : an anthology published in commemoration of the fifteenth anniversary of Metropolitan Philip as Primate of the Antiochian Orthodox Christian Archdiocese of North America / Joseph J. Allen, editor.</t>
        </is>
      </c>
      <c r="F1768" t="inlineStr">
        <is>
          <t>No</t>
        </is>
      </c>
      <c r="G1768" t="inlineStr">
        <is>
          <t>1</t>
        </is>
      </c>
      <c r="H1768" t="inlineStr">
        <is>
          <t>No</t>
        </is>
      </c>
      <c r="I1768" t="inlineStr">
        <is>
          <t>No</t>
        </is>
      </c>
      <c r="J1768" t="inlineStr">
        <is>
          <t>0</t>
        </is>
      </c>
      <c r="L1768" t="inlineStr">
        <is>
          <t>Crestwood, N.Y. : St. Vladimir's Seminary Press, 1981.</t>
        </is>
      </c>
      <c r="M1768" t="inlineStr">
        <is>
          <t>1981</t>
        </is>
      </c>
      <c r="O1768" t="inlineStr">
        <is>
          <t>eng</t>
        </is>
      </c>
      <c r="P1768" t="inlineStr">
        <is>
          <t>nyu</t>
        </is>
      </c>
      <c r="R1768" t="inlineStr">
        <is>
          <t xml:space="preserve">BX </t>
        </is>
      </c>
      <c r="S1768" t="n">
        <v>9</v>
      </c>
      <c r="T1768" t="n">
        <v>9</v>
      </c>
      <c r="U1768" t="inlineStr">
        <is>
          <t>2008-06-04</t>
        </is>
      </c>
      <c r="V1768" t="inlineStr">
        <is>
          <t>2008-06-04</t>
        </is>
      </c>
      <c r="W1768" t="inlineStr">
        <is>
          <t>1992-03-26</t>
        </is>
      </c>
      <c r="X1768" t="inlineStr">
        <is>
          <t>1992-03-26</t>
        </is>
      </c>
      <c r="Y1768" t="n">
        <v>192</v>
      </c>
      <c r="Z1768" t="n">
        <v>160</v>
      </c>
      <c r="AA1768" t="n">
        <v>160</v>
      </c>
      <c r="AB1768" t="n">
        <v>1</v>
      </c>
      <c r="AC1768" t="n">
        <v>1</v>
      </c>
      <c r="AD1768" t="n">
        <v>13</v>
      </c>
      <c r="AE1768" t="n">
        <v>13</v>
      </c>
      <c r="AF1768" t="n">
        <v>3</v>
      </c>
      <c r="AG1768" t="n">
        <v>3</v>
      </c>
      <c r="AH1768" t="n">
        <v>2</v>
      </c>
      <c r="AI1768" t="n">
        <v>2</v>
      </c>
      <c r="AJ1768" t="n">
        <v>9</v>
      </c>
      <c r="AK1768" t="n">
        <v>9</v>
      </c>
      <c r="AL1768" t="n">
        <v>0</v>
      </c>
      <c r="AM1768" t="n">
        <v>0</v>
      </c>
      <c r="AN1768" t="n">
        <v>0</v>
      </c>
      <c r="AO1768" t="n">
        <v>0</v>
      </c>
      <c r="AP1768" t="inlineStr">
        <is>
          <t>No</t>
        </is>
      </c>
      <c r="AQ1768" t="inlineStr">
        <is>
          <t>No</t>
        </is>
      </c>
      <c r="AS1768">
        <f>HYPERLINK("https://creighton-primo.hosted.exlibrisgroup.com/primo-explore/search?tab=default_tab&amp;search_scope=EVERYTHING&amp;vid=01CRU&amp;lang=en_US&amp;offset=0&amp;query=any,contains,991005116589702656","Catalog Record")</f>
        <v/>
      </c>
      <c r="AT1768">
        <f>HYPERLINK("http://www.worldcat.org/oclc/7463001","WorldCat Record")</f>
        <v/>
      </c>
      <c r="AU1768" t="inlineStr">
        <is>
          <t>509930396:eng</t>
        </is>
      </c>
      <c r="AV1768" t="inlineStr">
        <is>
          <t>7463001</t>
        </is>
      </c>
      <c r="AW1768" t="inlineStr">
        <is>
          <t>991005116589702656</t>
        </is>
      </c>
      <c r="AX1768" t="inlineStr">
        <is>
          <t>991005116589702656</t>
        </is>
      </c>
      <c r="AY1768" t="inlineStr">
        <is>
          <t>2264281050002656</t>
        </is>
      </c>
      <c r="AZ1768" t="inlineStr">
        <is>
          <t>BOOK</t>
        </is>
      </c>
      <c r="BB1768" t="inlineStr">
        <is>
          <t>9780913836842</t>
        </is>
      </c>
      <c r="BC1768" t="inlineStr">
        <is>
          <t>32285001017655</t>
        </is>
      </c>
      <c r="BD1768" t="inlineStr">
        <is>
          <t>893883355</t>
        </is>
      </c>
    </row>
    <row r="1769">
      <c r="A1769" t="inlineStr">
        <is>
          <t>No</t>
        </is>
      </c>
      <c r="B1769" t="inlineStr">
        <is>
          <t>BX320.2 .P3313 1980</t>
        </is>
      </c>
      <c r="C1769" t="inlineStr">
        <is>
          <t>0                      BX 0320200P  3313        1980</t>
        </is>
      </c>
      <c r="D1769" t="inlineStr">
        <is>
          <t>The faith we hold / Archbishop Paul of Finland ; translated from the Finnish by Marita Nykänen and Esther Williams ; with a foreword by Alexander Schmemann.</t>
        </is>
      </c>
      <c r="F1769" t="inlineStr">
        <is>
          <t>No</t>
        </is>
      </c>
      <c r="G1769" t="inlineStr">
        <is>
          <t>1</t>
        </is>
      </c>
      <c r="H1769" t="inlineStr">
        <is>
          <t>No</t>
        </is>
      </c>
      <c r="I1769" t="inlineStr">
        <is>
          <t>No</t>
        </is>
      </c>
      <c r="J1769" t="inlineStr">
        <is>
          <t>0</t>
        </is>
      </c>
      <c r="K1769" t="inlineStr">
        <is>
          <t>Paavali, Archbishop of Karelia and All Finland, 1914-1988.</t>
        </is>
      </c>
      <c r="L1769" t="inlineStr">
        <is>
          <t>Crestwood, N.Y. : St. Vladimir's Seminary Press, 1980, 1981 printing.</t>
        </is>
      </c>
      <c r="M1769" t="inlineStr">
        <is>
          <t>1980</t>
        </is>
      </c>
      <c r="O1769" t="inlineStr">
        <is>
          <t>eng</t>
        </is>
      </c>
      <c r="P1769" t="inlineStr">
        <is>
          <t>nyu</t>
        </is>
      </c>
      <c r="R1769" t="inlineStr">
        <is>
          <t xml:space="preserve">BX </t>
        </is>
      </c>
      <c r="S1769" t="n">
        <v>5</v>
      </c>
      <c r="T1769" t="n">
        <v>5</v>
      </c>
      <c r="U1769" t="inlineStr">
        <is>
          <t>1996-07-10</t>
        </is>
      </c>
      <c r="V1769" t="inlineStr">
        <is>
          <t>1996-07-10</t>
        </is>
      </c>
      <c r="W1769" t="inlineStr">
        <is>
          <t>1992-03-27</t>
        </is>
      </c>
      <c r="X1769" t="inlineStr">
        <is>
          <t>1992-03-27</t>
        </is>
      </c>
      <c r="Y1769" t="n">
        <v>160</v>
      </c>
      <c r="Z1769" t="n">
        <v>138</v>
      </c>
      <c r="AA1769" t="n">
        <v>138</v>
      </c>
      <c r="AB1769" t="n">
        <v>1</v>
      </c>
      <c r="AC1769" t="n">
        <v>1</v>
      </c>
      <c r="AD1769" t="n">
        <v>10</v>
      </c>
      <c r="AE1769" t="n">
        <v>10</v>
      </c>
      <c r="AF1769" t="n">
        <v>2</v>
      </c>
      <c r="AG1769" t="n">
        <v>2</v>
      </c>
      <c r="AH1769" t="n">
        <v>2</v>
      </c>
      <c r="AI1769" t="n">
        <v>2</v>
      </c>
      <c r="AJ1769" t="n">
        <v>6</v>
      </c>
      <c r="AK1769" t="n">
        <v>6</v>
      </c>
      <c r="AL1769" t="n">
        <v>0</v>
      </c>
      <c r="AM1769" t="n">
        <v>0</v>
      </c>
      <c r="AN1769" t="n">
        <v>0</v>
      </c>
      <c r="AO1769" t="n">
        <v>0</v>
      </c>
      <c r="AP1769" t="inlineStr">
        <is>
          <t>No</t>
        </is>
      </c>
      <c r="AQ1769" t="inlineStr">
        <is>
          <t>No</t>
        </is>
      </c>
      <c r="AS1769">
        <f>HYPERLINK("https://creighton-primo.hosted.exlibrisgroup.com/primo-explore/search?tab=default_tab&amp;search_scope=EVERYTHING&amp;vid=01CRU&amp;lang=en_US&amp;offset=0&amp;query=any,contains,991004911969702656","Catalog Record")</f>
        <v/>
      </c>
      <c r="AT1769">
        <f>HYPERLINK("http://www.worldcat.org/oclc/5992569","WorldCat Record")</f>
        <v/>
      </c>
      <c r="AU1769" t="inlineStr">
        <is>
          <t>584693:eng</t>
        </is>
      </c>
      <c r="AV1769" t="inlineStr">
        <is>
          <t>5992569</t>
        </is>
      </c>
      <c r="AW1769" t="inlineStr">
        <is>
          <t>991004911969702656</t>
        </is>
      </c>
      <c r="AX1769" t="inlineStr">
        <is>
          <t>991004911969702656</t>
        </is>
      </c>
      <c r="AY1769" t="inlineStr">
        <is>
          <t>2261620620002656</t>
        </is>
      </c>
      <c r="AZ1769" t="inlineStr">
        <is>
          <t>BOOK</t>
        </is>
      </c>
      <c r="BB1769" t="inlineStr">
        <is>
          <t>9780913836637</t>
        </is>
      </c>
      <c r="BC1769" t="inlineStr">
        <is>
          <t>32285001017663</t>
        </is>
      </c>
      <c r="BD1769" t="inlineStr">
        <is>
          <t>893801488</t>
        </is>
      </c>
    </row>
    <row r="1770">
      <c r="A1770" t="inlineStr">
        <is>
          <t>No</t>
        </is>
      </c>
      <c r="B1770" t="inlineStr">
        <is>
          <t>BX320.2 .S29</t>
        </is>
      </c>
      <c r="C1770" t="inlineStr">
        <is>
          <t>0                      BX 0320200S  29</t>
        </is>
      </c>
      <c r="D1770" t="inlineStr">
        <is>
          <t>Church, world, mission : reflections on orthodoxy in the West / Alexander Schmemann.</t>
        </is>
      </c>
      <c r="F1770" t="inlineStr">
        <is>
          <t>No</t>
        </is>
      </c>
      <c r="G1770" t="inlineStr">
        <is>
          <t>1</t>
        </is>
      </c>
      <c r="H1770" t="inlineStr">
        <is>
          <t>No</t>
        </is>
      </c>
      <c r="I1770" t="inlineStr">
        <is>
          <t>No</t>
        </is>
      </c>
      <c r="J1770" t="inlineStr">
        <is>
          <t>0</t>
        </is>
      </c>
      <c r="K1770" t="inlineStr">
        <is>
          <t>Shmeman, Aleksandr, 1921-1983.</t>
        </is>
      </c>
      <c r="L1770" t="inlineStr">
        <is>
          <t>Crestwood, N.Y. : St. Vladimir's Seminary Press, 1979.</t>
        </is>
      </c>
      <c r="M1770" t="inlineStr">
        <is>
          <t>1979</t>
        </is>
      </c>
      <c r="O1770" t="inlineStr">
        <is>
          <t>eng</t>
        </is>
      </c>
      <c r="P1770" t="inlineStr">
        <is>
          <t>nyu</t>
        </is>
      </c>
      <c r="R1770" t="inlineStr">
        <is>
          <t xml:space="preserve">BX </t>
        </is>
      </c>
      <c r="S1770" t="n">
        <v>9</v>
      </c>
      <c r="T1770" t="n">
        <v>9</v>
      </c>
      <c r="U1770" t="inlineStr">
        <is>
          <t>2008-06-04</t>
        </is>
      </c>
      <c r="V1770" t="inlineStr">
        <is>
          <t>2008-06-04</t>
        </is>
      </c>
      <c r="W1770" t="inlineStr">
        <is>
          <t>1992-03-27</t>
        </is>
      </c>
      <c r="X1770" t="inlineStr">
        <is>
          <t>1992-03-27</t>
        </is>
      </c>
      <c r="Y1770" t="n">
        <v>258</v>
      </c>
      <c r="Z1770" t="n">
        <v>216</v>
      </c>
      <c r="AA1770" t="n">
        <v>221</v>
      </c>
      <c r="AB1770" t="n">
        <v>1</v>
      </c>
      <c r="AC1770" t="n">
        <v>1</v>
      </c>
      <c r="AD1770" t="n">
        <v>17</v>
      </c>
      <c r="AE1770" t="n">
        <v>17</v>
      </c>
      <c r="AF1770" t="n">
        <v>5</v>
      </c>
      <c r="AG1770" t="n">
        <v>5</v>
      </c>
      <c r="AH1770" t="n">
        <v>3</v>
      </c>
      <c r="AI1770" t="n">
        <v>3</v>
      </c>
      <c r="AJ1770" t="n">
        <v>12</v>
      </c>
      <c r="AK1770" t="n">
        <v>12</v>
      </c>
      <c r="AL1770" t="n">
        <v>0</v>
      </c>
      <c r="AM1770" t="n">
        <v>0</v>
      </c>
      <c r="AN1770" t="n">
        <v>0</v>
      </c>
      <c r="AO1770" t="n">
        <v>0</v>
      </c>
      <c r="AP1770" t="inlineStr">
        <is>
          <t>No</t>
        </is>
      </c>
      <c r="AQ1770" t="inlineStr">
        <is>
          <t>No</t>
        </is>
      </c>
      <c r="AS1770">
        <f>HYPERLINK("https://creighton-primo.hosted.exlibrisgroup.com/primo-explore/search?tab=default_tab&amp;search_scope=EVERYTHING&amp;vid=01CRU&amp;lang=en_US&amp;offset=0&amp;query=any,contains,991004896569702656","Catalog Record")</f>
        <v/>
      </c>
      <c r="AT1770">
        <f>HYPERLINK("http://www.worldcat.org/oclc/5894303","WorldCat Record")</f>
        <v/>
      </c>
      <c r="AU1770" t="inlineStr">
        <is>
          <t>910318200:eng</t>
        </is>
      </c>
      <c r="AV1770" t="inlineStr">
        <is>
          <t>5894303</t>
        </is>
      </c>
      <c r="AW1770" t="inlineStr">
        <is>
          <t>991004896569702656</t>
        </is>
      </c>
      <c r="AX1770" t="inlineStr">
        <is>
          <t>991004896569702656</t>
        </is>
      </c>
      <c r="AY1770" t="inlineStr">
        <is>
          <t>2264276270002656</t>
        </is>
      </c>
      <c r="AZ1770" t="inlineStr">
        <is>
          <t>BOOK</t>
        </is>
      </c>
      <c r="BB1770" t="inlineStr">
        <is>
          <t>9780913836491</t>
        </is>
      </c>
      <c r="BC1770" t="inlineStr">
        <is>
          <t>32285001017671</t>
        </is>
      </c>
      <c r="BD1770" t="inlineStr">
        <is>
          <t>893443160</t>
        </is>
      </c>
    </row>
    <row r="1771">
      <c r="A1771" t="inlineStr">
        <is>
          <t>No</t>
        </is>
      </c>
      <c r="B1771" t="inlineStr">
        <is>
          <t>BX323 .B74 1986</t>
        </is>
      </c>
      <c r="C1771" t="inlineStr">
        <is>
          <t>0                      BX 0323000B  74          1986</t>
        </is>
      </c>
      <c r="D1771" t="inlineStr">
        <is>
          <t>The power of the word : in the worshiping church / John Breck.</t>
        </is>
      </c>
      <c r="F1771" t="inlineStr">
        <is>
          <t>No</t>
        </is>
      </c>
      <c r="G1771" t="inlineStr">
        <is>
          <t>1</t>
        </is>
      </c>
      <c r="H1771" t="inlineStr">
        <is>
          <t>No</t>
        </is>
      </c>
      <c r="I1771" t="inlineStr">
        <is>
          <t>No</t>
        </is>
      </c>
      <c r="J1771" t="inlineStr">
        <is>
          <t>0</t>
        </is>
      </c>
      <c r="K1771" t="inlineStr">
        <is>
          <t>Breck, John, 1939-</t>
        </is>
      </c>
      <c r="L1771" t="inlineStr">
        <is>
          <t>Crestwood, N.Y. : St. Vladimir's Seminary Press, 1986.</t>
        </is>
      </c>
      <c r="M1771" t="inlineStr">
        <is>
          <t>1986</t>
        </is>
      </c>
      <c r="O1771" t="inlineStr">
        <is>
          <t>eng</t>
        </is>
      </c>
      <c r="P1771" t="inlineStr">
        <is>
          <t>nyu</t>
        </is>
      </c>
      <c r="R1771" t="inlineStr">
        <is>
          <t xml:space="preserve">BX </t>
        </is>
      </c>
      <c r="S1771" t="n">
        <v>6</v>
      </c>
      <c r="T1771" t="n">
        <v>6</v>
      </c>
      <c r="U1771" t="inlineStr">
        <is>
          <t>2003-07-11</t>
        </is>
      </c>
      <c r="V1771" t="inlineStr">
        <is>
          <t>2003-07-11</t>
        </is>
      </c>
      <c r="W1771" t="inlineStr">
        <is>
          <t>1992-03-27</t>
        </is>
      </c>
      <c r="X1771" t="inlineStr">
        <is>
          <t>1992-03-27</t>
        </is>
      </c>
      <c r="Y1771" t="n">
        <v>179</v>
      </c>
      <c r="Z1771" t="n">
        <v>137</v>
      </c>
      <c r="AA1771" t="n">
        <v>137</v>
      </c>
      <c r="AB1771" t="n">
        <v>1</v>
      </c>
      <c r="AC1771" t="n">
        <v>1</v>
      </c>
      <c r="AD1771" t="n">
        <v>7</v>
      </c>
      <c r="AE1771" t="n">
        <v>7</v>
      </c>
      <c r="AF1771" t="n">
        <v>2</v>
      </c>
      <c r="AG1771" t="n">
        <v>2</v>
      </c>
      <c r="AH1771" t="n">
        <v>2</v>
      </c>
      <c r="AI1771" t="n">
        <v>2</v>
      </c>
      <c r="AJ1771" t="n">
        <v>3</v>
      </c>
      <c r="AK1771" t="n">
        <v>3</v>
      </c>
      <c r="AL1771" t="n">
        <v>0</v>
      </c>
      <c r="AM1771" t="n">
        <v>0</v>
      </c>
      <c r="AN1771" t="n">
        <v>0</v>
      </c>
      <c r="AO1771" t="n">
        <v>0</v>
      </c>
      <c r="AP1771" t="inlineStr">
        <is>
          <t>No</t>
        </is>
      </c>
      <c r="AQ1771" t="inlineStr">
        <is>
          <t>No</t>
        </is>
      </c>
      <c r="AS1771">
        <f>HYPERLINK("https://creighton-primo.hosted.exlibrisgroup.com/primo-explore/search?tab=default_tab&amp;search_scope=EVERYTHING&amp;vid=01CRU&amp;lang=en_US&amp;offset=0&amp;query=any,contains,991000925579702656","Catalog Record")</f>
        <v/>
      </c>
      <c r="AT1771">
        <f>HYPERLINK("http://www.worldcat.org/oclc/14239867","WorldCat Record")</f>
        <v/>
      </c>
      <c r="AU1771" t="inlineStr">
        <is>
          <t>2863465494:eng</t>
        </is>
      </c>
      <c r="AV1771" t="inlineStr">
        <is>
          <t>14239867</t>
        </is>
      </c>
      <c r="AW1771" t="inlineStr">
        <is>
          <t>991000925579702656</t>
        </is>
      </c>
      <c r="AX1771" t="inlineStr">
        <is>
          <t>991000925579702656</t>
        </is>
      </c>
      <c r="AY1771" t="inlineStr">
        <is>
          <t>2262753590002656</t>
        </is>
      </c>
      <c r="AZ1771" t="inlineStr">
        <is>
          <t>BOOK</t>
        </is>
      </c>
      <c r="BB1771" t="inlineStr">
        <is>
          <t>9780892811533</t>
        </is>
      </c>
      <c r="BC1771" t="inlineStr">
        <is>
          <t>32285001017705</t>
        </is>
      </c>
      <c r="BD1771" t="inlineStr">
        <is>
          <t>893321489</t>
        </is>
      </c>
    </row>
    <row r="1772">
      <c r="A1772" t="inlineStr">
        <is>
          <t>No</t>
        </is>
      </c>
      <c r="B1772" t="inlineStr">
        <is>
          <t>BX323 .V3713 1984</t>
        </is>
      </c>
      <c r="C1772" t="inlineStr">
        <is>
          <t>0                      BX 0323000V  3713        1984</t>
        </is>
      </c>
      <c r="D1772" t="inlineStr">
        <is>
          <t>Hymn of entry : liturgy and life in the Orthodox church / Archimandrite Vasileios of Stavronikita ; translated from the Greek by Elizabeth Briere ; with a foreword by Bishop Kallistos of Diokleia.</t>
        </is>
      </c>
      <c r="F1772" t="inlineStr">
        <is>
          <t>No</t>
        </is>
      </c>
      <c r="G1772" t="inlineStr">
        <is>
          <t>1</t>
        </is>
      </c>
      <c r="H1772" t="inlineStr">
        <is>
          <t>No</t>
        </is>
      </c>
      <c r="I1772" t="inlineStr">
        <is>
          <t>No</t>
        </is>
      </c>
      <c r="J1772" t="inlineStr">
        <is>
          <t>0</t>
        </is>
      </c>
      <c r="K1772" t="inlineStr">
        <is>
          <t>Vasileios, of Stavronikita, Archimandrite, 1936-</t>
        </is>
      </c>
      <c r="L1772" t="inlineStr">
        <is>
          <t>Crestwood, N.Y. : St. Vladimir's Seminary Press, 1984.</t>
        </is>
      </c>
      <c r="M1772" t="inlineStr">
        <is>
          <t>1984</t>
        </is>
      </c>
      <c r="O1772" t="inlineStr">
        <is>
          <t>eng</t>
        </is>
      </c>
      <c r="P1772" t="inlineStr">
        <is>
          <t>nyu</t>
        </is>
      </c>
      <c r="Q1772" t="inlineStr">
        <is>
          <t>Contemporary Greek theologians ; no. 1</t>
        </is>
      </c>
      <c r="R1772" t="inlineStr">
        <is>
          <t xml:space="preserve">BX </t>
        </is>
      </c>
      <c r="S1772" t="n">
        <v>5</v>
      </c>
      <c r="T1772" t="n">
        <v>5</v>
      </c>
      <c r="U1772" t="inlineStr">
        <is>
          <t>2005-04-13</t>
        </is>
      </c>
      <c r="V1772" t="inlineStr">
        <is>
          <t>2005-04-13</t>
        </is>
      </c>
      <c r="W1772" t="inlineStr">
        <is>
          <t>1992-03-27</t>
        </is>
      </c>
      <c r="X1772" t="inlineStr">
        <is>
          <t>1992-03-27</t>
        </is>
      </c>
      <c r="Y1772" t="n">
        <v>204</v>
      </c>
      <c r="Z1772" t="n">
        <v>166</v>
      </c>
      <c r="AA1772" t="n">
        <v>169</v>
      </c>
      <c r="AB1772" t="n">
        <v>2</v>
      </c>
      <c r="AC1772" t="n">
        <v>2</v>
      </c>
      <c r="AD1772" t="n">
        <v>15</v>
      </c>
      <c r="AE1772" t="n">
        <v>15</v>
      </c>
      <c r="AF1772" t="n">
        <v>5</v>
      </c>
      <c r="AG1772" t="n">
        <v>5</v>
      </c>
      <c r="AH1772" t="n">
        <v>2</v>
      </c>
      <c r="AI1772" t="n">
        <v>2</v>
      </c>
      <c r="AJ1772" t="n">
        <v>10</v>
      </c>
      <c r="AK1772" t="n">
        <v>10</v>
      </c>
      <c r="AL1772" t="n">
        <v>1</v>
      </c>
      <c r="AM1772" t="n">
        <v>1</v>
      </c>
      <c r="AN1772" t="n">
        <v>0</v>
      </c>
      <c r="AO1772" t="n">
        <v>0</v>
      </c>
      <c r="AP1772" t="inlineStr">
        <is>
          <t>No</t>
        </is>
      </c>
      <c r="AQ1772" t="inlineStr">
        <is>
          <t>No</t>
        </is>
      </c>
      <c r="AS1772">
        <f>HYPERLINK("https://creighton-primo.hosted.exlibrisgroup.com/primo-explore/search?tab=default_tab&amp;search_scope=EVERYTHING&amp;vid=01CRU&amp;lang=en_US&amp;offset=0&amp;query=any,contains,991000418659702656","Catalog Record")</f>
        <v/>
      </c>
      <c r="AT1772">
        <f>HYPERLINK("http://www.worldcat.org/oclc/10726776","WorldCat Record")</f>
        <v/>
      </c>
      <c r="AU1772" t="inlineStr">
        <is>
          <t>3513157:eng</t>
        </is>
      </c>
      <c r="AV1772" t="inlineStr">
        <is>
          <t>10726776</t>
        </is>
      </c>
      <c r="AW1772" t="inlineStr">
        <is>
          <t>991000418659702656</t>
        </is>
      </c>
      <c r="AX1772" t="inlineStr">
        <is>
          <t>991000418659702656</t>
        </is>
      </c>
      <c r="AY1772" t="inlineStr">
        <is>
          <t>2264259750002656</t>
        </is>
      </c>
      <c r="AZ1772" t="inlineStr">
        <is>
          <t>BOOK</t>
        </is>
      </c>
      <c r="BB1772" t="inlineStr">
        <is>
          <t>9780881410266</t>
        </is>
      </c>
      <c r="BC1772" t="inlineStr">
        <is>
          <t>32285001017739</t>
        </is>
      </c>
      <c r="BD1772" t="inlineStr">
        <is>
          <t>893708357</t>
        </is>
      </c>
    </row>
    <row r="1773">
      <c r="A1773" t="inlineStr">
        <is>
          <t>No</t>
        </is>
      </c>
      <c r="B1773" t="inlineStr">
        <is>
          <t>BX324 .O755 1994</t>
        </is>
      </c>
      <c r="C1773" t="inlineStr">
        <is>
          <t>0                      BX 0324000O  755         1994</t>
        </is>
      </c>
      <c r="D1773" t="inlineStr">
        <is>
          <t>Orthodox visions of ecumenism : statements, messages and reports of the ecumenical movement, 1902-1992 / compiled by Gennadios Limouris.</t>
        </is>
      </c>
      <c r="F1773" t="inlineStr">
        <is>
          <t>No</t>
        </is>
      </c>
      <c r="G1773" t="inlineStr">
        <is>
          <t>1</t>
        </is>
      </c>
      <c r="H1773" t="inlineStr">
        <is>
          <t>No</t>
        </is>
      </c>
      <c r="I1773" t="inlineStr">
        <is>
          <t>No</t>
        </is>
      </c>
      <c r="J1773" t="inlineStr">
        <is>
          <t>0</t>
        </is>
      </c>
      <c r="L1773" t="inlineStr">
        <is>
          <t>Geneva : WCC Publications, c1994.</t>
        </is>
      </c>
      <c r="M1773" t="inlineStr">
        <is>
          <t>1994</t>
        </is>
      </c>
      <c r="O1773" t="inlineStr">
        <is>
          <t>eng</t>
        </is>
      </c>
      <c r="P1773" t="inlineStr">
        <is>
          <t xml:space="preserve">sz </t>
        </is>
      </c>
      <c r="R1773" t="inlineStr">
        <is>
          <t xml:space="preserve">BX </t>
        </is>
      </c>
      <c r="S1773" t="n">
        <v>7</v>
      </c>
      <c r="T1773" t="n">
        <v>7</v>
      </c>
      <c r="U1773" t="inlineStr">
        <is>
          <t>2002-02-01</t>
        </is>
      </c>
      <c r="V1773" t="inlineStr">
        <is>
          <t>2002-02-01</t>
        </is>
      </c>
      <c r="W1773" t="inlineStr">
        <is>
          <t>1997-02-24</t>
        </is>
      </c>
      <c r="X1773" t="inlineStr">
        <is>
          <t>1997-02-24</t>
        </is>
      </c>
      <c r="Y1773" t="n">
        <v>172</v>
      </c>
      <c r="Z1773" t="n">
        <v>111</v>
      </c>
      <c r="AA1773" t="n">
        <v>112</v>
      </c>
      <c r="AB1773" t="n">
        <v>1</v>
      </c>
      <c r="AC1773" t="n">
        <v>1</v>
      </c>
      <c r="AD1773" t="n">
        <v>5</v>
      </c>
      <c r="AE1773" t="n">
        <v>5</v>
      </c>
      <c r="AF1773" t="n">
        <v>1</v>
      </c>
      <c r="AG1773" t="n">
        <v>1</v>
      </c>
      <c r="AH1773" t="n">
        <v>0</v>
      </c>
      <c r="AI1773" t="n">
        <v>0</v>
      </c>
      <c r="AJ1773" t="n">
        <v>4</v>
      </c>
      <c r="AK1773" t="n">
        <v>4</v>
      </c>
      <c r="AL1773" t="n">
        <v>0</v>
      </c>
      <c r="AM1773" t="n">
        <v>0</v>
      </c>
      <c r="AN1773" t="n">
        <v>0</v>
      </c>
      <c r="AO1773" t="n">
        <v>0</v>
      </c>
      <c r="AP1773" t="inlineStr">
        <is>
          <t>No</t>
        </is>
      </c>
      <c r="AQ1773" t="inlineStr">
        <is>
          <t>Yes</t>
        </is>
      </c>
      <c r="AR1773">
        <f>HYPERLINK("http://catalog.hathitrust.org/Record/003072867","HathiTrust Record")</f>
        <v/>
      </c>
      <c r="AS1773">
        <f>HYPERLINK("https://creighton-primo.hosted.exlibrisgroup.com/primo-explore/search?tab=default_tab&amp;search_scope=EVERYTHING&amp;vid=01CRU&amp;lang=en_US&amp;offset=0&amp;query=any,contains,991002397489702656","Catalog Record")</f>
        <v/>
      </c>
      <c r="AT1773">
        <f>HYPERLINK("http://www.worldcat.org/oclc/31139215","WorldCat Record")</f>
        <v/>
      </c>
      <c r="AU1773" t="inlineStr">
        <is>
          <t>889450694:eng</t>
        </is>
      </c>
      <c r="AV1773" t="inlineStr">
        <is>
          <t>31139215</t>
        </is>
      </c>
      <c r="AW1773" t="inlineStr">
        <is>
          <t>991002397489702656</t>
        </is>
      </c>
      <c r="AX1773" t="inlineStr">
        <is>
          <t>991002397489702656</t>
        </is>
      </c>
      <c r="AY1773" t="inlineStr">
        <is>
          <t>2256786320002656</t>
        </is>
      </c>
      <c r="AZ1773" t="inlineStr">
        <is>
          <t>BOOK</t>
        </is>
      </c>
      <c r="BB1773" t="inlineStr">
        <is>
          <t>9782825410806</t>
        </is>
      </c>
      <c r="BC1773" t="inlineStr">
        <is>
          <t>32285002432796</t>
        </is>
      </c>
      <c r="BD1773" t="inlineStr">
        <is>
          <t>893322886</t>
        </is>
      </c>
    </row>
    <row r="1774">
      <c r="A1774" t="inlineStr">
        <is>
          <t>No</t>
        </is>
      </c>
      <c r="B1774" t="inlineStr">
        <is>
          <t>BX324.3 .C37 1995</t>
        </is>
      </c>
      <c r="C1774" t="inlineStr">
        <is>
          <t>0                      BX 0324300C  37          1995</t>
        </is>
      </c>
      <c r="D1774" t="inlineStr">
        <is>
          <t>Apostolic letter Orientale lumen of the Supreme Pontiff John Paul II to the bishops, clergy and faithful to mark the centenary of Orientalium dignitas of Pope Leo XIII.</t>
        </is>
      </c>
      <c r="F1774" t="inlineStr">
        <is>
          <t>No</t>
        </is>
      </c>
      <c r="G1774" t="inlineStr">
        <is>
          <t>1</t>
        </is>
      </c>
      <c r="H1774" t="inlineStr">
        <is>
          <t>No</t>
        </is>
      </c>
      <c r="I1774" t="inlineStr">
        <is>
          <t>No</t>
        </is>
      </c>
      <c r="J1774" t="inlineStr">
        <is>
          <t>0</t>
        </is>
      </c>
      <c r="K1774" t="inlineStr">
        <is>
          <t>Catholic Church. Pope (1978-2005 : John Paul II).</t>
        </is>
      </c>
      <c r="L1774" t="inlineStr">
        <is>
          <t>Washington, D.C. : United States Catholic Conference, [1995]</t>
        </is>
      </c>
      <c r="M1774" t="inlineStr">
        <is>
          <t>1995</t>
        </is>
      </c>
      <c r="O1774" t="inlineStr">
        <is>
          <t>eng</t>
        </is>
      </c>
      <c r="P1774" t="inlineStr">
        <is>
          <t>dcu</t>
        </is>
      </c>
      <c r="Q1774" t="inlineStr">
        <is>
          <t>Publication (United States Catholic Conference. Office of Publishing and Promotion Services) ; no. 5-021</t>
        </is>
      </c>
      <c r="R1774" t="inlineStr">
        <is>
          <t xml:space="preserve">BX </t>
        </is>
      </c>
      <c r="S1774" t="n">
        <v>4</v>
      </c>
      <c r="T1774" t="n">
        <v>4</v>
      </c>
      <c r="U1774" t="inlineStr">
        <is>
          <t>1996-06-07</t>
        </is>
      </c>
      <c r="V1774" t="inlineStr">
        <is>
          <t>1996-06-07</t>
        </is>
      </c>
      <c r="W1774" t="inlineStr">
        <is>
          <t>1996-01-17</t>
        </is>
      </c>
      <c r="X1774" t="inlineStr">
        <is>
          <t>1996-01-17</t>
        </is>
      </c>
      <c r="Y1774" t="n">
        <v>106</v>
      </c>
      <c r="Z1774" t="n">
        <v>100</v>
      </c>
      <c r="AA1774" t="n">
        <v>101</v>
      </c>
      <c r="AB1774" t="n">
        <v>1</v>
      </c>
      <c r="AC1774" t="n">
        <v>1</v>
      </c>
      <c r="AD1774" t="n">
        <v>19</v>
      </c>
      <c r="AE1774" t="n">
        <v>19</v>
      </c>
      <c r="AF1774" t="n">
        <v>5</v>
      </c>
      <c r="AG1774" t="n">
        <v>5</v>
      </c>
      <c r="AH1774" t="n">
        <v>6</v>
      </c>
      <c r="AI1774" t="n">
        <v>6</v>
      </c>
      <c r="AJ1774" t="n">
        <v>13</v>
      </c>
      <c r="AK1774" t="n">
        <v>13</v>
      </c>
      <c r="AL1774" t="n">
        <v>0</v>
      </c>
      <c r="AM1774" t="n">
        <v>0</v>
      </c>
      <c r="AN1774" t="n">
        <v>1</v>
      </c>
      <c r="AO1774" t="n">
        <v>1</v>
      </c>
      <c r="AP1774" t="inlineStr">
        <is>
          <t>No</t>
        </is>
      </c>
      <c r="AQ1774" t="inlineStr">
        <is>
          <t>No</t>
        </is>
      </c>
      <c r="AS1774">
        <f>HYPERLINK("https://creighton-primo.hosted.exlibrisgroup.com/primo-explore/search?tab=default_tab&amp;search_scope=EVERYTHING&amp;vid=01CRU&amp;lang=en_US&amp;offset=0&amp;query=any,contains,991002538619702656","Catalog Record")</f>
        <v/>
      </c>
      <c r="AT1774">
        <f>HYPERLINK("http://www.worldcat.org/oclc/32986705","WorldCat Record")</f>
        <v/>
      </c>
      <c r="AU1774" t="inlineStr">
        <is>
          <t>8908971254:eng</t>
        </is>
      </c>
      <c r="AV1774" t="inlineStr">
        <is>
          <t>32986705</t>
        </is>
      </c>
      <c r="AW1774" t="inlineStr">
        <is>
          <t>991002538619702656</t>
        </is>
      </c>
      <c r="AX1774" t="inlineStr">
        <is>
          <t>991002538619702656</t>
        </is>
      </c>
      <c r="AY1774" t="inlineStr">
        <is>
          <t>2272718540002656</t>
        </is>
      </c>
      <c r="AZ1774" t="inlineStr">
        <is>
          <t>BOOK</t>
        </is>
      </c>
      <c r="BB1774" t="inlineStr">
        <is>
          <t>9781574550214</t>
        </is>
      </c>
      <c r="BC1774" t="inlineStr">
        <is>
          <t>32285002118536</t>
        </is>
      </c>
      <c r="BD1774" t="inlineStr">
        <is>
          <t>893792581</t>
        </is>
      </c>
    </row>
    <row r="1775">
      <c r="A1775" t="inlineStr">
        <is>
          <t>No</t>
        </is>
      </c>
      <c r="B1775" t="inlineStr">
        <is>
          <t>BX324.3 .D813</t>
        </is>
      </c>
      <c r="C1775" t="inlineStr">
        <is>
          <t>0                      BX 0324300D  813</t>
        </is>
      </c>
      <c r="D1775" t="inlineStr">
        <is>
          <t>Byzantium and the Roman primacy.</t>
        </is>
      </c>
      <c r="F1775" t="inlineStr">
        <is>
          <t>No</t>
        </is>
      </c>
      <c r="G1775" t="inlineStr">
        <is>
          <t>1</t>
        </is>
      </c>
      <c r="H1775" t="inlineStr">
        <is>
          <t>No</t>
        </is>
      </c>
      <c r="I1775" t="inlineStr">
        <is>
          <t>No</t>
        </is>
      </c>
      <c r="J1775" t="inlineStr">
        <is>
          <t>0</t>
        </is>
      </c>
      <c r="K1775" t="inlineStr">
        <is>
          <t>Dvornik, Francis, 1893-1975.</t>
        </is>
      </c>
      <c r="L1775" t="inlineStr">
        <is>
          <t>New York, Fordham University Press [1966]</t>
        </is>
      </c>
      <c r="M1775" t="inlineStr">
        <is>
          <t>1966</t>
        </is>
      </c>
      <c r="O1775" t="inlineStr">
        <is>
          <t>eng</t>
        </is>
      </c>
      <c r="P1775" t="inlineStr">
        <is>
          <t>nyu</t>
        </is>
      </c>
      <c r="R1775" t="inlineStr">
        <is>
          <t xml:space="preserve">BX </t>
        </is>
      </c>
      <c r="S1775" t="n">
        <v>6</v>
      </c>
      <c r="T1775" t="n">
        <v>6</v>
      </c>
      <c r="U1775" t="inlineStr">
        <is>
          <t>2010-07-23</t>
        </is>
      </c>
      <c r="V1775" t="inlineStr">
        <is>
          <t>2010-07-23</t>
        </is>
      </c>
      <c r="W1775" t="inlineStr">
        <is>
          <t>2000-06-15</t>
        </is>
      </c>
      <c r="X1775" t="inlineStr">
        <is>
          <t>2000-06-15</t>
        </is>
      </c>
      <c r="Y1775" t="n">
        <v>779</v>
      </c>
      <c r="Z1775" t="n">
        <v>674</v>
      </c>
      <c r="AA1775" t="n">
        <v>704</v>
      </c>
      <c r="AB1775" t="n">
        <v>4</v>
      </c>
      <c r="AC1775" t="n">
        <v>4</v>
      </c>
      <c r="AD1775" t="n">
        <v>40</v>
      </c>
      <c r="AE1775" t="n">
        <v>42</v>
      </c>
      <c r="AF1775" t="n">
        <v>17</v>
      </c>
      <c r="AG1775" t="n">
        <v>19</v>
      </c>
      <c r="AH1775" t="n">
        <v>8</v>
      </c>
      <c r="AI1775" t="n">
        <v>8</v>
      </c>
      <c r="AJ1775" t="n">
        <v>24</v>
      </c>
      <c r="AK1775" t="n">
        <v>24</v>
      </c>
      <c r="AL1775" t="n">
        <v>3</v>
      </c>
      <c r="AM1775" t="n">
        <v>3</v>
      </c>
      <c r="AN1775" t="n">
        <v>0</v>
      </c>
      <c r="AO1775" t="n">
        <v>0</v>
      </c>
      <c r="AP1775" t="inlineStr">
        <is>
          <t>No</t>
        </is>
      </c>
      <c r="AQ1775" t="inlineStr">
        <is>
          <t>Yes</t>
        </is>
      </c>
      <c r="AR1775">
        <f>HYPERLINK("http://catalog.hathitrust.org/Record/000005429","HathiTrust Record")</f>
        <v/>
      </c>
      <c r="AS1775">
        <f>HYPERLINK("https://creighton-primo.hosted.exlibrisgroup.com/primo-explore/search?tab=default_tab&amp;search_scope=EVERYTHING&amp;vid=01CRU&amp;lang=en_US&amp;offset=0&amp;query=any,contains,991003087469702656","Catalog Record")</f>
        <v/>
      </c>
      <c r="AT1775">
        <f>HYPERLINK("http://www.worldcat.org/oclc/386269","WorldCat Record")</f>
        <v/>
      </c>
      <c r="AU1775" t="inlineStr">
        <is>
          <t>1150944157:eng</t>
        </is>
      </c>
      <c r="AV1775" t="inlineStr">
        <is>
          <t>386269</t>
        </is>
      </c>
      <c r="AW1775" t="inlineStr">
        <is>
          <t>991003087469702656</t>
        </is>
      </c>
      <c r="AX1775" t="inlineStr">
        <is>
          <t>991003087469702656</t>
        </is>
      </c>
      <c r="AY1775" t="inlineStr">
        <is>
          <t>2259398260002656</t>
        </is>
      </c>
      <c r="AZ1775" t="inlineStr">
        <is>
          <t>BOOK</t>
        </is>
      </c>
      <c r="BC1775" t="inlineStr">
        <is>
          <t>32285000638477</t>
        </is>
      </c>
      <c r="BD1775" t="inlineStr">
        <is>
          <t>893440918</t>
        </is>
      </c>
    </row>
    <row r="1776">
      <c r="A1776" t="inlineStr">
        <is>
          <t>No</t>
        </is>
      </c>
      <c r="B1776" t="inlineStr">
        <is>
          <t>BX324.3 .F56 1975</t>
        </is>
      </c>
      <c r="C1776" t="inlineStr">
        <is>
          <t>0                      BX 0324300F  56          1975</t>
        </is>
      </c>
      <c r="D1776" t="inlineStr">
        <is>
          <t>Brothers East and West : a Catholic examines for Catholics the proposed Pan-Orthodox Synod / by Edward Finn.</t>
        </is>
      </c>
      <c r="F1776" t="inlineStr">
        <is>
          <t>No</t>
        </is>
      </c>
      <c r="G1776" t="inlineStr">
        <is>
          <t>1</t>
        </is>
      </c>
      <c r="H1776" t="inlineStr">
        <is>
          <t>No</t>
        </is>
      </c>
      <c r="I1776" t="inlineStr">
        <is>
          <t>No</t>
        </is>
      </c>
      <c r="J1776" t="inlineStr">
        <is>
          <t>0</t>
        </is>
      </c>
      <c r="K1776" t="inlineStr">
        <is>
          <t>Finn, Edward E.</t>
        </is>
      </c>
      <c r="L1776" t="inlineStr">
        <is>
          <t>Collegeville, Minn. : Liturgical Press, c1975.</t>
        </is>
      </c>
      <c r="M1776" t="inlineStr">
        <is>
          <t>1975</t>
        </is>
      </c>
      <c r="O1776" t="inlineStr">
        <is>
          <t>eng</t>
        </is>
      </c>
      <c r="P1776" t="inlineStr">
        <is>
          <t>mnu</t>
        </is>
      </c>
      <c r="R1776" t="inlineStr">
        <is>
          <t xml:space="preserve">BX </t>
        </is>
      </c>
      <c r="S1776" t="n">
        <v>5</v>
      </c>
      <c r="T1776" t="n">
        <v>5</v>
      </c>
      <c r="U1776" t="inlineStr">
        <is>
          <t>2005-02-15</t>
        </is>
      </c>
      <c r="V1776" t="inlineStr">
        <is>
          <t>2005-02-15</t>
        </is>
      </c>
      <c r="W1776" t="inlineStr">
        <is>
          <t>1992-03-27</t>
        </is>
      </c>
      <c r="X1776" t="inlineStr">
        <is>
          <t>1992-03-27</t>
        </is>
      </c>
      <c r="Y1776" t="n">
        <v>62</v>
      </c>
      <c r="Z1776" t="n">
        <v>54</v>
      </c>
      <c r="AA1776" t="n">
        <v>54</v>
      </c>
      <c r="AB1776" t="n">
        <v>1</v>
      </c>
      <c r="AC1776" t="n">
        <v>1</v>
      </c>
      <c r="AD1776" t="n">
        <v>7</v>
      </c>
      <c r="AE1776" t="n">
        <v>7</v>
      </c>
      <c r="AF1776" t="n">
        <v>0</v>
      </c>
      <c r="AG1776" t="n">
        <v>0</v>
      </c>
      <c r="AH1776" t="n">
        <v>2</v>
      </c>
      <c r="AI1776" t="n">
        <v>2</v>
      </c>
      <c r="AJ1776" t="n">
        <v>6</v>
      </c>
      <c r="AK1776" t="n">
        <v>6</v>
      </c>
      <c r="AL1776" t="n">
        <v>0</v>
      </c>
      <c r="AM1776" t="n">
        <v>0</v>
      </c>
      <c r="AN1776" t="n">
        <v>0</v>
      </c>
      <c r="AO1776" t="n">
        <v>0</v>
      </c>
      <c r="AP1776" t="inlineStr">
        <is>
          <t>No</t>
        </is>
      </c>
      <c r="AQ1776" t="inlineStr">
        <is>
          <t>No</t>
        </is>
      </c>
      <c r="AS1776">
        <f>HYPERLINK("https://creighton-primo.hosted.exlibrisgroup.com/primo-explore/search?tab=default_tab&amp;search_scope=EVERYTHING&amp;vid=01CRU&amp;lang=en_US&amp;offset=0&amp;query=any,contains,991005254069702656","Catalog Record")</f>
        <v/>
      </c>
      <c r="AT1776">
        <f>HYPERLINK("http://www.worldcat.org/oclc/2073234","WorldCat Record")</f>
        <v/>
      </c>
      <c r="AU1776" t="inlineStr">
        <is>
          <t>3952941:eng</t>
        </is>
      </c>
      <c r="AV1776" t="inlineStr">
        <is>
          <t>2073234</t>
        </is>
      </c>
      <c r="AW1776" t="inlineStr">
        <is>
          <t>991005254069702656</t>
        </is>
      </c>
      <c r="AX1776" t="inlineStr">
        <is>
          <t>991005254069702656</t>
        </is>
      </c>
      <c r="AY1776" t="inlineStr">
        <is>
          <t>2256895270002656</t>
        </is>
      </c>
      <c r="AZ1776" t="inlineStr">
        <is>
          <t>BOOK</t>
        </is>
      </c>
      <c r="BB1776" t="inlineStr">
        <is>
          <t>9780814608760</t>
        </is>
      </c>
      <c r="BC1776" t="inlineStr">
        <is>
          <t>32285004286463</t>
        </is>
      </c>
      <c r="BD1776" t="inlineStr">
        <is>
          <t>893338811</t>
        </is>
      </c>
    </row>
    <row r="1777">
      <c r="A1777" t="inlineStr">
        <is>
          <t>No</t>
        </is>
      </c>
      <c r="B1777" t="inlineStr">
        <is>
          <t>BX324.3 .K55</t>
        </is>
      </c>
      <c r="C1777" t="inlineStr">
        <is>
          <t>0                      BX 0324300K  55</t>
        </is>
      </c>
      <c r="D1777" t="inlineStr">
        <is>
          <t>Toward reunion : the Roman Catholic and the Orthodox Churches / by Edward J. Kilmartin.</t>
        </is>
      </c>
      <c r="F1777" t="inlineStr">
        <is>
          <t>No</t>
        </is>
      </c>
      <c r="G1777" t="inlineStr">
        <is>
          <t>1</t>
        </is>
      </c>
      <c r="H1777" t="inlineStr">
        <is>
          <t>No</t>
        </is>
      </c>
      <c r="I1777" t="inlineStr">
        <is>
          <t>No</t>
        </is>
      </c>
      <c r="J1777" t="inlineStr">
        <is>
          <t>0</t>
        </is>
      </c>
      <c r="K1777" t="inlineStr">
        <is>
          <t>Kilmartin, Edward J.</t>
        </is>
      </c>
      <c r="L1777" t="inlineStr">
        <is>
          <t>New York : Paulist Press, 1979.</t>
        </is>
      </c>
      <c r="M1777" t="inlineStr">
        <is>
          <t>1979</t>
        </is>
      </c>
      <c r="O1777" t="inlineStr">
        <is>
          <t>eng</t>
        </is>
      </c>
      <c r="P1777" t="inlineStr">
        <is>
          <t>nyu</t>
        </is>
      </c>
      <c r="R1777" t="inlineStr">
        <is>
          <t xml:space="preserve">BX </t>
        </is>
      </c>
      <c r="S1777" t="n">
        <v>9</v>
      </c>
      <c r="T1777" t="n">
        <v>9</v>
      </c>
      <c r="U1777" t="inlineStr">
        <is>
          <t>2004-04-18</t>
        </is>
      </c>
      <c r="V1777" t="inlineStr">
        <is>
          <t>2004-04-18</t>
        </is>
      </c>
      <c r="W1777" t="inlineStr">
        <is>
          <t>1992-03-27</t>
        </is>
      </c>
      <c r="X1777" t="inlineStr">
        <is>
          <t>1992-03-27</t>
        </is>
      </c>
      <c r="Y1777" t="n">
        <v>279</v>
      </c>
      <c r="Z1777" t="n">
        <v>236</v>
      </c>
      <c r="AA1777" t="n">
        <v>236</v>
      </c>
      <c r="AB1777" t="n">
        <v>2</v>
      </c>
      <c r="AC1777" t="n">
        <v>2</v>
      </c>
      <c r="AD1777" t="n">
        <v>19</v>
      </c>
      <c r="AE1777" t="n">
        <v>19</v>
      </c>
      <c r="AF1777" t="n">
        <v>4</v>
      </c>
      <c r="AG1777" t="n">
        <v>4</v>
      </c>
      <c r="AH1777" t="n">
        <v>5</v>
      </c>
      <c r="AI1777" t="n">
        <v>5</v>
      </c>
      <c r="AJ1777" t="n">
        <v>15</v>
      </c>
      <c r="AK1777" t="n">
        <v>15</v>
      </c>
      <c r="AL1777" t="n">
        <v>1</v>
      </c>
      <c r="AM1777" t="n">
        <v>1</v>
      </c>
      <c r="AN1777" t="n">
        <v>0</v>
      </c>
      <c r="AO1777" t="n">
        <v>0</v>
      </c>
      <c r="AP1777" t="inlineStr">
        <is>
          <t>No</t>
        </is>
      </c>
      <c r="AQ1777" t="inlineStr">
        <is>
          <t>No</t>
        </is>
      </c>
      <c r="AS1777">
        <f>HYPERLINK("https://creighton-primo.hosted.exlibrisgroup.com/primo-explore/search?tab=default_tab&amp;search_scope=EVERYTHING&amp;vid=01CRU&amp;lang=en_US&amp;offset=0&amp;query=any,contains,991004843369702656","Catalog Record")</f>
        <v/>
      </c>
      <c r="AT1777">
        <f>HYPERLINK("http://www.worldcat.org/oclc/5528436","WorldCat Record")</f>
        <v/>
      </c>
      <c r="AU1777" t="inlineStr">
        <is>
          <t>892051834:eng</t>
        </is>
      </c>
      <c r="AV1777" t="inlineStr">
        <is>
          <t>5528436</t>
        </is>
      </c>
      <c r="AW1777" t="inlineStr">
        <is>
          <t>991004843369702656</t>
        </is>
      </c>
      <c r="AX1777" t="inlineStr">
        <is>
          <t>991004843369702656</t>
        </is>
      </c>
      <c r="AY1777" t="inlineStr">
        <is>
          <t>2272705660002656</t>
        </is>
      </c>
      <c r="AZ1777" t="inlineStr">
        <is>
          <t>BOOK</t>
        </is>
      </c>
      <c r="BB1777" t="inlineStr">
        <is>
          <t>9780809122363</t>
        </is>
      </c>
      <c r="BC1777" t="inlineStr">
        <is>
          <t>32285001017770</t>
        </is>
      </c>
      <c r="BD1777" t="inlineStr">
        <is>
          <t>893782718</t>
        </is>
      </c>
    </row>
    <row r="1778">
      <c r="A1778" t="inlineStr">
        <is>
          <t>No</t>
        </is>
      </c>
      <c r="B1778" t="inlineStr">
        <is>
          <t>BX324.3 .M4713 2006</t>
        </is>
      </c>
      <c r="C1778" t="inlineStr">
        <is>
          <t>0                      BX 0324300M  4713        2006</t>
        </is>
      </c>
      <c r="D1778" t="inlineStr">
        <is>
          <t>The Petrine ministry : Catholics and Orthodox in dialogue : academic symposium held at the Pontifical Council for Promoting Christian Unity / edited by Walter Kasper ; translated by the staff of the Pontifical Council for Promoting Christian Unity.</t>
        </is>
      </c>
      <c r="F1778" t="inlineStr">
        <is>
          <t>No</t>
        </is>
      </c>
      <c r="G1778" t="inlineStr">
        <is>
          <t>1</t>
        </is>
      </c>
      <c r="H1778" t="inlineStr">
        <is>
          <t>No</t>
        </is>
      </c>
      <c r="I1778" t="inlineStr">
        <is>
          <t>No</t>
        </is>
      </c>
      <c r="J1778" t="inlineStr">
        <is>
          <t>0</t>
        </is>
      </c>
      <c r="K1778" t="inlineStr">
        <is>
          <t>Ministero petrino. English.</t>
        </is>
      </c>
      <c r="L1778" t="inlineStr">
        <is>
          <t>New York : Newman Press, c2006.</t>
        </is>
      </c>
      <c r="M1778" t="inlineStr">
        <is>
          <t>2006</t>
        </is>
      </c>
      <c r="O1778" t="inlineStr">
        <is>
          <t>eng</t>
        </is>
      </c>
      <c r="P1778" t="inlineStr">
        <is>
          <t>nyu</t>
        </is>
      </c>
      <c r="R1778" t="inlineStr">
        <is>
          <t xml:space="preserve">BX </t>
        </is>
      </c>
      <c r="S1778" t="n">
        <v>3</v>
      </c>
      <c r="T1778" t="n">
        <v>3</v>
      </c>
      <c r="U1778" t="inlineStr">
        <is>
          <t>2010-07-23</t>
        </is>
      </c>
      <c r="V1778" t="inlineStr">
        <is>
          <t>2010-07-23</t>
        </is>
      </c>
      <c r="W1778" t="inlineStr">
        <is>
          <t>2006-11-30</t>
        </is>
      </c>
      <c r="X1778" t="inlineStr">
        <is>
          <t>2006-11-30</t>
        </is>
      </c>
      <c r="Y1778" t="n">
        <v>171</v>
      </c>
      <c r="Z1778" t="n">
        <v>132</v>
      </c>
      <c r="AA1778" t="n">
        <v>134</v>
      </c>
      <c r="AB1778" t="n">
        <v>1</v>
      </c>
      <c r="AC1778" t="n">
        <v>1</v>
      </c>
      <c r="AD1778" t="n">
        <v>16</v>
      </c>
      <c r="AE1778" t="n">
        <v>16</v>
      </c>
      <c r="AF1778" t="n">
        <v>8</v>
      </c>
      <c r="AG1778" t="n">
        <v>8</v>
      </c>
      <c r="AH1778" t="n">
        <v>3</v>
      </c>
      <c r="AI1778" t="n">
        <v>3</v>
      </c>
      <c r="AJ1778" t="n">
        <v>11</v>
      </c>
      <c r="AK1778" t="n">
        <v>11</v>
      </c>
      <c r="AL1778" t="n">
        <v>0</v>
      </c>
      <c r="AM1778" t="n">
        <v>0</v>
      </c>
      <c r="AN1778" t="n">
        <v>0</v>
      </c>
      <c r="AO1778" t="n">
        <v>0</v>
      </c>
      <c r="AP1778" t="inlineStr">
        <is>
          <t>No</t>
        </is>
      </c>
      <c r="AQ1778" t="inlineStr">
        <is>
          <t>No</t>
        </is>
      </c>
      <c r="AS1778">
        <f>HYPERLINK("https://creighton-primo.hosted.exlibrisgroup.com/primo-explore/search?tab=default_tab&amp;search_scope=EVERYTHING&amp;vid=01CRU&amp;lang=en_US&amp;offset=0&amp;query=any,contains,991004970339702656","Catalog Record")</f>
        <v/>
      </c>
      <c r="AT1778">
        <f>HYPERLINK("http://www.worldcat.org/oclc/57579314","WorldCat Record")</f>
        <v/>
      </c>
      <c r="AU1778" t="inlineStr">
        <is>
          <t>19245003:eng</t>
        </is>
      </c>
      <c r="AV1778" t="inlineStr">
        <is>
          <t>57579314</t>
        </is>
      </c>
      <c r="AW1778" t="inlineStr">
        <is>
          <t>991004970339702656</t>
        </is>
      </c>
      <c r="AX1778" t="inlineStr">
        <is>
          <t>991004970339702656</t>
        </is>
      </c>
      <c r="AY1778" t="inlineStr">
        <is>
          <t>2259288160002656</t>
        </is>
      </c>
      <c r="AZ1778" t="inlineStr">
        <is>
          <t>BOOK</t>
        </is>
      </c>
      <c r="BB1778" t="inlineStr">
        <is>
          <t>9780809143344</t>
        </is>
      </c>
      <c r="BC1778" t="inlineStr">
        <is>
          <t>32285005263321</t>
        </is>
      </c>
      <c r="BD1778" t="inlineStr">
        <is>
          <t>893905150</t>
        </is>
      </c>
    </row>
    <row r="1779">
      <c r="A1779" t="inlineStr">
        <is>
          <t>No</t>
        </is>
      </c>
      <c r="B1779" t="inlineStr">
        <is>
          <t>BX324.3 .T69 1987</t>
        </is>
      </c>
      <c r="C1779" t="inlineStr">
        <is>
          <t>0                      BX 0324300T  69          1987</t>
        </is>
      </c>
      <c r="D1779" t="inlineStr">
        <is>
          <t>Towards the healing of schism : the Sees of Rome and Constantinople : public statements and correspondence between the Holy See and the Ecumenical Patriarchate, 1958-1984 / edited and translated by E.J. Stormon ; introduction by Thomas F. Stransky.</t>
        </is>
      </c>
      <c r="F1779" t="inlineStr">
        <is>
          <t>No</t>
        </is>
      </c>
      <c r="G1779" t="inlineStr">
        <is>
          <t>1</t>
        </is>
      </c>
      <c r="H1779" t="inlineStr">
        <is>
          <t>No</t>
        </is>
      </c>
      <c r="I1779" t="inlineStr">
        <is>
          <t>No</t>
        </is>
      </c>
      <c r="J1779" t="inlineStr">
        <is>
          <t>0</t>
        </is>
      </c>
      <c r="L1779" t="inlineStr">
        <is>
          <t>New York : Paulist Press, c1987.</t>
        </is>
      </c>
      <c r="M1779" t="inlineStr">
        <is>
          <t>1987</t>
        </is>
      </c>
      <c r="O1779" t="inlineStr">
        <is>
          <t>eng</t>
        </is>
      </c>
      <c r="P1779" t="inlineStr">
        <is>
          <t>nyu</t>
        </is>
      </c>
      <c r="Q1779" t="inlineStr">
        <is>
          <t>Ecumenical documents ; 3</t>
        </is>
      </c>
      <c r="R1779" t="inlineStr">
        <is>
          <t xml:space="preserve">BX </t>
        </is>
      </c>
      <c r="S1779" t="n">
        <v>8</v>
      </c>
      <c r="T1779" t="n">
        <v>8</v>
      </c>
      <c r="U1779" t="inlineStr">
        <is>
          <t>2003-04-27</t>
        </is>
      </c>
      <c r="V1779" t="inlineStr">
        <is>
          <t>2003-04-27</t>
        </is>
      </c>
      <c r="W1779" t="inlineStr">
        <is>
          <t>1992-03-27</t>
        </is>
      </c>
      <c r="X1779" t="inlineStr">
        <is>
          <t>1992-03-27</t>
        </is>
      </c>
      <c r="Y1779" t="n">
        <v>257</v>
      </c>
      <c r="Z1779" t="n">
        <v>201</v>
      </c>
      <c r="AA1779" t="n">
        <v>207</v>
      </c>
      <c r="AB1779" t="n">
        <v>1</v>
      </c>
      <c r="AC1779" t="n">
        <v>1</v>
      </c>
      <c r="AD1779" t="n">
        <v>23</v>
      </c>
      <c r="AE1779" t="n">
        <v>23</v>
      </c>
      <c r="AF1779" t="n">
        <v>7</v>
      </c>
      <c r="AG1779" t="n">
        <v>7</v>
      </c>
      <c r="AH1779" t="n">
        <v>8</v>
      </c>
      <c r="AI1779" t="n">
        <v>8</v>
      </c>
      <c r="AJ1779" t="n">
        <v>16</v>
      </c>
      <c r="AK1779" t="n">
        <v>16</v>
      </c>
      <c r="AL1779" t="n">
        <v>0</v>
      </c>
      <c r="AM1779" t="n">
        <v>0</v>
      </c>
      <c r="AN1779" t="n">
        <v>0</v>
      </c>
      <c r="AO1779" t="n">
        <v>0</v>
      </c>
      <c r="AP1779" t="inlineStr">
        <is>
          <t>No</t>
        </is>
      </c>
      <c r="AQ1779" t="inlineStr">
        <is>
          <t>No</t>
        </is>
      </c>
      <c r="AS1779">
        <f>HYPERLINK("https://creighton-primo.hosted.exlibrisgroup.com/primo-explore/search?tab=default_tab&amp;search_scope=EVERYTHING&amp;vid=01CRU&amp;lang=en_US&amp;offset=0&amp;query=any,contains,991001088129702656","Catalog Record")</f>
        <v/>
      </c>
      <c r="AT1779">
        <f>HYPERLINK("http://www.worldcat.org/oclc/16131917","WorldCat Record")</f>
        <v/>
      </c>
      <c r="AU1779" t="inlineStr">
        <is>
          <t>1096439297:eng</t>
        </is>
      </c>
      <c r="AV1779" t="inlineStr">
        <is>
          <t>16131917</t>
        </is>
      </c>
      <c r="AW1779" t="inlineStr">
        <is>
          <t>991001088129702656</t>
        </is>
      </c>
      <c r="AX1779" t="inlineStr">
        <is>
          <t>991001088129702656</t>
        </is>
      </c>
      <c r="AY1779" t="inlineStr">
        <is>
          <t>2268531730002656</t>
        </is>
      </c>
      <c r="AZ1779" t="inlineStr">
        <is>
          <t>BOOK</t>
        </is>
      </c>
      <c r="BB1779" t="inlineStr">
        <is>
          <t>9780809129102</t>
        </is>
      </c>
      <c r="BC1779" t="inlineStr">
        <is>
          <t>32285001017788</t>
        </is>
      </c>
      <c r="BD1779" t="inlineStr">
        <is>
          <t>893897501</t>
        </is>
      </c>
    </row>
    <row r="1780">
      <c r="A1780" t="inlineStr">
        <is>
          <t>No</t>
        </is>
      </c>
      <c r="B1780" t="inlineStr">
        <is>
          <t>BX3255 .N4</t>
        </is>
      </c>
      <c r="C1780" t="inlineStr">
        <is>
          <t>0                      BX 3255000N  4</t>
        </is>
      </c>
      <c r="D1780" t="inlineStr">
        <is>
          <t>Heirs of St. Teresa of Avila.</t>
        </is>
      </c>
      <c r="F1780" t="inlineStr">
        <is>
          <t>No</t>
        </is>
      </c>
      <c r="G1780" t="inlineStr">
        <is>
          <t>1</t>
        </is>
      </c>
      <c r="H1780" t="inlineStr">
        <is>
          <t>No</t>
        </is>
      </c>
      <c r="I1780" t="inlineStr">
        <is>
          <t>No</t>
        </is>
      </c>
      <c r="J1780" t="inlineStr">
        <is>
          <t>0</t>
        </is>
      </c>
      <c r="K1780" t="inlineStr">
        <is>
          <t>Nevin, Winifred.</t>
        </is>
      </c>
      <c r="L1780" t="inlineStr">
        <is>
          <t>Milwaukee, Bruce Pub. Co. [1959]</t>
        </is>
      </c>
      <c r="M1780" t="inlineStr">
        <is>
          <t>1959</t>
        </is>
      </c>
      <c r="O1780" t="inlineStr">
        <is>
          <t>eng</t>
        </is>
      </c>
      <c r="P1780" t="inlineStr">
        <is>
          <t>wiu</t>
        </is>
      </c>
      <c r="R1780" t="inlineStr">
        <is>
          <t xml:space="preserve">BX </t>
        </is>
      </c>
      <c r="S1780" t="n">
        <v>1</v>
      </c>
      <c r="T1780" t="n">
        <v>1</v>
      </c>
      <c r="U1780" t="inlineStr">
        <is>
          <t>1993-02-16</t>
        </is>
      </c>
      <c r="V1780" t="inlineStr">
        <is>
          <t>1993-02-16</t>
        </is>
      </c>
      <c r="W1780" t="inlineStr">
        <is>
          <t>1991-11-07</t>
        </is>
      </c>
      <c r="X1780" t="inlineStr">
        <is>
          <t>1991-11-07</t>
        </is>
      </c>
      <c r="Y1780" t="n">
        <v>73</v>
      </c>
      <c r="Z1780" t="n">
        <v>64</v>
      </c>
      <c r="AA1780" t="n">
        <v>73</v>
      </c>
      <c r="AB1780" t="n">
        <v>2</v>
      </c>
      <c r="AC1780" t="n">
        <v>2</v>
      </c>
      <c r="AD1780" t="n">
        <v>8</v>
      </c>
      <c r="AE1780" t="n">
        <v>8</v>
      </c>
      <c r="AF1780" t="n">
        <v>0</v>
      </c>
      <c r="AG1780" t="n">
        <v>0</v>
      </c>
      <c r="AH1780" t="n">
        <v>2</v>
      </c>
      <c r="AI1780" t="n">
        <v>2</v>
      </c>
      <c r="AJ1780" t="n">
        <v>7</v>
      </c>
      <c r="AK1780" t="n">
        <v>7</v>
      </c>
      <c r="AL1780" t="n">
        <v>0</v>
      </c>
      <c r="AM1780" t="n">
        <v>0</v>
      </c>
      <c r="AN1780" t="n">
        <v>0</v>
      </c>
      <c r="AO1780" t="n">
        <v>0</v>
      </c>
      <c r="AP1780" t="inlineStr">
        <is>
          <t>No</t>
        </is>
      </c>
      <c r="AQ1780" t="inlineStr">
        <is>
          <t>Yes</t>
        </is>
      </c>
      <c r="AR1780">
        <f>HYPERLINK("http://catalog.hathitrust.org/Record/102783385","HathiTrust Record")</f>
        <v/>
      </c>
      <c r="AS1780">
        <f>HYPERLINK("https://creighton-primo.hosted.exlibrisgroup.com/primo-explore/search?tab=default_tab&amp;search_scope=EVERYTHING&amp;vid=01CRU&amp;lang=en_US&amp;offset=0&amp;query=any,contains,991004827859702656","Catalog Record")</f>
        <v/>
      </c>
      <c r="AT1780">
        <f>HYPERLINK("http://www.worldcat.org/oclc/5372697","WorldCat Record")</f>
        <v/>
      </c>
      <c r="AU1780" t="inlineStr">
        <is>
          <t>17561738:eng</t>
        </is>
      </c>
      <c r="AV1780" t="inlineStr">
        <is>
          <t>5372697</t>
        </is>
      </c>
      <c r="AW1780" t="inlineStr">
        <is>
          <t>991004827859702656</t>
        </is>
      </c>
      <c r="AX1780" t="inlineStr">
        <is>
          <t>991004827859702656</t>
        </is>
      </c>
      <c r="AY1780" t="inlineStr">
        <is>
          <t>2269311410002656</t>
        </is>
      </c>
      <c r="AZ1780" t="inlineStr">
        <is>
          <t>BOOK</t>
        </is>
      </c>
      <c r="BC1780" t="inlineStr">
        <is>
          <t>32285000833532</t>
        </is>
      </c>
      <c r="BD1780" t="inlineStr">
        <is>
          <t>893901810</t>
        </is>
      </c>
    </row>
    <row r="1781">
      <c r="A1781" t="inlineStr">
        <is>
          <t>No</t>
        </is>
      </c>
      <c r="B1781" t="inlineStr">
        <is>
          <t>BX3255 .O36 1989</t>
        </is>
      </c>
      <c r="C1781" t="inlineStr">
        <is>
          <t>0                      BX 3255000O  36          1989</t>
        </is>
      </c>
      <c r="D1781" t="inlineStr">
        <is>
          <t>Mystics for our time : Carmelite meditations for a new age / by Noel O'Donoghue.</t>
        </is>
      </c>
      <c r="F1781" t="inlineStr">
        <is>
          <t>No</t>
        </is>
      </c>
      <c r="G1781" t="inlineStr">
        <is>
          <t>1</t>
        </is>
      </c>
      <c r="H1781" t="inlineStr">
        <is>
          <t>No</t>
        </is>
      </c>
      <c r="I1781" t="inlineStr">
        <is>
          <t>No</t>
        </is>
      </c>
      <c r="J1781" t="inlineStr">
        <is>
          <t>0</t>
        </is>
      </c>
      <c r="K1781" t="inlineStr">
        <is>
          <t>O'Donoghue, Noel.</t>
        </is>
      </c>
      <c r="L1781" t="inlineStr">
        <is>
          <t>Wilmington, Del. : M. Glazier, c1989.</t>
        </is>
      </c>
      <c r="M1781" t="inlineStr">
        <is>
          <t>1989</t>
        </is>
      </c>
      <c r="O1781" t="inlineStr">
        <is>
          <t>eng</t>
        </is>
      </c>
      <c r="P1781" t="inlineStr">
        <is>
          <t>deu</t>
        </is>
      </c>
      <c r="R1781" t="inlineStr">
        <is>
          <t xml:space="preserve">BX </t>
        </is>
      </c>
      <c r="S1781" t="n">
        <v>7</v>
      </c>
      <c r="T1781" t="n">
        <v>7</v>
      </c>
      <c r="U1781" t="inlineStr">
        <is>
          <t>2000-10-16</t>
        </is>
      </c>
      <c r="V1781" t="inlineStr">
        <is>
          <t>2000-10-16</t>
        </is>
      </c>
      <c r="W1781" t="inlineStr">
        <is>
          <t>1991-05-13</t>
        </is>
      </c>
      <c r="X1781" t="inlineStr">
        <is>
          <t>1991-05-13</t>
        </is>
      </c>
      <c r="Y1781" t="n">
        <v>77</v>
      </c>
      <c r="Z1781" t="n">
        <v>70</v>
      </c>
      <c r="AA1781" t="n">
        <v>85</v>
      </c>
      <c r="AB1781" t="n">
        <v>1</v>
      </c>
      <c r="AC1781" t="n">
        <v>2</v>
      </c>
      <c r="AD1781" t="n">
        <v>8</v>
      </c>
      <c r="AE1781" t="n">
        <v>8</v>
      </c>
      <c r="AF1781" t="n">
        <v>2</v>
      </c>
      <c r="AG1781" t="n">
        <v>2</v>
      </c>
      <c r="AH1781" t="n">
        <v>2</v>
      </c>
      <c r="AI1781" t="n">
        <v>2</v>
      </c>
      <c r="AJ1781" t="n">
        <v>5</v>
      </c>
      <c r="AK1781" t="n">
        <v>5</v>
      </c>
      <c r="AL1781" t="n">
        <v>0</v>
      </c>
      <c r="AM1781" t="n">
        <v>0</v>
      </c>
      <c r="AN1781" t="n">
        <v>0</v>
      </c>
      <c r="AO1781" t="n">
        <v>0</v>
      </c>
      <c r="AP1781" t="inlineStr">
        <is>
          <t>No</t>
        </is>
      </c>
      <c r="AQ1781" t="inlineStr">
        <is>
          <t>No</t>
        </is>
      </c>
      <c r="AS1781">
        <f>HYPERLINK("https://creighton-primo.hosted.exlibrisgroup.com/primo-explore/search?tab=default_tab&amp;search_scope=EVERYTHING&amp;vid=01CRU&amp;lang=en_US&amp;offset=0&amp;query=any,contains,991001681139702656","Catalog Record")</f>
        <v/>
      </c>
      <c r="AT1781">
        <f>HYPERLINK("http://www.worldcat.org/oclc/21346436","WorldCat Record")</f>
        <v/>
      </c>
      <c r="AU1781" t="inlineStr">
        <is>
          <t>1103508456:eng</t>
        </is>
      </c>
      <c r="AV1781" t="inlineStr">
        <is>
          <t>21346436</t>
        </is>
      </c>
      <c r="AW1781" t="inlineStr">
        <is>
          <t>991001681139702656</t>
        </is>
      </c>
      <c r="AX1781" t="inlineStr">
        <is>
          <t>991001681139702656</t>
        </is>
      </c>
      <c r="AY1781" t="inlineStr">
        <is>
          <t>2260252980002656</t>
        </is>
      </c>
      <c r="AZ1781" t="inlineStr">
        <is>
          <t>BOOK</t>
        </is>
      </c>
      <c r="BB1781" t="inlineStr">
        <is>
          <t>9780894537837</t>
        </is>
      </c>
      <c r="BC1781" t="inlineStr">
        <is>
          <t>32285000572148</t>
        </is>
      </c>
      <c r="BD1781" t="inlineStr">
        <is>
          <t>893621548</t>
        </is>
      </c>
    </row>
    <row r="1782">
      <c r="A1782" t="inlineStr">
        <is>
          <t>No</t>
        </is>
      </c>
      <c r="B1782" t="inlineStr">
        <is>
          <t>BX330 .P46</t>
        </is>
      </c>
      <c r="C1782" t="inlineStr">
        <is>
          <t>0                      BX 0330000P  46</t>
        </is>
      </c>
      <c r="D1782" t="inlineStr">
        <is>
          <t>The homilies of Photius, patriarch of Constantinople / English translation, introd., and commentary by Cyril Mango.</t>
        </is>
      </c>
      <c r="F1782" t="inlineStr">
        <is>
          <t>No</t>
        </is>
      </c>
      <c r="G1782" t="inlineStr">
        <is>
          <t>1</t>
        </is>
      </c>
      <c r="H1782" t="inlineStr">
        <is>
          <t>No</t>
        </is>
      </c>
      <c r="I1782" t="inlineStr">
        <is>
          <t>No</t>
        </is>
      </c>
      <c r="J1782" t="inlineStr">
        <is>
          <t>0</t>
        </is>
      </c>
      <c r="K1782" t="inlineStr">
        <is>
          <t>Photius I, Saint, Patriarch of Constantinople, approximately 820-approximately 891.</t>
        </is>
      </c>
      <c r="L1782" t="inlineStr">
        <is>
          <t>Cambridge : Harvard University Press, 1958.</t>
        </is>
      </c>
      <c r="M1782" t="inlineStr">
        <is>
          <t>1958</t>
        </is>
      </c>
      <c r="O1782" t="inlineStr">
        <is>
          <t>eng</t>
        </is>
      </c>
      <c r="P1782" t="inlineStr">
        <is>
          <t>|||</t>
        </is>
      </c>
      <c r="Q1782" t="inlineStr">
        <is>
          <t>Dumbarton Oaks studies ; 3</t>
        </is>
      </c>
      <c r="R1782" t="inlineStr">
        <is>
          <t xml:space="preserve">BX </t>
        </is>
      </c>
      <c r="S1782" t="n">
        <v>3</v>
      </c>
      <c r="T1782" t="n">
        <v>3</v>
      </c>
      <c r="U1782" t="inlineStr">
        <is>
          <t>2001-11-09</t>
        </is>
      </c>
      <c r="V1782" t="inlineStr">
        <is>
          <t>2001-11-09</t>
        </is>
      </c>
      <c r="W1782" t="inlineStr">
        <is>
          <t>1992-03-27</t>
        </is>
      </c>
      <c r="X1782" t="inlineStr">
        <is>
          <t>1992-03-27</t>
        </is>
      </c>
      <c r="Y1782" t="n">
        <v>300</v>
      </c>
      <c r="Z1782" t="n">
        <v>244</v>
      </c>
      <c r="AA1782" t="n">
        <v>276</v>
      </c>
      <c r="AB1782" t="n">
        <v>3</v>
      </c>
      <c r="AC1782" t="n">
        <v>3</v>
      </c>
      <c r="AD1782" t="n">
        <v>17</v>
      </c>
      <c r="AE1782" t="n">
        <v>18</v>
      </c>
      <c r="AF1782" t="n">
        <v>4</v>
      </c>
      <c r="AG1782" t="n">
        <v>4</v>
      </c>
      <c r="AH1782" t="n">
        <v>6</v>
      </c>
      <c r="AI1782" t="n">
        <v>7</v>
      </c>
      <c r="AJ1782" t="n">
        <v>12</v>
      </c>
      <c r="AK1782" t="n">
        <v>12</v>
      </c>
      <c r="AL1782" t="n">
        <v>1</v>
      </c>
      <c r="AM1782" t="n">
        <v>1</v>
      </c>
      <c r="AN1782" t="n">
        <v>0</v>
      </c>
      <c r="AO1782" t="n">
        <v>0</v>
      </c>
      <c r="AP1782" t="inlineStr">
        <is>
          <t>No</t>
        </is>
      </c>
      <c r="AQ1782" t="inlineStr">
        <is>
          <t>No</t>
        </is>
      </c>
      <c r="AR1782">
        <f>HYPERLINK("http://catalog.hathitrust.org/Record/001181872","HathiTrust Record")</f>
        <v/>
      </c>
      <c r="AS1782">
        <f>HYPERLINK("https://creighton-primo.hosted.exlibrisgroup.com/primo-explore/search?tab=default_tab&amp;search_scope=EVERYTHING&amp;vid=01CRU&amp;lang=en_US&amp;offset=0&amp;query=any,contains,991003372679702656","Catalog Record")</f>
        <v/>
      </c>
      <c r="AT1782">
        <f>HYPERLINK("http://www.worldcat.org/oclc/20723149","WorldCat Record")</f>
        <v/>
      </c>
      <c r="AU1782" t="inlineStr">
        <is>
          <t>22368365:eng</t>
        </is>
      </c>
      <c r="AV1782" t="inlineStr">
        <is>
          <t>20723149</t>
        </is>
      </c>
      <c r="AW1782" t="inlineStr">
        <is>
          <t>991003372679702656</t>
        </is>
      </c>
      <c r="AX1782" t="inlineStr">
        <is>
          <t>991003372679702656</t>
        </is>
      </c>
      <c r="AY1782" t="inlineStr">
        <is>
          <t>2261468690002656</t>
        </is>
      </c>
      <c r="AZ1782" t="inlineStr">
        <is>
          <t>BOOK</t>
        </is>
      </c>
      <c r="BC1782" t="inlineStr">
        <is>
          <t>32285001017796</t>
        </is>
      </c>
      <c r="BD1782" t="inlineStr">
        <is>
          <t>893598534</t>
        </is>
      </c>
    </row>
    <row r="1783">
      <c r="A1783" t="inlineStr">
        <is>
          <t>No</t>
        </is>
      </c>
      <c r="B1783" t="inlineStr">
        <is>
          <t>BX3301 .L4 1962, v...</t>
        </is>
      </c>
      <c r="C1783" t="inlineStr">
        <is>
          <t>0                      BX 3301000L  4           1962                                        v...</t>
        </is>
      </c>
      <c r="D1783" t="inlineStr">
        <is>
          <t>Lettres des premiers chartreux / Introductions, texte critique, traduction et notes par un chartreux.</t>
        </is>
      </c>
      <c r="E1783" t="inlineStr">
        <is>
          <t>V.2</t>
        </is>
      </c>
      <c r="F1783" t="inlineStr">
        <is>
          <t>Yes</t>
        </is>
      </c>
      <c r="G1783" t="inlineStr">
        <is>
          <t>1</t>
        </is>
      </c>
      <c r="H1783" t="inlineStr">
        <is>
          <t>No</t>
        </is>
      </c>
      <c r="I1783" t="inlineStr">
        <is>
          <t>No</t>
        </is>
      </c>
      <c r="J1783" t="inlineStr">
        <is>
          <t>0</t>
        </is>
      </c>
      <c r="L1783" t="inlineStr">
        <is>
          <t>Paris : Éditions du Cerf, 1962-</t>
        </is>
      </c>
      <c r="M1783" t="inlineStr">
        <is>
          <t>1962</t>
        </is>
      </c>
      <c r="O1783" t="inlineStr">
        <is>
          <t>fre</t>
        </is>
      </c>
      <c r="P1783" t="inlineStr">
        <is>
          <t>___</t>
        </is>
      </c>
      <c r="Q1783" t="inlineStr">
        <is>
          <t>Série des textes monastiques d'Occident ; 10</t>
        </is>
      </c>
      <c r="R1783" t="inlineStr">
        <is>
          <t xml:space="preserve">BX </t>
        </is>
      </c>
      <c r="S1783" t="n">
        <v>0</v>
      </c>
      <c r="T1783" t="n">
        <v>1</v>
      </c>
      <c r="V1783" t="inlineStr">
        <is>
          <t>2010-06-16</t>
        </is>
      </c>
      <c r="W1783" t="inlineStr">
        <is>
          <t>1991-11-07</t>
        </is>
      </c>
      <c r="X1783" t="inlineStr">
        <is>
          <t>1991-11-07</t>
        </is>
      </c>
      <c r="Y1783" t="n">
        <v>205</v>
      </c>
      <c r="Z1783" t="n">
        <v>146</v>
      </c>
      <c r="AA1783" t="n">
        <v>148</v>
      </c>
      <c r="AB1783" t="n">
        <v>2</v>
      </c>
      <c r="AC1783" t="n">
        <v>2</v>
      </c>
      <c r="AD1783" t="n">
        <v>17</v>
      </c>
      <c r="AE1783" t="n">
        <v>17</v>
      </c>
      <c r="AF1783" t="n">
        <v>4</v>
      </c>
      <c r="AG1783" t="n">
        <v>4</v>
      </c>
      <c r="AH1783" t="n">
        <v>3</v>
      </c>
      <c r="AI1783" t="n">
        <v>3</v>
      </c>
      <c r="AJ1783" t="n">
        <v>13</v>
      </c>
      <c r="AK1783" t="n">
        <v>13</v>
      </c>
      <c r="AL1783" t="n">
        <v>1</v>
      </c>
      <c r="AM1783" t="n">
        <v>1</v>
      </c>
      <c r="AN1783" t="n">
        <v>0</v>
      </c>
      <c r="AO1783" t="n">
        <v>0</v>
      </c>
      <c r="AP1783" t="inlineStr">
        <is>
          <t>No</t>
        </is>
      </c>
      <c r="AQ1783" t="inlineStr">
        <is>
          <t>Yes</t>
        </is>
      </c>
      <c r="AR1783">
        <f>HYPERLINK("http://catalog.hathitrust.org/Record/000761346","HathiTrust Record")</f>
        <v/>
      </c>
      <c r="AS1783">
        <f>HYPERLINK("https://creighton-primo.hosted.exlibrisgroup.com/primo-explore/search?tab=default_tab&amp;search_scope=EVERYTHING&amp;vid=01CRU&amp;lang=en_US&amp;offset=0&amp;query=any,contains,991003329649702656","Catalog Record")</f>
        <v/>
      </c>
      <c r="AT1783">
        <f>HYPERLINK("http://www.worldcat.org/oclc/860000","WorldCat Record")</f>
        <v/>
      </c>
      <c r="AU1783" t="inlineStr">
        <is>
          <t>8912519145:fre</t>
        </is>
      </c>
      <c r="AV1783" t="inlineStr">
        <is>
          <t>860000</t>
        </is>
      </c>
      <c r="AW1783" t="inlineStr">
        <is>
          <t>991003329649702656</t>
        </is>
      </c>
      <c r="AX1783" t="inlineStr">
        <is>
          <t>991003329649702656</t>
        </is>
      </c>
      <c r="AY1783" t="inlineStr">
        <is>
          <t>2260915510002656</t>
        </is>
      </c>
      <c r="AZ1783" t="inlineStr">
        <is>
          <t>BOOK</t>
        </is>
      </c>
      <c r="BC1783" t="inlineStr">
        <is>
          <t>32285000833557</t>
        </is>
      </c>
      <c r="BD1783" t="inlineStr">
        <is>
          <t>893617235</t>
        </is>
      </c>
    </row>
    <row r="1784">
      <c r="A1784" t="inlineStr">
        <is>
          <t>No</t>
        </is>
      </c>
      <c r="B1784" t="inlineStr">
        <is>
          <t>BX3301 .L4 1962, v...</t>
        </is>
      </c>
      <c r="C1784" t="inlineStr">
        <is>
          <t>0                      BX 3301000L  4           1962                                        v...</t>
        </is>
      </c>
      <c r="D1784" t="inlineStr">
        <is>
          <t>Lettres des premiers chartreux / Introductions, texte critique, traduction et notes par un chartreux.</t>
        </is>
      </c>
      <c r="E1784" t="inlineStr">
        <is>
          <t>V.1</t>
        </is>
      </c>
      <c r="F1784" t="inlineStr">
        <is>
          <t>Yes</t>
        </is>
      </c>
      <c r="G1784" t="inlineStr">
        <is>
          <t>1</t>
        </is>
      </c>
      <c r="H1784" t="inlineStr">
        <is>
          <t>No</t>
        </is>
      </c>
      <c r="I1784" t="inlineStr">
        <is>
          <t>No</t>
        </is>
      </c>
      <c r="J1784" t="inlineStr">
        <is>
          <t>0</t>
        </is>
      </c>
      <c r="L1784" t="inlineStr">
        <is>
          <t>Paris : Éditions du Cerf, 1962-</t>
        </is>
      </c>
      <c r="M1784" t="inlineStr">
        <is>
          <t>1962</t>
        </is>
      </c>
      <c r="O1784" t="inlineStr">
        <is>
          <t>fre</t>
        </is>
      </c>
      <c r="P1784" t="inlineStr">
        <is>
          <t>___</t>
        </is>
      </c>
      <c r="Q1784" t="inlineStr">
        <is>
          <t>Série des textes monastiques d'Occident ; 10</t>
        </is>
      </c>
      <c r="R1784" t="inlineStr">
        <is>
          <t xml:space="preserve">BX </t>
        </is>
      </c>
      <c r="S1784" t="n">
        <v>1</v>
      </c>
      <c r="T1784" t="n">
        <v>1</v>
      </c>
      <c r="U1784" t="inlineStr">
        <is>
          <t>2010-06-16</t>
        </is>
      </c>
      <c r="V1784" t="inlineStr">
        <is>
          <t>2010-06-16</t>
        </is>
      </c>
      <c r="W1784" t="inlineStr">
        <is>
          <t>1991-11-07</t>
        </is>
      </c>
      <c r="X1784" t="inlineStr">
        <is>
          <t>1991-11-07</t>
        </is>
      </c>
      <c r="Y1784" t="n">
        <v>205</v>
      </c>
      <c r="Z1784" t="n">
        <v>146</v>
      </c>
      <c r="AA1784" t="n">
        <v>148</v>
      </c>
      <c r="AB1784" t="n">
        <v>2</v>
      </c>
      <c r="AC1784" t="n">
        <v>2</v>
      </c>
      <c r="AD1784" t="n">
        <v>17</v>
      </c>
      <c r="AE1784" t="n">
        <v>17</v>
      </c>
      <c r="AF1784" t="n">
        <v>4</v>
      </c>
      <c r="AG1784" t="n">
        <v>4</v>
      </c>
      <c r="AH1784" t="n">
        <v>3</v>
      </c>
      <c r="AI1784" t="n">
        <v>3</v>
      </c>
      <c r="AJ1784" t="n">
        <v>13</v>
      </c>
      <c r="AK1784" t="n">
        <v>13</v>
      </c>
      <c r="AL1784" t="n">
        <v>1</v>
      </c>
      <c r="AM1784" t="n">
        <v>1</v>
      </c>
      <c r="AN1784" t="n">
        <v>0</v>
      </c>
      <c r="AO1784" t="n">
        <v>0</v>
      </c>
      <c r="AP1784" t="inlineStr">
        <is>
          <t>No</t>
        </is>
      </c>
      <c r="AQ1784" t="inlineStr">
        <is>
          <t>Yes</t>
        </is>
      </c>
      <c r="AR1784">
        <f>HYPERLINK("http://catalog.hathitrust.org/Record/000761346","HathiTrust Record")</f>
        <v/>
      </c>
      <c r="AS1784">
        <f>HYPERLINK("https://creighton-primo.hosted.exlibrisgroup.com/primo-explore/search?tab=default_tab&amp;search_scope=EVERYTHING&amp;vid=01CRU&amp;lang=en_US&amp;offset=0&amp;query=any,contains,991003329649702656","Catalog Record")</f>
        <v/>
      </c>
      <c r="AT1784">
        <f>HYPERLINK("http://www.worldcat.org/oclc/860000","WorldCat Record")</f>
        <v/>
      </c>
      <c r="AU1784" t="inlineStr">
        <is>
          <t>8912519145:fre</t>
        </is>
      </c>
      <c r="AV1784" t="inlineStr">
        <is>
          <t>860000</t>
        </is>
      </c>
      <c r="AW1784" t="inlineStr">
        <is>
          <t>991003329649702656</t>
        </is>
      </c>
      <c r="AX1784" t="inlineStr">
        <is>
          <t>991003329649702656</t>
        </is>
      </c>
      <c r="AY1784" t="inlineStr">
        <is>
          <t>2260915510002656</t>
        </is>
      </c>
      <c r="AZ1784" t="inlineStr">
        <is>
          <t>BOOK</t>
        </is>
      </c>
      <c r="BC1784" t="inlineStr">
        <is>
          <t>32285000833540</t>
        </is>
      </c>
      <c r="BD1784" t="inlineStr">
        <is>
          <t>893617236</t>
        </is>
      </c>
    </row>
    <row r="1785">
      <c r="A1785" t="inlineStr">
        <is>
          <t>No</t>
        </is>
      </c>
      <c r="B1785" t="inlineStr">
        <is>
          <t>BX3303 .C28 1999</t>
        </is>
      </c>
      <c r="C1785" t="inlineStr">
        <is>
          <t>0                      BX 3303000C  28          1999</t>
        </is>
      </c>
      <c r="D1785" t="inlineStr">
        <is>
          <t>Poor, therefore rich / by a Carthusian ; translated by an Anglican Solitary.</t>
        </is>
      </c>
      <c r="F1785" t="inlineStr">
        <is>
          <t>No</t>
        </is>
      </c>
      <c r="G1785" t="inlineStr">
        <is>
          <t>1</t>
        </is>
      </c>
      <c r="H1785" t="inlineStr">
        <is>
          <t>No</t>
        </is>
      </c>
      <c r="I1785" t="inlineStr">
        <is>
          <t>No</t>
        </is>
      </c>
      <c r="J1785" t="inlineStr">
        <is>
          <t>0</t>
        </is>
      </c>
      <c r="K1785" t="inlineStr">
        <is>
          <t>Carthusian.</t>
        </is>
      </c>
      <c r="L1785" t="inlineStr">
        <is>
          <t>Kalamazoo, Mich. : Cistercian Publications, c1999.</t>
        </is>
      </c>
      <c r="M1785" t="inlineStr">
        <is>
          <t>1999</t>
        </is>
      </c>
      <c r="O1785" t="inlineStr">
        <is>
          <t>eng</t>
        </is>
      </c>
      <c r="P1785" t="inlineStr">
        <is>
          <t>miu</t>
        </is>
      </c>
      <c r="Q1785" t="inlineStr">
        <is>
          <t>Carthusian novice conferences ; 5</t>
        </is>
      </c>
      <c r="R1785" t="inlineStr">
        <is>
          <t xml:space="preserve">BX </t>
        </is>
      </c>
      <c r="S1785" t="n">
        <v>5</v>
      </c>
      <c r="T1785" t="n">
        <v>5</v>
      </c>
      <c r="U1785" t="inlineStr">
        <is>
          <t>2008-06-30</t>
        </is>
      </c>
      <c r="V1785" t="inlineStr">
        <is>
          <t>2008-06-30</t>
        </is>
      </c>
      <c r="W1785" t="inlineStr">
        <is>
          <t>2000-03-13</t>
        </is>
      </c>
      <c r="X1785" t="inlineStr">
        <is>
          <t>2000-03-13</t>
        </is>
      </c>
      <c r="Y1785" t="n">
        <v>122</v>
      </c>
      <c r="Z1785" t="n">
        <v>108</v>
      </c>
      <c r="AA1785" t="n">
        <v>117</v>
      </c>
      <c r="AB1785" t="n">
        <v>1</v>
      </c>
      <c r="AC1785" t="n">
        <v>1</v>
      </c>
      <c r="AD1785" t="n">
        <v>10</v>
      </c>
      <c r="AE1785" t="n">
        <v>10</v>
      </c>
      <c r="AF1785" t="n">
        <v>3</v>
      </c>
      <c r="AG1785" t="n">
        <v>3</v>
      </c>
      <c r="AH1785" t="n">
        <v>3</v>
      </c>
      <c r="AI1785" t="n">
        <v>3</v>
      </c>
      <c r="AJ1785" t="n">
        <v>7</v>
      </c>
      <c r="AK1785" t="n">
        <v>7</v>
      </c>
      <c r="AL1785" t="n">
        <v>0</v>
      </c>
      <c r="AM1785" t="n">
        <v>0</v>
      </c>
      <c r="AN1785" t="n">
        <v>0</v>
      </c>
      <c r="AO1785" t="n">
        <v>0</v>
      </c>
      <c r="AP1785" t="inlineStr">
        <is>
          <t>No</t>
        </is>
      </c>
      <c r="AQ1785" t="inlineStr">
        <is>
          <t>Yes</t>
        </is>
      </c>
      <c r="AR1785">
        <f>HYPERLINK("http://catalog.hathitrust.org/Record/003894813","HathiTrust Record")</f>
        <v/>
      </c>
      <c r="AS1785">
        <f>HYPERLINK("https://creighton-primo.hosted.exlibrisgroup.com/primo-explore/search?tab=default_tab&amp;search_scope=EVERYTHING&amp;vid=01CRU&amp;lang=en_US&amp;offset=0&amp;query=any,contains,991003034809702656","Catalog Record")</f>
        <v/>
      </c>
      <c r="AT1785">
        <f>HYPERLINK("http://www.worldcat.org/oclc/41625717","WorldCat Record")</f>
        <v/>
      </c>
      <c r="AU1785" t="inlineStr">
        <is>
          <t>25291949:eng</t>
        </is>
      </c>
      <c r="AV1785" t="inlineStr">
        <is>
          <t>41625717</t>
        </is>
      </c>
      <c r="AW1785" t="inlineStr">
        <is>
          <t>991003034809702656</t>
        </is>
      </c>
      <c r="AX1785" t="inlineStr">
        <is>
          <t>991003034809702656</t>
        </is>
      </c>
      <c r="AY1785" t="inlineStr">
        <is>
          <t>2261222520002656</t>
        </is>
      </c>
      <c r="AZ1785" t="inlineStr">
        <is>
          <t>BOOK</t>
        </is>
      </c>
      <c r="BB1785" t="inlineStr">
        <is>
          <t>9780879077846</t>
        </is>
      </c>
      <c r="BC1785" t="inlineStr">
        <is>
          <t>32285003668893</t>
        </is>
      </c>
      <c r="BD1785" t="inlineStr">
        <is>
          <t>893336066</t>
        </is>
      </c>
    </row>
    <row r="1786">
      <c r="A1786" t="inlineStr">
        <is>
          <t>No</t>
        </is>
      </c>
      <c r="B1786" t="inlineStr">
        <is>
          <t>BX3402.2 .C57 1973</t>
        </is>
      </c>
      <c r="C1786" t="inlineStr">
        <is>
          <t>0                      BX 3402200C  57          1973</t>
        </is>
      </c>
      <c r="D1786" t="inlineStr">
        <is>
          <t>The Cistercian spirit : a symposium in memory of Thomas Merton / edited by M. Basil Pennington.</t>
        </is>
      </c>
      <c r="F1786" t="inlineStr">
        <is>
          <t>No</t>
        </is>
      </c>
      <c r="G1786" t="inlineStr">
        <is>
          <t>1</t>
        </is>
      </c>
      <c r="H1786" t="inlineStr">
        <is>
          <t>No</t>
        </is>
      </c>
      <c r="I1786" t="inlineStr">
        <is>
          <t>No</t>
        </is>
      </c>
      <c r="J1786" t="inlineStr">
        <is>
          <t>0</t>
        </is>
      </c>
      <c r="L1786" t="inlineStr">
        <is>
          <t>Washington, D.C. : Cistercian Publications, 1973, c1969.</t>
        </is>
      </c>
      <c r="M1786" t="inlineStr">
        <is>
          <t>1973</t>
        </is>
      </c>
      <c r="O1786" t="inlineStr">
        <is>
          <t>eng</t>
        </is>
      </c>
      <c r="P1786" t="inlineStr">
        <is>
          <t xml:space="preserve">xx </t>
        </is>
      </c>
      <c r="Q1786" t="inlineStr">
        <is>
          <t>Cistercian studies series ; no. 3</t>
        </is>
      </c>
      <c r="R1786" t="inlineStr">
        <is>
          <t xml:space="preserve">BX </t>
        </is>
      </c>
      <c r="S1786" t="n">
        <v>6</v>
      </c>
      <c r="T1786" t="n">
        <v>6</v>
      </c>
      <c r="U1786" t="inlineStr">
        <is>
          <t>2004-08-31</t>
        </is>
      </c>
      <c r="V1786" t="inlineStr">
        <is>
          <t>2004-08-31</t>
        </is>
      </c>
      <c r="W1786" t="inlineStr">
        <is>
          <t>1991-11-07</t>
        </is>
      </c>
      <c r="X1786" t="inlineStr">
        <is>
          <t>1991-11-07</t>
        </is>
      </c>
      <c r="Y1786" t="n">
        <v>143</v>
      </c>
      <c r="Z1786" t="n">
        <v>122</v>
      </c>
      <c r="AA1786" t="n">
        <v>307</v>
      </c>
      <c r="AB1786" t="n">
        <v>1</v>
      </c>
      <c r="AC1786" t="n">
        <v>1</v>
      </c>
      <c r="AD1786" t="n">
        <v>11</v>
      </c>
      <c r="AE1786" t="n">
        <v>29</v>
      </c>
      <c r="AF1786" t="n">
        <v>4</v>
      </c>
      <c r="AG1786" t="n">
        <v>10</v>
      </c>
      <c r="AH1786" t="n">
        <v>2</v>
      </c>
      <c r="AI1786" t="n">
        <v>6</v>
      </c>
      <c r="AJ1786" t="n">
        <v>8</v>
      </c>
      <c r="AK1786" t="n">
        <v>21</v>
      </c>
      <c r="AL1786" t="n">
        <v>0</v>
      </c>
      <c r="AM1786" t="n">
        <v>0</v>
      </c>
      <c r="AN1786" t="n">
        <v>0</v>
      </c>
      <c r="AO1786" t="n">
        <v>0</v>
      </c>
      <c r="AP1786" t="inlineStr">
        <is>
          <t>No</t>
        </is>
      </c>
      <c r="AQ1786" t="inlineStr">
        <is>
          <t>No</t>
        </is>
      </c>
      <c r="AS1786">
        <f>HYPERLINK("https://creighton-primo.hosted.exlibrisgroup.com/primo-explore/search?tab=default_tab&amp;search_scope=EVERYTHING&amp;vid=01CRU&amp;lang=en_US&amp;offset=0&amp;query=any,contains,991004368599702656","Catalog Record")</f>
        <v/>
      </c>
      <c r="AT1786">
        <f>HYPERLINK("http://www.worldcat.org/oclc/919203","WorldCat Record")</f>
        <v/>
      </c>
      <c r="AU1786" t="inlineStr">
        <is>
          <t>809836359:eng</t>
        </is>
      </c>
      <c r="AV1786" t="inlineStr">
        <is>
          <t>919203</t>
        </is>
      </c>
      <c r="AW1786" t="inlineStr">
        <is>
          <t>991004368599702656</t>
        </is>
      </c>
      <c r="AX1786" t="inlineStr">
        <is>
          <t>991004368599702656</t>
        </is>
      </c>
      <c r="AY1786" t="inlineStr">
        <is>
          <t>2262312040002656</t>
        </is>
      </c>
      <c r="AZ1786" t="inlineStr">
        <is>
          <t>BOOK</t>
        </is>
      </c>
      <c r="BC1786" t="inlineStr">
        <is>
          <t>32285000833581</t>
        </is>
      </c>
      <c r="BD1786" t="inlineStr">
        <is>
          <t>893259645</t>
        </is>
      </c>
    </row>
    <row r="1787">
      <c r="A1787" t="inlineStr">
        <is>
          <t>No</t>
        </is>
      </c>
      <c r="B1787" t="inlineStr">
        <is>
          <t>BX3402.A2 C57 1993</t>
        </is>
      </c>
      <c r="C1787" t="inlineStr">
        <is>
          <t>0                      BX 3402000A  2                  C  57          1993</t>
        </is>
      </c>
      <c r="D1787" t="inlineStr">
        <is>
          <t>The Cistercian world : monastic writings of the twelfth century / translated and edited with an introduction by Pauline Matarasso.</t>
        </is>
      </c>
      <c r="F1787" t="inlineStr">
        <is>
          <t>No</t>
        </is>
      </c>
      <c r="G1787" t="inlineStr">
        <is>
          <t>1</t>
        </is>
      </c>
      <c r="H1787" t="inlineStr">
        <is>
          <t>No</t>
        </is>
      </c>
      <c r="I1787" t="inlineStr">
        <is>
          <t>No</t>
        </is>
      </c>
      <c r="J1787" t="inlineStr">
        <is>
          <t>0</t>
        </is>
      </c>
      <c r="L1787" t="inlineStr">
        <is>
          <t>London, England ; New York, N.Y., USA : Penguin Books, 1993.</t>
        </is>
      </c>
      <c r="M1787" t="inlineStr">
        <is>
          <t>1993</t>
        </is>
      </c>
      <c r="O1787" t="inlineStr">
        <is>
          <t>eng</t>
        </is>
      </c>
      <c r="P1787" t="inlineStr">
        <is>
          <t>enk</t>
        </is>
      </c>
      <c r="Q1787" t="inlineStr">
        <is>
          <t>Penguin classics</t>
        </is>
      </c>
      <c r="R1787" t="inlineStr">
        <is>
          <t xml:space="preserve">BX </t>
        </is>
      </c>
      <c r="S1787" t="n">
        <v>2</v>
      </c>
      <c r="T1787" t="n">
        <v>2</v>
      </c>
      <c r="U1787" t="inlineStr">
        <is>
          <t>2010-09-05</t>
        </is>
      </c>
      <c r="V1787" t="inlineStr">
        <is>
          <t>2010-09-05</t>
        </is>
      </c>
      <c r="W1787" t="inlineStr">
        <is>
          <t>2005-04-21</t>
        </is>
      </c>
      <c r="X1787" t="inlineStr">
        <is>
          <t>2005-04-21</t>
        </is>
      </c>
      <c r="Y1787" t="n">
        <v>429</v>
      </c>
      <c r="Z1787" t="n">
        <v>300</v>
      </c>
      <c r="AA1787" t="n">
        <v>311</v>
      </c>
      <c r="AB1787" t="n">
        <v>2</v>
      </c>
      <c r="AC1787" t="n">
        <v>2</v>
      </c>
      <c r="AD1787" t="n">
        <v>20</v>
      </c>
      <c r="AE1787" t="n">
        <v>20</v>
      </c>
      <c r="AF1787" t="n">
        <v>8</v>
      </c>
      <c r="AG1787" t="n">
        <v>8</v>
      </c>
      <c r="AH1787" t="n">
        <v>5</v>
      </c>
      <c r="AI1787" t="n">
        <v>5</v>
      </c>
      <c r="AJ1787" t="n">
        <v>11</v>
      </c>
      <c r="AK1787" t="n">
        <v>11</v>
      </c>
      <c r="AL1787" t="n">
        <v>1</v>
      </c>
      <c r="AM1787" t="n">
        <v>1</v>
      </c>
      <c r="AN1787" t="n">
        <v>0</v>
      </c>
      <c r="AO1787" t="n">
        <v>0</v>
      </c>
      <c r="AP1787" t="inlineStr">
        <is>
          <t>No</t>
        </is>
      </c>
      <c r="AQ1787" t="inlineStr">
        <is>
          <t>No</t>
        </is>
      </c>
      <c r="AS1787">
        <f>HYPERLINK("https://creighton-primo.hosted.exlibrisgroup.com/primo-explore/search?tab=default_tab&amp;search_scope=EVERYTHING&amp;vid=01CRU&amp;lang=en_US&amp;offset=0&amp;query=any,contains,991004483499702656","Catalog Record")</f>
        <v/>
      </c>
      <c r="AT1787">
        <f>HYPERLINK("http://www.worldcat.org/oclc/29539232","WorldCat Record")</f>
        <v/>
      </c>
      <c r="AU1787" t="inlineStr">
        <is>
          <t>903466801:eng</t>
        </is>
      </c>
      <c r="AV1787" t="inlineStr">
        <is>
          <t>29539232</t>
        </is>
      </c>
      <c r="AW1787" t="inlineStr">
        <is>
          <t>991004483499702656</t>
        </is>
      </c>
      <c r="AX1787" t="inlineStr">
        <is>
          <t>991004483499702656</t>
        </is>
      </c>
      <c r="AY1787" t="inlineStr">
        <is>
          <t>2266664810002656</t>
        </is>
      </c>
      <c r="AZ1787" t="inlineStr">
        <is>
          <t>BOOK</t>
        </is>
      </c>
      <c r="BB1787" t="inlineStr">
        <is>
          <t>9780140433562</t>
        </is>
      </c>
      <c r="BC1787" t="inlineStr">
        <is>
          <t>32285005032601</t>
        </is>
      </c>
      <c r="BD1787" t="inlineStr">
        <is>
          <t>893706482</t>
        </is>
      </c>
    </row>
    <row r="1788">
      <c r="A1788" t="inlineStr">
        <is>
          <t>No</t>
        </is>
      </c>
      <c r="B1788" t="inlineStr">
        <is>
          <t>BX3403 .D4 1998</t>
        </is>
      </c>
      <c r="C1788" t="inlineStr">
        <is>
          <t>0                      BX 3403000D  4           1998</t>
        </is>
      </c>
      <c r="D1788" t="inlineStr">
        <is>
          <t>The way of simplicity : the Cistercian tradition / Esther De Waal.</t>
        </is>
      </c>
      <c r="F1788" t="inlineStr">
        <is>
          <t>No</t>
        </is>
      </c>
      <c r="G1788" t="inlineStr">
        <is>
          <t>1</t>
        </is>
      </c>
      <c r="H1788" t="inlineStr">
        <is>
          <t>No</t>
        </is>
      </c>
      <c r="I1788" t="inlineStr">
        <is>
          <t>No</t>
        </is>
      </c>
      <c r="J1788" t="inlineStr">
        <is>
          <t>0</t>
        </is>
      </c>
      <c r="K1788" t="inlineStr">
        <is>
          <t>De Waal, Esther.</t>
        </is>
      </c>
      <c r="L1788" t="inlineStr">
        <is>
          <t>Maryknoll, N.Y. : Orbis Books, 1998.</t>
        </is>
      </c>
      <c r="M1788" t="inlineStr">
        <is>
          <t>1998</t>
        </is>
      </c>
      <c r="O1788" t="inlineStr">
        <is>
          <t>eng</t>
        </is>
      </c>
      <c r="P1788" t="inlineStr">
        <is>
          <t>nyu</t>
        </is>
      </c>
      <c r="Q1788" t="inlineStr">
        <is>
          <t>Traditions of Christian spirituality</t>
        </is>
      </c>
      <c r="R1788" t="inlineStr">
        <is>
          <t xml:space="preserve">BX </t>
        </is>
      </c>
      <c r="S1788" t="n">
        <v>8</v>
      </c>
      <c r="T1788" t="n">
        <v>8</v>
      </c>
      <c r="U1788" t="inlineStr">
        <is>
          <t>2007-07-23</t>
        </is>
      </c>
      <c r="V1788" t="inlineStr">
        <is>
          <t>2007-07-23</t>
        </is>
      </c>
      <c r="W1788" t="inlineStr">
        <is>
          <t>1999-01-20</t>
        </is>
      </c>
      <c r="X1788" t="inlineStr">
        <is>
          <t>1999-01-20</t>
        </is>
      </c>
      <c r="Y1788" t="n">
        <v>288</v>
      </c>
      <c r="Z1788" t="n">
        <v>252</v>
      </c>
      <c r="AA1788" t="n">
        <v>268</v>
      </c>
      <c r="AB1788" t="n">
        <v>3</v>
      </c>
      <c r="AC1788" t="n">
        <v>3</v>
      </c>
      <c r="AD1788" t="n">
        <v>25</v>
      </c>
      <c r="AE1788" t="n">
        <v>26</v>
      </c>
      <c r="AF1788" t="n">
        <v>8</v>
      </c>
      <c r="AG1788" t="n">
        <v>8</v>
      </c>
      <c r="AH1788" t="n">
        <v>6</v>
      </c>
      <c r="AI1788" t="n">
        <v>7</v>
      </c>
      <c r="AJ1788" t="n">
        <v>15</v>
      </c>
      <c r="AK1788" t="n">
        <v>16</v>
      </c>
      <c r="AL1788" t="n">
        <v>1</v>
      </c>
      <c r="AM1788" t="n">
        <v>1</v>
      </c>
      <c r="AN1788" t="n">
        <v>0</v>
      </c>
      <c r="AO1788" t="n">
        <v>0</v>
      </c>
      <c r="AP1788" t="inlineStr">
        <is>
          <t>No</t>
        </is>
      </c>
      <c r="AQ1788" t="inlineStr">
        <is>
          <t>No</t>
        </is>
      </c>
      <c r="AS1788">
        <f>HYPERLINK("https://creighton-primo.hosted.exlibrisgroup.com/primo-explore/search?tab=default_tab&amp;search_scope=EVERYTHING&amp;vid=01CRU&amp;lang=en_US&amp;offset=0&amp;query=any,contains,991002932139702656","Catalog Record")</f>
        <v/>
      </c>
      <c r="AT1788">
        <f>HYPERLINK("http://www.worldcat.org/oclc/38992950","WorldCat Record")</f>
        <v/>
      </c>
      <c r="AU1788" t="inlineStr">
        <is>
          <t>20796862:eng</t>
        </is>
      </c>
      <c r="AV1788" t="inlineStr">
        <is>
          <t>38992950</t>
        </is>
      </c>
      <c r="AW1788" t="inlineStr">
        <is>
          <t>991002932139702656</t>
        </is>
      </c>
      <c r="AX1788" t="inlineStr">
        <is>
          <t>991002932139702656</t>
        </is>
      </c>
      <c r="AY1788" t="inlineStr">
        <is>
          <t>2264410890002656</t>
        </is>
      </c>
      <c r="AZ1788" t="inlineStr">
        <is>
          <t>BOOK</t>
        </is>
      </c>
      <c r="BB1788" t="inlineStr">
        <is>
          <t>9781570751950</t>
        </is>
      </c>
      <c r="BC1788" t="inlineStr">
        <is>
          <t>32285003514121</t>
        </is>
      </c>
      <c r="BD1788" t="inlineStr">
        <is>
          <t>893698450</t>
        </is>
      </c>
    </row>
    <row r="1789">
      <c r="A1789" t="inlineStr">
        <is>
          <t>No</t>
        </is>
      </c>
      <c r="B1789" t="inlineStr">
        <is>
          <t>BX3406 .L4 1953</t>
        </is>
      </c>
      <c r="C1789" t="inlineStr">
        <is>
          <t>0                      BX 3406000L  4           1953</t>
        </is>
      </c>
      <c r="D1789" t="inlineStr">
        <is>
          <t>The White Monks : a history of the Cistercian Order.</t>
        </is>
      </c>
      <c r="F1789" t="inlineStr">
        <is>
          <t>No</t>
        </is>
      </c>
      <c r="G1789" t="inlineStr">
        <is>
          <t>1</t>
        </is>
      </c>
      <c r="H1789" t="inlineStr">
        <is>
          <t>Yes</t>
        </is>
      </c>
      <c r="I1789" t="inlineStr">
        <is>
          <t>No</t>
        </is>
      </c>
      <c r="J1789" t="inlineStr">
        <is>
          <t>0</t>
        </is>
      </c>
      <c r="K1789" t="inlineStr">
        <is>
          <t>Lekai, Louis Julius, 1916-1994.</t>
        </is>
      </c>
      <c r="L1789" t="inlineStr">
        <is>
          <t>Okauchee, Wis. : Cistercian Fathers, Our Lady of Spring Bank, 1953.</t>
        </is>
      </c>
      <c r="M1789" t="inlineStr">
        <is>
          <t>1953</t>
        </is>
      </c>
      <c r="O1789" t="inlineStr">
        <is>
          <t>eng</t>
        </is>
      </c>
      <c r="P1789" t="inlineStr">
        <is>
          <t>wiu</t>
        </is>
      </c>
      <c r="R1789" t="inlineStr">
        <is>
          <t xml:space="preserve">BX </t>
        </is>
      </c>
      <c r="S1789" t="n">
        <v>2</v>
      </c>
      <c r="T1789" t="n">
        <v>3</v>
      </c>
      <c r="U1789" t="inlineStr">
        <is>
          <t>2004-09-30</t>
        </is>
      </c>
      <c r="V1789" t="inlineStr">
        <is>
          <t>2004-09-30</t>
        </is>
      </c>
      <c r="W1789" t="inlineStr">
        <is>
          <t>1991-11-07</t>
        </is>
      </c>
      <c r="X1789" t="inlineStr">
        <is>
          <t>1991-11-07</t>
        </is>
      </c>
      <c r="Y1789" t="n">
        <v>211</v>
      </c>
      <c r="Z1789" t="n">
        <v>176</v>
      </c>
      <c r="AA1789" t="n">
        <v>183</v>
      </c>
      <c r="AB1789" t="n">
        <v>1</v>
      </c>
      <c r="AC1789" t="n">
        <v>1</v>
      </c>
      <c r="AD1789" t="n">
        <v>22</v>
      </c>
      <c r="AE1789" t="n">
        <v>22</v>
      </c>
      <c r="AF1789" t="n">
        <v>6</v>
      </c>
      <c r="AG1789" t="n">
        <v>6</v>
      </c>
      <c r="AH1789" t="n">
        <v>8</v>
      </c>
      <c r="AI1789" t="n">
        <v>8</v>
      </c>
      <c r="AJ1789" t="n">
        <v>15</v>
      </c>
      <c r="AK1789" t="n">
        <v>15</v>
      </c>
      <c r="AL1789" t="n">
        <v>0</v>
      </c>
      <c r="AM1789" t="n">
        <v>0</v>
      </c>
      <c r="AN1789" t="n">
        <v>0</v>
      </c>
      <c r="AO1789" t="n">
        <v>0</v>
      </c>
      <c r="AP1789" t="inlineStr">
        <is>
          <t>Yes</t>
        </is>
      </c>
      <c r="AQ1789" t="inlineStr">
        <is>
          <t>No</t>
        </is>
      </c>
      <c r="AR1789">
        <f>HYPERLINK("http://catalog.hathitrust.org/Record/009927961","HathiTrust Record")</f>
        <v/>
      </c>
      <c r="AS1789">
        <f>HYPERLINK("https://creighton-primo.hosted.exlibrisgroup.com/primo-explore/search?tab=default_tab&amp;search_scope=EVERYTHING&amp;vid=01CRU&amp;lang=en_US&amp;offset=0&amp;query=any,contains,991003299859702656","Catalog Record")</f>
        <v/>
      </c>
      <c r="AT1789">
        <f>HYPERLINK("http://www.worldcat.org/oclc/822843","WorldCat Record")</f>
        <v/>
      </c>
      <c r="AU1789" t="inlineStr">
        <is>
          <t>3944574736:eng</t>
        </is>
      </c>
      <c r="AV1789" t="inlineStr">
        <is>
          <t>822843</t>
        </is>
      </c>
      <c r="AW1789" t="inlineStr">
        <is>
          <t>991003299859702656</t>
        </is>
      </c>
      <c r="AX1789" t="inlineStr">
        <is>
          <t>991003299859702656</t>
        </is>
      </c>
      <c r="AY1789" t="inlineStr">
        <is>
          <t>2257730110002656</t>
        </is>
      </c>
      <c r="AZ1789" t="inlineStr">
        <is>
          <t>BOOK</t>
        </is>
      </c>
      <c r="BC1789" t="inlineStr">
        <is>
          <t>32285000833623</t>
        </is>
      </c>
      <c r="BD1789" t="inlineStr">
        <is>
          <t>893416247</t>
        </is>
      </c>
    </row>
    <row r="1790">
      <c r="A1790" t="inlineStr">
        <is>
          <t>No</t>
        </is>
      </c>
      <c r="B1790" t="inlineStr">
        <is>
          <t>BX3406 .L4 1953</t>
        </is>
      </c>
      <c r="C1790" t="inlineStr">
        <is>
          <t>0                      BX 3406000L  4           1953</t>
        </is>
      </c>
      <c r="D1790" t="inlineStr">
        <is>
          <t>The White Monks : a history of the Cistercian Order.</t>
        </is>
      </c>
      <c r="F1790" t="inlineStr">
        <is>
          <t>No</t>
        </is>
      </c>
      <c r="G1790" t="inlineStr">
        <is>
          <t>1</t>
        </is>
      </c>
      <c r="H1790" t="inlineStr">
        <is>
          <t>Yes</t>
        </is>
      </c>
      <c r="I1790" t="inlineStr">
        <is>
          <t>No</t>
        </is>
      </c>
      <c r="J1790" t="inlineStr">
        <is>
          <t>0</t>
        </is>
      </c>
      <c r="K1790" t="inlineStr">
        <is>
          <t>Lekai, Louis Julius, 1916-1994.</t>
        </is>
      </c>
      <c r="L1790" t="inlineStr">
        <is>
          <t>Okauchee, Wis. : Cistercian Fathers, Our Lady of Spring Bank, 1953.</t>
        </is>
      </c>
      <c r="M1790" t="inlineStr">
        <is>
          <t>1953</t>
        </is>
      </c>
      <c r="O1790" t="inlineStr">
        <is>
          <t>eng</t>
        </is>
      </c>
      <c r="P1790" t="inlineStr">
        <is>
          <t>wiu</t>
        </is>
      </c>
      <c r="R1790" t="inlineStr">
        <is>
          <t xml:space="preserve">BX </t>
        </is>
      </c>
      <c r="S1790" t="n">
        <v>1</v>
      </c>
      <c r="T1790" t="n">
        <v>3</v>
      </c>
      <c r="V1790" t="inlineStr">
        <is>
          <t>2004-09-30</t>
        </is>
      </c>
      <c r="W1790" t="inlineStr">
        <is>
          <t>1991-11-07</t>
        </is>
      </c>
      <c r="X1790" t="inlineStr">
        <is>
          <t>1991-11-07</t>
        </is>
      </c>
      <c r="Y1790" t="n">
        <v>211</v>
      </c>
      <c r="Z1790" t="n">
        <v>176</v>
      </c>
      <c r="AA1790" t="n">
        <v>183</v>
      </c>
      <c r="AB1790" t="n">
        <v>1</v>
      </c>
      <c r="AC1790" t="n">
        <v>1</v>
      </c>
      <c r="AD1790" t="n">
        <v>22</v>
      </c>
      <c r="AE1790" t="n">
        <v>22</v>
      </c>
      <c r="AF1790" t="n">
        <v>6</v>
      </c>
      <c r="AG1790" t="n">
        <v>6</v>
      </c>
      <c r="AH1790" t="n">
        <v>8</v>
      </c>
      <c r="AI1790" t="n">
        <v>8</v>
      </c>
      <c r="AJ1790" t="n">
        <v>15</v>
      </c>
      <c r="AK1790" t="n">
        <v>15</v>
      </c>
      <c r="AL1790" t="n">
        <v>0</v>
      </c>
      <c r="AM1790" t="n">
        <v>0</v>
      </c>
      <c r="AN1790" t="n">
        <v>0</v>
      </c>
      <c r="AO1790" t="n">
        <v>0</v>
      </c>
      <c r="AP1790" t="inlineStr">
        <is>
          <t>Yes</t>
        </is>
      </c>
      <c r="AQ1790" t="inlineStr">
        <is>
          <t>No</t>
        </is>
      </c>
      <c r="AR1790">
        <f>HYPERLINK("http://catalog.hathitrust.org/Record/009927961","HathiTrust Record")</f>
        <v/>
      </c>
      <c r="AS1790">
        <f>HYPERLINK("https://creighton-primo.hosted.exlibrisgroup.com/primo-explore/search?tab=default_tab&amp;search_scope=EVERYTHING&amp;vid=01CRU&amp;lang=en_US&amp;offset=0&amp;query=any,contains,991003299859702656","Catalog Record")</f>
        <v/>
      </c>
      <c r="AT1790">
        <f>HYPERLINK("http://www.worldcat.org/oclc/822843","WorldCat Record")</f>
        <v/>
      </c>
      <c r="AU1790" t="inlineStr">
        <is>
          <t>3944574736:eng</t>
        </is>
      </c>
      <c r="AV1790" t="inlineStr">
        <is>
          <t>822843</t>
        </is>
      </c>
      <c r="AW1790" t="inlineStr">
        <is>
          <t>991003299859702656</t>
        </is>
      </c>
      <c r="AX1790" t="inlineStr">
        <is>
          <t>991003299859702656</t>
        </is>
      </c>
      <c r="AY1790" t="inlineStr">
        <is>
          <t>2257730110002656</t>
        </is>
      </c>
      <c r="AZ1790" t="inlineStr">
        <is>
          <t>BOOK</t>
        </is>
      </c>
      <c r="BC1790" t="inlineStr">
        <is>
          <t>32285000833615</t>
        </is>
      </c>
      <c r="BD1790" t="inlineStr">
        <is>
          <t>893434859</t>
        </is>
      </c>
    </row>
    <row r="1791">
      <c r="A1791" t="inlineStr">
        <is>
          <t>No</t>
        </is>
      </c>
      <c r="B1791" t="inlineStr">
        <is>
          <t>BX341.6 .A44 1986</t>
        </is>
      </c>
      <c r="C1791" t="inlineStr">
        <is>
          <t>0                      BX 0341600A  44          1986</t>
        </is>
      </c>
      <c r="D1791" t="inlineStr">
        <is>
          <t>The ministry of the church : the image of pastoral care / Joseph J. Allen.</t>
        </is>
      </c>
      <c r="F1791" t="inlineStr">
        <is>
          <t>No</t>
        </is>
      </c>
      <c r="G1791" t="inlineStr">
        <is>
          <t>1</t>
        </is>
      </c>
      <c r="H1791" t="inlineStr">
        <is>
          <t>No</t>
        </is>
      </c>
      <c r="I1791" t="inlineStr">
        <is>
          <t>No</t>
        </is>
      </c>
      <c r="J1791" t="inlineStr">
        <is>
          <t>0</t>
        </is>
      </c>
      <c r="K1791" t="inlineStr">
        <is>
          <t>Allen, Joseph J., 1943-</t>
        </is>
      </c>
      <c r="L1791" t="inlineStr">
        <is>
          <t>Crestwood, N.Y. : St. Vladimir's Seminary Press, 1986.</t>
        </is>
      </c>
      <c r="M1791" t="inlineStr">
        <is>
          <t>1986</t>
        </is>
      </c>
      <c r="O1791" t="inlineStr">
        <is>
          <t>eng</t>
        </is>
      </c>
      <c r="P1791" t="inlineStr">
        <is>
          <t>nyu</t>
        </is>
      </c>
      <c r="R1791" t="inlineStr">
        <is>
          <t xml:space="preserve">BX </t>
        </is>
      </c>
      <c r="S1791" t="n">
        <v>6</v>
      </c>
      <c r="T1791" t="n">
        <v>6</v>
      </c>
      <c r="U1791" t="inlineStr">
        <is>
          <t>2001-10-28</t>
        </is>
      </c>
      <c r="V1791" t="inlineStr">
        <is>
          <t>2001-10-28</t>
        </is>
      </c>
      <c r="W1791" t="inlineStr">
        <is>
          <t>1990-03-28</t>
        </is>
      </c>
      <c r="X1791" t="inlineStr">
        <is>
          <t>1990-03-28</t>
        </is>
      </c>
      <c r="Y1791" t="n">
        <v>176</v>
      </c>
      <c r="Z1791" t="n">
        <v>131</v>
      </c>
      <c r="AA1791" t="n">
        <v>131</v>
      </c>
      <c r="AB1791" t="n">
        <v>1</v>
      </c>
      <c r="AC1791" t="n">
        <v>1</v>
      </c>
      <c r="AD1791" t="n">
        <v>10</v>
      </c>
      <c r="AE1791" t="n">
        <v>10</v>
      </c>
      <c r="AF1791" t="n">
        <v>4</v>
      </c>
      <c r="AG1791" t="n">
        <v>4</v>
      </c>
      <c r="AH1791" t="n">
        <v>2</v>
      </c>
      <c r="AI1791" t="n">
        <v>2</v>
      </c>
      <c r="AJ1791" t="n">
        <v>7</v>
      </c>
      <c r="AK1791" t="n">
        <v>7</v>
      </c>
      <c r="AL1791" t="n">
        <v>0</v>
      </c>
      <c r="AM1791" t="n">
        <v>0</v>
      </c>
      <c r="AN1791" t="n">
        <v>0</v>
      </c>
      <c r="AO1791" t="n">
        <v>0</v>
      </c>
      <c r="AP1791" t="inlineStr">
        <is>
          <t>No</t>
        </is>
      </c>
      <c r="AQ1791" t="inlineStr">
        <is>
          <t>No</t>
        </is>
      </c>
      <c r="AS1791">
        <f>HYPERLINK("https://creighton-primo.hosted.exlibrisgroup.com/primo-explore/search?tab=default_tab&amp;search_scope=EVERYTHING&amp;vid=01CRU&amp;lang=en_US&amp;offset=0&amp;query=any,contains,991000919739702656","Catalog Record")</f>
        <v/>
      </c>
      <c r="AT1791">
        <f>HYPERLINK("http://www.worldcat.org/oclc/14189034","WorldCat Record")</f>
        <v/>
      </c>
      <c r="AU1791" t="inlineStr">
        <is>
          <t>470881344:eng</t>
        </is>
      </c>
      <c r="AV1791" t="inlineStr">
        <is>
          <t>14189034</t>
        </is>
      </c>
      <c r="AW1791" t="inlineStr">
        <is>
          <t>991000919739702656</t>
        </is>
      </c>
      <c r="AX1791" t="inlineStr">
        <is>
          <t>991000919739702656</t>
        </is>
      </c>
      <c r="AY1791" t="inlineStr">
        <is>
          <t>2260144070002656</t>
        </is>
      </c>
      <c r="AZ1791" t="inlineStr">
        <is>
          <t>BOOK</t>
        </is>
      </c>
      <c r="BB1791" t="inlineStr">
        <is>
          <t>9780881410440</t>
        </is>
      </c>
      <c r="BC1791" t="inlineStr">
        <is>
          <t>32285000105212</t>
        </is>
      </c>
      <c r="BD1791" t="inlineStr">
        <is>
          <t>893720847</t>
        </is>
      </c>
    </row>
    <row r="1792">
      <c r="A1792" t="inlineStr">
        <is>
          <t>No</t>
        </is>
      </c>
      <c r="B1792" t="inlineStr">
        <is>
          <t>BX3416 .H5</t>
        </is>
      </c>
      <c r="C1792" t="inlineStr">
        <is>
          <t>0                      BX 3416000H  5</t>
        </is>
      </c>
      <c r="D1792" t="inlineStr">
        <is>
          <t>English Cistercian monasteries and their patrons in the twelfth century [by] Bennett D. Hill.</t>
        </is>
      </c>
      <c r="F1792" t="inlineStr">
        <is>
          <t>No</t>
        </is>
      </c>
      <c r="G1792" t="inlineStr">
        <is>
          <t>1</t>
        </is>
      </c>
      <c r="H1792" t="inlineStr">
        <is>
          <t>No</t>
        </is>
      </c>
      <c r="I1792" t="inlineStr">
        <is>
          <t>No</t>
        </is>
      </c>
      <c r="J1792" t="inlineStr">
        <is>
          <t>0</t>
        </is>
      </c>
      <c r="K1792" t="inlineStr">
        <is>
          <t>Hill, Bennett D.</t>
        </is>
      </c>
      <c r="L1792" t="inlineStr">
        <is>
          <t>Urbana, University of Illinois Press, 1968.</t>
        </is>
      </c>
      <c r="M1792" t="inlineStr">
        <is>
          <t>1968</t>
        </is>
      </c>
      <c r="O1792" t="inlineStr">
        <is>
          <t>eng</t>
        </is>
      </c>
      <c r="P1792" t="inlineStr">
        <is>
          <t>ilu</t>
        </is>
      </c>
      <c r="R1792" t="inlineStr">
        <is>
          <t xml:space="preserve">BX </t>
        </is>
      </c>
      <c r="S1792" t="n">
        <v>1</v>
      </c>
      <c r="T1792" t="n">
        <v>1</v>
      </c>
      <c r="U1792" t="inlineStr">
        <is>
          <t>2008-01-11</t>
        </is>
      </c>
      <c r="V1792" t="inlineStr">
        <is>
          <t>2008-01-11</t>
        </is>
      </c>
      <c r="W1792" t="inlineStr">
        <is>
          <t>1991-11-07</t>
        </is>
      </c>
      <c r="X1792" t="inlineStr">
        <is>
          <t>1991-11-07</t>
        </is>
      </c>
      <c r="Y1792" t="n">
        <v>622</v>
      </c>
      <c r="Z1792" t="n">
        <v>524</v>
      </c>
      <c r="AA1792" t="n">
        <v>529</v>
      </c>
      <c r="AB1792" t="n">
        <v>4</v>
      </c>
      <c r="AC1792" t="n">
        <v>4</v>
      </c>
      <c r="AD1792" t="n">
        <v>33</v>
      </c>
      <c r="AE1792" t="n">
        <v>33</v>
      </c>
      <c r="AF1792" t="n">
        <v>13</v>
      </c>
      <c r="AG1792" t="n">
        <v>13</v>
      </c>
      <c r="AH1792" t="n">
        <v>8</v>
      </c>
      <c r="AI1792" t="n">
        <v>8</v>
      </c>
      <c r="AJ1792" t="n">
        <v>22</v>
      </c>
      <c r="AK1792" t="n">
        <v>22</v>
      </c>
      <c r="AL1792" t="n">
        <v>2</v>
      </c>
      <c r="AM1792" t="n">
        <v>2</v>
      </c>
      <c r="AN1792" t="n">
        <v>0</v>
      </c>
      <c r="AO1792" t="n">
        <v>0</v>
      </c>
      <c r="AP1792" t="inlineStr">
        <is>
          <t>No</t>
        </is>
      </c>
      <c r="AQ1792" t="inlineStr">
        <is>
          <t>Yes</t>
        </is>
      </c>
      <c r="AR1792">
        <f>HYPERLINK("http://catalog.hathitrust.org/Record/001591181","HathiTrust Record")</f>
        <v/>
      </c>
      <c r="AS1792">
        <f>HYPERLINK("https://creighton-primo.hosted.exlibrisgroup.com/primo-explore/search?tab=default_tab&amp;search_scope=EVERYTHING&amp;vid=01CRU&amp;lang=en_US&amp;offset=0&amp;query=any,contains,991002386259702656","Catalog Record")</f>
        <v/>
      </c>
      <c r="AT1792">
        <f>HYPERLINK("http://www.worldcat.org/oclc/330241","WorldCat Record")</f>
        <v/>
      </c>
      <c r="AU1792" t="inlineStr">
        <is>
          <t>1428570:eng</t>
        </is>
      </c>
      <c r="AV1792" t="inlineStr">
        <is>
          <t>330241</t>
        </is>
      </c>
      <c r="AW1792" t="inlineStr">
        <is>
          <t>991002386259702656</t>
        </is>
      </c>
      <c r="AX1792" t="inlineStr">
        <is>
          <t>991002386259702656</t>
        </is>
      </c>
      <c r="AY1792" t="inlineStr">
        <is>
          <t>2259072000002656</t>
        </is>
      </c>
      <c r="AZ1792" t="inlineStr">
        <is>
          <t>BOOK</t>
        </is>
      </c>
      <c r="BC1792" t="inlineStr">
        <is>
          <t>32285000833631</t>
        </is>
      </c>
      <c r="BD1792" t="inlineStr">
        <is>
          <t>893710221</t>
        </is>
      </c>
    </row>
    <row r="1793">
      <c r="A1793" t="inlineStr">
        <is>
          <t>No</t>
        </is>
      </c>
      <c r="B1793" t="inlineStr">
        <is>
          <t>BX345 .D5413 1989</t>
        </is>
      </c>
      <c r="C1793" t="inlineStr">
        <is>
          <t>0                      BX 0345000D  5413        1989</t>
        </is>
      </c>
      <c r="D1793" t="inlineStr">
        <is>
          <t>The living God : a catechism for the Christian faith / translated from the French by Olga Dunlop.</t>
        </is>
      </c>
      <c r="E1793" t="inlineStr">
        <is>
          <t>V.1</t>
        </is>
      </c>
      <c r="F1793" t="inlineStr">
        <is>
          <t>Yes</t>
        </is>
      </c>
      <c r="G1793" t="inlineStr">
        <is>
          <t>1</t>
        </is>
      </c>
      <c r="H1793" t="inlineStr">
        <is>
          <t>No</t>
        </is>
      </c>
      <c r="I1793" t="inlineStr">
        <is>
          <t>No</t>
        </is>
      </c>
      <c r="J1793" t="inlineStr">
        <is>
          <t>0</t>
        </is>
      </c>
      <c r="K1793" t="inlineStr">
        <is>
          <t>Dieu est vivant. English.</t>
        </is>
      </c>
      <c r="L1793" t="inlineStr">
        <is>
          <t>Crestwood, N.Y. : St. Vladimir's Seminary Press, 1989.</t>
        </is>
      </c>
      <c r="M1793" t="inlineStr">
        <is>
          <t>1989</t>
        </is>
      </c>
      <c r="O1793" t="inlineStr">
        <is>
          <t>eng</t>
        </is>
      </c>
      <c r="P1793" t="inlineStr">
        <is>
          <t>nyu</t>
        </is>
      </c>
      <c r="R1793" t="inlineStr">
        <is>
          <t xml:space="preserve">BX </t>
        </is>
      </c>
      <c r="S1793" t="n">
        <v>8</v>
      </c>
      <c r="T1793" t="n">
        <v>15</v>
      </c>
      <c r="U1793" t="inlineStr">
        <is>
          <t>1993-09-20</t>
        </is>
      </c>
      <c r="V1793" t="inlineStr">
        <is>
          <t>1993-09-20</t>
        </is>
      </c>
      <c r="W1793" t="inlineStr">
        <is>
          <t>1992-02-10</t>
        </is>
      </c>
      <c r="X1793" t="inlineStr">
        <is>
          <t>1992-02-10</t>
        </is>
      </c>
      <c r="Y1793" t="n">
        <v>182</v>
      </c>
      <c r="Z1793" t="n">
        <v>151</v>
      </c>
      <c r="AA1793" t="n">
        <v>151</v>
      </c>
      <c r="AB1793" t="n">
        <v>1</v>
      </c>
      <c r="AC1793" t="n">
        <v>1</v>
      </c>
      <c r="AD1793" t="n">
        <v>9</v>
      </c>
      <c r="AE1793" t="n">
        <v>9</v>
      </c>
      <c r="AF1793" t="n">
        <v>3</v>
      </c>
      <c r="AG1793" t="n">
        <v>3</v>
      </c>
      <c r="AH1793" t="n">
        <v>3</v>
      </c>
      <c r="AI1793" t="n">
        <v>3</v>
      </c>
      <c r="AJ1793" t="n">
        <v>5</v>
      </c>
      <c r="AK1793" t="n">
        <v>5</v>
      </c>
      <c r="AL1793" t="n">
        <v>0</v>
      </c>
      <c r="AM1793" t="n">
        <v>0</v>
      </c>
      <c r="AN1793" t="n">
        <v>0</v>
      </c>
      <c r="AO1793" t="n">
        <v>0</v>
      </c>
      <c r="AP1793" t="inlineStr">
        <is>
          <t>No</t>
        </is>
      </c>
      <c r="AQ1793" t="inlineStr">
        <is>
          <t>No</t>
        </is>
      </c>
      <c r="AS1793">
        <f>HYPERLINK("https://creighton-primo.hosted.exlibrisgroup.com/primo-explore/search?tab=default_tab&amp;search_scope=EVERYTHING&amp;vid=01CRU&amp;lang=en_US&amp;offset=0&amp;query=any,contains,991001474289702656","Catalog Record")</f>
        <v/>
      </c>
      <c r="AT1793">
        <f>HYPERLINK("http://www.worldcat.org/oclc/19555478","WorldCat Record")</f>
        <v/>
      </c>
      <c r="AU1793" t="inlineStr">
        <is>
          <t>8907494137:eng</t>
        </is>
      </c>
      <c r="AV1793" t="inlineStr">
        <is>
          <t>19555478</t>
        </is>
      </c>
      <c r="AW1793" t="inlineStr">
        <is>
          <t>991001474289702656</t>
        </is>
      </c>
      <c r="AX1793" t="inlineStr">
        <is>
          <t>991001474289702656</t>
        </is>
      </c>
      <c r="AY1793" t="inlineStr">
        <is>
          <t>2271582860002656</t>
        </is>
      </c>
      <c r="AZ1793" t="inlineStr">
        <is>
          <t>BOOK</t>
        </is>
      </c>
      <c r="BB1793" t="inlineStr">
        <is>
          <t>9780881410105</t>
        </is>
      </c>
      <c r="BC1793" t="inlineStr">
        <is>
          <t>32285000869080</t>
        </is>
      </c>
      <c r="BD1793" t="inlineStr">
        <is>
          <t>893897807</t>
        </is>
      </c>
    </row>
    <row r="1794">
      <c r="A1794" t="inlineStr">
        <is>
          <t>No</t>
        </is>
      </c>
      <c r="B1794" t="inlineStr">
        <is>
          <t>BX345 .D5413 1989</t>
        </is>
      </c>
      <c r="C1794" t="inlineStr">
        <is>
          <t>0                      BX 0345000D  5413        1989</t>
        </is>
      </c>
      <c r="D1794" t="inlineStr">
        <is>
          <t>The living God : a catechism for the Christian faith / translated from the French by Olga Dunlop.</t>
        </is>
      </c>
      <c r="E1794" t="inlineStr">
        <is>
          <t>V.2</t>
        </is>
      </c>
      <c r="F1794" t="inlineStr">
        <is>
          <t>Yes</t>
        </is>
      </c>
      <c r="G1794" t="inlineStr">
        <is>
          <t>1</t>
        </is>
      </c>
      <c r="H1794" t="inlineStr">
        <is>
          <t>No</t>
        </is>
      </c>
      <c r="I1794" t="inlineStr">
        <is>
          <t>No</t>
        </is>
      </c>
      <c r="J1794" t="inlineStr">
        <is>
          <t>0</t>
        </is>
      </c>
      <c r="K1794" t="inlineStr">
        <is>
          <t>Dieu est vivant. English.</t>
        </is>
      </c>
      <c r="L1794" t="inlineStr">
        <is>
          <t>Crestwood, N.Y. : St. Vladimir's Seminary Press, 1989.</t>
        </is>
      </c>
      <c r="M1794" t="inlineStr">
        <is>
          <t>1989</t>
        </is>
      </c>
      <c r="O1794" t="inlineStr">
        <is>
          <t>eng</t>
        </is>
      </c>
      <c r="P1794" t="inlineStr">
        <is>
          <t>nyu</t>
        </is>
      </c>
      <c r="R1794" t="inlineStr">
        <is>
          <t xml:space="preserve">BX </t>
        </is>
      </c>
      <c r="S1794" t="n">
        <v>7</v>
      </c>
      <c r="T1794" t="n">
        <v>15</v>
      </c>
      <c r="U1794" t="inlineStr">
        <is>
          <t>1993-09-20</t>
        </is>
      </c>
      <c r="V1794" t="inlineStr">
        <is>
          <t>1993-09-20</t>
        </is>
      </c>
      <c r="W1794" t="inlineStr">
        <is>
          <t>1992-02-10</t>
        </is>
      </c>
      <c r="X1794" t="inlineStr">
        <is>
          <t>1992-02-10</t>
        </is>
      </c>
      <c r="Y1794" t="n">
        <v>182</v>
      </c>
      <c r="Z1794" t="n">
        <v>151</v>
      </c>
      <c r="AA1794" t="n">
        <v>151</v>
      </c>
      <c r="AB1794" t="n">
        <v>1</v>
      </c>
      <c r="AC1794" t="n">
        <v>1</v>
      </c>
      <c r="AD1794" t="n">
        <v>9</v>
      </c>
      <c r="AE1794" t="n">
        <v>9</v>
      </c>
      <c r="AF1794" t="n">
        <v>3</v>
      </c>
      <c r="AG1794" t="n">
        <v>3</v>
      </c>
      <c r="AH1794" t="n">
        <v>3</v>
      </c>
      <c r="AI1794" t="n">
        <v>3</v>
      </c>
      <c r="AJ1794" t="n">
        <v>5</v>
      </c>
      <c r="AK1794" t="n">
        <v>5</v>
      </c>
      <c r="AL1794" t="n">
        <v>0</v>
      </c>
      <c r="AM1794" t="n">
        <v>0</v>
      </c>
      <c r="AN1794" t="n">
        <v>0</v>
      </c>
      <c r="AO1794" t="n">
        <v>0</v>
      </c>
      <c r="AP1794" t="inlineStr">
        <is>
          <t>No</t>
        </is>
      </c>
      <c r="AQ1794" t="inlineStr">
        <is>
          <t>No</t>
        </is>
      </c>
      <c r="AS1794">
        <f>HYPERLINK("https://creighton-primo.hosted.exlibrisgroup.com/primo-explore/search?tab=default_tab&amp;search_scope=EVERYTHING&amp;vid=01CRU&amp;lang=en_US&amp;offset=0&amp;query=any,contains,991001474289702656","Catalog Record")</f>
        <v/>
      </c>
      <c r="AT1794">
        <f>HYPERLINK("http://www.worldcat.org/oclc/19555478","WorldCat Record")</f>
        <v/>
      </c>
      <c r="AU1794" t="inlineStr">
        <is>
          <t>8907494137:eng</t>
        </is>
      </c>
      <c r="AV1794" t="inlineStr">
        <is>
          <t>19555478</t>
        </is>
      </c>
      <c r="AW1794" t="inlineStr">
        <is>
          <t>991001474289702656</t>
        </is>
      </c>
      <c r="AX1794" t="inlineStr">
        <is>
          <t>991001474289702656</t>
        </is>
      </c>
      <c r="AY1794" t="inlineStr">
        <is>
          <t>2271582860002656</t>
        </is>
      </c>
      <c r="AZ1794" t="inlineStr">
        <is>
          <t>BOOK</t>
        </is>
      </c>
      <c r="BB1794" t="inlineStr">
        <is>
          <t>9780881410105</t>
        </is>
      </c>
      <c r="BC1794" t="inlineStr">
        <is>
          <t>32285000869098</t>
        </is>
      </c>
      <c r="BD1794" t="inlineStr">
        <is>
          <t>893897806</t>
        </is>
      </c>
    </row>
    <row r="1795">
      <c r="A1795" t="inlineStr">
        <is>
          <t>No</t>
        </is>
      </c>
      <c r="B1795" t="inlineStr">
        <is>
          <t>BX3455 .C5 v.1</t>
        </is>
      </c>
      <c r="C1795" t="inlineStr">
        <is>
          <t>0                      BX 3455000C  5                                                       v.1</t>
        </is>
      </c>
      <c r="D1795" t="inlineStr">
        <is>
          <t>The Cistercian fathers : or, Lives and legends of certain saints and blessed of the Order of Citeaux. Translated by Henry Collins ; with a preface by the Rev. W.R. Brownlow.</t>
        </is>
      </c>
      <c r="E1795" t="inlineStr">
        <is>
          <t>V.1</t>
        </is>
      </c>
      <c r="F1795" t="inlineStr">
        <is>
          <t>No</t>
        </is>
      </c>
      <c r="G1795" t="inlineStr">
        <is>
          <t>1</t>
        </is>
      </c>
      <c r="H1795" t="inlineStr">
        <is>
          <t>No</t>
        </is>
      </c>
      <c r="I1795" t="inlineStr">
        <is>
          <t>Yes</t>
        </is>
      </c>
      <c r="J1795" t="inlineStr">
        <is>
          <t>0</t>
        </is>
      </c>
      <c r="L1795" t="inlineStr">
        <is>
          <t>London : T. Richardson, 1872.</t>
        </is>
      </c>
      <c r="M1795" t="inlineStr">
        <is>
          <t>1872</t>
        </is>
      </c>
      <c r="N1795" t="inlineStr">
        <is>
          <t>First series.</t>
        </is>
      </c>
      <c r="O1795" t="inlineStr">
        <is>
          <t>eng</t>
        </is>
      </c>
      <c r="P1795" t="inlineStr">
        <is>
          <t>enk</t>
        </is>
      </c>
      <c r="R1795" t="inlineStr">
        <is>
          <t xml:space="preserve">BX </t>
        </is>
      </c>
      <c r="S1795" t="n">
        <v>2</v>
      </c>
      <c r="T1795" t="n">
        <v>2</v>
      </c>
      <c r="U1795" t="inlineStr">
        <is>
          <t>2001-01-30</t>
        </is>
      </c>
      <c r="V1795" t="inlineStr">
        <is>
          <t>2001-01-30</t>
        </is>
      </c>
      <c r="W1795" t="inlineStr">
        <is>
          <t>1991-11-07</t>
        </is>
      </c>
      <c r="X1795" t="inlineStr">
        <is>
          <t>1991-11-07</t>
        </is>
      </c>
      <c r="Y1795" t="n">
        <v>7</v>
      </c>
      <c r="Z1795" t="n">
        <v>5</v>
      </c>
      <c r="AA1795" t="n">
        <v>13</v>
      </c>
      <c r="AB1795" t="n">
        <v>1</v>
      </c>
      <c r="AC1795" t="n">
        <v>1</v>
      </c>
      <c r="AD1795" t="n">
        <v>0</v>
      </c>
      <c r="AE1795" t="n">
        <v>1</v>
      </c>
      <c r="AF1795" t="n">
        <v>0</v>
      </c>
      <c r="AG1795" t="n">
        <v>0</v>
      </c>
      <c r="AH1795" t="n">
        <v>0</v>
      </c>
      <c r="AI1795" t="n">
        <v>1</v>
      </c>
      <c r="AJ1795" t="n">
        <v>0</v>
      </c>
      <c r="AK1795" t="n">
        <v>1</v>
      </c>
      <c r="AL1795" t="n">
        <v>0</v>
      </c>
      <c r="AM1795" t="n">
        <v>0</v>
      </c>
      <c r="AN1795" t="n">
        <v>0</v>
      </c>
      <c r="AO1795" t="n">
        <v>0</v>
      </c>
      <c r="AP1795" t="inlineStr">
        <is>
          <t>No</t>
        </is>
      </c>
      <c r="AQ1795" t="inlineStr">
        <is>
          <t>No</t>
        </is>
      </c>
      <c r="AS1795">
        <f>HYPERLINK("https://creighton-primo.hosted.exlibrisgroup.com/primo-explore/search?tab=default_tab&amp;search_scope=EVERYTHING&amp;vid=01CRU&amp;lang=en_US&amp;offset=0&amp;query=any,contains,991000524339702656","Catalog Record")</f>
        <v/>
      </c>
      <c r="AT1795">
        <f>HYPERLINK("http://www.worldcat.org/oclc/11364056","WorldCat Record")</f>
        <v/>
      </c>
      <c r="AU1795" t="inlineStr">
        <is>
          <t>934653232:eng</t>
        </is>
      </c>
      <c r="AV1795" t="inlineStr">
        <is>
          <t>11364056</t>
        </is>
      </c>
      <c r="AW1795" t="inlineStr">
        <is>
          <t>991000524339702656</t>
        </is>
      </c>
      <c r="AX1795" t="inlineStr">
        <is>
          <t>991000524339702656</t>
        </is>
      </c>
      <c r="AY1795" t="inlineStr">
        <is>
          <t>2254906930002656</t>
        </is>
      </c>
      <c r="AZ1795" t="inlineStr">
        <is>
          <t>BOOK</t>
        </is>
      </c>
      <c r="BC1795" t="inlineStr">
        <is>
          <t>32285000833649</t>
        </is>
      </c>
      <c r="BD1795" t="inlineStr">
        <is>
          <t>893249428</t>
        </is>
      </c>
    </row>
    <row r="1796">
      <c r="A1796" t="inlineStr">
        <is>
          <t>No</t>
        </is>
      </c>
      <c r="B1796" t="inlineStr">
        <is>
          <t>BX3455 .C5 v.2</t>
        </is>
      </c>
      <c r="C1796" t="inlineStr">
        <is>
          <t>0                      BX 3455000C  5                                                       v.2</t>
        </is>
      </c>
      <c r="D1796" t="inlineStr">
        <is>
          <t>The Cistercian fathers : or, Lives and legends of certain saints and blessed of the Order of Citeaux. Translated by Henry Collins.</t>
        </is>
      </c>
      <c r="E1796" t="inlineStr">
        <is>
          <t>V.2</t>
        </is>
      </c>
      <c r="F1796" t="inlineStr">
        <is>
          <t>No</t>
        </is>
      </c>
      <c r="G1796" t="inlineStr">
        <is>
          <t>1</t>
        </is>
      </c>
      <c r="H1796" t="inlineStr">
        <is>
          <t>No</t>
        </is>
      </c>
      <c r="I1796" t="inlineStr">
        <is>
          <t>Yes</t>
        </is>
      </c>
      <c r="J1796" t="inlineStr">
        <is>
          <t>0</t>
        </is>
      </c>
      <c r="L1796" t="inlineStr">
        <is>
          <t>London : T. Richardson, 1874.</t>
        </is>
      </c>
      <c r="M1796" t="inlineStr">
        <is>
          <t>1874</t>
        </is>
      </c>
      <c r="N1796" t="inlineStr">
        <is>
          <t>Second series.</t>
        </is>
      </c>
      <c r="O1796" t="inlineStr">
        <is>
          <t>eng</t>
        </is>
      </c>
      <c r="P1796" t="inlineStr">
        <is>
          <t>enk</t>
        </is>
      </c>
      <c r="R1796" t="inlineStr">
        <is>
          <t xml:space="preserve">BX </t>
        </is>
      </c>
      <c r="S1796" t="n">
        <v>0</v>
      </c>
      <c r="T1796" t="n">
        <v>0</v>
      </c>
      <c r="U1796" t="inlineStr">
        <is>
          <t>2001-01-30</t>
        </is>
      </c>
      <c r="V1796" t="inlineStr">
        <is>
          <t>2001-01-30</t>
        </is>
      </c>
      <c r="W1796" t="inlineStr">
        <is>
          <t>1991-11-07</t>
        </is>
      </c>
      <c r="X1796" t="inlineStr">
        <is>
          <t>1991-11-07</t>
        </is>
      </c>
      <c r="Y1796" t="n">
        <v>7</v>
      </c>
      <c r="Z1796" t="n">
        <v>6</v>
      </c>
      <c r="AA1796" t="n">
        <v>13</v>
      </c>
      <c r="AB1796" t="n">
        <v>1</v>
      </c>
      <c r="AC1796" t="n">
        <v>1</v>
      </c>
      <c r="AD1796" t="n">
        <v>1</v>
      </c>
      <c r="AE1796" t="n">
        <v>1</v>
      </c>
      <c r="AF1796" t="n">
        <v>0</v>
      </c>
      <c r="AG1796" t="n">
        <v>0</v>
      </c>
      <c r="AH1796" t="n">
        <v>1</v>
      </c>
      <c r="AI1796" t="n">
        <v>1</v>
      </c>
      <c r="AJ1796" t="n">
        <v>1</v>
      </c>
      <c r="AK1796" t="n">
        <v>1</v>
      </c>
      <c r="AL1796" t="n">
        <v>0</v>
      </c>
      <c r="AM1796" t="n">
        <v>0</v>
      </c>
      <c r="AN1796" t="n">
        <v>0</v>
      </c>
      <c r="AO1796" t="n">
        <v>0</v>
      </c>
      <c r="AP1796" t="inlineStr">
        <is>
          <t>No</t>
        </is>
      </c>
      <c r="AQ1796" t="inlineStr">
        <is>
          <t>No</t>
        </is>
      </c>
      <c r="AS1796">
        <f>HYPERLINK("https://creighton-primo.hosted.exlibrisgroup.com/primo-explore/search?tab=default_tab&amp;search_scope=EVERYTHING&amp;vid=01CRU&amp;lang=en_US&amp;offset=0&amp;query=any,contains,991000524369702656","Catalog Record")</f>
        <v/>
      </c>
      <c r="AT1796">
        <f>HYPERLINK("http://www.worldcat.org/oclc/11364074","WorldCat Record")</f>
        <v/>
      </c>
      <c r="AU1796" t="inlineStr">
        <is>
          <t>934653232:eng</t>
        </is>
      </c>
      <c r="AV1796" t="inlineStr">
        <is>
          <t>11364074</t>
        </is>
      </c>
      <c r="AW1796" t="inlineStr">
        <is>
          <t>991000524369702656</t>
        </is>
      </c>
      <c r="AX1796" t="inlineStr">
        <is>
          <t>991000524369702656</t>
        </is>
      </c>
      <c r="AY1796" t="inlineStr">
        <is>
          <t>2254896120002656</t>
        </is>
      </c>
      <c r="AZ1796" t="inlineStr">
        <is>
          <t>BOOK</t>
        </is>
      </c>
      <c r="BC1796" t="inlineStr">
        <is>
          <t>32285000833656</t>
        </is>
      </c>
      <c r="BD1796" t="inlineStr">
        <is>
          <t>893683502</t>
        </is>
      </c>
    </row>
    <row r="1797">
      <c r="A1797" t="inlineStr">
        <is>
          <t>No</t>
        </is>
      </c>
      <c r="B1797" t="inlineStr">
        <is>
          <t>BX3493.Z6 U5 1960</t>
        </is>
      </c>
      <c r="C1797" t="inlineStr">
        <is>
          <t>0                      BX 3493000Z  6                  U  5           1960</t>
        </is>
      </c>
      <c r="D1797" t="inlineStr">
        <is>
          <t>The Crosier story : a history of the Crosier Fathers in the United States / With contributions from confreres Lawrence J. Kerich, Francis P. Pitka, and Bernard C. Mischke.</t>
        </is>
      </c>
      <c r="F1797" t="inlineStr">
        <is>
          <t>No</t>
        </is>
      </c>
      <c r="G1797" t="inlineStr">
        <is>
          <t>1</t>
        </is>
      </c>
      <c r="H1797" t="inlineStr">
        <is>
          <t>No</t>
        </is>
      </c>
      <c r="I1797" t="inlineStr">
        <is>
          <t>No</t>
        </is>
      </c>
      <c r="J1797" t="inlineStr">
        <is>
          <t>0</t>
        </is>
      </c>
      <c r="K1797" t="inlineStr">
        <is>
          <t>Rausch, Jerome W.</t>
        </is>
      </c>
      <c r="L1797" t="inlineStr">
        <is>
          <t>Onamia, Minn. : Crosier Press, 1960.</t>
        </is>
      </c>
      <c r="M1797" t="inlineStr">
        <is>
          <t>1960</t>
        </is>
      </c>
      <c r="O1797" t="inlineStr">
        <is>
          <t>eng</t>
        </is>
      </c>
      <c r="P1797" t="inlineStr">
        <is>
          <t>mnu</t>
        </is>
      </c>
      <c r="R1797" t="inlineStr">
        <is>
          <t xml:space="preserve">BX </t>
        </is>
      </c>
      <c r="S1797" t="n">
        <v>4</v>
      </c>
      <c r="T1797" t="n">
        <v>4</v>
      </c>
      <c r="U1797" t="inlineStr">
        <is>
          <t>1998-11-10</t>
        </is>
      </c>
      <c r="V1797" t="inlineStr">
        <is>
          <t>1998-11-10</t>
        </is>
      </c>
      <c r="W1797" t="inlineStr">
        <is>
          <t>1991-11-07</t>
        </is>
      </c>
      <c r="X1797" t="inlineStr">
        <is>
          <t>1991-11-07</t>
        </is>
      </c>
      <c r="Y1797" t="n">
        <v>87</v>
      </c>
      <c r="Z1797" t="n">
        <v>83</v>
      </c>
      <c r="AA1797" t="n">
        <v>93</v>
      </c>
      <c r="AB1797" t="n">
        <v>2</v>
      </c>
      <c r="AC1797" t="n">
        <v>2</v>
      </c>
      <c r="AD1797" t="n">
        <v>14</v>
      </c>
      <c r="AE1797" t="n">
        <v>14</v>
      </c>
      <c r="AF1797" t="n">
        <v>3</v>
      </c>
      <c r="AG1797" t="n">
        <v>3</v>
      </c>
      <c r="AH1797" t="n">
        <v>5</v>
      </c>
      <c r="AI1797" t="n">
        <v>5</v>
      </c>
      <c r="AJ1797" t="n">
        <v>9</v>
      </c>
      <c r="AK1797" t="n">
        <v>9</v>
      </c>
      <c r="AL1797" t="n">
        <v>1</v>
      </c>
      <c r="AM1797" t="n">
        <v>1</v>
      </c>
      <c r="AN1797" t="n">
        <v>0</v>
      </c>
      <c r="AO1797" t="n">
        <v>0</v>
      </c>
      <c r="AP1797" t="inlineStr">
        <is>
          <t>Yes</t>
        </is>
      </c>
      <c r="AQ1797" t="inlineStr">
        <is>
          <t>No</t>
        </is>
      </c>
      <c r="AR1797">
        <f>HYPERLINK("http://catalog.hathitrust.org/Record/005922017","HathiTrust Record")</f>
        <v/>
      </c>
      <c r="AS1797">
        <f>HYPERLINK("https://creighton-primo.hosted.exlibrisgroup.com/primo-explore/search?tab=default_tab&amp;search_scope=EVERYTHING&amp;vid=01CRU&amp;lang=en_US&amp;offset=0&amp;query=any,contains,991004095799702656","Catalog Record")</f>
        <v/>
      </c>
      <c r="AT1797">
        <f>HYPERLINK("http://www.worldcat.org/oclc/2359189","WorldCat Record")</f>
        <v/>
      </c>
      <c r="AU1797" t="inlineStr">
        <is>
          <t>4563624:eng</t>
        </is>
      </c>
      <c r="AV1797" t="inlineStr">
        <is>
          <t>2359189</t>
        </is>
      </c>
      <c r="AW1797" t="inlineStr">
        <is>
          <t>991004095799702656</t>
        </is>
      </c>
      <c r="AX1797" t="inlineStr">
        <is>
          <t>991004095799702656</t>
        </is>
      </c>
      <c r="AY1797" t="inlineStr">
        <is>
          <t>2261533990002656</t>
        </is>
      </c>
      <c r="AZ1797" t="inlineStr">
        <is>
          <t>BOOK</t>
        </is>
      </c>
      <c r="BC1797" t="inlineStr">
        <is>
          <t>32285000833672</t>
        </is>
      </c>
      <c r="BD1797" t="inlineStr">
        <is>
          <t>893446030</t>
        </is>
      </c>
    </row>
    <row r="1798">
      <c r="A1798" t="inlineStr">
        <is>
          <t>No</t>
        </is>
      </c>
      <c r="B1798" t="inlineStr">
        <is>
          <t>BX350 .T345 1995</t>
        </is>
      </c>
      <c r="C1798" t="inlineStr">
        <is>
          <t>0                      BX 0350000T  345         1995</t>
        </is>
      </c>
      <c r="D1798" t="inlineStr">
        <is>
          <t>Liturgy in Byzantium and beyond / Robert F. Taft.</t>
        </is>
      </c>
      <c r="F1798" t="inlineStr">
        <is>
          <t>No</t>
        </is>
      </c>
      <c r="G1798" t="inlineStr">
        <is>
          <t>1</t>
        </is>
      </c>
      <c r="H1798" t="inlineStr">
        <is>
          <t>No</t>
        </is>
      </c>
      <c r="I1798" t="inlineStr">
        <is>
          <t>No</t>
        </is>
      </c>
      <c r="J1798" t="inlineStr">
        <is>
          <t>0</t>
        </is>
      </c>
      <c r="K1798" t="inlineStr">
        <is>
          <t>Taft, Robert F.</t>
        </is>
      </c>
      <c r="L1798" t="inlineStr">
        <is>
          <t>Aldershot, Hampshire, Great Britain : Brookfield, Vt., USA : Variorum, 1995.</t>
        </is>
      </c>
      <c r="M1798" t="inlineStr">
        <is>
          <t>1995</t>
        </is>
      </c>
      <c r="O1798" t="inlineStr">
        <is>
          <t>eng</t>
        </is>
      </c>
      <c r="P1798" t="inlineStr">
        <is>
          <t>enk</t>
        </is>
      </c>
      <c r="Q1798" t="inlineStr">
        <is>
          <t>Collected studies series ; CS493</t>
        </is>
      </c>
      <c r="R1798" t="inlineStr">
        <is>
          <t xml:space="preserve">BX </t>
        </is>
      </c>
      <c r="S1798" t="n">
        <v>6</v>
      </c>
      <c r="T1798" t="n">
        <v>6</v>
      </c>
      <c r="U1798" t="inlineStr">
        <is>
          <t>2006-06-12</t>
        </is>
      </c>
      <c r="V1798" t="inlineStr">
        <is>
          <t>2006-06-12</t>
        </is>
      </c>
      <c r="W1798" t="inlineStr">
        <is>
          <t>1997-10-16</t>
        </is>
      </c>
      <c r="X1798" t="inlineStr">
        <is>
          <t>1997-10-16</t>
        </is>
      </c>
      <c r="Y1798" t="n">
        <v>189</v>
      </c>
      <c r="Z1798" t="n">
        <v>136</v>
      </c>
      <c r="AA1798" t="n">
        <v>140</v>
      </c>
      <c r="AB1798" t="n">
        <v>1</v>
      </c>
      <c r="AC1798" t="n">
        <v>1</v>
      </c>
      <c r="AD1798" t="n">
        <v>13</v>
      </c>
      <c r="AE1798" t="n">
        <v>13</v>
      </c>
      <c r="AF1798" t="n">
        <v>4</v>
      </c>
      <c r="AG1798" t="n">
        <v>4</v>
      </c>
      <c r="AH1798" t="n">
        <v>3</v>
      </c>
      <c r="AI1798" t="n">
        <v>3</v>
      </c>
      <c r="AJ1798" t="n">
        <v>11</v>
      </c>
      <c r="AK1798" t="n">
        <v>11</v>
      </c>
      <c r="AL1798" t="n">
        <v>0</v>
      </c>
      <c r="AM1798" t="n">
        <v>0</v>
      </c>
      <c r="AN1798" t="n">
        <v>0</v>
      </c>
      <c r="AO1798" t="n">
        <v>0</v>
      </c>
      <c r="AP1798" t="inlineStr">
        <is>
          <t>No</t>
        </is>
      </c>
      <c r="AQ1798" t="inlineStr">
        <is>
          <t>Yes</t>
        </is>
      </c>
      <c r="AR1798">
        <f>HYPERLINK("http://catalog.hathitrust.org/Record/003019333","HathiTrust Record")</f>
        <v/>
      </c>
      <c r="AS1798">
        <f>HYPERLINK("https://creighton-primo.hosted.exlibrisgroup.com/primo-explore/search?tab=default_tab&amp;search_scope=EVERYTHING&amp;vid=01CRU&amp;lang=en_US&amp;offset=0&amp;query=any,contains,991002452239702656","Catalog Record")</f>
        <v/>
      </c>
      <c r="AT1798">
        <f>HYPERLINK("http://www.worldcat.org/oclc/31971283","WorldCat Record")</f>
        <v/>
      </c>
      <c r="AU1798" t="inlineStr">
        <is>
          <t>34049333:eng</t>
        </is>
      </c>
      <c r="AV1798" t="inlineStr">
        <is>
          <t>31971283</t>
        </is>
      </c>
      <c r="AW1798" t="inlineStr">
        <is>
          <t>991002452239702656</t>
        </is>
      </c>
      <c r="AX1798" t="inlineStr">
        <is>
          <t>991002452239702656</t>
        </is>
      </c>
      <c r="AY1798" t="inlineStr">
        <is>
          <t>2269980860002656</t>
        </is>
      </c>
      <c r="AZ1798" t="inlineStr">
        <is>
          <t>BOOK</t>
        </is>
      </c>
      <c r="BB1798" t="inlineStr">
        <is>
          <t>9780860784838</t>
        </is>
      </c>
      <c r="BC1798" t="inlineStr">
        <is>
          <t>32285003255733</t>
        </is>
      </c>
      <c r="BD1798" t="inlineStr">
        <is>
          <t>893316828</t>
        </is>
      </c>
    </row>
    <row r="1799">
      <c r="A1799" t="inlineStr">
        <is>
          <t>No</t>
        </is>
      </c>
      <c r="B1799" t="inlineStr">
        <is>
          <t>BX350.A5 N4</t>
        </is>
      </c>
      <c r="C1799" t="inlineStr">
        <is>
          <t>0                      BX 0350000A  5                  N  4</t>
        </is>
      </c>
      <c r="D1799" t="inlineStr">
        <is>
          <t>The liturgies of SS. Mark, James, Clement, Chrysostom, and Basil, and the Church of Malabar / translated, with introduction and appendices, by J. M. Neale and R. F. Littledale.</t>
        </is>
      </c>
      <c r="F1799" t="inlineStr">
        <is>
          <t>No</t>
        </is>
      </c>
      <c r="G1799" t="inlineStr">
        <is>
          <t>1</t>
        </is>
      </c>
      <c r="H1799" t="inlineStr">
        <is>
          <t>No</t>
        </is>
      </c>
      <c r="I1799" t="inlineStr">
        <is>
          <t>No</t>
        </is>
      </c>
      <c r="J1799" t="inlineStr">
        <is>
          <t>0</t>
        </is>
      </c>
      <c r="K1799" t="inlineStr">
        <is>
          <t>Neale, J. M. (John Mason), 1818-1866 compiler.</t>
        </is>
      </c>
      <c r="L1799" t="inlineStr">
        <is>
          <t>London : Griffith Farran &amp; Co., [18--].</t>
        </is>
      </c>
      <c r="M1799" t="inlineStr">
        <is>
          <t>1800</t>
        </is>
      </c>
      <c r="N1799" t="inlineStr">
        <is>
          <t>7th ed. ; [with preface to 2d ed.].</t>
        </is>
      </c>
      <c r="O1799" t="inlineStr">
        <is>
          <t>eng</t>
        </is>
      </c>
      <c r="P1799" t="inlineStr">
        <is>
          <t>enk</t>
        </is>
      </c>
      <c r="R1799" t="inlineStr">
        <is>
          <t xml:space="preserve">BX </t>
        </is>
      </c>
      <c r="S1799" t="n">
        <v>12</v>
      </c>
      <c r="T1799" t="n">
        <v>12</v>
      </c>
      <c r="U1799" t="inlineStr">
        <is>
          <t>1995-12-06</t>
        </is>
      </c>
      <c r="V1799" t="inlineStr">
        <is>
          <t>1995-12-06</t>
        </is>
      </c>
      <c r="W1799" t="inlineStr">
        <is>
          <t>1992-03-27</t>
        </is>
      </c>
      <c r="X1799" t="inlineStr">
        <is>
          <t>1992-03-27</t>
        </is>
      </c>
      <c r="Y1799" t="n">
        <v>59</v>
      </c>
      <c r="Z1799" t="n">
        <v>46</v>
      </c>
      <c r="AA1799" t="n">
        <v>143</v>
      </c>
      <c r="AB1799" t="n">
        <v>1</v>
      </c>
      <c r="AC1799" t="n">
        <v>2</v>
      </c>
      <c r="AD1799" t="n">
        <v>2</v>
      </c>
      <c r="AE1799" t="n">
        <v>14</v>
      </c>
      <c r="AF1799" t="n">
        <v>1</v>
      </c>
      <c r="AG1799" t="n">
        <v>4</v>
      </c>
      <c r="AH1799" t="n">
        <v>0</v>
      </c>
      <c r="AI1799" t="n">
        <v>3</v>
      </c>
      <c r="AJ1799" t="n">
        <v>1</v>
      </c>
      <c r="AK1799" t="n">
        <v>8</v>
      </c>
      <c r="AL1799" t="n">
        <v>0</v>
      </c>
      <c r="AM1799" t="n">
        <v>1</v>
      </c>
      <c r="AN1799" t="n">
        <v>0</v>
      </c>
      <c r="AO1799" t="n">
        <v>0</v>
      </c>
      <c r="AP1799" t="inlineStr">
        <is>
          <t>Yes</t>
        </is>
      </c>
      <c r="AQ1799" t="inlineStr">
        <is>
          <t>No</t>
        </is>
      </c>
      <c r="AR1799">
        <f>HYPERLINK("http://catalog.hathitrust.org/Record/007691044","HathiTrust Record")</f>
        <v/>
      </c>
      <c r="AS1799">
        <f>HYPERLINK("https://creighton-primo.hosted.exlibrisgroup.com/primo-explore/search?tab=default_tab&amp;search_scope=EVERYTHING&amp;vid=01CRU&amp;lang=en_US&amp;offset=0&amp;query=any,contains,991003905419702656","Catalog Record")</f>
        <v/>
      </c>
      <c r="AT1799">
        <f>HYPERLINK("http://www.worldcat.org/oclc/1836502","WorldCat Record")</f>
        <v/>
      </c>
      <c r="AU1799" t="inlineStr">
        <is>
          <t>3855299189:eng</t>
        </is>
      </c>
      <c r="AV1799" t="inlineStr">
        <is>
          <t>1836502</t>
        </is>
      </c>
      <c r="AW1799" t="inlineStr">
        <is>
          <t>991003905419702656</t>
        </is>
      </c>
      <c r="AX1799" t="inlineStr">
        <is>
          <t>991003905419702656</t>
        </is>
      </c>
      <c r="AY1799" t="inlineStr">
        <is>
          <t>2257440310002656</t>
        </is>
      </c>
      <c r="AZ1799" t="inlineStr">
        <is>
          <t>BOOK</t>
        </is>
      </c>
      <c r="BC1799" t="inlineStr">
        <is>
          <t>32285001017804</t>
        </is>
      </c>
      <c r="BD1799" t="inlineStr">
        <is>
          <t>893423135</t>
        </is>
      </c>
    </row>
    <row r="1800">
      <c r="A1800" t="inlineStr">
        <is>
          <t>No</t>
        </is>
      </c>
      <c r="B1800" t="inlineStr">
        <is>
          <t>BX3502 .R4 1930</t>
        </is>
      </c>
      <c r="C1800" t="inlineStr">
        <is>
          <t>0                      BX 3502000R  4           1930</t>
        </is>
      </c>
      <c r="D1800" t="inlineStr">
        <is>
          <t>The Dominicans / by John-Baptist Reeves, O.P. ; with an introduction by Thomas M. Schwertner.</t>
        </is>
      </c>
      <c r="F1800" t="inlineStr">
        <is>
          <t>No</t>
        </is>
      </c>
      <c r="G1800" t="inlineStr">
        <is>
          <t>1</t>
        </is>
      </c>
      <c r="H1800" t="inlineStr">
        <is>
          <t>No</t>
        </is>
      </c>
      <c r="I1800" t="inlineStr">
        <is>
          <t>No</t>
        </is>
      </c>
      <c r="J1800" t="inlineStr">
        <is>
          <t>0</t>
        </is>
      </c>
      <c r="K1800" t="inlineStr">
        <is>
          <t>Reeves, John Baptist, 1883-</t>
        </is>
      </c>
      <c r="L1800" t="inlineStr">
        <is>
          <t>New York : The Macmillan Company, 1930.</t>
        </is>
      </c>
      <c r="M1800" t="inlineStr">
        <is>
          <t>1930</t>
        </is>
      </c>
      <c r="O1800" t="inlineStr">
        <is>
          <t>eng</t>
        </is>
      </c>
      <c r="P1800" t="inlineStr">
        <is>
          <t>nyu</t>
        </is>
      </c>
      <c r="Q1800" t="inlineStr">
        <is>
          <t>The "many mansions" series</t>
        </is>
      </c>
      <c r="R1800" t="inlineStr">
        <is>
          <t xml:space="preserve">BX </t>
        </is>
      </c>
      <c r="S1800" t="n">
        <v>5</v>
      </c>
      <c r="T1800" t="n">
        <v>5</v>
      </c>
      <c r="U1800" t="inlineStr">
        <is>
          <t>2007-06-27</t>
        </is>
      </c>
      <c r="V1800" t="inlineStr">
        <is>
          <t>2007-06-27</t>
        </is>
      </c>
      <c r="W1800" t="inlineStr">
        <is>
          <t>1990-08-14</t>
        </is>
      </c>
      <c r="X1800" t="inlineStr">
        <is>
          <t>1990-08-14</t>
        </is>
      </c>
      <c r="Y1800" t="n">
        <v>173</v>
      </c>
      <c r="Z1800" t="n">
        <v>167</v>
      </c>
      <c r="AA1800" t="n">
        <v>198</v>
      </c>
      <c r="AB1800" t="n">
        <v>3</v>
      </c>
      <c r="AC1800" t="n">
        <v>3</v>
      </c>
      <c r="AD1800" t="n">
        <v>16</v>
      </c>
      <c r="AE1800" t="n">
        <v>18</v>
      </c>
      <c r="AF1800" t="n">
        <v>3</v>
      </c>
      <c r="AG1800" t="n">
        <v>4</v>
      </c>
      <c r="AH1800" t="n">
        <v>5</v>
      </c>
      <c r="AI1800" t="n">
        <v>5</v>
      </c>
      <c r="AJ1800" t="n">
        <v>11</v>
      </c>
      <c r="AK1800" t="n">
        <v>13</v>
      </c>
      <c r="AL1800" t="n">
        <v>0</v>
      </c>
      <c r="AM1800" t="n">
        <v>0</v>
      </c>
      <c r="AN1800" t="n">
        <v>0</v>
      </c>
      <c r="AO1800" t="n">
        <v>0</v>
      </c>
      <c r="AP1800" t="inlineStr">
        <is>
          <t>No</t>
        </is>
      </c>
      <c r="AQ1800" t="inlineStr">
        <is>
          <t>No</t>
        </is>
      </c>
      <c r="AR1800">
        <f>HYPERLINK("http://catalog.hathitrust.org/Record/001591194","HathiTrust Record")</f>
        <v/>
      </c>
      <c r="AS1800">
        <f>HYPERLINK("https://creighton-primo.hosted.exlibrisgroup.com/primo-explore/search?tab=default_tab&amp;search_scope=EVERYTHING&amp;vid=01CRU&amp;lang=en_US&amp;offset=0&amp;query=any,contains,991004348979702656","Catalog Record")</f>
        <v/>
      </c>
      <c r="AT1800">
        <f>HYPERLINK("http://www.worldcat.org/oclc/3110907","WorldCat Record")</f>
        <v/>
      </c>
      <c r="AU1800" t="inlineStr">
        <is>
          <t>3219159:eng</t>
        </is>
      </c>
      <c r="AV1800" t="inlineStr">
        <is>
          <t>3110907</t>
        </is>
      </c>
      <c r="AW1800" t="inlineStr">
        <is>
          <t>991004348979702656</t>
        </is>
      </c>
      <c r="AX1800" t="inlineStr">
        <is>
          <t>991004348979702656</t>
        </is>
      </c>
      <c r="AY1800" t="inlineStr">
        <is>
          <t>2265992470002656</t>
        </is>
      </c>
      <c r="AZ1800" t="inlineStr">
        <is>
          <t>BOOK</t>
        </is>
      </c>
      <c r="BC1800" t="inlineStr">
        <is>
          <t>32285000268523</t>
        </is>
      </c>
      <c r="BD1800" t="inlineStr">
        <is>
          <t>893605908</t>
        </is>
      </c>
    </row>
    <row r="1801">
      <c r="A1801" t="inlineStr">
        <is>
          <t>No</t>
        </is>
      </c>
      <c r="B1801" t="inlineStr">
        <is>
          <t>BX3502.2 .A9 2000</t>
        </is>
      </c>
      <c r="C1801" t="inlineStr">
        <is>
          <t>0                      BX 3502200A  9           2000</t>
        </is>
      </c>
      <c r="D1801" t="inlineStr">
        <is>
          <t>A Dominican bibliography and book of reference, 1216-1992 : a list of works in English by and about members of the Order of Friars Preachers, founded by St. Dominic De Guzman (c. 1171-1221) and confirmed by Pope Honorius III, December 22, 1216 / compiled by Charles R. Auth ; edited by James R. Emond ; James A. Driscoll, general editor.</t>
        </is>
      </c>
      <c r="F1801" t="inlineStr">
        <is>
          <t>No</t>
        </is>
      </c>
      <c r="G1801" t="inlineStr">
        <is>
          <t>1</t>
        </is>
      </c>
      <c r="H1801" t="inlineStr">
        <is>
          <t>No</t>
        </is>
      </c>
      <c r="I1801" t="inlineStr">
        <is>
          <t>No</t>
        </is>
      </c>
      <c r="J1801" t="inlineStr">
        <is>
          <t>0</t>
        </is>
      </c>
      <c r="K1801" t="inlineStr">
        <is>
          <t>Auth, Charles R. (Charles Robert)</t>
        </is>
      </c>
      <c r="L1801" t="inlineStr">
        <is>
          <t>New York : P. Lang, c2000.</t>
        </is>
      </c>
      <c r="M1801" t="inlineStr">
        <is>
          <t>2000</t>
        </is>
      </c>
      <c r="O1801" t="inlineStr">
        <is>
          <t>eng</t>
        </is>
      </c>
      <c r="P1801" t="inlineStr">
        <is>
          <t>nyu</t>
        </is>
      </c>
      <c r="R1801" t="inlineStr">
        <is>
          <t xml:space="preserve">BX </t>
        </is>
      </c>
      <c r="S1801" t="n">
        <v>2</v>
      </c>
      <c r="T1801" t="n">
        <v>2</v>
      </c>
      <c r="U1801" t="inlineStr">
        <is>
          <t>2001-03-07</t>
        </is>
      </c>
      <c r="V1801" t="inlineStr">
        <is>
          <t>2001-03-07</t>
        </is>
      </c>
      <c r="W1801" t="inlineStr">
        <is>
          <t>2001-03-07</t>
        </is>
      </c>
      <c r="X1801" t="inlineStr">
        <is>
          <t>2001-03-07</t>
        </is>
      </c>
      <c r="Y1801" t="n">
        <v>108</v>
      </c>
      <c r="Z1801" t="n">
        <v>78</v>
      </c>
      <c r="AA1801" t="n">
        <v>78</v>
      </c>
      <c r="AB1801" t="n">
        <v>1</v>
      </c>
      <c r="AC1801" t="n">
        <v>1</v>
      </c>
      <c r="AD1801" t="n">
        <v>9</v>
      </c>
      <c r="AE1801" t="n">
        <v>9</v>
      </c>
      <c r="AF1801" t="n">
        <v>2</v>
      </c>
      <c r="AG1801" t="n">
        <v>2</v>
      </c>
      <c r="AH1801" t="n">
        <v>3</v>
      </c>
      <c r="AI1801" t="n">
        <v>3</v>
      </c>
      <c r="AJ1801" t="n">
        <v>7</v>
      </c>
      <c r="AK1801" t="n">
        <v>7</v>
      </c>
      <c r="AL1801" t="n">
        <v>0</v>
      </c>
      <c r="AM1801" t="n">
        <v>0</v>
      </c>
      <c r="AN1801" t="n">
        <v>0</v>
      </c>
      <c r="AO1801" t="n">
        <v>0</v>
      </c>
      <c r="AP1801" t="inlineStr">
        <is>
          <t>No</t>
        </is>
      </c>
      <c r="AQ1801" t="inlineStr">
        <is>
          <t>No</t>
        </is>
      </c>
      <c r="AS1801">
        <f>HYPERLINK("https://creighton-primo.hosted.exlibrisgroup.com/primo-explore/search?tab=default_tab&amp;search_scope=EVERYTHING&amp;vid=01CRU&amp;lang=en_US&amp;offset=0&amp;query=any,contains,991003495539702656","Catalog Record")</f>
        <v/>
      </c>
      <c r="AT1801">
        <f>HYPERLINK("http://www.worldcat.org/oclc/41565166","WorldCat Record")</f>
        <v/>
      </c>
      <c r="AU1801" t="inlineStr">
        <is>
          <t>890383487:eng</t>
        </is>
      </c>
      <c r="AV1801" t="inlineStr">
        <is>
          <t>41565166</t>
        </is>
      </c>
      <c r="AW1801" t="inlineStr">
        <is>
          <t>991003495539702656</t>
        </is>
      </c>
      <c r="AX1801" t="inlineStr">
        <is>
          <t>991003495539702656</t>
        </is>
      </c>
      <c r="AY1801" t="inlineStr">
        <is>
          <t>2269580980002656</t>
        </is>
      </c>
      <c r="AZ1801" t="inlineStr">
        <is>
          <t>BOOK</t>
        </is>
      </c>
      <c r="BB1801" t="inlineStr">
        <is>
          <t>9780820444451</t>
        </is>
      </c>
      <c r="BC1801" t="inlineStr">
        <is>
          <t>32285004299631</t>
        </is>
      </c>
      <c r="BD1801" t="inlineStr">
        <is>
          <t>893717714</t>
        </is>
      </c>
    </row>
    <row r="1802">
      <c r="A1802" t="inlineStr">
        <is>
          <t>No</t>
        </is>
      </c>
      <c r="B1802" t="inlineStr">
        <is>
          <t>BX3502.A3 J2 1915</t>
        </is>
      </c>
      <c r="C1802" t="inlineStr">
        <is>
          <t>0                      BX 3502000A  3                  J  2           1915</t>
        </is>
      </c>
      <c r="D1802" t="inlineStr">
        <is>
          <t>The friar preacher: yesterday and to-day / translated from the French of Père Jacquin, O.P. by Father Hugh Pope, O.P.</t>
        </is>
      </c>
      <c r="F1802" t="inlineStr">
        <is>
          <t>No</t>
        </is>
      </c>
      <c r="G1802" t="inlineStr">
        <is>
          <t>1</t>
        </is>
      </c>
      <c r="H1802" t="inlineStr">
        <is>
          <t>No</t>
        </is>
      </c>
      <c r="I1802" t="inlineStr">
        <is>
          <t>No</t>
        </is>
      </c>
      <c r="J1802" t="inlineStr">
        <is>
          <t>0</t>
        </is>
      </c>
      <c r="K1802" t="inlineStr">
        <is>
          <t>Jacquin, Père.</t>
        </is>
      </c>
      <c r="L1802" t="inlineStr">
        <is>
          <t>New York : Benzinger Brothers, 1915.</t>
        </is>
      </c>
      <c r="M1802" t="inlineStr">
        <is>
          <t>1915</t>
        </is>
      </c>
      <c r="O1802" t="inlineStr">
        <is>
          <t>eng</t>
        </is>
      </c>
      <c r="P1802" t="inlineStr">
        <is>
          <t>nyu</t>
        </is>
      </c>
      <c r="R1802" t="inlineStr">
        <is>
          <t xml:space="preserve">BX </t>
        </is>
      </c>
      <c r="S1802" t="n">
        <v>4</v>
      </c>
      <c r="T1802" t="n">
        <v>4</v>
      </c>
      <c r="U1802" t="inlineStr">
        <is>
          <t>2007-06-27</t>
        </is>
      </c>
      <c r="V1802" t="inlineStr">
        <is>
          <t>2007-06-27</t>
        </is>
      </c>
      <c r="W1802" t="inlineStr">
        <is>
          <t>1990-08-14</t>
        </is>
      </c>
      <c r="X1802" t="inlineStr">
        <is>
          <t>1990-08-14</t>
        </is>
      </c>
      <c r="Y1802" t="n">
        <v>9</v>
      </c>
      <c r="Z1802" t="n">
        <v>9</v>
      </c>
      <c r="AA1802" t="n">
        <v>27</v>
      </c>
      <c r="AB1802" t="n">
        <v>1</v>
      </c>
      <c r="AC1802" t="n">
        <v>1</v>
      </c>
      <c r="AD1802" t="n">
        <v>3</v>
      </c>
      <c r="AE1802" t="n">
        <v>5</v>
      </c>
      <c r="AF1802" t="n">
        <v>1</v>
      </c>
      <c r="AG1802" t="n">
        <v>2</v>
      </c>
      <c r="AH1802" t="n">
        <v>0</v>
      </c>
      <c r="AI1802" t="n">
        <v>2</v>
      </c>
      <c r="AJ1802" t="n">
        <v>2</v>
      </c>
      <c r="AK1802" t="n">
        <v>3</v>
      </c>
      <c r="AL1802" t="n">
        <v>0</v>
      </c>
      <c r="AM1802" t="n">
        <v>0</v>
      </c>
      <c r="AN1802" t="n">
        <v>0</v>
      </c>
      <c r="AO1802" t="n">
        <v>0</v>
      </c>
      <c r="AP1802" t="inlineStr">
        <is>
          <t>No</t>
        </is>
      </c>
      <c r="AQ1802" t="inlineStr">
        <is>
          <t>No</t>
        </is>
      </c>
      <c r="AS1802">
        <f>HYPERLINK("https://creighton-primo.hosted.exlibrisgroup.com/primo-explore/search?tab=default_tab&amp;search_scope=EVERYTHING&amp;vid=01CRU&amp;lang=en_US&amp;offset=0&amp;query=any,contains,991004680109702656","Catalog Record")</f>
        <v/>
      </c>
      <c r="AT1802">
        <f>HYPERLINK("http://www.worldcat.org/oclc/4560146","WorldCat Record")</f>
        <v/>
      </c>
      <c r="AU1802" t="inlineStr">
        <is>
          <t>9381059600:eng</t>
        </is>
      </c>
      <c r="AV1802" t="inlineStr">
        <is>
          <t>4560146</t>
        </is>
      </c>
      <c r="AW1802" t="inlineStr">
        <is>
          <t>991004680109702656</t>
        </is>
      </c>
      <c r="AX1802" t="inlineStr">
        <is>
          <t>991004680109702656</t>
        </is>
      </c>
      <c r="AY1802" t="inlineStr">
        <is>
          <t>2261651060002656</t>
        </is>
      </c>
      <c r="AZ1802" t="inlineStr">
        <is>
          <t>BOOK</t>
        </is>
      </c>
      <c r="BC1802" t="inlineStr">
        <is>
          <t>32285000268515</t>
        </is>
      </c>
      <c r="BD1802" t="inlineStr">
        <is>
          <t>893417868</t>
        </is>
      </c>
    </row>
    <row r="1803">
      <c r="A1803" t="inlineStr">
        <is>
          <t>No</t>
        </is>
      </c>
      <c r="B1803" t="inlineStr">
        <is>
          <t>BX3512.A1 M66 2002</t>
        </is>
      </c>
      <c r="C1803" t="inlineStr">
        <is>
          <t>0                      BX 3512000A  1                  M  66          2002</t>
        </is>
      </c>
      <c r="D1803" t="inlineStr">
        <is>
          <t>Three Dominican pioneers in the New World / Antonio de Montesinos, Domingo de Betanzos, Gonzalo Lucero ; translations from original sources with an introduction by Felix Jay.</t>
        </is>
      </c>
      <c r="F1803" t="inlineStr">
        <is>
          <t>No</t>
        </is>
      </c>
      <c r="G1803" t="inlineStr">
        <is>
          <t>1</t>
        </is>
      </c>
      <c r="H1803" t="inlineStr">
        <is>
          <t>No</t>
        </is>
      </c>
      <c r="I1803" t="inlineStr">
        <is>
          <t>No</t>
        </is>
      </c>
      <c r="J1803" t="inlineStr">
        <is>
          <t>0</t>
        </is>
      </c>
      <c r="K1803" t="inlineStr">
        <is>
          <t>Montesinos, Antón de, -1540.</t>
        </is>
      </c>
      <c r="L1803" t="inlineStr">
        <is>
          <t>Lewiston, N.Y. : E. Mellen Press, c2002.</t>
        </is>
      </c>
      <c r="M1803" t="inlineStr">
        <is>
          <t>2002</t>
        </is>
      </c>
      <c r="O1803" t="inlineStr">
        <is>
          <t>eng</t>
        </is>
      </c>
      <c r="P1803" t="inlineStr">
        <is>
          <t>nyu</t>
        </is>
      </c>
      <c r="Q1803" t="inlineStr">
        <is>
          <t>Spanish studies ; v. 16</t>
        </is>
      </c>
      <c r="R1803" t="inlineStr">
        <is>
          <t xml:space="preserve">BX </t>
        </is>
      </c>
      <c r="S1803" t="n">
        <v>1</v>
      </c>
      <c r="T1803" t="n">
        <v>1</v>
      </c>
      <c r="U1803" t="inlineStr">
        <is>
          <t>2004-05-25</t>
        </is>
      </c>
      <c r="V1803" t="inlineStr">
        <is>
          <t>2004-05-25</t>
        </is>
      </c>
      <c r="W1803" t="inlineStr">
        <is>
          <t>2003-06-11</t>
        </is>
      </c>
      <c r="X1803" t="inlineStr">
        <is>
          <t>2003-06-11</t>
        </is>
      </c>
      <c r="Y1803" t="n">
        <v>78</v>
      </c>
      <c r="Z1803" t="n">
        <v>69</v>
      </c>
      <c r="AA1803" t="n">
        <v>71</v>
      </c>
      <c r="AB1803" t="n">
        <v>1</v>
      </c>
      <c r="AC1803" t="n">
        <v>1</v>
      </c>
      <c r="AD1803" t="n">
        <v>5</v>
      </c>
      <c r="AE1803" t="n">
        <v>5</v>
      </c>
      <c r="AF1803" t="n">
        <v>1</v>
      </c>
      <c r="AG1803" t="n">
        <v>1</v>
      </c>
      <c r="AH1803" t="n">
        <v>2</v>
      </c>
      <c r="AI1803" t="n">
        <v>2</v>
      </c>
      <c r="AJ1803" t="n">
        <v>3</v>
      </c>
      <c r="AK1803" t="n">
        <v>3</v>
      </c>
      <c r="AL1803" t="n">
        <v>0</v>
      </c>
      <c r="AM1803" t="n">
        <v>0</v>
      </c>
      <c r="AN1803" t="n">
        <v>0</v>
      </c>
      <c r="AO1803" t="n">
        <v>0</v>
      </c>
      <c r="AP1803" t="inlineStr">
        <is>
          <t>No</t>
        </is>
      </c>
      <c r="AQ1803" t="inlineStr">
        <is>
          <t>Yes</t>
        </is>
      </c>
      <c r="AR1803">
        <f>HYPERLINK("http://catalog.hathitrust.org/Record/004725441","HathiTrust Record")</f>
        <v/>
      </c>
      <c r="AS1803">
        <f>HYPERLINK("https://creighton-primo.hosted.exlibrisgroup.com/primo-explore/search?tab=default_tab&amp;search_scope=EVERYTHING&amp;vid=01CRU&amp;lang=en_US&amp;offset=0&amp;query=any,contains,991004019339702656","Catalog Record")</f>
        <v/>
      </c>
      <c r="AT1803">
        <f>HYPERLINK("http://www.worldcat.org/oclc/50041242","WorldCat Record")</f>
        <v/>
      </c>
      <c r="AU1803" t="inlineStr">
        <is>
          <t>840509736:eng</t>
        </is>
      </c>
      <c r="AV1803" t="inlineStr">
        <is>
          <t>50041242</t>
        </is>
      </c>
      <c r="AW1803" t="inlineStr">
        <is>
          <t>991004019339702656</t>
        </is>
      </c>
      <c r="AX1803" t="inlineStr">
        <is>
          <t>991004019339702656</t>
        </is>
      </c>
      <c r="AY1803" t="inlineStr">
        <is>
          <t>2259462690002656</t>
        </is>
      </c>
      <c r="AZ1803" t="inlineStr">
        <is>
          <t>BOOK</t>
        </is>
      </c>
      <c r="BB1803" t="inlineStr">
        <is>
          <t>9780773471702</t>
        </is>
      </c>
      <c r="BC1803" t="inlineStr">
        <is>
          <t>32285004751938</t>
        </is>
      </c>
      <c r="BD1803" t="inlineStr">
        <is>
          <t>893888226</t>
        </is>
      </c>
    </row>
    <row r="1804">
      <c r="A1804" t="inlineStr">
        <is>
          <t>No</t>
        </is>
      </c>
      <c r="B1804" t="inlineStr">
        <is>
          <t>BX3516 .J3 1921</t>
        </is>
      </c>
      <c r="C1804" t="inlineStr">
        <is>
          <t>0                      BX 3516000J  3           1921</t>
        </is>
      </c>
      <c r="D1804" t="inlineStr">
        <is>
          <t>The English Dominicans / by Bede Jarrett.</t>
        </is>
      </c>
      <c r="F1804" t="inlineStr">
        <is>
          <t>No</t>
        </is>
      </c>
      <c r="G1804" t="inlineStr">
        <is>
          <t>1</t>
        </is>
      </c>
      <c r="H1804" t="inlineStr">
        <is>
          <t>No</t>
        </is>
      </c>
      <c r="I1804" t="inlineStr">
        <is>
          <t>No</t>
        </is>
      </c>
      <c r="J1804" t="inlineStr">
        <is>
          <t>0</t>
        </is>
      </c>
      <c r="K1804" t="inlineStr">
        <is>
          <t>Jarrett, Bede, 1881-1934.</t>
        </is>
      </c>
      <c r="L1804" t="inlineStr">
        <is>
          <t>London : Burns, Oates and Washbourne, 1921.</t>
        </is>
      </c>
      <c r="M1804" t="inlineStr">
        <is>
          <t>1921</t>
        </is>
      </c>
      <c r="O1804" t="inlineStr">
        <is>
          <t>eng</t>
        </is>
      </c>
      <c r="P1804" t="inlineStr">
        <is>
          <t>enk</t>
        </is>
      </c>
      <c r="R1804" t="inlineStr">
        <is>
          <t xml:space="preserve">BX </t>
        </is>
      </c>
      <c r="S1804" t="n">
        <v>2</v>
      </c>
      <c r="T1804" t="n">
        <v>2</v>
      </c>
      <c r="U1804" t="inlineStr">
        <is>
          <t>2001-06-15</t>
        </is>
      </c>
      <c r="V1804" t="inlineStr">
        <is>
          <t>2001-06-15</t>
        </is>
      </c>
      <c r="W1804" t="inlineStr">
        <is>
          <t>1991-11-07</t>
        </is>
      </c>
      <c r="X1804" t="inlineStr">
        <is>
          <t>1991-11-07</t>
        </is>
      </c>
      <c r="Y1804" t="n">
        <v>151</v>
      </c>
      <c r="Z1804" t="n">
        <v>90</v>
      </c>
      <c r="AA1804" t="n">
        <v>159</v>
      </c>
      <c r="AB1804" t="n">
        <v>1</v>
      </c>
      <c r="AC1804" t="n">
        <v>2</v>
      </c>
      <c r="AD1804" t="n">
        <v>13</v>
      </c>
      <c r="AE1804" t="n">
        <v>21</v>
      </c>
      <c r="AF1804" t="n">
        <v>5</v>
      </c>
      <c r="AG1804" t="n">
        <v>7</v>
      </c>
      <c r="AH1804" t="n">
        <v>3</v>
      </c>
      <c r="AI1804" t="n">
        <v>6</v>
      </c>
      <c r="AJ1804" t="n">
        <v>9</v>
      </c>
      <c r="AK1804" t="n">
        <v>13</v>
      </c>
      <c r="AL1804" t="n">
        <v>0</v>
      </c>
      <c r="AM1804" t="n">
        <v>1</v>
      </c>
      <c r="AN1804" t="n">
        <v>0</v>
      </c>
      <c r="AO1804" t="n">
        <v>0</v>
      </c>
      <c r="AP1804" t="inlineStr">
        <is>
          <t>Yes</t>
        </is>
      </c>
      <c r="AQ1804" t="inlineStr">
        <is>
          <t>No</t>
        </is>
      </c>
      <c r="AR1804">
        <f>HYPERLINK("http://catalog.hathitrust.org/Record/005790201","HathiTrust Record")</f>
        <v/>
      </c>
      <c r="AS1804">
        <f>HYPERLINK("https://creighton-primo.hosted.exlibrisgroup.com/primo-explore/search?tab=default_tab&amp;search_scope=EVERYTHING&amp;vid=01CRU&amp;lang=en_US&amp;offset=0&amp;query=any,contains,991003974169702656","Catalog Record")</f>
        <v/>
      </c>
      <c r="AT1804">
        <f>HYPERLINK("http://www.worldcat.org/oclc/1997636","WorldCat Record")</f>
        <v/>
      </c>
      <c r="AU1804" t="inlineStr">
        <is>
          <t>3597956:eng</t>
        </is>
      </c>
      <c r="AV1804" t="inlineStr">
        <is>
          <t>1997636</t>
        </is>
      </c>
      <c r="AW1804" t="inlineStr">
        <is>
          <t>991003974169702656</t>
        </is>
      </c>
      <c r="AX1804" t="inlineStr">
        <is>
          <t>991003974169702656</t>
        </is>
      </c>
      <c r="AY1804" t="inlineStr">
        <is>
          <t>2261230030002656</t>
        </is>
      </c>
      <c r="AZ1804" t="inlineStr">
        <is>
          <t>BOOK</t>
        </is>
      </c>
      <c r="BC1804" t="inlineStr">
        <is>
          <t>32285000833714</t>
        </is>
      </c>
      <c r="BD1804" t="inlineStr">
        <is>
          <t>893794334</t>
        </is>
      </c>
    </row>
    <row r="1805">
      <c r="A1805" t="inlineStr">
        <is>
          <t>No</t>
        </is>
      </c>
      <c r="B1805" t="inlineStr">
        <is>
          <t>BX3522 .F64 2003</t>
        </is>
      </c>
      <c r="C1805" t="inlineStr">
        <is>
          <t>0                      BX 3522000F  64          2003</t>
        </is>
      </c>
      <c r="D1805" t="inlineStr">
        <is>
          <t>Renaissance religion in urban Scotland : the Dominican order, 1450-1560 / by Janet P. Foggie.</t>
        </is>
      </c>
      <c r="F1805" t="inlineStr">
        <is>
          <t>No</t>
        </is>
      </c>
      <c r="G1805" t="inlineStr">
        <is>
          <t>1</t>
        </is>
      </c>
      <c r="H1805" t="inlineStr">
        <is>
          <t>No</t>
        </is>
      </c>
      <c r="I1805" t="inlineStr">
        <is>
          <t>No</t>
        </is>
      </c>
      <c r="J1805" t="inlineStr">
        <is>
          <t>0</t>
        </is>
      </c>
      <c r="K1805" t="inlineStr">
        <is>
          <t>Foggie, Janet P., 1971-</t>
        </is>
      </c>
      <c r="L1805" t="inlineStr">
        <is>
          <t>Leiden ; Boston : Brill, 2003.</t>
        </is>
      </c>
      <c r="M1805" t="inlineStr">
        <is>
          <t>2003</t>
        </is>
      </c>
      <c r="O1805" t="inlineStr">
        <is>
          <t>eng</t>
        </is>
      </c>
      <c r="P1805" t="inlineStr">
        <is>
          <t xml:space="preserve">ne </t>
        </is>
      </c>
      <c r="Q1805" t="inlineStr">
        <is>
          <t>Studies in medieval and Reformation thought, 0585-6914 ; v. 95</t>
        </is>
      </c>
      <c r="R1805" t="inlineStr">
        <is>
          <t xml:space="preserve">BX </t>
        </is>
      </c>
      <c r="S1805" t="n">
        <v>2</v>
      </c>
      <c r="T1805" t="n">
        <v>2</v>
      </c>
      <c r="U1805" t="inlineStr">
        <is>
          <t>2005-02-10</t>
        </is>
      </c>
      <c r="V1805" t="inlineStr">
        <is>
          <t>2005-02-10</t>
        </is>
      </c>
      <c r="W1805" t="inlineStr">
        <is>
          <t>2003-07-30</t>
        </is>
      </c>
      <c r="X1805" t="inlineStr">
        <is>
          <t>2003-07-30</t>
        </is>
      </c>
      <c r="Y1805" t="n">
        <v>194</v>
      </c>
      <c r="Z1805" t="n">
        <v>154</v>
      </c>
      <c r="AA1805" t="n">
        <v>154</v>
      </c>
      <c r="AB1805" t="n">
        <v>2</v>
      </c>
      <c r="AC1805" t="n">
        <v>2</v>
      </c>
      <c r="AD1805" t="n">
        <v>11</v>
      </c>
      <c r="AE1805" t="n">
        <v>11</v>
      </c>
      <c r="AF1805" t="n">
        <v>2</v>
      </c>
      <c r="AG1805" t="n">
        <v>2</v>
      </c>
      <c r="AH1805" t="n">
        <v>2</v>
      </c>
      <c r="AI1805" t="n">
        <v>2</v>
      </c>
      <c r="AJ1805" t="n">
        <v>7</v>
      </c>
      <c r="AK1805" t="n">
        <v>7</v>
      </c>
      <c r="AL1805" t="n">
        <v>1</v>
      </c>
      <c r="AM1805" t="n">
        <v>1</v>
      </c>
      <c r="AN1805" t="n">
        <v>0</v>
      </c>
      <c r="AO1805" t="n">
        <v>0</v>
      </c>
      <c r="AP1805" t="inlineStr">
        <is>
          <t>No</t>
        </is>
      </c>
      <c r="AQ1805" t="inlineStr">
        <is>
          <t>No</t>
        </is>
      </c>
      <c r="AS1805">
        <f>HYPERLINK("https://creighton-primo.hosted.exlibrisgroup.com/primo-explore/search?tab=default_tab&amp;search_scope=EVERYTHING&amp;vid=01CRU&amp;lang=en_US&amp;offset=0&amp;query=any,contains,991004094159702656","Catalog Record")</f>
        <v/>
      </c>
      <c r="AT1805">
        <f>HYPERLINK("http://www.worldcat.org/oclc/51280636","WorldCat Record")</f>
        <v/>
      </c>
      <c r="AU1805" t="inlineStr">
        <is>
          <t>890389883:eng</t>
        </is>
      </c>
      <c r="AV1805" t="inlineStr">
        <is>
          <t>51280636</t>
        </is>
      </c>
      <c r="AW1805" t="inlineStr">
        <is>
          <t>991004094159702656</t>
        </is>
      </c>
      <c r="AX1805" t="inlineStr">
        <is>
          <t>991004094159702656</t>
        </is>
      </c>
      <c r="AY1805" t="inlineStr">
        <is>
          <t>2261983600002656</t>
        </is>
      </c>
      <c r="AZ1805" t="inlineStr">
        <is>
          <t>BOOK</t>
        </is>
      </c>
      <c r="BB1805" t="inlineStr">
        <is>
          <t>9789004129290</t>
        </is>
      </c>
      <c r="BC1805" t="inlineStr">
        <is>
          <t>32285004757802</t>
        </is>
      </c>
      <c r="BD1805" t="inlineStr">
        <is>
          <t>893423376</t>
        </is>
      </c>
    </row>
    <row r="1806">
      <c r="A1806" t="inlineStr">
        <is>
          <t>No</t>
        </is>
      </c>
      <c r="B1806" t="inlineStr">
        <is>
          <t>BX355 .T34 1991</t>
        </is>
      </c>
      <c r="C1806" t="inlineStr">
        <is>
          <t>0                      BX 0355000T  34          1991</t>
        </is>
      </c>
      <c r="D1806" t="inlineStr">
        <is>
          <t>The diptychs / Robert F. Taft.</t>
        </is>
      </c>
      <c r="F1806" t="inlineStr">
        <is>
          <t>No</t>
        </is>
      </c>
      <c r="G1806" t="inlineStr">
        <is>
          <t>1</t>
        </is>
      </c>
      <c r="H1806" t="inlineStr">
        <is>
          <t>No</t>
        </is>
      </c>
      <c r="I1806" t="inlineStr">
        <is>
          <t>No</t>
        </is>
      </c>
      <c r="J1806" t="inlineStr">
        <is>
          <t>0</t>
        </is>
      </c>
      <c r="K1806" t="inlineStr">
        <is>
          <t>Taft, Robert F.</t>
        </is>
      </c>
      <c r="L1806" t="inlineStr">
        <is>
          <t>Roma : Pontificium Institutum Studiorum Orientalium, 1991.</t>
        </is>
      </c>
      <c r="M1806" t="inlineStr">
        <is>
          <t>1991</t>
        </is>
      </c>
      <c r="O1806" t="inlineStr">
        <is>
          <t>eng</t>
        </is>
      </c>
      <c r="P1806" t="inlineStr">
        <is>
          <t xml:space="preserve">it </t>
        </is>
      </c>
      <c r="Q1806" t="inlineStr">
        <is>
          <t>A History of the Liturgy of St. John Chrysostom / Robert F. Taft ; v. 4</t>
        </is>
      </c>
      <c r="R1806" t="inlineStr">
        <is>
          <t xml:space="preserve">BX </t>
        </is>
      </c>
      <c r="S1806" t="n">
        <v>3</v>
      </c>
      <c r="T1806" t="n">
        <v>3</v>
      </c>
      <c r="U1806" t="inlineStr">
        <is>
          <t>2005-03-14</t>
        </is>
      </c>
      <c r="V1806" t="inlineStr">
        <is>
          <t>2005-03-14</t>
        </is>
      </c>
      <c r="W1806" t="inlineStr">
        <is>
          <t>1994-07-12</t>
        </is>
      </c>
      <c r="X1806" t="inlineStr">
        <is>
          <t>1994-07-12</t>
        </is>
      </c>
      <c r="Y1806" t="n">
        <v>124</v>
      </c>
      <c r="Z1806" t="n">
        <v>96</v>
      </c>
      <c r="AA1806" t="n">
        <v>97</v>
      </c>
      <c r="AB1806" t="n">
        <v>1</v>
      </c>
      <c r="AC1806" t="n">
        <v>1</v>
      </c>
      <c r="AD1806" t="n">
        <v>13</v>
      </c>
      <c r="AE1806" t="n">
        <v>13</v>
      </c>
      <c r="AF1806" t="n">
        <v>3</v>
      </c>
      <c r="AG1806" t="n">
        <v>3</v>
      </c>
      <c r="AH1806" t="n">
        <v>3</v>
      </c>
      <c r="AI1806" t="n">
        <v>3</v>
      </c>
      <c r="AJ1806" t="n">
        <v>10</v>
      </c>
      <c r="AK1806" t="n">
        <v>10</v>
      </c>
      <c r="AL1806" t="n">
        <v>0</v>
      </c>
      <c r="AM1806" t="n">
        <v>0</v>
      </c>
      <c r="AN1806" t="n">
        <v>0</v>
      </c>
      <c r="AO1806" t="n">
        <v>0</v>
      </c>
      <c r="AP1806" t="inlineStr">
        <is>
          <t>No</t>
        </is>
      </c>
      <c r="AQ1806" t="inlineStr">
        <is>
          <t>Yes</t>
        </is>
      </c>
      <c r="AR1806">
        <f>HYPERLINK("http://catalog.hathitrust.org/Record/101934322","HathiTrust Record")</f>
        <v/>
      </c>
      <c r="AS1806">
        <f>HYPERLINK("https://creighton-primo.hosted.exlibrisgroup.com/primo-explore/search?tab=default_tab&amp;search_scope=EVERYTHING&amp;vid=01CRU&amp;lang=en_US&amp;offset=0&amp;query=any,contains,991001983529702656","Catalog Record")</f>
        <v/>
      </c>
      <c r="AT1806">
        <f>HYPERLINK("http://www.worldcat.org/oclc/25166883","WorldCat Record")</f>
        <v/>
      </c>
      <c r="AU1806" t="inlineStr">
        <is>
          <t>28069331:eng</t>
        </is>
      </c>
      <c r="AV1806" t="inlineStr">
        <is>
          <t>25166883</t>
        </is>
      </c>
      <c r="AW1806" t="inlineStr">
        <is>
          <t>991001983529702656</t>
        </is>
      </c>
      <c r="AX1806" t="inlineStr">
        <is>
          <t>991001983529702656</t>
        </is>
      </c>
      <c r="AY1806" t="inlineStr">
        <is>
          <t>2256226800002656</t>
        </is>
      </c>
      <c r="AZ1806" t="inlineStr">
        <is>
          <t>BOOK</t>
        </is>
      </c>
      <c r="BB1806" t="inlineStr">
        <is>
          <t>9788872102855</t>
        </is>
      </c>
      <c r="BC1806" t="inlineStr">
        <is>
          <t>32285001931988</t>
        </is>
      </c>
      <c r="BD1806" t="inlineStr">
        <is>
          <t>893709731</t>
        </is>
      </c>
    </row>
    <row r="1807">
      <c r="A1807" t="inlineStr">
        <is>
          <t>No</t>
        </is>
      </c>
      <c r="B1807" t="inlineStr">
        <is>
          <t>BX3593 .G75 2005</t>
        </is>
      </c>
      <c r="C1807" t="inlineStr">
        <is>
          <t>0                      BX 3593000G  75          2005</t>
        </is>
      </c>
      <c r="D1807" t="inlineStr">
        <is>
          <t>A drama of reform / Benedict Groeschel and the Franciscans of the Renewal ; photography by Grazyna Marczuk.</t>
        </is>
      </c>
      <c r="F1807" t="inlineStr">
        <is>
          <t>No</t>
        </is>
      </c>
      <c r="G1807" t="inlineStr">
        <is>
          <t>1</t>
        </is>
      </c>
      <c r="H1807" t="inlineStr">
        <is>
          <t>No</t>
        </is>
      </c>
      <c r="I1807" t="inlineStr">
        <is>
          <t>No</t>
        </is>
      </c>
      <c r="J1807" t="inlineStr">
        <is>
          <t>0</t>
        </is>
      </c>
      <c r="K1807" t="inlineStr">
        <is>
          <t>Groeschel, Benedict J.</t>
        </is>
      </c>
      <c r="L1807" t="inlineStr">
        <is>
          <t>San Francisco : Ignatius Press, c2005.</t>
        </is>
      </c>
      <c r="M1807" t="inlineStr">
        <is>
          <t>2005</t>
        </is>
      </c>
      <c r="O1807" t="inlineStr">
        <is>
          <t>eng</t>
        </is>
      </c>
      <c r="P1807" t="inlineStr">
        <is>
          <t>cau</t>
        </is>
      </c>
      <c r="R1807" t="inlineStr">
        <is>
          <t xml:space="preserve">BX </t>
        </is>
      </c>
      <c r="S1807" t="n">
        <v>3</v>
      </c>
      <c r="T1807" t="n">
        <v>3</v>
      </c>
      <c r="U1807" t="inlineStr">
        <is>
          <t>2010-08-28</t>
        </is>
      </c>
      <c r="V1807" t="inlineStr">
        <is>
          <t>2010-08-28</t>
        </is>
      </c>
      <c r="W1807" t="inlineStr">
        <is>
          <t>2008-04-07</t>
        </is>
      </c>
      <c r="X1807" t="inlineStr">
        <is>
          <t>2008-04-07</t>
        </is>
      </c>
      <c r="Y1807" t="n">
        <v>65</v>
      </c>
      <c r="Z1807" t="n">
        <v>62</v>
      </c>
      <c r="AA1807" t="n">
        <v>62</v>
      </c>
      <c r="AB1807" t="n">
        <v>2</v>
      </c>
      <c r="AC1807" t="n">
        <v>2</v>
      </c>
      <c r="AD1807" t="n">
        <v>9</v>
      </c>
      <c r="AE1807" t="n">
        <v>9</v>
      </c>
      <c r="AF1807" t="n">
        <v>1</v>
      </c>
      <c r="AG1807" t="n">
        <v>1</v>
      </c>
      <c r="AH1807" t="n">
        <v>3</v>
      </c>
      <c r="AI1807" t="n">
        <v>3</v>
      </c>
      <c r="AJ1807" t="n">
        <v>7</v>
      </c>
      <c r="AK1807" t="n">
        <v>7</v>
      </c>
      <c r="AL1807" t="n">
        <v>0</v>
      </c>
      <c r="AM1807" t="n">
        <v>0</v>
      </c>
      <c r="AN1807" t="n">
        <v>0</v>
      </c>
      <c r="AO1807" t="n">
        <v>0</v>
      </c>
      <c r="AP1807" t="inlineStr">
        <is>
          <t>No</t>
        </is>
      </c>
      <c r="AQ1807" t="inlineStr">
        <is>
          <t>No</t>
        </is>
      </c>
      <c r="AS1807">
        <f>HYPERLINK("https://creighton-primo.hosted.exlibrisgroup.com/primo-explore/search?tab=default_tab&amp;search_scope=EVERYTHING&amp;vid=01CRU&amp;lang=en_US&amp;offset=0&amp;query=any,contains,991005202089702656","Catalog Record")</f>
        <v/>
      </c>
      <c r="AT1807">
        <f>HYPERLINK("http://www.worldcat.org/oclc/63130133","WorldCat Record")</f>
        <v/>
      </c>
      <c r="AU1807" t="inlineStr">
        <is>
          <t>47330445:eng</t>
        </is>
      </c>
      <c r="AV1807" t="inlineStr">
        <is>
          <t>63130133</t>
        </is>
      </c>
      <c r="AW1807" t="inlineStr">
        <is>
          <t>991005202089702656</t>
        </is>
      </c>
      <c r="AX1807" t="inlineStr">
        <is>
          <t>991005202089702656</t>
        </is>
      </c>
      <c r="AY1807" t="inlineStr">
        <is>
          <t>2259293270002656</t>
        </is>
      </c>
      <c r="AZ1807" t="inlineStr">
        <is>
          <t>BOOK</t>
        </is>
      </c>
      <c r="BB1807" t="inlineStr">
        <is>
          <t>9781586171148</t>
        </is>
      </c>
      <c r="BC1807" t="inlineStr">
        <is>
          <t>32285005400923</t>
        </is>
      </c>
      <c r="BD1807" t="inlineStr">
        <is>
          <t>893905296</t>
        </is>
      </c>
    </row>
    <row r="1808">
      <c r="A1808" t="inlineStr">
        <is>
          <t>No</t>
        </is>
      </c>
      <c r="B1808" t="inlineStr">
        <is>
          <t>BX3602 .D6</t>
        </is>
      </c>
      <c r="C1808" t="inlineStr">
        <is>
          <t>0                      BX 3602000D  6</t>
        </is>
      </c>
      <c r="D1808" t="inlineStr">
        <is>
          <t>The nature and the effect of the heresy of the Fraticelli / by Decima L. Douie.</t>
        </is>
      </c>
      <c r="F1808" t="inlineStr">
        <is>
          <t>No</t>
        </is>
      </c>
      <c r="G1808" t="inlineStr">
        <is>
          <t>1</t>
        </is>
      </c>
      <c r="H1808" t="inlineStr">
        <is>
          <t>No</t>
        </is>
      </c>
      <c r="I1808" t="inlineStr">
        <is>
          <t>No</t>
        </is>
      </c>
      <c r="J1808" t="inlineStr">
        <is>
          <t>0</t>
        </is>
      </c>
      <c r="K1808" t="inlineStr">
        <is>
          <t>Douie, Decima L. (Decima Langworthy), 1901-1977.</t>
        </is>
      </c>
      <c r="L1808" t="inlineStr">
        <is>
          <t>Manchester : University Press, 1932.</t>
        </is>
      </c>
      <c r="M1808" t="inlineStr">
        <is>
          <t>1932</t>
        </is>
      </c>
      <c r="O1808" t="inlineStr">
        <is>
          <t>eng</t>
        </is>
      </c>
      <c r="P1808" t="inlineStr">
        <is>
          <t>___</t>
        </is>
      </c>
      <c r="Q1808" t="inlineStr">
        <is>
          <t>Publications of the University of Manchester ; no. 220</t>
        </is>
      </c>
      <c r="R1808" t="inlineStr">
        <is>
          <t xml:space="preserve">BX </t>
        </is>
      </c>
      <c r="S1808" t="n">
        <v>4</v>
      </c>
      <c r="T1808" t="n">
        <v>4</v>
      </c>
      <c r="U1808" t="inlineStr">
        <is>
          <t>2010-01-29</t>
        </is>
      </c>
      <c r="V1808" t="inlineStr">
        <is>
          <t>2010-01-29</t>
        </is>
      </c>
      <c r="W1808" t="inlineStr">
        <is>
          <t>1991-11-11</t>
        </is>
      </c>
      <c r="X1808" t="inlineStr">
        <is>
          <t>1991-11-11</t>
        </is>
      </c>
      <c r="Y1808" t="n">
        <v>134</v>
      </c>
      <c r="Z1808" t="n">
        <v>91</v>
      </c>
      <c r="AA1808" t="n">
        <v>421</v>
      </c>
      <c r="AB1808" t="n">
        <v>2</v>
      </c>
      <c r="AC1808" t="n">
        <v>4</v>
      </c>
      <c r="AD1808" t="n">
        <v>9</v>
      </c>
      <c r="AE1808" t="n">
        <v>29</v>
      </c>
      <c r="AF1808" t="n">
        <v>3</v>
      </c>
      <c r="AG1808" t="n">
        <v>10</v>
      </c>
      <c r="AH1808" t="n">
        <v>2</v>
      </c>
      <c r="AI1808" t="n">
        <v>8</v>
      </c>
      <c r="AJ1808" t="n">
        <v>5</v>
      </c>
      <c r="AK1808" t="n">
        <v>17</v>
      </c>
      <c r="AL1808" t="n">
        <v>1</v>
      </c>
      <c r="AM1808" t="n">
        <v>3</v>
      </c>
      <c r="AN1808" t="n">
        <v>0</v>
      </c>
      <c r="AO1808" t="n">
        <v>0</v>
      </c>
      <c r="AP1808" t="inlineStr">
        <is>
          <t>No</t>
        </is>
      </c>
      <c r="AQ1808" t="inlineStr">
        <is>
          <t>Yes</t>
        </is>
      </c>
      <c r="AR1808">
        <f>HYPERLINK("http://catalog.hathitrust.org/Record/001591213","HathiTrust Record")</f>
        <v/>
      </c>
      <c r="AS1808">
        <f>HYPERLINK("https://creighton-primo.hosted.exlibrisgroup.com/primo-explore/search?tab=default_tab&amp;search_scope=EVERYTHING&amp;vid=01CRU&amp;lang=en_US&amp;offset=0&amp;query=any,contains,991003488619702656","Catalog Record")</f>
        <v/>
      </c>
      <c r="AT1808">
        <f>HYPERLINK("http://www.worldcat.org/oclc/1036993","WorldCat Record")</f>
        <v/>
      </c>
      <c r="AU1808" t="inlineStr">
        <is>
          <t>1995915:eng</t>
        </is>
      </c>
      <c r="AV1808" t="inlineStr">
        <is>
          <t>1036993</t>
        </is>
      </c>
      <c r="AW1808" t="inlineStr">
        <is>
          <t>991003488619702656</t>
        </is>
      </c>
      <c r="AX1808" t="inlineStr">
        <is>
          <t>991003488619702656</t>
        </is>
      </c>
      <c r="AY1808" t="inlineStr">
        <is>
          <t>2265989630002656</t>
        </is>
      </c>
      <c r="AZ1808" t="inlineStr">
        <is>
          <t>BOOK</t>
        </is>
      </c>
      <c r="BC1808" t="inlineStr">
        <is>
          <t>32285000833979</t>
        </is>
      </c>
      <c r="BD1808" t="inlineStr">
        <is>
          <t>893692755</t>
        </is>
      </c>
    </row>
    <row r="1809">
      <c r="A1809" t="inlineStr">
        <is>
          <t>No</t>
        </is>
      </c>
      <c r="B1809" t="inlineStr">
        <is>
          <t>BX3602 .O7 1930</t>
        </is>
      </c>
      <c r="C1809" t="inlineStr">
        <is>
          <t>0                      BX 3602000O  7           1930</t>
        </is>
      </c>
      <c r="D1809" t="inlineStr">
        <is>
          <t>The Franciscans / with an introduction by Fr. Thomas Plassmann, O.F.M.</t>
        </is>
      </c>
      <c r="F1809" t="inlineStr">
        <is>
          <t>No</t>
        </is>
      </c>
      <c r="G1809" t="inlineStr">
        <is>
          <t>1</t>
        </is>
      </c>
      <c r="H1809" t="inlineStr">
        <is>
          <t>No</t>
        </is>
      </c>
      <c r="I1809" t="inlineStr">
        <is>
          <t>No</t>
        </is>
      </c>
      <c r="J1809" t="inlineStr">
        <is>
          <t>0</t>
        </is>
      </c>
      <c r="K1809" t="inlineStr">
        <is>
          <t>O'Mahony, James E. (James Edward), 1897-1962.</t>
        </is>
      </c>
      <c r="L1809" t="inlineStr">
        <is>
          <t>New York : Macmillan, 1930.</t>
        </is>
      </c>
      <c r="M1809" t="inlineStr">
        <is>
          <t>1930</t>
        </is>
      </c>
      <c r="O1809" t="inlineStr">
        <is>
          <t>eng</t>
        </is>
      </c>
      <c r="P1809" t="inlineStr">
        <is>
          <t xml:space="preserve">xx </t>
        </is>
      </c>
      <c r="Q1809" t="inlineStr">
        <is>
          <t>The "many mansions" series</t>
        </is>
      </c>
      <c r="R1809" t="inlineStr">
        <is>
          <t xml:space="preserve">BX </t>
        </is>
      </c>
      <c r="S1809" t="n">
        <v>4</v>
      </c>
      <c r="T1809" t="n">
        <v>4</v>
      </c>
      <c r="U1809" t="inlineStr">
        <is>
          <t>1995-03-15</t>
        </is>
      </c>
      <c r="V1809" t="inlineStr">
        <is>
          <t>1995-03-15</t>
        </is>
      </c>
      <c r="W1809" t="inlineStr">
        <is>
          <t>1992-04-02</t>
        </is>
      </c>
      <c r="X1809" t="inlineStr">
        <is>
          <t>1992-04-02</t>
        </is>
      </c>
      <c r="Y1809" t="n">
        <v>143</v>
      </c>
      <c r="Z1809" t="n">
        <v>137</v>
      </c>
      <c r="AA1809" t="n">
        <v>162</v>
      </c>
      <c r="AB1809" t="n">
        <v>2</v>
      </c>
      <c r="AC1809" t="n">
        <v>3</v>
      </c>
      <c r="AD1809" t="n">
        <v>14</v>
      </c>
      <c r="AE1809" t="n">
        <v>17</v>
      </c>
      <c r="AF1809" t="n">
        <v>2</v>
      </c>
      <c r="AG1809" t="n">
        <v>4</v>
      </c>
      <c r="AH1809" t="n">
        <v>4</v>
      </c>
      <c r="AI1809" t="n">
        <v>4</v>
      </c>
      <c r="AJ1809" t="n">
        <v>11</v>
      </c>
      <c r="AK1809" t="n">
        <v>13</v>
      </c>
      <c r="AL1809" t="n">
        <v>0</v>
      </c>
      <c r="AM1809" t="n">
        <v>0</v>
      </c>
      <c r="AN1809" t="n">
        <v>0</v>
      </c>
      <c r="AO1809" t="n">
        <v>0</v>
      </c>
      <c r="AP1809" t="inlineStr">
        <is>
          <t>Yes</t>
        </is>
      </c>
      <c r="AQ1809" t="inlineStr">
        <is>
          <t>No</t>
        </is>
      </c>
      <c r="AR1809">
        <f>HYPERLINK("http://catalog.hathitrust.org/Record/001591208","HathiTrust Record")</f>
        <v/>
      </c>
      <c r="AS1809">
        <f>HYPERLINK("https://creighton-primo.hosted.exlibrisgroup.com/primo-explore/search?tab=default_tab&amp;search_scope=EVERYTHING&amp;vid=01CRU&amp;lang=en_US&amp;offset=0&amp;query=any,contains,991003660229702656","Catalog Record")</f>
        <v/>
      </c>
      <c r="AT1809">
        <f>HYPERLINK("http://www.worldcat.org/oclc/1267720","WorldCat Record")</f>
        <v/>
      </c>
      <c r="AU1809" t="inlineStr">
        <is>
          <t>2194476:eng</t>
        </is>
      </c>
      <c r="AV1809" t="inlineStr">
        <is>
          <t>1267720</t>
        </is>
      </c>
      <c r="AW1809" t="inlineStr">
        <is>
          <t>991003660229702656</t>
        </is>
      </c>
      <c r="AX1809" t="inlineStr">
        <is>
          <t>991003660229702656</t>
        </is>
      </c>
      <c r="AY1809" t="inlineStr">
        <is>
          <t>2258321970002656</t>
        </is>
      </c>
      <c r="AZ1809" t="inlineStr">
        <is>
          <t>BOOK</t>
        </is>
      </c>
      <c r="BC1809" t="inlineStr">
        <is>
          <t>32285001046894</t>
        </is>
      </c>
      <c r="BD1809" t="inlineStr">
        <is>
          <t>893228287</t>
        </is>
      </c>
    </row>
    <row r="1810">
      <c r="A1810" t="inlineStr">
        <is>
          <t>No</t>
        </is>
      </c>
      <c r="B1810" t="inlineStr">
        <is>
          <t>BX3603 .B732 1957</t>
        </is>
      </c>
      <c r="C1810" t="inlineStr">
        <is>
          <t>0                      BX 3603000B  732         1957</t>
        </is>
      </c>
      <c r="D1810" t="inlineStr">
        <is>
          <t>Franciscan spirituality : synthesis, antithesis / Translated from the French by Flavian Frey.</t>
        </is>
      </c>
      <c r="F1810" t="inlineStr">
        <is>
          <t>No</t>
        </is>
      </c>
      <c r="G1810" t="inlineStr">
        <is>
          <t>1</t>
        </is>
      </c>
      <c r="H1810" t="inlineStr">
        <is>
          <t>No</t>
        </is>
      </c>
      <c r="I1810" t="inlineStr">
        <is>
          <t>No</t>
        </is>
      </c>
      <c r="J1810" t="inlineStr">
        <is>
          <t>0</t>
        </is>
      </c>
      <c r="K1810" t="inlineStr">
        <is>
          <t>Breton, Valentin-M. (Valentin-Marie), 1877-1957.</t>
        </is>
      </c>
      <c r="L1810" t="inlineStr">
        <is>
          <t>Chicago : Franciscan Herald Press, [1957]</t>
        </is>
      </c>
      <c r="M1810" t="inlineStr">
        <is>
          <t>1957</t>
        </is>
      </c>
      <c r="O1810" t="inlineStr">
        <is>
          <t>eng</t>
        </is>
      </c>
      <c r="P1810" t="inlineStr">
        <is>
          <t>ilu</t>
        </is>
      </c>
      <c r="R1810" t="inlineStr">
        <is>
          <t xml:space="preserve">BX </t>
        </is>
      </c>
      <c r="S1810" t="n">
        <v>9</v>
      </c>
      <c r="T1810" t="n">
        <v>9</v>
      </c>
      <c r="U1810" t="inlineStr">
        <is>
          <t>2008-02-07</t>
        </is>
      </c>
      <c r="V1810" t="inlineStr">
        <is>
          <t>2008-02-07</t>
        </is>
      </c>
      <c r="W1810" t="inlineStr">
        <is>
          <t>1991-11-11</t>
        </is>
      </c>
      <c r="X1810" t="inlineStr">
        <is>
          <t>1991-11-11</t>
        </is>
      </c>
      <c r="Y1810" t="n">
        <v>40</v>
      </c>
      <c r="Z1810" t="n">
        <v>38</v>
      </c>
      <c r="AA1810" t="n">
        <v>58</v>
      </c>
      <c r="AB1810" t="n">
        <v>2</v>
      </c>
      <c r="AC1810" t="n">
        <v>2</v>
      </c>
      <c r="AD1810" t="n">
        <v>4</v>
      </c>
      <c r="AE1810" t="n">
        <v>4</v>
      </c>
      <c r="AF1810" t="n">
        <v>1</v>
      </c>
      <c r="AG1810" t="n">
        <v>1</v>
      </c>
      <c r="AH1810" t="n">
        <v>1</v>
      </c>
      <c r="AI1810" t="n">
        <v>1</v>
      </c>
      <c r="AJ1810" t="n">
        <v>3</v>
      </c>
      <c r="AK1810" t="n">
        <v>3</v>
      </c>
      <c r="AL1810" t="n">
        <v>0</v>
      </c>
      <c r="AM1810" t="n">
        <v>0</v>
      </c>
      <c r="AN1810" t="n">
        <v>0</v>
      </c>
      <c r="AO1810" t="n">
        <v>0</v>
      </c>
      <c r="AP1810" t="inlineStr">
        <is>
          <t>No</t>
        </is>
      </c>
      <c r="AQ1810" t="inlineStr">
        <is>
          <t>No</t>
        </is>
      </c>
      <c r="AS1810">
        <f>HYPERLINK("https://creighton-primo.hosted.exlibrisgroup.com/primo-explore/search?tab=default_tab&amp;search_scope=EVERYTHING&amp;vid=01CRU&amp;lang=en_US&amp;offset=0&amp;query=any,contains,991003940759702656","Catalog Record")</f>
        <v/>
      </c>
      <c r="AT1810">
        <f>HYPERLINK("http://www.worldcat.org/oclc/1929941","WorldCat Record")</f>
        <v/>
      </c>
      <c r="AU1810" t="inlineStr">
        <is>
          <t>2739852:eng</t>
        </is>
      </c>
      <c r="AV1810" t="inlineStr">
        <is>
          <t>1929941</t>
        </is>
      </c>
      <c r="AW1810" t="inlineStr">
        <is>
          <t>991003940759702656</t>
        </is>
      </c>
      <c r="AX1810" t="inlineStr">
        <is>
          <t>991003940759702656</t>
        </is>
      </c>
      <c r="AY1810" t="inlineStr">
        <is>
          <t>2256523520002656</t>
        </is>
      </c>
      <c r="AZ1810" t="inlineStr">
        <is>
          <t>BOOK</t>
        </is>
      </c>
      <c r="BC1810" t="inlineStr">
        <is>
          <t>32285000834001</t>
        </is>
      </c>
      <c r="BD1810" t="inlineStr">
        <is>
          <t>893228704</t>
        </is>
      </c>
    </row>
    <row r="1811">
      <c r="A1811" t="inlineStr">
        <is>
          <t>No</t>
        </is>
      </c>
      <c r="B1811" t="inlineStr">
        <is>
          <t>BX3603 .V43 1954</t>
        </is>
      </c>
      <c r="C1811" t="inlineStr">
        <is>
          <t>0                      BX 3603000V  43          1954</t>
        </is>
      </c>
      <c r="D1811" t="inlineStr">
        <is>
          <t>Union with Christ : lessons in Franciscan asceticism / Translated by James Meyer.</t>
        </is>
      </c>
      <c r="F1811" t="inlineStr">
        <is>
          <t>No</t>
        </is>
      </c>
      <c r="G1811" t="inlineStr">
        <is>
          <t>1</t>
        </is>
      </c>
      <c r="H1811" t="inlineStr">
        <is>
          <t>No</t>
        </is>
      </c>
      <c r="I1811" t="inlineStr">
        <is>
          <t>No</t>
        </is>
      </c>
      <c r="J1811" t="inlineStr">
        <is>
          <t>0</t>
        </is>
      </c>
      <c r="K1811" t="inlineStr">
        <is>
          <t>Veuthey, Léon, 1896-1974.</t>
        </is>
      </c>
      <c r="L1811" t="inlineStr">
        <is>
          <t>Chicago : Franciscan Herald Press, [1954]</t>
        </is>
      </c>
      <c r="M1811" t="inlineStr">
        <is>
          <t>1954</t>
        </is>
      </c>
      <c r="O1811" t="inlineStr">
        <is>
          <t>eng</t>
        </is>
      </c>
      <c r="P1811" t="inlineStr">
        <is>
          <t xml:space="preserve">xx </t>
        </is>
      </c>
      <c r="Q1811" t="inlineStr">
        <is>
          <t>Franciscan spirituality ; no. 1</t>
        </is>
      </c>
      <c r="R1811" t="inlineStr">
        <is>
          <t xml:space="preserve">BX </t>
        </is>
      </c>
      <c r="S1811" t="n">
        <v>7</v>
      </c>
      <c r="T1811" t="n">
        <v>7</v>
      </c>
      <c r="U1811" t="inlineStr">
        <is>
          <t>2001-06-20</t>
        </is>
      </c>
      <c r="V1811" t="inlineStr">
        <is>
          <t>2001-06-20</t>
        </is>
      </c>
      <c r="W1811" t="inlineStr">
        <is>
          <t>1991-11-11</t>
        </is>
      </c>
      <c r="X1811" t="inlineStr">
        <is>
          <t>1991-11-11</t>
        </is>
      </c>
      <c r="Y1811" t="n">
        <v>37</v>
      </c>
      <c r="Z1811" t="n">
        <v>34</v>
      </c>
      <c r="AA1811" t="n">
        <v>34</v>
      </c>
      <c r="AB1811" t="n">
        <v>1</v>
      </c>
      <c r="AC1811" t="n">
        <v>1</v>
      </c>
      <c r="AD1811" t="n">
        <v>6</v>
      </c>
      <c r="AE1811" t="n">
        <v>6</v>
      </c>
      <c r="AF1811" t="n">
        <v>1</v>
      </c>
      <c r="AG1811" t="n">
        <v>1</v>
      </c>
      <c r="AH1811" t="n">
        <v>0</v>
      </c>
      <c r="AI1811" t="n">
        <v>0</v>
      </c>
      <c r="AJ1811" t="n">
        <v>6</v>
      </c>
      <c r="AK1811" t="n">
        <v>6</v>
      </c>
      <c r="AL1811" t="n">
        <v>0</v>
      </c>
      <c r="AM1811" t="n">
        <v>0</v>
      </c>
      <c r="AN1811" t="n">
        <v>0</v>
      </c>
      <c r="AO1811" t="n">
        <v>0</v>
      </c>
      <c r="AP1811" t="inlineStr">
        <is>
          <t>No</t>
        </is>
      </c>
      <c r="AQ1811" t="inlineStr">
        <is>
          <t>No</t>
        </is>
      </c>
      <c r="AS1811">
        <f>HYPERLINK("https://creighton-primo.hosted.exlibrisgroup.com/primo-explore/search?tab=default_tab&amp;search_scope=EVERYTHING&amp;vid=01CRU&amp;lang=en_US&amp;offset=0&amp;query=any,contains,991004891769702656","Catalog Record")</f>
        <v/>
      </c>
      <c r="AT1811">
        <f>HYPERLINK("http://www.worldcat.org/oclc/5879786","WorldCat Record")</f>
        <v/>
      </c>
      <c r="AU1811" t="inlineStr">
        <is>
          <t>1875615908:eng</t>
        </is>
      </c>
      <c r="AV1811" t="inlineStr">
        <is>
          <t>5879786</t>
        </is>
      </c>
      <c r="AW1811" t="inlineStr">
        <is>
          <t>991004891769702656</t>
        </is>
      </c>
      <c r="AX1811" t="inlineStr">
        <is>
          <t>991004891769702656</t>
        </is>
      </c>
      <c r="AY1811" t="inlineStr">
        <is>
          <t>2264863920002656</t>
        </is>
      </c>
      <c r="AZ1811" t="inlineStr">
        <is>
          <t>BOOK</t>
        </is>
      </c>
      <c r="BC1811" t="inlineStr">
        <is>
          <t>32285000834027</t>
        </is>
      </c>
      <c r="BD1811" t="inlineStr">
        <is>
          <t>893229966</t>
        </is>
      </c>
    </row>
    <row r="1812">
      <c r="A1812" t="inlineStr">
        <is>
          <t>No</t>
        </is>
      </c>
      <c r="B1812" t="inlineStr">
        <is>
          <t>BX3603 .W58 2003</t>
        </is>
      </c>
      <c r="C1812" t="inlineStr">
        <is>
          <t>0                      BX 3603000W  58          2003</t>
        </is>
      </c>
      <c r="D1812" t="inlineStr">
        <is>
          <t>Bonagratia von Bergamo : Franziskanerjurist und Wortführer seines Ordens im Streit mit Papst Johannes XXII / von Eva Luise Wittneben.</t>
        </is>
      </c>
      <c r="F1812" t="inlineStr">
        <is>
          <t>No</t>
        </is>
      </c>
      <c r="G1812" t="inlineStr">
        <is>
          <t>1</t>
        </is>
      </c>
      <c r="H1812" t="inlineStr">
        <is>
          <t>No</t>
        </is>
      </c>
      <c r="I1812" t="inlineStr">
        <is>
          <t>No</t>
        </is>
      </c>
      <c r="J1812" t="inlineStr">
        <is>
          <t>0</t>
        </is>
      </c>
      <c r="K1812" t="inlineStr">
        <is>
          <t>Wittneben, Eva Luise.</t>
        </is>
      </c>
      <c r="L1812" t="inlineStr">
        <is>
          <t>Leiden ; Boston, MA : Brill, 2003.</t>
        </is>
      </c>
      <c r="M1812" t="inlineStr">
        <is>
          <t>2003</t>
        </is>
      </c>
      <c r="O1812" t="inlineStr">
        <is>
          <t>ger</t>
        </is>
      </c>
      <c r="P1812" t="inlineStr">
        <is>
          <t xml:space="preserve">ne </t>
        </is>
      </c>
      <c r="Q1812" t="inlineStr">
        <is>
          <t>Studies in medieval and Reformation thought, 0585-6914 ; v. 90</t>
        </is>
      </c>
      <c r="R1812" t="inlineStr">
        <is>
          <t xml:space="preserve">BX </t>
        </is>
      </c>
      <c r="S1812" t="n">
        <v>2</v>
      </c>
      <c r="T1812" t="n">
        <v>2</v>
      </c>
      <c r="U1812" t="inlineStr">
        <is>
          <t>2010-01-29</t>
        </is>
      </c>
      <c r="V1812" t="inlineStr">
        <is>
          <t>2010-01-29</t>
        </is>
      </c>
      <c r="W1812" t="inlineStr">
        <is>
          <t>2003-04-14</t>
        </is>
      </c>
      <c r="X1812" t="inlineStr">
        <is>
          <t>2003-04-14</t>
        </is>
      </c>
      <c r="Y1812" t="n">
        <v>167</v>
      </c>
      <c r="Z1812" t="n">
        <v>127</v>
      </c>
      <c r="AA1812" t="n">
        <v>127</v>
      </c>
      <c r="AB1812" t="n">
        <v>2</v>
      </c>
      <c r="AC1812" t="n">
        <v>2</v>
      </c>
      <c r="AD1812" t="n">
        <v>10</v>
      </c>
      <c r="AE1812" t="n">
        <v>10</v>
      </c>
      <c r="AF1812" t="n">
        <v>1</v>
      </c>
      <c r="AG1812" t="n">
        <v>1</v>
      </c>
      <c r="AH1812" t="n">
        <v>3</v>
      </c>
      <c r="AI1812" t="n">
        <v>3</v>
      </c>
      <c r="AJ1812" t="n">
        <v>6</v>
      </c>
      <c r="AK1812" t="n">
        <v>6</v>
      </c>
      <c r="AL1812" t="n">
        <v>1</v>
      </c>
      <c r="AM1812" t="n">
        <v>1</v>
      </c>
      <c r="AN1812" t="n">
        <v>0</v>
      </c>
      <c r="AO1812" t="n">
        <v>0</v>
      </c>
      <c r="AP1812" t="inlineStr">
        <is>
          <t>No</t>
        </is>
      </c>
      <c r="AQ1812" t="inlineStr">
        <is>
          <t>No</t>
        </is>
      </c>
      <c r="AS1812">
        <f>HYPERLINK("https://creighton-primo.hosted.exlibrisgroup.com/primo-explore/search?tab=default_tab&amp;search_scope=EVERYTHING&amp;vid=01CRU&amp;lang=en_US&amp;offset=0&amp;query=any,contains,991004038519702656","Catalog Record")</f>
        <v/>
      </c>
      <c r="AT1812">
        <f>HYPERLINK("http://www.worldcat.org/oclc/50761110","WorldCat Record")</f>
        <v/>
      </c>
      <c r="AU1812" t="inlineStr">
        <is>
          <t>4417452316:ger</t>
        </is>
      </c>
      <c r="AV1812" t="inlineStr">
        <is>
          <t>50761110</t>
        </is>
      </c>
      <c r="AW1812" t="inlineStr">
        <is>
          <t>991004038519702656</t>
        </is>
      </c>
      <c r="AX1812" t="inlineStr">
        <is>
          <t>991004038519702656</t>
        </is>
      </c>
      <c r="AY1812" t="inlineStr">
        <is>
          <t>2264706400002656</t>
        </is>
      </c>
      <c r="AZ1812" t="inlineStr">
        <is>
          <t>BOOK</t>
        </is>
      </c>
      <c r="BB1812" t="inlineStr">
        <is>
          <t>9789004128170</t>
        </is>
      </c>
      <c r="BC1812" t="inlineStr">
        <is>
          <t>32285004742150</t>
        </is>
      </c>
      <c r="BD1812" t="inlineStr">
        <is>
          <t>893429588</t>
        </is>
      </c>
    </row>
    <row r="1813">
      <c r="A1813" t="inlineStr">
        <is>
          <t>No</t>
        </is>
      </c>
      <c r="B1813" t="inlineStr">
        <is>
          <t>BX3604.Z5 F5313 1975</t>
        </is>
      </c>
      <c r="C1813" t="inlineStr">
        <is>
          <t>0                      BX 3604000Z  5                  F  5313        1975</t>
        </is>
      </c>
      <c r="D1813" t="inlineStr">
        <is>
          <t>The birth of a movement : a study of the First rule of St. Francis / by David Flood and Thaddée Matura ; translated by Paul Schwartz and Paul Lachance.</t>
        </is>
      </c>
      <c r="F1813" t="inlineStr">
        <is>
          <t>No</t>
        </is>
      </c>
      <c r="G1813" t="inlineStr">
        <is>
          <t>1</t>
        </is>
      </c>
      <c r="H1813" t="inlineStr">
        <is>
          <t>No</t>
        </is>
      </c>
      <c r="I1813" t="inlineStr">
        <is>
          <t>No</t>
        </is>
      </c>
      <c r="J1813" t="inlineStr">
        <is>
          <t>0</t>
        </is>
      </c>
      <c r="K1813" t="inlineStr">
        <is>
          <t>Flood, David.</t>
        </is>
      </c>
      <c r="L1813" t="inlineStr">
        <is>
          <t>Chicago : Franciscan Herald Press, [1975]</t>
        </is>
      </c>
      <c r="M1813" t="inlineStr">
        <is>
          <t>1975</t>
        </is>
      </c>
      <c r="O1813" t="inlineStr">
        <is>
          <t>eng</t>
        </is>
      </c>
      <c r="P1813" t="inlineStr">
        <is>
          <t>ilu</t>
        </is>
      </c>
      <c r="R1813" t="inlineStr">
        <is>
          <t xml:space="preserve">BX </t>
        </is>
      </c>
      <c r="S1813" t="n">
        <v>1</v>
      </c>
      <c r="T1813" t="n">
        <v>1</v>
      </c>
      <c r="U1813" t="inlineStr">
        <is>
          <t>2003-06-17</t>
        </is>
      </c>
      <c r="V1813" t="inlineStr">
        <is>
          <t>2003-06-17</t>
        </is>
      </c>
      <c r="W1813" t="inlineStr">
        <is>
          <t>2003-06-17</t>
        </is>
      </c>
      <c r="X1813" t="inlineStr">
        <is>
          <t>2003-06-17</t>
        </is>
      </c>
      <c r="Y1813" t="n">
        <v>134</v>
      </c>
      <c r="Z1813" t="n">
        <v>109</v>
      </c>
      <c r="AA1813" t="n">
        <v>109</v>
      </c>
      <c r="AB1813" t="n">
        <v>2</v>
      </c>
      <c r="AC1813" t="n">
        <v>2</v>
      </c>
      <c r="AD1813" t="n">
        <v>11</v>
      </c>
      <c r="AE1813" t="n">
        <v>11</v>
      </c>
      <c r="AF1813" t="n">
        <v>2</v>
      </c>
      <c r="AG1813" t="n">
        <v>2</v>
      </c>
      <c r="AH1813" t="n">
        <v>1</v>
      </c>
      <c r="AI1813" t="n">
        <v>1</v>
      </c>
      <c r="AJ1813" t="n">
        <v>7</v>
      </c>
      <c r="AK1813" t="n">
        <v>7</v>
      </c>
      <c r="AL1813" t="n">
        <v>1</v>
      </c>
      <c r="AM1813" t="n">
        <v>1</v>
      </c>
      <c r="AN1813" t="n">
        <v>0</v>
      </c>
      <c r="AO1813" t="n">
        <v>0</v>
      </c>
      <c r="AP1813" t="inlineStr">
        <is>
          <t>No</t>
        </is>
      </c>
      <c r="AQ1813" t="inlineStr">
        <is>
          <t>No</t>
        </is>
      </c>
      <c r="AS1813">
        <f>HYPERLINK("https://creighton-primo.hosted.exlibrisgroup.com/primo-explore/search?tab=default_tab&amp;search_scope=EVERYTHING&amp;vid=01CRU&amp;lang=en_US&amp;offset=0&amp;query=any,contains,991004075549702656","Catalog Record")</f>
        <v/>
      </c>
      <c r="AT1813">
        <f>HYPERLINK("http://www.worldcat.org/oclc/1273431","WorldCat Record")</f>
        <v/>
      </c>
      <c r="AU1813" t="inlineStr">
        <is>
          <t>2200639:eng</t>
        </is>
      </c>
      <c r="AV1813" t="inlineStr">
        <is>
          <t>1273431</t>
        </is>
      </c>
      <c r="AW1813" t="inlineStr">
        <is>
          <t>991004075549702656</t>
        </is>
      </c>
      <c r="AX1813" t="inlineStr">
        <is>
          <t>991004075549702656</t>
        </is>
      </c>
      <c r="AY1813" t="inlineStr">
        <is>
          <t>2267775120002656</t>
        </is>
      </c>
      <c r="AZ1813" t="inlineStr">
        <is>
          <t>BOOK</t>
        </is>
      </c>
      <c r="BB1813" t="inlineStr">
        <is>
          <t>9780819905673</t>
        </is>
      </c>
      <c r="BC1813" t="inlineStr">
        <is>
          <t>32285004752860</t>
        </is>
      </c>
      <c r="BD1813" t="inlineStr">
        <is>
          <t>893722253</t>
        </is>
      </c>
    </row>
    <row r="1814">
      <c r="A1814" t="inlineStr">
        <is>
          <t>No</t>
        </is>
      </c>
      <c r="B1814" t="inlineStr">
        <is>
          <t>BX3606 .H8 1944</t>
        </is>
      </c>
      <c r="C1814" t="inlineStr">
        <is>
          <t>0                      BX 3606000H  8           1944</t>
        </is>
      </c>
      <c r="D1814" t="inlineStr">
        <is>
          <t>A documented history of the Franciscan order / by Very Rev. Raphael M. Huber.</t>
        </is>
      </c>
      <c r="F1814" t="inlineStr">
        <is>
          <t>No</t>
        </is>
      </c>
      <c r="G1814" t="inlineStr">
        <is>
          <t>1</t>
        </is>
      </c>
      <c r="H1814" t="inlineStr">
        <is>
          <t>No</t>
        </is>
      </c>
      <c r="I1814" t="inlineStr">
        <is>
          <t>No</t>
        </is>
      </c>
      <c r="J1814" t="inlineStr">
        <is>
          <t>0</t>
        </is>
      </c>
      <c r="K1814" t="inlineStr">
        <is>
          <t>Huber, Raphael M. (Raphael Mary), 1883-1963.</t>
        </is>
      </c>
      <c r="L1814" t="inlineStr">
        <is>
          <t>Milwaukee, Wis. : [The Nowiny publishing apostolate, inc.] ; Washington, D. C., 1944-</t>
        </is>
      </c>
      <c r="M1814" t="inlineStr">
        <is>
          <t>1944</t>
        </is>
      </c>
      <c r="O1814" t="inlineStr">
        <is>
          <t>eng</t>
        </is>
      </c>
      <c r="P1814" t="inlineStr">
        <is>
          <t>wiu</t>
        </is>
      </c>
      <c r="R1814" t="inlineStr">
        <is>
          <t xml:space="preserve">BX </t>
        </is>
      </c>
      <c r="S1814" t="n">
        <v>12</v>
      </c>
      <c r="T1814" t="n">
        <v>12</v>
      </c>
      <c r="U1814" t="inlineStr">
        <is>
          <t>2003-03-06</t>
        </is>
      </c>
      <c r="V1814" t="inlineStr">
        <is>
          <t>2003-03-06</t>
        </is>
      </c>
      <c r="W1814" t="inlineStr">
        <is>
          <t>1993-06-24</t>
        </is>
      </c>
      <c r="X1814" t="inlineStr">
        <is>
          <t>1993-06-24</t>
        </is>
      </c>
      <c r="Y1814" t="n">
        <v>180</v>
      </c>
      <c r="Z1814" t="n">
        <v>168</v>
      </c>
      <c r="AA1814" t="n">
        <v>186</v>
      </c>
      <c r="AB1814" t="n">
        <v>2</v>
      </c>
      <c r="AC1814" t="n">
        <v>2</v>
      </c>
      <c r="AD1814" t="n">
        <v>20</v>
      </c>
      <c r="AE1814" t="n">
        <v>21</v>
      </c>
      <c r="AF1814" t="n">
        <v>6</v>
      </c>
      <c r="AG1814" t="n">
        <v>6</v>
      </c>
      <c r="AH1814" t="n">
        <v>6</v>
      </c>
      <c r="AI1814" t="n">
        <v>6</v>
      </c>
      <c r="AJ1814" t="n">
        <v>13</v>
      </c>
      <c r="AK1814" t="n">
        <v>14</v>
      </c>
      <c r="AL1814" t="n">
        <v>0</v>
      </c>
      <c r="AM1814" t="n">
        <v>0</v>
      </c>
      <c r="AN1814" t="n">
        <v>0</v>
      </c>
      <c r="AO1814" t="n">
        <v>0</v>
      </c>
      <c r="AP1814" t="inlineStr">
        <is>
          <t>Yes</t>
        </is>
      </c>
      <c r="AQ1814" t="inlineStr">
        <is>
          <t>No</t>
        </is>
      </c>
      <c r="AR1814">
        <f>HYPERLINK("http://catalog.hathitrust.org/Record/102292235","HathiTrust Record")</f>
        <v/>
      </c>
      <c r="AS1814">
        <f>HYPERLINK("https://creighton-primo.hosted.exlibrisgroup.com/primo-explore/search?tab=default_tab&amp;search_scope=EVERYTHING&amp;vid=01CRU&amp;lang=en_US&amp;offset=0&amp;query=any,contains,991005366379702656","Catalog Record")</f>
        <v/>
      </c>
      <c r="AT1814">
        <f>HYPERLINK("http://www.worldcat.org/oclc/1940304","WorldCat Record")</f>
        <v/>
      </c>
      <c r="AU1814" t="inlineStr">
        <is>
          <t>2864200749:eng</t>
        </is>
      </c>
      <c r="AV1814" t="inlineStr">
        <is>
          <t>1940304</t>
        </is>
      </c>
      <c r="AW1814" t="inlineStr">
        <is>
          <t>991005366379702656</t>
        </is>
      </c>
      <c r="AX1814" t="inlineStr">
        <is>
          <t>991005366379702656</t>
        </is>
      </c>
      <c r="AY1814" t="inlineStr">
        <is>
          <t>2268446780002656</t>
        </is>
      </c>
      <c r="AZ1814" t="inlineStr">
        <is>
          <t>BOOK</t>
        </is>
      </c>
      <c r="BC1814" t="inlineStr">
        <is>
          <t>32285001732162</t>
        </is>
      </c>
      <c r="BD1814" t="inlineStr">
        <is>
          <t>893707768</t>
        </is>
      </c>
    </row>
    <row r="1815">
      <c r="A1815" t="inlineStr">
        <is>
          <t>No</t>
        </is>
      </c>
      <c r="B1815" t="inlineStr">
        <is>
          <t>BX3606.2 .E813</t>
        </is>
      </c>
      <c r="C1815" t="inlineStr">
        <is>
          <t>0                      BX 3606200E  813</t>
        </is>
      </c>
      <c r="D1815" t="inlineStr">
        <is>
          <t>Origins of the Franciscan Order / by Cajetan Esser ; translated by Aedan Daly and Irina Lynch.</t>
        </is>
      </c>
      <c r="F1815" t="inlineStr">
        <is>
          <t>No</t>
        </is>
      </c>
      <c r="G1815" t="inlineStr">
        <is>
          <t>1</t>
        </is>
      </c>
      <c r="H1815" t="inlineStr">
        <is>
          <t>No</t>
        </is>
      </c>
      <c r="I1815" t="inlineStr">
        <is>
          <t>No</t>
        </is>
      </c>
      <c r="J1815" t="inlineStr">
        <is>
          <t>0</t>
        </is>
      </c>
      <c r="K1815" t="inlineStr">
        <is>
          <t>Esser, Kajetan, 1913-</t>
        </is>
      </c>
      <c r="L1815" t="inlineStr">
        <is>
          <t>Chicago : Franciscan Herald Press [1970]</t>
        </is>
      </c>
      <c r="M1815" t="inlineStr">
        <is>
          <t>1970</t>
        </is>
      </c>
      <c r="O1815" t="inlineStr">
        <is>
          <t>eng</t>
        </is>
      </c>
      <c r="P1815" t="inlineStr">
        <is>
          <t>___</t>
        </is>
      </c>
      <c r="R1815" t="inlineStr">
        <is>
          <t xml:space="preserve">BX </t>
        </is>
      </c>
      <c r="S1815" t="n">
        <v>14</v>
      </c>
      <c r="T1815" t="n">
        <v>14</v>
      </c>
      <c r="U1815" t="inlineStr">
        <is>
          <t>2009-09-22</t>
        </is>
      </c>
      <c r="V1815" t="inlineStr">
        <is>
          <t>2009-09-22</t>
        </is>
      </c>
      <c r="W1815" t="inlineStr">
        <is>
          <t>1991-11-11</t>
        </is>
      </c>
      <c r="X1815" t="inlineStr">
        <is>
          <t>1991-11-11</t>
        </is>
      </c>
      <c r="Y1815" t="n">
        <v>238</v>
      </c>
      <c r="Z1815" t="n">
        <v>198</v>
      </c>
      <c r="AA1815" t="n">
        <v>234</v>
      </c>
      <c r="AB1815" t="n">
        <v>3</v>
      </c>
      <c r="AC1815" t="n">
        <v>3</v>
      </c>
      <c r="AD1815" t="n">
        <v>14</v>
      </c>
      <c r="AE1815" t="n">
        <v>14</v>
      </c>
      <c r="AF1815" t="n">
        <v>3</v>
      </c>
      <c r="AG1815" t="n">
        <v>3</v>
      </c>
      <c r="AH1815" t="n">
        <v>2</v>
      </c>
      <c r="AI1815" t="n">
        <v>2</v>
      </c>
      <c r="AJ1815" t="n">
        <v>10</v>
      </c>
      <c r="AK1815" t="n">
        <v>10</v>
      </c>
      <c r="AL1815" t="n">
        <v>1</v>
      </c>
      <c r="AM1815" t="n">
        <v>1</v>
      </c>
      <c r="AN1815" t="n">
        <v>0</v>
      </c>
      <c r="AO1815" t="n">
        <v>0</v>
      </c>
      <c r="AP1815" t="inlineStr">
        <is>
          <t>No</t>
        </is>
      </c>
      <c r="AQ1815" t="inlineStr">
        <is>
          <t>Yes</t>
        </is>
      </c>
      <c r="AR1815">
        <f>HYPERLINK("http://catalog.hathitrust.org/Record/001591218","HathiTrust Record")</f>
        <v/>
      </c>
      <c r="AS1815">
        <f>HYPERLINK("https://creighton-primo.hosted.exlibrisgroup.com/primo-explore/search?tab=default_tab&amp;search_scope=EVERYTHING&amp;vid=01CRU&amp;lang=en_US&amp;offset=0&amp;query=any,contains,991005354169702656","Catalog Record")</f>
        <v/>
      </c>
      <c r="AT1815">
        <f>HYPERLINK("http://www.worldcat.org/oclc/270875","WorldCat Record")</f>
        <v/>
      </c>
      <c r="AU1815" t="inlineStr">
        <is>
          <t>1745800:eng</t>
        </is>
      </c>
      <c r="AV1815" t="inlineStr">
        <is>
          <t>270875</t>
        </is>
      </c>
      <c r="AW1815" t="inlineStr">
        <is>
          <t>991005354169702656</t>
        </is>
      </c>
      <c r="AX1815" t="inlineStr">
        <is>
          <t>991005354169702656</t>
        </is>
      </c>
      <c r="AY1815" t="inlineStr">
        <is>
          <t>2263710310002656</t>
        </is>
      </c>
      <c r="AZ1815" t="inlineStr">
        <is>
          <t>BOOK</t>
        </is>
      </c>
      <c r="BC1815" t="inlineStr">
        <is>
          <t>32285000834076</t>
        </is>
      </c>
      <c r="BD1815" t="inlineStr">
        <is>
          <t>893783450</t>
        </is>
      </c>
    </row>
    <row r="1816">
      <c r="A1816" t="inlineStr">
        <is>
          <t>No</t>
        </is>
      </c>
      <c r="B1816" t="inlineStr">
        <is>
          <t>BX3616 .S5 1964</t>
        </is>
      </c>
      <c r="C1816" t="inlineStr">
        <is>
          <t>0                      BX 3616000S  5           1964</t>
        </is>
      </c>
      <c r="D1816" t="inlineStr">
        <is>
          <t>Franciscan philosophy at Oxford in the thirteenth century / by D.E. Sharp.</t>
        </is>
      </c>
      <c r="F1816" t="inlineStr">
        <is>
          <t>No</t>
        </is>
      </c>
      <c r="G1816" t="inlineStr">
        <is>
          <t>1</t>
        </is>
      </c>
      <c r="H1816" t="inlineStr">
        <is>
          <t>No</t>
        </is>
      </c>
      <c r="I1816" t="inlineStr">
        <is>
          <t>Yes</t>
        </is>
      </c>
      <c r="J1816" t="inlineStr">
        <is>
          <t>0</t>
        </is>
      </c>
      <c r="K1816" t="inlineStr">
        <is>
          <t>Sharp, D. E. (Dorothea Elizabeth)</t>
        </is>
      </c>
      <c r="L1816" t="inlineStr">
        <is>
          <t>New York : Russell &amp; Russell, 1964.</t>
        </is>
      </c>
      <c r="M1816" t="inlineStr">
        <is>
          <t>1964</t>
        </is>
      </c>
      <c r="O1816" t="inlineStr">
        <is>
          <t>eng</t>
        </is>
      </c>
      <c r="P1816" t="inlineStr">
        <is>
          <t>nyu</t>
        </is>
      </c>
      <c r="R1816" t="inlineStr">
        <is>
          <t xml:space="preserve">BX </t>
        </is>
      </c>
      <c r="S1816" t="n">
        <v>1</v>
      </c>
      <c r="T1816" t="n">
        <v>1</v>
      </c>
      <c r="U1816" t="inlineStr">
        <is>
          <t>2006-03-15</t>
        </is>
      </c>
      <c r="V1816" t="inlineStr">
        <is>
          <t>2006-03-15</t>
        </is>
      </c>
      <c r="W1816" t="inlineStr">
        <is>
          <t>1991-11-11</t>
        </is>
      </c>
      <c r="X1816" t="inlineStr">
        <is>
          <t>1991-11-11</t>
        </is>
      </c>
      <c r="Y1816" t="n">
        <v>433</v>
      </c>
      <c r="Z1816" t="n">
        <v>392</v>
      </c>
      <c r="AA1816" t="n">
        <v>561</v>
      </c>
      <c r="AB1816" t="n">
        <v>1</v>
      </c>
      <c r="AC1816" t="n">
        <v>3</v>
      </c>
      <c r="AD1816" t="n">
        <v>17</v>
      </c>
      <c r="AE1816" t="n">
        <v>33</v>
      </c>
      <c r="AF1816" t="n">
        <v>6</v>
      </c>
      <c r="AG1816" t="n">
        <v>10</v>
      </c>
      <c r="AH1816" t="n">
        <v>7</v>
      </c>
      <c r="AI1816" t="n">
        <v>8</v>
      </c>
      <c r="AJ1816" t="n">
        <v>11</v>
      </c>
      <c r="AK1816" t="n">
        <v>24</v>
      </c>
      <c r="AL1816" t="n">
        <v>0</v>
      </c>
      <c r="AM1816" t="n">
        <v>2</v>
      </c>
      <c r="AN1816" t="n">
        <v>0</v>
      </c>
      <c r="AO1816" t="n">
        <v>0</v>
      </c>
      <c r="AP1816" t="inlineStr">
        <is>
          <t>No</t>
        </is>
      </c>
      <c r="AQ1816" t="inlineStr">
        <is>
          <t>Yes</t>
        </is>
      </c>
      <c r="AR1816">
        <f>HYPERLINK("http://catalog.hathitrust.org/Record/001591229","HathiTrust Record")</f>
        <v/>
      </c>
      <c r="AS1816">
        <f>HYPERLINK("https://creighton-primo.hosted.exlibrisgroup.com/primo-explore/search?tab=default_tab&amp;search_scope=EVERYTHING&amp;vid=01CRU&amp;lang=en_US&amp;offset=0&amp;query=any,contains,991003658829702656","Catalog Record")</f>
        <v/>
      </c>
      <c r="AT1816">
        <f>HYPERLINK("http://www.worldcat.org/oclc/1265284","WorldCat Record")</f>
        <v/>
      </c>
      <c r="AU1816" t="inlineStr">
        <is>
          <t>7531844:eng</t>
        </is>
      </c>
      <c r="AV1816" t="inlineStr">
        <is>
          <t>1265284</t>
        </is>
      </c>
      <c r="AW1816" t="inlineStr">
        <is>
          <t>991003658829702656</t>
        </is>
      </c>
      <c r="AX1816" t="inlineStr">
        <is>
          <t>991003658829702656</t>
        </is>
      </c>
      <c r="AY1816" t="inlineStr">
        <is>
          <t>2261725210002656</t>
        </is>
      </c>
      <c r="AZ1816" t="inlineStr">
        <is>
          <t>BOOK</t>
        </is>
      </c>
      <c r="BC1816" t="inlineStr">
        <is>
          <t>32285000834118</t>
        </is>
      </c>
      <c r="BD1816" t="inlineStr">
        <is>
          <t>893441546</t>
        </is>
      </c>
    </row>
    <row r="1817">
      <c r="A1817" t="inlineStr">
        <is>
          <t>No</t>
        </is>
      </c>
      <c r="B1817" t="inlineStr">
        <is>
          <t>BX3638.U5 G6 1926</t>
        </is>
      </c>
      <c r="C1817" t="inlineStr">
        <is>
          <t>0                      BX 3638000U  5                  G  6           1926</t>
        </is>
      </c>
      <c r="D1817" t="inlineStr">
        <is>
          <t>Franciscan Italy / by Harold Elsdale Goad. With 27 illustrations and 2 maps.</t>
        </is>
      </c>
      <c r="F1817" t="inlineStr">
        <is>
          <t>No</t>
        </is>
      </c>
      <c r="G1817" t="inlineStr">
        <is>
          <t>1</t>
        </is>
      </c>
      <c r="H1817" t="inlineStr">
        <is>
          <t>No</t>
        </is>
      </c>
      <c r="I1817" t="inlineStr">
        <is>
          <t>No</t>
        </is>
      </c>
      <c r="J1817" t="inlineStr">
        <is>
          <t>0</t>
        </is>
      </c>
      <c r="K1817" t="inlineStr">
        <is>
          <t>Goad, Harold Elsdale, 1878-1956.</t>
        </is>
      </c>
      <c r="L1817" t="inlineStr">
        <is>
          <t>New York : E. P. Dutton and company, [1926]</t>
        </is>
      </c>
      <c r="M1817" t="inlineStr">
        <is>
          <t>1926</t>
        </is>
      </c>
      <c r="O1817" t="inlineStr">
        <is>
          <t>eng</t>
        </is>
      </c>
      <c r="P1817" t="inlineStr">
        <is>
          <t xml:space="preserve">xx </t>
        </is>
      </c>
      <c r="R1817" t="inlineStr">
        <is>
          <t xml:space="preserve">BX </t>
        </is>
      </c>
      <c r="S1817" t="n">
        <v>3</v>
      </c>
      <c r="T1817" t="n">
        <v>3</v>
      </c>
      <c r="U1817" t="inlineStr">
        <is>
          <t>2006-05-01</t>
        </is>
      </c>
      <c r="V1817" t="inlineStr">
        <is>
          <t>2006-05-01</t>
        </is>
      </c>
      <c r="W1817" t="inlineStr">
        <is>
          <t>1991-11-11</t>
        </is>
      </c>
      <c r="X1817" t="inlineStr">
        <is>
          <t>1991-11-11</t>
        </is>
      </c>
      <c r="Y1817" t="n">
        <v>67</v>
      </c>
      <c r="Z1817" t="n">
        <v>67</v>
      </c>
      <c r="AA1817" t="n">
        <v>144</v>
      </c>
      <c r="AB1817" t="n">
        <v>1</v>
      </c>
      <c r="AC1817" t="n">
        <v>1</v>
      </c>
      <c r="AD1817" t="n">
        <v>7</v>
      </c>
      <c r="AE1817" t="n">
        <v>14</v>
      </c>
      <c r="AF1817" t="n">
        <v>0</v>
      </c>
      <c r="AG1817" t="n">
        <v>2</v>
      </c>
      <c r="AH1817" t="n">
        <v>1</v>
      </c>
      <c r="AI1817" t="n">
        <v>2</v>
      </c>
      <c r="AJ1817" t="n">
        <v>7</v>
      </c>
      <c r="AK1817" t="n">
        <v>13</v>
      </c>
      <c r="AL1817" t="n">
        <v>0</v>
      </c>
      <c r="AM1817" t="n">
        <v>0</v>
      </c>
      <c r="AN1817" t="n">
        <v>0</v>
      </c>
      <c r="AO1817" t="n">
        <v>0</v>
      </c>
      <c r="AP1817" t="inlineStr">
        <is>
          <t>No</t>
        </is>
      </c>
      <c r="AQ1817" t="inlineStr">
        <is>
          <t>Yes</t>
        </is>
      </c>
      <c r="AR1817">
        <f>HYPERLINK("http://catalog.hathitrust.org/Record/006575136","HathiTrust Record")</f>
        <v/>
      </c>
      <c r="AS1817">
        <f>HYPERLINK("https://creighton-primo.hosted.exlibrisgroup.com/primo-explore/search?tab=default_tab&amp;search_scope=EVERYTHING&amp;vid=01CRU&amp;lang=en_US&amp;offset=0&amp;query=any,contains,991003767819702656","Catalog Record")</f>
        <v/>
      </c>
      <c r="AT1817">
        <f>HYPERLINK("http://www.worldcat.org/oclc/1462450","WorldCat Record")</f>
        <v/>
      </c>
      <c r="AU1817" t="inlineStr">
        <is>
          <t>2189815:eng</t>
        </is>
      </c>
      <c r="AV1817" t="inlineStr">
        <is>
          <t>1462450</t>
        </is>
      </c>
      <c r="AW1817" t="inlineStr">
        <is>
          <t>991003767819702656</t>
        </is>
      </c>
      <c r="AX1817" t="inlineStr">
        <is>
          <t>991003767819702656</t>
        </is>
      </c>
      <c r="AY1817" t="inlineStr">
        <is>
          <t>2256278860002656</t>
        </is>
      </c>
      <c r="AZ1817" t="inlineStr">
        <is>
          <t>BOOK</t>
        </is>
      </c>
      <c r="BC1817" t="inlineStr">
        <is>
          <t>32285000834191</t>
        </is>
      </c>
      <c r="BD1817" t="inlineStr">
        <is>
          <t>893598956</t>
        </is>
      </c>
    </row>
    <row r="1818">
      <c r="A1818" t="inlineStr">
        <is>
          <t>No</t>
        </is>
      </c>
      <c r="B1818" t="inlineStr">
        <is>
          <t>BX3653.U6 D3 1968</t>
        </is>
      </c>
      <c r="C1818" t="inlineStr">
        <is>
          <t>0                      BX 3653000U  6                  D  3           1968</t>
        </is>
      </c>
      <c r="D1818" t="inlineStr">
        <is>
          <t>The passionists of the Southwest : or, The holy brotherhood; a revelation of the Penitentes / by Alex. M. Darley. Pueblo, Colo., 1893.</t>
        </is>
      </c>
      <c r="F1818" t="inlineStr">
        <is>
          <t>No</t>
        </is>
      </c>
      <c r="G1818" t="inlineStr">
        <is>
          <t>1</t>
        </is>
      </c>
      <c r="H1818" t="inlineStr">
        <is>
          <t>No</t>
        </is>
      </c>
      <c r="I1818" t="inlineStr">
        <is>
          <t>No</t>
        </is>
      </c>
      <c r="J1818" t="inlineStr">
        <is>
          <t>0</t>
        </is>
      </c>
      <c r="K1818" t="inlineStr">
        <is>
          <t>Darley, Alex M. (Alexander M.)</t>
        </is>
      </c>
      <c r="L1818" t="inlineStr">
        <is>
          <t>Glorieta, N. M. : Rio Grande Press, [c1968]</t>
        </is>
      </c>
      <c r="M1818" t="inlineStr">
        <is>
          <t>1968</t>
        </is>
      </c>
      <c r="O1818" t="inlineStr">
        <is>
          <t>eng</t>
        </is>
      </c>
      <c r="P1818" t="inlineStr">
        <is>
          <t>___</t>
        </is>
      </c>
      <c r="R1818" t="inlineStr">
        <is>
          <t xml:space="preserve">BX </t>
        </is>
      </c>
      <c r="S1818" t="n">
        <v>2</v>
      </c>
      <c r="T1818" t="n">
        <v>2</v>
      </c>
      <c r="U1818" t="inlineStr">
        <is>
          <t>2008-12-18</t>
        </is>
      </c>
      <c r="V1818" t="inlineStr">
        <is>
          <t>2008-12-18</t>
        </is>
      </c>
      <c r="W1818" t="inlineStr">
        <is>
          <t>1991-11-11</t>
        </is>
      </c>
      <c r="X1818" t="inlineStr">
        <is>
          <t>1991-11-11</t>
        </is>
      </c>
      <c r="Y1818" t="n">
        <v>249</v>
      </c>
      <c r="Z1818" t="n">
        <v>244</v>
      </c>
      <c r="AA1818" t="n">
        <v>297</v>
      </c>
      <c r="AB1818" t="n">
        <v>3</v>
      </c>
      <c r="AC1818" t="n">
        <v>3</v>
      </c>
      <c r="AD1818" t="n">
        <v>11</v>
      </c>
      <c r="AE1818" t="n">
        <v>11</v>
      </c>
      <c r="AF1818" t="n">
        <v>0</v>
      </c>
      <c r="AG1818" t="n">
        <v>0</v>
      </c>
      <c r="AH1818" t="n">
        <v>2</v>
      </c>
      <c r="AI1818" t="n">
        <v>2</v>
      </c>
      <c r="AJ1818" t="n">
        <v>8</v>
      </c>
      <c r="AK1818" t="n">
        <v>8</v>
      </c>
      <c r="AL1818" t="n">
        <v>2</v>
      </c>
      <c r="AM1818" t="n">
        <v>2</v>
      </c>
      <c r="AN1818" t="n">
        <v>0</v>
      </c>
      <c r="AO1818" t="n">
        <v>0</v>
      </c>
      <c r="AP1818" t="inlineStr">
        <is>
          <t>No</t>
        </is>
      </c>
      <c r="AQ1818" t="inlineStr">
        <is>
          <t>Yes</t>
        </is>
      </c>
      <c r="AR1818">
        <f>HYPERLINK("http://catalog.hathitrust.org/Record/001591238","HathiTrust Record")</f>
        <v/>
      </c>
      <c r="AS1818">
        <f>HYPERLINK("https://creighton-primo.hosted.exlibrisgroup.com/primo-explore/search?tab=default_tab&amp;search_scope=EVERYTHING&amp;vid=01CRU&amp;lang=en_US&amp;offset=0&amp;query=any,contains,991003370979702656","Catalog Record")</f>
        <v/>
      </c>
      <c r="AT1818">
        <f>HYPERLINK("http://www.worldcat.org/oclc/5990959","WorldCat Record")</f>
        <v/>
      </c>
      <c r="AU1818" t="inlineStr">
        <is>
          <t>3943294749:eng</t>
        </is>
      </c>
      <c r="AV1818" t="inlineStr">
        <is>
          <t>5990959</t>
        </is>
      </c>
      <c r="AW1818" t="inlineStr">
        <is>
          <t>991003370979702656</t>
        </is>
      </c>
      <c r="AX1818" t="inlineStr">
        <is>
          <t>991003370979702656</t>
        </is>
      </c>
      <c r="AY1818" t="inlineStr">
        <is>
          <t>2258391880002656</t>
        </is>
      </c>
      <c r="AZ1818" t="inlineStr">
        <is>
          <t>BOOK</t>
        </is>
      </c>
      <c r="BC1818" t="inlineStr">
        <is>
          <t>32285000834233</t>
        </is>
      </c>
      <c r="BD1818" t="inlineStr">
        <is>
          <t>893434942</t>
        </is>
      </c>
    </row>
    <row r="1819">
      <c r="A1819" t="inlineStr">
        <is>
          <t>No</t>
        </is>
      </c>
      <c r="B1819" t="inlineStr">
        <is>
          <t>BX3653.U6 H67 1969</t>
        </is>
      </c>
      <c r="C1819" t="inlineStr">
        <is>
          <t>0                      BX 3653000U  6                  H  67          1969</t>
        </is>
      </c>
      <c r="D1819" t="inlineStr">
        <is>
          <t>Los Hermanos Penitentes : a vestige of medievalism in Southwestern United States.</t>
        </is>
      </c>
      <c r="F1819" t="inlineStr">
        <is>
          <t>No</t>
        </is>
      </c>
      <c r="G1819" t="inlineStr">
        <is>
          <t>1</t>
        </is>
      </c>
      <c r="H1819" t="inlineStr">
        <is>
          <t>No</t>
        </is>
      </c>
      <c r="I1819" t="inlineStr">
        <is>
          <t>No</t>
        </is>
      </c>
      <c r="J1819" t="inlineStr">
        <is>
          <t>0</t>
        </is>
      </c>
      <c r="K1819" t="inlineStr">
        <is>
          <t>Horka-Follick, Lorayne Ann, 1940-</t>
        </is>
      </c>
      <c r="L1819" t="inlineStr">
        <is>
          <t>Los Angeles : Westernlore Press, 1969.</t>
        </is>
      </c>
      <c r="M1819" t="inlineStr">
        <is>
          <t>1969</t>
        </is>
      </c>
      <c r="O1819" t="inlineStr">
        <is>
          <t>eng</t>
        </is>
      </c>
      <c r="P1819" t="inlineStr">
        <is>
          <t>cau</t>
        </is>
      </c>
      <c r="Q1819" t="inlineStr">
        <is>
          <t>Great West and Indian series ; 38</t>
        </is>
      </c>
      <c r="R1819" t="inlineStr">
        <is>
          <t xml:space="preserve">BX </t>
        </is>
      </c>
      <c r="S1819" t="n">
        <v>2</v>
      </c>
      <c r="T1819" t="n">
        <v>2</v>
      </c>
      <c r="U1819" t="inlineStr">
        <is>
          <t>2008-12-18</t>
        </is>
      </c>
      <c r="V1819" t="inlineStr">
        <is>
          <t>2008-12-18</t>
        </is>
      </c>
      <c r="W1819" t="inlineStr">
        <is>
          <t>1991-11-11</t>
        </is>
      </c>
      <c r="X1819" t="inlineStr">
        <is>
          <t>1991-11-11</t>
        </is>
      </c>
      <c r="Y1819" t="n">
        <v>269</v>
      </c>
      <c r="Z1819" t="n">
        <v>261</v>
      </c>
      <c r="AA1819" t="n">
        <v>288</v>
      </c>
      <c r="AB1819" t="n">
        <v>2</v>
      </c>
      <c r="AC1819" t="n">
        <v>2</v>
      </c>
      <c r="AD1819" t="n">
        <v>12</v>
      </c>
      <c r="AE1819" t="n">
        <v>12</v>
      </c>
      <c r="AF1819" t="n">
        <v>2</v>
      </c>
      <c r="AG1819" t="n">
        <v>2</v>
      </c>
      <c r="AH1819" t="n">
        <v>3</v>
      </c>
      <c r="AI1819" t="n">
        <v>3</v>
      </c>
      <c r="AJ1819" t="n">
        <v>9</v>
      </c>
      <c r="AK1819" t="n">
        <v>9</v>
      </c>
      <c r="AL1819" t="n">
        <v>1</v>
      </c>
      <c r="AM1819" t="n">
        <v>1</v>
      </c>
      <c r="AN1819" t="n">
        <v>0</v>
      </c>
      <c r="AO1819" t="n">
        <v>0</v>
      </c>
      <c r="AP1819" t="inlineStr">
        <is>
          <t>No</t>
        </is>
      </c>
      <c r="AQ1819" t="inlineStr">
        <is>
          <t>Yes</t>
        </is>
      </c>
      <c r="AR1819">
        <f>HYPERLINK("http://catalog.hathitrust.org/Record/001940861","HathiTrust Record")</f>
        <v/>
      </c>
      <c r="AS1819">
        <f>HYPERLINK("https://creighton-primo.hosted.exlibrisgroup.com/primo-explore/search?tab=default_tab&amp;search_scope=EVERYTHING&amp;vid=01CRU&amp;lang=en_US&amp;offset=0&amp;query=any,contains,991000148669702656","Catalog Record")</f>
        <v/>
      </c>
      <c r="AT1819">
        <f>HYPERLINK("http://www.worldcat.org/oclc/59597","WorldCat Record")</f>
        <v/>
      </c>
      <c r="AU1819" t="inlineStr">
        <is>
          <t>422205431:eng</t>
        </is>
      </c>
      <c r="AV1819" t="inlineStr">
        <is>
          <t>59597</t>
        </is>
      </c>
      <c r="AW1819" t="inlineStr">
        <is>
          <t>991000148669702656</t>
        </is>
      </c>
      <c r="AX1819" t="inlineStr">
        <is>
          <t>991000148669702656</t>
        </is>
      </c>
      <c r="AY1819" t="inlineStr">
        <is>
          <t>2260421520002656</t>
        </is>
      </c>
      <c r="AZ1819" t="inlineStr">
        <is>
          <t>BOOK</t>
        </is>
      </c>
      <c r="BC1819" t="inlineStr">
        <is>
          <t>32285000834241</t>
        </is>
      </c>
      <c r="BD1819" t="inlineStr">
        <is>
          <t>893243037</t>
        </is>
      </c>
    </row>
    <row r="1820">
      <c r="A1820" t="inlineStr">
        <is>
          <t>No</t>
        </is>
      </c>
      <c r="B1820" t="inlineStr">
        <is>
          <t>BX3653.U6 W39 1976</t>
        </is>
      </c>
      <c r="C1820" t="inlineStr">
        <is>
          <t>0                      BX 3653000U  6                  W  39          1976</t>
        </is>
      </c>
      <c r="D1820" t="inlineStr">
        <is>
          <t>Brothers of light, brothers of blood : the Penitentes of the Southwest / Marta Weigle.</t>
        </is>
      </c>
      <c r="F1820" t="inlineStr">
        <is>
          <t>No</t>
        </is>
      </c>
      <c r="G1820" t="inlineStr">
        <is>
          <t>1</t>
        </is>
      </c>
      <c r="H1820" t="inlineStr">
        <is>
          <t>No</t>
        </is>
      </c>
      <c r="I1820" t="inlineStr">
        <is>
          <t>No</t>
        </is>
      </c>
      <c r="J1820" t="inlineStr">
        <is>
          <t>0</t>
        </is>
      </c>
      <c r="K1820" t="inlineStr">
        <is>
          <t>Weigle, Marta.</t>
        </is>
      </c>
      <c r="L1820" t="inlineStr">
        <is>
          <t>Albuquerque : University of New Mexico Press, c1976.</t>
        </is>
      </c>
      <c r="M1820" t="inlineStr">
        <is>
          <t>1976</t>
        </is>
      </c>
      <c r="N1820" t="inlineStr">
        <is>
          <t>1st ed.</t>
        </is>
      </c>
      <c r="O1820" t="inlineStr">
        <is>
          <t>eng</t>
        </is>
      </c>
      <c r="P1820" t="inlineStr">
        <is>
          <t>nmu</t>
        </is>
      </c>
      <c r="R1820" t="inlineStr">
        <is>
          <t xml:space="preserve">BX </t>
        </is>
      </c>
      <c r="S1820" t="n">
        <v>2</v>
      </c>
      <c r="T1820" t="n">
        <v>2</v>
      </c>
      <c r="U1820" t="inlineStr">
        <is>
          <t>2008-12-18</t>
        </is>
      </c>
      <c r="V1820" t="inlineStr">
        <is>
          <t>2008-12-18</t>
        </is>
      </c>
      <c r="W1820" t="inlineStr">
        <is>
          <t>1990-06-01</t>
        </is>
      </c>
      <c r="X1820" t="inlineStr">
        <is>
          <t>1990-06-01</t>
        </is>
      </c>
      <c r="Y1820" t="n">
        <v>533</v>
      </c>
      <c r="Z1820" t="n">
        <v>497</v>
      </c>
      <c r="AA1820" t="n">
        <v>568</v>
      </c>
      <c r="AB1820" t="n">
        <v>6</v>
      </c>
      <c r="AC1820" t="n">
        <v>6</v>
      </c>
      <c r="AD1820" t="n">
        <v>23</v>
      </c>
      <c r="AE1820" t="n">
        <v>28</v>
      </c>
      <c r="AF1820" t="n">
        <v>7</v>
      </c>
      <c r="AG1820" t="n">
        <v>10</v>
      </c>
      <c r="AH1820" t="n">
        <v>6</v>
      </c>
      <c r="AI1820" t="n">
        <v>7</v>
      </c>
      <c r="AJ1820" t="n">
        <v>12</v>
      </c>
      <c r="AK1820" t="n">
        <v>15</v>
      </c>
      <c r="AL1820" t="n">
        <v>4</v>
      </c>
      <c r="AM1820" t="n">
        <v>4</v>
      </c>
      <c r="AN1820" t="n">
        <v>0</v>
      </c>
      <c r="AO1820" t="n">
        <v>0</v>
      </c>
      <c r="AP1820" t="inlineStr">
        <is>
          <t>No</t>
        </is>
      </c>
      <c r="AQ1820" t="inlineStr">
        <is>
          <t>Yes</t>
        </is>
      </c>
      <c r="AR1820">
        <f>HYPERLINK("http://catalog.hathitrust.org/Record/000721206","HathiTrust Record")</f>
        <v/>
      </c>
      <c r="AS1820">
        <f>HYPERLINK("https://creighton-primo.hosted.exlibrisgroup.com/primo-explore/search?tab=default_tab&amp;search_scope=EVERYTHING&amp;vid=01CRU&amp;lang=en_US&amp;offset=0&amp;query=any,contains,991004007569702656","Catalog Record")</f>
        <v/>
      </c>
      <c r="AT1820">
        <f>HYPERLINK("http://www.worldcat.org/oclc/2088987","WorldCat Record")</f>
        <v/>
      </c>
      <c r="AU1820" t="inlineStr">
        <is>
          <t>2954213:eng</t>
        </is>
      </c>
      <c r="AV1820" t="inlineStr">
        <is>
          <t>2088987</t>
        </is>
      </c>
      <c r="AW1820" t="inlineStr">
        <is>
          <t>991004007569702656</t>
        </is>
      </c>
      <c r="AX1820" t="inlineStr">
        <is>
          <t>991004007569702656</t>
        </is>
      </c>
      <c r="AY1820" t="inlineStr">
        <is>
          <t>2260844910002656</t>
        </is>
      </c>
      <c r="AZ1820" t="inlineStr">
        <is>
          <t>BOOK</t>
        </is>
      </c>
      <c r="BC1820" t="inlineStr">
        <is>
          <t>32285000169564</t>
        </is>
      </c>
      <c r="BD1820" t="inlineStr">
        <is>
          <t>893318688</t>
        </is>
      </c>
    </row>
    <row r="1821">
      <c r="A1821" t="inlineStr">
        <is>
          <t>No</t>
        </is>
      </c>
      <c r="B1821" t="inlineStr">
        <is>
          <t>BX3653.U6 W4 1970</t>
        </is>
      </c>
      <c r="C1821" t="inlineStr">
        <is>
          <t>0                      BX 3653000U  6                  W  4           1970</t>
        </is>
      </c>
      <c r="D1821" t="inlineStr">
        <is>
          <t>The Penitentes of the Southwest / by Marta Weigle. With etchings by Eli Levin.</t>
        </is>
      </c>
      <c r="F1821" t="inlineStr">
        <is>
          <t>No</t>
        </is>
      </c>
      <c r="G1821" t="inlineStr">
        <is>
          <t>1</t>
        </is>
      </c>
      <c r="H1821" t="inlineStr">
        <is>
          <t>No</t>
        </is>
      </c>
      <c r="I1821" t="inlineStr">
        <is>
          <t>No</t>
        </is>
      </c>
      <c r="J1821" t="inlineStr">
        <is>
          <t>0</t>
        </is>
      </c>
      <c r="K1821" t="inlineStr">
        <is>
          <t>Weigle, Marta.</t>
        </is>
      </c>
      <c r="L1821" t="inlineStr">
        <is>
          <t>Santa Fe, N.M. : Ancient City Press, [1970]</t>
        </is>
      </c>
      <c r="M1821" t="inlineStr">
        <is>
          <t>1970</t>
        </is>
      </c>
      <c r="O1821" t="inlineStr">
        <is>
          <t>eng</t>
        </is>
      </c>
      <c r="P1821" t="inlineStr">
        <is>
          <t>nmu</t>
        </is>
      </c>
      <c r="R1821" t="inlineStr">
        <is>
          <t xml:space="preserve">BX </t>
        </is>
      </c>
      <c r="S1821" t="n">
        <v>4</v>
      </c>
      <c r="T1821" t="n">
        <v>4</v>
      </c>
      <c r="U1821" t="inlineStr">
        <is>
          <t>2009-01-16</t>
        </is>
      </c>
      <c r="V1821" t="inlineStr">
        <is>
          <t>2009-01-16</t>
        </is>
      </c>
      <c r="W1821" t="inlineStr">
        <is>
          <t>1990-06-01</t>
        </is>
      </c>
      <c r="X1821" t="inlineStr">
        <is>
          <t>1990-06-01</t>
        </is>
      </c>
      <c r="Y1821" t="n">
        <v>293</v>
      </c>
      <c r="Z1821" t="n">
        <v>288</v>
      </c>
      <c r="AA1821" t="n">
        <v>292</v>
      </c>
      <c r="AB1821" t="n">
        <v>2</v>
      </c>
      <c r="AC1821" t="n">
        <v>2</v>
      </c>
      <c r="AD1821" t="n">
        <v>10</v>
      </c>
      <c r="AE1821" t="n">
        <v>10</v>
      </c>
      <c r="AF1821" t="n">
        <v>3</v>
      </c>
      <c r="AG1821" t="n">
        <v>3</v>
      </c>
      <c r="AH1821" t="n">
        <v>1</v>
      </c>
      <c r="AI1821" t="n">
        <v>1</v>
      </c>
      <c r="AJ1821" t="n">
        <v>8</v>
      </c>
      <c r="AK1821" t="n">
        <v>8</v>
      </c>
      <c r="AL1821" t="n">
        <v>1</v>
      </c>
      <c r="AM1821" t="n">
        <v>1</v>
      </c>
      <c r="AN1821" t="n">
        <v>0</v>
      </c>
      <c r="AO1821" t="n">
        <v>0</v>
      </c>
      <c r="AP1821" t="inlineStr">
        <is>
          <t>No</t>
        </is>
      </c>
      <c r="AQ1821" t="inlineStr">
        <is>
          <t>Yes</t>
        </is>
      </c>
      <c r="AR1821">
        <f>HYPERLINK("http://catalog.hathitrust.org/Record/002542813","HathiTrust Record")</f>
        <v/>
      </c>
      <c r="AS1821">
        <f>HYPERLINK("https://creighton-primo.hosted.exlibrisgroup.com/primo-explore/search?tab=default_tab&amp;search_scope=EVERYTHING&amp;vid=01CRU&amp;lang=en_US&amp;offset=0&amp;query=any,contains,991000680369702656","Catalog Record")</f>
        <v/>
      </c>
      <c r="AT1821">
        <f>HYPERLINK("http://www.worldcat.org/oclc/121582","WorldCat Record")</f>
        <v/>
      </c>
      <c r="AU1821" t="inlineStr">
        <is>
          <t>1243401:eng</t>
        </is>
      </c>
      <c r="AV1821" t="inlineStr">
        <is>
          <t>121582</t>
        </is>
      </c>
      <c r="AW1821" t="inlineStr">
        <is>
          <t>991000680369702656</t>
        </is>
      </c>
      <c r="AX1821" t="inlineStr">
        <is>
          <t>991000680369702656</t>
        </is>
      </c>
      <c r="AY1821" t="inlineStr">
        <is>
          <t>2262287330002656</t>
        </is>
      </c>
      <c r="AZ1821" t="inlineStr">
        <is>
          <t>BOOK</t>
        </is>
      </c>
      <c r="BC1821" t="inlineStr">
        <is>
          <t>32285000181312</t>
        </is>
      </c>
      <c r="BD1821" t="inlineStr">
        <is>
          <t>893333683</t>
        </is>
      </c>
    </row>
    <row r="1822">
      <c r="A1822" t="inlineStr">
        <is>
          <t>No</t>
        </is>
      </c>
      <c r="B1822" t="inlineStr">
        <is>
          <t>BX3655 .B5 1943</t>
        </is>
      </c>
      <c r="C1822" t="inlineStr">
        <is>
          <t>0                      BX 3655000B  5           1943</t>
        </is>
      </c>
      <c r="D1822" t="inlineStr">
        <is>
          <t>The saints and blessed of the Third order of Saint Francis / by Louis Biersack, O. F. M. CAP.</t>
        </is>
      </c>
      <c r="F1822" t="inlineStr">
        <is>
          <t>No</t>
        </is>
      </c>
      <c r="G1822" t="inlineStr">
        <is>
          <t>1</t>
        </is>
      </c>
      <c r="H1822" t="inlineStr">
        <is>
          <t>No</t>
        </is>
      </c>
      <c r="I1822" t="inlineStr">
        <is>
          <t>No</t>
        </is>
      </c>
      <c r="J1822" t="inlineStr">
        <is>
          <t>0</t>
        </is>
      </c>
      <c r="K1822" t="inlineStr">
        <is>
          <t>Biersack, Louis, 1894-</t>
        </is>
      </c>
      <c r="L1822" t="inlineStr">
        <is>
          <t>Paterson, N. J. : Saint Anthony guild press, 1943.</t>
        </is>
      </c>
      <c r="M1822" t="inlineStr">
        <is>
          <t>1943</t>
        </is>
      </c>
      <c r="O1822" t="inlineStr">
        <is>
          <t>eng</t>
        </is>
      </c>
      <c r="P1822" t="inlineStr">
        <is>
          <t>nju</t>
        </is>
      </c>
      <c r="R1822" t="inlineStr">
        <is>
          <t xml:space="preserve">BX </t>
        </is>
      </c>
      <c r="S1822" t="n">
        <v>3</v>
      </c>
      <c r="T1822" t="n">
        <v>3</v>
      </c>
      <c r="U1822" t="inlineStr">
        <is>
          <t>2007-07-16</t>
        </is>
      </c>
      <c r="V1822" t="inlineStr">
        <is>
          <t>2007-07-16</t>
        </is>
      </c>
      <c r="W1822" t="inlineStr">
        <is>
          <t>1991-11-11</t>
        </is>
      </c>
      <c r="X1822" t="inlineStr">
        <is>
          <t>1991-11-11</t>
        </is>
      </c>
      <c r="Y1822" t="n">
        <v>87</v>
      </c>
      <c r="Z1822" t="n">
        <v>79</v>
      </c>
      <c r="AA1822" t="n">
        <v>81</v>
      </c>
      <c r="AB1822" t="n">
        <v>2</v>
      </c>
      <c r="AC1822" t="n">
        <v>2</v>
      </c>
      <c r="AD1822" t="n">
        <v>11</v>
      </c>
      <c r="AE1822" t="n">
        <v>11</v>
      </c>
      <c r="AF1822" t="n">
        <v>2</v>
      </c>
      <c r="AG1822" t="n">
        <v>2</v>
      </c>
      <c r="AH1822" t="n">
        <v>3</v>
      </c>
      <c r="AI1822" t="n">
        <v>3</v>
      </c>
      <c r="AJ1822" t="n">
        <v>8</v>
      </c>
      <c r="AK1822" t="n">
        <v>8</v>
      </c>
      <c r="AL1822" t="n">
        <v>0</v>
      </c>
      <c r="AM1822" t="n">
        <v>0</v>
      </c>
      <c r="AN1822" t="n">
        <v>0</v>
      </c>
      <c r="AO1822" t="n">
        <v>0</v>
      </c>
      <c r="AP1822" t="inlineStr">
        <is>
          <t>Yes</t>
        </is>
      </c>
      <c r="AQ1822" t="inlineStr">
        <is>
          <t>No</t>
        </is>
      </c>
      <c r="AR1822">
        <f>HYPERLINK("http://catalog.hathitrust.org/Record/102673735","HathiTrust Record")</f>
        <v/>
      </c>
      <c r="AS1822">
        <f>HYPERLINK("https://creighton-primo.hosted.exlibrisgroup.com/primo-explore/search?tab=default_tab&amp;search_scope=EVERYTHING&amp;vid=01CRU&amp;lang=en_US&amp;offset=0&amp;query=any,contains,991004588019702656","Catalog Record")</f>
        <v/>
      </c>
      <c r="AT1822">
        <f>HYPERLINK("http://www.worldcat.org/oclc/4100502","WorldCat Record")</f>
        <v/>
      </c>
      <c r="AU1822" t="inlineStr">
        <is>
          <t>14478345:eng</t>
        </is>
      </c>
      <c r="AV1822" t="inlineStr">
        <is>
          <t>4100502</t>
        </is>
      </c>
      <c r="AW1822" t="inlineStr">
        <is>
          <t>991004588019702656</t>
        </is>
      </c>
      <c r="AX1822" t="inlineStr">
        <is>
          <t>991004588019702656</t>
        </is>
      </c>
      <c r="AY1822" t="inlineStr">
        <is>
          <t>2271681970002656</t>
        </is>
      </c>
      <c r="AZ1822" t="inlineStr">
        <is>
          <t>BOOK</t>
        </is>
      </c>
      <c r="BC1822" t="inlineStr">
        <is>
          <t>32285000834258</t>
        </is>
      </c>
      <c r="BD1822" t="inlineStr">
        <is>
          <t>893507009</t>
        </is>
      </c>
    </row>
    <row r="1823">
      <c r="A1823" t="inlineStr">
        <is>
          <t>No</t>
        </is>
      </c>
      <c r="B1823" t="inlineStr">
        <is>
          <t>BX3702 .D38 1940</t>
        </is>
      </c>
      <c r="C1823" t="inlineStr">
        <is>
          <t>0                      BX 3702000D  38          1940</t>
        </is>
      </c>
      <c r="D1823" t="inlineStr">
        <is>
          <t>The Jesuit in focus.</t>
        </is>
      </c>
      <c r="F1823" t="inlineStr">
        <is>
          <t>No</t>
        </is>
      </c>
      <c r="G1823" t="inlineStr">
        <is>
          <t>2</t>
        </is>
      </c>
      <c r="H1823" t="inlineStr">
        <is>
          <t>No</t>
        </is>
      </c>
      <c r="I1823" t="inlineStr">
        <is>
          <t>No</t>
        </is>
      </c>
      <c r="J1823" t="inlineStr">
        <is>
          <t>0</t>
        </is>
      </c>
      <c r="K1823" t="inlineStr">
        <is>
          <t>Daly, James J. (James Jeremiah), 1872-1953.</t>
        </is>
      </c>
      <c r="L1823" t="inlineStr">
        <is>
          <t>Milwaukee : Bruce, [c1940]</t>
        </is>
      </c>
      <c r="M1823" t="inlineStr">
        <is>
          <t>1940</t>
        </is>
      </c>
      <c r="O1823" t="inlineStr">
        <is>
          <t>eng</t>
        </is>
      </c>
      <c r="P1823" t="inlineStr">
        <is>
          <t xml:space="preserve">xx </t>
        </is>
      </c>
      <c r="Q1823" t="inlineStr">
        <is>
          <t>Science and culture series</t>
        </is>
      </c>
      <c r="R1823" t="inlineStr">
        <is>
          <t xml:space="preserve">BX </t>
        </is>
      </c>
      <c r="S1823" t="n">
        <v>2</v>
      </c>
      <c r="T1823" t="n">
        <v>2</v>
      </c>
      <c r="U1823" t="inlineStr">
        <is>
          <t>2009-04-15</t>
        </is>
      </c>
      <c r="V1823" t="inlineStr">
        <is>
          <t>2009-04-15</t>
        </is>
      </c>
      <c r="W1823" t="inlineStr">
        <is>
          <t>1991-11-11</t>
        </is>
      </c>
      <c r="X1823" t="inlineStr">
        <is>
          <t>1991-11-11</t>
        </is>
      </c>
      <c r="Y1823" t="n">
        <v>180</v>
      </c>
      <c r="Z1823" t="n">
        <v>167</v>
      </c>
      <c r="AA1823" t="n">
        <v>173</v>
      </c>
      <c r="AB1823" t="n">
        <v>3</v>
      </c>
      <c r="AC1823" t="n">
        <v>3</v>
      </c>
      <c r="AD1823" t="n">
        <v>29</v>
      </c>
      <c r="AE1823" t="n">
        <v>29</v>
      </c>
      <c r="AF1823" t="n">
        <v>8</v>
      </c>
      <c r="AG1823" t="n">
        <v>8</v>
      </c>
      <c r="AH1823" t="n">
        <v>7</v>
      </c>
      <c r="AI1823" t="n">
        <v>7</v>
      </c>
      <c r="AJ1823" t="n">
        <v>25</v>
      </c>
      <c r="AK1823" t="n">
        <v>25</v>
      </c>
      <c r="AL1823" t="n">
        <v>0</v>
      </c>
      <c r="AM1823" t="n">
        <v>0</v>
      </c>
      <c r="AN1823" t="n">
        <v>0</v>
      </c>
      <c r="AO1823" t="n">
        <v>0</v>
      </c>
      <c r="AP1823" t="inlineStr">
        <is>
          <t>No</t>
        </is>
      </c>
      <c r="AQ1823" t="inlineStr">
        <is>
          <t>Yes</t>
        </is>
      </c>
      <c r="AR1823">
        <f>HYPERLINK("http://catalog.hathitrust.org/Record/101695815","HathiTrust Record")</f>
        <v/>
      </c>
      <c r="AS1823">
        <f>HYPERLINK("https://creighton-primo.hosted.exlibrisgroup.com/primo-explore/search?tab=default_tab&amp;search_scope=EVERYTHING&amp;vid=01CRU&amp;lang=en_US&amp;offset=0&amp;query=any,contains,991003639779702656","Catalog Record")</f>
        <v/>
      </c>
      <c r="AT1823">
        <f>HYPERLINK("http://www.worldcat.org/oclc/1236027","WorldCat Record")</f>
        <v/>
      </c>
      <c r="AU1823" t="inlineStr">
        <is>
          <t>2482986269:eng</t>
        </is>
      </c>
      <c r="AV1823" t="inlineStr">
        <is>
          <t>1236027</t>
        </is>
      </c>
      <c r="AW1823" t="inlineStr">
        <is>
          <t>991003639779702656</t>
        </is>
      </c>
      <c r="AX1823" t="inlineStr">
        <is>
          <t>991003639779702656</t>
        </is>
      </c>
      <c r="AY1823" t="inlineStr">
        <is>
          <t>2265870050002656</t>
        </is>
      </c>
      <c r="AZ1823" t="inlineStr">
        <is>
          <t>BOOK</t>
        </is>
      </c>
      <c r="BC1823" t="inlineStr">
        <is>
          <t>32285000851336</t>
        </is>
      </c>
      <c r="BD1823" t="inlineStr">
        <is>
          <t>893531406</t>
        </is>
      </c>
    </row>
    <row r="1824">
      <c r="A1824" t="inlineStr">
        <is>
          <t>No</t>
        </is>
      </c>
      <c r="B1824" t="inlineStr">
        <is>
          <t>BX3702 .G6 1930</t>
        </is>
      </c>
      <c r="C1824" t="inlineStr">
        <is>
          <t>0                      BX 3702000G  6           1930</t>
        </is>
      </c>
      <c r="D1824" t="inlineStr">
        <is>
          <t>The Jesuits / by the Most Reverend Alban Goodier ; with an introduction by Wilfrid Parsons, S. J.</t>
        </is>
      </c>
      <c r="F1824" t="inlineStr">
        <is>
          <t>No</t>
        </is>
      </c>
      <c r="G1824" t="inlineStr">
        <is>
          <t>1</t>
        </is>
      </c>
      <c r="H1824" t="inlineStr">
        <is>
          <t>No</t>
        </is>
      </c>
      <c r="I1824" t="inlineStr">
        <is>
          <t>No</t>
        </is>
      </c>
      <c r="J1824" t="inlineStr">
        <is>
          <t>0</t>
        </is>
      </c>
      <c r="K1824" t="inlineStr">
        <is>
          <t>Goodier, Alban, 1869-1939.</t>
        </is>
      </c>
      <c r="L1824" t="inlineStr">
        <is>
          <t>New York : The Macmillan company, 1930.</t>
        </is>
      </c>
      <c r="M1824" t="inlineStr">
        <is>
          <t>1930</t>
        </is>
      </c>
      <c r="O1824" t="inlineStr">
        <is>
          <t>eng</t>
        </is>
      </c>
      <c r="P1824" t="inlineStr">
        <is>
          <t xml:space="preserve">xx </t>
        </is>
      </c>
      <c r="Q1824" t="inlineStr">
        <is>
          <t>The "Many mansions" series</t>
        </is>
      </c>
      <c r="R1824" t="inlineStr">
        <is>
          <t xml:space="preserve">BX </t>
        </is>
      </c>
      <c r="S1824" t="n">
        <v>6</v>
      </c>
      <c r="T1824" t="n">
        <v>6</v>
      </c>
      <c r="U1824" t="inlineStr">
        <is>
          <t>1999-09-27</t>
        </is>
      </c>
      <c r="V1824" t="inlineStr">
        <is>
          <t>1999-09-27</t>
        </is>
      </c>
      <c r="W1824" t="inlineStr">
        <is>
          <t>1991-11-11</t>
        </is>
      </c>
      <c r="X1824" t="inlineStr">
        <is>
          <t>1991-11-11</t>
        </is>
      </c>
      <c r="Y1824" t="n">
        <v>155</v>
      </c>
      <c r="Z1824" t="n">
        <v>149</v>
      </c>
      <c r="AA1824" t="n">
        <v>167</v>
      </c>
      <c r="AB1824" t="n">
        <v>2</v>
      </c>
      <c r="AC1824" t="n">
        <v>3</v>
      </c>
      <c r="AD1824" t="n">
        <v>19</v>
      </c>
      <c r="AE1824" t="n">
        <v>23</v>
      </c>
      <c r="AF1824" t="n">
        <v>7</v>
      </c>
      <c r="AG1824" t="n">
        <v>7</v>
      </c>
      <c r="AH1824" t="n">
        <v>4</v>
      </c>
      <c r="AI1824" t="n">
        <v>5</v>
      </c>
      <c r="AJ1824" t="n">
        <v>16</v>
      </c>
      <c r="AK1824" t="n">
        <v>19</v>
      </c>
      <c r="AL1824" t="n">
        <v>0</v>
      </c>
      <c r="AM1824" t="n">
        <v>0</v>
      </c>
      <c r="AN1824" t="n">
        <v>0</v>
      </c>
      <c r="AO1824" t="n">
        <v>0</v>
      </c>
      <c r="AP1824" t="inlineStr">
        <is>
          <t>No</t>
        </is>
      </c>
      <c r="AQ1824" t="inlineStr">
        <is>
          <t>No</t>
        </is>
      </c>
      <c r="AR1824">
        <f>HYPERLINK("http://catalog.hathitrust.org/Record/000438076","HathiTrust Record")</f>
        <v/>
      </c>
      <c r="AS1824">
        <f>HYPERLINK("https://creighton-primo.hosted.exlibrisgroup.com/primo-explore/search?tab=default_tab&amp;search_scope=EVERYTHING&amp;vid=01CRU&amp;lang=en_US&amp;offset=0&amp;query=any,contains,991003030359702656","Catalog Record")</f>
        <v/>
      </c>
      <c r="AT1824">
        <f>HYPERLINK("http://www.worldcat.org/oclc/593507","WorldCat Record")</f>
        <v/>
      </c>
      <c r="AU1824" t="inlineStr">
        <is>
          <t>1792436:eng</t>
        </is>
      </c>
      <c r="AV1824" t="inlineStr">
        <is>
          <t>593507</t>
        </is>
      </c>
      <c r="AW1824" t="inlineStr">
        <is>
          <t>991003030359702656</t>
        </is>
      </c>
      <c r="AX1824" t="inlineStr">
        <is>
          <t>991003030359702656</t>
        </is>
      </c>
      <c r="AY1824" t="inlineStr">
        <is>
          <t>2264885800002656</t>
        </is>
      </c>
      <c r="AZ1824" t="inlineStr">
        <is>
          <t>BOOK</t>
        </is>
      </c>
      <c r="BC1824" t="inlineStr">
        <is>
          <t>32285000851344</t>
        </is>
      </c>
      <c r="BD1824" t="inlineStr">
        <is>
          <t>893880742</t>
        </is>
      </c>
    </row>
    <row r="1825">
      <c r="A1825" t="inlineStr">
        <is>
          <t>No</t>
        </is>
      </c>
      <c r="B1825" t="inlineStr">
        <is>
          <t>BX3702 .L3 1928</t>
        </is>
      </c>
      <c r="C1825" t="inlineStr">
        <is>
          <t>0                      BX 3702000L  3           1928</t>
        </is>
      </c>
      <c r="D1825" t="inlineStr">
        <is>
          <t>The Jesuits in modern times / by John La Farge, S. J.</t>
        </is>
      </c>
      <c r="F1825" t="inlineStr">
        <is>
          <t>No</t>
        </is>
      </c>
      <c r="G1825" t="inlineStr">
        <is>
          <t>1</t>
        </is>
      </c>
      <c r="H1825" t="inlineStr">
        <is>
          <t>No</t>
        </is>
      </c>
      <c r="I1825" t="inlineStr">
        <is>
          <t>No</t>
        </is>
      </c>
      <c r="J1825" t="inlineStr">
        <is>
          <t>0</t>
        </is>
      </c>
      <c r="K1825" t="inlineStr">
        <is>
          <t>La Farge, John, 1880-1963.</t>
        </is>
      </c>
      <c r="L1825" t="inlineStr">
        <is>
          <t>New York : The America press, 1928.</t>
        </is>
      </c>
      <c r="M1825" t="inlineStr">
        <is>
          <t>1928</t>
        </is>
      </c>
      <c r="O1825" t="inlineStr">
        <is>
          <t>eng</t>
        </is>
      </c>
      <c r="P1825" t="inlineStr">
        <is>
          <t xml:space="preserve">xx </t>
        </is>
      </c>
      <c r="R1825" t="inlineStr">
        <is>
          <t xml:space="preserve">BX </t>
        </is>
      </c>
      <c r="S1825" t="n">
        <v>1</v>
      </c>
      <c r="T1825" t="n">
        <v>1</v>
      </c>
      <c r="U1825" t="inlineStr">
        <is>
          <t>1993-09-24</t>
        </is>
      </c>
      <c r="V1825" t="inlineStr">
        <is>
          <t>1993-09-24</t>
        </is>
      </c>
      <c r="W1825" t="inlineStr">
        <is>
          <t>1991-11-11</t>
        </is>
      </c>
      <c r="X1825" t="inlineStr">
        <is>
          <t>1991-11-11</t>
        </is>
      </c>
      <c r="Y1825" t="n">
        <v>135</v>
      </c>
      <c r="Z1825" t="n">
        <v>120</v>
      </c>
      <c r="AA1825" t="n">
        <v>126</v>
      </c>
      <c r="AB1825" t="n">
        <v>2</v>
      </c>
      <c r="AC1825" t="n">
        <v>2</v>
      </c>
      <c r="AD1825" t="n">
        <v>31</v>
      </c>
      <c r="AE1825" t="n">
        <v>31</v>
      </c>
      <c r="AF1825" t="n">
        <v>11</v>
      </c>
      <c r="AG1825" t="n">
        <v>11</v>
      </c>
      <c r="AH1825" t="n">
        <v>7</v>
      </c>
      <c r="AI1825" t="n">
        <v>7</v>
      </c>
      <c r="AJ1825" t="n">
        <v>25</v>
      </c>
      <c r="AK1825" t="n">
        <v>25</v>
      </c>
      <c r="AL1825" t="n">
        <v>0</v>
      </c>
      <c r="AM1825" t="n">
        <v>0</v>
      </c>
      <c r="AN1825" t="n">
        <v>0</v>
      </c>
      <c r="AO1825" t="n">
        <v>0</v>
      </c>
      <c r="AP1825" t="inlineStr">
        <is>
          <t>Yes</t>
        </is>
      </c>
      <c r="AQ1825" t="inlineStr">
        <is>
          <t>No</t>
        </is>
      </c>
      <c r="AR1825">
        <f>HYPERLINK("http://catalog.hathitrust.org/Record/001940883","HathiTrust Record")</f>
        <v/>
      </c>
      <c r="AS1825">
        <f>HYPERLINK("https://creighton-primo.hosted.exlibrisgroup.com/primo-explore/search?tab=default_tab&amp;search_scope=EVERYTHING&amp;vid=01CRU&amp;lang=en_US&amp;offset=0&amp;query=any,contains,991003023259702656","Catalog Record")</f>
        <v/>
      </c>
      <c r="AT1825">
        <f>HYPERLINK("http://www.worldcat.org/oclc/588162","WorldCat Record")</f>
        <v/>
      </c>
      <c r="AU1825" t="inlineStr">
        <is>
          <t>1760317:eng</t>
        </is>
      </c>
      <c r="AV1825" t="inlineStr">
        <is>
          <t>588162</t>
        </is>
      </c>
      <c r="AW1825" t="inlineStr">
        <is>
          <t>991003023259702656</t>
        </is>
      </c>
      <c r="AX1825" t="inlineStr">
        <is>
          <t>991003023259702656</t>
        </is>
      </c>
      <c r="AY1825" t="inlineStr">
        <is>
          <t>2270304690002656</t>
        </is>
      </c>
      <c r="AZ1825" t="inlineStr">
        <is>
          <t>BOOK</t>
        </is>
      </c>
      <c r="BC1825" t="inlineStr">
        <is>
          <t>32285000851351</t>
        </is>
      </c>
      <c r="BD1825" t="inlineStr">
        <is>
          <t>893623064</t>
        </is>
      </c>
    </row>
    <row r="1826">
      <c r="A1826" t="inlineStr">
        <is>
          <t>No</t>
        </is>
      </c>
      <c r="B1826" t="inlineStr">
        <is>
          <t>BX3702.2 .B36</t>
        </is>
      </c>
      <c r="C1826" t="inlineStr">
        <is>
          <t>0                      BX 3702200B  36</t>
        </is>
      </c>
      <c r="D1826" t="inlineStr">
        <is>
          <t>A bibliographical essay on the history of the Society of Jesus : books in English / William V. Bangert.</t>
        </is>
      </c>
      <c r="F1826" t="inlineStr">
        <is>
          <t>No</t>
        </is>
      </c>
      <c r="G1826" t="inlineStr">
        <is>
          <t>1</t>
        </is>
      </c>
      <c r="H1826" t="inlineStr">
        <is>
          <t>No</t>
        </is>
      </c>
      <c r="I1826" t="inlineStr">
        <is>
          <t>No</t>
        </is>
      </c>
      <c r="J1826" t="inlineStr">
        <is>
          <t>0</t>
        </is>
      </c>
      <c r="K1826" t="inlineStr">
        <is>
          <t>Bangert, William V.</t>
        </is>
      </c>
      <c r="L1826" t="inlineStr">
        <is>
          <t>St. Louis : Institute of Jesuit Sources, 1976.</t>
        </is>
      </c>
      <c r="M1826" t="inlineStr">
        <is>
          <t>1976</t>
        </is>
      </c>
      <c r="O1826" t="inlineStr">
        <is>
          <t>eng</t>
        </is>
      </c>
      <c r="P1826" t="inlineStr">
        <is>
          <t>mou</t>
        </is>
      </c>
      <c r="Q1826" t="inlineStr">
        <is>
          <t>Series IV--Study aids on Jesuit topics ; no. 6</t>
        </is>
      </c>
      <c r="R1826" t="inlineStr">
        <is>
          <t xml:space="preserve">BX </t>
        </is>
      </c>
      <c r="S1826" t="n">
        <v>2</v>
      </c>
      <c r="T1826" t="n">
        <v>2</v>
      </c>
      <c r="U1826" t="inlineStr">
        <is>
          <t>2003-11-25</t>
        </is>
      </c>
      <c r="V1826" t="inlineStr">
        <is>
          <t>2003-11-25</t>
        </is>
      </c>
      <c r="W1826" t="inlineStr">
        <is>
          <t>1991-11-11</t>
        </is>
      </c>
      <c r="X1826" t="inlineStr">
        <is>
          <t>1991-11-11</t>
        </is>
      </c>
      <c r="Y1826" t="n">
        <v>164</v>
      </c>
      <c r="Z1826" t="n">
        <v>130</v>
      </c>
      <c r="AA1826" t="n">
        <v>132</v>
      </c>
      <c r="AB1826" t="n">
        <v>1</v>
      </c>
      <c r="AC1826" t="n">
        <v>1</v>
      </c>
      <c r="AD1826" t="n">
        <v>26</v>
      </c>
      <c r="AE1826" t="n">
        <v>26</v>
      </c>
      <c r="AF1826" t="n">
        <v>9</v>
      </c>
      <c r="AG1826" t="n">
        <v>9</v>
      </c>
      <c r="AH1826" t="n">
        <v>7</v>
      </c>
      <c r="AI1826" t="n">
        <v>7</v>
      </c>
      <c r="AJ1826" t="n">
        <v>22</v>
      </c>
      <c r="AK1826" t="n">
        <v>22</v>
      </c>
      <c r="AL1826" t="n">
        <v>0</v>
      </c>
      <c r="AM1826" t="n">
        <v>0</v>
      </c>
      <c r="AN1826" t="n">
        <v>0</v>
      </c>
      <c r="AO1826" t="n">
        <v>0</v>
      </c>
      <c r="AP1826" t="inlineStr">
        <is>
          <t>No</t>
        </is>
      </c>
      <c r="AQ1826" t="inlineStr">
        <is>
          <t>Yes</t>
        </is>
      </c>
      <c r="AR1826">
        <f>HYPERLINK("http://catalog.hathitrust.org/Record/002955451","HathiTrust Record")</f>
        <v/>
      </c>
      <c r="AS1826">
        <f>HYPERLINK("https://creighton-primo.hosted.exlibrisgroup.com/primo-explore/search?tab=default_tab&amp;search_scope=EVERYTHING&amp;vid=01CRU&amp;lang=en_US&amp;offset=0&amp;query=any,contains,991004125979702656","Catalog Record")</f>
        <v/>
      </c>
      <c r="AT1826">
        <f>HYPERLINK("http://www.worldcat.org/oclc/2459794","WorldCat Record")</f>
        <v/>
      </c>
      <c r="AU1826" t="inlineStr">
        <is>
          <t>899583167:eng</t>
        </is>
      </c>
      <c r="AV1826" t="inlineStr">
        <is>
          <t>2459794</t>
        </is>
      </c>
      <c r="AW1826" t="inlineStr">
        <is>
          <t>991004125979702656</t>
        </is>
      </c>
      <c r="AX1826" t="inlineStr">
        <is>
          <t>991004125979702656</t>
        </is>
      </c>
      <c r="AY1826" t="inlineStr">
        <is>
          <t>2267745120002656</t>
        </is>
      </c>
      <c r="AZ1826" t="inlineStr">
        <is>
          <t>BOOK</t>
        </is>
      </c>
      <c r="BB1826" t="inlineStr">
        <is>
          <t>9780912422169</t>
        </is>
      </c>
      <c r="BC1826" t="inlineStr">
        <is>
          <t>32285000851385</t>
        </is>
      </c>
      <c r="BD1826" t="inlineStr">
        <is>
          <t>893506441</t>
        </is>
      </c>
    </row>
    <row r="1827">
      <c r="A1827" t="inlineStr">
        <is>
          <t>No</t>
        </is>
      </c>
      <c r="B1827" t="inlineStr">
        <is>
          <t>BX3702.2 .H35 1971</t>
        </is>
      </c>
      <c r="C1827" t="inlineStr">
        <is>
          <t>0                      BX 3702200H  35          1971</t>
        </is>
      </c>
      <c r="D1827" t="inlineStr">
        <is>
          <t>Jesuit child / Macdonald Hastings.</t>
        </is>
      </c>
      <c r="F1827" t="inlineStr">
        <is>
          <t>No</t>
        </is>
      </c>
      <c r="G1827" t="inlineStr">
        <is>
          <t>1</t>
        </is>
      </c>
      <c r="H1827" t="inlineStr">
        <is>
          <t>No</t>
        </is>
      </c>
      <c r="I1827" t="inlineStr">
        <is>
          <t>No</t>
        </is>
      </c>
      <c r="J1827" t="inlineStr">
        <is>
          <t>0</t>
        </is>
      </c>
      <c r="K1827" t="inlineStr">
        <is>
          <t>Hastings, Macdonald.</t>
        </is>
      </c>
      <c r="L1827" t="inlineStr">
        <is>
          <t>London : M. Joseph, 1971.</t>
        </is>
      </c>
      <c r="M1827" t="inlineStr">
        <is>
          <t>1971</t>
        </is>
      </c>
      <c r="O1827" t="inlineStr">
        <is>
          <t>eng</t>
        </is>
      </c>
      <c r="P1827" t="inlineStr">
        <is>
          <t>enk</t>
        </is>
      </c>
      <c r="R1827" t="inlineStr">
        <is>
          <t xml:space="preserve">BX </t>
        </is>
      </c>
      <c r="S1827" t="n">
        <v>1</v>
      </c>
      <c r="T1827" t="n">
        <v>1</v>
      </c>
      <c r="U1827" t="inlineStr">
        <is>
          <t>1995-09-08</t>
        </is>
      </c>
      <c r="V1827" t="inlineStr">
        <is>
          <t>1995-09-08</t>
        </is>
      </c>
      <c r="W1827" t="inlineStr">
        <is>
          <t>1991-11-11</t>
        </is>
      </c>
      <c r="X1827" t="inlineStr">
        <is>
          <t>1991-11-11</t>
        </is>
      </c>
      <c r="Y1827" t="n">
        <v>46</v>
      </c>
      <c r="Z1827" t="n">
        <v>10</v>
      </c>
      <c r="AA1827" t="n">
        <v>146</v>
      </c>
      <c r="AB1827" t="n">
        <v>1</v>
      </c>
      <c r="AC1827" t="n">
        <v>1</v>
      </c>
      <c r="AD1827" t="n">
        <v>3</v>
      </c>
      <c r="AE1827" t="n">
        <v>20</v>
      </c>
      <c r="AF1827" t="n">
        <v>1</v>
      </c>
      <c r="AG1827" t="n">
        <v>6</v>
      </c>
      <c r="AH1827" t="n">
        <v>1</v>
      </c>
      <c r="AI1827" t="n">
        <v>4</v>
      </c>
      <c r="AJ1827" t="n">
        <v>3</v>
      </c>
      <c r="AK1827" t="n">
        <v>16</v>
      </c>
      <c r="AL1827" t="n">
        <v>0</v>
      </c>
      <c r="AM1827" t="n">
        <v>0</v>
      </c>
      <c r="AN1827" t="n">
        <v>0</v>
      </c>
      <c r="AO1827" t="n">
        <v>0</v>
      </c>
      <c r="AP1827" t="inlineStr">
        <is>
          <t>No</t>
        </is>
      </c>
      <c r="AQ1827" t="inlineStr">
        <is>
          <t>No</t>
        </is>
      </c>
      <c r="AS1827">
        <f>HYPERLINK("https://creighton-primo.hosted.exlibrisgroup.com/primo-explore/search?tab=default_tab&amp;search_scope=EVERYTHING&amp;vid=01CRU&amp;lang=en_US&amp;offset=0&amp;query=any,contains,991004989069702656","Catalog Record")</f>
        <v/>
      </c>
      <c r="AT1827">
        <f>HYPERLINK("http://www.worldcat.org/oclc/6484926","WorldCat Record")</f>
        <v/>
      </c>
      <c r="AU1827" t="inlineStr">
        <is>
          <t>1504584:eng</t>
        </is>
      </c>
      <c r="AV1827" t="inlineStr">
        <is>
          <t>6484926</t>
        </is>
      </c>
      <c r="AW1827" t="inlineStr">
        <is>
          <t>991004989069702656</t>
        </is>
      </c>
      <c r="AX1827" t="inlineStr">
        <is>
          <t>991004989069702656</t>
        </is>
      </c>
      <c r="AY1827" t="inlineStr">
        <is>
          <t>2272555490002656</t>
        </is>
      </c>
      <c r="AZ1827" t="inlineStr">
        <is>
          <t>BOOK</t>
        </is>
      </c>
      <c r="BB1827" t="inlineStr">
        <is>
          <t>9780718108342</t>
        </is>
      </c>
      <c r="BC1827" t="inlineStr">
        <is>
          <t>32285000851427</t>
        </is>
      </c>
      <c r="BD1827" t="inlineStr">
        <is>
          <t>893501168</t>
        </is>
      </c>
    </row>
    <row r="1828">
      <c r="A1828" t="inlineStr">
        <is>
          <t>No</t>
        </is>
      </c>
      <c r="B1828" t="inlineStr">
        <is>
          <t>BX3702.2 .P65</t>
        </is>
      </c>
      <c r="C1828" t="inlineStr">
        <is>
          <t>0                      BX 3702200P  65</t>
        </is>
      </c>
      <c r="D1828" t="inlineStr">
        <is>
          <t>Bibliography of the history of the Society of Jesus ...</t>
        </is>
      </c>
      <c r="F1828" t="inlineStr">
        <is>
          <t>No</t>
        </is>
      </c>
      <c r="G1828" t="inlineStr">
        <is>
          <t>1</t>
        </is>
      </c>
      <c r="H1828" t="inlineStr">
        <is>
          <t>No</t>
        </is>
      </c>
      <c r="I1828" t="inlineStr">
        <is>
          <t>No</t>
        </is>
      </c>
      <c r="J1828" t="inlineStr">
        <is>
          <t>0</t>
        </is>
      </c>
      <c r="K1828" t="inlineStr">
        <is>
          <t>Polgár, László.</t>
        </is>
      </c>
      <c r="L1828" t="inlineStr">
        <is>
          <t>Rome : Jesuit historical institute ; St. Louis, Mo. : St. Louis University (Romae, Typis Pontificiae Universitatis Gregorianae), 1967.</t>
        </is>
      </c>
      <c r="M1828" t="inlineStr">
        <is>
          <t>1967</t>
        </is>
      </c>
      <c r="O1828" t="inlineStr">
        <is>
          <t>eng</t>
        </is>
      </c>
      <c r="P1828" t="inlineStr">
        <is>
          <t xml:space="preserve">it </t>
        </is>
      </c>
      <c r="Q1828" t="inlineStr">
        <is>
          <t>Sources and studies for the history of the Jesuits ; v. 1</t>
        </is>
      </c>
      <c r="R1828" t="inlineStr">
        <is>
          <t xml:space="preserve">BX </t>
        </is>
      </c>
      <c r="S1828" t="n">
        <v>1</v>
      </c>
      <c r="T1828" t="n">
        <v>1</v>
      </c>
      <c r="U1828" t="inlineStr">
        <is>
          <t>2006-09-01</t>
        </is>
      </c>
      <c r="V1828" t="inlineStr">
        <is>
          <t>2006-09-01</t>
        </is>
      </c>
      <c r="W1828" t="inlineStr">
        <is>
          <t>1990-02-09</t>
        </is>
      </c>
      <c r="X1828" t="inlineStr">
        <is>
          <t>1990-02-09</t>
        </is>
      </c>
      <c r="Y1828" t="n">
        <v>212</v>
      </c>
      <c r="Z1828" t="n">
        <v>146</v>
      </c>
      <c r="AA1828" t="n">
        <v>148</v>
      </c>
      <c r="AB1828" t="n">
        <v>1</v>
      </c>
      <c r="AC1828" t="n">
        <v>1</v>
      </c>
      <c r="AD1828" t="n">
        <v>22</v>
      </c>
      <c r="AE1828" t="n">
        <v>22</v>
      </c>
      <c r="AF1828" t="n">
        <v>5</v>
      </c>
      <c r="AG1828" t="n">
        <v>5</v>
      </c>
      <c r="AH1828" t="n">
        <v>7</v>
      </c>
      <c r="AI1828" t="n">
        <v>7</v>
      </c>
      <c r="AJ1828" t="n">
        <v>18</v>
      </c>
      <c r="AK1828" t="n">
        <v>18</v>
      </c>
      <c r="AL1828" t="n">
        <v>0</v>
      </c>
      <c r="AM1828" t="n">
        <v>0</v>
      </c>
      <c r="AN1828" t="n">
        <v>0</v>
      </c>
      <c r="AO1828" t="n">
        <v>0</v>
      </c>
      <c r="AP1828" t="inlineStr">
        <is>
          <t>No</t>
        </is>
      </c>
      <c r="AQ1828" t="inlineStr">
        <is>
          <t>Yes</t>
        </is>
      </c>
      <c r="AR1828">
        <f>HYPERLINK("http://catalog.hathitrust.org/Record/001192925","HathiTrust Record")</f>
        <v/>
      </c>
      <c r="AS1828">
        <f>HYPERLINK("https://creighton-primo.hosted.exlibrisgroup.com/primo-explore/search?tab=default_tab&amp;search_scope=EVERYTHING&amp;vid=01CRU&amp;lang=en_US&amp;offset=0&amp;query=any,contains,991000160459702656","Catalog Record")</f>
        <v/>
      </c>
      <c r="AT1828">
        <f>HYPERLINK("http://www.worldcat.org/oclc/61346","WorldCat Record")</f>
        <v/>
      </c>
      <c r="AU1828" t="inlineStr">
        <is>
          <t>1222934:eng</t>
        </is>
      </c>
      <c r="AV1828" t="inlineStr">
        <is>
          <t>61346</t>
        </is>
      </c>
      <c r="AW1828" t="inlineStr">
        <is>
          <t>991000160459702656</t>
        </is>
      </c>
      <c r="AX1828" t="inlineStr">
        <is>
          <t>991000160459702656</t>
        </is>
      </c>
      <c r="AY1828" t="inlineStr">
        <is>
          <t>2255276190002656</t>
        </is>
      </c>
      <c r="AZ1828" t="inlineStr">
        <is>
          <t>BOOK</t>
        </is>
      </c>
      <c r="BC1828" t="inlineStr">
        <is>
          <t>32285000009018</t>
        </is>
      </c>
      <c r="BD1828" t="inlineStr">
        <is>
          <t>893790300</t>
        </is>
      </c>
    </row>
    <row r="1829">
      <c r="A1829" t="inlineStr">
        <is>
          <t>No</t>
        </is>
      </c>
      <c r="B1829" t="inlineStr">
        <is>
          <t>BX3702.2 .P66 v...</t>
        </is>
      </c>
      <c r="C1829" t="inlineStr">
        <is>
          <t>0                      BX 3702200P  66                                                      v...</t>
        </is>
      </c>
      <c r="D1829" t="inlineStr">
        <is>
          <t>Bibliographie sur l'histoire de la Compagnie de Jésus, 1901-1980 / [by] László Polgár.</t>
        </is>
      </c>
      <c r="E1829" t="inlineStr">
        <is>
          <t>V. 2 PT. 2</t>
        </is>
      </c>
      <c r="F1829" t="inlineStr">
        <is>
          <t>Yes</t>
        </is>
      </c>
      <c r="G1829" t="inlineStr">
        <is>
          <t>1</t>
        </is>
      </c>
      <c r="H1829" t="inlineStr">
        <is>
          <t>No</t>
        </is>
      </c>
      <c r="I1829" t="inlineStr">
        <is>
          <t>No</t>
        </is>
      </c>
      <c r="J1829" t="inlineStr">
        <is>
          <t>0</t>
        </is>
      </c>
      <c r="K1829" t="inlineStr">
        <is>
          <t>Polgár, László.</t>
        </is>
      </c>
      <c r="L1829" t="inlineStr">
        <is>
          <t>Roma : Institutum Historicum S. I., 1981-</t>
        </is>
      </c>
      <c r="M1829" t="inlineStr">
        <is>
          <t>1981</t>
        </is>
      </c>
      <c r="O1829" t="inlineStr">
        <is>
          <t>fre</t>
        </is>
      </c>
      <c r="P1829" t="inlineStr">
        <is>
          <t xml:space="preserve">it </t>
        </is>
      </c>
      <c r="R1829" t="inlineStr">
        <is>
          <t xml:space="preserve">BX </t>
        </is>
      </c>
      <c r="S1829" t="n">
        <v>2</v>
      </c>
      <c r="T1829" t="n">
        <v>6</v>
      </c>
      <c r="U1829" t="inlineStr">
        <is>
          <t>1993-09-27</t>
        </is>
      </c>
      <c r="V1829" t="inlineStr">
        <is>
          <t>2003-01-08</t>
        </is>
      </c>
      <c r="W1829" t="inlineStr">
        <is>
          <t>1991-11-11</t>
        </is>
      </c>
      <c r="X1829" t="inlineStr">
        <is>
          <t>1991-11-11</t>
        </is>
      </c>
      <c r="Y1829" t="n">
        <v>88</v>
      </c>
      <c r="Z1829" t="n">
        <v>69</v>
      </c>
      <c r="AA1829" t="n">
        <v>72</v>
      </c>
      <c r="AB1829" t="n">
        <v>1</v>
      </c>
      <c r="AC1829" t="n">
        <v>1</v>
      </c>
      <c r="AD1829" t="n">
        <v>14</v>
      </c>
      <c r="AE1829" t="n">
        <v>14</v>
      </c>
      <c r="AF1829" t="n">
        <v>3</v>
      </c>
      <c r="AG1829" t="n">
        <v>3</v>
      </c>
      <c r="AH1829" t="n">
        <v>2</v>
      </c>
      <c r="AI1829" t="n">
        <v>2</v>
      </c>
      <c r="AJ1829" t="n">
        <v>14</v>
      </c>
      <c r="AK1829" t="n">
        <v>14</v>
      </c>
      <c r="AL1829" t="n">
        <v>0</v>
      </c>
      <c r="AM1829" t="n">
        <v>0</v>
      </c>
      <c r="AN1829" t="n">
        <v>0</v>
      </c>
      <c r="AO1829" t="n">
        <v>0</v>
      </c>
      <c r="AP1829" t="inlineStr">
        <is>
          <t>No</t>
        </is>
      </c>
      <c r="AQ1829" t="inlineStr">
        <is>
          <t>Yes</t>
        </is>
      </c>
      <c r="AR1829">
        <f>HYPERLINK("http://catalog.hathitrust.org/Record/000468510","HathiTrust Record")</f>
        <v/>
      </c>
      <c r="AS1829">
        <f>HYPERLINK("https://creighton-primo.hosted.exlibrisgroup.com/primo-explore/search?tab=default_tab&amp;search_scope=EVERYTHING&amp;vid=01CRU&amp;lang=en_US&amp;offset=0&amp;query=any,contains,991005201329702656","Catalog Record")</f>
        <v/>
      </c>
      <c r="AT1829">
        <f>HYPERLINK("http://www.worldcat.org/oclc/8085297","WorldCat Record")</f>
        <v/>
      </c>
      <c r="AU1829" t="inlineStr">
        <is>
          <t>2793962127:fre</t>
        </is>
      </c>
      <c r="AV1829" t="inlineStr">
        <is>
          <t>8085297</t>
        </is>
      </c>
      <c r="AW1829" t="inlineStr">
        <is>
          <t>991005201329702656</t>
        </is>
      </c>
      <c r="AX1829" t="inlineStr">
        <is>
          <t>991005201329702656</t>
        </is>
      </c>
      <c r="AY1829" t="inlineStr">
        <is>
          <t>2257001360002656</t>
        </is>
      </c>
      <c r="AZ1829" t="inlineStr">
        <is>
          <t>BOOK</t>
        </is>
      </c>
      <c r="BB1829" t="inlineStr">
        <is>
          <t>9788870416015</t>
        </is>
      </c>
      <c r="BC1829" t="inlineStr">
        <is>
          <t>32285000851484</t>
        </is>
      </c>
      <c r="BD1829" t="inlineStr">
        <is>
          <t>893701194</t>
        </is>
      </c>
    </row>
    <row r="1830">
      <c r="A1830" t="inlineStr">
        <is>
          <t>No</t>
        </is>
      </c>
      <c r="B1830" t="inlineStr">
        <is>
          <t>BX3702.2 .P66 v...</t>
        </is>
      </c>
      <c r="C1830" t="inlineStr">
        <is>
          <t>0                      BX 3702200P  66                                                      v...</t>
        </is>
      </c>
      <c r="D1830" t="inlineStr">
        <is>
          <t>Bibliographie sur l'histoire de la Compagnie de Jésus, 1901-1980 / [by] László Polgár.</t>
        </is>
      </c>
      <c r="E1830" t="inlineStr">
        <is>
          <t>V. 2 PT. 1</t>
        </is>
      </c>
      <c r="F1830" t="inlineStr">
        <is>
          <t>Yes</t>
        </is>
      </c>
      <c r="G1830" t="inlineStr">
        <is>
          <t>1</t>
        </is>
      </c>
      <c r="H1830" t="inlineStr">
        <is>
          <t>No</t>
        </is>
      </c>
      <c r="I1830" t="inlineStr">
        <is>
          <t>No</t>
        </is>
      </c>
      <c r="J1830" t="inlineStr">
        <is>
          <t>0</t>
        </is>
      </c>
      <c r="K1830" t="inlineStr">
        <is>
          <t>Polgár, László.</t>
        </is>
      </c>
      <c r="L1830" t="inlineStr">
        <is>
          <t>Roma : Institutum Historicum S. I., 1981-</t>
        </is>
      </c>
      <c r="M1830" t="inlineStr">
        <is>
          <t>1981</t>
        </is>
      </c>
      <c r="O1830" t="inlineStr">
        <is>
          <t>fre</t>
        </is>
      </c>
      <c r="P1830" t="inlineStr">
        <is>
          <t xml:space="preserve">it </t>
        </is>
      </c>
      <c r="R1830" t="inlineStr">
        <is>
          <t xml:space="preserve">BX </t>
        </is>
      </c>
      <c r="S1830" t="n">
        <v>0</v>
      </c>
      <c r="T1830" t="n">
        <v>6</v>
      </c>
      <c r="V1830" t="inlineStr">
        <is>
          <t>2003-01-08</t>
        </is>
      </c>
      <c r="W1830" t="inlineStr">
        <is>
          <t>1991-11-11</t>
        </is>
      </c>
      <c r="X1830" t="inlineStr">
        <is>
          <t>1991-11-11</t>
        </is>
      </c>
      <c r="Y1830" t="n">
        <v>88</v>
      </c>
      <c r="Z1830" t="n">
        <v>69</v>
      </c>
      <c r="AA1830" t="n">
        <v>72</v>
      </c>
      <c r="AB1830" t="n">
        <v>1</v>
      </c>
      <c r="AC1830" t="n">
        <v>1</v>
      </c>
      <c r="AD1830" t="n">
        <v>14</v>
      </c>
      <c r="AE1830" t="n">
        <v>14</v>
      </c>
      <c r="AF1830" t="n">
        <v>3</v>
      </c>
      <c r="AG1830" t="n">
        <v>3</v>
      </c>
      <c r="AH1830" t="n">
        <v>2</v>
      </c>
      <c r="AI1830" t="n">
        <v>2</v>
      </c>
      <c r="AJ1830" t="n">
        <v>14</v>
      </c>
      <c r="AK1830" t="n">
        <v>14</v>
      </c>
      <c r="AL1830" t="n">
        <v>0</v>
      </c>
      <c r="AM1830" t="n">
        <v>0</v>
      </c>
      <c r="AN1830" t="n">
        <v>0</v>
      </c>
      <c r="AO1830" t="n">
        <v>0</v>
      </c>
      <c r="AP1830" t="inlineStr">
        <is>
          <t>No</t>
        </is>
      </c>
      <c r="AQ1830" t="inlineStr">
        <is>
          <t>Yes</t>
        </is>
      </c>
      <c r="AR1830">
        <f>HYPERLINK("http://catalog.hathitrust.org/Record/000468510","HathiTrust Record")</f>
        <v/>
      </c>
      <c r="AS1830">
        <f>HYPERLINK("https://creighton-primo.hosted.exlibrisgroup.com/primo-explore/search?tab=default_tab&amp;search_scope=EVERYTHING&amp;vid=01CRU&amp;lang=en_US&amp;offset=0&amp;query=any,contains,991005201329702656","Catalog Record")</f>
        <v/>
      </c>
      <c r="AT1830">
        <f>HYPERLINK("http://www.worldcat.org/oclc/8085297","WorldCat Record")</f>
        <v/>
      </c>
      <c r="AU1830" t="inlineStr">
        <is>
          <t>2793962127:fre</t>
        </is>
      </c>
      <c r="AV1830" t="inlineStr">
        <is>
          <t>8085297</t>
        </is>
      </c>
      <c r="AW1830" t="inlineStr">
        <is>
          <t>991005201329702656</t>
        </is>
      </c>
      <c r="AX1830" t="inlineStr">
        <is>
          <t>991005201329702656</t>
        </is>
      </c>
      <c r="AY1830" t="inlineStr">
        <is>
          <t>2257001360002656</t>
        </is>
      </c>
      <c r="AZ1830" t="inlineStr">
        <is>
          <t>BOOK</t>
        </is>
      </c>
      <c r="BB1830" t="inlineStr">
        <is>
          <t>9788870416015</t>
        </is>
      </c>
      <c r="BC1830" t="inlineStr">
        <is>
          <t>32285000851476</t>
        </is>
      </c>
      <c r="BD1830" t="inlineStr">
        <is>
          <t>893713625</t>
        </is>
      </c>
    </row>
    <row r="1831">
      <c r="A1831" t="inlineStr">
        <is>
          <t>No</t>
        </is>
      </c>
      <c r="B1831" t="inlineStr">
        <is>
          <t>BX3702.2 .P66 v...</t>
        </is>
      </c>
      <c r="C1831" t="inlineStr">
        <is>
          <t>0                      BX 3702200P  66                                                      v...</t>
        </is>
      </c>
      <c r="D1831" t="inlineStr">
        <is>
          <t>Bibliographie sur l'histoire de la Compagnie de Jésus, 1901-1980 / [by] László Polgár.</t>
        </is>
      </c>
      <c r="E1831" t="inlineStr">
        <is>
          <t>V. 3 PT. 1</t>
        </is>
      </c>
      <c r="F1831" t="inlineStr">
        <is>
          <t>Yes</t>
        </is>
      </c>
      <c r="G1831" t="inlineStr">
        <is>
          <t>1</t>
        </is>
      </c>
      <c r="H1831" t="inlineStr">
        <is>
          <t>No</t>
        </is>
      </c>
      <c r="I1831" t="inlineStr">
        <is>
          <t>No</t>
        </is>
      </c>
      <c r="J1831" t="inlineStr">
        <is>
          <t>0</t>
        </is>
      </c>
      <c r="K1831" t="inlineStr">
        <is>
          <t>Polgár, László.</t>
        </is>
      </c>
      <c r="L1831" t="inlineStr">
        <is>
          <t>Roma : Institutum Historicum S. I., 1981-</t>
        </is>
      </c>
      <c r="M1831" t="inlineStr">
        <is>
          <t>1981</t>
        </is>
      </c>
      <c r="O1831" t="inlineStr">
        <is>
          <t>fre</t>
        </is>
      </c>
      <c r="P1831" t="inlineStr">
        <is>
          <t xml:space="preserve">it </t>
        </is>
      </c>
      <c r="R1831" t="inlineStr">
        <is>
          <t xml:space="preserve">BX </t>
        </is>
      </c>
      <c r="S1831" t="n">
        <v>0</v>
      </c>
      <c r="T1831" t="n">
        <v>6</v>
      </c>
      <c r="V1831" t="inlineStr">
        <is>
          <t>2003-01-08</t>
        </is>
      </c>
      <c r="W1831" t="inlineStr">
        <is>
          <t>1991-04-26</t>
        </is>
      </c>
      <c r="X1831" t="inlineStr">
        <is>
          <t>1991-11-11</t>
        </is>
      </c>
      <c r="Y1831" t="n">
        <v>88</v>
      </c>
      <c r="Z1831" t="n">
        <v>69</v>
      </c>
      <c r="AA1831" t="n">
        <v>72</v>
      </c>
      <c r="AB1831" t="n">
        <v>1</v>
      </c>
      <c r="AC1831" t="n">
        <v>1</v>
      </c>
      <c r="AD1831" t="n">
        <v>14</v>
      </c>
      <c r="AE1831" t="n">
        <v>14</v>
      </c>
      <c r="AF1831" t="n">
        <v>3</v>
      </c>
      <c r="AG1831" t="n">
        <v>3</v>
      </c>
      <c r="AH1831" t="n">
        <v>2</v>
      </c>
      <c r="AI1831" t="n">
        <v>2</v>
      </c>
      <c r="AJ1831" t="n">
        <v>14</v>
      </c>
      <c r="AK1831" t="n">
        <v>14</v>
      </c>
      <c r="AL1831" t="n">
        <v>0</v>
      </c>
      <c r="AM1831" t="n">
        <v>0</v>
      </c>
      <c r="AN1831" t="n">
        <v>0</v>
      </c>
      <c r="AO1831" t="n">
        <v>0</v>
      </c>
      <c r="AP1831" t="inlineStr">
        <is>
          <t>No</t>
        </is>
      </c>
      <c r="AQ1831" t="inlineStr">
        <is>
          <t>Yes</t>
        </is>
      </c>
      <c r="AR1831">
        <f>HYPERLINK("http://catalog.hathitrust.org/Record/000468510","HathiTrust Record")</f>
        <v/>
      </c>
      <c r="AS1831">
        <f>HYPERLINK("https://creighton-primo.hosted.exlibrisgroup.com/primo-explore/search?tab=default_tab&amp;search_scope=EVERYTHING&amp;vid=01CRU&amp;lang=en_US&amp;offset=0&amp;query=any,contains,991005201329702656","Catalog Record")</f>
        <v/>
      </c>
      <c r="AT1831">
        <f>HYPERLINK("http://www.worldcat.org/oclc/8085297","WorldCat Record")</f>
        <v/>
      </c>
      <c r="AU1831" t="inlineStr">
        <is>
          <t>2793962127:fre</t>
        </is>
      </c>
      <c r="AV1831" t="inlineStr">
        <is>
          <t>8085297</t>
        </is>
      </c>
      <c r="AW1831" t="inlineStr">
        <is>
          <t>991005201329702656</t>
        </is>
      </c>
      <c r="AX1831" t="inlineStr">
        <is>
          <t>991005201329702656</t>
        </is>
      </c>
      <c r="AY1831" t="inlineStr">
        <is>
          <t>2257001360002656</t>
        </is>
      </c>
      <c r="AZ1831" t="inlineStr">
        <is>
          <t>BOOK</t>
        </is>
      </c>
      <c r="BB1831" t="inlineStr">
        <is>
          <t>9788870416015</t>
        </is>
      </c>
      <c r="BC1831" t="inlineStr">
        <is>
          <t>32285000538925</t>
        </is>
      </c>
      <c r="BD1831" t="inlineStr">
        <is>
          <t>893713624</t>
        </is>
      </c>
    </row>
    <row r="1832">
      <c r="A1832" t="inlineStr">
        <is>
          <t>No</t>
        </is>
      </c>
      <c r="B1832" t="inlineStr">
        <is>
          <t>BX3702.2 .P66 v...</t>
        </is>
      </c>
      <c r="C1832" t="inlineStr">
        <is>
          <t>0                      BX 3702200P  66                                                      v...</t>
        </is>
      </c>
      <c r="D1832" t="inlineStr">
        <is>
          <t>Bibliographie sur l'histoire de la Compagnie de Jésus, 1901-1980 / [by] László Polgár.</t>
        </is>
      </c>
      <c r="E1832" t="inlineStr">
        <is>
          <t>V. 3 PT. 2</t>
        </is>
      </c>
      <c r="F1832" t="inlineStr">
        <is>
          <t>Yes</t>
        </is>
      </c>
      <c r="G1832" t="inlineStr">
        <is>
          <t>1</t>
        </is>
      </c>
      <c r="H1832" t="inlineStr">
        <is>
          <t>No</t>
        </is>
      </c>
      <c r="I1832" t="inlineStr">
        <is>
          <t>No</t>
        </is>
      </c>
      <c r="J1832" t="inlineStr">
        <is>
          <t>0</t>
        </is>
      </c>
      <c r="K1832" t="inlineStr">
        <is>
          <t>Polgár, László.</t>
        </is>
      </c>
      <c r="L1832" t="inlineStr">
        <is>
          <t>Roma : Institutum Historicum S. I., 1981-</t>
        </is>
      </c>
      <c r="M1832" t="inlineStr">
        <is>
          <t>1981</t>
        </is>
      </c>
      <c r="O1832" t="inlineStr">
        <is>
          <t>fre</t>
        </is>
      </c>
      <c r="P1832" t="inlineStr">
        <is>
          <t xml:space="preserve">it </t>
        </is>
      </c>
      <c r="R1832" t="inlineStr">
        <is>
          <t xml:space="preserve">BX </t>
        </is>
      </c>
      <c r="S1832" t="n">
        <v>0</v>
      </c>
      <c r="T1832" t="n">
        <v>6</v>
      </c>
      <c r="V1832" t="inlineStr">
        <is>
          <t>2003-01-08</t>
        </is>
      </c>
      <c r="W1832" t="inlineStr">
        <is>
          <t>1991-04-26</t>
        </is>
      </c>
      <c r="X1832" t="inlineStr">
        <is>
          <t>1991-11-11</t>
        </is>
      </c>
      <c r="Y1832" t="n">
        <v>88</v>
      </c>
      <c r="Z1832" t="n">
        <v>69</v>
      </c>
      <c r="AA1832" t="n">
        <v>72</v>
      </c>
      <c r="AB1832" t="n">
        <v>1</v>
      </c>
      <c r="AC1832" t="n">
        <v>1</v>
      </c>
      <c r="AD1832" t="n">
        <v>14</v>
      </c>
      <c r="AE1832" t="n">
        <v>14</v>
      </c>
      <c r="AF1832" t="n">
        <v>3</v>
      </c>
      <c r="AG1832" t="n">
        <v>3</v>
      </c>
      <c r="AH1832" t="n">
        <v>2</v>
      </c>
      <c r="AI1832" t="n">
        <v>2</v>
      </c>
      <c r="AJ1832" t="n">
        <v>14</v>
      </c>
      <c r="AK1832" t="n">
        <v>14</v>
      </c>
      <c r="AL1832" t="n">
        <v>0</v>
      </c>
      <c r="AM1832" t="n">
        <v>0</v>
      </c>
      <c r="AN1832" t="n">
        <v>0</v>
      </c>
      <c r="AO1832" t="n">
        <v>0</v>
      </c>
      <c r="AP1832" t="inlineStr">
        <is>
          <t>No</t>
        </is>
      </c>
      <c r="AQ1832" t="inlineStr">
        <is>
          <t>Yes</t>
        </is>
      </c>
      <c r="AR1832">
        <f>HYPERLINK("http://catalog.hathitrust.org/Record/000468510","HathiTrust Record")</f>
        <v/>
      </c>
      <c r="AS1832">
        <f>HYPERLINK("https://creighton-primo.hosted.exlibrisgroup.com/primo-explore/search?tab=default_tab&amp;search_scope=EVERYTHING&amp;vid=01CRU&amp;lang=en_US&amp;offset=0&amp;query=any,contains,991005201329702656","Catalog Record")</f>
        <v/>
      </c>
      <c r="AT1832">
        <f>HYPERLINK("http://www.worldcat.org/oclc/8085297","WorldCat Record")</f>
        <v/>
      </c>
      <c r="AU1832" t="inlineStr">
        <is>
          <t>2793962127:fre</t>
        </is>
      </c>
      <c r="AV1832" t="inlineStr">
        <is>
          <t>8085297</t>
        </is>
      </c>
      <c r="AW1832" t="inlineStr">
        <is>
          <t>991005201329702656</t>
        </is>
      </c>
      <c r="AX1832" t="inlineStr">
        <is>
          <t>991005201329702656</t>
        </is>
      </c>
      <c r="AY1832" t="inlineStr">
        <is>
          <t>2257001360002656</t>
        </is>
      </c>
      <c r="AZ1832" t="inlineStr">
        <is>
          <t>BOOK</t>
        </is>
      </c>
      <c r="BB1832" t="inlineStr">
        <is>
          <t>9788870416015</t>
        </is>
      </c>
      <c r="BC1832" t="inlineStr">
        <is>
          <t>32285000538933</t>
        </is>
      </c>
      <c r="BD1832" t="inlineStr">
        <is>
          <t>893713623</t>
        </is>
      </c>
    </row>
    <row r="1833">
      <c r="A1833" t="inlineStr">
        <is>
          <t>No</t>
        </is>
      </c>
      <c r="B1833" t="inlineStr">
        <is>
          <t>BX3702.2 .P66 v...</t>
        </is>
      </c>
      <c r="C1833" t="inlineStr">
        <is>
          <t>0                      BX 3702200P  66                                                      v...</t>
        </is>
      </c>
      <c r="D1833" t="inlineStr">
        <is>
          <t>Bibliographie sur l'histoire de la Compagnie de Jésus, 1901-1980 / [by] László Polgár.</t>
        </is>
      </c>
      <c r="E1833" t="inlineStr">
        <is>
          <t>V. 3 PT. 3</t>
        </is>
      </c>
      <c r="F1833" t="inlineStr">
        <is>
          <t>Yes</t>
        </is>
      </c>
      <c r="G1833" t="inlineStr">
        <is>
          <t>1</t>
        </is>
      </c>
      <c r="H1833" t="inlineStr">
        <is>
          <t>No</t>
        </is>
      </c>
      <c r="I1833" t="inlineStr">
        <is>
          <t>No</t>
        </is>
      </c>
      <c r="J1833" t="inlineStr">
        <is>
          <t>0</t>
        </is>
      </c>
      <c r="K1833" t="inlineStr">
        <is>
          <t>Polgár, László.</t>
        </is>
      </c>
      <c r="L1833" t="inlineStr">
        <is>
          <t>Roma : Institutum Historicum S. I., 1981-</t>
        </is>
      </c>
      <c r="M1833" t="inlineStr">
        <is>
          <t>1981</t>
        </is>
      </c>
      <c r="O1833" t="inlineStr">
        <is>
          <t>fre</t>
        </is>
      </c>
      <c r="P1833" t="inlineStr">
        <is>
          <t xml:space="preserve">it </t>
        </is>
      </c>
      <c r="R1833" t="inlineStr">
        <is>
          <t xml:space="preserve">BX </t>
        </is>
      </c>
      <c r="S1833" t="n">
        <v>0</v>
      </c>
      <c r="T1833" t="n">
        <v>6</v>
      </c>
      <c r="V1833" t="inlineStr">
        <is>
          <t>2003-01-08</t>
        </is>
      </c>
      <c r="W1833" t="inlineStr">
        <is>
          <t>1991-04-26</t>
        </is>
      </c>
      <c r="X1833" t="inlineStr">
        <is>
          <t>1991-11-11</t>
        </is>
      </c>
      <c r="Y1833" t="n">
        <v>88</v>
      </c>
      <c r="Z1833" t="n">
        <v>69</v>
      </c>
      <c r="AA1833" t="n">
        <v>72</v>
      </c>
      <c r="AB1833" t="n">
        <v>1</v>
      </c>
      <c r="AC1833" t="n">
        <v>1</v>
      </c>
      <c r="AD1833" t="n">
        <v>14</v>
      </c>
      <c r="AE1833" t="n">
        <v>14</v>
      </c>
      <c r="AF1833" t="n">
        <v>3</v>
      </c>
      <c r="AG1833" t="n">
        <v>3</v>
      </c>
      <c r="AH1833" t="n">
        <v>2</v>
      </c>
      <c r="AI1833" t="n">
        <v>2</v>
      </c>
      <c r="AJ1833" t="n">
        <v>14</v>
      </c>
      <c r="AK1833" t="n">
        <v>14</v>
      </c>
      <c r="AL1833" t="n">
        <v>0</v>
      </c>
      <c r="AM1833" t="n">
        <v>0</v>
      </c>
      <c r="AN1833" t="n">
        <v>0</v>
      </c>
      <c r="AO1833" t="n">
        <v>0</v>
      </c>
      <c r="AP1833" t="inlineStr">
        <is>
          <t>No</t>
        </is>
      </c>
      <c r="AQ1833" t="inlineStr">
        <is>
          <t>Yes</t>
        </is>
      </c>
      <c r="AR1833">
        <f>HYPERLINK("http://catalog.hathitrust.org/Record/000468510","HathiTrust Record")</f>
        <v/>
      </c>
      <c r="AS1833">
        <f>HYPERLINK("https://creighton-primo.hosted.exlibrisgroup.com/primo-explore/search?tab=default_tab&amp;search_scope=EVERYTHING&amp;vid=01CRU&amp;lang=en_US&amp;offset=0&amp;query=any,contains,991005201329702656","Catalog Record")</f>
        <v/>
      </c>
      <c r="AT1833">
        <f>HYPERLINK("http://www.worldcat.org/oclc/8085297","WorldCat Record")</f>
        <v/>
      </c>
      <c r="AU1833" t="inlineStr">
        <is>
          <t>2793962127:fre</t>
        </is>
      </c>
      <c r="AV1833" t="inlineStr">
        <is>
          <t>8085297</t>
        </is>
      </c>
      <c r="AW1833" t="inlineStr">
        <is>
          <t>991005201329702656</t>
        </is>
      </c>
      <c r="AX1833" t="inlineStr">
        <is>
          <t>991005201329702656</t>
        </is>
      </c>
      <c r="AY1833" t="inlineStr">
        <is>
          <t>2257001360002656</t>
        </is>
      </c>
      <c r="AZ1833" t="inlineStr">
        <is>
          <t>BOOK</t>
        </is>
      </c>
      <c r="BB1833" t="inlineStr">
        <is>
          <t>9788870416015</t>
        </is>
      </c>
      <c r="BC1833" t="inlineStr">
        <is>
          <t>32285000538941</t>
        </is>
      </c>
      <c r="BD1833" t="inlineStr">
        <is>
          <t>893713622</t>
        </is>
      </c>
    </row>
    <row r="1834">
      <c r="A1834" t="inlineStr">
        <is>
          <t>No</t>
        </is>
      </c>
      <c r="B1834" t="inlineStr">
        <is>
          <t>BX3702.2 .P66 v...</t>
        </is>
      </c>
      <c r="C1834" t="inlineStr">
        <is>
          <t>0                      BX 3702200P  66                                                      v...</t>
        </is>
      </c>
      <c r="D1834" t="inlineStr">
        <is>
          <t>Bibliographie sur l'histoire de la Compagnie de Jésus, 1901-1980 / [by] László Polgár.</t>
        </is>
      </c>
      <c r="E1834" t="inlineStr">
        <is>
          <t>V. 1</t>
        </is>
      </c>
      <c r="F1834" t="inlineStr">
        <is>
          <t>Yes</t>
        </is>
      </c>
      <c r="G1834" t="inlineStr">
        <is>
          <t>1</t>
        </is>
      </c>
      <c r="H1834" t="inlineStr">
        <is>
          <t>No</t>
        </is>
      </c>
      <c r="I1834" t="inlineStr">
        <is>
          <t>No</t>
        </is>
      </c>
      <c r="J1834" t="inlineStr">
        <is>
          <t>0</t>
        </is>
      </c>
      <c r="K1834" t="inlineStr">
        <is>
          <t>Polgár, László.</t>
        </is>
      </c>
      <c r="L1834" t="inlineStr">
        <is>
          <t>Roma : Institutum Historicum S. I., 1981-</t>
        </is>
      </c>
      <c r="M1834" t="inlineStr">
        <is>
          <t>1981</t>
        </is>
      </c>
      <c r="O1834" t="inlineStr">
        <is>
          <t>fre</t>
        </is>
      </c>
      <c r="P1834" t="inlineStr">
        <is>
          <t xml:space="preserve">it </t>
        </is>
      </c>
      <c r="R1834" t="inlineStr">
        <is>
          <t xml:space="preserve">BX </t>
        </is>
      </c>
      <c r="S1834" t="n">
        <v>4</v>
      </c>
      <c r="T1834" t="n">
        <v>6</v>
      </c>
      <c r="U1834" t="inlineStr">
        <is>
          <t>2003-01-08</t>
        </is>
      </c>
      <c r="V1834" t="inlineStr">
        <is>
          <t>2003-01-08</t>
        </is>
      </c>
      <c r="W1834" t="inlineStr">
        <is>
          <t>1991-11-11</t>
        </is>
      </c>
      <c r="X1834" t="inlineStr">
        <is>
          <t>1991-11-11</t>
        </is>
      </c>
      <c r="Y1834" t="n">
        <v>88</v>
      </c>
      <c r="Z1834" t="n">
        <v>69</v>
      </c>
      <c r="AA1834" t="n">
        <v>72</v>
      </c>
      <c r="AB1834" t="n">
        <v>1</v>
      </c>
      <c r="AC1834" t="n">
        <v>1</v>
      </c>
      <c r="AD1834" t="n">
        <v>14</v>
      </c>
      <c r="AE1834" t="n">
        <v>14</v>
      </c>
      <c r="AF1834" t="n">
        <v>3</v>
      </c>
      <c r="AG1834" t="n">
        <v>3</v>
      </c>
      <c r="AH1834" t="n">
        <v>2</v>
      </c>
      <c r="AI1834" t="n">
        <v>2</v>
      </c>
      <c r="AJ1834" t="n">
        <v>14</v>
      </c>
      <c r="AK1834" t="n">
        <v>14</v>
      </c>
      <c r="AL1834" t="n">
        <v>0</v>
      </c>
      <c r="AM1834" t="n">
        <v>0</v>
      </c>
      <c r="AN1834" t="n">
        <v>0</v>
      </c>
      <c r="AO1834" t="n">
        <v>0</v>
      </c>
      <c r="AP1834" t="inlineStr">
        <is>
          <t>No</t>
        </is>
      </c>
      <c r="AQ1834" t="inlineStr">
        <is>
          <t>Yes</t>
        </is>
      </c>
      <c r="AR1834">
        <f>HYPERLINK("http://catalog.hathitrust.org/Record/000468510","HathiTrust Record")</f>
        <v/>
      </c>
      <c r="AS1834">
        <f>HYPERLINK("https://creighton-primo.hosted.exlibrisgroup.com/primo-explore/search?tab=default_tab&amp;search_scope=EVERYTHING&amp;vid=01CRU&amp;lang=en_US&amp;offset=0&amp;query=any,contains,991005201329702656","Catalog Record")</f>
        <v/>
      </c>
      <c r="AT1834">
        <f>HYPERLINK("http://www.worldcat.org/oclc/8085297","WorldCat Record")</f>
        <v/>
      </c>
      <c r="AU1834" t="inlineStr">
        <is>
          <t>2793962127:fre</t>
        </is>
      </c>
      <c r="AV1834" t="inlineStr">
        <is>
          <t>8085297</t>
        </is>
      </c>
      <c r="AW1834" t="inlineStr">
        <is>
          <t>991005201329702656</t>
        </is>
      </c>
      <c r="AX1834" t="inlineStr">
        <is>
          <t>991005201329702656</t>
        </is>
      </c>
      <c r="AY1834" t="inlineStr">
        <is>
          <t>2257001360002656</t>
        </is>
      </c>
      <c r="AZ1834" t="inlineStr">
        <is>
          <t>BOOK</t>
        </is>
      </c>
      <c r="BB1834" t="inlineStr">
        <is>
          <t>9788870416015</t>
        </is>
      </c>
      <c r="BC1834" t="inlineStr">
        <is>
          <t>32285000851468</t>
        </is>
      </c>
      <c r="BD1834" t="inlineStr">
        <is>
          <t>893713626</t>
        </is>
      </c>
    </row>
    <row r="1835">
      <c r="A1835" t="inlineStr">
        <is>
          <t>No</t>
        </is>
      </c>
      <c r="B1835" t="inlineStr">
        <is>
          <t>BX3702.3 .D87 2006</t>
        </is>
      </c>
      <c r="C1835" t="inlineStr">
        <is>
          <t>0                      BX 3702300D  87          2006</t>
        </is>
      </c>
      <c r="D1835" t="inlineStr">
        <is>
          <t>"Ours" : Jesuit portraits / M.-C. Durkin.</t>
        </is>
      </c>
      <c r="F1835" t="inlineStr">
        <is>
          <t>No</t>
        </is>
      </c>
      <c r="G1835" t="inlineStr">
        <is>
          <t>1</t>
        </is>
      </c>
      <c r="H1835" t="inlineStr">
        <is>
          <t>No</t>
        </is>
      </c>
      <c r="I1835" t="inlineStr">
        <is>
          <t>No</t>
        </is>
      </c>
      <c r="J1835" t="inlineStr">
        <is>
          <t>0</t>
        </is>
      </c>
      <c r="K1835" t="inlineStr">
        <is>
          <t>Durkin, Mary Cabrini.</t>
        </is>
      </c>
      <c r="L1835" t="inlineStr">
        <is>
          <t>Strasbourg, France : Éditions du Signe, c2006.</t>
        </is>
      </c>
      <c r="M1835" t="inlineStr">
        <is>
          <t>2006</t>
        </is>
      </c>
      <c r="O1835" t="inlineStr">
        <is>
          <t>eng</t>
        </is>
      </c>
      <c r="P1835" t="inlineStr">
        <is>
          <t xml:space="preserve">fr </t>
        </is>
      </c>
      <c r="R1835" t="inlineStr">
        <is>
          <t xml:space="preserve">BX </t>
        </is>
      </c>
      <c r="S1835" t="n">
        <v>2</v>
      </c>
      <c r="T1835" t="n">
        <v>2</v>
      </c>
      <c r="U1835" t="inlineStr">
        <is>
          <t>2007-07-12</t>
        </is>
      </c>
      <c r="V1835" t="inlineStr">
        <is>
          <t>2007-07-12</t>
        </is>
      </c>
      <c r="W1835" t="inlineStr">
        <is>
          <t>2007-02-12</t>
        </is>
      </c>
      <c r="X1835" t="inlineStr">
        <is>
          <t>2007-02-12</t>
        </is>
      </c>
      <c r="Y1835" t="n">
        <v>20</v>
      </c>
      <c r="Z1835" t="n">
        <v>17</v>
      </c>
      <c r="AA1835" t="n">
        <v>17</v>
      </c>
      <c r="AB1835" t="n">
        <v>1</v>
      </c>
      <c r="AC1835" t="n">
        <v>1</v>
      </c>
      <c r="AD1835" t="n">
        <v>12</v>
      </c>
      <c r="AE1835" t="n">
        <v>12</v>
      </c>
      <c r="AF1835" t="n">
        <v>4</v>
      </c>
      <c r="AG1835" t="n">
        <v>4</v>
      </c>
      <c r="AH1835" t="n">
        <v>2</v>
      </c>
      <c r="AI1835" t="n">
        <v>2</v>
      </c>
      <c r="AJ1835" t="n">
        <v>12</v>
      </c>
      <c r="AK1835" t="n">
        <v>12</v>
      </c>
      <c r="AL1835" t="n">
        <v>0</v>
      </c>
      <c r="AM1835" t="n">
        <v>0</v>
      </c>
      <c r="AN1835" t="n">
        <v>0</v>
      </c>
      <c r="AO1835" t="n">
        <v>0</v>
      </c>
      <c r="AP1835" t="inlineStr">
        <is>
          <t>No</t>
        </is>
      </c>
      <c r="AQ1835" t="inlineStr">
        <is>
          <t>No</t>
        </is>
      </c>
      <c r="AS1835">
        <f>HYPERLINK("https://creighton-primo.hosted.exlibrisgroup.com/primo-explore/search?tab=default_tab&amp;search_scope=EVERYTHING&amp;vid=01CRU&amp;lang=en_US&amp;offset=0&amp;query=any,contains,991005037789702656","Catalog Record")</f>
        <v/>
      </c>
      <c r="AT1835">
        <f>HYPERLINK("http://www.worldcat.org/oclc/76917947","WorldCat Record")</f>
        <v/>
      </c>
      <c r="AU1835" t="inlineStr">
        <is>
          <t>4741832020:eng</t>
        </is>
      </c>
      <c r="AV1835" t="inlineStr">
        <is>
          <t>76917947</t>
        </is>
      </c>
      <c r="AW1835" t="inlineStr">
        <is>
          <t>991005037789702656</t>
        </is>
      </c>
      <c r="AX1835" t="inlineStr">
        <is>
          <t>991005037789702656</t>
        </is>
      </c>
      <c r="AY1835" t="inlineStr">
        <is>
          <t>2265174110002656</t>
        </is>
      </c>
      <c r="AZ1835" t="inlineStr">
        <is>
          <t>BOOK</t>
        </is>
      </c>
      <c r="BB1835" t="inlineStr">
        <is>
          <t>9782746814844</t>
        </is>
      </c>
      <c r="BC1835" t="inlineStr">
        <is>
          <t>32285005275846</t>
        </is>
      </c>
      <c r="BD1835" t="inlineStr">
        <is>
          <t>893520327</t>
        </is>
      </c>
    </row>
    <row r="1836">
      <c r="A1836" t="inlineStr">
        <is>
          <t>No</t>
        </is>
      </c>
      <c r="B1836" t="inlineStr">
        <is>
          <t>BX3703 .A772 1979</t>
        </is>
      </c>
      <c r="C1836" t="inlineStr">
        <is>
          <t>0                      BX 3703000A  772         1979</t>
        </is>
      </c>
      <c r="D1836" t="inlineStr">
        <is>
          <t>Challenge to religious life today / Pedro Arrupe ; edited by Jerome Aixala.</t>
        </is>
      </c>
      <c r="F1836" t="inlineStr">
        <is>
          <t>No</t>
        </is>
      </c>
      <c r="G1836" t="inlineStr">
        <is>
          <t>1</t>
        </is>
      </c>
      <c r="H1836" t="inlineStr">
        <is>
          <t>No</t>
        </is>
      </c>
      <c r="I1836" t="inlineStr">
        <is>
          <t>No</t>
        </is>
      </c>
      <c r="J1836" t="inlineStr">
        <is>
          <t>0</t>
        </is>
      </c>
      <c r="K1836" t="inlineStr">
        <is>
          <t>Arrupe, Pedro, 1907-1991.</t>
        </is>
      </c>
      <c r="L1836" t="inlineStr">
        <is>
          <t>St. Louis, Mo. : Institute of Jesuit Sources ; Anand, India : Gujarat Sahitya Prakash, 1979.</t>
        </is>
      </c>
      <c r="M1836" t="inlineStr">
        <is>
          <t>1979</t>
        </is>
      </c>
      <c r="N1836" t="inlineStr">
        <is>
          <t>2nd ed.</t>
        </is>
      </c>
      <c r="O1836" t="inlineStr">
        <is>
          <t>eng</t>
        </is>
      </c>
      <c r="P1836" t="inlineStr">
        <is>
          <t>mou</t>
        </is>
      </c>
      <c r="Q1836" t="inlineStr">
        <is>
          <t>Selected letters and addresses ; 1</t>
        </is>
      </c>
      <c r="R1836" t="inlineStr">
        <is>
          <t xml:space="preserve">BX </t>
        </is>
      </c>
      <c r="S1836" t="n">
        <v>1</v>
      </c>
      <c r="T1836" t="n">
        <v>1</v>
      </c>
      <c r="U1836" t="inlineStr">
        <is>
          <t>2006-08-31</t>
        </is>
      </c>
      <c r="V1836" t="inlineStr">
        <is>
          <t>2006-08-31</t>
        </is>
      </c>
      <c r="W1836" t="inlineStr">
        <is>
          <t>2006-08-31</t>
        </is>
      </c>
      <c r="X1836" t="inlineStr">
        <is>
          <t>2006-08-31</t>
        </is>
      </c>
      <c r="Y1836" t="n">
        <v>86</v>
      </c>
      <c r="Z1836" t="n">
        <v>67</v>
      </c>
      <c r="AA1836" t="n">
        <v>69</v>
      </c>
      <c r="AB1836" t="n">
        <v>1</v>
      </c>
      <c r="AC1836" t="n">
        <v>1</v>
      </c>
      <c r="AD1836" t="n">
        <v>19</v>
      </c>
      <c r="AE1836" t="n">
        <v>19</v>
      </c>
      <c r="AF1836" t="n">
        <v>4</v>
      </c>
      <c r="AG1836" t="n">
        <v>4</v>
      </c>
      <c r="AH1836" t="n">
        <v>4</v>
      </c>
      <c r="AI1836" t="n">
        <v>4</v>
      </c>
      <c r="AJ1836" t="n">
        <v>19</v>
      </c>
      <c r="AK1836" t="n">
        <v>19</v>
      </c>
      <c r="AL1836" t="n">
        <v>0</v>
      </c>
      <c r="AM1836" t="n">
        <v>0</v>
      </c>
      <c r="AN1836" t="n">
        <v>0</v>
      </c>
      <c r="AO1836" t="n">
        <v>0</v>
      </c>
      <c r="AP1836" t="inlineStr">
        <is>
          <t>No</t>
        </is>
      </c>
      <c r="AQ1836" t="inlineStr">
        <is>
          <t>Yes</t>
        </is>
      </c>
      <c r="AR1836">
        <f>HYPERLINK("http://catalog.hathitrust.org/Record/102459550","HathiTrust Record")</f>
        <v/>
      </c>
      <c r="AS1836">
        <f>HYPERLINK("https://creighton-primo.hosted.exlibrisgroup.com/primo-explore/search?tab=default_tab&amp;search_scope=EVERYTHING&amp;vid=01CRU&amp;lang=en_US&amp;offset=0&amp;query=any,contains,991004912189702656","Catalog Record")</f>
        <v/>
      </c>
      <c r="AT1836">
        <f>HYPERLINK("http://www.worldcat.org/oclc/7734696","WorldCat Record")</f>
        <v/>
      </c>
      <c r="AU1836" t="inlineStr">
        <is>
          <t>51206888:eng</t>
        </is>
      </c>
      <c r="AV1836" t="inlineStr">
        <is>
          <t>7734696</t>
        </is>
      </c>
      <c r="AW1836" t="inlineStr">
        <is>
          <t>991004912189702656</t>
        </is>
      </c>
      <c r="AX1836" t="inlineStr">
        <is>
          <t>991004912189702656</t>
        </is>
      </c>
      <c r="AY1836" t="inlineStr">
        <is>
          <t>2255800370002656</t>
        </is>
      </c>
      <c r="AZ1836" t="inlineStr">
        <is>
          <t>BOOK</t>
        </is>
      </c>
      <c r="BB1836" t="inlineStr">
        <is>
          <t>9780912422442</t>
        </is>
      </c>
      <c r="BC1836" t="inlineStr">
        <is>
          <t>32285005220511</t>
        </is>
      </c>
      <c r="BD1836" t="inlineStr">
        <is>
          <t>893776572</t>
        </is>
      </c>
    </row>
    <row r="1837">
      <c r="A1837" t="inlineStr">
        <is>
          <t>No</t>
        </is>
      </c>
      <c r="B1837" t="inlineStr">
        <is>
          <t>BX3703 .V34 1984</t>
        </is>
      </c>
      <c r="C1837" t="inlineStr">
        <is>
          <t>0                      BX 3703000V  34          1984</t>
        </is>
      </c>
      <c r="D1837" t="inlineStr">
        <is>
          <t>Living together in a Jesuit community / Carlos G. Valles.</t>
        </is>
      </c>
      <c r="F1837" t="inlineStr">
        <is>
          <t>No</t>
        </is>
      </c>
      <c r="G1837" t="inlineStr">
        <is>
          <t>1</t>
        </is>
      </c>
      <c r="H1837" t="inlineStr">
        <is>
          <t>No</t>
        </is>
      </c>
      <c r="I1837" t="inlineStr">
        <is>
          <t>No</t>
        </is>
      </c>
      <c r="J1837" t="inlineStr">
        <is>
          <t>0</t>
        </is>
      </c>
      <c r="K1837" t="inlineStr">
        <is>
          <t>Valles, Carlos G. (Carlos Gonzales), 1925-</t>
        </is>
      </c>
      <c r="L1837" t="inlineStr">
        <is>
          <t>Anand, India : Gujarat Sahitya Prakash ; St. Louis, U.S.A. : Institute of Jesuit Sources, 1984.</t>
        </is>
      </c>
      <c r="M1837" t="inlineStr">
        <is>
          <t>1984</t>
        </is>
      </c>
      <c r="N1837" t="inlineStr">
        <is>
          <t>2nd ed.</t>
        </is>
      </c>
      <c r="O1837" t="inlineStr">
        <is>
          <t>eng</t>
        </is>
      </c>
      <c r="P1837" t="inlineStr">
        <is>
          <t xml:space="preserve">ii </t>
        </is>
      </c>
      <c r="Q1837" t="inlineStr">
        <is>
          <t>Series IV--Study aids on Jesuit topics ; no. 10</t>
        </is>
      </c>
      <c r="R1837" t="inlineStr">
        <is>
          <t xml:space="preserve">BX </t>
        </is>
      </c>
      <c r="S1837" t="n">
        <v>3</v>
      </c>
      <c r="T1837" t="n">
        <v>3</v>
      </c>
      <c r="U1837" t="inlineStr">
        <is>
          <t>2005-07-07</t>
        </is>
      </c>
      <c r="V1837" t="inlineStr">
        <is>
          <t>2005-07-07</t>
        </is>
      </c>
      <c r="W1837" t="inlineStr">
        <is>
          <t>1991-11-11</t>
        </is>
      </c>
      <c r="X1837" t="inlineStr">
        <is>
          <t>1991-11-11</t>
        </is>
      </c>
      <c r="Y1837" t="n">
        <v>53</v>
      </c>
      <c r="Z1837" t="n">
        <v>45</v>
      </c>
      <c r="AA1837" t="n">
        <v>45</v>
      </c>
      <c r="AB1837" t="n">
        <v>1</v>
      </c>
      <c r="AC1837" t="n">
        <v>1</v>
      </c>
      <c r="AD1837" t="n">
        <v>17</v>
      </c>
      <c r="AE1837" t="n">
        <v>17</v>
      </c>
      <c r="AF1837" t="n">
        <v>4</v>
      </c>
      <c r="AG1837" t="n">
        <v>4</v>
      </c>
      <c r="AH1837" t="n">
        <v>4</v>
      </c>
      <c r="AI1837" t="n">
        <v>4</v>
      </c>
      <c r="AJ1837" t="n">
        <v>17</v>
      </c>
      <c r="AK1837" t="n">
        <v>17</v>
      </c>
      <c r="AL1837" t="n">
        <v>0</v>
      </c>
      <c r="AM1837" t="n">
        <v>0</v>
      </c>
      <c r="AN1837" t="n">
        <v>0</v>
      </c>
      <c r="AO1837" t="n">
        <v>0</v>
      </c>
      <c r="AP1837" t="inlineStr">
        <is>
          <t>No</t>
        </is>
      </c>
      <c r="AQ1837" t="inlineStr">
        <is>
          <t>No</t>
        </is>
      </c>
      <c r="AS1837">
        <f>HYPERLINK("https://creighton-primo.hosted.exlibrisgroup.com/primo-explore/search?tab=default_tab&amp;search_scope=EVERYTHING&amp;vid=01CRU&amp;lang=en_US&amp;offset=0&amp;query=any,contains,991000710759702656","Catalog Record")</f>
        <v/>
      </c>
      <c r="AT1837">
        <f>HYPERLINK("http://www.worldcat.org/oclc/12582780","WorldCat Record")</f>
        <v/>
      </c>
      <c r="AU1837" t="inlineStr">
        <is>
          <t>9593424606:eng</t>
        </is>
      </c>
      <c r="AV1837" t="inlineStr">
        <is>
          <t>12582780</t>
        </is>
      </c>
      <c r="AW1837" t="inlineStr">
        <is>
          <t>991000710759702656</t>
        </is>
      </c>
      <c r="AX1837" t="inlineStr">
        <is>
          <t>991000710759702656</t>
        </is>
      </c>
      <c r="AY1837" t="inlineStr">
        <is>
          <t>2272244840002656</t>
        </is>
      </c>
      <c r="AZ1837" t="inlineStr">
        <is>
          <t>BOOK</t>
        </is>
      </c>
      <c r="BB1837" t="inlineStr">
        <is>
          <t>9780912422664</t>
        </is>
      </c>
      <c r="BC1837" t="inlineStr">
        <is>
          <t>32285000851575</t>
        </is>
      </c>
      <c r="BD1837" t="inlineStr">
        <is>
          <t>893339815</t>
        </is>
      </c>
    </row>
    <row r="1838">
      <c r="A1838" t="inlineStr">
        <is>
          <t>No</t>
        </is>
      </c>
      <c r="B1838" t="inlineStr">
        <is>
          <t>BX3704.4 .L42 1938</t>
        </is>
      </c>
      <c r="C1838" t="inlineStr">
        <is>
          <t>0                      BX 3704400L  42          1938</t>
        </is>
      </c>
      <c r="D1838" t="inlineStr">
        <is>
          <t>An instruction on temporal administration : Ad usum nostrorum tantum.</t>
        </is>
      </c>
      <c r="F1838" t="inlineStr">
        <is>
          <t>No</t>
        </is>
      </c>
      <c r="G1838" t="inlineStr">
        <is>
          <t>1</t>
        </is>
      </c>
      <c r="H1838" t="inlineStr">
        <is>
          <t>No</t>
        </is>
      </c>
      <c r="I1838" t="inlineStr">
        <is>
          <t>No</t>
        </is>
      </c>
      <c r="J1838" t="inlineStr">
        <is>
          <t>0</t>
        </is>
      </c>
      <c r="L1838" t="inlineStr">
        <is>
          <t>London : The Manresa Press, 1938.</t>
        </is>
      </c>
      <c r="M1838" t="inlineStr">
        <is>
          <t>1938</t>
        </is>
      </c>
      <c r="O1838" t="inlineStr">
        <is>
          <t>eng</t>
        </is>
      </c>
      <c r="P1838" t="inlineStr">
        <is>
          <t>enk</t>
        </is>
      </c>
      <c r="R1838" t="inlineStr">
        <is>
          <t xml:space="preserve">BX </t>
        </is>
      </c>
      <c r="S1838" t="n">
        <v>1</v>
      </c>
      <c r="T1838" t="n">
        <v>1</v>
      </c>
      <c r="U1838" t="inlineStr">
        <is>
          <t>2006-08-31</t>
        </is>
      </c>
      <c r="V1838" t="inlineStr">
        <is>
          <t>2006-08-31</t>
        </is>
      </c>
      <c r="W1838" t="inlineStr">
        <is>
          <t>2006-08-31</t>
        </is>
      </c>
      <c r="X1838" t="inlineStr">
        <is>
          <t>2006-08-31</t>
        </is>
      </c>
      <c r="Y1838" t="n">
        <v>3</v>
      </c>
      <c r="Z1838" t="n">
        <v>3</v>
      </c>
      <c r="AA1838" t="n">
        <v>3</v>
      </c>
      <c r="AB1838" t="n">
        <v>1</v>
      </c>
      <c r="AC1838" t="n">
        <v>1</v>
      </c>
      <c r="AD1838" t="n">
        <v>1</v>
      </c>
      <c r="AE1838" t="n">
        <v>1</v>
      </c>
      <c r="AF1838" t="n">
        <v>1</v>
      </c>
      <c r="AG1838" t="n">
        <v>1</v>
      </c>
      <c r="AH1838" t="n">
        <v>0</v>
      </c>
      <c r="AI1838" t="n">
        <v>0</v>
      </c>
      <c r="AJ1838" t="n">
        <v>1</v>
      </c>
      <c r="AK1838" t="n">
        <v>1</v>
      </c>
      <c r="AL1838" t="n">
        <v>0</v>
      </c>
      <c r="AM1838" t="n">
        <v>0</v>
      </c>
      <c r="AN1838" t="n">
        <v>0</v>
      </c>
      <c r="AO1838" t="n">
        <v>0</v>
      </c>
      <c r="AP1838" t="inlineStr">
        <is>
          <t>No</t>
        </is>
      </c>
      <c r="AQ1838" t="inlineStr">
        <is>
          <t>No</t>
        </is>
      </c>
      <c r="AS1838">
        <f>HYPERLINK("https://creighton-primo.hosted.exlibrisgroup.com/primo-explore/search?tab=default_tab&amp;search_scope=EVERYTHING&amp;vid=01CRU&amp;lang=en_US&amp;offset=0&amp;query=any,contains,991004912229702656","Catalog Record")</f>
        <v/>
      </c>
      <c r="AT1838">
        <f>HYPERLINK("http://www.worldcat.org/oclc/25439398","WorldCat Record")</f>
        <v/>
      </c>
      <c r="AU1838" t="inlineStr">
        <is>
          <t>5611318741:eng</t>
        </is>
      </c>
      <c r="AV1838" t="inlineStr">
        <is>
          <t>25439398</t>
        </is>
      </c>
      <c r="AW1838" t="inlineStr">
        <is>
          <t>991004912229702656</t>
        </is>
      </c>
      <c r="AX1838" t="inlineStr">
        <is>
          <t>991004912229702656</t>
        </is>
      </c>
      <c r="AY1838" t="inlineStr">
        <is>
          <t>2259258030002656</t>
        </is>
      </c>
      <c r="AZ1838" t="inlineStr">
        <is>
          <t>BOOK</t>
        </is>
      </c>
      <c r="BC1838" t="inlineStr">
        <is>
          <t>32285005220495</t>
        </is>
      </c>
      <c r="BD1838" t="inlineStr">
        <is>
          <t>893443182</t>
        </is>
      </c>
    </row>
    <row r="1839">
      <c r="A1839" t="inlineStr">
        <is>
          <t>No</t>
        </is>
      </c>
      <c r="B1839" t="inlineStr">
        <is>
          <t>BX375.E75 G4713 1984</t>
        </is>
      </c>
      <c r="C1839" t="inlineStr">
        <is>
          <t>0                      BX 0375000E  75                 G  4713        1984</t>
        </is>
      </c>
      <c r="D1839" t="inlineStr">
        <is>
          <t>On the divine liturgy / St. Germanus of Constantinople ; the Greek text with translation, introduction, and commentary by Paul Meyendorff.</t>
        </is>
      </c>
      <c r="F1839" t="inlineStr">
        <is>
          <t>No</t>
        </is>
      </c>
      <c r="G1839" t="inlineStr">
        <is>
          <t>1</t>
        </is>
      </c>
      <c r="H1839" t="inlineStr">
        <is>
          <t>No</t>
        </is>
      </c>
      <c r="I1839" t="inlineStr">
        <is>
          <t>No</t>
        </is>
      </c>
      <c r="J1839" t="inlineStr">
        <is>
          <t>0</t>
        </is>
      </c>
      <c r="K1839" t="inlineStr">
        <is>
          <t>Germanus I, Saint, Patriarch of Constantinople, -approximately 733.</t>
        </is>
      </c>
      <c r="L1839" t="inlineStr">
        <is>
          <t>Crestwood, N.Y. : St. Vladimir's Seminary Press, 1984.</t>
        </is>
      </c>
      <c r="M1839" t="inlineStr">
        <is>
          <t>1984</t>
        </is>
      </c>
      <c r="O1839" t="inlineStr">
        <is>
          <t>eng</t>
        </is>
      </c>
      <c r="P1839" t="inlineStr">
        <is>
          <t>nyu</t>
        </is>
      </c>
      <c r="R1839" t="inlineStr">
        <is>
          <t xml:space="preserve">BX </t>
        </is>
      </c>
      <c r="S1839" t="n">
        <v>5</v>
      </c>
      <c r="T1839" t="n">
        <v>5</v>
      </c>
      <c r="U1839" t="inlineStr">
        <is>
          <t>2008-02-10</t>
        </is>
      </c>
      <c r="V1839" t="inlineStr">
        <is>
          <t>2008-02-10</t>
        </is>
      </c>
      <c r="W1839" t="inlineStr">
        <is>
          <t>1990-08-09</t>
        </is>
      </c>
      <c r="X1839" t="inlineStr">
        <is>
          <t>1990-08-09</t>
        </is>
      </c>
      <c r="Y1839" t="n">
        <v>256</v>
      </c>
      <c r="Z1839" t="n">
        <v>193</v>
      </c>
      <c r="AA1839" t="n">
        <v>202</v>
      </c>
      <c r="AB1839" t="n">
        <v>2</v>
      </c>
      <c r="AC1839" t="n">
        <v>2</v>
      </c>
      <c r="AD1839" t="n">
        <v>12</v>
      </c>
      <c r="AE1839" t="n">
        <v>12</v>
      </c>
      <c r="AF1839" t="n">
        <v>2</v>
      </c>
      <c r="AG1839" t="n">
        <v>2</v>
      </c>
      <c r="AH1839" t="n">
        <v>3</v>
      </c>
      <c r="AI1839" t="n">
        <v>3</v>
      </c>
      <c r="AJ1839" t="n">
        <v>8</v>
      </c>
      <c r="AK1839" t="n">
        <v>8</v>
      </c>
      <c r="AL1839" t="n">
        <v>0</v>
      </c>
      <c r="AM1839" t="n">
        <v>0</v>
      </c>
      <c r="AN1839" t="n">
        <v>0</v>
      </c>
      <c r="AO1839" t="n">
        <v>0</v>
      </c>
      <c r="AP1839" t="inlineStr">
        <is>
          <t>No</t>
        </is>
      </c>
      <c r="AQ1839" t="inlineStr">
        <is>
          <t>No</t>
        </is>
      </c>
      <c r="AS1839">
        <f>HYPERLINK("https://creighton-primo.hosted.exlibrisgroup.com/primo-explore/search?tab=default_tab&amp;search_scope=EVERYTHING&amp;vid=01CRU&amp;lang=en_US&amp;offset=0&amp;query=any,contains,991000551339702656","Catalog Record")</f>
        <v/>
      </c>
      <c r="AT1839">
        <f>HYPERLINK("http://www.worldcat.org/oclc/11533369","WorldCat Record")</f>
        <v/>
      </c>
      <c r="AU1839" t="inlineStr">
        <is>
          <t>347941480:eng</t>
        </is>
      </c>
      <c r="AV1839" t="inlineStr">
        <is>
          <t>11533369</t>
        </is>
      </c>
      <c r="AW1839" t="inlineStr">
        <is>
          <t>991000551339702656</t>
        </is>
      </c>
      <c r="AX1839" t="inlineStr">
        <is>
          <t>991000551339702656</t>
        </is>
      </c>
      <c r="AY1839" t="inlineStr">
        <is>
          <t>2258357920002656</t>
        </is>
      </c>
      <c r="AZ1839" t="inlineStr">
        <is>
          <t>BOOK</t>
        </is>
      </c>
      <c r="BB1839" t="inlineStr">
        <is>
          <t>9780881410389</t>
        </is>
      </c>
      <c r="BC1839" t="inlineStr">
        <is>
          <t>32285000272574</t>
        </is>
      </c>
      <c r="BD1839" t="inlineStr">
        <is>
          <t>893689800</t>
        </is>
      </c>
    </row>
    <row r="1840">
      <c r="A1840" t="inlineStr">
        <is>
          <t>No</t>
        </is>
      </c>
      <c r="B1840" t="inlineStr">
        <is>
          <t>BX375.E75 M48 1991</t>
        </is>
      </c>
      <c r="C1840" t="inlineStr">
        <is>
          <t>0                      BX 0375000E  75                 M  48          1991</t>
        </is>
      </c>
      <c r="D1840" t="inlineStr">
        <is>
          <t>Russia, ritual, and reform : the liturgical reforms of Nikon in the 17th century / by Paul Meyendorff.</t>
        </is>
      </c>
      <c r="F1840" t="inlineStr">
        <is>
          <t>No</t>
        </is>
      </c>
      <c r="G1840" t="inlineStr">
        <is>
          <t>1</t>
        </is>
      </c>
      <c r="H1840" t="inlineStr">
        <is>
          <t>No</t>
        </is>
      </c>
      <c r="I1840" t="inlineStr">
        <is>
          <t>No</t>
        </is>
      </c>
      <c r="J1840" t="inlineStr">
        <is>
          <t>0</t>
        </is>
      </c>
      <c r="K1840" t="inlineStr">
        <is>
          <t>Meyendorff, Paul.</t>
        </is>
      </c>
      <c r="L1840" t="inlineStr">
        <is>
          <t>Crestwood, N.Y. : St Vladimir's Press, 1991.</t>
        </is>
      </c>
      <c r="M1840" t="inlineStr">
        <is>
          <t>1991</t>
        </is>
      </c>
      <c r="O1840" t="inlineStr">
        <is>
          <t>eng</t>
        </is>
      </c>
      <c r="P1840" t="inlineStr">
        <is>
          <t>nyu</t>
        </is>
      </c>
      <c r="R1840" t="inlineStr">
        <is>
          <t xml:space="preserve">BX </t>
        </is>
      </c>
      <c r="S1840" t="n">
        <v>3</v>
      </c>
      <c r="T1840" t="n">
        <v>3</v>
      </c>
      <c r="U1840" t="inlineStr">
        <is>
          <t>2005-08-30</t>
        </is>
      </c>
      <c r="V1840" t="inlineStr">
        <is>
          <t>2005-08-30</t>
        </is>
      </c>
      <c r="W1840" t="inlineStr">
        <is>
          <t>1994-02-23</t>
        </is>
      </c>
      <c r="X1840" t="inlineStr">
        <is>
          <t>1994-02-23</t>
        </is>
      </c>
      <c r="Y1840" t="n">
        <v>173</v>
      </c>
      <c r="Z1840" t="n">
        <v>126</v>
      </c>
      <c r="AA1840" t="n">
        <v>126</v>
      </c>
      <c r="AB1840" t="n">
        <v>1</v>
      </c>
      <c r="AC1840" t="n">
        <v>1</v>
      </c>
      <c r="AD1840" t="n">
        <v>8</v>
      </c>
      <c r="AE1840" t="n">
        <v>8</v>
      </c>
      <c r="AF1840" t="n">
        <v>3</v>
      </c>
      <c r="AG1840" t="n">
        <v>3</v>
      </c>
      <c r="AH1840" t="n">
        <v>2</v>
      </c>
      <c r="AI1840" t="n">
        <v>2</v>
      </c>
      <c r="AJ1840" t="n">
        <v>4</v>
      </c>
      <c r="AK1840" t="n">
        <v>4</v>
      </c>
      <c r="AL1840" t="n">
        <v>0</v>
      </c>
      <c r="AM1840" t="n">
        <v>0</v>
      </c>
      <c r="AN1840" t="n">
        <v>0</v>
      </c>
      <c r="AO1840" t="n">
        <v>0</v>
      </c>
      <c r="AP1840" t="inlineStr">
        <is>
          <t>No</t>
        </is>
      </c>
      <c r="AQ1840" t="inlineStr">
        <is>
          <t>No</t>
        </is>
      </c>
      <c r="AS1840">
        <f>HYPERLINK("https://creighton-primo.hosted.exlibrisgroup.com/primo-explore/search?tab=default_tab&amp;search_scope=EVERYTHING&amp;vid=01CRU&amp;lang=en_US&amp;offset=0&amp;query=any,contains,991001951619702656","Catalog Record")</f>
        <v/>
      </c>
      <c r="AT1840">
        <f>HYPERLINK("http://www.worldcat.org/oclc/24669408","WorldCat Record")</f>
        <v/>
      </c>
      <c r="AU1840" t="inlineStr">
        <is>
          <t>364166432:eng</t>
        </is>
      </c>
      <c r="AV1840" t="inlineStr">
        <is>
          <t>24669408</t>
        </is>
      </c>
      <c r="AW1840" t="inlineStr">
        <is>
          <t>991001951619702656</t>
        </is>
      </c>
      <c r="AX1840" t="inlineStr">
        <is>
          <t>991001951619702656</t>
        </is>
      </c>
      <c r="AY1840" t="inlineStr">
        <is>
          <t>2263849860002656</t>
        </is>
      </c>
      <c r="AZ1840" t="inlineStr">
        <is>
          <t>BOOK</t>
        </is>
      </c>
      <c r="BB1840" t="inlineStr">
        <is>
          <t>9780881410907</t>
        </is>
      </c>
      <c r="BC1840" t="inlineStr">
        <is>
          <t>32285001843308</t>
        </is>
      </c>
      <c r="BD1840" t="inlineStr">
        <is>
          <t>893621756</t>
        </is>
      </c>
    </row>
    <row r="1841">
      <c r="A1841" t="inlineStr">
        <is>
          <t>No</t>
        </is>
      </c>
      <c r="B1841" t="inlineStr">
        <is>
          <t>BX375.H6 A2 2004</t>
        </is>
      </c>
      <c r="C1841" t="inlineStr">
        <is>
          <t>0                      BX 0375000H  6                  A  2           2004</t>
        </is>
      </c>
      <c r="D1841" t="inlineStr">
        <is>
          <t>Livre d'heures du Sinaï : (Sinaiticus Graecus 864) / introduction, texte critique, traduction, notes et index par Maxime (Leila) Ajjoub ; avec la collaboration de Joseph Paramelle.</t>
        </is>
      </c>
      <c r="F1841" t="inlineStr">
        <is>
          <t>No</t>
        </is>
      </c>
      <c r="G1841" t="inlineStr">
        <is>
          <t>1</t>
        </is>
      </c>
      <c r="H1841" t="inlineStr">
        <is>
          <t>No</t>
        </is>
      </c>
      <c r="I1841" t="inlineStr">
        <is>
          <t>No</t>
        </is>
      </c>
      <c r="J1841" t="inlineStr">
        <is>
          <t>0</t>
        </is>
      </c>
      <c r="K1841" t="inlineStr">
        <is>
          <t>Orthodox Eastern Church.</t>
        </is>
      </c>
      <c r="L1841" t="inlineStr">
        <is>
          <t>Paris : Cerf, 2004.</t>
        </is>
      </c>
      <c r="M1841" t="inlineStr">
        <is>
          <t>2004</t>
        </is>
      </c>
      <c r="O1841" t="inlineStr">
        <is>
          <t>fre</t>
        </is>
      </c>
      <c r="P1841" t="inlineStr">
        <is>
          <t xml:space="preserve">fr </t>
        </is>
      </c>
      <c r="Q1841" t="inlineStr">
        <is>
          <t>Sources chrétiennes, 0750-1978 ; no 486</t>
        </is>
      </c>
      <c r="R1841" t="inlineStr">
        <is>
          <t xml:space="preserve">BX </t>
        </is>
      </c>
      <c r="S1841" t="n">
        <v>1</v>
      </c>
      <c r="T1841" t="n">
        <v>1</v>
      </c>
      <c r="U1841" t="inlineStr">
        <is>
          <t>2005-02-08</t>
        </is>
      </c>
      <c r="V1841" t="inlineStr">
        <is>
          <t>2005-02-08</t>
        </is>
      </c>
      <c r="W1841" t="inlineStr">
        <is>
          <t>2005-02-08</t>
        </is>
      </c>
      <c r="X1841" t="inlineStr">
        <is>
          <t>2005-02-08</t>
        </is>
      </c>
      <c r="Y1841" t="n">
        <v>178</v>
      </c>
      <c r="Z1841" t="n">
        <v>112</v>
      </c>
      <c r="AA1841" t="n">
        <v>115</v>
      </c>
      <c r="AB1841" t="n">
        <v>1</v>
      </c>
      <c r="AC1841" t="n">
        <v>1</v>
      </c>
      <c r="AD1841" t="n">
        <v>12</v>
      </c>
      <c r="AE1841" t="n">
        <v>12</v>
      </c>
      <c r="AF1841" t="n">
        <v>2</v>
      </c>
      <c r="AG1841" t="n">
        <v>2</v>
      </c>
      <c r="AH1841" t="n">
        <v>3</v>
      </c>
      <c r="AI1841" t="n">
        <v>3</v>
      </c>
      <c r="AJ1841" t="n">
        <v>10</v>
      </c>
      <c r="AK1841" t="n">
        <v>10</v>
      </c>
      <c r="AL1841" t="n">
        <v>0</v>
      </c>
      <c r="AM1841" t="n">
        <v>0</v>
      </c>
      <c r="AN1841" t="n">
        <v>0</v>
      </c>
      <c r="AO1841" t="n">
        <v>0</v>
      </c>
      <c r="AP1841" t="inlineStr">
        <is>
          <t>No</t>
        </is>
      </c>
      <c r="AQ1841" t="inlineStr">
        <is>
          <t>Yes</t>
        </is>
      </c>
      <c r="AR1841">
        <f>HYPERLINK("http://catalog.hathitrust.org/Record/004977865","HathiTrust Record")</f>
        <v/>
      </c>
      <c r="AS1841">
        <f>HYPERLINK("https://creighton-primo.hosted.exlibrisgroup.com/primo-explore/search?tab=default_tab&amp;search_scope=EVERYTHING&amp;vid=01CRU&amp;lang=en_US&amp;offset=0&amp;query=any,contains,991004469129702656","Catalog Record")</f>
        <v/>
      </c>
      <c r="AT1841">
        <f>HYPERLINK("http://www.worldcat.org/oclc/57231754","WorldCat Record")</f>
        <v/>
      </c>
      <c r="AU1841" t="inlineStr">
        <is>
          <t>891676652:fre</t>
        </is>
      </c>
      <c r="AV1841" t="inlineStr">
        <is>
          <t>57231754</t>
        </is>
      </c>
      <c r="AW1841" t="inlineStr">
        <is>
          <t>991004469129702656</t>
        </is>
      </c>
      <c r="AX1841" t="inlineStr">
        <is>
          <t>991004469129702656</t>
        </is>
      </c>
      <c r="AY1841" t="inlineStr">
        <is>
          <t>2271438890002656</t>
        </is>
      </c>
      <c r="AZ1841" t="inlineStr">
        <is>
          <t>BOOK</t>
        </is>
      </c>
      <c r="BB1841" t="inlineStr">
        <is>
          <t>9782204075473</t>
        </is>
      </c>
      <c r="BC1841" t="inlineStr">
        <is>
          <t>32285005025415</t>
        </is>
      </c>
      <c r="BD1841" t="inlineStr">
        <is>
          <t>893606068</t>
        </is>
      </c>
    </row>
    <row r="1842">
      <c r="A1842" t="inlineStr">
        <is>
          <t>No</t>
        </is>
      </c>
      <c r="B1842" t="inlineStr">
        <is>
          <t>BX3755 .O65 1976</t>
        </is>
      </c>
      <c r="C1842" t="inlineStr">
        <is>
          <t>0                      BX 3755000O  65          1976</t>
        </is>
      </c>
      <c r="D1842" t="inlineStr">
        <is>
          <t>The fifth week / William J. O'Malley.</t>
        </is>
      </c>
      <c r="F1842" t="inlineStr">
        <is>
          <t>No</t>
        </is>
      </c>
      <c r="G1842" t="inlineStr">
        <is>
          <t>2</t>
        </is>
      </c>
      <c r="H1842" t="inlineStr">
        <is>
          <t>No</t>
        </is>
      </c>
      <c r="I1842" t="inlineStr">
        <is>
          <t>Yes</t>
        </is>
      </c>
      <c r="J1842" t="inlineStr">
        <is>
          <t>0</t>
        </is>
      </c>
      <c r="K1842" t="inlineStr">
        <is>
          <t>O'Malley, William J.</t>
        </is>
      </c>
      <c r="L1842" t="inlineStr">
        <is>
          <t>Chicago : Loyola University Press, c1976.</t>
        </is>
      </c>
      <c r="M1842" t="inlineStr">
        <is>
          <t>1976</t>
        </is>
      </c>
      <c r="O1842" t="inlineStr">
        <is>
          <t>eng</t>
        </is>
      </c>
      <c r="P1842" t="inlineStr">
        <is>
          <t>ilu</t>
        </is>
      </c>
      <c r="R1842" t="inlineStr">
        <is>
          <t xml:space="preserve">BX </t>
        </is>
      </c>
      <c r="S1842" t="n">
        <v>6</v>
      </c>
      <c r="T1842" t="n">
        <v>6</v>
      </c>
      <c r="U1842" t="inlineStr">
        <is>
          <t>2001-10-19</t>
        </is>
      </c>
      <c r="V1842" t="inlineStr">
        <is>
          <t>2001-10-19</t>
        </is>
      </c>
      <c r="W1842" t="inlineStr">
        <is>
          <t>1991-11-14</t>
        </is>
      </c>
      <c r="X1842" t="inlineStr">
        <is>
          <t>1991-11-14</t>
        </is>
      </c>
      <c r="Y1842" t="n">
        <v>110</v>
      </c>
      <c r="Z1842" t="n">
        <v>94</v>
      </c>
      <c r="AA1842" t="n">
        <v>163</v>
      </c>
      <c r="AB1842" t="n">
        <v>2</v>
      </c>
      <c r="AC1842" t="n">
        <v>3</v>
      </c>
      <c r="AD1842" t="n">
        <v>19</v>
      </c>
      <c r="AE1842" t="n">
        <v>29</v>
      </c>
      <c r="AF1842" t="n">
        <v>4</v>
      </c>
      <c r="AG1842" t="n">
        <v>7</v>
      </c>
      <c r="AH1842" t="n">
        <v>3</v>
      </c>
      <c r="AI1842" t="n">
        <v>7</v>
      </c>
      <c r="AJ1842" t="n">
        <v>18</v>
      </c>
      <c r="AK1842" t="n">
        <v>24</v>
      </c>
      <c r="AL1842" t="n">
        <v>1</v>
      </c>
      <c r="AM1842" t="n">
        <v>1</v>
      </c>
      <c r="AN1842" t="n">
        <v>0</v>
      </c>
      <c r="AO1842" t="n">
        <v>0</v>
      </c>
      <c r="AP1842" t="inlineStr">
        <is>
          <t>No</t>
        </is>
      </c>
      <c r="AQ1842" t="inlineStr">
        <is>
          <t>No</t>
        </is>
      </c>
      <c r="AS1842">
        <f>HYPERLINK("https://creighton-primo.hosted.exlibrisgroup.com/primo-explore/search?tab=default_tab&amp;search_scope=EVERYTHING&amp;vid=01CRU&amp;lang=en_US&amp;offset=0&amp;query=any,contains,991003959829702656","Catalog Record")</f>
        <v/>
      </c>
      <c r="AT1842">
        <f>HYPERLINK("http://www.worldcat.org/oclc/1974211","WorldCat Record")</f>
        <v/>
      </c>
      <c r="AU1842" t="inlineStr">
        <is>
          <t>2724551:eng</t>
        </is>
      </c>
      <c r="AV1842" t="inlineStr">
        <is>
          <t>1974211</t>
        </is>
      </c>
      <c r="AW1842" t="inlineStr">
        <is>
          <t>991003959829702656</t>
        </is>
      </c>
      <c r="AX1842" t="inlineStr">
        <is>
          <t>991003959829702656</t>
        </is>
      </c>
      <c r="AY1842" t="inlineStr">
        <is>
          <t>2262954070002656</t>
        </is>
      </c>
      <c r="AZ1842" t="inlineStr">
        <is>
          <t>BOOK</t>
        </is>
      </c>
      <c r="BB1842" t="inlineStr">
        <is>
          <t>9780829402483</t>
        </is>
      </c>
      <c r="BC1842" t="inlineStr">
        <is>
          <t>32285000852995</t>
        </is>
      </c>
      <c r="BD1842" t="inlineStr">
        <is>
          <t>893810286</t>
        </is>
      </c>
    </row>
    <row r="1843">
      <c r="A1843" t="inlineStr">
        <is>
          <t>No</t>
        </is>
      </c>
      <c r="B1843" t="inlineStr">
        <is>
          <t>BX382 .E813</t>
        </is>
      </c>
      <c r="C1843" t="inlineStr">
        <is>
          <t>0                      BX 0382000E  813</t>
        </is>
      </c>
      <c r="D1843" t="inlineStr">
        <is>
          <t>The struggle with God, by Paul Evdokimov. Translated by Sister Gertrude.</t>
        </is>
      </c>
      <c r="F1843" t="inlineStr">
        <is>
          <t>No</t>
        </is>
      </c>
      <c r="G1843" t="inlineStr">
        <is>
          <t>1</t>
        </is>
      </c>
      <c r="H1843" t="inlineStr">
        <is>
          <t>No</t>
        </is>
      </c>
      <c r="I1843" t="inlineStr">
        <is>
          <t>No</t>
        </is>
      </c>
      <c r="J1843" t="inlineStr">
        <is>
          <t>0</t>
        </is>
      </c>
      <c r="K1843" t="inlineStr">
        <is>
          <t>Evdokimov, Paul, 1901-1970.</t>
        </is>
      </c>
      <c r="L1843" t="inlineStr">
        <is>
          <t>Glen Rock, N. J., Paulist Press [1966]</t>
        </is>
      </c>
      <c r="M1843" t="inlineStr">
        <is>
          <t>1966</t>
        </is>
      </c>
      <c r="O1843" t="inlineStr">
        <is>
          <t>eng</t>
        </is>
      </c>
      <c r="P1843" t="inlineStr">
        <is>
          <t>nju</t>
        </is>
      </c>
      <c r="Q1843" t="inlineStr">
        <is>
          <t>Exploration books</t>
        </is>
      </c>
      <c r="R1843" t="inlineStr">
        <is>
          <t xml:space="preserve">BX </t>
        </is>
      </c>
      <c r="S1843" t="n">
        <v>4</v>
      </c>
      <c r="T1843" t="n">
        <v>4</v>
      </c>
      <c r="U1843" t="inlineStr">
        <is>
          <t>2004-06-17</t>
        </is>
      </c>
      <c r="V1843" t="inlineStr">
        <is>
          <t>2004-06-17</t>
        </is>
      </c>
      <c r="W1843" t="inlineStr">
        <is>
          <t>1990-08-09</t>
        </is>
      </c>
      <c r="X1843" t="inlineStr">
        <is>
          <t>1990-08-09</t>
        </is>
      </c>
      <c r="Y1843" t="n">
        <v>181</v>
      </c>
      <c r="Z1843" t="n">
        <v>156</v>
      </c>
      <c r="AA1843" t="n">
        <v>223</v>
      </c>
      <c r="AB1843" t="n">
        <v>2</v>
      </c>
      <c r="AC1843" t="n">
        <v>2</v>
      </c>
      <c r="AD1843" t="n">
        <v>24</v>
      </c>
      <c r="AE1843" t="n">
        <v>27</v>
      </c>
      <c r="AF1843" t="n">
        <v>6</v>
      </c>
      <c r="AG1843" t="n">
        <v>8</v>
      </c>
      <c r="AH1843" t="n">
        <v>7</v>
      </c>
      <c r="AI1843" t="n">
        <v>7</v>
      </c>
      <c r="AJ1843" t="n">
        <v>19</v>
      </c>
      <c r="AK1843" t="n">
        <v>20</v>
      </c>
      <c r="AL1843" t="n">
        <v>0</v>
      </c>
      <c r="AM1843" t="n">
        <v>0</v>
      </c>
      <c r="AN1843" t="n">
        <v>0</v>
      </c>
      <c r="AO1843" t="n">
        <v>0</v>
      </c>
      <c r="AP1843" t="inlineStr">
        <is>
          <t>No</t>
        </is>
      </c>
      <c r="AQ1843" t="inlineStr">
        <is>
          <t>No</t>
        </is>
      </c>
      <c r="AS1843">
        <f>HYPERLINK("https://creighton-primo.hosted.exlibrisgroup.com/primo-explore/search?tab=default_tab&amp;search_scope=EVERYTHING&amp;vid=01CRU&amp;lang=en_US&amp;offset=0&amp;query=any,contains,991004326039702656","Catalog Record")</f>
        <v/>
      </c>
      <c r="AT1843">
        <f>HYPERLINK("http://www.worldcat.org/oclc/3037831","WorldCat Record")</f>
        <v/>
      </c>
      <c r="AU1843" t="inlineStr">
        <is>
          <t>1216625648:eng</t>
        </is>
      </c>
      <c r="AV1843" t="inlineStr">
        <is>
          <t>3037831</t>
        </is>
      </c>
      <c r="AW1843" t="inlineStr">
        <is>
          <t>991004326039702656</t>
        </is>
      </c>
      <c r="AX1843" t="inlineStr">
        <is>
          <t>991004326039702656</t>
        </is>
      </c>
      <c r="AY1843" t="inlineStr">
        <is>
          <t>2260739870002656</t>
        </is>
      </c>
      <c r="AZ1843" t="inlineStr">
        <is>
          <t>BOOK</t>
        </is>
      </c>
      <c r="BC1843" t="inlineStr">
        <is>
          <t>32285000272582</t>
        </is>
      </c>
      <c r="BD1843" t="inlineStr">
        <is>
          <t>893693800</t>
        </is>
      </c>
    </row>
    <row r="1844">
      <c r="A1844" t="inlineStr">
        <is>
          <t>No</t>
        </is>
      </c>
      <c r="B1844" t="inlineStr">
        <is>
          <t>BX382 .N53 1989</t>
        </is>
      </c>
      <c r="C1844" t="inlineStr">
        <is>
          <t>0                      BX 0382000N  53          1989</t>
        </is>
      </c>
      <c r="D1844" t="inlineStr">
        <is>
          <t>Nicodemos of the Holy Mountain : a handbook of spiritual counsel / translation and foreword by Peter A. Chamberas ; introduction by George S. Bebis ; preface by Stanley S. Harakas.</t>
        </is>
      </c>
      <c r="F1844" t="inlineStr">
        <is>
          <t>No</t>
        </is>
      </c>
      <c r="G1844" t="inlineStr">
        <is>
          <t>1</t>
        </is>
      </c>
      <c r="H1844" t="inlineStr">
        <is>
          <t>No</t>
        </is>
      </c>
      <c r="I1844" t="inlineStr">
        <is>
          <t>No</t>
        </is>
      </c>
      <c r="J1844" t="inlineStr">
        <is>
          <t>0</t>
        </is>
      </c>
      <c r="K1844" t="inlineStr">
        <is>
          <t>Nicodemus, the Hagiorite, Saint, 1748-1809.</t>
        </is>
      </c>
      <c r="L1844" t="inlineStr">
        <is>
          <t>New York : Paulist Press, c1989.</t>
        </is>
      </c>
      <c r="M1844" t="inlineStr">
        <is>
          <t>1989</t>
        </is>
      </c>
      <c r="O1844" t="inlineStr">
        <is>
          <t>eng</t>
        </is>
      </c>
      <c r="P1844" t="inlineStr">
        <is>
          <t>nyu</t>
        </is>
      </c>
      <c r="Q1844" t="inlineStr">
        <is>
          <t>The Classics of western spirituality</t>
        </is>
      </c>
      <c r="R1844" t="inlineStr">
        <is>
          <t xml:space="preserve">BX </t>
        </is>
      </c>
      <c r="S1844" t="n">
        <v>5</v>
      </c>
      <c r="T1844" t="n">
        <v>5</v>
      </c>
      <c r="U1844" t="inlineStr">
        <is>
          <t>1999-06-15</t>
        </is>
      </c>
      <c r="V1844" t="inlineStr">
        <is>
          <t>1999-06-15</t>
        </is>
      </c>
      <c r="W1844" t="inlineStr">
        <is>
          <t>1992-04-10</t>
        </is>
      </c>
      <c r="X1844" t="inlineStr">
        <is>
          <t>1992-04-10</t>
        </is>
      </c>
      <c r="Y1844" t="n">
        <v>516</v>
      </c>
      <c r="Z1844" t="n">
        <v>459</v>
      </c>
      <c r="AA1844" t="n">
        <v>463</v>
      </c>
      <c r="AB1844" t="n">
        <v>5</v>
      </c>
      <c r="AC1844" t="n">
        <v>5</v>
      </c>
      <c r="AD1844" t="n">
        <v>34</v>
      </c>
      <c r="AE1844" t="n">
        <v>35</v>
      </c>
      <c r="AF1844" t="n">
        <v>13</v>
      </c>
      <c r="AG1844" t="n">
        <v>14</v>
      </c>
      <c r="AH1844" t="n">
        <v>5</v>
      </c>
      <c r="AI1844" t="n">
        <v>5</v>
      </c>
      <c r="AJ1844" t="n">
        <v>18</v>
      </c>
      <c r="AK1844" t="n">
        <v>19</v>
      </c>
      <c r="AL1844" t="n">
        <v>4</v>
      </c>
      <c r="AM1844" t="n">
        <v>4</v>
      </c>
      <c r="AN1844" t="n">
        <v>0</v>
      </c>
      <c r="AO1844" t="n">
        <v>0</v>
      </c>
      <c r="AP1844" t="inlineStr">
        <is>
          <t>No</t>
        </is>
      </c>
      <c r="AQ1844" t="inlineStr">
        <is>
          <t>Yes</t>
        </is>
      </c>
      <c r="AR1844">
        <f>HYPERLINK("http://catalog.hathitrust.org/Record/001839576","HathiTrust Record")</f>
        <v/>
      </c>
      <c r="AS1844">
        <f>HYPERLINK("https://creighton-primo.hosted.exlibrisgroup.com/primo-explore/search?tab=default_tab&amp;search_scope=EVERYTHING&amp;vid=01CRU&amp;lang=en_US&amp;offset=0&amp;query=any,contains,991001428419702656","Catalog Record")</f>
        <v/>
      </c>
      <c r="AT1844">
        <f>HYPERLINK("http://www.worldcat.org/oclc/19064998","WorldCat Record")</f>
        <v/>
      </c>
      <c r="AU1844" t="inlineStr">
        <is>
          <t>18594643:eng</t>
        </is>
      </c>
      <c r="AV1844" t="inlineStr">
        <is>
          <t>19064998</t>
        </is>
      </c>
      <c r="AW1844" t="inlineStr">
        <is>
          <t>991001428419702656</t>
        </is>
      </c>
      <c r="AX1844" t="inlineStr">
        <is>
          <t>991001428419702656</t>
        </is>
      </c>
      <c r="AY1844" t="inlineStr">
        <is>
          <t>2260790160002656</t>
        </is>
      </c>
      <c r="AZ1844" t="inlineStr">
        <is>
          <t>BOOK</t>
        </is>
      </c>
      <c r="BB1844" t="inlineStr">
        <is>
          <t>9780809130382</t>
        </is>
      </c>
      <c r="BC1844" t="inlineStr">
        <is>
          <t>32285001017879</t>
        </is>
      </c>
      <c r="BD1844" t="inlineStr">
        <is>
          <t>893608864</t>
        </is>
      </c>
    </row>
    <row r="1845">
      <c r="A1845" t="inlineStr">
        <is>
          <t>No</t>
        </is>
      </c>
      <c r="B1845" t="inlineStr">
        <is>
          <t>BX382.5 .H3813 1990</t>
        </is>
      </c>
      <c r="C1845" t="inlineStr">
        <is>
          <t>0                      BX 0382500H  3813        1990</t>
        </is>
      </c>
      <c r="D1845" t="inlineStr">
        <is>
          <t>Spiritual direction in the early christian east / by Irenee Hausherr ; foreword by Kallistos [Ware] of Diokleia ; translated by Anthony P. Gythiel.</t>
        </is>
      </c>
      <c r="F1845" t="inlineStr">
        <is>
          <t>No</t>
        </is>
      </c>
      <c r="G1845" t="inlineStr">
        <is>
          <t>1</t>
        </is>
      </c>
      <c r="H1845" t="inlineStr">
        <is>
          <t>No</t>
        </is>
      </c>
      <c r="I1845" t="inlineStr">
        <is>
          <t>No</t>
        </is>
      </c>
      <c r="J1845" t="inlineStr">
        <is>
          <t>0</t>
        </is>
      </c>
      <c r="K1845" t="inlineStr">
        <is>
          <t>Hausherr, Irénée, 1891-1978.</t>
        </is>
      </c>
      <c r="L1845" t="inlineStr">
        <is>
          <t>Kalamazoo, Mich. : Cistercian Publications, 1990.</t>
        </is>
      </c>
      <c r="M1845" t="inlineStr">
        <is>
          <t>1990</t>
        </is>
      </c>
      <c r="O1845" t="inlineStr">
        <is>
          <t>eng</t>
        </is>
      </c>
      <c r="P1845" t="inlineStr">
        <is>
          <t>miu</t>
        </is>
      </c>
      <c r="Q1845" t="inlineStr">
        <is>
          <t>Cistercian studies series ; no. 116</t>
        </is>
      </c>
      <c r="R1845" t="inlineStr">
        <is>
          <t xml:space="preserve">BX </t>
        </is>
      </c>
      <c r="S1845" t="n">
        <v>6</v>
      </c>
      <c r="T1845" t="n">
        <v>6</v>
      </c>
      <c r="U1845" t="inlineStr">
        <is>
          <t>1997-06-23</t>
        </is>
      </c>
      <c r="V1845" t="inlineStr">
        <is>
          <t>1997-06-23</t>
        </is>
      </c>
      <c r="W1845" t="inlineStr">
        <is>
          <t>1991-05-01</t>
        </is>
      </c>
      <c r="X1845" t="inlineStr">
        <is>
          <t>1991-05-01</t>
        </is>
      </c>
      <c r="Y1845" t="n">
        <v>252</v>
      </c>
      <c r="Z1845" t="n">
        <v>202</v>
      </c>
      <c r="AA1845" t="n">
        <v>208</v>
      </c>
      <c r="AB1845" t="n">
        <v>2</v>
      </c>
      <c r="AC1845" t="n">
        <v>2</v>
      </c>
      <c r="AD1845" t="n">
        <v>20</v>
      </c>
      <c r="AE1845" t="n">
        <v>21</v>
      </c>
      <c r="AF1845" t="n">
        <v>9</v>
      </c>
      <c r="AG1845" t="n">
        <v>10</v>
      </c>
      <c r="AH1845" t="n">
        <v>5</v>
      </c>
      <c r="AI1845" t="n">
        <v>5</v>
      </c>
      <c r="AJ1845" t="n">
        <v>13</v>
      </c>
      <c r="AK1845" t="n">
        <v>14</v>
      </c>
      <c r="AL1845" t="n">
        <v>0</v>
      </c>
      <c r="AM1845" t="n">
        <v>0</v>
      </c>
      <c r="AN1845" t="n">
        <v>0</v>
      </c>
      <c r="AO1845" t="n">
        <v>0</v>
      </c>
      <c r="AP1845" t="inlineStr">
        <is>
          <t>No</t>
        </is>
      </c>
      <c r="AQ1845" t="inlineStr">
        <is>
          <t>Yes</t>
        </is>
      </c>
      <c r="AR1845">
        <f>HYPERLINK("http://catalog.hathitrust.org/Record/002437243","HathiTrust Record")</f>
        <v/>
      </c>
      <c r="AS1845">
        <f>HYPERLINK("https://creighton-primo.hosted.exlibrisgroup.com/primo-explore/search?tab=default_tab&amp;search_scope=EVERYTHING&amp;vid=01CRU&amp;lang=en_US&amp;offset=0&amp;query=any,contains,991001407929702656","Catalog Record")</f>
        <v/>
      </c>
      <c r="AT1845">
        <f>HYPERLINK("http://www.worldcat.org/oclc/18870333","WorldCat Record")</f>
        <v/>
      </c>
      <c r="AU1845" t="inlineStr">
        <is>
          <t>1153276384:eng</t>
        </is>
      </c>
      <c r="AV1845" t="inlineStr">
        <is>
          <t>18870333</t>
        </is>
      </c>
      <c r="AW1845" t="inlineStr">
        <is>
          <t>991001407929702656</t>
        </is>
      </c>
      <c r="AX1845" t="inlineStr">
        <is>
          <t>991001407929702656</t>
        </is>
      </c>
      <c r="AY1845" t="inlineStr">
        <is>
          <t>2256840460002656</t>
        </is>
      </c>
      <c r="AZ1845" t="inlineStr">
        <is>
          <t>BOOK</t>
        </is>
      </c>
      <c r="BB1845" t="inlineStr">
        <is>
          <t>9780879074166</t>
        </is>
      </c>
      <c r="BC1845" t="inlineStr">
        <is>
          <t>32285000570936</t>
        </is>
      </c>
      <c r="BD1845" t="inlineStr">
        <is>
          <t>893522562</t>
        </is>
      </c>
    </row>
    <row r="1846">
      <c r="A1846" t="inlineStr">
        <is>
          <t>No</t>
        </is>
      </c>
      <c r="B1846" t="inlineStr">
        <is>
          <t>BX384.5 .L4513 2003</t>
        </is>
      </c>
      <c r="C1846" t="inlineStr">
        <is>
          <t>0                      BX 0384500L  4513        2003</t>
        </is>
      </c>
      <c r="D1846" t="inlineStr">
        <is>
          <t>Being still : reflections on an ancient mystical tradition / Jean-Yves Leloup ; translated and edited by M.S. Laird.</t>
        </is>
      </c>
      <c r="F1846" t="inlineStr">
        <is>
          <t>No</t>
        </is>
      </c>
      <c r="G1846" t="inlineStr">
        <is>
          <t>1</t>
        </is>
      </c>
      <c r="H1846" t="inlineStr">
        <is>
          <t>No</t>
        </is>
      </c>
      <c r="I1846" t="inlineStr">
        <is>
          <t>No</t>
        </is>
      </c>
      <c r="J1846" t="inlineStr">
        <is>
          <t>0</t>
        </is>
      </c>
      <c r="K1846" t="inlineStr">
        <is>
          <t>Leloup, Jean-Yves.</t>
        </is>
      </c>
      <c r="L1846" t="inlineStr">
        <is>
          <t>Leominster, Herefordshire : Gracewing ; New York : Paulist Press, 2003.</t>
        </is>
      </c>
      <c r="M1846" t="inlineStr">
        <is>
          <t>2003</t>
        </is>
      </c>
      <c r="O1846" t="inlineStr">
        <is>
          <t>eng</t>
        </is>
      </c>
      <c r="P1846" t="inlineStr">
        <is>
          <t>enk</t>
        </is>
      </c>
      <c r="R1846" t="inlineStr">
        <is>
          <t xml:space="preserve">BX </t>
        </is>
      </c>
      <c r="S1846" t="n">
        <v>1</v>
      </c>
      <c r="T1846" t="n">
        <v>1</v>
      </c>
      <c r="U1846" t="inlineStr">
        <is>
          <t>2007-10-15</t>
        </is>
      </c>
      <c r="V1846" t="inlineStr">
        <is>
          <t>2007-10-15</t>
        </is>
      </c>
      <c r="W1846" t="inlineStr">
        <is>
          <t>2003-11-17</t>
        </is>
      </c>
      <c r="X1846" t="inlineStr">
        <is>
          <t>2003-11-17</t>
        </is>
      </c>
      <c r="Y1846" t="n">
        <v>131</v>
      </c>
      <c r="Z1846" t="n">
        <v>108</v>
      </c>
      <c r="AA1846" t="n">
        <v>113</v>
      </c>
      <c r="AB1846" t="n">
        <v>1</v>
      </c>
      <c r="AC1846" t="n">
        <v>1</v>
      </c>
      <c r="AD1846" t="n">
        <v>12</v>
      </c>
      <c r="AE1846" t="n">
        <v>12</v>
      </c>
      <c r="AF1846" t="n">
        <v>4</v>
      </c>
      <c r="AG1846" t="n">
        <v>4</v>
      </c>
      <c r="AH1846" t="n">
        <v>4</v>
      </c>
      <c r="AI1846" t="n">
        <v>4</v>
      </c>
      <c r="AJ1846" t="n">
        <v>8</v>
      </c>
      <c r="AK1846" t="n">
        <v>8</v>
      </c>
      <c r="AL1846" t="n">
        <v>0</v>
      </c>
      <c r="AM1846" t="n">
        <v>0</v>
      </c>
      <c r="AN1846" t="n">
        <v>0</v>
      </c>
      <c r="AO1846" t="n">
        <v>0</v>
      </c>
      <c r="AP1846" t="inlineStr">
        <is>
          <t>No</t>
        </is>
      </c>
      <c r="AQ1846" t="inlineStr">
        <is>
          <t>No</t>
        </is>
      </c>
      <c r="AS1846">
        <f>HYPERLINK("https://creighton-primo.hosted.exlibrisgroup.com/primo-explore/search?tab=default_tab&amp;search_scope=EVERYTHING&amp;vid=01CRU&amp;lang=en_US&amp;offset=0&amp;query=any,contains,991004166729702656","Catalog Record")</f>
        <v/>
      </c>
      <c r="AT1846">
        <f>HYPERLINK("http://www.worldcat.org/oclc/50422828","WorldCat Record")</f>
        <v/>
      </c>
      <c r="AU1846" t="inlineStr">
        <is>
          <t>4141130692:eng</t>
        </is>
      </c>
      <c r="AV1846" t="inlineStr">
        <is>
          <t>50422828</t>
        </is>
      </c>
      <c r="AW1846" t="inlineStr">
        <is>
          <t>991004166729702656</t>
        </is>
      </c>
      <c r="AX1846" t="inlineStr">
        <is>
          <t>991004166729702656</t>
        </is>
      </c>
      <c r="AY1846" t="inlineStr">
        <is>
          <t>2267050760002656</t>
        </is>
      </c>
      <c r="AZ1846" t="inlineStr">
        <is>
          <t>BOOK</t>
        </is>
      </c>
      <c r="BB1846" t="inlineStr">
        <is>
          <t>9780809141777</t>
        </is>
      </c>
      <c r="BC1846" t="inlineStr">
        <is>
          <t>32285004798384</t>
        </is>
      </c>
      <c r="BD1846" t="inlineStr">
        <is>
          <t>893411198</t>
        </is>
      </c>
    </row>
    <row r="1847">
      <c r="A1847" t="inlineStr">
        <is>
          <t>No</t>
        </is>
      </c>
      <c r="B1847" t="inlineStr">
        <is>
          <t>BX385.G8 H45 1996</t>
        </is>
      </c>
      <c r="C1847" t="inlineStr">
        <is>
          <t>0                      BX 0385000G  8                  H  45          1996</t>
        </is>
      </c>
      <c r="D1847" t="inlineStr">
        <is>
          <t>Monasteries of Greece / Chris Hellier.</t>
        </is>
      </c>
      <c r="F1847" t="inlineStr">
        <is>
          <t>No</t>
        </is>
      </c>
      <c r="G1847" t="inlineStr">
        <is>
          <t>1</t>
        </is>
      </c>
      <c r="H1847" t="inlineStr">
        <is>
          <t>No</t>
        </is>
      </c>
      <c r="I1847" t="inlineStr">
        <is>
          <t>No</t>
        </is>
      </c>
      <c r="J1847" t="inlineStr">
        <is>
          <t>0</t>
        </is>
      </c>
      <c r="K1847" t="inlineStr">
        <is>
          <t>Hellier, Chris.</t>
        </is>
      </c>
      <c r="L1847" t="inlineStr">
        <is>
          <t>London : Tauris Parke Books ; New York : Distributed by St. Martin's Press, c1996.</t>
        </is>
      </c>
      <c r="M1847" t="inlineStr">
        <is>
          <t>1996</t>
        </is>
      </c>
      <c r="O1847" t="inlineStr">
        <is>
          <t>eng</t>
        </is>
      </c>
      <c r="P1847" t="inlineStr">
        <is>
          <t>enk</t>
        </is>
      </c>
      <c r="R1847" t="inlineStr">
        <is>
          <t xml:space="preserve">BX </t>
        </is>
      </c>
      <c r="S1847" t="n">
        <v>5</v>
      </c>
      <c r="T1847" t="n">
        <v>5</v>
      </c>
      <c r="U1847" t="inlineStr">
        <is>
          <t>2005-03-10</t>
        </is>
      </c>
      <c r="V1847" t="inlineStr">
        <is>
          <t>2005-03-10</t>
        </is>
      </c>
      <c r="W1847" t="inlineStr">
        <is>
          <t>1997-03-17</t>
        </is>
      </c>
      <c r="X1847" t="inlineStr">
        <is>
          <t>1997-03-17</t>
        </is>
      </c>
      <c r="Y1847" t="n">
        <v>214</v>
      </c>
      <c r="Z1847" t="n">
        <v>166</v>
      </c>
      <c r="AA1847" t="n">
        <v>167</v>
      </c>
      <c r="AB1847" t="n">
        <v>2</v>
      </c>
      <c r="AC1847" t="n">
        <v>2</v>
      </c>
      <c r="AD1847" t="n">
        <v>8</v>
      </c>
      <c r="AE1847" t="n">
        <v>8</v>
      </c>
      <c r="AF1847" t="n">
        <v>1</v>
      </c>
      <c r="AG1847" t="n">
        <v>1</v>
      </c>
      <c r="AH1847" t="n">
        <v>2</v>
      </c>
      <c r="AI1847" t="n">
        <v>2</v>
      </c>
      <c r="AJ1847" t="n">
        <v>5</v>
      </c>
      <c r="AK1847" t="n">
        <v>5</v>
      </c>
      <c r="AL1847" t="n">
        <v>0</v>
      </c>
      <c r="AM1847" t="n">
        <v>0</v>
      </c>
      <c r="AN1847" t="n">
        <v>0</v>
      </c>
      <c r="AO1847" t="n">
        <v>0</v>
      </c>
      <c r="AP1847" t="inlineStr">
        <is>
          <t>No</t>
        </is>
      </c>
      <c r="AQ1847" t="inlineStr">
        <is>
          <t>Yes</t>
        </is>
      </c>
      <c r="AR1847">
        <f>HYPERLINK("http://catalog.hathitrust.org/Record/003159642","HathiTrust Record")</f>
        <v/>
      </c>
      <c r="AS1847">
        <f>HYPERLINK("https://creighton-primo.hosted.exlibrisgroup.com/primo-explore/search?tab=default_tab&amp;search_scope=EVERYTHING&amp;vid=01CRU&amp;lang=en_US&amp;offset=0&amp;query=any,contains,991002775789702656","Catalog Record")</f>
        <v/>
      </c>
      <c r="AT1847">
        <f>HYPERLINK("http://www.worldcat.org/oclc/36457290","WorldCat Record")</f>
        <v/>
      </c>
      <c r="AU1847" t="inlineStr">
        <is>
          <t>40446740:eng</t>
        </is>
      </c>
      <c r="AV1847" t="inlineStr">
        <is>
          <t>36457290</t>
        </is>
      </c>
      <c r="AW1847" t="inlineStr">
        <is>
          <t>991002775789702656</t>
        </is>
      </c>
      <c r="AX1847" t="inlineStr">
        <is>
          <t>991002775789702656</t>
        </is>
      </c>
      <c r="AY1847" t="inlineStr">
        <is>
          <t>2270137260002656</t>
        </is>
      </c>
      <c r="AZ1847" t="inlineStr">
        <is>
          <t>BOOK</t>
        </is>
      </c>
      <c r="BB1847" t="inlineStr">
        <is>
          <t>9781850432647</t>
        </is>
      </c>
      <c r="BC1847" t="inlineStr">
        <is>
          <t>32285002443637</t>
        </is>
      </c>
      <c r="BD1847" t="inlineStr">
        <is>
          <t>893239476</t>
        </is>
      </c>
    </row>
    <row r="1848">
      <c r="A1848" t="inlineStr">
        <is>
          <t>No</t>
        </is>
      </c>
      <c r="B1848" t="inlineStr">
        <is>
          <t>BX387 .E93 2004</t>
        </is>
      </c>
      <c r="C1848" t="inlineStr">
        <is>
          <t>0                      BX 0387000E  93          2004</t>
        </is>
      </c>
      <c r="D1848" t="inlineStr">
        <is>
          <t>Saint Catherine's Monastery, Sinai, Egypt : a photographic essay / text by Helen C. Evans ; photographs by Bruce White ; with a special introduction by His Eminence Archbishop Damianos of Sinai.</t>
        </is>
      </c>
      <c r="F1848" t="inlineStr">
        <is>
          <t>No</t>
        </is>
      </c>
      <c r="G1848" t="inlineStr">
        <is>
          <t>1</t>
        </is>
      </c>
      <c r="H1848" t="inlineStr">
        <is>
          <t>No</t>
        </is>
      </c>
      <c r="I1848" t="inlineStr">
        <is>
          <t>No</t>
        </is>
      </c>
      <c r="J1848" t="inlineStr">
        <is>
          <t>0</t>
        </is>
      </c>
      <c r="K1848" t="inlineStr">
        <is>
          <t>Evans, Helen C.</t>
        </is>
      </c>
      <c r="L1848" t="inlineStr">
        <is>
          <t>New York : Metropolitan Museum of Art in collaboration with Saint Catherine's Monastery, Sinai ; New Haven : Yale University Press, c2004.</t>
        </is>
      </c>
      <c r="M1848" t="inlineStr">
        <is>
          <t>2004</t>
        </is>
      </c>
      <c r="O1848" t="inlineStr">
        <is>
          <t>eng</t>
        </is>
      </c>
      <c r="P1848" t="inlineStr">
        <is>
          <t>nyu</t>
        </is>
      </c>
      <c r="R1848" t="inlineStr">
        <is>
          <t xml:space="preserve">BX </t>
        </is>
      </c>
      <c r="S1848" t="n">
        <v>1</v>
      </c>
      <c r="T1848" t="n">
        <v>1</v>
      </c>
      <c r="U1848" t="inlineStr">
        <is>
          <t>2007-03-21</t>
        </is>
      </c>
      <c r="V1848" t="inlineStr">
        <is>
          <t>2007-03-21</t>
        </is>
      </c>
      <c r="W1848" t="inlineStr">
        <is>
          <t>2007-03-21</t>
        </is>
      </c>
      <c r="X1848" t="inlineStr">
        <is>
          <t>2007-03-21</t>
        </is>
      </c>
      <c r="Y1848" t="n">
        <v>326</v>
      </c>
      <c r="Z1848" t="n">
        <v>259</v>
      </c>
      <c r="AA1848" t="n">
        <v>259</v>
      </c>
      <c r="AB1848" t="n">
        <v>4</v>
      </c>
      <c r="AC1848" t="n">
        <v>4</v>
      </c>
      <c r="AD1848" t="n">
        <v>14</v>
      </c>
      <c r="AE1848" t="n">
        <v>14</v>
      </c>
      <c r="AF1848" t="n">
        <v>4</v>
      </c>
      <c r="AG1848" t="n">
        <v>4</v>
      </c>
      <c r="AH1848" t="n">
        <v>4</v>
      </c>
      <c r="AI1848" t="n">
        <v>4</v>
      </c>
      <c r="AJ1848" t="n">
        <v>7</v>
      </c>
      <c r="AK1848" t="n">
        <v>7</v>
      </c>
      <c r="AL1848" t="n">
        <v>2</v>
      </c>
      <c r="AM1848" t="n">
        <v>2</v>
      </c>
      <c r="AN1848" t="n">
        <v>0</v>
      </c>
      <c r="AO1848" t="n">
        <v>0</v>
      </c>
      <c r="AP1848" t="inlineStr">
        <is>
          <t>No</t>
        </is>
      </c>
      <c r="AQ1848" t="inlineStr">
        <is>
          <t>No</t>
        </is>
      </c>
      <c r="AS1848">
        <f>HYPERLINK("https://creighton-primo.hosted.exlibrisgroup.com/primo-explore/search?tab=default_tab&amp;search_scope=EVERYTHING&amp;vid=01CRU&amp;lang=en_US&amp;offset=0&amp;query=any,contains,991005020849702656","Catalog Record")</f>
        <v/>
      </c>
      <c r="AT1848">
        <f>HYPERLINK("http://www.worldcat.org/oclc/53937699","WorldCat Record")</f>
        <v/>
      </c>
      <c r="AU1848" t="inlineStr">
        <is>
          <t>890628845:eng</t>
        </is>
      </c>
      <c r="AV1848" t="inlineStr">
        <is>
          <t>53937699</t>
        </is>
      </c>
      <c r="AW1848" t="inlineStr">
        <is>
          <t>991005020849702656</t>
        </is>
      </c>
      <c r="AX1848" t="inlineStr">
        <is>
          <t>991005020849702656</t>
        </is>
      </c>
      <c r="AY1848" t="inlineStr">
        <is>
          <t>2262749970002656</t>
        </is>
      </c>
      <c r="AZ1848" t="inlineStr">
        <is>
          <t>BOOK</t>
        </is>
      </c>
      <c r="BB1848" t="inlineStr">
        <is>
          <t>9780300102796</t>
        </is>
      </c>
      <c r="BC1848" t="inlineStr">
        <is>
          <t>32285005281869</t>
        </is>
      </c>
      <c r="BD1848" t="inlineStr">
        <is>
          <t>893536310</t>
        </is>
      </c>
    </row>
    <row r="1849">
      <c r="A1849" t="inlineStr">
        <is>
          <t>No</t>
        </is>
      </c>
      <c r="B1849" t="inlineStr">
        <is>
          <t>BX3880.Z5 N67 2002x</t>
        </is>
      </c>
      <c r="C1849" t="inlineStr">
        <is>
          <t>0                      BX 3880000Z  5                  N  67          2002x</t>
        </is>
      </c>
      <c r="D1849" t="inlineStr">
        <is>
          <t>Passionist ministry in North America and beyond.</t>
        </is>
      </c>
      <c r="F1849" t="inlineStr">
        <is>
          <t>No</t>
        </is>
      </c>
      <c r="G1849" t="inlineStr">
        <is>
          <t>1</t>
        </is>
      </c>
      <c r="H1849" t="inlineStr">
        <is>
          <t>No</t>
        </is>
      </c>
      <c r="I1849" t="inlineStr">
        <is>
          <t>No</t>
        </is>
      </c>
      <c r="J1849" t="inlineStr">
        <is>
          <t>0</t>
        </is>
      </c>
      <c r="L1849" t="inlineStr">
        <is>
          <t>South River, N.J. : Congregation of the Passion, St. Paul of the Cross Province ; Chicago : Congregation of the Passion, Holy Cross Province, c2002.</t>
        </is>
      </c>
      <c r="M1849" t="inlineStr">
        <is>
          <t>2002</t>
        </is>
      </c>
      <c r="O1849" t="inlineStr">
        <is>
          <t>eng</t>
        </is>
      </c>
      <c r="P1849" t="inlineStr">
        <is>
          <t>nju</t>
        </is>
      </c>
      <c r="R1849" t="inlineStr">
        <is>
          <t xml:space="preserve">BX </t>
        </is>
      </c>
      <c r="S1849" t="n">
        <v>4</v>
      </c>
      <c r="T1849" t="n">
        <v>4</v>
      </c>
      <c r="U1849" t="inlineStr">
        <is>
          <t>2007-07-23</t>
        </is>
      </c>
      <c r="V1849" t="inlineStr">
        <is>
          <t>2007-07-23</t>
        </is>
      </c>
      <c r="W1849" t="inlineStr">
        <is>
          <t>2003-04-22</t>
        </is>
      </c>
      <c r="X1849" t="inlineStr">
        <is>
          <t>2003-04-22</t>
        </is>
      </c>
      <c r="Y1849" t="n">
        <v>72</v>
      </c>
      <c r="Z1849" t="n">
        <v>69</v>
      </c>
      <c r="AA1849" t="n">
        <v>70</v>
      </c>
      <c r="AB1849" t="n">
        <v>1</v>
      </c>
      <c r="AC1849" t="n">
        <v>1</v>
      </c>
      <c r="AD1849" t="n">
        <v>14</v>
      </c>
      <c r="AE1849" t="n">
        <v>14</v>
      </c>
      <c r="AF1849" t="n">
        <v>2</v>
      </c>
      <c r="AG1849" t="n">
        <v>2</v>
      </c>
      <c r="AH1849" t="n">
        <v>3</v>
      </c>
      <c r="AI1849" t="n">
        <v>3</v>
      </c>
      <c r="AJ1849" t="n">
        <v>12</v>
      </c>
      <c r="AK1849" t="n">
        <v>12</v>
      </c>
      <c r="AL1849" t="n">
        <v>0</v>
      </c>
      <c r="AM1849" t="n">
        <v>0</v>
      </c>
      <c r="AN1849" t="n">
        <v>0</v>
      </c>
      <c r="AO1849" t="n">
        <v>0</v>
      </c>
      <c r="AP1849" t="inlineStr">
        <is>
          <t>No</t>
        </is>
      </c>
      <c r="AQ1849" t="inlineStr">
        <is>
          <t>No</t>
        </is>
      </c>
      <c r="AS1849">
        <f>HYPERLINK("https://creighton-primo.hosted.exlibrisgroup.com/primo-explore/search?tab=default_tab&amp;search_scope=EVERYTHING&amp;vid=01CRU&amp;lang=en_US&amp;offset=0&amp;query=any,contains,991004039599702656","Catalog Record")</f>
        <v/>
      </c>
      <c r="AT1849">
        <f>HYPERLINK("http://www.worldcat.org/oclc/51576315","WorldCat Record")</f>
        <v/>
      </c>
      <c r="AU1849" t="inlineStr">
        <is>
          <t>9405924:eng</t>
        </is>
      </c>
      <c r="AV1849" t="inlineStr">
        <is>
          <t>51576315</t>
        </is>
      </c>
      <c r="AW1849" t="inlineStr">
        <is>
          <t>991004039599702656</t>
        </is>
      </c>
      <c r="AX1849" t="inlineStr">
        <is>
          <t>991004039599702656</t>
        </is>
      </c>
      <c r="AY1849" t="inlineStr">
        <is>
          <t>2264072230002656</t>
        </is>
      </c>
      <c r="AZ1849" t="inlineStr">
        <is>
          <t>BOOK</t>
        </is>
      </c>
      <c r="BC1849" t="inlineStr">
        <is>
          <t>32285004743380</t>
        </is>
      </c>
      <c r="BD1849" t="inlineStr">
        <is>
          <t>893699767</t>
        </is>
      </c>
    </row>
    <row r="1850">
      <c r="A1850" t="inlineStr">
        <is>
          <t>No</t>
        </is>
      </c>
      <c r="B1850" t="inlineStr">
        <is>
          <t>BX3902.3 .N67 2007</t>
        </is>
      </c>
      <c r="C1850" t="inlineStr">
        <is>
          <t>0                      BX 3902300N  67          2007</t>
        </is>
      </c>
      <c r="D1850" t="inlineStr">
        <is>
          <t>Norbert and early norbertine spirituality : selected and introduced by Theodore J. Antry and Carol Neel ; preface by Andrew D. Ciferni.</t>
        </is>
      </c>
      <c r="F1850" t="inlineStr">
        <is>
          <t>No</t>
        </is>
      </c>
      <c r="G1850" t="inlineStr">
        <is>
          <t>1</t>
        </is>
      </c>
      <c r="H1850" t="inlineStr">
        <is>
          <t>No</t>
        </is>
      </c>
      <c r="I1850" t="inlineStr">
        <is>
          <t>No</t>
        </is>
      </c>
      <c r="J1850" t="inlineStr">
        <is>
          <t>0</t>
        </is>
      </c>
      <c r="L1850" t="inlineStr">
        <is>
          <t>New York : Paulist Press, c2007.</t>
        </is>
      </c>
      <c r="M1850" t="inlineStr">
        <is>
          <t>2007</t>
        </is>
      </c>
      <c r="O1850" t="inlineStr">
        <is>
          <t>eng</t>
        </is>
      </c>
      <c r="P1850" t="inlineStr">
        <is>
          <t>nyu</t>
        </is>
      </c>
      <c r="Q1850" t="inlineStr">
        <is>
          <t>The classics of Western spirituality</t>
        </is>
      </c>
      <c r="R1850" t="inlineStr">
        <is>
          <t xml:space="preserve">BX </t>
        </is>
      </c>
      <c r="S1850" t="n">
        <v>1</v>
      </c>
      <c r="T1850" t="n">
        <v>1</v>
      </c>
      <c r="U1850" t="inlineStr">
        <is>
          <t>2008-01-17</t>
        </is>
      </c>
      <c r="V1850" t="inlineStr">
        <is>
          <t>2008-01-17</t>
        </is>
      </c>
      <c r="W1850" t="inlineStr">
        <is>
          <t>2008-01-17</t>
        </is>
      </c>
      <c r="X1850" t="inlineStr">
        <is>
          <t>2008-01-17</t>
        </is>
      </c>
      <c r="Y1850" t="n">
        <v>375</v>
      </c>
      <c r="Z1850" t="n">
        <v>325</v>
      </c>
      <c r="AA1850" t="n">
        <v>327</v>
      </c>
      <c r="AB1850" t="n">
        <v>2</v>
      </c>
      <c r="AC1850" t="n">
        <v>2</v>
      </c>
      <c r="AD1850" t="n">
        <v>31</v>
      </c>
      <c r="AE1850" t="n">
        <v>31</v>
      </c>
      <c r="AF1850" t="n">
        <v>14</v>
      </c>
      <c r="AG1850" t="n">
        <v>14</v>
      </c>
      <c r="AH1850" t="n">
        <v>8</v>
      </c>
      <c r="AI1850" t="n">
        <v>8</v>
      </c>
      <c r="AJ1850" t="n">
        <v>18</v>
      </c>
      <c r="AK1850" t="n">
        <v>18</v>
      </c>
      <c r="AL1850" t="n">
        <v>1</v>
      </c>
      <c r="AM1850" t="n">
        <v>1</v>
      </c>
      <c r="AN1850" t="n">
        <v>0</v>
      </c>
      <c r="AO1850" t="n">
        <v>0</v>
      </c>
      <c r="AP1850" t="inlineStr">
        <is>
          <t>No</t>
        </is>
      </c>
      <c r="AQ1850" t="inlineStr">
        <is>
          <t>Yes</t>
        </is>
      </c>
      <c r="AR1850">
        <f>HYPERLINK("http://catalog.hathitrust.org/Record/005656053","HathiTrust Record")</f>
        <v/>
      </c>
      <c r="AS1850">
        <f>HYPERLINK("https://creighton-primo.hosted.exlibrisgroup.com/primo-explore/search?tab=default_tab&amp;search_scope=EVERYTHING&amp;vid=01CRU&amp;lang=en_US&amp;offset=0&amp;query=any,contains,991005171879702656","Catalog Record")</f>
        <v/>
      </c>
      <c r="AT1850">
        <f>HYPERLINK("http://www.worldcat.org/oclc/86117682","WorldCat Record")</f>
        <v/>
      </c>
      <c r="AU1850" t="inlineStr">
        <is>
          <t>1008916162:eng</t>
        </is>
      </c>
      <c r="AV1850" t="inlineStr">
        <is>
          <t>86117682</t>
        </is>
      </c>
      <c r="AW1850" t="inlineStr">
        <is>
          <t>991005171879702656</t>
        </is>
      </c>
      <c r="AX1850" t="inlineStr">
        <is>
          <t>991005171879702656</t>
        </is>
      </c>
      <c r="AY1850" t="inlineStr">
        <is>
          <t>2269571740002656</t>
        </is>
      </c>
      <c r="AZ1850" t="inlineStr">
        <is>
          <t>BOOK</t>
        </is>
      </c>
      <c r="BB1850" t="inlineStr">
        <is>
          <t>9780809105779</t>
        </is>
      </c>
      <c r="BC1850" t="inlineStr">
        <is>
          <t>32285005379101</t>
        </is>
      </c>
      <c r="BD1850" t="inlineStr">
        <is>
          <t>893801858</t>
        </is>
      </c>
    </row>
    <row r="1851">
      <c r="A1851" t="inlineStr">
        <is>
          <t>No</t>
        </is>
      </c>
      <c r="B1851" t="inlineStr">
        <is>
          <t>BX393 .H65 1996</t>
        </is>
      </c>
      <c r="C1851" t="inlineStr">
        <is>
          <t>0                      BX 0393000H  65          1996</t>
        </is>
      </c>
      <c r="D1851" t="inlineStr">
        <is>
          <t>Holy women of Byzantium : ten saints' lives in English translation / edited by Alice-Mary Talbot.</t>
        </is>
      </c>
      <c r="F1851" t="inlineStr">
        <is>
          <t>No</t>
        </is>
      </c>
      <c r="G1851" t="inlineStr">
        <is>
          <t>1</t>
        </is>
      </c>
      <c r="H1851" t="inlineStr">
        <is>
          <t>No</t>
        </is>
      </c>
      <c r="I1851" t="inlineStr">
        <is>
          <t>No</t>
        </is>
      </c>
      <c r="J1851" t="inlineStr">
        <is>
          <t>0</t>
        </is>
      </c>
      <c r="L1851" t="inlineStr">
        <is>
          <t>Washington, D.C. : Dumbarton Oaks Research Library and Collection, c1996.</t>
        </is>
      </c>
      <c r="M1851" t="inlineStr">
        <is>
          <t>1996</t>
        </is>
      </c>
      <c r="O1851" t="inlineStr">
        <is>
          <t>eng</t>
        </is>
      </c>
      <c r="P1851" t="inlineStr">
        <is>
          <t>dcu</t>
        </is>
      </c>
      <c r="Q1851" t="inlineStr">
        <is>
          <t>Byzantine saints' lives in translation ; 1</t>
        </is>
      </c>
      <c r="R1851" t="inlineStr">
        <is>
          <t xml:space="preserve">BX </t>
        </is>
      </c>
      <c r="S1851" t="n">
        <v>6</v>
      </c>
      <c r="T1851" t="n">
        <v>6</v>
      </c>
      <c r="U1851" t="inlineStr">
        <is>
          <t>2004-04-14</t>
        </is>
      </c>
      <c r="V1851" t="inlineStr">
        <is>
          <t>2004-04-14</t>
        </is>
      </c>
      <c r="W1851" t="inlineStr">
        <is>
          <t>1998-09-16</t>
        </is>
      </c>
      <c r="X1851" t="inlineStr">
        <is>
          <t>1998-09-16</t>
        </is>
      </c>
      <c r="Y1851" t="n">
        <v>281</v>
      </c>
      <c r="Z1851" t="n">
        <v>204</v>
      </c>
      <c r="AA1851" t="n">
        <v>233</v>
      </c>
      <c r="AB1851" t="n">
        <v>1</v>
      </c>
      <c r="AC1851" t="n">
        <v>1</v>
      </c>
      <c r="AD1851" t="n">
        <v>13</v>
      </c>
      <c r="AE1851" t="n">
        <v>15</v>
      </c>
      <c r="AF1851" t="n">
        <v>3</v>
      </c>
      <c r="AG1851" t="n">
        <v>3</v>
      </c>
      <c r="AH1851" t="n">
        <v>4</v>
      </c>
      <c r="AI1851" t="n">
        <v>4</v>
      </c>
      <c r="AJ1851" t="n">
        <v>10</v>
      </c>
      <c r="AK1851" t="n">
        <v>12</v>
      </c>
      <c r="AL1851" t="n">
        <v>0</v>
      </c>
      <c r="AM1851" t="n">
        <v>0</v>
      </c>
      <c r="AN1851" t="n">
        <v>0</v>
      </c>
      <c r="AO1851" t="n">
        <v>0</v>
      </c>
      <c r="AP1851" t="inlineStr">
        <is>
          <t>No</t>
        </is>
      </c>
      <c r="AQ1851" t="inlineStr">
        <is>
          <t>Yes</t>
        </is>
      </c>
      <c r="AR1851">
        <f>HYPERLINK("http://catalog.hathitrust.org/Record/003135225","HathiTrust Record")</f>
        <v/>
      </c>
      <c r="AS1851">
        <f>HYPERLINK("https://creighton-primo.hosted.exlibrisgroup.com/primo-explore/search?tab=default_tab&amp;search_scope=EVERYTHING&amp;vid=01CRU&amp;lang=en_US&amp;offset=0&amp;query=any,contains,991002594419702656","Catalog Record")</f>
        <v/>
      </c>
      <c r="AT1851">
        <f>HYPERLINK("http://www.worldcat.org/oclc/33983174","WorldCat Record")</f>
        <v/>
      </c>
      <c r="AU1851" t="inlineStr">
        <is>
          <t>807077136:eng</t>
        </is>
      </c>
      <c r="AV1851" t="inlineStr">
        <is>
          <t>33983174</t>
        </is>
      </c>
      <c r="AW1851" t="inlineStr">
        <is>
          <t>991002594419702656</t>
        </is>
      </c>
      <c r="AX1851" t="inlineStr">
        <is>
          <t>991002594419702656</t>
        </is>
      </c>
      <c r="AY1851" t="inlineStr">
        <is>
          <t>2262073330002656</t>
        </is>
      </c>
      <c r="AZ1851" t="inlineStr">
        <is>
          <t>BOOK</t>
        </is>
      </c>
      <c r="BB1851" t="inlineStr">
        <is>
          <t>9780884022411</t>
        </is>
      </c>
      <c r="BC1851" t="inlineStr">
        <is>
          <t>32285003469003</t>
        </is>
      </c>
      <c r="BD1851" t="inlineStr">
        <is>
          <t>893704258</t>
        </is>
      </c>
    </row>
    <row r="1852">
      <c r="A1852" t="inlineStr">
        <is>
          <t>No</t>
        </is>
      </c>
      <c r="B1852" t="inlineStr">
        <is>
          <t>BX395.N415 T73 1984</t>
        </is>
      </c>
      <c r="C1852" t="inlineStr">
        <is>
          <t>0                      BX 0395000N  415                T  73          1984</t>
        </is>
      </c>
      <c r="D1852" t="inlineStr">
        <is>
          <t>In defense of faith : the theology of Patriarch Nikephoros of Constantinople / by John Travis.</t>
        </is>
      </c>
      <c r="F1852" t="inlineStr">
        <is>
          <t>No</t>
        </is>
      </c>
      <c r="G1852" t="inlineStr">
        <is>
          <t>1</t>
        </is>
      </c>
      <c r="H1852" t="inlineStr">
        <is>
          <t>No</t>
        </is>
      </c>
      <c r="I1852" t="inlineStr">
        <is>
          <t>No</t>
        </is>
      </c>
      <c r="J1852" t="inlineStr">
        <is>
          <t>0</t>
        </is>
      </c>
      <c r="K1852" t="inlineStr">
        <is>
          <t>Travis, John.</t>
        </is>
      </c>
      <c r="L1852" t="inlineStr">
        <is>
          <t>Brookline, Mass. : Hellenic College Press, 1984.</t>
        </is>
      </c>
      <c r="M1852" t="inlineStr">
        <is>
          <t>1984</t>
        </is>
      </c>
      <c r="O1852" t="inlineStr">
        <is>
          <t>eng</t>
        </is>
      </c>
      <c r="P1852" t="inlineStr">
        <is>
          <t>mau</t>
        </is>
      </c>
      <c r="R1852" t="inlineStr">
        <is>
          <t xml:space="preserve">BX </t>
        </is>
      </c>
      <c r="S1852" t="n">
        <v>5</v>
      </c>
      <c r="T1852" t="n">
        <v>5</v>
      </c>
      <c r="U1852" t="inlineStr">
        <is>
          <t>2000-02-07</t>
        </is>
      </c>
      <c r="V1852" t="inlineStr">
        <is>
          <t>2000-02-07</t>
        </is>
      </c>
      <c r="W1852" t="inlineStr">
        <is>
          <t>1990-04-26</t>
        </is>
      </c>
      <c r="X1852" t="inlineStr">
        <is>
          <t>1990-04-26</t>
        </is>
      </c>
      <c r="Y1852" t="n">
        <v>96</v>
      </c>
      <c r="Z1852" t="n">
        <v>71</v>
      </c>
      <c r="AA1852" t="n">
        <v>73</v>
      </c>
      <c r="AB1852" t="n">
        <v>1</v>
      </c>
      <c r="AC1852" t="n">
        <v>1</v>
      </c>
      <c r="AD1852" t="n">
        <v>6</v>
      </c>
      <c r="AE1852" t="n">
        <v>6</v>
      </c>
      <c r="AF1852" t="n">
        <v>1</v>
      </c>
      <c r="AG1852" t="n">
        <v>1</v>
      </c>
      <c r="AH1852" t="n">
        <v>1</v>
      </c>
      <c r="AI1852" t="n">
        <v>1</v>
      </c>
      <c r="AJ1852" t="n">
        <v>4</v>
      </c>
      <c r="AK1852" t="n">
        <v>4</v>
      </c>
      <c r="AL1852" t="n">
        <v>0</v>
      </c>
      <c r="AM1852" t="n">
        <v>0</v>
      </c>
      <c r="AN1852" t="n">
        <v>0</v>
      </c>
      <c r="AO1852" t="n">
        <v>0</v>
      </c>
      <c r="AP1852" t="inlineStr">
        <is>
          <t>No</t>
        </is>
      </c>
      <c r="AQ1852" t="inlineStr">
        <is>
          <t>Yes</t>
        </is>
      </c>
      <c r="AR1852">
        <f>HYPERLINK("http://catalog.hathitrust.org/Record/000445341","HathiTrust Record")</f>
        <v/>
      </c>
      <c r="AS1852">
        <f>HYPERLINK("https://creighton-primo.hosted.exlibrisgroup.com/primo-explore/search?tab=default_tab&amp;search_scope=EVERYTHING&amp;vid=01CRU&amp;lang=en_US&amp;offset=0&amp;query=any,contains,991000357629702656","Catalog Record")</f>
        <v/>
      </c>
      <c r="AT1852">
        <f>HYPERLINK("http://www.worldcat.org/oclc/10348397","WorldCat Record")</f>
        <v/>
      </c>
      <c r="AU1852" t="inlineStr">
        <is>
          <t>428791245:eng</t>
        </is>
      </c>
      <c r="AV1852" t="inlineStr">
        <is>
          <t>10348397</t>
        </is>
      </c>
      <c r="AW1852" t="inlineStr">
        <is>
          <t>991000357629702656</t>
        </is>
      </c>
      <c r="AX1852" t="inlineStr">
        <is>
          <t>991000357629702656</t>
        </is>
      </c>
      <c r="AY1852" t="inlineStr">
        <is>
          <t>2263600570002656</t>
        </is>
      </c>
      <c r="AZ1852" t="inlineStr">
        <is>
          <t>BOOK</t>
        </is>
      </c>
      <c r="BB1852" t="inlineStr">
        <is>
          <t>9780916586966</t>
        </is>
      </c>
      <c r="BC1852" t="inlineStr">
        <is>
          <t>32285000133909</t>
        </is>
      </c>
      <c r="BD1852" t="inlineStr">
        <is>
          <t>893695767</t>
        </is>
      </c>
    </row>
    <row r="1853">
      <c r="A1853" t="inlineStr">
        <is>
          <t>No</t>
        </is>
      </c>
      <c r="B1853" t="inlineStr">
        <is>
          <t>BX395.P5 D85 1948</t>
        </is>
      </c>
      <c r="C1853" t="inlineStr">
        <is>
          <t>0                      BX 0395000P  5                  D  85          1948</t>
        </is>
      </c>
      <c r="D1853" t="inlineStr">
        <is>
          <t>The Photian schism : history and legend.</t>
        </is>
      </c>
      <c r="F1853" t="inlineStr">
        <is>
          <t>No</t>
        </is>
      </c>
      <c r="G1853" t="inlineStr">
        <is>
          <t>1</t>
        </is>
      </c>
      <c r="H1853" t="inlineStr">
        <is>
          <t>No</t>
        </is>
      </c>
      <c r="I1853" t="inlineStr">
        <is>
          <t>No</t>
        </is>
      </c>
      <c r="J1853" t="inlineStr">
        <is>
          <t>0</t>
        </is>
      </c>
      <c r="K1853" t="inlineStr">
        <is>
          <t>Dvornik, Francis, 1893-1975.</t>
        </is>
      </c>
      <c r="L1853" t="inlineStr">
        <is>
          <t>Cambridge [Eng.] : University Press, 1948.</t>
        </is>
      </c>
      <c r="M1853" t="inlineStr">
        <is>
          <t>1948</t>
        </is>
      </c>
      <c r="O1853" t="inlineStr">
        <is>
          <t>eng</t>
        </is>
      </c>
      <c r="P1853" t="inlineStr">
        <is>
          <t xml:space="preserve">xx </t>
        </is>
      </c>
      <c r="R1853" t="inlineStr">
        <is>
          <t xml:space="preserve">BX </t>
        </is>
      </c>
      <c r="S1853" t="n">
        <v>8</v>
      </c>
      <c r="T1853" t="n">
        <v>8</v>
      </c>
      <c r="U1853" t="inlineStr">
        <is>
          <t>2004-04-28</t>
        </is>
      </c>
      <c r="V1853" t="inlineStr">
        <is>
          <t>2004-04-28</t>
        </is>
      </c>
      <c r="W1853" t="inlineStr">
        <is>
          <t>1992-04-10</t>
        </is>
      </c>
      <c r="X1853" t="inlineStr">
        <is>
          <t>1992-04-10</t>
        </is>
      </c>
      <c r="Y1853" t="n">
        <v>419</v>
      </c>
      <c r="Z1853" t="n">
        <v>312</v>
      </c>
      <c r="AA1853" t="n">
        <v>463</v>
      </c>
      <c r="AB1853" t="n">
        <v>2</v>
      </c>
      <c r="AC1853" t="n">
        <v>3</v>
      </c>
      <c r="AD1853" t="n">
        <v>29</v>
      </c>
      <c r="AE1853" t="n">
        <v>32</v>
      </c>
      <c r="AF1853" t="n">
        <v>10</v>
      </c>
      <c r="AG1853" t="n">
        <v>13</v>
      </c>
      <c r="AH1853" t="n">
        <v>6</v>
      </c>
      <c r="AI1853" t="n">
        <v>6</v>
      </c>
      <c r="AJ1853" t="n">
        <v>20</v>
      </c>
      <c r="AK1853" t="n">
        <v>22</v>
      </c>
      <c r="AL1853" t="n">
        <v>1</v>
      </c>
      <c r="AM1853" t="n">
        <v>1</v>
      </c>
      <c r="AN1853" t="n">
        <v>0</v>
      </c>
      <c r="AO1853" t="n">
        <v>0</v>
      </c>
      <c r="AP1853" t="inlineStr">
        <is>
          <t>No</t>
        </is>
      </c>
      <c r="AQ1853" t="inlineStr">
        <is>
          <t>No</t>
        </is>
      </c>
      <c r="AS1853">
        <f>HYPERLINK("https://creighton-primo.hosted.exlibrisgroup.com/primo-explore/search?tab=default_tab&amp;search_scope=EVERYTHING&amp;vid=01CRU&amp;lang=en_US&amp;offset=0&amp;query=any,contains,991003841129702656","Catalog Record")</f>
        <v/>
      </c>
      <c r="AT1853">
        <f>HYPERLINK("http://www.worldcat.org/oclc/1617914","WorldCat Record")</f>
        <v/>
      </c>
      <c r="AU1853" t="inlineStr">
        <is>
          <t>365899249:eng</t>
        </is>
      </c>
      <c r="AV1853" t="inlineStr">
        <is>
          <t>1617914</t>
        </is>
      </c>
      <c r="AW1853" t="inlineStr">
        <is>
          <t>991003841129702656</t>
        </is>
      </c>
      <c r="AX1853" t="inlineStr">
        <is>
          <t>991003841129702656</t>
        </is>
      </c>
      <c r="AY1853" t="inlineStr">
        <is>
          <t>2262646620002656</t>
        </is>
      </c>
      <c r="AZ1853" t="inlineStr">
        <is>
          <t>BOOK</t>
        </is>
      </c>
      <c r="BC1853" t="inlineStr">
        <is>
          <t>32285001017952</t>
        </is>
      </c>
      <c r="BD1853" t="inlineStr">
        <is>
          <t>893800218</t>
        </is>
      </c>
    </row>
    <row r="1854">
      <c r="A1854" t="inlineStr">
        <is>
          <t>No</t>
        </is>
      </c>
      <c r="B1854" t="inlineStr">
        <is>
          <t>BX395.P5 G47</t>
        </is>
      </c>
      <c r="C1854" t="inlineStr">
        <is>
          <t>0                      BX 0395000P  5                  G  47</t>
        </is>
      </c>
      <c r="D1854" t="inlineStr">
        <is>
          <t>St. Photios the Great / by Asterios Gerostergios.</t>
        </is>
      </c>
      <c r="F1854" t="inlineStr">
        <is>
          <t>No</t>
        </is>
      </c>
      <c r="G1854" t="inlineStr">
        <is>
          <t>1</t>
        </is>
      </c>
      <c r="H1854" t="inlineStr">
        <is>
          <t>No</t>
        </is>
      </c>
      <c r="I1854" t="inlineStr">
        <is>
          <t>No</t>
        </is>
      </c>
      <c r="J1854" t="inlineStr">
        <is>
          <t>0</t>
        </is>
      </c>
      <c r="K1854" t="inlineStr">
        <is>
          <t>Gerostergios, Asterios.</t>
        </is>
      </c>
      <c r="L1854" t="inlineStr">
        <is>
          <t>Belmont, Mass. : Institute for Byzantine and Modern Greek Studies, c1980.</t>
        </is>
      </c>
      <c r="M1854" t="inlineStr">
        <is>
          <t>1980</t>
        </is>
      </c>
      <c r="O1854" t="inlineStr">
        <is>
          <t>eng</t>
        </is>
      </c>
      <c r="P1854" t="inlineStr">
        <is>
          <t>mau</t>
        </is>
      </c>
      <c r="R1854" t="inlineStr">
        <is>
          <t xml:space="preserve">BX </t>
        </is>
      </c>
      <c r="S1854" t="n">
        <v>1</v>
      </c>
      <c r="T1854" t="n">
        <v>1</v>
      </c>
      <c r="U1854" t="inlineStr">
        <is>
          <t>2010-01-28</t>
        </is>
      </c>
      <c r="V1854" t="inlineStr">
        <is>
          <t>2010-01-28</t>
        </is>
      </c>
      <c r="W1854" t="inlineStr">
        <is>
          <t>1992-04-10</t>
        </is>
      </c>
      <c r="X1854" t="inlineStr">
        <is>
          <t>1992-04-10</t>
        </is>
      </c>
      <c r="Y1854" t="n">
        <v>131</v>
      </c>
      <c r="Z1854" t="n">
        <v>109</v>
      </c>
      <c r="AA1854" t="n">
        <v>109</v>
      </c>
      <c r="AB1854" t="n">
        <v>2</v>
      </c>
      <c r="AC1854" t="n">
        <v>2</v>
      </c>
      <c r="AD1854" t="n">
        <v>8</v>
      </c>
      <c r="AE1854" t="n">
        <v>8</v>
      </c>
      <c r="AF1854" t="n">
        <v>1</v>
      </c>
      <c r="AG1854" t="n">
        <v>1</v>
      </c>
      <c r="AH1854" t="n">
        <v>3</v>
      </c>
      <c r="AI1854" t="n">
        <v>3</v>
      </c>
      <c r="AJ1854" t="n">
        <v>7</v>
      </c>
      <c r="AK1854" t="n">
        <v>7</v>
      </c>
      <c r="AL1854" t="n">
        <v>0</v>
      </c>
      <c r="AM1854" t="n">
        <v>0</v>
      </c>
      <c r="AN1854" t="n">
        <v>0</v>
      </c>
      <c r="AO1854" t="n">
        <v>0</v>
      </c>
      <c r="AP1854" t="inlineStr">
        <is>
          <t>No</t>
        </is>
      </c>
      <c r="AQ1854" t="inlineStr">
        <is>
          <t>No</t>
        </is>
      </c>
      <c r="AS1854">
        <f>HYPERLINK("https://creighton-primo.hosted.exlibrisgroup.com/primo-explore/search?tab=default_tab&amp;search_scope=EVERYTHING&amp;vid=01CRU&amp;lang=en_US&amp;offset=0&amp;query=any,contains,991005061249702656","Catalog Record")</f>
        <v/>
      </c>
      <c r="AT1854">
        <f>HYPERLINK("http://www.worldcat.org/oclc/6918637","WorldCat Record")</f>
        <v/>
      </c>
      <c r="AU1854" t="inlineStr">
        <is>
          <t>24778451:eng</t>
        </is>
      </c>
      <c r="AV1854" t="inlineStr">
        <is>
          <t>6918637</t>
        </is>
      </c>
      <c r="AW1854" t="inlineStr">
        <is>
          <t>991005061249702656</t>
        </is>
      </c>
      <c r="AX1854" t="inlineStr">
        <is>
          <t>991005061249702656</t>
        </is>
      </c>
      <c r="AY1854" t="inlineStr">
        <is>
          <t>2265367770002656</t>
        </is>
      </c>
      <c r="AZ1854" t="inlineStr">
        <is>
          <t>BOOK</t>
        </is>
      </c>
      <c r="BB1854" t="inlineStr">
        <is>
          <t>9780914744504</t>
        </is>
      </c>
      <c r="BC1854" t="inlineStr">
        <is>
          <t>32285001017960</t>
        </is>
      </c>
      <c r="BD1854" t="inlineStr">
        <is>
          <t>893412254</t>
        </is>
      </c>
    </row>
    <row r="1855">
      <c r="A1855" t="inlineStr">
        <is>
          <t>No</t>
        </is>
      </c>
      <c r="B1855" t="inlineStr">
        <is>
          <t>BX395.P5 W48 1982</t>
        </is>
      </c>
      <c r="C1855" t="inlineStr">
        <is>
          <t>0                      BX 0395000P  5                  W  48          1982</t>
        </is>
      </c>
      <c r="D1855" t="inlineStr">
        <is>
          <t>Patriarch Photios of Constantinople : his life, scholarly contributions, and correspondence together with a translation of fifty-two of his letters / by Despina Stratoudaki White.</t>
        </is>
      </c>
      <c r="F1855" t="inlineStr">
        <is>
          <t>No</t>
        </is>
      </c>
      <c r="G1855" t="inlineStr">
        <is>
          <t>1</t>
        </is>
      </c>
      <c r="H1855" t="inlineStr">
        <is>
          <t>No</t>
        </is>
      </c>
      <c r="I1855" t="inlineStr">
        <is>
          <t>No</t>
        </is>
      </c>
      <c r="J1855" t="inlineStr">
        <is>
          <t>0</t>
        </is>
      </c>
      <c r="K1855" t="inlineStr">
        <is>
          <t>White, Despina Stratoudaki.</t>
        </is>
      </c>
      <c r="L1855" t="inlineStr">
        <is>
          <t>Brookline, Mass. : Holy Cross Orthodox Press, 1981, c1982.</t>
        </is>
      </c>
      <c r="M1855" t="inlineStr">
        <is>
          <t>1981</t>
        </is>
      </c>
      <c r="O1855" t="inlineStr">
        <is>
          <t>eng</t>
        </is>
      </c>
      <c r="P1855" t="inlineStr">
        <is>
          <t>mau</t>
        </is>
      </c>
      <c r="Q1855" t="inlineStr">
        <is>
          <t>The Archbishop Iakovos library of ecclesiastical and historical sources ; no. 5</t>
        </is>
      </c>
      <c r="R1855" t="inlineStr">
        <is>
          <t xml:space="preserve">BX </t>
        </is>
      </c>
      <c r="S1855" t="n">
        <v>0</v>
      </c>
      <c r="T1855" t="n">
        <v>0</v>
      </c>
      <c r="U1855" t="inlineStr">
        <is>
          <t>2009-02-09</t>
        </is>
      </c>
      <c r="V1855" t="inlineStr">
        <is>
          <t>2009-02-09</t>
        </is>
      </c>
      <c r="W1855" t="inlineStr">
        <is>
          <t>1992-04-10</t>
        </is>
      </c>
      <c r="X1855" t="inlineStr">
        <is>
          <t>1992-04-10</t>
        </is>
      </c>
      <c r="Y1855" t="n">
        <v>145</v>
      </c>
      <c r="Z1855" t="n">
        <v>108</v>
      </c>
      <c r="AA1855" t="n">
        <v>110</v>
      </c>
      <c r="AB1855" t="n">
        <v>2</v>
      </c>
      <c r="AC1855" t="n">
        <v>2</v>
      </c>
      <c r="AD1855" t="n">
        <v>10</v>
      </c>
      <c r="AE1855" t="n">
        <v>10</v>
      </c>
      <c r="AF1855" t="n">
        <v>1</v>
      </c>
      <c r="AG1855" t="n">
        <v>1</v>
      </c>
      <c r="AH1855" t="n">
        <v>3</v>
      </c>
      <c r="AI1855" t="n">
        <v>3</v>
      </c>
      <c r="AJ1855" t="n">
        <v>8</v>
      </c>
      <c r="AK1855" t="n">
        <v>8</v>
      </c>
      <c r="AL1855" t="n">
        <v>1</v>
      </c>
      <c r="AM1855" t="n">
        <v>1</v>
      </c>
      <c r="AN1855" t="n">
        <v>0</v>
      </c>
      <c r="AO1855" t="n">
        <v>0</v>
      </c>
      <c r="AP1855" t="inlineStr">
        <is>
          <t>No</t>
        </is>
      </c>
      <c r="AQ1855" t="inlineStr">
        <is>
          <t>Yes</t>
        </is>
      </c>
      <c r="AR1855">
        <f>HYPERLINK("http://catalog.hathitrust.org/Record/004099292","HathiTrust Record")</f>
        <v/>
      </c>
      <c r="AS1855">
        <f>HYPERLINK("https://creighton-primo.hosted.exlibrisgroup.com/primo-explore/search?tab=default_tab&amp;search_scope=EVERYTHING&amp;vid=01CRU&amp;lang=en_US&amp;offset=0&amp;query=any,contains,991005217339702656","Catalog Record")</f>
        <v/>
      </c>
      <c r="AT1855">
        <f>HYPERLINK("http://www.worldcat.org/oclc/8195548","WorldCat Record")</f>
        <v/>
      </c>
      <c r="AU1855" t="inlineStr">
        <is>
          <t>905434734:eng</t>
        </is>
      </c>
      <c r="AV1855" t="inlineStr">
        <is>
          <t>8195548</t>
        </is>
      </c>
      <c r="AW1855" t="inlineStr">
        <is>
          <t>991005217339702656</t>
        </is>
      </c>
      <c r="AX1855" t="inlineStr">
        <is>
          <t>991005217339702656</t>
        </is>
      </c>
      <c r="AY1855" t="inlineStr">
        <is>
          <t>2268309470002656</t>
        </is>
      </c>
      <c r="AZ1855" t="inlineStr">
        <is>
          <t>BOOK</t>
        </is>
      </c>
      <c r="BB1855" t="inlineStr">
        <is>
          <t>9780916586218</t>
        </is>
      </c>
      <c r="BC1855" t="inlineStr">
        <is>
          <t>32285001017978</t>
        </is>
      </c>
      <c r="BD1855" t="inlineStr">
        <is>
          <t>893418569</t>
        </is>
      </c>
    </row>
    <row r="1856">
      <c r="A1856" t="inlineStr">
        <is>
          <t>No</t>
        </is>
      </c>
      <c r="B1856" t="inlineStr">
        <is>
          <t>BX4060 .R8 1935a</t>
        </is>
      </c>
      <c r="C1856" t="inlineStr">
        <is>
          <t>0                      BX 4060000R  8           1935a</t>
        </is>
      </c>
      <c r="D1856" t="inlineStr">
        <is>
          <t>The beginnings of the Society of St. Sulpice in the United States (1791-1829) / by Joseph William Ruane.</t>
        </is>
      </c>
      <c r="F1856" t="inlineStr">
        <is>
          <t>No</t>
        </is>
      </c>
      <c r="G1856" t="inlineStr">
        <is>
          <t>1</t>
        </is>
      </c>
      <c r="H1856" t="inlineStr">
        <is>
          <t>No</t>
        </is>
      </c>
      <c r="I1856" t="inlineStr">
        <is>
          <t>No</t>
        </is>
      </c>
      <c r="J1856" t="inlineStr">
        <is>
          <t>0</t>
        </is>
      </c>
      <c r="K1856" t="inlineStr">
        <is>
          <t>Ruane, Joseph William, 1904-</t>
        </is>
      </c>
      <c r="L1856" t="inlineStr">
        <is>
          <t>Baltimore : The Voice, St. Mary's Seminary, 1935.</t>
        </is>
      </c>
      <c r="M1856" t="inlineStr">
        <is>
          <t>1935</t>
        </is>
      </c>
      <c r="O1856" t="inlineStr">
        <is>
          <t>eng</t>
        </is>
      </c>
      <c r="P1856" t="inlineStr">
        <is>
          <t>mdu</t>
        </is>
      </c>
      <c r="R1856" t="inlineStr">
        <is>
          <t xml:space="preserve">BX </t>
        </is>
      </c>
      <c r="S1856" t="n">
        <v>6</v>
      </c>
      <c r="T1856" t="n">
        <v>6</v>
      </c>
      <c r="U1856" t="inlineStr">
        <is>
          <t>2001-02-14</t>
        </is>
      </c>
      <c r="V1856" t="inlineStr">
        <is>
          <t>2001-02-14</t>
        </is>
      </c>
      <c r="W1856" t="inlineStr">
        <is>
          <t>1990-10-01</t>
        </is>
      </c>
      <c r="X1856" t="inlineStr">
        <is>
          <t>1990-10-01</t>
        </is>
      </c>
      <c r="Y1856" t="n">
        <v>45</v>
      </c>
      <c r="Z1856" t="n">
        <v>44</v>
      </c>
      <c r="AA1856" t="n">
        <v>130</v>
      </c>
      <c r="AB1856" t="n">
        <v>2</v>
      </c>
      <c r="AC1856" t="n">
        <v>3</v>
      </c>
      <c r="AD1856" t="n">
        <v>6</v>
      </c>
      <c r="AE1856" t="n">
        <v>13</v>
      </c>
      <c r="AF1856" t="n">
        <v>3</v>
      </c>
      <c r="AG1856" t="n">
        <v>5</v>
      </c>
      <c r="AH1856" t="n">
        <v>2</v>
      </c>
      <c r="AI1856" t="n">
        <v>5</v>
      </c>
      <c r="AJ1856" t="n">
        <v>5</v>
      </c>
      <c r="AK1856" t="n">
        <v>9</v>
      </c>
      <c r="AL1856" t="n">
        <v>0</v>
      </c>
      <c r="AM1856" t="n">
        <v>0</v>
      </c>
      <c r="AN1856" t="n">
        <v>0</v>
      </c>
      <c r="AO1856" t="n">
        <v>0</v>
      </c>
      <c r="AP1856" t="inlineStr">
        <is>
          <t>No</t>
        </is>
      </c>
      <c r="AQ1856" t="inlineStr">
        <is>
          <t>No</t>
        </is>
      </c>
      <c r="AS1856">
        <f>HYPERLINK("https://creighton-primo.hosted.exlibrisgroup.com/primo-explore/search?tab=default_tab&amp;search_scope=EVERYTHING&amp;vid=01CRU&amp;lang=en_US&amp;offset=0&amp;query=any,contains,991004507089702656","Catalog Record")</f>
        <v/>
      </c>
      <c r="AT1856">
        <f>HYPERLINK("http://www.worldcat.org/oclc/3741946","WorldCat Record")</f>
        <v/>
      </c>
      <c r="AU1856" t="inlineStr">
        <is>
          <t>14488944:eng</t>
        </is>
      </c>
      <c r="AV1856" t="inlineStr">
        <is>
          <t>3741946</t>
        </is>
      </c>
      <c r="AW1856" t="inlineStr">
        <is>
          <t>991004507089702656</t>
        </is>
      </c>
      <c r="AX1856" t="inlineStr">
        <is>
          <t>991004507089702656</t>
        </is>
      </c>
      <c r="AY1856" t="inlineStr">
        <is>
          <t>2272053950002656</t>
        </is>
      </c>
      <c r="AZ1856" t="inlineStr">
        <is>
          <t>BOOK</t>
        </is>
      </c>
      <c r="BC1856" t="inlineStr">
        <is>
          <t>32285000278647</t>
        </is>
      </c>
      <c r="BD1856" t="inlineStr">
        <is>
          <t>893423899</t>
        </is>
      </c>
    </row>
    <row r="1857">
      <c r="A1857" t="inlineStr">
        <is>
          <t>No</t>
        </is>
      </c>
      <c r="B1857" t="inlineStr">
        <is>
          <t>BX4102 .H6 1941</t>
        </is>
      </c>
      <c r="C1857" t="inlineStr">
        <is>
          <t>0                      BX 4102000H  6           1941</t>
        </is>
      </c>
      <c r="D1857" t="inlineStr">
        <is>
          <t>The voice of Trappist silence / by Fred L. Holmes ; Harry Lorin Binsse, consulting editor.</t>
        </is>
      </c>
      <c r="F1857" t="inlineStr">
        <is>
          <t>No</t>
        </is>
      </c>
      <c r="G1857" t="inlineStr">
        <is>
          <t>1</t>
        </is>
      </c>
      <c r="H1857" t="inlineStr">
        <is>
          <t>No</t>
        </is>
      </c>
      <c r="I1857" t="inlineStr">
        <is>
          <t>No</t>
        </is>
      </c>
      <c r="J1857" t="inlineStr">
        <is>
          <t>0</t>
        </is>
      </c>
      <c r="K1857" t="inlineStr">
        <is>
          <t>Holmes, Fred L., 1883-1946.</t>
        </is>
      </c>
      <c r="L1857" t="inlineStr">
        <is>
          <t>New York ; Toronto : Longmans, Green and co., 1941.</t>
        </is>
      </c>
      <c r="M1857" t="inlineStr">
        <is>
          <t>1941</t>
        </is>
      </c>
      <c r="O1857" t="inlineStr">
        <is>
          <t>eng</t>
        </is>
      </c>
      <c r="P1857" t="inlineStr">
        <is>
          <t xml:space="preserve">vp </t>
        </is>
      </c>
      <c r="R1857" t="inlineStr">
        <is>
          <t xml:space="preserve">BX </t>
        </is>
      </c>
      <c r="S1857" t="n">
        <v>3</v>
      </c>
      <c r="T1857" t="n">
        <v>3</v>
      </c>
      <c r="U1857" t="inlineStr">
        <is>
          <t>1992-07-16</t>
        </is>
      </c>
      <c r="V1857" t="inlineStr">
        <is>
          <t>1992-07-16</t>
        </is>
      </c>
      <c r="W1857" t="inlineStr">
        <is>
          <t>1991-11-14</t>
        </is>
      </c>
      <c r="X1857" t="inlineStr">
        <is>
          <t>1991-11-14</t>
        </is>
      </c>
      <c r="Y1857" t="n">
        <v>159</v>
      </c>
      <c r="Z1857" t="n">
        <v>154</v>
      </c>
      <c r="AA1857" t="n">
        <v>160</v>
      </c>
      <c r="AB1857" t="n">
        <v>3</v>
      </c>
      <c r="AC1857" t="n">
        <v>3</v>
      </c>
      <c r="AD1857" t="n">
        <v>22</v>
      </c>
      <c r="AE1857" t="n">
        <v>22</v>
      </c>
      <c r="AF1857" t="n">
        <v>8</v>
      </c>
      <c r="AG1857" t="n">
        <v>8</v>
      </c>
      <c r="AH1857" t="n">
        <v>5</v>
      </c>
      <c r="AI1857" t="n">
        <v>5</v>
      </c>
      <c r="AJ1857" t="n">
        <v>16</v>
      </c>
      <c r="AK1857" t="n">
        <v>16</v>
      </c>
      <c r="AL1857" t="n">
        <v>0</v>
      </c>
      <c r="AM1857" t="n">
        <v>0</v>
      </c>
      <c r="AN1857" t="n">
        <v>0</v>
      </c>
      <c r="AO1857" t="n">
        <v>0</v>
      </c>
      <c r="AP1857" t="inlineStr">
        <is>
          <t>No</t>
        </is>
      </c>
      <c r="AQ1857" t="inlineStr">
        <is>
          <t>Yes</t>
        </is>
      </c>
      <c r="AR1857">
        <f>HYPERLINK("http://catalog.hathitrust.org/Record/005909315","HathiTrust Record")</f>
        <v/>
      </c>
      <c r="AS1857">
        <f>HYPERLINK("https://creighton-primo.hosted.exlibrisgroup.com/primo-explore/search?tab=default_tab&amp;search_scope=EVERYTHING&amp;vid=01CRU&amp;lang=en_US&amp;offset=0&amp;query=any,contains,991003899919702656","Catalog Record")</f>
        <v/>
      </c>
      <c r="AT1857">
        <f>HYPERLINK("http://www.worldcat.org/oclc/1820326","WorldCat Record")</f>
        <v/>
      </c>
      <c r="AU1857" t="inlineStr">
        <is>
          <t>1862602918:eng</t>
        </is>
      </c>
      <c r="AV1857" t="inlineStr">
        <is>
          <t>1820326</t>
        </is>
      </c>
      <c r="AW1857" t="inlineStr">
        <is>
          <t>991003899919702656</t>
        </is>
      </c>
      <c r="AX1857" t="inlineStr">
        <is>
          <t>991003899919702656</t>
        </is>
      </c>
      <c r="AY1857" t="inlineStr">
        <is>
          <t>2256798890002656</t>
        </is>
      </c>
      <c r="AZ1857" t="inlineStr">
        <is>
          <t>BOOK</t>
        </is>
      </c>
      <c r="BC1857" t="inlineStr">
        <is>
          <t>32285000853050</t>
        </is>
      </c>
      <c r="BD1857" t="inlineStr">
        <is>
          <t>893423129</t>
        </is>
      </c>
    </row>
    <row r="1858">
      <c r="A1858" t="inlineStr">
        <is>
          <t>No</t>
        </is>
      </c>
      <c r="B1858" t="inlineStr">
        <is>
          <t>BX4102.2 .P46 1992</t>
        </is>
      </c>
      <c r="C1858" t="inlineStr">
        <is>
          <t>0                      BX 4102200P  46          1992</t>
        </is>
      </c>
      <c r="D1858" t="inlineStr">
        <is>
          <t>The Cistercians / M. Basil Pennington.</t>
        </is>
      </c>
      <c r="F1858" t="inlineStr">
        <is>
          <t>No</t>
        </is>
      </c>
      <c r="G1858" t="inlineStr">
        <is>
          <t>1</t>
        </is>
      </c>
      <c r="H1858" t="inlineStr">
        <is>
          <t>No</t>
        </is>
      </c>
      <c r="I1858" t="inlineStr">
        <is>
          <t>No</t>
        </is>
      </c>
      <c r="J1858" t="inlineStr">
        <is>
          <t>0</t>
        </is>
      </c>
      <c r="K1858" t="inlineStr">
        <is>
          <t>Pennington, M. Basil.</t>
        </is>
      </c>
      <c r="L1858" t="inlineStr">
        <is>
          <t>Collegeville, Minn. : Liturgical Press, c1992.</t>
        </is>
      </c>
      <c r="M1858" t="inlineStr">
        <is>
          <t>1992</t>
        </is>
      </c>
      <c r="O1858" t="inlineStr">
        <is>
          <t>eng</t>
        </is>
      </c>
      <c r="P1858" t="inlineStr">
        <is>
          <t>mnu</t>
        </is>
      </c>
      <c r="Q1858" t="inlineStr">
        <is>
          <t>Religious order series ; v. 4</t>
        </is>
      </c>
      <c r="R1858" t="inlineStr">
        <is>
          <t xml:space="preserve">BX </t>
        </is>
      </c>
      <c r="S1858" t="n">
        <v>2</v>
      </c>
      <c r="T1858" t="n">
        <v>2</v>
      </c>
      <c r="U1858" t="inlineStr">
        <is>
          <t>2003-11-20</t>
        </is>
      </c>
      <c r="V1858" t="inlineStr">
        <is>
          <t>2003-11-20</t>
        </is>
      </c>
      <c r="W1858" t="inlineStr">
        <is>
          <t>1999-01-21</t>
        </is>
      </c>
      <c r="X1858" t="inlineStr">
        <is>
          <t>1999-01-21</t>
        </is>
      </c>
      <c r="Y1858" t="n">
        <v>139</v>
      </c>
      <c r="Z1858" t="n">
        <v>125</v>
      </c>
      <c r="AA1858" t="n">
        <v>125</v>
      </c>
      <c r="AB1858" t="n">
        <v>2</v>
      </c>
      <c r="AC1858" t="n">
        <v>2</v>
      </c>
      <c r="AD1858" t="n">
        <v>14</v>
      </c>
      <c r="AE1858" t="n">
        <v>14</v>
      </c>
      <c r="AF1858" t="n">
        <v>7</v>
      </c>
      <c r="AG1858" t="n">
        <v>7</v>
      </c>
      <c r="AH1858" t="n">
        <v>2</v>
      </c>
      <c r="AI1858" t="n">
        <v>2</v>
      </c>
      <c r="AJ1858" t="n">
        <v>10</v>
      </c>
      <c r="AK1858" t="n">
        <v>10</v>
      </c>
      <c r="AL1858" t="n">
        <v>0</v>
      </c>
      <c r="AM1858" t="n">
        <v>0</v>
      </c>
      <c r="AN1858" t="n">
        <v>0</v>
      </c>
      <c r="AO1858" t="n">
        <v>0</v>
      </c>
      <c r="AP1858" t="inlineStr">
        <is>
          <t>No</t>
        </is>
      </c>
      <c r="AQ1858" t="inlineStr">
        <is>
          <t>No</t>
        </is>
      </c>
      <c r="AS1858">
        <f>HYPERLINK("https://creighton-primo.hosted.exlibrisgroup.com/primo-explore/search?tab=default_tab&amp;search_scope=EVERYTHING&amp;vid=01CRU&amp;lang=en_US&amp;offset=0&amp;query=any,contains,991002032589702656","Catalog Record")</f>
        <v/>
      </c>
      <c r="AT1858">
        <f>HYPERLINK("http://www.worldcat.org/oclc/25873968","WorldCat Record")</f>
        <v/>
      </c>
      <c r="AU1858" t="inlineStr">
        <is>
          <t>28676219:eng</t>
        </is>
      </c>
      <c r="AV1858" t="inlineStr">
        <is>
          <t>25873968</t>
        </is>
      </c>
      <c r="AW1858" t="inlineStr">
        <is>
          <t>991002032589702656</t>
        </is>
      </c>
      <c r="AX1858" t="inlineStr">
        <is>
          <t>991002032589702656</t>
        </is>
      </c>
      <c r="AY1858" t="inlineStr">
        <is>
          <t>2269322010002656</t>
        </is>
      </c>
      <c r="AZ1858" t="inlineStr">
        <is>
          <t>BOOK</t>
        </is>
      </c>
      <c r="BB1858" t="inlineStr">
        <is>
          <t>9780814657201</t>
        </is>
      </c>
      <c r="BC1858" t="inlineStr">
        <is>
          <t>32285003515078</t>
        </is>
      </c>
      <c r="BD1858" t="inlineStr">
        <is>
          <t>893420870</t>
        </is>
      </c>
    </row>
    <row r="1859">
      <c r="A1859" t="inlineStr">
        <is>
          <t>No</t>
        </is>
      </c>
      <c r="B1859" t="inlineStr">
        <is>
          <t>BX4103 .A615 1998</t>
        </is>
      </c>
      <c r="C1859" t="inlineStr">
        <is>
          <t>0                      BX 4103000A  615         1998</t>
        </is>
      </c>
      <c r="D1859" t="inlineStr">
        <is>
          <t>The Abbey of Gethsemani : place of peace and paradox--150 years in the life of America's oldest Trappist Monastery / Dianne Aprile.</t>
        </is>
      </c>
      <c r="F1859" t="inlineStr">
        <is>
          <t>No</t>
        </is>
      </c>
      <c r="G1859" t="inlineStr">
        <is>
          <t>1</t>
        </is>
      </c>
      <c r="H1859" t="inlineStr">
        <is>
          <t>No</t>
        </is>
      </c>
      <c r="I1859" t="inlineStr">
        <is>
          <t>No</t>
        </is>
      </c>
      <c r="J1859" t="inlineStr">
        <is>
          <t>0</t>
        </is>
      </c>
      <c r="K1859" t="inlineStr">
        <is>
          <t>Aprile, Dianne.</t>
        </is>
      </c>
      <c r="L1859" t="inlineStr">
        <is>
          <t>Louisville, KY : Trout Lily Press, 1998.</t>
        </is>
      </c>
      <c r="M1859" t="inlineStr">
        <is>
          <t>1998</t>
        </is>
      </c>
      <c r="O1859" t="inlineStr">
        <is>
          <t>eng</t>
        </is>
      </c>
      <c r="P1859" t="inlineStr">
        <is>
          <t>kyu</t>
        </is>
      </c>
      <c r="R1859" t="inlineStr">
        <is>
          <t xml:space="preserve">BX </t>
        </is>
      </c>
      <c r="S1859" t="n">
        <v>3</v>
      </c>
      <c r="T1859" t="n">
        <v>3</v>
      </c>
      <c r="U1859" t="inlineStr">
        <is>
          <t>2009-06-17</t>
        </is>
      </c>
      <c r="V1859" t="inlineStr">
        <is>
          <t>2009-06-17</t>
        </is>
      </c>
      <c r="W1859" t="inlineStr">
        <is>
          <t>1999-01-21</t>
        </is>
      </c>
      <c r="X1859" t="inlineStr">
        <is>
          <t>1999-01-21</t>
        </is>
      </c>
      <c r="Y1859" t="n">
        <v>289</v>
      </c>
      <c r="Z1859" t="n">
        <v>281</v>
      </c>
      <c r="AA1859" t="n">
        <v>293</v>
      </c>
      <c r="AB1859" t="n">
        <v>2</v>
      </c>
      <c r="AC1859" t="n">
        <v>2</v>
      </c>
      <c r="AD1859" t="n">
        <v>29</v>
      </c>
      <c r="AE1859" t="n">
        <v>29</v>
      </c>
      <c r="AF1859" t="n">
        <v>10</v>
      </c>
      <c r="AG1859" t="n">
        <v>10</v>
      </c>
      <c r="AH1859" t="n">
        <v>6</v>
      </c>
      <c r="AI1859" t="n">
        <v>6</v>
      </c>
      <c r="AJ1859" t="n">
        <v>20</v>
      </c>
      <c r="AK1859" t="n">
        <v>20</v>
      </c>
      <c r="AL1859" t="n">
        <v>1</v>
      </c>
      <c r="AM1859" t="n">
        <v>1</v>
      </c>
      <c r="AN1859" t="n">
        <v>0</v>
      </c>
      <c r="AO1859" t="n">
        <v>0</v>
      </c>
      <c r="AP1859" t="inlineStr">
        <is>
          <t>No</t>
        </is>
      </c>
      <c r="AQ1859" t="inlineStr">
        <is>
          <t>No</t>
        </is>
      </c>
      <c r="AS1859">
        <f>HYPERLINK("https://creighton-primo.hosted.exlibrisgroup.com/primo-explore/search?tab=default_tab&amp;search_scope=EVERYTHING&amp;vid=01CRU&amp;lang=en_US&amp;offset=0&amp;query=any,contains,991002987719702656","Catalog Record")</f>
        <v/>
      </c>
      <c r="AT1859">
        <f>HYPERLINK("http://www.worldcat.org/oclc/40273406","WorldCat Record")</f>
        <v/>
      </c>
      <c r="AU1859" t="inlineStr">
        <is>
          <t>866160161:eng</t>
        </is>
      </c>
      <c r="AV1859" t="inlineStr">
        <is>
          <t>40273406</t>
        </is>
      </c>
      <c r="AW1859" t="inlineStr">
        <is>
          <t>991002987719702656</t>
        </is>
      </c>
      <c r="AX1859" t="inlineStr">
        <is>
          <t>991002987719702656</t>
        </is>
      </c>
      <c r="AY1859" t="inlineStr">
        <is>
          <t>2257093980002656</t>
        </is>
      </c>
      <c r="AZ1859" t="inlineStr">
        <is>
          <t>BOOK</t>
        </is>
      </c>
      <c r="BB1859" t="inlineStr">
        <is>
          <t>9780964280212</t>
        </is>
      </c>
      <c r="BC1859" t="inlineStr">
        <is>
          <t>32285003514840</t>
        </is>
      </c>
      <c r="BD1859" t="inlineStr">
        <is>
          <t>893704764</t>
        </is>
      </c>
    </row>
    <row r="1860">
      <c r="A1860" t="inlineStr">
        <is>
          <t>No</t>
        </is>
      </c>
      <c r="B1860" t="inlineStr">
        <is>
          <t>BX4108 .B52 1992</t>
        </is>
      </c>
      <c r="C1860" t="inlineStr">
        <is>
          <t>0                      BX 4108000B  52          1992</t>
        </is>
      </c>
      <c r="D1860" t="inlineStr">
        <is>
          <t>Voices of silence : lives of the Trappists today / Frank Bianco.</t>
        </is>
      </c>
      <c r="F1860" t="inlineStr">
        <is>
          <t>No</t>
        </is>
      </c>
      <c r="G1860" t="inlineStr">
        <is>
          <t>1</t>
        </is>
      </c>
      <c r="H1860" t="inlineStr">
        <is>
          <t>No</t>
        </is>
      </c>
      <c r="I1860" t="inlineStr">
        <is>
          <t>No</t>
        </is>
      </c>
      <c r="J1860" t="inlineStr">
        <is>
          <t>0</t>
        </is>
      </c>
      <c r="K1860" t="inlineStr">
        <is>
          <t>Bianco, Frank, 1931-</t>
        </is>
      </c>
      <c r="L1860" t="inlineStr">
        <is>
          <t>New York : Anchor Books, 1992.</t>
        </is>
      </c>
      <c r="M1860" t="inlineStr">
        <is>
          <t>1992</t>
        </is>
      </c>
      <c r="N1860" t="inlineStr">
        <is>
          <t>1st Anchor Books ed.</t>
        </is>
      </c>
      <c r="O1860" t="inlineStr">
        <is>
          <t>eng</t>
        </is>
      </c>
      <c r="P1860" t="inlineStr">
        <is>
          <t>nyu</t>
        </is>
      </c>
      <c r="R1860" t="inlineStr">
        <is>
          <t xml:space="preserve">BX </t>
        </is>
      </c>
      <c r="S1860" t="n">
        <v>4</v>
      </c>
      <c r="T1860" t="n">
        <v>4</v>
      </c>
      <c r="U1860" t="inlineStr">
        <is>
          <t>2009-06-21</t>
        </is>
      </c>
      <c r="V1860" t="inlineStr">
        <is>
          <t>2009-06-21</t>
        </is>
      </c>
      <c r="W1860" t="inlineStr">
        <is>
          <t>1993-09-21</t>
        </is>
      </c>
      <c r="X1860" t="inlineStr">
        <is>
          <t>1993-09-21</t>
        </is>
      </c>
      <c r="Y1860" t="n">
        <v>97</v>
      </c>
      <c r="Z1860" t="n">
        <v>88</v>
      </c>
      <c r="AA1860" t="n">
        <v>534</v>
      </c>
      <c r="AB1860" t="n">
        <v>1</v>
      </c>
      <c r="AC1860" t="n">
        <v>2</v>
      </c>
      <c r="AD1860" t="n">
        <v>2</v>
      </c>
      <c r="AE1860" t="n">
        <v>20</v>
      </c>
      <c r="AF1860" t="n">
        <v>2</v>
      </c>
      <c r="AG1860" t="n">
        <v>11</v>
      </c>
      <c r="AH1860" t="n">
        <v>0</v>
      </c>
      <c r="AI1860" t="n">
        <v>6</v>
      </c>
      <c r="AJ1860" t="n">
        <v>1</v>
      </c>
      <c r="AK1860" t="n">
        <v>11</v>
      </c>
      <c r="AL1860" t="n">
        <v>0</v>
      </c>
      <c r="AM1860" t="n">
        <v>0</v>
      </c>
      <c r="AN1860" t="n">
        <v>0</v>
      </c>
      <c r="AO1860" t="n">
        <v>0</v>
      </c>
      <c r="AP1860" t="inlineStr">
        <is>
          <t>No</t>
        </is>
      </c>
      <c r="AQ1860" t="inlineStr">
        <is>
          <t>No</t>
        </is>
      </c>
      <c r="AS1860">
        <f>HYPERLINK("https://creighton-primo.hosted.exlibrisgroup.com/primo-explore/search?tab=default_tab&amp;search_scope=EVERYTHING&amp;vid=01CRU&amp;lang=en_US&amp;offset=0&amp;query=any,contains,991002005689702656","Catalog Record")</f>
        <v/>
      </c>
      <c r="AT1860">
        <f>HYPERLINK("http://www.worldcat.org/oclc/25508639","WorldCat Record")</f>
        <v/>
      </c>
      <c r="AU1860" t="inlineStr">
        <is>
          <t>24496012:eng</t>
        </is>
      </c>
      <c r="AV1860" t="inlineStr">
        <is>
          <t>25508639</t>
        </is>
      </c>
      <c r="AW1860" t="inlineStr">
        <is>
          <t>991002005689702656</t>
        </is>
      </c>
      <c r="AX1860" t="inlineStr">
        <is>
          <t>991002005689702656</t>
        </is>
      </c>
      <c r="AY1860" t="inlineStr">
        <is>
          <t>2272383820002656</t>
        </is>
      </c>
      <c r="AZ1860" t="inlineStr">
        <is>
          <t>BOOK</t>
        </is>
      </c>
      <c r="BB1860" t="inlineStr">
        <is>
          <t>9780385424301</t>
        </is>
      </c>
      <c r="BC1860" t="inlineStr">
        <is>
          <t>32285001759249</t>
        </is>
      </c>
      <c r="BD1860" t="inlineStr">
        <is>
          <t>893523081</t>
        </is>
      </c>
    </row>
    <row r="1861">
      <c r="A1861" t="inlineStr">
        <is>
          <t>No</t>
        </is>
      </c>
      <c r="B1861" t="inlineStr">
        <is>
          <t>BX4200 .D66 1989</t>
        </is>
      </c>
      <c r="C1861" t="inlineStr">
        <is>
          <t>0                      BX 4200000D  66          1989</t>
        </is>
      </c>
      <c r="D1861" t="inlineStr">
        <is>
          <t>Sisterhood as power : the past and passion of ecclesial women / Mary Ann Donovan.</t>
        </is>
      </c>
      <c r="F1861" t="inlineStr">
        <is>
          <t>No</t>
        </is>
      </c>
      <c r="G1861" t="inlineStr">
        <is>
          <t>1</t>
        </is>
      </c>
      <c r="H1861" t="inlineStr">
        <is>
          <t>No</t>
        </is>
      </c>
      <c r="I1861" t="inlineStr">
        <is>
          <t>No</t>
        </is>
      </c>
      <c r="J1861" t="inlineStr">
        <is>
          <t>0</t>
        </is>
      </c>
      <c r="K1861" t="inlineStr">
        <is>
          <t>Donovan, Mary Ann.</t>
        </is>
      </c>
      <c r="L1861" t="inlineStr">
        <is>
          <t>New York : Crossroad, 1989.</t>
        </is>
      </c>
      <c r="M1861" t="inlineStr">
        <is>
          <t>1989</t>
        </is>
      </c>
      <c r="O1861" t="inlineStr">
        <is>
          <t>eng</t>
        </is>
      </c>
      <c r="P1861" t="inlineStr">
        <is>
          <t>nyu</t>
        </is>
      </c>
      <c r="R1861" t="inlineStr">
        <is>
          <t xml:space="preserve">BX </t>
        </is>
      </c>
      <c r="S1861" t="n">
        <v>5</v>
      </c>
      <c r="T1861" t="n">
        <v>5</v>
      </c>
      <c r="U1861" t="inlineStr">
        <is>
          <t>1996-09-11</t>
        </is>
      </c>
      <c r="V1861" t="inlineStr">
        <is>
          <t>1996-09-11</t>
        </is>
      </c>
      <c r="W1861" t="inlineStr">
        <is>
          <t>1991-03-08</t>
        </is>
      </c>
      <c r="X1861" t="inlineStr">
        <is>
          <t>1991-03-08</t>
        </is>
      </c>
      <c r="Y1861" t="n">
        <v>238</v>
      </c>
      <c r="Z1861" t="n">
        <v>206</v>
      </c>
      <c r="AA1861" t="n">
        <v>213</v>
      </c>
      <c r="AB1861" t="n">
        <v>3</v>
      </c>
      <c r="AC1861" t="n">
        <v>3</v>
      </c>
      <c r="AD1861" t="n">
        <v>18</v>
      </c>
      <c r="AE1861" t="n">
        <v>18</v>
      </c>
      <c r="AF1861" t="n">
        <v>7</v>
      </c>
      <c r="AG1861" t="n">
        <v>7</v>
      </c>
      <c r="AH1861" t="n">
        <v>4</v>
      </c>
      <c r="AI1861" t="n">
        <v>4</v>
      </c>
      <c r="AJ1861" t="n">
        <v>11</v>
      </c>
      <c r="AK1861" t="n">
        <v>11</v>
      </c>
      <c r="AL1861" t="n">
        <v>2</v>
      </c>
      <c r="AM1861" t="n">
        <v>2</v>
      </c>
      <c r="AN1861" t="n">
        <v>0</v>
      </c>
      <c r="AO1861" t="n">
        <v>0</v>
      </c>
      <c r="AP1861" t="inlineStr">
        <is>
          <t>No</t>
        </is>
      </c>
      <c r="AQ1861" t="inlineStr">
        <is>
          <t>Yes</t>
        </is>
      </c>
      <c r="AR1861">
        <f>HYPERLINK("http://catalog.hathitrust.org/Record/001834238","HathiTrust Record")</f>
        <v/>
      </c>
      <c r="AS1861">
        <f>HYPERLINK("https://creighton-primo.hosted.exlibrisgroup.com/primo-explore/search?tab=default_tab&amp;search_scope=EVERYTHING&amp;vid=01CRU&amp;lang=en_US&amp;offset=0&amp;query=any,contains,991001518909702656","Catalog Record")</f>
        <v/>
      </c>
      <c r="AT1861">
        <f>HYPERLINK("http://www.worldcat.org/oclc/19970803","WorldCat Record")</f>
        <v/>
      </c>
      <c r="AU1861" t="inlineStr">
        <is>
          <t>427924207:eng</t>
        </is>
      </c>
      <c r="AV1861" t="inlineStr">
        <is>
          <t>19970803</t>
        </is>
      </c>
      <c r="AW1861" t="inlineStr">
        <is>
          <t>991001518909702656</t>
        </is>
      </c>
      <c r="AX1861" t="inlineStr">
        <is>
          <t>991001518909702656</t>
        </is>
      </c>
      <c r="AY1861" t="inlineStr">
        <is>
          <t>2262022620002656</t>
        </is>
      </c>
      <c r="AZ1861" t="inlineStr">
        <is>
          <t>BOOK</t>
        </is>
      </c>
      <c r="BB1861" t="inlineStr">
        <is>
          <t>9780824509613</t>
        </is>
      </c>
      <c r="BC1861" t="inlineStr">
        <is>
          <t>32285000493691</t>
        </is>
      </c>
      <c r="BD1861" t="inlineStr">
        <is>
          <t>893315822</t>
        </is>
      </c>
    </row>
    <row r="1862">
      <c r="A1862" t="inlineStr">
        <is>
          <t>No</t>
        </is>
      </c>
      <c r="B1862" t="inlineStr">
        <is>
          <t>BX4200 .M35 1996</t>
        </is>
      </c>
      <c r="C1862" t="inlineStr">
        <is>
          <t>0                      BX 4200000M  35          1996</t>
        </is>
      </c>
      <c r="D1862" t="inlineStr">
        <is>
          <t>Sisters in arms : Catholic nuns through two millennia / Jo Ann Kay McNamara.</t>
        </is>
      </c>
      <c r="F1862" t="inlineStr">
        <is>
          <t>No</t>
        </is>
      </c>
      <c r="G1862" t="inlineStr">
        <is>
          <t>1</t>
        </is>
      </c>
      <c r="H1862" t="inlineStr">
        <is>
          <t>No</t>
        </is>
      </c>
      <c r="I1862" t="inlineStr">
        <is>
          <t>No</t>
        </is>
      </c>
      <c r="J1862" t="inlineStr">
        <is>
          <t>0</t>
        </is>
      </c>
      <c r="K1862" t="inlineStr">
        <is>
          <t>McNamara, Jo Ann, 1931-</t>
        </is>
      </c>
      <c r="L1862" t="inlineStr">
        <is>
          <t>Cambridge, Mass. : Harvard University Press, 1996.</t>
        </is>
      </c>
      <c r="M1862" t="inlineStr">
        <is>
          <t>1996</t>
        </is>
      </c>
      <c r="O1862" t="inlineStr">
        <is>
          <t>eng</t>
        </is>
      </c>
      <c r="P1862" t="inlineStr">
        <is>
          <t>mau</t>
        </is>
      </c>
      <c r="R1862" t="inlineStr">
        <is>
          <t xml:space="preserve">BX </t>
        </is>
      </c>
      <c r="S1862" t="n">
        <v>6</v>
      </c>
      <c r="T1862" t="n">
        <v>6</v>
      </c>
      <c r="U1862" t="inlineStr">
        <is>
          <t>1997-11-15</t>
        </is>
      </c>
      <c r="V1862" t="inlineStr">
        <is>
          <t>1997-11-15</t>
        </is>
      </c>
      <c r="W1862" t="inlineStr">
        <is>
          <t>1996-10-01</t>
        </is>
      </c>
      <c r="X1862" t="inlineStr">
        <is>
          <t>1996-10-01</t>
        </is>
      </c>
      <c r="Y1862" t="n">
        <v>1264</v>
      </c>
      <c r="Z1862" t="n">
        <v>1083</v>
      </c>
      <c r="AA1862" t="n">
        <v>1246</v>
      </c>
      <c r="AB1862" t="n">
        <v>6</v>
      </c>
      <c r="AC1862" t="n">
        <v>8</v>
      </c>
      <c r="AD1862" t="n">
        <v>50</v>
      </c>
      <c r="AE1862" t="n">
        <v>55</v>
      </c>
      <c r="AF1862" t="n">
        <v>23</v>
      </c>
      <c r="AG1862" t="n">
        <v>26</v>
      </c>
      <c r="AH1862" t="n">
        <v>10</v>
      </c>
      <c r="AI1862" t="n">
        <v>11</v>
      </c>
      <c r="AJ1862" t="n">
        <v>25</v>
      </c>
      <c r="AK1862" t="n">
        <v>25</v>
      </c>
      <c r="AL1862" t="n">
        <v>5</v>
      </c>
      <c r="AM1862" t="n">
        <v>7</v>
      </c>
      <c r="AN1862" t="n">
        <v>0</v>
      </c>
      <c r="AO1862" t="n">
        <v>0</v>
      </c>
      <c r="AP1862" t="inlineStr">
        <is>
          <t>No</t>
        </is>
      </c>
      <c r="AQ1862" t="inlineStr">
        <is>
          <t>No</t>
        </is>
      </c>
      <c r="AS1862">
        <f>HYPERLINK("https://creighton-primo.hosted.exlibrisgroup.com/primo-explore/search?tab=default_tab&amp;search_scope=EVERYTHING&amp;vid=01CRU&amp;lang=en_US&amp;offset=0&amp;query=any,contains,991002603719702656","Catalog Record")</f>
        <v/>
      </c>
      <c r="AT1862">
        <f>HYPERLINK("http://www.worldcat.org/oclc/34113867","WorldCat Record")</f>
        <v/>
      </c>
      <c r="AU1862" t="inlineStr">
        <is>
          <t>12872436:eng</t>
        </is>
      </c>
      <c r="AV1862" t="inlineStr">
        <is>
          <t>34113867</t>
        </is>
      </c>
      <c r="AW1862" t="inlineStr">
        <is>
          <t>991002603719702656</t>
        </is>
      </c>
      <c r="AX1862" t="inlineStr">
        <is>
          <t>991002603719702656</t>
        </is>
      </c>
      <c r="AY1862" t="inlineStr">
        <is>
          <t>2272561510002656</t>
        </is>
      </c>
      <c r="AZ1862" t="inlineStr">
        <is>
          <t>BOOK</t>
        </is>
      </c>
      <c r="BB1862" t="inlineStr">
        <is>
          <t>9780674809840</t>
        </is>
      </c>
      <c r="BC1862" t="inlineStr">
        <is>
          <t>32285002321452</t>
        </is>
      </c>
      <c r="BD1862" t="inlineStr">
        <is>
          <t>893627210</t>
        </is>
      </c>
    </row>
    <row r="1863">
      <c r="A1863" t="inlineStr">
        <is>
          <t>No</t>
        </is>
      </c>
      <c r="B1863" t="inlineStr">
        <is>
          <t>BX4200 .S88 2004</t>
        </is>
      </c>
      <c r="C1863" t="inlineStr">
        <is>
          <t>0                      BX 4200000S  88          2004</t>
        </is>
      </c>
      <c r="D1863" t="inlineStr">
        <is>
          <t>Studien und Texte zur literarischen und materiellen Kultur der Frauenkleoster im speaten Mittelalter : Ergebnisse eines Arbeitsgespreachs in der Herzog August Bibliothek Wolfenbeuttel, 24.-26. Febr. 1999 / herausgegeben von Falk Eisermann, Eva Schlotheuber, und Volker Honemann.</t>
        </is>
      </c>
      <c r="F1863" t="inlineStr">
        <is>
          <t>No</t>
        </is>
      </c>
      <c r="G1863" t="inlineStr">
        <is>
          <t>1</t>
        </is>
      </c>
      <c r="H1863" t="inlineStr">
        <is>
          <t>No</t>
        </is>
      </c>
      <c r="I1863" t="inlineStr">
        <is>
          <t>No</t>
        </is>
      </c>
      <c r="J1863" t="inlineStr">
        <is>
          <t>0</t>
        </is>
      </c>
      <c r="L1863" t="inlineStr">
        <is>
          <t>Leiden ; Boston : Brill, 2004.</t>
        </is>
      </c>
      <c r="M1863" t="inlineStr">
        <is>
          <t>2004</t>
        </is>
      </c>
      <c r="O1863" t="inlineStr">
        <is>
          <t>ger</t>
        </is>
      </c>
      <c r="P1863" t="inlineStr">
        <is>
          <t xml:space="preserve">ne </t>
        </is>
      </c>
      <c r="Q1863" t="inlineStr">
        <is>
          <t>Studies in medieval and Reformation thought ; v. 99</t>
        </is>
      </c>
      <c r="R1863" t="inlineStr">
        <is>
          <t xml:space="preserve">BX </t>
        </is>
      </c>
      <c r="S1863" t="n">
        <v>1</v>
      </c>
      <c r="T1863" t="n">
        <v>1</v>
      </c>
      <c r="U1863" t="inlineStr">
        <is>
          <t>2004-09-01</t>
        </is>
      </c>
      <c r="V1863" t="inlineStr">
        <is>
          <t>2004-09-01</t>
        </is>
      </c>
      <c r="W1863" t="inlineStr">
        <is>
          <t>2004-09-01</t>
        </is>
      </c>
      <c r="X1863" t="inlineStr">
        <is>
          <t>2004-09-01</t>
        </is>
      </c>
      <c r="Y1863" t="n">
        <v>175</v>
      </c>
      <c r="Z1863" t="n">
        <v>118</v>
      </c>
      <c r="AA1863" t="n">
        <v>118</v>
      </c>
      <c r="AB1863" t="n">
        <v>2</v>
      </c>
      <c r="AC1863" t="n">
        <v>2</v>
      </c>
      <c r="AD1863" t="n">
        <v>7</v>
      </c>
      <c r="AE1863" t="n">
        <v>7</v>
      </c>
      <c r="AF1863" t="n">
        <v>1</v>
      </c>
      <c r="AG1863" t="n">
        <v>1</v>
      </c>
      <c r="AH1863" t="n">
        <v>2</v>
      </c>
      <c r="AI1863" t="n">
        <v>2</v>
      </c>
      <c r="AJ1863" t="n">
        <v>4</v>
      </c>
      <c r="AK1863" t="n">
        <v>4</v>
      </c>
      <c r="AL1863" t="n">
        <v>1</v>
      </c>
      <c r="AM1863" t="n">
        <v>1</v>
      </c>
      <c r="AN1863" t="n">
        <v>0</v>
      </c>
      <c r="AO1863" t="n">
        <v>0</v>
      </c>
      <c r="AP1863" t="inlineStr">
        <is>
          <t>No</t>
        </is>
      </c>
      <c r="AQ1863" t="inlineStr">
        <is>
          <t>No</t>
        </is>
      </c>
      <c r="AS1863">
        <f>HYPERLINK("https://creighton-primo.hosted.exlibrisgroup.com/primo-explore/search?tab=default_tab&amp;search_scope=EVERYTHING&amp;vid=01CRU&amp;lang=en_US&amp;offset=0&amp;query=any,contains,991004354449702656","Catalog Record")</f>
        <v/>
      </c>
      <c r="AT1863">
        <f>HYPERLINK("http://www.worldcat.org/oclc/54844109","WorldCat Record")</f>
        <v/>
      </c>
      <c r="AU1863" t="inlineStr">
        <is>
          <t>892217523:ger</t>
        </is>
      </c>
      <c r="AV1863" t="inlineStr">
        <is>
          <t>54844109</t>
        </is>
      </c>
      <c r="AW1863" t="inlineStr">
        <is>
          <t>991004354449702656</t>
        </is>
      </c>
      <c r="AX1863" t="inlineStr">
        <is>
          <t>991004354449702656</t>
        </is>
      </c>
      <c r="AY1863" t="inlineStr">
        <is>
          <t>2270242770002656</t>
        </is>
      </c>
      <c r="AZ1863" t="inlineStr">
        <is>
          <t>BOOK</t>
        </is>
      </c>
      <c r="BB1863" t="inlineStr">
        <is>
          <t>9789004138629</t>
        </is>
      </c>
      <c r="BC1863" t="inlineStr">
        <is>
          <t>32285004985270</t>
        </is>
      </c>
      <c r="BD1863" t="inlineStr">
        <is>
          <t>893869617</t>
        </is>
      </c>
    </row>
    <row r="1864">
      <c r="A1864" t="inlineStr">
        <is>
          <t>No</t>
        </is>
      </c>
      <c r="B1864" t="inlineStr">
        <is>
          <t>BX4205 .H813 1966</t>
        </is>
      </c>
      <c r="C1864" t="inlineStr">
        <is>
          <t>0                      BX 4205000H  813         1966</t>
        </is>
      </c>
      <c r="D1864" t="inlineStr">
        <is>
          <t>Tensions and change : the problems of religious orders today / Gérard Huyghe. Translated by Sister Marie Florette.</t>
        </is>
      </c>
      <c r="F1864" t="inlineStr">
        <is>
          <t>No</t>
        </is>
      </c>
      <c r="G1864" t="inlineStr">
        <is>
          <t>1</t>
        </is>
      </c>
      <c r="H1864" t="inlineStr">
        <is>
          <t>No</t>
        </is>
      </c>
      <c r="I1864" t="inlineStr">
        <is>
          <t>No</t>
        </is>
      </c>
      <c r="J1864" t="inlineStr">
        <is>
          <t>0</t>
        </is>
      </c>
      <c r="K1864" t="inlineStr">
        <is>
          <t>Huyghe, Gérard, 1909-</t>
        </is>
      </c>
      <c r="L1864" t="inlineStr">
        <is>
          <t>Westminster, Md. : Newman Press, 1966, c1965.</t>
        </is>
      </c>
      <c r="M1864" t="inlineStr">
        <is>
          <t>1965</t>
        </is>
      </c>
      <c r="O1864" t="inlineStr">
        <is>
          <t>eng</t>
        </is>
      </c>
      <c r="P1864" t="inlineStr">
        <is>
          <t>mdu</t>
        </is>
      </c>
      <c r="R1864" t="inlineStr">
        <is>
          <t xml:space="preserve">BX </t>
        </is>
      </c>
      <c r="S1864" t="n">
        <v>1</v>
      </c>
      <c r="T1864" t="n">
        <v>1</v>
      </c>
      <c r="U1864" t="inlineStr">
        <is>
          <t>2001-04-21</t>
        </is>
      </c>
      <c r="V1864" t="inlineStr">
        <is>
          <t>2001-04-21</t>
        </is>
      </c>
      <c r="W1864" t="inlineStr">
        <is>
          <t>1991-11-14</t>
        </is>
      </c>
      <c r="X1864" t="inlineStr">
        <is>
          <t>1991-11-14</t>
        </is>
      </c>
      <c r="Y1864" t="n">
        <v>164</v>
      </c>
      <c r="Z1864" t="n">
        <v>152</v>
      </c>
      <c r="AA1864" t="n">
        <v>159</v>
      </c>
      <c r="AB1864" t="n">
        <v>2</v>
      </c>
      <c r="AC1864" t="n">
        <v>2</v>
      </c>
      <c r="AD1864" t="n">
        <v>20</v>
      </c>
      <c r="AE1864" t="n">
        <v>20</v>
      </c>
      <c r="AF1864" t="n">
        <v>6</v>
      </c>
      <c r="AG1864" t="n">
        <v>6</v>
      </c>
      <c r="AH1864" t="n">
        <v>6</v>
      </c>
      <c r="AI1864" t="n">
        <v>6</v>
      </c>
      <c r="AJ1864" t="n">
        <v>16</v>
      </c>
      <c r="AK1864" t="n">
        <v>16</v>
      </c>
      <c r="AL1864" t="n">
        <v>0</v>
      </c>
      <c r="AM1864" t="n">
        <v>0</v>
      </c>
      <c r="AN1864" t="n">
        <v>0</v>
      </c>
      <c r="AO1864" t="n">
        <v>0</v>
      </c>
      <c r="AP1864" t="inlineStr">
        <is>
          <t>No</t>
        </is>
      </c>
      <c r="AQ1864" t="inlineStr">
        <is>
          <t>No</t>
        </is>
      </c>
      <c r="AS1864">
        <f>HYPERLINK("https://creighton-primo.hosted.exlibrisgroup.com/primo-explore/search?tab=default_tab&amp;search_scope=EVERYTHING&amp;vid=01CRU&amp;lang=en_US&amp;offset=0&amp;query=any,contains,991003967659702656","Catalog Record")</f>
        <v/>
      </c>
      <c r="AT1864">
        <f>HYPERLINK("http://www.worldcat.org/oclc/1988941","WorldCat Record")</f>
        <v/>
      </c>
      <c r="AU1864" t="inlineStr">
        <is>
          <t>9490299155:eng</t>
        </is>
      </c>
      <c r="AV1864" t="inlineStr">
        <is>
          <t>1988941</t>
        </is>
      </c>
      <c r="AW1864" t="inlineStr">
        <is>
          <t>991003967659702656</t>
        </is>
      </c>
      <c r="AX1864" t="inlineStr">
        <is>
          <t>991003967659702656</t>
        </is>
      </c>
      <c r="AY1864" t="inlineStr">
        <is>
          <t>2268407980002656</t>
        </is>
      </c>
      <c r="AZ1864" t="inlineStr">
        <is>
          <t>BOOK</t>
        </is>
      </c>
      <c r="BC1864" t="inlineStr">
        <is>
          <t>32285000853134</t>
        </is>
      </c>
      <c r="BD1864" t="inlineStr">
        <is>
          <t>893417056</t>
        </is>
      </c>
    </row>
    <row r="1865">
      <c r="A1865" t="inlineStr">
        <is>
          <t>No</t>
        </is>
      </c>
      <c r="B1865" t="inlineStr">
        <is>
          <t>BX4205 .M8 1965</t>
        </is>
      </c>
      <c r="C1865" t="inlineStr">
        <is>
          <t>0                      BX 4205000M  8           1965</t>
        </is>
      </c>
      <c r="D1865" t="inlineStr">
        <is>
          <t>The changing Sister / edited by Sister M. Charles Borromeo Muckenhirn. Contributors: Marie Augusta Neal [and others] Foreword by George N. Shuster.</t>
        </is>
      </c>
      <c r="F1865" t="inlineStr">
        <is>
          <t>No</t>
        </is>
      </c>
      <c r="G1865" t="inlineStr">
        <is>
          <t>1</t>
        </is>
      </c>
      <c r="H1865" t="inlineStr">
        <is>
          <t>No</t>
        </is>
      </c>
      <c r="I1865" t="inlineStr">
        <is>
          <t>No</t>
        </is>
      </c>
      <c r="J1865" t="inlineStr">
        <is>
          <t>0</t>
        </is>
      </c>
      <c r="K1865" t="inlineStr">
        <is>
          <t>Muckenhirn, M. Charles Borromeo (Mary Charles Borromeo), editor.</t>
        </is>
      </c>
      <c r="L1865" t="inlineStr">
        <is>
          <t>Notre Dame, Ind. : Fides Publishers, 1965.</t>
        </is>
      </c>
      <c r="M1865" t="inlineStr">
        <is>
          <t>1965</t>
        </is>
      </c>
      <c r="O1865" t="inlineStr">
        <is>
          <t>eng</t>
        </is>
      </c>
      <c r="P1865" t="inlineStr">
        <is>
          <t xml:space="preserve">xx </t>
        </is>
      </c>
      <c r="R1865" t="inlineStr">
        <is>
          <t xml:space="preserve">BX </t>
        </is>
      </c>
      <c r="S1865" t="n">
        <v>1</v>
      </c>
      <c r="T1865" t="n">
        <v>1</v>
      </c>
      <c r="U1865" t="inlineStr">
        <is>
          <t>1995-06-25</t>
        </is>
      </c>
      <c r="V1865" t="inlineStr">
        <is>
          <t>1995-06-25</t>
        </is>
      </c>
      <c r="W1865" t="inlineStr">
        <is>
          <t>1991-11-14</t>
        </is>
      </c>
      <c r="X1865" t="inlineStr">
        <is>
          <t>1991-11-14</t>
        </is>
      </c>
      <c r="Y1865" t="n">
        <v>160</v>
      </c>
      <c r="Z1865" t="n">
        <v>139</v>
      </c>
      <c r="AA1865" t="n">
        <v>145</v>
      </c>
      <c r="AB1865" t="n">
        <v>2</v>
      </c>
      <c r="AC1865" t="n">
        <v>2</v>
      </c>
      <c r="AD1865" t="n">
        <v>21</v>
      </c>
      <c r="AE1865" t="n">
        <v>21</v>
      </c>
      <c r="AF1865" t="n">
        <v>4</v>
      </c>
      <c r="AG1865" t="n">
        <v>4</v>
      </c>
      <c r="AH1865" t="n">
        <v>7</v>
      </c>
      <c r="AI1865" t="n">
        <v>7</v>
      </c>
      <c r="AJ1865" t="n">
        <v>16</v>
      </c>
      <c r="AK1865" t="n">
        <v>16</v>
      </c>
      <c r="AL1865" t="n">
        <v>1</v>
      </c>
      <c r="AM1865" t="n">
        <v>1</v>
      </c>
      <c r="AN1865" t="n">
        <v>0</v>
      </c>
      <c r="AO1865" t="n">
        <v>0</v>
      </c>
      <c r="AP1865" t="inlineStr">
        <is>
          <t>No</t>
        </is>
      </c>
      <c r="AQ1865" t="inlineStr">
        <is>
          <t>Yes</t>
        </is>
      </c>
      <c r="AR1865">
        <f>HYPERLINK("http://catalog.hathitrust.org/Record/006922528","HathiTrust Record")</f>
        <v/>
      </c>
      <c r="AS1865">
        <f>HYPERLINK("https://creighton-primo.hosted.exlibrisgroup.com/primo-explore/search?tab=default_tab&amp;search_scope=EVERYTHING&amp;vid=01CRU&amp;lang=en_US&amp;offset=0&amp;query=any,contains,991003216279702656","Catalog Record")</f>
        <v/>
      </c>
      <c r="AT1865">
        <f>HYPERLINK("http://www.worldcat.org/oclc/742285","WorldCat Record")</f>
        <v/>
      </c>
      <c r="AU1865" t="inlineStr">
        <is>
          <t>1811650:eng</t>
        </is>
      </c>
      <c r="AV1865" t="inlineStr">
        <is>
          <t>742285</t>
        </is>
      </c>
      <c r="AW1865" t="inlineStr">
        <is>
          <t>991003216279702656</t>
        </is>
      </c>
      <c r="AX1865" t="inlineStr">
        <is>
          <t>991003216279702656</t>
        </is>
      </c>
      <c r="AY1865" t="inlineStr">
        <is>
          <t>2270458650002656</t>
        </is>
      </c>
      <c r="AZ1865" t="inlineStr">
        <is>
          <t>BOOK</t>
        </is>
      </c>
      <c r="BC1865" t="inlineStr">
        <is>
          <t>32285000853142</t>
        </is>
      </c>
      <c r="BD1865" t="inlineStr">
        <is>
          <t>893258177</t>
        </is>
      </c>
    </row>
    <row r="1866">
      <c r="A1866" t="inlineStr">
        <is>
          <t>No</t>
        </is>
      </c>
      <c r="B1866" t="inlineStr">
        <is>
          <t>BX4205 .M85 2005</t>
        </is>
      </c>
      <c r="C1866" t="inlineStr">
        <is>
          <t>0                      BX 4205000M  85          2005</t>
        </is>
      </c>
      <c r="D1866" t="inlineStr">
        <is>
          <t>Lives of the anchoresses : the rise of the urban recluse in medieval Europe / Anneke B. Mulder-Bakker ; translated by Myra Heerspink Scholz.</t>
        </is>
      </c>
      <c r="F1866" t="inlineStr">
        <is>
          <t>No</t>
        </is>
      </c>
      <c r="G1866" t="inlineStr">
        <is>
          <t>1</t>
        </is>
      </c>
      <c r="H1866" t="inlineStr">
        <is>
          <t>No</t>
        </is>
      </c>
      <c r="I1866" t="inlineStr">
        <is>
          <t>No</t>
        </is>
      </c>
      <c r="J1866" t="inlineStr">
        <is>
          <t>0</t>
        </is>
      </c>
      <c r="K1866" t="inlineStr">
        <is>
          <t>Mulder-Bakker, Anneke B.</t>
        </is>
      </c>
      <c r="L1866" t="inlineStr">
        <is>
          <t>Philadelphia : University of Pennsylvania Press, c2005.</t>
        </is>
      </c>
      <c r="M1866" t="inlineStr">
        <is>
          <t>2005</t>
        </is>
      </c>
      <c r="O1866" t="inlineStr">
        <is>
          <t>eng</t>
        </is>
      </c>
      <c r="P1866" t="inlineStr">
        <is>
          <t>pau</t>
        </is>
      </c>
      <c r="Q1866" t="inlineStr">
        <is>
          <t>The Middle Ages series</t>
        </is>
      </c>
      <c r="R1866" t="inlineStr">
        <is>
          <t xml:space="preserve">BX </t>
        </is>
      </c>
      <c r="S1866" t="n">
        <v>1</v>
      </c>
      <c r="T1866" t="n">
        <v>1</v>
      </c>
      <c r="U1866" t="inlineStr">
        <is>
          <t>2006-04-27</t>
        </is>
      </c>
      <c r="V1866" t="inlineStr">
        <is>
          <t>2006-04-27</t>
        </is>
      </c>
      <c r="W1866" t="inlineStr">
        <is>
          <t>2006-04-27</t>
        </is>
      </c>
      <c r="X1866" t="inlineStr">
        <is>
          <t>2006-04-27</t>
        </is>
      </c>
      <c r="Y1866" t="n">
        <v>326</v>
      </c>
      <c r="Z1866" t="n">
        <v>258</v>
      </c>
      <c r="AA1866" t="n">
        <v>722</v>
      </c>
      <c r="AB1866" t="n">
        <v>2</v>
      </c>
      <c r="AC1866" t="n">
        <v>5</v>
      </c>
      <c r="AD1866" t="n">
        <v>19</v>
      </c>
      <c r="AE1866" t="n">
        <v>37</v>
      </c>
      <c r="AF1866" t="n">
        <v>8</v>
      </c>
      <c r="AG1866" t="n">
        <v>15</v>
      </c>
      <c r="AH1866" t="n">
        <v>5</v>
      </c>
      <c r="AI1866" t="n">
        <v>9</v>
      </c>
      <c r="AJ1866" t="n">
        <v>9</v>
      </c>
      <c r="AK1866" t="n">
        <v>17</v>
      </c>
      <c r="AL1866" t="n">
        <v>1</v>
      </c>
      <c r="AM1866" t="n">
        <v>4</v>
      </c>
      <c r="AN1866" t="n">
        <v>0</v>
      </c>
      <c r="AO1866" t="n">
        <v>1</v>
      </c>
      <c r="AP1866" t="inlineStr">
        <is>
          <t>No</t>
        </is>
      </c>
      <c r="AQ1866" t="inlineStr">
        <is>
          <t>Yes</t>
        </is>
      </c>
      <c r="AR1866">
        <f>HYPERLINK("http://catalog.hathitrust.org/Record/004961305","HathiTrust Record")</f>
        <v/>
      </c>
      <c r="AS1866">
        <f>HYPERLINK("https://creighton-primo.hosted.exlibrisgroup.com/primo-explore/search?tab=default_tab&amp;search_scope=EVERYTHING&amp;vid=01CRU&amp;lang=en_US&amp;offset=0&amp;query=any,contains,991004785719702656","Catalog Record")</f>
        <v/>
      </c>
      <c r="AT1866">
        <f>HYPERLINK("http://www.worldcat.org/oclc/56194842","WorldCat Record")</f>
        <v/>
      </c>
      <c r="AU1866" t="inlineStr">
        <is>
          <t>796571223:eng</t>
        </is>
      </c>
      <c r="AV1866" t="inlineStr">
        <is>
          <t>56194842</t>
        </is>
      </c>
      <c r="AW1866" t="inlineStr">
        <is>
          <t>991004785719702656</t>
        </is>
      </c>
      <c r="AX1866" t="inlineStr">
        <is>
          <t>991004785719702656</t>
        </is>
      </c>
      <c r="AY1866" t="inlineStr">
        <is>
          <t>2272247640002656</t>
        </is>
      </c>
      <c r="AZ1866" t="inlineStr">
        <is>
          <t>BOOK</t>
        </is>
      </c>
      <c r="BB1866" t="inlineStr">
        <is>
          <t>9780812238525</t>
        </is>
      </c>
      <c r="BC1866" t="inlineStr">
        <is>
          <t>32285005183842</t>
        </is>
      </c>
      <c r="BD1866" t="inlineStr">
        <is>
          <t>893722610</t>
        </is>
      </c>
    </row>
    <row r="1867">
      <c r="A1867" t="inlineStr">
        <is>
          <t>No</t>
        </is>
      </c>
      <c r="B1867" t="inlineStr">
        <is>
          <t>BX4205 .S813 1963</t>
        </is>
      </c>
      <c r="C1867" t="inlineStr">
        <is>
          <t>0                      BX 4205000S  813         1963</t>
        </is>
      </c>
      <c r="D1867" t="inlineStr">
        <is>
          <t>The nun in the world : religious and the apostolate / by Leon Joseph Suenens. [Translated from the French by Geoffrey Stevens]</t>
        </is>
      </c>
      <c r="F1867" t="inlineStr">
        <is>
          <t>No</t>
        </is>
      </c>
      <c r="G1867" t="inlineStr">
        <is>
          <t>1</t>
        </is>
      </c>
      <c r="H1867" t="inlineStr">
        <is>
          <t>No</t>
        </is>
      </c>
      <c r="I1867" t="inlineStr">
        <is>
          <t>No</t>
        </is>
      </c>
      <c r="J1867" t="inlineStr">
        <is>
          <t>0</t>
        </is>
      </c>
      <c r="K1867" t="inlineStr">
        <is>
          <t>Suenens, Léon Joseph, 1904-1996.</t>
        </is>
      </c>
      <c r="L1867" t="inlineStr">
        <is>
          <t>Westminster, Md. : Newman Press, 1963.</t>
        </is>
      </c>
      <c r="M1867" t="inlineStr">
        <is>
          <t>1963</t>
        </is>
      </c>
      <c r="N1867" t="inlineStr">
        <is>
          <t>Rev. ed.</t>
        </is>
      </c>
      <c r="O1867" t="inlineStr">
        <is>
          <t>eng</t>
        </is>
      </c>
      <c r="P1867" t="inlineStr">
        <is>
          <t>mdu</t>
        </is>
      </c>
      <c r="R1867" t="inlineStr">
        <is>
          <t xml:space="preserve">BX </t>
        </is>
      </c>
      <c r="S1867" t="n">
        <v>1</v>
      </c>
      <c r="T1867" t="n">
        <v>1</v>
      </c>
      <c r="U1867" t="inlineStr">
        <is>
          <t>2001-04-07</t>
        </is>
      </c>
      <c r="V1867" t="inlineStr">
        <is>
          <t>2001-04-07</t>
        </is>
      </c>
      <c r="W1867" t="inlineStr">
        <is>
          <t>1991-11-14</t>
        </is>
      </c>
      <c r="X1867" t="inlineStr">
        <is>
          <t>1991-11-14</t>
        </is>
      </c>
      <c r="Y1867" t="n">
        <v>68</v>
      </c>
      <c r="Z1867" t="n">
        <v>67</v>
      </c>
      <c r="AA1867" t="n">
        <v>169</v>
      </c>
      <c r="AB1867" t="n">
        <v>2</v>
      </c>
      <c r="AC1867" t="n">
        <v>3</v>
      </c>
      <c r="AD1867" t="n">
        <v>8</v>
      </c>
      <c r="AE1867" t="n">
        <v>26</v>
      </c>
      <c r="AF1867" t="n">
        <v>2</v>
      </c>
      <c r="AG1867" t="n">
        <v>7</v>
      </c>
      <c r="AH1867" t="n">
        <v>1</v>
      </c>
      <c r="AI1867" t="n">
        <v>7</v>
      </c>
      <c r="AJ1867" t="n">
        <v>6</v>
      </c>
      <c r="AK1867" t="n">
        <v>17</v>
      </c>
      <c r="AL1867" t="n">
        <v>1</v>
      </c>
      <c r="AM1867" t="n">
        <v>1</v>
      </c>
      <c r="AN1867" t="n">
        <v>0</v>
      </c>
      <c r="AO1867" t="n">
        <v>0</v>
      </c>
      <c r="AP1867" t="inlineStr">
        <is>
          <t>No</t>
        </is>
      </c>
      <c r="AQ1867" t="inlineStr">
        <is>
          <t>No</t>
        </is>
      </c>
      <c r="AS1867">
        <f>HYPERLINK("https://creighton-primo.hosted.exlibrisgroup.com/primo-explore/search?tab=default_tab&amp;search_scope=EVERYTHING&amp;vid=01CRU&amp;lang=en_US&amp;offset=0&amp;query=any,contains,991004732789702656","Catalog Record")</f>
        <v/>
      </c>
      <c r="AT1867">
        <f>HYPERLINK("http://www.worldcat.org/oclc/4836164","WorldCat Record")</f>
        <v/>
      </c>
      <c r="AU1867" t="inlineStr">
        <is>
          <t>198816476:eng</t>
        </is>
      </c>
      <c r="AV1867" t="inlineStr">
        <is>
          <t>4836164</t>
        </is>
      </c>
      <c r="AW1867" t="inlineStr">
        <is>
          <t>991004732789702656</t>
        </is>
      </c>
      <c r="AX1867" t="inlineStr">
        <is>
          <t>991004732789702656</t>
        </is>
      </c>
      <c r="AY1867" t="inlineStr">
        <is>
          <t>2267892750002656</t>
        </is>
      </c>
      <c r="AZ1867" t="inlineStr">
        <is>
          <t>BOOK</t>
        </is>
      </c>
      <c r="BC1867" t="inlineStr">
        <is>
          <t>32285000853167</t>
        </is>
      </c>
      <c r="BD1867" t="inlineStr">
        <is>
          <t>893706765</t>
        </is>
      </c>
    </row>
    <row r="1868">
      <c r="A1868" t="inlineStr">
        <is>
          <t>No</t>
        </is>
      </c>
      <c r="B1868" t="inlineStr">
        <is>
          <t>BX4210 .B377 1976</t>
        </is>
      </c>
      <c r="C1868" t="inlineStr">
        <is>
          <t>0                      BX 4210000B  377         1976</t>
        </is>
      </c>
      <c r="D1868" t="inlineStr">
        <is>
          <t>The nuns / Marcelle Bernstein.</t>
        </is>
      </c>
      <c r="F1868" t="inlineStr">
        <is>
          <t>No</t>
        </is>
      </c>
      <c r="G1868" t="inlineStr">
        <is>
          <t>1</t>
        </is>
      </c>
      <c r="H1868" t="inlineStr">
        <is>
          <t>No</t>
        </is>
      </c>
      <c r="I1868" t="inlineStr">
        <is>
          <t>No</t>
        </is>
      </c>
      <c r="J1868" t="inlineStr">
        <is>
          <t>0</t>
        </is>
      </c>
      <c r="K1868" t="inlineStr">
        <is>
          <t>Bernstein, Marcelle.</t>
        </is>
      </c>
      <c r="L1868" t="inlineStr">
        <is>
          <t>Philadelphia : Lippincott, c1976.</t>
        </is>
      </c>
      <c r="M1868" t="inlineStr">
        <is>
          <t>1976</t>
        </is>
      </c>
      <c r="N1868" t="inlineStr">
        <is>
          <t>1st ed.</t>
        </is>
      </c>
      <c r="O1868" t="inlineStr">
        <is>
          <t>eng</t>
        </is>
      </c>
      <c r="P1868" t="inlineStr">
        <is>
          <t>pau</t>
        </is>
      </c>
      <c r="R1868" t="inlineStr">
        <is>
          <t xml:space="preserve">BX </t>
        </is>
      </c>
      <c r="S1868" t="n">
        <v>1</v>
      </c>
      <c r="T1868" t="n">
        <v>1</v>
      </c>
      <c r="U1868" t="inlineStr">
        <is>
          <t>2001-04-07</t>
        </is>
      </c>
      <c r="V1868" t="inlineStr">
        <is>
          <t>2001-04-07</t>
        </is>
      </c>
      <c r="W1868" t="inlineStr">
        <is>
          <t>1991-11-14</t>
        </is>
      </c>
      <c r="X1868" t="inlineStr">
        <is>
          <t>1991-11-14</t>
        </is>
      </c>
      <c r="Y1868" t="n">
        <v>630</v>
      </c>
      <c r="Z1868" t="n">
        <v>600</v>
      </c>
      <c r="AA1868" t="n">
        <v>647</v>
      </c>
      <c r="AB1868" t="n">
        <v>3</v>
      </c>
      <c r="AC1868" t="n">
        <v>5</v>
      </c>
      <c r="AD1868" t="n">
        <v>22</v>
      </c>
      <c r="AE1868" t="n">
        <v>27</v>
      </c>
      <c r="AF1868" t="n">
        <v>6</v>
      </c>
      <c r="AG1868" t="n">
        <v>6</v>
      </c>
      <c r="AH1868" t="n">
        <v>4</v>
      </c>
      <c r="AI1868" t="n">
        <v>5</v>
      </c>
      <c r="AJ1868" t="n">
        <v>17</v>
      </c>
      <c r="AK1868" t="n">
        <v>19</v>
      </c>
      <c r="AL1868" t="n">
        <v>2</v>
      </c>
      <c r="AM1868" t="n">
        <v>4</v>
      </c>
      <c r="AN1868" t="n">
        <v>0</v>
      </c>
      <c r="AO1868" t="n">
        <v>0</v>
      </c>
      <c r="AP1868" t="inlineStr">
        <is>
          <t>No</t>
        </is>
      </c>
      <c r="AQ1868" t="inlineStr">
        <is>
          <t>Yes</t>
        </is>
      </c>
      <c r="AR1868">
        <f>HYPERLINK("http://catalog.hathitrust.org/Record/000688472","HathiTrust Record")</f>
        <v/>
      </c>
      <c r="AS1868">
        <f>HYPERLINK("https://creighton-primo.hosted.exlibrisgroup.com/primo-explore/search?tab=default_tab&amp;search_scope=EVERYTHING&amp;vid=01CRU&amp;lang=en_US&amp;offset=0&amp;query=any,contains,991004034269702656","Catalog Record")</f>
        <v/>
      </c>
      <c r="AT1868">
        <f>HYPERLINK("http://www.worldcat.org/oclc/2164984","WorldCat Record")</f>
        <v/>
      </c>
      <c r="AU1868" t="inlineStr">
        <is>
          <t>4021877:eng</t>
        </is>
      </c>
      <c r="AV1868" t="inlineStr">
        <is>
          <t>2164984</t>
        </is>
      </c>
      <c r="AW1868" t="inlineStr">
        <is>
          <t>991004034269702656</t>
        </is>
      </c>
      <c r="AX1868" t="inlineStr">
        <is>
          <t>991004034269702656</t>
        </is>
      </c>
      <c r="AY1868" t="inlineStr">
        <is>
          <t>2265389720002656</t>
        </is>
      </c>
      <c r="AZ1868" t="inlineStr">
        <is>
          <t>BOOK</t>
        </is>
      </c>
      <c r="BB1868" t="inlineStr">
        <is>
          <t>9780397011353</t>
        </is>
      </c>
      <c r="BC1868" t="inlineStr">
        <is>
          <t>32285000853209</t>
        </is>
      </c>
      <c r="BD1868" t="inlineStr">
        <is>
          <t>893531909</t>
        </is>
      </c>
    </row>
    <row r="1869">
      <c r="A1869" t="inlineStr">
        <is>
          <t>No</t>
        </is>
      </c>
      <c r="B1869" t="inlineStr">
        <is>
          <t>BX4210 .B4 1947</t>
        </is>
      </c>
      <c r="C1869" t="inlineStr">
        <is>
          <t>0                      BX 4210000B  4           1947</t>
        </is>
      </c>
      <c r="D1869" t="inlineStr">
        <is>
          <t>For Thee alone : conferences for religious / by H.J.Beutler.</t>
        </is>
      </c>
      <c r="F1869" t="inlineStr">
        <is>
          <t>No</t>
        </is>
      </c>
      <c r="G1869" t="inlineStr">
        <is>
          <t>1</t>
        </is>
      </c>
      <c r="H1869" t="inlineStr">
        <is>
          <t>No</t>
        </is>
      </c>
      <c r="I1869" t="inlineStr">
        <is>
          <t>No</t>
        </is>
      </c>
      <c r="J1869" t="inlineStr">
        <is>
          <t>0</t>
        </is>
      </c>
      <c r="K1869" t="inlineStr">
        <is>
          <t>Beutler, Harold Joseph, 1906-</t>
        </is>
      </c>
      <c r="L1869" t="inlineStr">
        <is>
          <t>St. Louis : B. Herder Book Co., c1947, 1949 printing.</t>
        </is>
      </c>
      <c r="M1869" t="inlineStr">
        <is>
          <t>1947</t>
        </is>
      </c>
      <c r="O1869" t="inlineStr">
        <is>
          <t>eng</t>
        </is>
      </c>
      <c r="P1869" t="inlineStr">
        <is>
          <t>mou</t>
        </is>
      </c>
      <c r="R1869" t="inlineStr">
        <is>
          <t xml:space="preserve">BX </t>
        </is>
      </c>
      <c r="S1869" t="n">
        <v>1</v>
      </c>
      <c r="T1869" t="n">
        <v>1</v>
      </c>
      <c r="U1869" t="inlineStr">
        <is>
          <t>2003-04-02</t>
        </is>
      </c>
      <c r="V1869" t="inlineStr">
        <is>
          <t>2003-04-02</t>
        </is>
      </c>
      <c r="W1869" t="inlineStr">
        <is>
          <t>1991-11-14</t>
        </is>
      </c>
      <c r="X1869" t="inlineStr">
        <is>
          <t>1991-11-14</t>
        </is>
      </c>
      <c r="Y1869" t="n">
        <v>44</v>
      </c>
      <c r="Z1869" t="n">
        <v>44</v>
      </c>
      <c r="AA1869" t="n">
        <v>48</v>
      </c>
      <c r="AB1869" t="n">
        <v>2</v>
      </c>
      <c r="AC1869" t="n">
        <v>2</v>
      </c>
      <c r="AD1869" t="n">
        <v>10</v>
      </c>
      <c r="AE1869" t="n">
        <v>11</v>
      </c>
      <c r="AF1869" t="n">
        <v>1</v>
      </c>
      <c r="AG1869" t="n">
        <v>1</v>
      </c>
      <c r="AH1869" t="n">
        <v>3</v>
      </c>
      <c r="AI1869" t="n">
        <v>3</v>
      </c>
      <c r="AJ1869" t="n">
        <v>8</v>
      </c>
      <c r="AK1869" t="n">
        <v>9</v>
      </c>
      <c r="AL1869" t="n">
        <v>0</v>
      </c>
      <c r="AM1869" t="n">
        <v>0</v>
      </c>
      <c r="AN1869" t="n">
        <v>0</v>
      </c>
      <c r="AO1869" t="n">
        <v>0</v>
      </c>
      <c r="AP1869" t="inlineStr">
        <is>
          <t>No</t>
        </is>
      </c>
      <c r="AQ1869" t="inlineStr">
        <is>
          <t>No</t>
        </is>
      </c>
      <c r="AS1869">
        <f>HYPERLINK("https://creighton-primo.hosted.exlibrisgroup.com/primo-explore/search?tab=default_tab&amp;search_scope=EVERYTHING&amp;vid=01CRU&amp;lang=en_US&amp;offset=0&amp;query=any,contains,991005005149702656","Catalog Record")</f>
        <v/>
      </c>
      <c r="AT1869">
        <f>HYPERLINK("http://www.worldcat.org/oclc/6559432","WorldCat Record")</f>
        <v/>
      </c>
      <c r="AU1869" t="inlineStr">
        <is>
          <t>4043225:eng</t>
        </is>
      </c>
      <c r="AV1869" t="inlineStr">
        <is>
          <t>6559432</t>
        </is>
      </c>
      <c r="AW1869" t="inlineStr">
        <is>
          <t>991005005149702656</t>
        </is>
      </c>
      <c r="AX1869" t="inlineStr">
        <is>
          <t>991005005149702656</t>
        </is>
      </c>
      <c r="AY1869" t="inlineStr">
        <is>
          <t>2259253530002656</t>
        </is>
      </c>
      <c r="AZ1869" t="inlineStr">
        <is>
          <t>BOOK</t>
        </is>
      </c>
      <c r="BC1869" t="inlineStr">
        <is>
          <t>32285000853225</t>
        </is>
      </c>
      <c r="BD1869" t="inlineStr">
        <is>
          <t>893600480</t>
        </is>
      </c>
    </row>
    <row r="1870">
      <c r="A1870" t="inlineStr">
        <is>
          <t>No</t>
        </is>
      </c>
      <c r="B1870" t="inlineStr">
        <is>
          <t>BX4210 .C4413 1955</t>
        </is>
      </c>
      <c r="C1870" t="inlineStr">
        <is>
          <t>0                      BX 4210000C  4413        1955</t>
        </is>
      </c>
      <c r="D1870" t="inlineStr">
        <is>
          <t>Chastity : being the English version of La Chasteté in Problèmes de la religieuse d'aujourd'hui / translated by Lancelot C. Sheppard.</t>
        </is>
      </c>
      <c r="F1870" t="inlineStr">
        <is>
          <t>No</t>
        </is>
      </c>
      <c r="G1870" t="inlineStr">
        <is>
          <t>1</t>
        </is>
      </c>
      <c r="H1870" t="inlineStr">
        <is>
          <t>No</t>
        </is>
      </c>
      <c r="I1870" t="inlineStr">
        <is>
          <t>No</t>
        </is>
      </c>
      <c r="J1870" t="inlineStr">
        <is>
          <t>0</t>
        </is>
      </c>
      <c r="L1870" t="inlineStr">
        <is>
          <t>London : Blackfriars, 1955.</t>
        </is>
      </c>
      <c r="M1870" t="inlineStr">
        <is>
          <t>1955</t>
        </is>
      </c>
      <c r="O1870" t="inlineStr">
        <is>
          <t>eng</t>
        </is>
      </c>
      <c r="P1870" t="inlineStr">
        <is>
          <t xml:space="preserve">xx </t>
        </is>
      </c>
      <c r="Q1870" t="inlineStr">
        <is>
          <t>Religious life ; 5</t>
        </is>
      </c>
      <c r="R1870" t="inlineStr">
        <is>
          <t xml:space="preserve">BX </t>
        </is>
      </c>
      <c r="S1870" t="n">
        <v>6</v>
      </c>
      <c r="T1870" t="n">
        <v>6</v>
      </c>
      <c r="U1870" t="inlineStr">
        <is>
          <t>2000-01-30</t>
        </is>
      </c>
      <c r="V1870" t="inlineStr">
        <is>
          <t>2000-01-30</t>
        </is>
      </c>
      <c r="W1870" t="inlineStr">
        <is>
          <t>1991-11-14</t>
        </is>
      </c>
      <c r="X1870" t="inlineStr">
        <is>
          <t>1991-11-14</t>
        </is>
      </c>
      <c r="Y1870" t="n">
        <v>42</v>
      </c>
      <c r="Z1870" t="n">
        <v>33</v>
      </c>
      <c r="AA1870" t="n">
        <v>75</v>
      </c>
      <c r="AB1870" t="n">
        <v>1</v>
      </c>
      <c r="AC1870" t="n">
        <v>2</v>
      </c>
      <c r="AD1870" t="n">
        <v>6</v>
      </c>
      <c r="AE1870" t="n">
        <v>13</v>
      </c>
      <c r="AF1870" t="n">
        <v>1</v>
      </c>
      <c r="AG1870" t="n">
        <v>4</v>
      </c>
      <c r="AH1870" t="n">
        <v>2</v>
      </c>
      <c r="AI1870" t="n">
        <v>4</v>
      </c>
      <c r="AJ1870" t="n">
        <v>5</v>
      </c>
      <c r="AK1870" t="n">
        <v>11</v>
      </c>
      <c r="AL1870" t="n">
        <v>0</v>
      </c>
      <c r="AM1870" t="n">
        <v>0</v>
      </c>
      <c r="AN1870" t="n">
        <v>0</v>
      </c>
      <c r="AO1870" t="n">
        <v>0</v>
      </c>
      <c r="AP1870" t="inlineStr">
        <is>
          <t>No</t>
        </is>
      </c>
      <c r="AQ1870" t="inlineStr">
        <is>
          <t>No</t>
        </is>
      </c>
      <c r="AS1870">
        <f>HYPERLINK("https://creighton-primo.hosted.exlibrisgroup.com/primo-explore/search?tab=default_tab&amp;search_scope=EVERYTHING&amp;vid=01CRU&amp;lang=en_US&amp;offset=0&amp;query=any,contains,991004872369702656","Catalog Record")</f>
        <v/>
      </c>
      <c r="AT1870">
        <f>HYPERLINK("http://www.worldcat.org/oclc/5765431","WorldCat Record")</f>
        <v/>
      </c>
      <c r="AU1870" t="inlineStr">
        <is>
          <t>205204963:eng</t>
        </is>
      </c>
      <c r="AV1870" t="inlineStr">
        <is>
          <t>5765431</t>
        </is>
      </c>
      <c r="AW1870" t="inlineStr">
        <is>
          <t>991004872369702656</t>
        </is>
      </c>
      <c r="AX1870" t="inlineStr">
        <is>
          <t>991004872369702656</t>
        </is>
      </c>
      <c r="AY1870" t="inlineStr">
        <is>
          <t>2269513770002656</t>
        </is>
      </c>
      <c r="AZ1870" t="inlineStr">
        <is>
          <t>BOOK</t>
        </is>
      </c>
      <c r="BC1870" t="inlineStr">
        <is>
          <t>32285000853233</t>
        </is>
      </c>
      <c r="BD1870" t="inlineStr">
        <is>
          <t>893719511</t>
        </is>
      </c>
    </row>
    <row r="1871">
      <c r="A1871" t="inlineStr">
        <is>
          <t>No</t>
        </is>
      </c>
      <c r="B1871" t="inlineStr">
        <is>
          <t>BX4210 .D4 1953</t>
        </is>
      </c>
      <c r="C1871" t="inlineStr">
        <is>
          <t>0                      BX 4210000D  4           1953</t>
        </is>
      </c>
      <c r="D1871" t="inlineStr">
        <is>
          <t>Dear Sister / by Catherine de Hueck.</t>
        </is>
      </c>
      <c r="F1871" t="inlineStr">
        <is>
          <t>No</t>
        </is>
      </c>
      <c r="G1871" t="inlineStr">
        <is>
          <t>1</t>
        </is>
      </c>
      <c r="H1871" t="inlineStr">
        <is>
          <t>No</t>
        </is>
      </c>
      <c r="I1871" t="inlineStr">
        <is>
          <t>No</t>
        </is>
      </c>
      <c r="J1871" t="inlineStr">
        <is>
          <t>0</t>
        </is>
      </c>
      <c r="K1871" t="inlineStr">
        <is>
          <t>Doherty, Catherine de Hueck, 1896-1985.</t>
        </is>
      </c>
      <c r="L1871" t="inlineStr">
        <is>
          <t>Milwaukee : Bruce Pub. Co., [1953]</t>
        </is>
      </c>
      <c r="M1871" t="inlineStr">
        <is>
          <t>1953</t>
        </is>
      </c>
      <c r="O1871" t="inlineStr">
        <is>
          <t>eng</t>
        </is>
      </c>
      <c r="P1871" t="inlineStr">
        <is>
          <t xml:space="preserve">xx </t>
        </is>
      </c>
      <c r="R1871" t="inlineStr">
        <is>
          <t xml:space="preserve">BX </t>
        </is>
      </c>
      <c r="S1871" t="n">
        <v>6</v>
      </c>
      <c r="T1871" t="n">
        <v>6</v>
      </c>
      <c r="U1871" t="inlineStr">
        <is>
          <t>2005-11-27</t>
        </is>
      </c>
      <c r="V1871" t="inlineStr">
        <is>
          <t>2005-11-27</t>
        </is>
      </c>
      <c r="W1871" t="inlineStr">
        <is>
          <t>1991-11-14</t>
        </is>
      </c>
      <c r="X1871" t="inlineStr">
        <is>
          <t>1991-11-14</t>
        </is>
      </c>
      <c r="Y1871" t="n">
        <v>55</v>
      </c>
      <c r="Z1871" t="n">
        <v>49</v>
      </c>
      <c r="AA1871" t="n">
        <v>49</v>
      </c>
      <c r="AB1871" t="n">
        <v>2</v>
      </c>
      <c r="AC1871" t="n">
        <v>2</v>
      </c>
      <c r="AD1871" t="n">
        <v>12</v>
      </c>
      <c r="AE1871" t="n">
        <v>12</v>
      </c>
      <c r="AF1871" t="n">
        <v>3</v>
      </c>
      <c r="AG1871" t="n">
        <v>3</v>
      </c>
      <c r="AH1871" t="n">
        <v>4</v>
      </c>
      <c r="AI1871" t="n">
        <v>4</v>
      </c>
      <c r="AJ1871" t="n">
        <v>9</v>
      </c>
      <c r="AK1871" t="n">
        <v>9</v>
      </c>
      <c r="AL1871" t="n">
        <v>0</v>
      </c>
      <c r="AM1871" t="n">
        <v>0</v>
      </c>
      <c r="AN1871" t="n">
        <v>0</v>
      </c>
      <c r="AO1871" t="n">
        <v>0</v>
      </c>
      <c r="AP1871" t="inlineStr">
        <is>
          <t>No</t>
        </is>
      </c>
      <c r="AQ1871" t="inlineStr">
        <is>
          <t>No</t>
        </is>
      </c>
      <c r="AS1871">
        <f>HYPERLINK("https://creighton-primo.hosted.exlibrisgroup.com/primo-explore/search?tab=default_tab&amp;search_scope=EVERYTHING&amp;vid=01CRU&amp;lang=en_US&amp;offset=0&amp;query=any,contains,991004344369702656","Catalog Record")</f>
        <v/>
      </c>
      <c r="AT1871">
        <f>HYPERLINK("http://www.worldcat.org/oclc/3096025","WorldCat Record")</f>
        <v/>
      </c>
      <c r="AU1871" t="inlineStr">
        <is>
          <t>8313469:eng</t>
        </is>
      </c>
      <c r="AV1871" t="inlineStr">
        <is>
          <t>3096025</t>
        </is>
      </c>
      <c r="AW1871" t="inlineStr">
        <is>
          <t>991004344369702656</t>
        </is>
      </c>
      <c r="AX1871" t="inlineStr">
        <is>
          <t>991004344369702656</t>
        </is>
      </c>
      <c r="AY1871" t="inlineStr">
        <is>
          <t>2263195080002656</t>
        </is>
      </c>
      <c r="AZ1871" t="inlineStr">
        <is>
          <t>BOOK</t>
        </is>
      </c>
      <c r="BC1871" t="inlineStr">
        <is>
          <t>32285000853258</t>
        </is>
      </c>
      <c r="BD1871" t="inlineStr">
        <is>
          <t>893869605</t>
        </is>
      </c>
    </row>
    <row r="1872">
      <c r="A1872" t="inlineStr">
        <is>
          <t>No</t>
        </is>
      </c>
      <c r="B1872" t="inlineStr">
        <is>
          <t>BX4210 .G828 2003</t>
        </is>
      </c>
      <c r="C1872" t="inlineStr">
        <is>
          <t>0                      BX 4210000G  828         2003</t>
        </is>
      </c>
      <c r="D1872" t="inlineStr">
        <is>
          <t>Guidance for women in twelfth-century convents / translated by Vera Morton ; with an interpretive essay by Jocelyn Wogan-Browne.</t>
        </is>
      </c>
      <c r="F1872" t="inlineStr">
        <is>
          <t>No</t>
        </is>
      </c>
      <c r="G1872" t="inlineStr">
        <is>
          <t>1</t>
        </is>
      </c>
      <c r="H1872" t="inlineStr">
        <is>
          <t>No</t>
        </is>
      </c>
      <c r="I1872" t="inlineStr">
        <is>
          <t>No</t>
        </is>
      </c>
      <c r="J1872" t="inlineStr">
        <is>
          <t>0</t>
        </is>
      </c>
      <c r="L1872" t="inlineStr">
        <is>
          <t>Cambridge : D.S. Brewer, 2003.</t>
        </is>
      </c>
      <c r="M1872" t="inlineStr">
        <is>
          <t>2003</t>
        </is>
      </c>
      <c r="O1872" t="inlineStr">
        <is>
          <t>eng</t>
        </is>
      </c>
      <c r="P1872" t="inlineStr">
        <is>
          <t>enk</t>
        </is>
      </c>
      <c r="Q1872" t="inlineStr">
        <is>
          <t>Library of medieval women</t>
        </is>
      </c>
      <c r="R1872" t="inlineStr">
        <is>
          <t xml:space="preserve">BX </t>
        </is>
      </c>
      <c r="S1872" t="n">
        <v>1</v>
      </c>
      <c r="T1872" t="n">
        <v>1</v>
      </c>
      <c r="U1872" t="inlineStr">
        <is>
          <t>2004-03-17</t>
        </is>
      </c>
      <c r="V1872" t="inlineStr">
        <is>
          <t>2004-03-17</t>
        </is>
      </c>
      <c r="W1872" t="inlineStr">
        <is>
          <t>2004-03-17</t>
        </is>
      </c>
      <c r="X1872" t="inlineStr">
        <is>
          <t>2004-03-17</t>
        </is>
      </c>
      <c r="Y1872" t="n">
        <v>222</v>
      </c>
      <c r="Z1872" t="n">
        <v>161</v>
      </c>
      <c r="AA1872" t="n">
        <v>387</v>
      </c>
      <c r="AB1872" t="n">
        <v>2</v>
      </c>
      <c r="AC1872" t="n">
        <v>2</v>
      </c>
      <c r="AD1872" t="n">
        <v>18</v>
      </c>
      <c r="AE1872" t="n">
        <v>27</v>
      </c>
      <c r="AF1872" t="n">
        <v>5</v>
      </c>
      <c r="AG1872" t="n">
        <v>10</v>
      </c>
      <c r="AH1872" t="n">
        <v>7</v>
      </c>
      <c r="AI1872" t="n">
        <v>9</v>
      </c>
      <c r="AJ1872" t="n">
        <v>11</v>
      </c>
      <c r="AK1872" t="n">
        <v>16</v>
      </c>
      <c r="AL1872" t="n">
        <v>1</v>
      </c>
      <c r="AM1872" t="n">
        <v>1</v>
      </c>
      <c r="AN1872" t="n">
        <v>0</v>
      </c>
      <c r="AO1872" t="n">
        <v>0</v>
      </c>
      <c r="AP1872" t="inlineStr">
        <is>
          <t>No</t>
        </is>
      </c>
      <c r="AQ1872" t="inlineStr">
        <is>
          <t>No</t>
        </is>
      </c>
      <c r="AS1872">
        <f>HYPERLINK("https://creighton-primo.hosted.exlibrisgroup.com/primo-explore/search?tab=default_tab&amp;search_scope=EVERYTHING&amp;vid=01CRU&amp;lang=en_US&amp;offset=0&amp;query=any,contains,991004264239702656","Catalog Record")</f>
        <v/>
      </c>
      <c r="AT1872">
        <f>HYPERLINK("http://www.worldcat.org/oclc/51942774","WorldCat Record")</f>
        <v/>
      </c>
      <c r="AU1872" t="inlineStr">
        <is>
          <t>766708661:eng</t>
        </is>
      </c>
      <c r="AV1872" t="inlineStr">
        <is>
          <t>51942774</t>
        </is>
      </c>
      <c r="AW1872" t="inlineStr">
        <is>
          <t>991004264239702656</t>
        </is>
      </c>
      <c r="AX1872" t="inlineStr">
        <is>
          <t>991004264239702656</t>
        </is>
      </c>
      <c r="AY1872" t="inlineStr">
        <is>
          <t>2263414700002656</t>
        </is>
      </c>
      <c r="AZ1872" t="inlineStr">
        <is>
          <t>BOOK</t>
        </is>
      </c>
      <c r="BB1872" t="inlineStr">
        <is>
          <t>9780859918251</t>
        </is>
      </c>
      <c r="BC1872" t="inlineStr">
        <is>
          <t>32285004895032</t>
        </is>
      </c>
      <c r="BD1872" t="inlineStr">
        <is>
          <t>893693728</t>
        </is>
      </c>
    </row>
    <row r="1873">
      <c r="A1873" t="inlineStr">
        <is>
          <t>No</t>
        </is>
      </c>
      <c r="B1873" t="inlineStr">
        <is>
          <t>BX4210 .H4 1956</t>
        </is>
      </c>
      <c r="C1873" t="inlineStr">
        <is>
          <t>0                      BX 4210000H  4           1956</t>
        </is>
      </c>
      <c r="D1873" t="inlineStr">
        <is>
          <t>The sisters are asking / Winfrid Herbst.</t>
        </is>
      </c>
      <c r="F1873" t="inlineStr">
        <is>
          <t>No</t>
        </is>
      </c>
      <c r="G1873" t="inlineStr">
        <is>
          <t>1</t>
        </is>
      </c>
      <c r="H1873" t="inlineStr">
        <is>
          <t>No</t>
        </is>
      </c>
      <c r="I1873" t="inlineStr">
        <is>
          <t>No</t>
        </is>
      </c>
      <c r="J1873" t="inlineStr">
        <is>
          <t>0</t>
        </is>
      </c>
      <c r="K1873" t="inlineStr">
        <is>
          <t>Herbst, Winfrid, 1891-1988.</t>
        </is>
      </c>
      <c r="L1873" t="inlineStr">
        <is>
          <t>Westminster, Md. : Newman Press, 1956.</t>
        </is>
      </c>
      <c r="M1873" t="inlineStr">
        <is>
          <t>1956</t>
        </is>
      </c>
      <c r="O1873" t="inlineStr">
        <is>
          <t>eng</t>
        </is>
      </c>
      <c r="P1873" t="inlineStr">
        <is>
          <t>mdu</t>
        </is>
      </c>
      <c r="R1873" t="inlineStr">
        <is>
          <t xml:space="preserve">BX </t>
        </is>
      </c>
      <c r="S1873" t="n">
        <v>1</v>
      </c>
      <c r="T1873" t="n">
        <v>1</v>
      </c>
      <c r="U1873" t="inlineStr">
        <is>
          <t>2001-04-21</t>
        </is>
      </c>
      <c r="V1873" t="inlineStr">
        <is>
          <t>2001-04-21</t>
        </is>
      </c>
      <c r="W1873" t="inlineStr">
        <is>
          <t>1991-11-14</t>
        </is>
      </c>
      <c r="X1873" t="inlineStr">
        <is>
          <t>1991-11-14</t>
        </is>
      </c>
      <c r="Y1873" t="n">
        <v>53</v>
      </c>
      <c r="Z1873" t="n">
        <v>47</v>
      </c>
      <c r="AA1873" t="n">
        <v>47</v>
      </c>
      <c r="AB1873" t="n">
        <v>2</v>
      </c>
      <c r="AC1873" t="n">
        <v>2</v>
      </c>
      <c r="AD1873" t="n">
        <v>8</v>
      </c>
      <c r="AE1873" t="n">
        <v>8</v>
      </c>
      <c r="AF1873" t="n">
        <v>1</v>
      </c>
      <c r="AG1873" t="n">
        <v>1</v>
      </c>
      <c r="AH1873" t="n">
        <v>2</v>
      </c>
      <c r="AI1873" t="n">
        <v>2</v>
      </c>
      <c r="AJ1873" t="n">
        <v>6</v>
      </c>
      <c r="AK1873" t="n">
        <v>6</v>
      </c>
      <c r="AL1873" t="n">
        <v>0</v>
      </c>
      <c r="AM1873" t="n">
        <v>0</v>
      </c>
      <c r="AN1873" t="n">
        <v>0</v>
      </c>
      <c r="AO1873" t="n">
        <v>0</v>
      </c>
      <c r="AP1873" t="inlineStr">
        <is>
          <t>No</t>
        </is>
      </c>
      <c r="AQ1873" t="inlineStr">
        <is>
          <t>No</t>
        </is>
      </c>
      <c r="AS1873">
        <f>HYPERLINK("https://creighton-primo.hosted.exlibrisgroup.com/primo-explore/search?tab=default_tab&amp;search_scope=EVERYTHING&amp;vid=01CRU&amp;lang=en_US&amp;offset=0&amp;query=any,contains,991004734109702656","Catalog Record")</f>
        <v/>
      </c>
      <c r="AT1873">
        <f>HYPERLINK("http://www.worldcat.org/oclc/4846159","WorldCat Record")</f>
        <v/>
      </c>
      <c r="AU1873" t="inlineStr">
        <is>
          <t>15106836:eng</t>
        </is>
      </c>
      <c r="AV1873" t="inlineStr">
        <is>
          <t>4846159</t>
        </is>
      </c>
      <c r="AW1873" t="inlineStr">
        <is>
          <t>991004734109702656</t>
        </is>
      </c>
      <c r="AX1873" t="inlineStr">
        <is>
          <t>991004734109702656</t>
        </is>
      </c>
      <c r="AY1873" t="inlineStr">
        <is>
          <t>2262531370002656</t>
        </is>
      </c>
      <c r="AZ1873" t="inlineStr">
        <is>
          <t>BOOK</t>
        </is>
      </c>
      <c r="BC1873" t="inlineStr">
        <is>
          <t>32285000853308</t>
        </is>
      </c>
      <c r="BD1873" t="inlineStr">
        <is>
          <t>893882869</t>
        </is>
      </c>
    </row>
    <row r="1874">
      <c r="A1874" t="inlineStr">
        <is>
          <t>No</t>
        </is>
      </c>
      <c r="B1874" t="inlineStr">
        <is>
          <t>BX4210 .M345 1984</t>
        </is>
      </c>
      <c r="C1874" t="inlineStr">
        <is>
          <t>0                      BX 4210000M  345         1984</t>
        </is>
      </c>
      <c r="D1874" t="inlineStr">
        <is>
          <t>Medieval religious women / edited by John A. Nichols and Lillian Thomas Shank.</t>
        </is>
      </c>
      <c r="E1874" t="inlineStr">
        <is>
          <t>V. 3 BK. 2</t>
        </is>
      </c>
      <c r="F1874" t="inlineStr">
        <is>
          <t>Yes</t>
        </is>
      </c>
      <c r="G1874" t="inlineStr">
        <is>
          <t>1</t>
        </is>
      </c>
      <c r="H1874" t="inlineStr">
        <is>
          <t>No</t>
        </is>
      </c>
      <c r="I1874" t="inlineStr">
        <is>
          <t>No</t>
        </is>
      </c>
      <c r="J1874" t="inlineStr">
        <is>
          <t>0</t>
        </is>
      </c>
      <c r="L1874" t="inlineStr">
        <is>
          <t>Kalamazoo, Mich. : Cistercian Publications, 1984-1995.</t>
        </is>
      </c>
      <c r="M1874" t="inlineStr">
        <is>
          <t>1984</t>
        </is>
      </c>
      <c r="O1874" t="inlineStr">
        <is>
          <t>eng</t>
        </is>
      </c>
      <c r="P1874" t="inlineStr">
        <is>
          <t>miu</t>
        </is>
      </c>
      <c r="Q1874" t="inlineStr">
        <is>
          <t>Cistercian studies series ; no. 71-72, 113</t>
        </is>
      </c>
      <c r="R1874" t="inlineStr">
        <is>
          <t xml:space="preserve">BX </t>
        </is>
      </c>
      <c r="S1874" t="n">
        <v>4</v>
      </c>
      <c r="T1874" t="n">
        <v>8</v>
      </c>
      <c r="U1874" t="inlineStr">
        <is>
          <t>2005-04-09</t>
        </is>
      </c>
      <c r="V1874" t="inlineStr">
        <is>
          <t>2009-06-08</t>
        </is>
      </c>
      <c r="W1874" t="inlineStr">
        <is>
          <t>1997-10-15</t>
        </is>
      </c>
      <c r="X1874" t="inlineStr">
        <is>
          <t>1997-10-15</t>
        </is>
      </c>
      <c r="Y1874" t="n">
        <v>444</v>
      </c>
      <c r="Z1874" t="n">
        <v>382</v>
      </c>
      <c r="AA1874" t="n">
        <v>398</v>
      </c>
      <c r="AB1874" t="n">
        <v>4</v>
      </c>
      <c r="AC1874" t="n">
        <v>4</v>
      </c>
      <c r="AD1874" t="n">
        <v>33</v>
      </c>
      <c r="AE1874" t="n">
        <v>33</v>
      </c>
      <c r="AF1874" t="n">
        <v>9</v>
      </c>
      <c r="AG1874" t="n">
        <v>9</v>
      </c>
      <c r="AH1874" t="n">
        <v>10</v>
      </c>
      <c r="AI1874" t="n">
        <v>10</v>
      </c>
      <c r="AJ1874" t="n">
        <v>22</v>
      </c>
      <c r="AK1874" t="n">
        <v>22</v>
      </c>
      <c r="AL1874" t="n">
        <v>3</v>
      </c>
      <c r="AM1874" t="n">
        <v>3</v>
      </c>
      <c r="AN1874" t="n">
        <v>0</v>
      </c>
      <c r="AO1874" t="n">
        <v>0</v>
      </c>
      <c r="AP1874" t="inlineStr">
        <is>
          <t>No</t>
        </is>
      </c>
      <c r="AQ1874" t="inlineStr">
        <is>
          <t>Yes</t>
        </is>
      </c>
      <c r="AR1874">
        <f>HYPERLINK("http://catalog.hathitrust.org/Record/000634245","HathiTrust Record")</f>
        <v/>
      </c>
      <c r="AS1874">
        <f>HYPERLINK("https://creighton-primo.hosted.exlibrisgroup.com/primo-explore/search?tab=default_tab&amp;search_scope=EVERYTHING&amp;vid=01CRU&amp;lang=en_US&amp;offset=0&amp;query=any,contains,991000170339702656","Catalog Record")</f>
        <v/>
      </c>
      <c r="AT1874">
        <f>HYPERLINK("http://www.worldcat.org/oclc/9323549","WorldCat Record")</f>
        <v/>
      </c>
      <c r="AU1874" t="inlineStr">
        <is>
          <t>350179673:eng</t>
        </is>
      </c>
      <c r="AV1874" t="inlineStr">
        <is>
          <t>9323549</t>
        </is>
      </c>
      <c r="AW1874" t="inlineStr">
        <is>
          <t>991000170339702656</t>
        </is>
      </c>
      <c r="AX1874" t="inlineStr">
        <is>
          <t>991000170339702656</t>
        </is>
      </c>
      <c r="AY1874" t="inlineStr">
        <is>
          <t>2257883830002656</t>
        </is>
      </c>
      <c r="AZ1874" t="inlineStr">
        <is>
          <t>BOOK</t>
        </is>
      </c>
      <c r="BB1874" t="inlineStr">
        <is>
          <t>9780879078713</t>
        </is>
      </c>
      <c r="BC1874" t="inlineStr">
        <is>
          <t>32285003254702</t>
        </is>
      </c>
      <c r="BD1874" t="inlineStr">
        <is>
          <t>893431762</t>
        </is>
      </c>
    </row>
    <row r="1875">
      <c r="A1875" t="inlineStr">
        <is>
          <t>No</t>
        </is>
      </c>
      <c r="B1875" t="inlineStr">
        <is>
          <t>BX4210 .M345 1984</t>
        </is>
      </c>
      <c r="C1875" t="inlineStr">
        <is>
          <t>0                      BX 4210000M  345         1984</t>
        </is>
      </c>
      <c r="D1875" t="inlineStr">
        <is>
          <t>Medieval religious women / edited by John A. Nichols and Lillian Thomas Shank.</t>
        </is>
      </c>
      <c r="E1875" t="inlineStr">
        <is>
          <t>V. 3 BK. 1</t>
        </is>
      </c>
      <c r="F1875" t="inlineStr">
        <is>
          <t>Yes</t>
        </is>
      </c>
      <c r="G1875" t="inlineStr">
        <is>
          <t>1</t>
        </is>
      </c>
      <c r="H1875" t="inlineStr">
        <is>
          <t>No</t>
        </is>
      </c>
      <c r="I1875" t="inlineStr">
        <is>
          <t>No</t>
        </is>
      </c>
      <c r="J1875" t="inlineStr">
        <is>
          <t>0</t>
        </is>
      </c>
      <c r="L1875" t="inlineStr">
        <is>
          <t>Kalamazoo, Mich. : Cistercian Publications, 1984-1995.</t>
        </is>
      </c>
      <c r="M1875" t="inlineStr">
        <is>
          <t>1984</t>
        </is>
      </c>
      <c r="O1875" t="inlineStr">
        <is>
          <t>eng</t>
        </is>
      </c>
      <c r="P1875" t="inlineStr">
        <is>
          <t>miu</t>
        </is>
      </c>
      <c r="Q1875" t="inlineStr">
        <is>
          <t>Cistercian studies series ; no. 71-72, 113</t>
        </is>
      </c>
      <c r="R1875" t="inlineStr">
        <is>
          <t xml:space="preserve">BX </t>
        </is>
      </c>
      <c r="S1875" t="n">
        <v>4</v>
      </c>
      <c r="T1875" t="n">
        <v>8</v>
      </c>
      <c r="U1875" t="inlineStr">
        <is>
          <t>2009-06-08</t>
        </is>
      </c>
      <c r="V1875" t="inlineStr">
        <is>
          <t>2009-06-08</t>
        </is>
      </c>
      <c r="W1875" t="inlineStr">
        <is>
          <t>1997-10-15</t>
        </is>
      </c>
      <c r="X1875" t="inlineStr">
        <is>
          <t>1997-10-15</t>
        </is>
      </c>
      <c r="Y1875" t="n">
        <v>444</v>
      </c>
      <c r="Z1875" t="n">
        <v>382</v>
      </c>
      <c r="AA1875" t="n">
        <v>398</v>
      </c>
      <c r="AB1875" t="n">
        <v>4</v>
      </c>
      <c r="AC1875" t="n">
        <v>4</v>
      </c>
      <c r="AD1875" t="n">
        <v>33</v>
      </c>
      <c r="AE1875" t="n">
        <v>33</v>
      </c>
      <c r="AF1875" t="n">
        <v>9</v>
      </c>
      <c r="AG1875" t="n">
        <v>9</v>
      </c>
      <c r="AH1875" t="n">
        <v>10</v>
      </c>
      <c r="AI1875" t="n">
        <v>10</v>
      </c>
      <c r="AJ1875" t="n">
        <v>22</v>
      </c>
      <c r="AK1875" t="n">
        <v>22</v>
      </c>
      <c r="AL1875" t="n">
        <v>3</v>
      </c>
      <c r="AM1875" t="n">
        <v>3</v>
      </c>
      <c r="AN1875" t="n">
        <v>0</v>
      </c>
      <c r="AO1875" t="n">
        <v>0</v>
      </c>
      <c r="AP1875" t="inlineStr">
        <is>
          <t>No</t>
        </is>
      </c>
      <c r="AQ1875" t="inlineStr">
        <is>
          <t>Yes</t>
        </is>
      </c>
      <c r="AR1875">
        <f>HYPERLINK("http://catalog.hathitrust.org/Record/000634245","HathiTrust Record")</f>
        <v/>
      </c>
      <c r="AS1875">
        <f>HYPERLINK("https://creighton-primo.hosted.exlibrisgroup.com/primo-explore/search?tab=default_tab&amp;search_scope=EVERYTHING&amp;vid=01CRU&amp;lang=en_US&amp;offset=0&amp;query=any,contains,991000170339702656","Catalog Record")</f>
        <v/>
      </c>
      <c r="AT1875">
        <f>HYPERLINK("http://www.worldcat.org/oclc/9323549","WorldCat Record")</f>
        <v/>
      </c>
      <c r="AU1875" t="inlineStr">
        <is>
          <t>350179673:eng</t>
        </is>
      </c>
      <c r="AV1875" t="inlineStr">
        <is>
          <t>9323549</t>
        </is>
      </c>
      <c r="AW1875" t="inlineStr">
        <is>
          <t>991000170339702656</t>
        </is>
      </c>
      <c r="AX1875" t="inlineStr">
        <is>
          <t>991000170339702656</t>
        </is>
      </c>
      <c r="AY1875" t="inlineStr">
        <is>
          <t>2257883830002656</t>
        </is>
      </c>
      <c r="AZ1875" t="inlineStr">
        <is>
          <t>BOOK</t>
        </is>
      </c>
      <c r="BB1875" t="inlineStr">
        <is>
          <t>9780879078713</t>
        </is>
      </c>
      <c r="BC1875" t="inlineStr">
        <is>
          <t>32285003254694</t>
        </is>
      </c>
      <c r="BD1875" t="inlineStr">
        <is>
          <t>893425500</t>
        </is>
      </c>
    </row>
    <row r="1876">
      <c r="A1876" t="inlineStr">
        <is>
          <t>No</t>
        </is>
      </c>
      <c r="B1876" t="inlineStr">
        <is>
          <t>BX4210 .M624 1958</t>
        </is>
      </c>
      <c r="C1876" t="inlineStr">
        <is>
          <t>0                      BX 4210000M  624         1958</t>
        </is>
      </c>
      <c r="D1876" t="inlineStr">
        <is>
          <t>By the way, Sister : obiter dicta for nuns / John E. Moffatt.</t>
        </is>
      </c>
      <c r="F1876" t="inlineStr">
        <is>
          <t>No</t>
        </is>
      </c>
      <c r="G1876" t="inlineStr">
        <is>
          <t>1</t>
        </is>
      </c>
      <c r="H1876" t="inlineStr">
        <is>
          <t>No</t>
        </is>
      </c>
      <c r="I1876" t="inlineStr">
        <is>
          <t>No</t>
        </is>
      </c>
      <c r="J1876" t="inlineStr">
        <is>
          <t>0</t>
        </is>
      </c>
      <c r="K1876" t="inlineStr">
        <is>
          <t>Moffatt, J. E. (John Edward), 1894-</t>
        </is>
      </c>
      <c r="L1876" t="inlineStr">
        <is>
          <t>New York : McMullen Books, [1958]</t>
        </is>
      </c>
      <c r="M1876" t="inlineStr">
        <is>
          <t>1958</t>
        </is>
      </c>
      <c r="O1876" t="inlineStr">
        <is>
          <t>eng</t>
        </is>
      </c>
      <c r="P1876" t="inlineStr">
        <is>
          <t xml:space="preserve">xx </t>
        </is>
      </c>
      <c r="R1876" t="inlineStr">
        <is>
          <t xml:space="preserve">BX </t>
        </is>
      </c>
      <c r="S1876" t="n">
        <v>2</v>
      </c>
      <c r="T1876" t="n">
        <v>2</v>
      </c>
      <c r="U1876" t="inlineStr">
        <is>
          <t>1995-06-25</t>
        </is>
      </c>
      <c r="V1876" t="inlineStr">
        <is>
          <t>1995-06-25</t>
        </is>
      </c>
      <c r="W1876" t="inlineStr">
        <is>
          <t>1991-11-14</t>
        </is>
      </c>
      <c r="X1876" t="inlineStr">
        <is>
          <t>1991-11-14</t>
        </is>
      </c>
      <c r="Y1876" t="n">
        <v>39</v>
      </c>
      <c r="Z1876" t="n">
        <v>33</v>
      </c>
      <c r="AA1876" t="n">
        <v>33</v>
      </c>
      <c r="AB1876" t="n">
        <v>1</v>
      </c>
      <c r="AC1876" t="n">
        <v>1</v>
      </c>
      <c r="AD1876" t="n">
        <v>5</v>
      </c>
      <c r="AE1876" t="n">
        <v>5</v>
      </c>
      <c r="AF1876" t="n">
        <v>0</v>
      </c>
      <c r="AG1876" t="n">
        <v>0</v>
      </c>
      <c r="AH1876" t="n">
        <v>1</v>
      </c>
      <c r="AI1876" t="n">
        <v>1</v>
      </c>
      <c r="AJ1876" t="n">
        <v>4</v>
      </c>
      <c r="AK1876" t="n">
        <v>4</v>
      </c>
      <c r="AL1876" t="n">
        <v>0</v>
      </c>
      <c r="AM1876" t="n">
        <v>0</v>
      </c>
      <c r="AN1876" t="n">
        <v>0</v>
      </c>
      <c r="AO1876" t="n">
        <v>0</v>
      </c>
      <c r="AP1876" t="inlineStr">
        <is>
          <t>No</t>
        </is>
      </c>
      <c r="AQ1876" t="inlineStr">
        <is>
          <t>No</t>
        </is>
      </c>
      <c r="AS1876">
        <f>HYPERLINK("https://creighton-primo.hosted.exlibrisgroup.com/primo-explore/search?tab=default_tab&amp;search_scope=EVERYTHING&amp;vid=01CRU&amp;lang=en_US&amp;offset=0&amp;query=any,contains,991004387059702656","Catalog Record")</f>
        <v/>
      </c>
      <c r="AT1876">
        <f>HYPERLINK("http://www.worldcat.org/oclc/3243284","WorldCat Record")</f>
        <v/>
      </c>
      <c r="AU1876" t="inlineStr">
        <is>
          <t>3944045267:eng</t>
        </is>
      </c>
      <c r="AV1876" t="inlineStr">
        <is>
          <t>3243284</t>
        </is>
      </c>
      <c r="AW1876" t="inlineStr">
        <is>
          <t>991004387059702656</t>
        </is>
      </c>
      <c r="AX1876" t="inlineStr">
        <is>
          <t>991004387059702656</t>
        </is>
      </c>
      <c r="AY1876" t="inlineStr">
        <is>
          <t>2272644930002656</t>
        </is>
      </c>
      <c r="AZ1876" t="inlineStr">
        <is>
          <t>BOOK</t>
        </is>
      </c>
      <c r="BC1876" t="inlineStr">
        <is>
          <t>32285000853357</t>
        </is>
      </c>
      <c r="BD1876" t="inlineStr">
        <is>
          <t>893706339</t>
        </is>
      </c>
    </row>
    <row r="1877">
      <c r="A1877" t="inlineStr">
        <is>
          <t>No</t>
        </is>
      </c>
      <c r="B1877" t="inlineStr">
        <is>
          <t>BX4210.5 N3 1956</t>
        </is>
      </c>
      <c r="C1877" t="inlineStr">
        <is>
          <t>0                      BX 4210500N  3           1956</t>
        </is>
      </c>
      <c r="D1877" t="inlineStr">
        <is>
          <t>Report of Everett curriculum workshop : the Everett Workshop held from June 1 to August 30, 1956, at Providence School of Nursing, Everett, Washington, was sponsored by the Sister Formation Conference of the National Catholic Educational Association with the aid of a grant from the Fund for the Advancement of Education.</t>
        </is>
      </c>
      <c r="F1877" t="inlineStr">
        <is>
          <t>No</t>
        </is>
      </c>
      <c r="G1877" t="inlineStr">
        <is>
          <t>1</t>
        </is>
      </c>
      <c r="H1877" t="inlineStr">
        <is>
          <t>No</t>
        </is>
      </c>
      <c r="I1877" t="inlineStr">
        <is>
          <t>No</t>
        </is>
      </c>
      <c r="J1877" t="inlineStr">
        <is>
          <t>0</t>
        </is>
      </c>
      <c r="K1877" t="inlineStr">
        <is>
          <t>National Catholic Educational Association. Sister Formation Conferences.</t>
        </is>
      </c>
      <c r="L1877" t="inlineStr">
        <is>
          <t>[Seattle : s.n., 1956]</t>
        </is>
      </c>
      <c r="M1877" t="inlineStr">
        <is>
          <t>1956</t>
        </is>
      </c>
      <c r="O1877" t="inlineStr">
        <is>
          <t>eng</t>
        </is>
      </c>
      <c r="P1877" t="inlineStr">
        <is>
          <t>wau</t>
        </is>
      </c>
      <c r="R1877" t="inlineStr">
        <is>
          <t xml:space="preserve">BX </t>
        </is>
      </c>
      <c r="S1877" t="n">
        <v>2</v>
      </c>
      <c r="T1877" t="n">
        <v>2</v>
      </c>
      <c r="U1877" t="inlineStr">
        <is>
          <t>2004-10-14</t>
        </is>
      </c>
      <c r="V1877" t="inlineStr">
        <is>
          <t>2004-10-14</t>
        </is>
      </c>
      <c r="W1877" t="inlineStr">
        <is>
          <t>1991-11-14</t>
        </is>
      </c>
      <c r="X1877" t="inlineStr">
        <is>
          <t>1991-11-14</t>
        </is>
      </c>
      <c r="Y1877" t="n">
        <v>25</v>
      </c>
      <c r="Z1877" t="n">
        <v>25</v>
      </c>
      <c r="AA1877" t="n">
        <v>26</v>
      </c>
      <c r="AB1877" t="n">
        <v>1</v>
      </c>
      <c r="AC1877" t="n">
        <v>1</v>
      </c>
      <c r="AD1877" t="n">
        <v>9</v>
      </c>
      <c r="AE1877" t="n">
        <v>9</v>
      </c>
      <c r="AF1877" t="n">
        <v>1</v>
      </c>
      <c r="AG1877" t="n">
        <v>1</v>
      </c>
      <c r="AH1877" t="n">
        <v>2</v>
      </c>
      <c r="AI1877" t="n">
        <v>2</v>
      </c>
      <c r="AJ1877" t="n">
        <v>7</v>
      </c>
      <c r="AK1877" t="n">
        <v>7</v>
      </c>
      <c r="AL1877" t="n">
        <v>0</v>
      </c>
      <c r="AM1877" t="n">
        <v>0</v>
      </c>
      <c r="AN1877" t="n">
        <v>0</v>
      </c>
      <c r="AO1877" t="n">
        <v>0</v>
      </c>
      <c r="AP1877" t="inlineStr">
        <is>
          <t>No</t>
        </is>
      </c>
      <c r="AQ1877" t="inlineStr">
        <is>
          <t>No</t>
        </is>
      </c>
      <c r="AS1877">
        <f>HYPERLINK("https://creighton-primo.hosted.exlibrisgroup.com/primo-explore/search?tab=default_tab&amp;search_scope=EVERYTHING&amp;vid=01CRU&amp;lang=en_US&amp;offset=0&amp;query=any,contains,991000397479702656","Catalog Record")</f>
        <v/>
      </c>
      <c r="AT1877">
        <f>HYPERLINK("http://www.worldcat.org/oclc/10604958","WorldCat Record")</f>
        <v/>
      </c>
      <c r="AU1877" t="inlineStr">
        <is>
          <t>346415533:eng</t>
        </is>
      </c>
      <c r="AV1877" t="inlineStr">
        <is>
          <t>10604958</t>
        </is>
      </c>
      <c r="AW1877" t="inlineStr">
        <is>
          <t>991000397479702656</t>
        </is>
      </c>
      <c r="AX1877" t="inlineStr">
        <is>
          <t>991000397479702656</t>
        </is>
      </c>
      <c r="AY1877" t="inlineStr">
        <is>
          <t>2259264430002656</t>
        </is>
      </c>
      <c r="AZ1877" t="inlineStr">
        <is>
          <t>BOOK</t>
        </is>
      </c>
      <c r="BC1877" t="inlineStr">
        <is>
          <t>32285000853423</t>
        </is>
      </c>
      <c r="BD1877" t="inlineStr">
        <is>
          <t>893871626</t>
        </is>
      </c>
    </row>
    <row r="1878">
      <c r="A1878" t="inlineStr">
        <is>
          <t>No</t>
        </is>
      </c>
      <c r="B1878" t="inlineStr">
        <is>
          <t>BX4214 .M37 1997</t>
        </is>
      </c>
      <c r="C1878" t="inlineStr">
        <is>
          <t>0                      BX 4214000M  37          1997</t>
        </is>
      </c>
      <c r="D1878" t="inlineStr">
        <is>
          <t>The springs of contemplation : a retreat at the Abbey of Gethsemani / Thomas Merton ; foreword by Kathleen Norris.</t>
        </is>
      </c>
      <c r="F1878" t="inlineStr">
        <is>
          <t>No</t>
        </is>
      </c>
      <c r="G1878" t="inlineStr">
        <is>
          <t>1</t>
        </is>
      </c>
      <c r="H1878" t="inlineStr">
        <is>
          <t>No</t>
        </is>
      </c>
      <c r="I1878" t="inlineStr">
        <is>
          <t>No</t>
        </is>
      </c>
      <c r="J1878" t="inlineStr">
        <is>
          <t>0</t>
        </is>
      </c>
      <c r="K1878" t="inlineStr">
        <is>
          <t>Merton, Thomas, 1915-1968.</t>
        </is>
      </c>
      <c r="L1878" t="inlineStr">
        <is>
          <t>Notre Dame, Ind. : Ave Maria Press, 1997.</t>
        </is>
      </c>
      <c r="M1878" t="inlineStr">
        <is>
          <t>1997</t>
        </is>
      </c>
      <c r="O1878" t="inlineStr">
        <is>
          <t>eng</t>
        </is>
      </c>
      <c r="P1878" t="inlineStr">
        <is>
          <t>inu</t>
        </is>
      </c>
      <c r="R1878" t="inlineStr">
        <is>
          <t xml:space="preserve">BX </t>
        </is>
      </c>
      <c r="S1878" t="n">
        <v>6</v>
      </c>
      <c r="T1878" t="n">
        <v>6</v>
      </c>
      <c r="U1878" t="inlineStr">
        <is>
          <t>2007-07-23</t>
        </is>
      </c>
      <c r="V1878" t="inlineStr">
        <is>
          <t>2007-07-23</t>
        </is>
      </c>
      <c r="W1878" t="inlineStr">
        <is>
          <t>1997-05-04</t>
        </is>
      </c>
      <c r="X1878" t="inlineStr">
        <is>
          <t>1997-05-04</t>
        </is>
      </c>
      <c r="Y1878" t="n">
        <v>111</v>
      </c>
      <c r="Z1878" t="n">
        <v>99</v>
      </c>
      <c r="AA1878" t="n">
        <v>407</v>
      </c>
      <c r="AB1878" t="n">
        <v>1</v>
      </c>
      <c r="AC1878" t="n">
        <v>3</v>
      </c>
      <c r="AD1878" t="n">
        <v>11</v>
      </c>
      <c r="AE1878" t="n">
        <v>25</v>
      </c>
      <c r="AF1878" t="n">
        <v>6</v>
      </c>
      <c r="AG1878" t="n">
        <v>11</v>
      </c>
      <c r="AH1878" t="n">
        <v>3</v>
      </c>
      <c r="AI1878" t="n">
        <v>5</v>
      </c>
      <c r="AJ1878" t="n">
        <v>5</v>
      </c>
      <c r="AK1878" t="n">
        <v>14</v>
      </c>
      <c r="AL1878" t="n">
        <v>0</v>
      </c>
      <c r="AM1878" t="n">
        <v>2</v>
      </c>
      <c r="AN1878" t="n">
        <v>0</v>
      </c>
      <c r="AO1878" t="n">
        <v>0</v>
      </c>
      <c r="AP1878" t="inlineStr">
        <is>
          <t>No</t>
        </is>
      </c>
      <c r="AQ1878" t="inlineStr">
        <is>
          <t>No</t>
        </is>
      </c>
      <c r="AS1878">
        <f>HYPERLINK("https://creighton-primo.hosted.exlibrisgroup.com/primo-explore/search?tab=default_tab&amp;search_scope=EVERYTHING&amp;vid=01CRU&amp;lang=en_US&amp;offset=0&amp;query=any,contains,991002732979702656","Catalog Record")</f>
        <v/>
      </c>
      <c r="AT1878">
        <f>HYPERLINK("http://www.worldcat.org/oclc/35849069","WorldCat Record")</f>
        <v/>
      </c>
      <c r="AU1878" t="inlineStr">
        <is>
          <t>836521100:eng</t>
        </is>
      </c>
      <c r="AV1878" t="inlineStr">
        <is>
          <t>35849069</t>
        </is>
      </c>
      <c r="AW1878" t="inlineStr">
        <is>
          <t>991002732979702656</t>
        </is>
      </c>
      <c r="AX1878" t="inlineStr">
        <is>
          <t>991002732979702656</t>
        </is>
      </c>
      <c r="AY1878" t="inlineStr">
        <is>
          <t>2261284170002656</t>
        </is>
      </c>
      <c r="AZ1878" t="inlineStr">
        <is>
          <t>BOOK</t>
        </is>
      </c>
      <c r="BB1878" t="inlineStr">
        <is>
          <t>9780877935988</t>
        </is>
      </c>
      <c r="BC1878" t="inlineStr">
        <is>
          <t>32285002542982</t>
        </is>
      </c>
      <c r="BD1878" t="inlineStr">
        <is>
          <t>893603942</t>
        </is>
      </c>
    </row>
    <row r="1879">
      <c r="A1879" t="inlineStr">
        <is>
          <t>No</t>
        </is>
      </c>
      <c r="B1879" t="inlineStr">
        <is>
          <t>BX4220.G7 G55 1997</t>
        </is>
      </c>
      <c r="C1879" t="inlineStr">
        <is>
          <t>0                      BX 4220000G  7                  G  55          1997</t>
        </is>
      </c>
      <c r="D1879" t="inlineStr">
        <is>
          <t>Gender and material culture : the archaeology of religious women / Roberta Gilchrist.</t>
        </is>
      </c>
      <c r="F1879" t="inlineStr">
        <is>
          <t>No</t>
        </is>
      </c>
      <c r="G1879" t="inlineStr">
        <is>
          <t>1</t>
        </is>
      </c>
      <c r="H1879" t="inlineStr">
        <is>
          <t>No</t>
        </is>
      </c>
      <c r="I1879" t="inlineStr">
        <is>
          <t>No</t>
        </is>
      </c>
      <c r="J1879" t="inlineStr">
        <is>
          <t>0</t>
        </is>
      </c>
      <c r="K1879" t="inlineStr">
        <is>
          <t>Gilchrist, Roberta.</t>
        </is>
      </c>
      <c r="L1879" t="inlineStr">
        <is>
          <t>London ; New York : Routledge, 1997.</t>
        </is>
      </c>
      <c r="M1879" t="inlineStr">
        <is>
          <t>1997</t>
        </is>
      </c>
      <c r="O1879" t="inlineStr">
        <is>
          <t>eng</t>
        </is>
      </c>
      <c r="P1879" t="inlineStr">
        <is>
          <t>enk</t>
        </is>
      </c>
      <c r="R1879" t="inlineStr">
        <is>
          <t xml:space="preserve">BX </t>
        </is>
      </c>
      <c r="S1879" t="n">
        <v>5</v>
      </c>
      <c r="T1879" t="n">
        <v>5</v>
      </c>
      <c r="U1879" t="inlineStr">
        <is>
          <t>2009-06-11</t>
        </is>
      </c>
      <c r="V1879" t="inlineStr">
        <is>
          <t>2009-06-11</t>
        </is>
      </c>
      <c r="W1879" t="inlineStr">
        <is>
          <t>1998-11-12</t>
        </is>
      </c>
      <c r="X1879" t="inlineStr">
        <is>
          <t>1998-11-12</t>
        </is>
      </c>
      <c r="Y1879" t="n">
        <v>155</v>
      </c>
      <c r="Z1879" t="n">
        <v>97</v>
      </c>
      <c r="AA1879" t="n">
        <v>385</v>
      </c>
      <c r="AB1879" t="n">
        <v>1</v>
      </c>
      <c r="AC1879" t="n">
        <v>2</v>
      </c>
      <c r="AD1879" t="n">
        <v>8</v>
      </c>
      <c r="AE1879" t="n">
        <v>26</v>
      </c>
      <c r="AF1879" t="n">
        <v>3</v>
      </c>
      <c r="AG1879" t="n">
        <v>11</v>
      </c>
      <c r="AH1879" t="n">
        <v>3</v>
      </c>
      <c r="AI1879" t="n">
        <v>7</v>
      </c>
      <c r="AJ1879" t="n">
        <v>3</v>
      </c>
      <c r="AK1879" t="n">
        <v>14</v>
      </c>
      <c r="AL1879" t="n">
        <v>0</v>
      </c>
      <c r="AM1879" t="n">
        <v>1</v>
      </c>
      <c r="AN1879" t="n">
        <v>0</v>
      </c>
      <c r="AO1879" t="n">
        <v>0</v>
      </c>
      <c r="AP1879" t="inlineStr">
        <is>
          <t>No</t>
        </is>
      </c>
      <c r="AQ1879" t="inlineStr">
        <is>
          <t>No</t>
        </is>
      </c>
      <c r="AS1879">
        <f>HYPERLINK("https://creighton-primo.hosted.exlibrisgroup.com/primo-explore/search?tab=default_tab&amp;search_scope=EVERYTHING&amp;vid=01CRU&amp;lang=en_US&amp;offset=0&amp;query=any,contains,991002737959702656","Catalog Record")</f>
        <v/>
      </c>
      <c r="AT1879">
        <f>HYPERLINK("http://www.worldcat.org/oclc/35955171","WorldCat Record")</f>
        <v/>
      </c>
      <c r="AU1879" t="inlineStr">
        <is>
          <t>337653:eng</t>
        </is>
      </c>
      <c r="AV1879" t="inlineStr">
        <is>
          <t>35955171</t>
        </is>
      </c>
      <c r="AW1879" t="inlineStr">
        <is>
          <t>991002737959702656</t>
        </is>
      </c>
      <c r="AX1879" t="inlineStr">
        <is>
          <t>991002737959702656</t>
        </is>
      </c>
      <c r="AY1879" t="inlineStr">
        <is>
          <t>2271790720002656</t>
        </is>
      </c>
      <c r="AZ1879" t="inlineStr">
        <is>
          <t>BOOK</t>
        </is>
      </c>
      <c r="BB1879" t="inlineStr">
        <is>
          <t>9780415089036</t>
        </is>
      </c>
      <c r="BC1879" t="inlineStr">
        <is>
          <t>32285003488433</t>
        </is>
      </c>
      <c r="BD1879" t="inlineStr">
        <is>
          <t>893335652</t>
        </is>
      </c>
    </row>
    <row r="1880">
      <c r="A1880" t="inlineStr">
        <is>
          <t>No</t>
        </is>
      </c>
      <c r="B1880" t="inlineStr">
        <is>
          <t>BX4220.G7 P6</t>
        </is>
      </c>
      <c r="C1880" t="inlineStr">
        <is>
          <t>0                      BX 4220000G  7                  P  6</t>
        </is>
      </c>
      <c r="D1880" t="inlineStr">
        <is>
          <t>Medieval English nunneries c. 1275 to 1535 / by Eileen Power.</t>
        </is>
      </c>
      <c r="F1880" t="inlineStr">
        <is>
          <t>No</t>
        </is>
      </c>
      <c r="G1880" t="inlineStr">
        <is>
          <t>1</t>
        </is>
      </c>
      <c r="H1880" t="inlineStr">
        <is>
          <t>No</t>
        </is>
      </c>
      <c r="I1880" t="inlineStr">
        <is>
          <t>No</t>
        </is>
      </c>
      <c r="J1880" t="inlineStr">
        <is>
          <t>0</t>
        </is>
      </c>
      <c r="K1880" t="inlineStr">
        <is>
          <t>Power, Eileen, 1889-1940.</t>
        </is>
      </c>
      <c r="L1880" t="inlineStr">
        <is>
          <t>Cambridge [Eng.] : The University Press, 1922.</t>
        </is>
      </c>
      <c r="M1880" t="inlineStr">
        <is>
          <t>1922</t>
        </is>
      </c>
      <c r="O1880" t="inlineStr">
        <is>
          <t>eng</t>
        </is>
      </c>
      <c r="P1880" t="inlineStr">
        <is>
          <t xml:space="preserve">xx </t>
        </is>
      </c>
      <c r="Q1880" t="inlineStr">
        <is>
          <t>Cambridge studies in medieval life and thought</t>
        </is>
      </c>
      <c r="R1880" t="inlineStr">
        <is>
          <t xml:space="preserve">BX </t>
        </is>
      </c>
      <c r="S1880" t="n">
        <v>4</v>
      </c>
      <c r="T1880" t="n">
        <v>4</v>
      </c>
      <c r="U1880" t="inlineStr">
        <is>
          <t>1995-09-23</t>
        </is>
      </c>
      <c r="V1880" t="inlineStr">
        <is>
          <t>1995-09-23</t>
        </is>
      </c>
      <c r="W1880" t="inlineStr">
        <is>
          <t>1991-11-14</t>
        </is>
      </c>
      <c r="X1880" t="inlineStr">
        <is>
          <t>1991-11-14</t>
        </is>
      </c>
      <c r="Y1880" t="n">
        <v>281</v>
      </c>
      <c r="Z1880" t="n">
        <v>218</v>
      </c>
      <c r="AA1880" t="n">
        <v>584</v>
      </c>
      <c r="AB1880" t="n">
        <v>2</v>
      </c>
      <c r="AC1880" t="n">
        <v>5</v>
      </c>
      <c r="AD1880" t="n">
        <v>16</v>
      </c>
      <c r="AE1880" t="n">
        <v>38</v>
      </c>
      <c r="AF1880" t="n">
        <v>5</v>
      </c>
      <c r="AG1880" t="n">
        <v>16</v>
      </c>
      <c r="AH1880" t="n">
        <v>5</v>
      </c>
      <c r="AI1880" t="n">
        <v>10</v>
      </c>
      <c r="AJ1880" t="n">
        <v>10</v>
      </c>
      <c r="AK1880" t="n">
        <v>21</v>
      </c>
      <c r="AL1880" t="n">
        <v>1</v>
      </c>
      <c r="AM1880" t="n">
        <v>4</v>
      </c>
      <c r="AN1880" t="n">
        <v>0</v>
      </c>
      <c r="AO1880" t="n">
        <v>0</v>
      </c>
      <c r="AP1880" t="inlineStr">
        <is>
          <t>Yes</t>
        </is>
      </c>
      <c r="AQ1880" t="inlineStr">
        <is>
          <t>No</t>
        </is>
      </c>
      <c r="AR1880">
        <f>HYPERLINK("http://catalog.hathitrust.org/Record/001591347","HathiTrust Record")</f>
        <v/>
      </c>
      <c r="AS1880">
        <f>HYPERLINK("https://creighton-primo.hosted.exlibrisgroup.com/primo-explore/search?tab=default_tab&amp;search_scope=EVERYTHING&amp;vid=01CRU&amp;lang=en_US&amp;offset=0&amp;query=any,contains,991004250589702656","Catalog Record")</f>
        <v/>
      </c>
      <c r="AT1880">
        <f>HYPERLINK("http://www.worldcat.org/oclc/2810989","WorldCat Record")</f>
        <v/>
      </c>
      <c r="AU1880" t="inlineStr">
        <is>
          <t>238101463:eng</t>
        </is>
      </c>
      <c r="AV1880" t="inlineStr">
        <is>
          <t>2810989</t>
        </is>
      </c>
      <c r="AW1880" t="inlineStr">
        <is>
          <t>991004250589702656</t>
        </is>
      </c>
      <c r="AX1880" t="inlineStr">
        <is>
          <t>991004250589702656</t>
        </is>
      </c>
      <c r="AY1880" t="inlineStr">
        <is>
          <t>2263098690002656</t>
        </is>
      </c>
      <c r="AZ1880" t="inlineStr">
        <is>
          <t>BOOK</t>
        </is>
      </c>
      <c r="BC1880" t="inlineStr">
        <is>
          <t>32285000853449</t>
        </is>
      </c>
      <c r="BD1880" t="inlineStr">
        <is>
          <t>893325123</t>
        </is>
      </c>
    </row>
    <row r="1881">
      <c r="A1881" t="inlineStr">
        <is>
          <t>No</t>
        </is>
      </c>
      <c r="B1881" t="inlineStr">
        <is>
          <t>BX4220.G7 S8 1902</t>
        </is>
      </c>
      <c r="C1881" t="inlineStr">
        <is>
          <t>0                      BX 4220000G  7                  S  8           1902</t>
        </is>
      </c>
      <c r="D1881" t="inlineStr">
        <is>
          <t>The convents of Great Britain / by Francesca M. Steele (Darley Dale) ; with a preface by Father Thurston, S.J.</t>
        </is>
      </c>
      <c r="F1881" t="inlineStr">
        <is>
          <t>No</t>
        </is>
      </c>
      <c r="G1881" t="inlineStr">
        <is>
          <t>1</t>
        </is>
      </c>
      <c r="H1881" t="inlineStr">
        <is>
          <t>No</t>
        </is>
      </c>
      <c r="I1881" t="inlineStr">
        <is>
          <t>No</t>
        </is>
      </c>
      <c r="J1881" t="inlineStr">
        <is>
          <t>0</t>
        </is>
      </c>
      <c r="K1881" t="inlineStr">
        <is>
          <t>Dale, Darley, 1848-1931.</t>
        </is>
      </c>
      <c r="L1881" t="inlineStr">
        <is>
          <t>London : Sands ; Dublin : M.H. Gill, 1902.</t>
        </is>
      </c>
      <c r="M1881" t="inlineStr">
        <is>
          <t>1902</t>
        </is>
      </c>
      <c r="O1881" t="inlineStr">
        <is>
          <t>eng</t>
        </is>
      </c>
      <c r="P1881" t="inlineStr">
        <is>
          <t>enk</t>
        </is>
      </c>
      <c r="R1881" t="inlineStr">
        <is>
          <t xml:space="preserve">BX </t>
        </is>
      </c>
      <c r="S1881" t="n">
        <v>7</v>
      </c>
      <c r="T1881" t="n">
        <v>7</v>
      </c>
      <c r="U1881" t="inlineStr">
        <is>
          <t>2003-06-10</t>
        </is>
      </c>
      <c r="V1881" t="inlineStr">
        <is>
          <t>2003-06-10</t>
        </is>
      </c>
      <c r="W1881" t="inlineStr">
        <is>
          <t>1991-08-08</t>
        </is>
      </c>
      <c r="X1881" t="inlineStr">
        <is>
          <t>1991-08-08</t>
        </is>
      </c>
      <c r="Y1881" t="n">
        <v>16</v>
      </c>
      <c r="Z1881" t="n">
        <v>12</v>
      </c>
      <c r="AA1881" t="n">
        <v>50</v>
      </c>
      <c r="AB1881" t="n">
        <v>1</v>
      </c>
      <c r="AC1881" t="n">
        <v>1</v>
      </c>
      <c r="AD1881" t="n">
        <v>2</v>
      </c>
      <c r="AE1881" t="n">
        <v>6</v>
      </c>
      <c r="AF1881" t="n">
        <v>0</v>
      </c>
      <c r="AG1881" t="n">
        <v>0</v>
      </c>
      <c r="AH1881" t="n">
        <v>0</v>
      </c>
      <c r="AI1881" t="n">
        <v>3</v>
      </c>
      <c r="AJ1881" t="n">
        <v>2</v>
      </c>
      <c r="AK1881" t="n">
        <v>4</v>
      </c>
      <c r="AL1881" t="n">
        <v>0</v>
      </c>
      <c r="AM1881" t="n">
        <v>0</v>
      </c>
      <c r="AN1881" t="n">
        <v>0</v>
      </c>
      <c r="AO1881" t="n">
        <v>0</v>
      </c>
      <c r="AP1881" t="inlineStr">
        <is>
          <t>No</t>
        </is>
      </c>
      <c r="AQ1881" t="inlineStr">
        <is>
          <t>No</t>
        </is>
      </c>
      <c r="AS1881">
        <f>HYPERLINK("https://creighton-primo.hosted.exlibrisgroup.com/primo-explore/search?tab=default_tab&amp;search_scope=EVERYTHING&amp;vid=01CRU&amp;lang=en_US&amp;offset=0&amp;query=any,contains,991000658689702656","Catalog Record")</f>
        <v/>
      </c>
      <c r="AT1881">
        <f>HYPERLINK("http://www.worldcat.org/oclc/12232314","WorldCat Record")</f>
        <v/>
      </c>
      <c r="AU1881" t="inlineStr">
        <is>
          <t>377136812:eng</t>
        </is>
      </c>
      <c r="AV1881" t="inlineStr">
        <is>
          <t>12232314</t>
        </is>
      </c>
      <c r="AW1881" t="inlineStr">
        <is>
          <t>991000658689702656</t>
        </is>
      </c>
      <c r="AX1881" t="inlineStr">
        <is>
          <t>991000658689702656</t>
        </is>
      </c>
      <c r="AY1881" t="inlineStr">
        <is>
          <t>2263125480002656</t>
        </is>
      </c>
      <c r="AZ1881" t="inlineStr">
        <is>
          <t>BOOK</t>
        </is>
      </c>
      <c r="BC1881" t="inlineStr">
        <is>
          <t>32285000681907</t>
        </is>
      </c>
      <c r="BD1881" t="inlineStr">
        <is>
          <t>893595760</t>
        </is>
      </c>
    </row>
    <row r="1882">
      <c r="A1882" t="inlineStr">
        <is>
          <t>No</t>
        </is>
      </c>
      <c r="B1882" t="inlineStr">
        <is>
          <t>BX4220.U6 C63 1999</t>
        </is>
      </c>
      <c r="C1882" t="inlineStr">
        <is>
          <t>0                      BX 4220000U  6                  C  63          1999</t>
        </is>
      </c>
      <c r="D1882" t="inlineStr">
        <is>
          <t>Spirited lives : how nuns shaped Catholic culture and American life, 1836-1920 / Carol K. Coburn and Martha Smith.</t>
        </is>
      </c>
      <c r="F1882" t="inlineStr">
        <is>
          <t>No</t>
        </is>
      </c>
      <c r="G1882" t="inlineStr">
        <is>
          <t>1</t>
        </is>
      </c>
      <c r="H1882" t="inlineStr">
        <is>
          <t>No</t>
        </is>
      </c>
      <c r="I1882" t="inlineStr">
        <is>
          <t>No</t>
        </is>
      </c>
      <c r="J1882" t="inlineStr">
        <is>
          <t>0</t>
        </is>
      </c>
      <c r="K1882" t="inlineStr">
        <is>
          <t>Coburn, Carol.</t>
        </is>
      </c>
      <c r="L1882" t="inlineStr">
        <is>
          <t>Chapel Hill, N.C. : University of North Carolina Press, c1999.</t>
        </is>
      </c>
      <c r="M1882" t="inlineStr">
        <is>
          <t>1999</t>
        </is>
      </c>
      <c r="O1882" t="inlineStr">
        <is>
          <t>eng</t>
        </is>
      </c>
      <c r="P1882" t="inlineStr">
        <is>
          <t>ncu</t>
        </is>
      </c>
      <c r="R1882" t="inlineStr">
        <is>
          <t xml:space="preserve">BX </t>
        </is>
      </c>
      <c r="S1882" t="n">
        <v>4</v>
      </c>
      <c r="T1882" t="n">
        <v>4</v>
      </c>
      <c r="U1882" t="inlineStr">
        <is>
          <t>2003-11-02</t>
        </is>
      </c>
      <c r="V1882" t="inlineStr">
        <is>
          <t>2003-11-02</t>
        </is>
      </c>
      <c r="W1882" t="inlineStr">
        <is>
          <t>1999-08-10</t>
        </is>
      </c>
      <c r="X1882" t="inlineStr">
        <is>
          <t>1999-08-10</t>
        </is>
      </c>
      <c r="Y1882" t="n">
        <v>633</v>
      </c>
      <c r="Z1882" t="n">
        <v>579</v>
      </c>
      <c r="AA1882" t="n">
        <v>954</v>
      </c>
      <c r="AB1882" t="n">
        <v>6</v>
      </c>
      <c r="AC1882" t="n">
        <v>11</v>
      </c>
      <c r="AD1882" t="n">
        <v>41</v>
      </c>
      <c r="AE1882" t="n">
        <v>53</v>
      </c>
      <c r="AF1882" t="n">
        <v>15</v>
      </c>
      <c r="AG1882" t="n">
        <v>19</v>
      </c>
      <c r="AH1882" t="n">
        <v>9</v>
      </c>
      <c r="AI1882" t="n">
        <v>11</v>
      </c>
      <c r="AJ1882" t="n">
        <v>22</v>
      </c>
      <c r="AK1882" t="n">
        <v>25</v>
      </c>
      <c r="AL1882" t="n">
        <v>5</v>
      </c>
      <c r="AM1882" t="n">
        <v>9</v>
      </c>
      <c r="AN1882" t="n">
        <v>0</v>
      </c>
      <c r="AO1882" t="n">
        <v>1</v>
      </c>
      <c r="AP1882" t="inlineStr">
        <is>
          <t>No</t>
        </is>
      </c>
      <c r="AQ1882" t="inlineStr">
        <is>
          <t>Yes</t>
        </is>
      </c>
      <c r="AR1882">
        <f>HYPERLINK("http://catalog.hathitrust.org/Record/004024445","HathiTrust Record")</f>
        <v/>
      </c>
      <c r="AS1882">
        <f>HYPERLINK("https://creighton-primo.hosted.exlibrisgroup.com/primo-explore/search?tab=default_tab&amp;search_scope=EVERYTHING&amp;vid=01CRU&amp;lang=en_US&amp;offset=0&amp;query=any,contains,991002967689702656","Catalog Record")</f>
        <v/>
      </c>
      <c r="AT1882">
        <f>HYPERLINK("http://www.worldcat.org/oclc/39724119","WorldCat Record")</f>
        <v/>
      </c>
      <c r="AU1882" t="inlineStr">
        <is>
          <t>793974962:eng</t>
        </is>
      </c>
      <c r="AV1882" t="inlineStr">
        <is>
          <t>39724119</t>
        </is>
      </c>
      <c r="AW1882" t="inlineStr">
        <is>
          <t>991002967689702656</t>
        </is>
      </c>
      <c r="AX1882" t="inlineStr">
        <is>
          <t>991002967689702656</t>
        </is>
      </c>
      <c r="AY1882" t="inlineStr">
        <is>
          <t>2269337550002656</t>
        </is>
      </c>
      <c r="AZ1882" t="inlineStr">
        <is>
          <t>BOOK</t>
        </is>
      </c>
      <c r="BB1882" t="inlineStr">
        <is>
          <t>9780807824733</t>
        </is>
      </c>
      <c r="BC1882" t="inlineStr">
        <is>
          <t>32285003581161</t>
        </is>
      </c>
      <c r="BD1882" t="inlineStr">
        <is>
          <t>893505039</t>
        </is>
      </c>
    </row>
    <row r="1883">
      <c r="A1883" t="inlineStr">
        <is>
          <t>No</t>
        </is>
      </c>
      <c r="B1883" t="inlineStr">
        <is>
          <t>BX4220.U6 E93 1978</t>
        </is>
      </c>
      <c r="C1883" t="inlineStr">
        <is>
          <t>0                      BX 4220000U  6                  E  93          1978</t>
        </is>
      </c>
      <c r="D1883" t="inlineStr">
        <is>
          <t>The role of the nun in nineteenth century America / Mary Ewens. --</t>
        </is>
      </c>
      <c r="F1883" t="inlineStr">
        <is>
          <t>No</t>
        </is>
      </c>
      <c r="G1883" t="inlineStr">
        <is>
          <t>1</t>
        </is>
      </c>
      <c r="H1883" t="inlineStr">
        <is>
          <t>No</t>
        </is>
      </c>
      <c r="I1883" t="inlineStr">
        <is>
          <t>No</t>
        </is>
      </c>
      <c r="J1883" t="inlineStr">
        <is>
          <t>0</t>
        </is>
      </c>
      <c r="K1883" t="inlineStr">
        <is>
          <t>Ewens, Mary.</t>
        </is>
      </c>
      <c r="L1883" t="inlineStr">
        <is>
          <t>New York : Arno Press, 1978, c1971.</t>
        </is>
      </c>
      <c r="M1883" t="inlineStr">
        <is>
          <t>1978</t>
        </is>
      </c>
      <c r="O1883" t="inlineStr">
        <is>
          <t>eng</t>
        </is>
      </c>
      <c r="P1883" t="inlineStr">
        <is>
          <t>nyu</t>
        </is>
      </c>
      <c r="Q1883" t="inlineStr">
        <is>
          <t>The American Catholic tradition</t>
        </is>
      </c>
      <c r="R1883" t="inlineStr">
        <is>
          <t xml:space="preserve">BX </t>
        </is>
      </c>
      <c r="S1883" t="n">
        <v>6</v>
      </c>
      <c r="T1883" t="n">
        <v>6</v>
      </c>
      <c r="U1883" t="inlineStr">
        <is>
          <t>2002-08-30</t>
        </is>
      </c>
      <c r="V1883" t="inlineStr">
        <is>
          <t>2002-08-30</t>
        </is>
      </c>
      <c r="W1883" t="inlineStr">
        <is>
          <t>1992-11-17</t>
        </is>
      </c>
      <c r="X1883" t="inlineStr">
        <is>
          <t>1992-11-17</t>
        </is>
      </c>
      <c r="Y1883" t="n">
        <v>178</v>
      </c>
      <c r="Z1883" t="n">
        <v>166</v>
      </c>
      <c r="AA1883" t="n">
        <v>221</v>
      </c>
      <c r="AB1883" t="n">
        <v>1</v>
      </c>
      <c r="AC1883" t="n">
        <v>1</v>
      </c>
      <c r="AD1883" t="n">
        <v>13</v>
      </c>
      <c r="AE1883" t="n">
        <v>19</v>
      </c>
      <c r="AF1883" t="n">
        <v>4</v>
      </c>
      <c r="AG1883" t="n">
        <v>5</v>
      </c>
      <c r="AH1883" t="n">
        <v>4</v>
      </c>
      <c r="AI1883" t="n">
        <v>7</v>
      </c>
      <c r="AJ1883" t="n">
        <v>9</v>
      </c>
      <c r="AK1883" t="n">
        <v>14</v>
      </c>
      <c r="AL1883" t="n">
        <v>0</v>
      </c>
      <c r="AM1883" t="n">
        <v>0</v>
      </c>
      <c r="AN1883" t="n">
        <v>0</v>
      </c>
      <c r="AO1883" t="n">
        <v>0</v>
      </c>
      <c r="AP1883" t="inlineStr">
        <is>
          <t>No</t>
        </is>
      </c>
      <c r="AQ1883" t="inlineStr">
        <is>
          <t>Yes</t>
        </is>
      </c>
      <c r="AR1883">
        <f>HYPERLINK("http://catalog.hathitrust.org/Record/006922550","HathiTrust Record")</f>
        <v/>
      </c>
      <c r="AS1883">
        <f>HYPERLINK("https://creighton-primo.hosted.exlibrisgroup.com/primo-explore/search?tab=default_tab&amp;search_scope=EVERYTHING&amp;vid=01CRU&amp;lang=en_US&amp;offset=0&amp;query=any,contains,991004453899702656","Catalog Record")</f>
        <v/>
      </c>
      <c r="AT1883">
        <f>HYPERLINK("http://www.worldcat.org/oclc/3516942","WorldCat Record")</f>
        <v/>
      </c>
      <c r="AU1883" t="inlineStr">
        <is>
          <t>3845495:eng</t>
        </is>
      </c>
      <c r="AV1883" t="inlineStr">
        <is>
          <t>3516942</t>
        </is>
      </c>
      <c r="AW1883" t="inlineStr">
        <is>
          <t>991004453899702656</t>
        </is>
      </c>
      <c r="AX1883" t="inlineStr">
        <is>
          <t>991004453899702656</t>
        </is>
      </c>
      <c r="AY1883" t="inlineStr">
        <is>
          <t>2272376560002656</t>
        </is>
      </c>
      <c r="AZ1883" t="inlineStr">
        <is>
          <t>BOOK</t>
        </is>
      </c>
      <c r="BB1883" t="inlineStr">
        <is>
          <t>9780405108280</t>
        </is>
      </c>
      <c r="BC1883" t="inlineStr">
        <is>
          <t>32285001406098</t>
        </is>
      </c>
      <c r="BD1883" t="inlineStr">
        <is>
          <t>893593695</t>
        </is>
      </c>
    </row>
    <row r="1884">
      <c r="A1884" t="inlineStr">
        <is>
          <t>No</t>
        </is>
      </c>
      <c r="B1884" t="inlineStr">
        <is>
          <t>BX4220.U6 M57 1988</t>
        </is>
      </c>
      <c r="C1884" t="inlineStr">
        <is>
          <t>0                      BX 4220000U  6                  M  57          1988</t>
        </is>
      </c>
      <c r="D1884" t="inlineStr">
        <is>
          <t>Highly respectable and accomplished ladies : Catholic women religious in America, 1790-1850 / Barbara Misner.</t>
        </is>
      </c>
      <c r="F1884" t="inlineStr">
        <is>
          <t>No</t>
        </is>
      </c>
      <c r="G1884" t="inlineStr">
        <is>
          <t>1</t>
        </is>
      </c>
      <c r="H1884" t="inlineStr">
        <is>
          <t>No</t>
        </is>
      </c>
      <c r="I1884" t="inlineStr">
        <is>
          <t>No</t>
        </is>
      </c>
      <c r="J1884" t="inlineStr">
        <is>
          <t>0</t>
        </is>
      </c>
      <c r="K1884" t="inlineStr">
        <is>
          <t>Misner, Barbara, 1931-</t>
        </is>
      </c>
      <c r="L1884" t="inlineStr">
        <is>
          <t>New York : Garland, 1988.</t>
        </is>
      </c>
      <c r="M1884" t="inlineStr">
        <is>
          <t>1988</t>
        </is>
      </c>
      <c r="O1884" t="inlineStr">
        <is>
          <t>eng</t>
        </is>
      </c>
      <c r="P1884" t="inlineStr">
        <is>
          <t>nyu</t>
        </is>
      </c>
      <c r="Q1884" t="inlineStr">
        <is>
          <t>The Heritage of American Catholicism</t>
        </is>
      </c>
      <c r="R1884" t="inlineStr">
        <is>
          <t xml:space="preserve">BX </t>
        </is>
      </c>
      <c r="S1884" t="n">
        <v>3</v>
      </c>
      <c r="T1884" t="n">
        <v>3</v>
      </c>
      <c r="U1884" t="inlineStr">
        <is>
          <t>2001-04-21</t>
        </is>
      </c>
      <c r="V1884" t="inlineStr">
        <is>
          <t>2001-04-21</t>
        </is>
      </c>
      <c r="W1884" t="inlineStr">
        <is>
          <t>1991-11-14</t>
        </is>
      </c>
      <c r="X1884" t="inlineStr">
        <is>
          <t>1991-11-14</t>
        </is>
      </c>
      <c r="Y1884" t="n">
        <v>123</v>
      </c>
      <c r="Z1884" t="n">
        <v>109</v>
      </c>
      <c r="AA1884" t="n">
        <v>138</v>
      </c>
      <c r="AB1884" t="n">
        <v>2</v>
      </c>
      <c r="AC1884" t="n">
        <v>2</v>
      </c>
      <c r="AD1884" t="n">
        <v>17</v>
      </c>
      <c r="AE1884" t="n">
        <v>17</v>
      </c>
      <c r="AF1884" t="n">
        <v>5</v>
      </c>
      <c r="AG1884" t="n">
        <v>5</v>
      </c>
      <c r="AH1884" t="n">
        <v>4</v>
      </c>
      <c r="AI1884" t="n">
        <v>4</v>
      </c>
      <c r="AJ1884" t="n">
        <v>12</v>
      </c>
      <c r="AK1884" t="n">
        <v>12</v>
      </c>
      <c r="AL1884" t="n">
        <v>1</v>
      </c>
      <c r="AM1884" t="n">
        <v>1</v>
      </c>
      <c r="AN1884" t="n">
        <v>0</v>
      </c>
      <c r="AO1884" t="n">
        <v>0</v>
      </c>
      <c r="AP1884" t="inlineStr">
        <is>
          <t>No</t>
        </is>
      </c>
      <c r="AQ1884" t="inlineStr">
        <is>
          <t>No</t>
        </is>
      </c>
      <c r="AS1884">
        <f>HYPERLINK("https://creighton-primo.hosted.exlibrisgroup.com/primo-explore/search?tab=default_tab&amp;search_scope=EVERYTHING&amp;vid=01CRU&amp;lang=en_US&amp;offset=0&amp;query=any,contains,991001252409702656","Catalog Record")</f>
        <v/>
      </c>
      <c r="AT1884">
        <f>HYPERLINK("http://www.worldcat.org/oclc/17678148","WorldCat Record")</f>
        <v/>
      </c>
      <c r="AU1884" t="inlineStr">
        <is>
          <t>836841159:eng</t>
        </is>
      </c>
      <c r="AV1884" t="inlineStr">
        <is>
          <t>17678148</t>
        </is>
      </c>
      <c r="AW1884" t="inlineStr">
        <is>
          <t>991001252409702656</t>
        </is>
      </c>
      <c r="AX1884" t="inlineStr">
        <is>
          <t>991001252409702656</t>
        </is>
      </c>
      <c r="AY1884" t="inlineStr">
        <is>
          <t>2258370310002656</t>
        </is>
      </c>
      <c r="AZ1884" t="inlineStr">
        <is>
          <t>BOOK</t>
        </is>
      </c>
      <c r="BB1884" t="inlineStr">
        <is>
          <t>9780824040963</t>
        </is>
      </c>
      <c r="BC1884" t="inlineStr">
        <is>
          <t>32285000853472</t>
        </is>
      </c>
      <c r="BD1884" t="inlineStr">
        <is>
          <t>893225736</t>
        </is>
      </c>
    </row>
    <row r="1885">
      <c r="A1885" t="inlineStr">
        <is>
          <t>No</t>
        </is>
      </c>
      <c r="B1885" t="inlineStr">
        <is>
          <t>BX4220.U6 Q56 1992</t>
        </is>
      </c>
      <c r="C1885" t="inlineStr">
        <is>
          <t>0                      BX 4220000U  6                  Q  56          1992</t>
        </is>
      </c>
      <c r="D1885" t="inlineStr">
        <is>
          <t>The transformation of American Catholic sisters / Lora Ann Quiñonez and Mary Daniel Turner.</t>
        </is>
      </c>
      <c r="F1885" t="inlineStr">
        <is>
          <t>No</t>
        </is>
      </c>
      <c r="G1885" t="inlineStr">
        <is>
          <t>1</t>
        </is>
      </c>
      <c r="H1885" t="inlineStr">
        <is>
          <t>No</t>
        </is>
      </c>
      <c r="I1885" t="inlineStr">
        <is>
          <t>No</t>
        </is>
      </c>
      <c r="J1885" t="inlineStr">
        <is>
          <t>0</t>
        </is>
      </c>
      <c r="K1885" t="inlineStr">
        <is>
          <t>Quiñonez, Lora Ann.</t>
        </is>
      </c>
      <c r="L1885" t="inlineStr">
        <is>
          <t>Philadelphia : Temple University Press, 1992.</t>
        </is>
      </c>
      <c r="M1885" t="inlineStr">
        <is>
          <t>1992</t>
        </is>
      </c>
      <c r="O1885" t="inlineStr">
        <is>
          <t>eng</t>
        </is>
      </c>
      <c r="P1885" t="inlineStr">
        <is>
          <t>pau</t>
        </is>
      </c>
      <c r="Q1885" t="inlineStr">
        <is>
          <t>Women in the political economy</t>
        </is>
      </c>
      <c r="R1885" t="inlineStr">
        <is>
          <t xml:space="preserve">BX </t>
        </is>
      </c>
      <c r="S1885" t="n">
        <v>6</v>
      </c>
      <c r="T1885" t="n">
        <v>6</v>
      </c>
      <c r="U1885" t="inlineStr">
        <is>
          <t>1996-09-16</t>
        </is>
      </c>
      <c r="V1885" t="inlineStr">
        <is>
          <t>1996-09-16</t>
        </is>
      </c>
      <c r="W1885" t="inlineStr">
        <is>
          <t>1992-03-01</t>
        </is>
      </c>
      <c r="X1885" t="inlineStr">
        <is>
          <t>1992-03-01</t>
        </is>
      </c>
      <c r="Y1885" t="n">
        <v>334</v>
      </c>
      <c r="Z1885" t="n">
        <v>294</v>
      </c>
      <c r="AA1885" t="n">
        <v>299</v>
      </c>
      <c r="AB1885" t="n">
        <v>2</v>
      </c>
      <c r="AC1885" t="n">
        <v>2</v>
      </c>
      <c r="AD1885" t="n">
        <v>26</v>
      </c>
      <c r="AE1885" t="n">
        <v>26</v>
      </c>
      <c r="AF1885" t="n">
        <v>9</v>
      </c>
      <c r="AG1885" t="n">
        <v>9</v>
      </c>
      <c r="AH1885" t="n">
        <v>8</v>
      </c>
      <c r="AI1885" t="n">
        <v>8</v>
      </c>
      <c r="AJ1885" t="n">
        <v>15</v>
      </c>
      <c r="AK1885" t="n">
        <v>15</v>
      </c>
      <c r="AL1885" t="n">
        <v>1</v>
      </c>
      <c r="AM1885" t="n">
        <v>1</v>
      </c>
      <c r="AN1885" t="n">
        <v>0</v>
      </c>
      <c r="AO1885" t="n">
        <v>0</v>
      </c>
      <c r="AP1885" t="inlineStr">
        <is>
          <t>No</t>
        </is>
      </c>
      <c r="AQ1885" t="inlineStr">
        <is>
          <t>No</t>
        </is>
      </c>
      <c r="AS1885">
        <f>HYPERLINK("https://creighton-primo.hosted.exlibrisgroup.com/primo-explore/search?tab=default_tab&amp;search_scope=EVERYTHING&amp;vid=01CRU&amp;lang=en_US&amp;offset=0&amp;query=any,contains,991001856129702656","Catalog Record")</f>
        <v/>
      </c>
      <c r="AT1885">
        <f>HYPERLINK("http://www.worldcat.org/oclc/23287222","WorldCat Record")</f>
        <v/>
      </c>
      <c r="AU1885" t="inlineStr">
        <is>
          <t>25404808:eng</t>
        </is>
      </c>
      <c r="AV1885" t="inlineStr">
        <is>
          <t>23287222</t>
        </is>
      </c>
      <c r="AW1885" t="inlineStr">
        <is>
          <t>991001856129702656</t>
        </is>
      </c>
      <c r="AX1885" t="inlineStr">
        <is>
          <t>991001856129702656</t>
        </is>
      </c>
      <c r="AY1885" t="inlineStr">
        <is>
          <t>2271962780002656</t>
        </is>
      </c>
      <c r="AZ1885" t="inlineStr">
        <is>
          <t>BOOK</t>
        </is>
      </c>
      <c r="BB1885" t="inlineStr">
        <is>
          <t>9780877228653</t>
        </is>
      </c>
      <c r="BC1885" t="inlineStr">
        <is>
          <t>32285000937275</t>
        </is>
      </c>
      <c r="BD1885" t="inlineStr">
        <is>
          <t>893408415</t>
        </is>
      </c>
    </row>
    <row r="1886">
      <c r="A1886" t="inlineStr">
        <is>
          <t>No</t>
        </is>
      </c>
      <c r="B1886" t="inlineStr">
        <is>
          <t>BX4225 .C64 1996</t>
        </is>
      </c>
      <c r="C1886" t="inlineStr">
        <is>
          <t>0                      BX 4225000C  64          1996</t>
        </is>
      </c>
      <c r="D1886" t="inlineStr">
        <is>
          <t>Convents confront the Reformation : Catholic and Protestant nuns in Germany / introduced and edited by Merry Wiesner-Hanks ; translated by Joan Skocir and Merry Wiesner-Hanks.</t>
        </is>
      </c>
      <c r="F1886" t="inlineStr">
        <is>
          <t>No</t>
        </is>
      </c>
      <c r="G1886" t="inlineStr">
        <is>
          <t>1</t>
        </is>
      </c>
      <c r="H1886" t="inlineStr">
        <is>
          <t>No</t>
        </is>
      </c>
      <c r="I1886" t="inlineStr">
        <is>
          <t>No</t>
        </is>
      </c>
      <c r="J1886" t="inlineStr">
        <is>
          <t>0</t>
        </is>
      </c>
      <c r="L1886" t="inlineStr">
        <is>
          <t>Milwaukee : Marquette University Press, c1996.</t>
        </is>
      </c>
      <c r="M1886" t="inlineStr">
        <is>
          <t>1996</t>
        </is>
      </c>
      <c r="O1886" t="inlineStr">
        <is>
          <t>eng</t>
        </is>
      </c>
      <c r="P1886" t="inlineStr">
        <is>
          <t>wiu</t>
        </is>
      </c>
      <c r="Q1886" t="inlineStr">
        <is>
          <t>Reformation texts with translation (1350-1650). Women of the Reformation ; v. 1</t>
        </is>
      </c>
      <c r="R1886" t="inlineStr">
        <is>
          <t xml:space="preserve">BX </t>
        </is>
      </c>
      <c r="S1886" t="n">
        <v>1</v>
      </c>
      <c r="T1886" t="n">
        <v>1</v>
      </c>
      <c r="U1886" t="inlineStr">
        <is>
          <t>2010-10-15</t>
        </is>
      </c>
      <c r="V1886" t="inlineStr">
        <is>
          <t>2010-10-15</t>
        </is>
      </c>
      <c r="W1886" t="inlineStr">
        <is>
          <t>1997-04-09</t>
        </is>
      </c>
      <c r="X1886" t="inlineStr">
        <is>
          <t>1997-04-09</t>
        </is>
      </c>
      <c r="Y1886" t="n">
        <v>301</v>
      </c>
      <c r="Z1886" t="n">
        <v>243</v>
      </c>
      <c r="AA1886" t="n">
        <v>604</v>
      </c>
      <c r="AB1886" t="n">
        <v>1</v>
      </c>
      <c r="AC1886" t="n">
        <v>5</v>
      </c>
      <c r="AD1886" t="n">
        <v>16</v>
      </c>
      <c r="AE1886" t="n">
        <v>34</v>
      </c>
      <c r="AF1886" t="n">
        <v>4</v>
      </c>
      <c r="AG1886" t="n">
        <v>13</v>
      </c>
      <c r="AH1886" t="n">
        <v>5</v>
      </c>
      <c r="AI1886" t="n">
        <v>8</v>
      </c>
      <c r="AJ1886" t="n">
        <v>10</v>
      </c>
      <c r="AK1886" t="n">
        <v>14</v>
      </c>
      <c r="AL1886" t="n">
        <v>0</v>
      </c>
      <c r="AM1886" t="n">
        <v>4</v>
      </c>
      <c r="AN1886" t="n">
        <v>0</v>
      </c>
      <c r="AO1886" t="n">
        <v>1</v>
      </c>
      <c r="AP1886" t="inlineStr">
        <is>
          <t>No</t>
        </is>
      </c>
      <c r="AQ1886" t="inlineStr">
        <is>
          <t>Yes</t>
        </is>
      </c>
      <c r="AR1886">
        <f>HYPERLINK("http://catalog.hathitrust.org/Record/003165109","HathiTrust Record")</f>
        <v/>
      </c>
      <c r="AS1886">
        <f>HYPERLINK("https://creighton-primo.hosted.exlibrisgroup.com/primo-explore/search?tab=default_tab&amp;search_scope=EVERYTHING&amp;vid=01CRU&amp;lang=en_US&amp;offset=0&amp;query=any,contains,991002658359702656","Catalog Record")</f>
        <v/>
      </c>
      <c r="AT1886">
        <f>HYPERLINK("http://www.worldcat.org/oclc/34752135","WorldCat Record")</f>
        <v/>
      </c>
      <c r="AU1886" t="inlineStr">
        <is>
          <t>793832362:eng</t>
        </is>
      </c>
      <c r="AV1886" t="inlineStr">
        <is>
          <t>34752135</t>
        </is>
      </c>
      <c r="AW1886" t="inlineStr">
        <is>
          <t>991002658359702656</t>
        </is>
      </c>
      <c r="AX1886" t="inlineStr">
        <is>
          <t>991002658359702656</t>
        </is>
      </c>
      <c r="AY1886" t="inlineStr">
        <is>
          <t>2269173520002656</t>
        </is>
      </c>
      <c r="AZ1886" t="inlineStr">
        <is>
          <t>BOOK</t>
        </is>
      </c>
      <c r="BB1886" t="inlineStr">
        <is>
          <t>9780874627022</t>
        </is>
      </c>
      <c r="BC1886" t="inlineStr">
        <is>
          <t>32285002495512</t>
        </is>
      </c>
      <c r="BD1886" t="inlineStr">
        <is>
          <t>893904009</t>
        </is>
      </c>
    </row>
    <row r="1887">
      <c r="A1887" t="inlineStr">
        <is>
          <t>No</t>
        </is>
      </c>
      <c r="B1887" t="inlineStr">
        <is>
          <t>BX4225 .W3 1927</t>
        </is>
      </c>
      <c r="C1887" t="inlineStr">
        <is>
          <t>0                      BX 4225000W  3           1927</t>
        </is>
      </c>
      <c r="D1887" t="inlineStr">
        <is>
          <t>These splendid Sisters / compiled by James Joseph Walsh, with introd.</t>
        </is>
      </c>
      <c r="F1887" t="inlineStr">
        <is>
          <t>No</t>
        </is>
      </c>
      <c r="G1887" t="inlineStr">
        <is>
          <t>1</t>
        </is>
      </c>
      <c r="H1887" t="inlineStr">
        <is>
          <t>No</t>
        </is>
      </c>
      <c r="I1887" t="inlineStr">
        <is>
          <t>No</t>
        </is>
      </c>
      <c r="J1887" t="inlineStr">
        <is>
          <t>0</t>
        </is>
      </c>
      <c r="K1887" t="inlineStr">
        <is>
          <t>Walsh, James J. (James Joseph), 1865-1942 compiler.</t>
        </is>
      </c>
      <c r="L1887" t="inlineStr">
        <is>
          <t>New York : Sears, [c1927]</t>
        </is>
      </c>
      <c r="M1887" t="inlineStr">
        <is>
          <t>1927</t>
        </is>
      </c>
      <c r="O1887" t="inlineStr">
        <is>
          <t>eng</t>
        </is>
      </c>
      <c r="P1887" t="inlineStr">
        <is>
          <t xml:space="preserve">xx </t>
        </is>
      </c>
      <c r="R1887" t="inlineStr">
        <is>
          <t xml:space="preserve">BX </t>
        </is>
      </c>
      <c r="S1887" t="n">
        <v>1</v>
      </c>
      <c r="T1887" t="n">
        <v>1</v>
      </c>
      <c r="U1887" t="inlineStr">
        <is>
          <t>1995-03-30</t>
        </is>
      </c>
      <c r="V1887" t="inlineStr">
        <is>
          <t>1995-03-30</t>
        </is>
      </c>
      <c r="W1887" t="inlineStr">
        <is>
          <t>1991-11-14</t>
        </is>
      </c>
      <c r="X1887" t="inlineStr">
        <is>
          <t>1991-11-14</t>
        </is>
      </c>
      <c r="Y1887" t="n">
        <v>70</v>
      </c>
      <c r="Z1887" t="n">
        <v>66</v>
      </c>
      <c r="AA1887" t="n">
        <v>220</v>
      </c>
      <c r="AB1887" t="n">
        <v>2</v>
      </c>
      <c r="AC1887" t="n">
        <v>3</v>
      </c>
      <c r="AD1887" t="n">
        <v>8</v>
      </c>
      <c r="AE1887" t="n">
        <v>16</v>
      </c>
      <c r="AF1887" t="n">
        <v>0</v>
      </c>
      <c r="AG1887" t="n">
        <v>3</v>
      </c>
      <c r="AH1887" t="n">
        <v>2</v>
      </c>
      <c r="AI1887" t="n">
        <v>5</v>
      </c>
      <c r="AJ1887" t="n">
        <v>6</v>
      </c>
      <c r="AK1887" t="n">
        <v>10</v>
      </c>
      <c r="AL1887" t="n">
        <v>1</v>
      </c>
      <c r="AM1887" t="n">
        <v>2</v>
      </c>
      <c r="AN1887" t="n">
        <v>0</v>
      </c>
      <c r="AO1887" t="n">
        <v>0</v>
      </c>
      <c r="AP1887" t="inlineStr">
        <is>
          <t>No</t>
        </is>
      </c>
      <c r="AQ1887" t="inlineStr">
        <is>
          <t>No</t>
        </is>
      </c>
      <c r="AR1887">
        <f>HYPERLINK("http://catalog.hathitrust.org/Record/005790181","HathiTrust Record")</f>
        <v/>
      </c>
      <c r="AS1887">
        <f>HYPERLINK("https://creighton-primo.hosted.exlibrisgroup.com/primo-explore/search?tab=default_tab&amp;search_scope=EVERYTHING&amp;vid=01CRU&amp;lang=en_US&amp;offset=0&amp;query=any,contains,991003339099702656","Catalog Record")</f>
        <v/>
      </c>
      <c r="AT1887">
        <f>HYPERLINK("http://www.worldcat.org/oclc/869610","WorldCat Record")</f>
        <v/>
      </c>
      <c r="AU1887" t="inlineStr">
        <is>
          <t>375559932:eng</t>
        </is>
      </c>
      <c r="AV1887" t="inlineStr">
        <is>
          <t>869610</t>
        </is>
      </c>
      <c r="AW1887" t="inlineStr">
        <is>
          <t>991003339099702656</t>
        </is>
      </c>
      <c r="AX1887" t="inlineStr">
        <is>
          <t>991003339099702656</t>
        </is>
      </c>
      <c r="AY1887" t="inlineStr">
        <is>
          <t>2266974540002656</t>
        </is>
      </c>
      <c r="AZ1887" t="inlineStr">
        <is>
          <t>BOOK</t>
        </is>
      </c>
      <c r="BC1887" t="inlineStr">
        <is>
          <t>32285000853498</t>
        </is>
      </c>
      <c r="BD1887" t="inlineStr">
        <is>
          <t>893617255</t>
        </is>
      </c>
    </row>
    <row r="1888">
      <c r="A1888" t="inlineStr">
        <is>
          <t>No</t>
        </is>
      </c>
      <c r="B1888" t="inlineStr">
        <is>
          <t>BX4276 .H513 1958</t>
        </is>
      </c>
      <c r="C1888" t="inlineStr">
        <is>
          <t>0                      BX 4276000H  513         1958</t>
        </is>
      </c>
      <c r="D1888" t="inlineStr">
        <is>
          <t>History of Benedictine nuns / Translated by M. Joanne Muggli, edited by Leonard J. Doyle.</t>
        </is>
      </c>
      <c r="F1888" t="inlineStr">
        <is>
          <t>No</t>
        </is>
      </c>
      <c r="G1888" t="inlineStr">
        <is>
          <t>1</t>
        </is>
      </c>
      <c r="H1888" t="inlineStr">
        <is>
          <t>No</t>
        </is>
      </c>
      <c r="I1888" t="inlineStr">
        <is>
          <t>No</t>
        </is>
      </c>
      <c r="J1888" t="inlineStr">
        <is>
          <t>0</t>
        </is>
      </c>
      <c r="K1888" t="inlineStr">
        <is>
          <t>Hilpisch, Stephanus, 1894-</t>
        </is>
      </c>
      <c r="L1888" t="inlineStr">
        <is>
          <t>Collegeville, Minn. : St. John's Abbey Press, 1958.</t>
        </is>
      </c>
      <c r="M1888" t="inlineStr">
        <is>
          <t>1958</t>
        </is>
      </c>
      <c r="O1888" t="inlineStr">
        <is>
          <t>eng</t>
        </is>
      </c>
      <c r="P1888" t="inlineStr">
        <is>
          <t>mnu</t>
        </is>
      </c>
      <c r="R1888" t="inlineStr">
        <is>
          <t xml:space="preserve">BX </t>
        </is>
      </c>
      <c r="S1888" t="n">
        <v>3</v>
      </c>
      <c r="T1888" t="n">
        <v>3</v>
      </c>
      <c r="U1888" t="inlineStr">
        <is>
          <t>2010-09-12</t>
        </is>
      </c>
      <c r="V1888" t="inlineStr">
        <is>
          <t>2010-09-12</t>
        </is>
      </c>
      <c r="W1888" t="inlineStr">
        <is>
          <t>1991-11-14</t>
        </is>
      </c>
      <c r="X1888" t="inlineStr">
        <is>
          <t>1991-11-14</t>
        </is>
      </c>
      <c r="Y1888" t="n">
        <v>149</v>
      </c>
      <c r="Z1888" t="n">
        <v>138</v>
      </c>
      <c r="AA1888" t="n">
        <v>144</v>
      </c>
      <c r="AB1888" t="n">
        <v>2</v>
      </c>
      <c r="AC1888" t="n">
        <v>2</v>
      </c>
      <c r="AD1888" t="n">
        <v>18</v>
      </c>
      <c r="AE1888" t="n">
        <v>18</v>
      </c>
      <c r="AF1888" t="n">
        <v>4</v>
      </c>
      <c r="AG1888" t="n">
        <v>4</v>
      </c>
      <c r="AH1888" t="n">
        <v>5</v>
      </c>
      <c r="AI1888" t="n">
        <v>5</v>
      </c>
      <c r="AJ1888" t="n">
        <v>12</v>
      </c>
      <c r="AK1888" t="n">
        <v>12</v>
      </c>
      <c r="AL1888" t="n">
        <v>0</v>
      </c>
      <c r="AM1888" t="n">
        <v>0</v>
      </c>
      <c r="AN1888" t="n">
        <v>0</v>
      </c>
      <c r="AO1888" t="n">
        <v>0</v>
      </c>
      <c r="AP1888" t="inlineStr">
        <is>
          <t>No</t>
        </is>
      </c>
      <c r="AQ1888" t="inlineStr">
        <is>
          <t>No</t>
        </is>
      </c>
      <c r="AS1888">
        <f>HYPERLINK("https://creighton-primo.hosted.exlibrisgroup.com/primo-explore/search?tab=default_tab&amp;search_scope=EVERYTHING&amp;vid=01CRU&amp;lang=en_US&amp;offset=0&amp;query=any,contains,991004553969702656","Catalog Record")</f>
        <v/>
      </c>
      <c r="AT1888">
        <f>HYPERLINK("http://www.worldcat.org/oclc/3958706","WorldCat Record")</f>
        <v/>
      </c>
      <c r="AU1888" t="inlineStr">
        <is>
          <t>13096514:eng</t>
        </is>
      </c>
      <c r="AV1888" t="inlineStr">
        <is>
          <t>3958706</t>
        </is>
      </c>
      <c r="AW1888" t="inlineStr">
        <is>
          <t>991004553969702656</t>
        </is>
      </c>
      <c r="AX1888" t="inlineStr">
        <is>
          <t>991004553969702656</t>
        </is>
      </c>
      <c r="AY1888" t="inlineStr">
        <is>
          <t>2261312890002656</t>
        </is>
      </c>
      <c r="AZ1888" t="inlineStr">
        <is>
          <t>BOOK</t>
        </is>
      </c>
      <c r="BC1888" t="inlineStr">
        <is>
          <t>32285000853514</t>
        </is>
      </c>
      <c r="BD1888" t="inlineStr">
        <is>
          <t>893350150</t>
        </is>
      </c>
    </row>
    <row r="1889">
      <c r="A1889" t="inlineStr">
        <is>
          <t>No</t>
        </is>
      </c>
      <c r="B1889" t="inlineStr">
        <is>
          <t>BX4278.S23 D87 1971</t>
        </is>
      </c>
      <c r="C1889" t="inlineStr">
        <is>
          <t>0                      BX 4278000S  23                 D  87          1971</t>
        </is>
      </c>
      <c r="D1889" t="inlineStr">
        <is>
          <t>Under the shadow of His wings : history of Sacred Heart Convent of Benedictine Sisters, Yankton, South Dakota, 1880-1970.</t>
        </is>
      </c>
      <c r="F1889" t="inlineStr">
        <is>
          <t>No</t>
        </is>
      </c>
      <c r="G1889" t="inlineStr">
        <is>
          <t>1</t>
        </is>
      </c>
      <c r="H1889" t="inlineStr">
        <is>
          <t>No</t>
        </is>
      </c>
      <c r="I1889" t="inlineStr">
        <is>
          <t>No</t>
        </is>
      </c>
      <c r="J1889" t="inlineStr">
        <is>
          <t>0</t>
        </is>
      </c>
      <c r="K1889" t="inlineStr">
        <is>
          <t>Duratschek, M. Claudia, 1894-</t>
        </is>
      </c>
      <c r="L1889" t="inlineStr">
        <is>
          <t>Aberdeen, S.D. : North Plains Press, 1971.</t>
        </is>
      </c>
      <c r="M1889" t="inlineStr">
        <is>
          <t>1971</t>
        </is>
      </c>
      <c r="O1889" t="inlineStr">
        <is>
          <t>eng</t>
        </is>
      </c>
      <c r="P1889" t="inlineStr">
        <is>
          <t>sdu</t>
        </is>
      </c>
      <c r="R1889" t="inlineStr">
        <is>
          <t xml:space="preserve">BX </t>
        </is>
      </c>
      <c r="S1889" t="n">
        <v>2</v>
      </c>
      <c r="T1889" t="n">
        <v>2</v>
      </c>
      <c r="U1889" t="inlineStr">
        <is>
          <t>2009-03-09</t>
        </is>
      </c>
      <c r="V1889" t="inlineStr">
        <is>
          <t>2009-03-09</t>
        </is>
      </c>
      <c r="W1889" t="inlineStr">
        <is>
          <t>1991-11-15</t>
        </is>
      </c>
      <c r="X1889" t="inlineStr">
        <is>
          <t>1991-11-15</t>
        </is>
      </c>
      <c r="Y1889" t="n">
        <v>70</v>
      </c>
      <c r="Z1889" t="n">
        <v>70</v>
      </c>
      <c r="AA1889" t="n">
        <v>71</v>
      </c>
      <c r="AB1889" t="n">
        <v>2</v>
      </c>
      <c r="AC1889" t="n">
        <v>2</v>
      </c>
      <c r="AD1889" t="n">
        <v>5</v>
      </c>
      <c r="AE1889" t="n">
        <v>5</v>
      </c>
      <c r="AF1889" t="n">
        <v>1</v>
      </c>
      <c r="AG1889" t="n">
        <v>1</v>
      </c>
      <c r="AH1889" t="n">
        <v>2</v>
      </c>
      <c r="AI1889" t="n">
        <v>2</v>
      </c>
      <c r="AJ1889" t="n">
        <v>2</v>
      </c>
      <c r="AK1889" t="n">
        <v>2</v>
      </c>
      <c r="AL1889" t="n">
        <v>1</v>
      </c>
      <c r="AM1889" t="n">
        <v>1</v>
      </c>
      <c r="AN1889" t="n">
        <v>0</v>
      </c>
      <c r="AO1889" t="n">
        <v>0</v>
      </c>
      <c r="AP1889" t="inlineStr">
        <is>
          <t>No</t>
        </is>
      </c>
      <c r="AQ1889" t="inlineStr">
        <is>
          <t>Yes</t>
        </is>
      </c>
      <c r="AR1889">
        <f>HYPERLINK("http://catalog.hathitrust.org/Record/006922540","HathiTrust Record")</f>
        <v/>
      </c>
      <c r="AS1889">
        <f>HYPERLINK("https://creighton-primo.hosted.exlibrisgroup.com/primo-explore/search?tab=default_tab&amp;search_scope=EVERYTHING&amp;vid=01CRU&amp;lang=en_US&amp;offset=0&amp;query=any,contains,991004231889702656","Catalog Record")</f>
        <v/>
      </c>
      <c r="AT1889">
        <f>HYPERLINK("http://www.worldcat.org/oclc/2749336","WorldCat Record")</f>
        <v/>
      </c>
      <c r="AU1889" t="inlineStr">
        <is>
          <t>6334196:eng</t>
        </is>
      </c>
      <c r="AV1889" t="inlineStr">
        <is>
          <t>2749336</t>
        </is>
      </c>
      <c r="AW1889" t="inlineStr">
        <is>
          <t>991004231889702656</t>
        </is>
      </c>
      <c r="AX1889" t="inlineStr">
        <is>
          <t>991004231889702656</t>
        </is>
      </c>
      <c r="AY1889" t="inlineStr">
        <is>
          <t>2255059370002656</t>
        </is>
      </c>
      <c r="AZ1889" t="inlineStr">
        <is>
          <t>BOOK</t>
        </is>
      </c>
      <c r="BC1889" t="inlineStr">
        <is>
          <t>32285000853530</t>
        </is>
      </c>
      <c r="BD1889" t="inlineStr">
        <is>
          <t>893599592</t>
        </is>
      </c>
    </row>
    <row r="1890">
      <c r="A1890" t="inlineStr">
        <is>
          <t>No</t>
        </is>
      </c>
      <c r="B1890" t="inlineStr">
        <is>
          <t>BX4312 .T4</t>
        </is>
      </c>
      <c r="C1890" t="inlineStr">
        <is>
          <t>0                      BX 4312000T  4</t>
        </is>
      </c>
      <c r="D1890" t="inlineStr">
        <is>
          <t>The book of the foundations of S. Teresa of Jesus of the Order of Our Lady of Carmel, with the visitation of nunneries, the rule and constitutions. Written by herself. Tr. from the Spanish by David Lewis.</t>
        </is>
      </c>
      <c r="F1890" t="inlineStr">
        <is>
          <t>No</t>
        </is>
      </c>
      <c r="G1890" t="inlineStr">
        <is>
          <t>1</t>
        </is>
      </c>
      <c r="H1890" t="inlineStr">
        <is>
          <t>No</t>
        </is>
      </c>
      <c r="I1890" t="inlineStr">
        <is>
          <t>No</t>
        </is>
      </c>
      <c r="J1890" t="inlineStr">
        <is>
          <t>0</t>
        </is>
      </c>
      <c r="K1890" t="inlineStr">
        <is>
          <t>Teresa, of Avila, Saint, 1515-1582.</t>
        </is>
      </c>
      <c r="L1890" t="inlineStr">
        <is>
          <t>New York : Benziger Brothers, 1913.</t>
        </is>
      </c>
      <c r="M1890" t="inlineStr">
        <is>
          <t>1913</t>
        </is>
      </c>
      <c r="N1890" t="inlineStr">
        <is>
          <t>New and rev. ed. with introduction by Very Rev. Benedict Zimmerman ...</t>
        </is>
      </c>
      <c r="O1890" t="inlineStr">
        <is>
          <t>eng</t>
        </is>
      </c>
      <c r="P1890" t="inlineStr">
        <is>
          <t xml:space="preserve">xx </t>
        </is>
      </c>
      <c r="R1890" t="inlineStr">
        <is>
          <t xml:space="preserve">BX </t>
        </is>
      </c>
      <c r="S1890" t="n">
        <v>4</v>
      </c>
      <c r="T1890" t="n">
        <v>4</v>
      </c>
      <c r="U1890" t="inlineStr">
        <is>
          <t>2008-09-18</t>
        </is>
      </c>
      <c r="V1890" t="inlineStr">
        <is>
          <t>2008-09-18</t>
        </is>
      </c>
      <c r="W1890" t="inlineStr">
        <is>
          <t>1991-11-15</t>
        </is>
      </c>
      <c r="X1890" t="inlineStr">
        <is>
          <t>1991-11-15</t>
        </is>
      </c>
      <c r="Y1890" t="n">
        <v>33</v>
      </c>
      <c r="Z1890" t="n">
        <v>31</v>
      </c>
      <c r="AA1890" t="n">
        <v>73</v>
      </c>
      <c r="AB1890" t="n">
        <v>1</v>
      </c>
      <c r="AC1890" t="n">
        <v>1</v>
      </c>
      <c r="AD1890" t="n">
        <v>3</v>
      </c>
      <c r="AE1890" t="n">
        <v>7</v>
      </c>
      <c r="AF1890" t="n">
        <v>1</v>
      </c>
      <c r="AG1890" t="n">
        <v>2</v>
      </c>
      <c r="AH1890" t="n">
        <v>1</v>
      </c>
      <c r="AI1890" t="n">
        <v>1</v>
      </c>
      <c r="AJ1890" t="n">
        <v>2</v>
      </c>
      <c r="AK1890" t="n">
        <v>6</v>
      </c>
      <c r="AL1890" t="n">
        <v>0</v>
      </c>
      <c r="AM1890" t="n">
        <v>0</v>
      </c>
      <c r="AN1890" t="n">
        <v>0</v>
      </c>
      <c r="AO1890" t="n">
        <v>0</v>
      </c>
      <c r="AP1890" t="inlineStr">
        <is>
          <t>No</t>
        </is>
      </c>
      <c r="AQ1890" t="inlineStr">
        <is>
          <t>No</t>
        </is>
      </c>
      <c r="AS1890">
        <f>HYPERLINK("https://creighton-primo.hosted.exlibrisgroup.com/primo-explore/search?tab=default_tab&amp;search_scope=EVERYTHING&amp;vid=01CRU&amp;lang=en_US&amp;offset=0&amp;query=any,contains,991004495509702656","Catalog Record")</f>
        <v/>
      </c>
      <c r="AT1890">
        <f>HYPERLINK("http://www.worldcat.org/oclc/3694659","WorldCat Record")</f>
        <v/>
      </c>
      <c r="AU1890" t="inlineStr">
        <is>
          <t>4061455921:eng</t>
        </is>
      </c>
      <c r="AV1890" t="inlineStr">
        <is>
          <t>3694659</t>
        </is>
      </c>
      <c r="AW1890" t="inlineStr">
        <is>
          <t>991004495509702656</t>
        </is>
      </c>
      <c r="AX1890" t="inlineStr">
        <is>
          <t>991004495509702656</t>
        </is>
      </c>
      <c r="AY1890" t="inlineStr">
        <is>
          <t>2255809460002656</t>
        </is>
      </c>
      <c r="AZ1890" t="inlineStr">
        <is>
          <t>BOOK</t>
        </is>
      </c>
      <c r="BC1890" t="inlineStr">
        <is>
          <t>32285000853563</t>
        </is>
      </c>
      <c r="BD1890" t="inlineStr">
        <is>
          <t>893500644</t>
        </is>
      </c>
    </row>
    <row r="1891">
      <c r="A1891" t="inlineStr">
        <is>
          <t>No</t>
        </is>
      </c>
      <c r="B1891" t="inlineStr">
        <is>
          <t>BX4324.O88 B37 1991</t>
        </is>
      </c>
      <c r="C1891" t="inlineStr">
        <is>
          <t>0                      BX 4324000O  88                 B  37          1991</t>
        </is>
      </c>
      <c r="D1891" t="inlineStr">
        <is>
          <t>The convent at Auschwitz / Wladyslaw T. Bartoszewski.</t>
        </is>
      </c>
      <c r="F1891" t="inlineStr">
        <is>
          <t>No</t>
        </is>
      </c>
      <c r="G1891" t="inlineStr">
        <is>
          <t>1</t>
        </is>
      </c>
      <c r="H1891" t="inlineStr">
        <is>
          <t>No</t>
        </is>
      </c>
      <c r="I1891" t="inlineStr">
        <is>
          <t>No</t>
        </is>
      </c>
      <c r="J1891" t="inlineStr">
        <is>
          <t>0</t>
        </is>
      </c>
      <c r="K1891" t="inlineStr">
        <is>
          <t>Bartoszewski, Władysław.</t>
        </is>
      </c>
      <c r="L1891" t="inlineStr">
        <is>
          <t>New York, N.Y. : G. Braziller, Inc., 1991, c1990.</t>
        </is>
      </c>
      <c r="M1891" t="inlineStr">
        <is>
          <t>1991</t>
        </is>
      </c>
      <c r="O1891" t="inlineStr">
        <is>
          <t>eng</t>
        </is>
      </c>
      <c r="P1891" t="inlineStr">
        <is>
          <t>nyu</t>
        </is>
      </c>
      <c r="R1891" t="inlineStr">
        <is>
          <t xml:space="preserve">BX </t>
        </is>
      </c>
      <c r="S1891" t="n">
        <v>4</v>
      </c>
      <c r="T1891" t="n">
        <v>4</v>
      </c>
      <c r="U1891" t="inlineStr">
        <is>
          <t>2004-11-20</t>
        </is>
      </c>
      <c r="V1891" t="inlineStr">
        <is>
          <t>2004-11-20</t>
        </is>
      </c>
      <c r="W1891" t="inlineStr">
        <is>
          <t>1991-09-17</t>
        </is>
      </c>
      <c r="X1891" t="inlineStr">
        <is>
          <t>1991-09-17</t>
        </is>
      </c>
      <c r="Y1891" t="n">
        <v>503</v>
      </c>
      <c r="Z1891" t="n">
        <v>474</v>
      </c>
      <c r="AA1891" t="n">
        <v>520</v>
      </c>
      <c r="AB1891" t="n">
        <v>2</v>
      </c>
      <c r="AC1891" t="n">
        <v>2</v>
      </c>
      <c r="AD1891" t="n">
        <v>26</v>
      </c>
      <c r="AE1891" t="n">
        <v>31</v>
      </c>
      <c r="AF1891" t="n">
        <v>9</v>
      </c>
      <c r="AG1891" t="n">
        <v>11</v>
      </c>
      <c r="AH1891" t="n">
        <v>7</v>
      </c>
      <c r="AI1891" t="n">
        <v>7</v>
      </c>
      <c r="AJ1891" t="n">
        <v>14</v>
      </c>
      <c r="AK1891" t="n">
        <v>18</v>
      </c>
      <c r="AL1891" t="n">
        <v>1</v>
      </c>
      <c r="AM1891" t="n">
        <v>1</v>
      </c>
      <c r="AN1891" t="n">
        <v>0</v>
      </c>
      <c r="AO1891" t="n">
        <v>0</v>
      </c>
      <c r="AP1891" t="inlineStr">
        <is>
          <t>No</t>
        </is>
      </c>
      <c r="AQ1891" t="inlineStr">
        <is>
          <t>Yes</t>
        </is>
      </c>
      <c r="AR1891">
        <f>HYPERLINK("http://catalog.hathitrust.org/Record/007109392","HathiTrust Record")</f>
        <v/>
      </c>
      <c r="AS1891">
        <f>HYPERLINK("https://creighton-primo.hosted.exlibrisgroup.com/primo-explore/search?tab=default_tab&amp;search_scope=EVERYTHING&amp;vid=01CRU&amp;lang=en_US&amp;offset=0&amp;query=any,contains,991001846909702656","Catalog Record")</f>
        <v/>
      </c>
      <c r="AT1891">
        <f>HYPERLINK("http://www.worldcat.org/oclc/23179857","WorldCat Record")</f>
        <v/>
      </c>
      <c r="AU1891" t="inlineStr">
        <is>
          <t>24298351:eng</t>
        </is>
      </c>
      <c r="AV1891" t="inlineStr">
        <is>
          <t>23179857</t>
        </is>
      </c>
      <c r="AW1891" t="inlineStr">
        <is>
          <t>991001846909702656</t>
        </is>
      </c>
      <c r="AX1891" t="inlineStr">
        <is>
          <t>991001846909702656</t>
        </is>
      </c>
      <c r="AY1891" t="inlineStr">
        <is>
          <t>2265589720002656</t>
        </is>
      </c>
      <c r="AZ1891" t="inlineStr">
        <is>
          <t>BOOK</t>
        </is>
      </c>
      <c r="BB1891" t="inlineStr">
        <is>
          <t>9780807612675</t>
        </is>
      </c>
      <c r="BC1891" t="inlineStr">
        <is>
          <t>32285000703966</t>
        </is>
      </c>
      <c r="BD1891" t="inlineStr">
        <is>
          <t>893690961</t>
        </is>
      </c>
    </row>
    <row r="1892">
      <c r="A1892" t="inlineStr">
        <is>
          <t>No</t>
        </is>
      </c>
      <c r="B1892" t="inlineStr">
        <is>
          <t>BX4337.38 .J68 1999</t>
        </is>
      </c>
      <c r="C1892" t="inlineStr">
        <is>
          <t>0                      BX 4337380J  68          1999</t>
        </is>
      </c>
      <c r="D1892" t="inlineStr">
        <is>
          <t>Journey in faith and fidelity : women shaping religious life for a renewed church / Nadine Foley, editor.</t>
        </is>
      </c>
      <c r="F1892" t="inlineStr">
        <is>
          <t>No</t>
        </is>
      </c>
      <c r="G1892" t="inlineStr">
        <is>
          <t>1</t>
        </is>
      </c>
      <c r="H1892" t="inlineStr">
        <is>
          <t>No</t>
        </is>
      </c>
      <c r="I1892" t="inlineStr">
        <is>
          <t>No</t>
        </is>
      </c>
      <c r="J1892" t="inlineStr">
        <is>
          <t>0</t>
        </is>
      </c>
      <c r="L1892" t="inlineStr">
        <is>
          <t>New York, NY : Continuum, 1999.</t>
        </is>
      </c>
      <c r="M1892" t="inlineStr">
        <is>
          <t>1999</t>
        </is>
      </c>
      <c r="O1892" t="inlineStr">
        <is>
          <t>eng</t>
        </is>
      </c>
      <c r="P1892" t="inlineStr">
        <is>
          <t>nyu</t>
        </is>
      </c>
      <c r="R1892" t="inlineStr">
        <is>
          <t xml:space="preserve">BX </t>
        </is>
      </c>
      <c r="S1892" t="n">
        <v>2</v>
      </c>
      <c r="T1892" t="n">
        <v>2</v>
      </c>
      <c r="U1892" t="inlineStr">
        <is>
          <t>2001-02-13</t>
        </is>
      </c>
      <c r="V1892" t="inlineStr">
        <is>
          <t>2001-02-13</t>
        </is>
      </c>
      <c r="W1892" t="inlineStr">
        <is>
          <t>2001-02-13</t>
        </is>
      </c>
      <c r="X1892" t="inlineStr">
        <is>
          <t>2001-02-13</t>
        </is>
      </c>
      <c r="Y1892" t="n">
        <v>183</v>
      </c>
      <c r="Z1892" t="n">
        <v>152</v>
      </c>
      <c r="AA1892" t="n">
        <v>453</v>
      </c>
      <c r="AB1892" t="n">
        <v>2</v>
      </c>
      <c r="AC1892" t="n">
        <v>4</v>
      </c>
      <c r="AD1892" t="n">
        <v>16</v>
      </c>
      <c r="AE1892" t="n">
        <v>22</v>
      </c>
      <c r="AF1892" t="n">
        <v>5</v>
      </c>
      <c r="AG1892" t="n">
        <v>9</v>
      </c>
      <c r="AH1892" t="n">
        <v>6</v>
      </c>
      <c r="AI1892" t="n">
        <v>7</v>
      </c>
      <c r="AJ1892" t="n">
        <v>11</v>
      </c>
      <c r="AK1892" t="n">
        <v>12</v>
      </c>
      <c r="AL1892" t="n">
        <v>1</v>
      </c>
      <c r="AM1892" t="n">
        <v>3</v>
      </c>
      <c r="AN1892" t="n">
        <v>0</v>
      </c>
      <c r="AO1892" t="n">
        <v>0</v>
      </c>
      <c r="AP1892" t="inlineStr">
        <is>
          <t>No</t>
        </is>
      </c>
      <c r="AQ1892" t="inlineStr">
        <is>
          <t>No</t>
        </is>
      </c>
      <c r="AS1892">
        <f>HYPERLINK("https://creighton-primo.hosted.exlibrisgroup.com/primo-explore/search?tab=default_tab&amp;search_scope=EVERYTHING&amp;vid=01CRU&amp;lang=en_US&amp;offset=0&amp;query=any,contains,991003487969702656","Catalog Record")</f>
        <v/>
      </c>
      <c r="AT1892">
        <f>HYPERLINK("http://www.worldcat.org/oclc/41278413","WorldCat Record")</f>
        <v/>
      </c>
      <c r="AU1892" t="inlineStr">
        <is>
          <t>27125022:eng</t>
        </is>
      </c>
      <c r="AV1892" t="inlineStr">
        <is>
          <t>41278413</t>
        </is>
      </c>
      <c r="AW1892" t="inlineStr">
        <is>
          <t>991003487969702656</t>
        </is>
      </c>
      <c r="AX1892" t="inlineStr">
        <is>
          <t>991003487969702656</t>
        </is>
      </c>
      <c r="AY1892" t="inlineStr">
        <is>
          <t>2267826640002656</t>
        </is>
      </c>
      <c r="AZ1892" t="inlineStr">
        <is>
          <t>BOOK</t>
        </is>
      </c>
      <c r="BB1892" t="inlineStr">
        <is>
          <t>9780826411921</t>
        </is>
      </c>
      <c r="BC1892" t="inlineStr">
        <is>
          <t>32285004294582</t>
        </is>
      </c>
      <c r="BD1892" t="inlineStr">
        <is>
          <t>893234216</t>
        </is>
      </c>
    </row>
    <row r="1893">
      <c r="A1893" t="inlineStr">
        <is>
          <t>No</t>
        </is>
      </c>
      <c r="B1893" t="inlineStr">
        <is>
          <t>BX4337.Z9 S735 2005</t>
        </is>
      </c>
      <c r="C1893" t="inlineStr">
        <is>
          <t>0                      BX 4337000Z  9                  S  735         2005</t>
        </is>
      </c>
      <c r="D1893" t="inlineStr">
        <is>
          <t>Nails in the wall : Catholic nuns in Reformation Germany / Amy Leonard.</t>
        </is>
      </c>
      <c r="F1893" t="inlineStr">
        <is>
          <t>No</t>
        </is>
      </c>
      <c r="G1893" t="inlineStr">
        <is>
          <t>1</t>
        </is>
      </c>
      <c r="H1893" t="inlineStr">
        <is>
          <t>No</t>
        </is>
      </c>
      <c r="I1893" t="inlineStr">
        <is>
          <t>No</t>
        </is>
      </c>
      <c r="J1893" t="inlineStr">
        <is>
          <t>0</t>
        </is>
      </c>
      <c r="K1893" t="inlineStr">
        <is>
          <t>Leonard, Amy, 1966-</t>
        </is>
      </c>
      <c r="L1893" t="inlineStr">
        <is>
          <t>Chicago : University of Chicago Press, 2005.</t>
        </is>
      </c>
      <c r="M1893" t="inlineStr">
        <is>
          <t>2005</t>
        </is>
      </c>
      <c r="O1893" t="inlineStr">
        <is>
          <t>eng</t>
        </is>
      </c>
      <c r="P1893" t="inlineStr">
        <is>
          <t>ilu</t>
        </is>
      </c>
      <c r="Q1893" t="inlineStr">
        <is>
          <t>Women in culture and society</t>
        </is>
      </c>
      <c r="R1893" t="inlineStr">
        <is>
          <t xml:space="preserve">BX </t>
        </is>
      </c>
      <c r="S1893" t="n">
        <v>1</v>
      </c>
      <c r="T1893" t="n">
        <v>1</v>
      </c>
      <c r="U1893" t="inlineStr">
        <is>
          <t>2010-10-15</t>
        </is>
      </c>
      <c r="V1893" t="inlineStr">
        <is>
          <t>2010-10-15</t>
        </is>
      </c>
      <c r="W1893" t="inlineStr">
        <is>
          <t>2007-02-14</t>
        </is>
      </c>
      <c r="X1893" t="inlineStr">
        <is>
          <t>2007-02-14</t>
        </is>
      </c>
      <c r="Y1893" t="n">
        <v>295</v>
      </c>
      <c r="Z1893" t="n">
        <v>230</v>
      </c>
      <c r="AA1893" t="n">
        <v>230</v>
      </c>
      <c r="AB1893" t="n">
        <v>2</v>
      </c>
      <c r="AC1893" t="n">
        <v>2</v>
      </c>
      <c r="AD1893" t="n">
        <v>18</v>
      </c>
      <c r="AE1893" t="n">
        <v>18</v>
      </c>
      <c r="AF1893" t="n">
        <v>6</v>
      </c>
      <c r="AG1893" t="n">
        <v>6</v>
      </c>
      <c r="AH1893" t="n">
        <v>7</v>
      </c>
      <c r="AI1893" t="n">
        <v>7</v>
      </c>
      <c r="AJ1893" t="n">
        <v>11</v>
      </c>
      <c r="AK1893" t="n">
        <v>11</v>
      </c>
      <c r="AL1893" t="n">
        <v>1</v>
      </c>
      <c r="AM1893" t="n">
        <v>1</v>
      </c>
      <c r="AN1893" t="n">
        <v>0</v>
      </c>
      <c r="AO1893" t="n">
        <v>0</v>
      </c>
      <c r="AP1893" t="inlineStr">
        <is>
          <t>No</t>
        </is>
      </c>
      <c r="AQ1893" t="inlineStr">
        <is>
          <t>No</t>
        </is>
      </c>
      <c r="AS1893">
        <f>HYPERLINK("https://creighton-primo.hosted.exlibrisgroup.com/primo-explore/search?tab=default_tab&amp;search_scope=EVERYTHING&amp;vid=01CRU&amp;lang=en_US&amp;offset=0&amp;query=any,contains,991005021929702656","Catalog Record")</f>
        <v/>
      </c>
      <c r="AT1893">
        <f>HYPERLINK("http://www.worldcat.org/oclc/57640953","WorldCat Record")</f>
        <v/>
      </c>
      <c r="AU1893" t="inlineStr">
        <is>
          <t>863017142:eng</t>
        </is>
      </c>
      <c r="AV1893" t="inlineStr">
        <is>
          <t>57640953</t>
        </is>
      </c>
      <c r="AW1893" t="inlineStr">
        <is>
          <t>991005021929702656</t>
        </is>
      </c>
      <c r="AX1893" t="inlineStr">
        <is>
          <t>991005021929702656</t>
        </is>
      </c>
      <c r="AY1893" t="inlineStr">
        <is>
          <t>2256505530002656</t>
        </is>
      </c>
      <c r="AZ1893" t="inlineStr">
        <is>
          <t>BOOK</t>
        </is>
      </c>
      <c r="BB1893" t="inlineStr">
        <is>
          <t>9780226472577</t>
        </is>
      </c>
      <c r="BC1893" t="inlineStr">
        <is>
          <t>32285005276745</t>
        </is>
      </c>
      <c r="BD1893" t="inlineStr">
        <is>
          <t>893424442</t>
        </is>
      </c>
    </row>
    <row r="1894">
      <c r="A1894" t="inlineStr">
        <is>
          <t>No</t>
        </is>
      </c>
      <c r="B1894" t="inlineStr">
        <is>
          <t>BX4367.Z8 S4 1963</t>
        </is>
      </c>
      <c r="C1894" t="inlineStr">
        <is>
          <t>0                      BX 4367000Z  8                  S  4           1963</t>
        </is>
      </c>
      <c r="D1894" t="inlineStr">
        <is>
          <t>I am on fire : Blessed Mary of Providence / Marie C. Buehrle.</t>
        </is>
      </c>
      <c r="F1894" t="inlineStr">
        <is>
          <t>No</t>
        </is>
      </c>
      <c r="G1894" t="inlineStr">
        <is>
          <t>1</t>
        </is>
      </c>
      <c r="H1894" t="inlineStr">
        <is>
          <t>No</t>
        </is>
      </c>
      <c r="I1894" t="inlineStr">
        <is>
          <t>No</t>
        </is>
      </c>
      <c r="J1894" t="inlineStr">
        <is>
          <t>0</t>
        </is>
      </c>
      <c r="K1894" t="inlineStr">
        <is>
          <t>Buehrle, Marie Cecilia, 1887-</t>
        </is>
      </c>
      <c r="L1894" t="inlineStr">
        <is>
          <t>Milwaukee : Bruce, 1963.</t>
        </is>
      </c>
      <c r="M1894" t="inlineStr">
        <is>
          <t>1963</t>
        </is>
      </c>
      <c r="O1894" t="inlineStr">
        <is>
          <t>eng</t>
        </is>
      </c>
      <c r="P1894" t="inlineStr">
        <is>
          <t>wiu</t>
        </is>
      </c>
      <c r="R1894" t="inlineStr">
        <is>
          <t xml:space="preserve">BX </t>
        </is>
      </c>
      <c r="S1894" t="n">
        <v>2</v>
      </c>
      <c r="T1894" t="n">
        <v>2</v>
      </c>
      <c r="U1894" t="inlineStr">
        <is>
          <t>2007-06-11</t>
        </is>
      </c>
      <c r="V1894" t="inlineStr">
        <is>
          <t>2007-06-11</t>
        </is>
      </c>
      <c r="W1894" t="inlineStr">
        <is>
          <t>2007-06-11</t>
        </is>
      </c>
      <c r="X1894" t="inlineStr">
        <is>
          <t>2007-06-11</t>
        </is>
      </c>
      <c r="Y1894" t="n">
        <v>63</v>
      </c>
      <c r="Z1894" t="n">
        <v>61</v>
      </c>
      <c r="AA1894" t="n">
        <v>87</v>
      </c>
      <c r="AB1894" t="n">
        <v>1</v>
      </c>
      <c r="AC1894" t="n">
        <v>2</v>
      </c>
      <c r="AD1894" t="n">
        <v>12</v>
      </c>
      <c r="AE1894" t="n">
        <v>14</v>
      </c>
      <c r="AF1894" t="n">
        <v>4</v>
      </c>
      <c r="AG1894" t="n">
        <v>5</v>
      </c>
      <c r="AH1894" t="n">
        <v>2</v>
      </c>
      <c r="AI1894" t="n">
        <v>3</v>
      </c>
      <c r="AJ1894" t="n">
        <v>10</v>
      </c>
      <c r="AK1894" t="n">
        <v>10</v>
      </c>
      <c r="AL1894" t="n">
        <v>0</v>
      </c>
      <c r="AM1894" t="n">
        <v>1</v>
      </c>
      <c r="AN1894" t="n">
        <v>0</v>
      </c>
      <c r="AO1894" t="n">
        <v>0</v>
      </c>
      <c r="AP1894" t="inlineStr">
        <is>
          <t>Yes</t>
        </is>
      </c>
      <c r="AQ1894" t="inlineStr">
        <is>
          <t>No</t>
        </is>
      </c>
      <c r="AR1894">
        <f>HYPERLINK("http://catalog.hathitrust.org/Record/005922148","HathiTrust Record")</f>
        <v/>
      </c>
      <c r="AS1894">
        <f>HYPERLINK("https://creighton-primo.hosted.exlibrisgroup.com/primo-explore/search?tab=default_tab&amp;search_scope=EVERYTHING&amp;vid=01CRU&amp;lang=en_US&amp;offset=0&amp;query=any,contains,991005090239702656","Catalog Record")</f>
        <v/>
      </c>
      <c r="AT1894">
        <f>HYPERLINK("http://www.worldcat.org/oclc/1836456","WorldCat Record")</f>
        <v/>
      </c>
      <c r="AU1894" t="inlineStr">
        <is>
          <t>293246286:eng</t>
        </is>
      </c>
      <c r="AV1894" t="inlineStr">
        <is>
          <t>1836456</t>
        </is>
      </c>
      <c r="AW1894" t="inlineStr">
        <is>
          <t>991005090239702656</t>
        </is>
      </c>
      <c r="AX1894" t="inlineStr">
        <is>
          <t>991005090239702656</t>
        </is>
      </c>
      <c r="AY1894" t="inlineStr">
        <is>
          <t>2257509150002656</t>
        </is>
      </c>
      <c r="AZ1894" t="inlineStr">
        <is>
          <t>BOOK</t>
        </is>
      </c>
      <c r="BC1894" t="inlineStr">
        <is>
          <t>32285005316517</t>
        </is>
      </c>
      <c r="BD1894" t="inlineStr">
        <is>
          <t>893776808</t>
        </is>
      </c>
    </row>
    <row r="1895">
      <c r="A1895" t="inlineStr">
        <is>
          <t>No</t>
        </is>
      </c>
      <c r="B1895" t="inlineStr">
        <is>
          <t>BX4413.5 .K47 1999</t>
        </is>
      </c>
      <c r="C1895" t="inlineStr">
        <is>
          <t>0                      BX 4413500K  47          1999</t>
        </is>
      </c>
      <c r="D1895" t="inlineStr">
        <is>
          <t>Religious life for women, c.1100-c.1350 : Fontevraud in England / Berenice M. Kerr.</t>
        </is>
      </c>
      <c r="F1895" t="inlineStr">
        <is>
          <t>No</t>
        </is>
      </c>
      <c r="G1895" t="inlineStr">
        <is>
          <t>1</t>
        </is>
      </c>
      <c r="H1895" t="inlineStr">
        <is>
          <t>No</t>
        </is>
      </c>
      <c r="I1895" t="inlineStr">
        <is>
          <t>No</t>
        </is>
      </c>
      <c r="J1895" t="inlineStr">
        <is>
          <t>0</t>
        </is>
      </c>
      <c r="K1895" t="inlineStr">
        <is>
          <t>Kerr, Berenice M.</t>
        </is>
      </c>
      <c r="L1895" t="inlineStr">
        <is>
          <t>Oxford ; New York : Oxford University Press, 1999.</t>
        </is>
      </c>
      <c r="M1895" t="inlineStr">
        <is>
          <t>1999</t>
        </is>
      </c>
      <c r="O1895" t="inlineStr">
        <is>
          <t>eng</t>
        </is>
      </c>
      <c r="P1895" t="inlineStr">
        <is>
          <t>enk</t>
        </is>
      </c>
      <c r="Q1895" t="inlineStr">
        <is>
          <t>Oxford historical monographs</t>
        </is>
      </c>
      <c r="R1895" t="inlineStr">
        <is>
          <t xml:space="preserve">BX </t>
        </is>
      </c>
      <c r="S1895" t="n">
        <v>6</v>
      </c>
      <c r="T1895" t="n">
        <v>6</v>
      </c>
      <c r="U1895" t="inlineStr">
        <is>
          <t>2009-04-03</t>
        </is>
      </c>
      <c r="V1895" t="inlineStr">
        <is>
          <t>2009-04-03</t>
        </is>
      </c>
      <c r="W1895" t="inlineStr">
        <is>
          <t>2002-02-25</t>
        </is>
      </c>
      <c r="X1895" t="inlineStr">
        <is>
          <t>2002-02-25</t>
        </is>
      </c>
      <c r="Y1895" t="n">
        <v>252</v>
      </c>
      <c r="Z1895" t="n">
        <v>203</v>
      </c>
      <c r="AA1895" t="n">
        <v>254</v>
      </c>
      <c r="AB1895" t="n">
        <v>2</v>
      </c>
      <c r="AC1895" t="n">
        <v>2</v>
      </c>
      <c r="AD1895" t="n">
        <v>16</v>
      </c>
      <c r="AE1895" t="n">
        <v>18</v>
      </c>
      <c r="AF1895" t="n">
        <v>3</v>
      </c>
      <c r="AG1895" t="n">
        <v>3</v>
      </c>
      <c r="AH1895" t="n">
        <v>5</v>
      </c>
      <c r="AI1895" t="n">
        <v>7</v>
      </c>
      <c r="AJ1895" t="n">
        <v>11</v>
      </c>
      <c r="AK1895" t="n">
        <v>11</v>
      </c>
      <c r="AL1895" t="n">
        <v>1</v>
      </c>
      <c r="AM1895" t="n">
        <v>1</v>
      </c>
      <c r="AN1895" t="n">
        <v>0</v>
      </c>
      <c r="AO1895" t="n">
        <v>0</v>
      </c>
      <c r="AP1895" t="inlineStr">
        <is>
          <t>No</t>
        </is>
      </c>
      <c r="AQ1895" t="inlineStr">
        <is>
          <t>No</t>
        </is>
      </c>
      <c r="AS1895">
        <f>HYPERLINK("https://creighton-primo.hosted.exlibrisgroup.com/primo-explore/search?tab=default_tab&amp;search_scope=EVERYTHING&amp;vid=01CRU&amp;lang=en_US&amp;offset=0&amp;query=any,contains,991003736039702656","Catalog Record")</f>
        <v/>
      </c>
      <c r="AT1895">
        <f>HYPERLINK("http://www.worldcat.org/oclc/40489088","WorldCat Record")</f>
        <v/>
      </c>
      <c r="AU1895" t="inlineStr">
        <is>
          <t>806673489:eng</t>
        </is>
      </c>
      <c r="AV1895" t="inlineStr">
        <is>
          <t>40489088</t>
        </is>
      </c>
      <c r="AW1895" t="inlineStr">
        <is>
          <t>991003736039702656</t>
        </is>
      </c>
      <c r="AX1895" t="inlineStr">
        <is>
          <t>991003736039702656</t>
        </is>
      </c>
      <c r="AY1895" t="inlineStr">
        <is>
          <t>2264185280002656</t>
        </is>
      </c>
      <c r="AZ1895" t="inlineStr">
        <is>
          <t>BOOK</t>
        </is>
      </c>
      <c r="BB1895" t="inlineStr">
        <is>
          <t>9780198207528</t>
        </is>
      </c>
      <c r="BC1895" t="inlineStr">
        <is>
          <t>32285004456850</t>
        </is>
      </c>
      <c r="BD1895" t="inlineStr">
        <is>
          <t>893611376</t>
        </is>
      </c>
    </row>
    <row r="1896">
      <c r="A1896" t="inlineStr">
        <is>
          <t>No</t>
        </is>
      </c>
      <c r="B1896" t="inlineStr">
        <is>
          <t>BX4443.U6 D88 1928</t>
        </is>
      </c>
      <c r="C1896" t="inlineStr">
        <is>
          <t>0                      BX 4443000U  6                  D  88          1928</t>
        </is>
      </c>
      <c r="D1896" t="inlineStr">
        <is>
          <t>Mother Caroline and the School sisters of Notre Dame in North America / by a School sister of Notre Dame.</t>
        </is>
      </c>
      <c r="E1896" t="inlineStr">
        <is>
          <t>V.1</t>
        </is>
      </c>
      <c r="F1896" t="inlineStr">
        <is>
          <t>Yes</t>
        </is>
      </c>
      <c r="G1896" t="inlineStr">
        <is>
          <t>1</t>
        </is>
      </c>
      <c r="H1896" t="inlineStr">
        <is>
          <t>No</t>
        </is>
      </c>
      <c r="I1896" t="inlineStr">
        <is>
          <t>No</t>
        </is>
      </c>
      <c r="J1896" t="inlineStr">
        <is>
          <t>0</t>
        </is>
      </c>
      <c r="K1896" t="inlineStr">
        <is>
          <t>Dympna, Sister, 1855-</t>
        </is>
      </c>
      <c r="L1896" t="inlineStr">
        <is>
          <t>Saint Louis : Woodward &amp; Tiernan co., 1928.</t>
        </is>
      </c>
      <c r="M1896" t="inlineStr">
        <is>
          <t>1928</t>
        </is>
      </c>
      <c r="O1896" t="inlineStr">
        <is>
          <t>eng</t>
        </is>
      </c>
      <c r="P1896" t="inlineStr">
        <is>
          <t xml:space="preserve">xx </t>
        </is>
      </c>
      <c r="R1896" t="inlineStr">
        <is>
          <t xml:space="preserve">BX </t>
        </is>
      </c>
      <c r="S1896" t="n">
        <v>2</v>
      </c>
      <c r="T1896" t="n">
        <v>4</v>
      </c>
      <c r="U1896" t="inlineStr">
        <is>
          <t>1999-07-19</t>
        </is>
      </c>
      <c r="V1896" t="inlineStr">
        <is>
          <t>1999-07-19</t>
        </is>
      </c>
      <c r="W1896" t="inlineStr">
        <is>
          <t>1991-11-15</t>
        </is>
      </c>
      <c r="X1896" t="inlineStr">
        <is>
          <t>1991-11-15</t>
        </is>
      </c>
      <c r="Y1896" t="n">
        <v>121</v>
      </c>
      <c r="Z1896" t="n">
        <v>116</v>
      </c>
      <c r="AA1896" t="n">
        <v>127</v>
      </c>
      <c r="AB1896" t="n">
        <v>2</v>
      </c>
      <c r="AC1896" t="n">
        <v>2</v>
      </c>
      <c r="AD1896" t="n">
        <v>18</v>
      </c>
      <c r="AE1896" t="n">
        <v>18</v>
      </c>
      <c r="AF1896" t="n">
        <v>6</v>
      </c>
      <c r="AG1896" t="n">
        <v>6</v>
      </c>
      <c r="AH1896" t="n">
        <v>4</v>
      </c>
      <c r="AI1896" t="n">
        <v>4</v>
      </c>
      <c r="AJ1896" t="n">
        <v>14</v>
      </c>
      <c r="AK1896" t="n">
        <v>14</v>
      </c>
      <c r="AL1896" t="n">
        <v>0</v>
      </c>
      <c r="AM1896" t="n">
        <v>0</v>
      </c>
      <c r="AN1896" t="n">
        <v>0</v>
      </c>
      <c r="AO1896" t="n">
        <v>0</v>
      </c>
      <c r="AP1896" t="inlineStr">
        <is>
          <t>Yes</t>
        </is>
      </c>
      <c r="AQ1896" t="inlineStr">
        <is>
          <t>No</t>
        </is>
      </c>
      <c r="AR1896">
        <f>HYPERLINK("http://catalog.hathitrust.org/Record/001941051","HathiTrust Record")</f>
        <v/>
      </c>
      <c r="AS1896">
        <f>HYPERLINK("https://creighton-primo.hosted.exlibrisgroup.com/primo-explore/search?tab=default_tab&amp;search_scope=EVERYTHING&amp;vid=01CRU&amp;lang=en_US&amp;offset=0&amp;query=any,contains,991002998859702656","Catalog Record")</f>
        <v/>
      </c>
      <c r="AT1896">
        <f>HYPERLINK("http://www.worldcat.org/oclc/567133","WorldCat Record")</f>
        <v/>
      </c>
      <c r="AU1896" t="inlineStr">
        <is>
          <t>1656986:eng</t>
        </is>
      </c>
      <c r="AV1896" t="inlineStr">
        <is>
          <t>567133</t>
        </is>
      </c>
      <c r="AW1896" t="inlineStr">
        <is>
          <t>991002998859702656</t>
        </is>
      </c>
      <c r="AX1896" t="inlineStr">
        <is>
          <t>991002998859702656</t>
        </is>
      </c>
      <c r="AY1896" t="inlineStr">
        <is>
          <t>2258112020002656</t>
        </is>
      </c>
      <c r="AZ1896" t="inlineStr">
        <is>
          <t>BOOK</t>
        </is>
      </c>
      <c r="BC1896" t="inlineStr">
        <is>
          <t>32285000853670</t>
        </is>
      </c>
      <c r="BD1896" t="inlineStr">
        <is>
          <t>893710941</t>
        </is>
      </c>
    </row>
    <row r="1897">
      <c r="A1897" t="inlineStr">
        <is>
          <t>No</t>
        </is>
      </c>
      <c r="B1897" t="inlineStr">
        <is>
          <t>BX4443.U6 D88 1928</t>
        </is>
      </c>
      <c r="C1897" t="inlineStr">
        <is>
          <t>0                      BX 4443000U  6                  D  88          1928</t>
        </is>
      </c>
      <c r="D1897" t="inlineStr">
        <is>
          <t>Mother Caroline and the School sisters of Notre Dame in North America / by a School sister of Notre Dame.</t>
        </is>
      </c>
      <c r="E1897" t="inlineStr">
        <is>
          <t>V.2</t>
        </is>
      </c>
      <c r="F1897" t="inlineStr">
        <is>
          <t>Yes</t>
        </is>
      </c>
      <c r="G1897" t="inlineStr">
        <is>
          <t>1</t>
        </is>
      </c>
      <c r="H1897" t="inlineStr">
        <is>
          <t>No</t>
        </is>
      </c>
      <c r="I1897" t="inlineStr">
        <is>
          <t>No</t>
        </is>
      </c>
      <c r="J1897" t="inlineStr">
        <is>
          <t>0</t>
        </is>
      </c>
      <c r="K1897" t="inlineStr">
        <is>
          <t>Dympna, Sister, 1855-</t>
        </is>
      </c>
      <c r="L1897" t="inlineStr">
        <is>
          <t>Saint Louis : Woodward &amp; Tiernan co., 1928.</t>
        </is>
      </c>
      <c r="M1897" t="inlineStr">
        <is>
          <t>1928</t>
        </is>
      </c>
      <c r="O1897" t="inlineStr">
        <is>
          <t>eng</t>
        </is>
      </c>
      <c r="P1897" t="inlineStr">
        <is>
          <t xml:space="preserve">xx </t>
        </is>
      </c>
      <c r="R1897" t="inlineStr">
        <is>
          <t xml:space="preserve">BX </t>
        </is>
      </c>
      <c r="S1897" t="n">
        <v>2</v>
      </c>
      <c r="T1897" t="n">
        <v>4</v>
      </c>
      <c r="U1897" t="inlineStr">
        <is>
          <t>1999-07-19</t>
        </is>
      </c>
      <c r="V1897" t="inlineStr">
        <is>
          <t>1999-07-19</t>
        </is>
      </c>
      <c r="W1897" t="inlineStr">
        <is>
          <t>1991-11-15</t>
        </is>
      </c>
      <c r="X1897" t="inlineStr">
        <is>
          <t>1991-11-15</t>
        </is>
      </c>
      <c r="Y1897" t="n">
        <v>121</v>
      </c>
      <c r="Z1897" t="n">
        <v>116</v>
      </c>
      <c r="AA1897" t="n">
        <v>127</v>
      </c>
      <c r="AB1897" t="n">
        <v>2</v>
      </c>
      <c r="AC1897" t="n">
        <v>2</v>
      </c>
      <c r="AD1897" t="n">
        <v>18</v>
      </c>
      <c r="AE1897" t="n">
        <v>18</v>
      </c>
      <c r="AF1897" t="n">
        <v>6</v>
      </c>
      <c r="AG1897" t="n">
        <v>6</v>
      </c>
      <c r="AH1897" t="n">
        <v>4</v>
      </c>
      <c r="AI1897" t="n">
        <v>4</v>
      </c>
      <c r="AJ1897" t="n">
        <v>14</v>
      </c>
      <c r="AK1897" t="n">
        <v>14</v>
      </c>
      <c r="AL1897" t="n">
        <v>0</v>
      </c>
      <c r="AM1897" t="n">
        <v>0</v>
      </c>
      <c r="AN1897" t="n">
        <v>0</v>
      </c>
      <c r="AO1897" t="n">
        <v>0</v>
      </c>
      <c r="AP1897" t="inlineStr">
        <is>
          <t>Yes</t>
        </is>
      </c>
      <c r="AQ1897" t="inlineStr">
        <is>
          <t>No</t>
        </is>
      </c>
      <c r="AR1897">
        <f>HYPERLINK("http://catalog.hathitrust.org/Record/001941051","HathiTrust Record")</f>
        <v/>
      </c>
      <c r="AS1897">
        <f>HYPERLINK("https://creighton-primo.hosted.exlibrisgroup.com/primo-explore/search?tab=default_tab&amp;search_scope=EVERYTHING&amp;vid=01CRU&amp;lang=en_US&amp;offset=0&amp;query=any,contains,991002998859702656","Catalog Record")</f>
        <v/>
      </c>
      <c r="AT1897">
        <f>HYPERLINK("http://www.worldcat.org/oclc/567133","WorldCat Record")</f>
        <v/>
      </c>
      <c r="AU1897" t="inlineStr">
        <is>
          <t>1656986:eng</t>
        </is>
      </c>
      <c r="AV1897" t="inlineStr">
        <is>
          <t>567133</t>
        </is>
      </c>
      <c r="AW1897" t="inlineStr">
        <is>
          <t>991002998859702656</t>
        </is>
      </c>
      <c r="AX1897" t="inlineStr">
        <is>
          <t>991002998859702656</t>
        </is>
      </c>
      <c r="AY1897" t="inlineStr">
        <is>
          <t>2258112020002656</t>
        </is>
      </c>
      <c r="AZ1897" t="inlineStr">
        <is>
          <t>BOOK</t>
        </is>
      </c>
      <c r="BC1897" t="inlineStr">
        <is>
          <t>32285000853688</t>
        </is>
      </c>
      <c r="BD1897" t="inlineStr">
        <is>
          <t>893692273</t>
        </is>
      </c>
    </row>
    <row r="1898">
      <c r="A1898" t="inlineStr">
        <is>
          <t>No</t>
        </is>
      </c>
      <c r="B1898" t="inlineStr">
        <is>
          <t>BX4451 .A8 1879</t>
        </is>
      </c>
      <c r="C1898" t="inlineStr">
        <is>
          <t>0                      BX 4451000A  8           1879</t>
        </is>
      </c>
      <c r="D1898" t="inlineStr">
        <is>
          <t>Mary Aikenhead : her life, her work, and her friends, giving a history of the foundation of the Congregation of the Irish Sisters of Charity / by S. A.</t>
        </is>
      </c>
      <c r="F1898" t="inlineStr">
        <is>
          <t>No</t>
        </is>
      </c>
      <c r="G1898" t="inlineStr">
        <is>
          <t>1</t>
        </is>
      </c>
      <c r="H1898" t="inlineStr">
        <is>
          <t>No</t>
        </is>
      </c>
      <c r="I1898" t="inlineStr">
        <is>
          <t>No</t>
        </is>
      </c>
      <c r="J1898" t="inlineStr">
        <is>
          <t>0</t>
        </is>
      </c>
      <c r="K1898" t="inlineStr">
        <is>
          <t>Atkinson, Sarah, 1823-1893</t>
        </is>
      </c>
      <c r="L1898" t="inlineStr">
        <is>
          <t>Dublin : Gill, 1879.</t>
        </is>
      </c>
      <c r="M1898" t="inlineStr">
        <is>
          <t>1879</t>
        </is>
      </c>
      <c r="O1898" t="inlineStr">
        <is>
          <t>eng</t>
        </is>
      </c>
      <c r="P1898" t="inlineStr">
        <is>
          <t xml:space="preserve">xx </t>
        </is>
      </c>
      <c r="R1898" t="inlineStr">
        <is>
          <t xml:space="preserve">BX </t>
        </is>
      </c>
      <c r="S1898" t="n">
        <v>1</v>
      </c>
      <c r="T1898" t="n">
        <v>1</v>
      </c>
      <c r="U1898" t="inlineStr">
        <is>
          <t>2009-05-26</t>
        </is>
      </c>
      <c r="V1898" t="inlineStr">
        <is>
          <t>2009-05-26</t>
        </is>
      </c>
      <c r="W1898" t="inlineStr">
        <is>
          <t>1991-11-15</t>
        </is>
      </c>
      <c r="X1898" t="inlineStr">
        <is>
          <t>1991-11-15</t>
        </is>
      </c>
      <c r="Y1898" t="n">
        <v>30</v>
      </c>
      <c r="Z1898" t="n">
        <v>16</v>
      </c>
      <c r="AA1898" t="n">
        <v>43</v>
      </c>
      <c r="AB1898" t="n">
        <v>1</v>
      </c>
      <c r="AC1898" t="n">
        <v>2</v>
      </c>
      <c r="AD1898" t="n">
        <v>2</v>
      </c>
      <c r="AE1898" t="n">
        <v>6</v>
      </c>
      <c r="AF1898" t="n">
        <v>0</v>
      </c>
      <c r="AG1898" t="n">
        <v>0</v>
      </c>
      <c r="AH1898" t="n">
        <v>0</v>
      </c>
      <c r="AI1898" t="n">
        <v>1</v>
      </c>
      <c r="AJ1898" t="n">
        <v>2</v>
      </c>
      <c r="AK1898" t="n">
        <v>4</v>
      </c>
      <c r="AL1898" t="n">
        <v>0</v>
      </c>
      <c r="AM1898" t="n">
        <v>1</v>
      </c>
      <c r="AN1898" t="n">
        <v>0</v>
      </c>
      <c r="AO1898" t="n">
        <v>0</v>
      </c>
      <c r="AP1898" t="inlineStr">
        <is>
          <t>Yes</t>
        </is>
      </c>
      <c r="AQ1898" t="inlineStr">
        <is>
          <t>No</t>
        </is>
      </c>
      <c r="AR1898">
        <f>HYPERLINK("http://catalog.hathitrust.org/Record/102568969","HathiTrust Record")</f>
        <v/>
      </c>
      <c r="AS1898">
        <f>HYPERLINK("https://creighton-primo.hosted.exlibrisgroup.com/primo-explore/search?tab=default_tab&amp;search_scope=EVERYTHING&amp;vid=01CRU&amp;lang=en_US&amp;offset=0&amp;query=any,contains,991004423299702656","Catalog Record")</f>
        <v/>
      </c>
      <c r="AT1898">
        <f>HYPERLINK("http://www.worldcat.org/oclc/3391478","WorldCat Record")</f>
        <v/>
      </c>
      <c r="AU1898" t="inlineStr">
        <is>
          <t>373429684:eng</t>
        </is>
      </c>
      <c r="AV1898" t="inlineStr">
        <is>
          <t>3391478</t>
        </is>
      </c>
      <c r="AW1898" t="inlineStr">
        <is>
          <t>991004423299702656</t>
        </is>
      </c>
      <c r="AX1898" t="inlineStr">
        <is>
          <t>991004423299702656</t>
        </is>
      </c>
      <c r="AY1898" t="inlineStr">
        <is>
          <t>2264855580002656</t>
        </is>
      </c>
      <c r="AZ1898" t="inlineStr">
        <is>
          <t>BOOK</t>
        </is>
      </c>
      <c r="BC1898" t="inlineStr">
        <is>
          <t>32285000853696</t>
        </is>
      </c>
      <c r="BD1898" t="inlineStr">
        <is>
          <t>893423777</t>
        </is>
      </c>
    </row>
    <row r="1899">
      <c r="A1899" t="inlineStr">
        <is>
          <t>No</t>
        </is>
      </c>
      <c r="B1899" t="inlineStr">
        <is>
          <t>BX4470 .C5 M3 V2</t>
        </is>
      </c>
      <c r="C1899" t="inlineStr">
        <is>
          <t>0                      BX 4470000C  5                  M  3                  V  2</t>
        </is>
      </c>
      <c r="D1899" t="inlineStr">
        <is>
          <t>The history of Mother Seton's daughters : the Sisters of Charity of Cincinnati, Ohio.</t>
        </is>
      </c>
      <c r="F1899" t="inlineStr">
        <is>
          <t>Yes</t>
        </is>
      </c>
      <c r="G1899" t="inlineStr">
        <is>
          <t>1</t>
        </is>
      </c>
      <c r="H1899" t="inlineStr">
        <is>
          <t>Yes</t>
        </is>
      </c>
      <c r="I1899" t="inlineStr">
        <is>
          <t>No</t>
        </is>
      </c>
      <c r="J1899" t="inlineStr">
        <is>
          <t>0</t>
        </is>
      </c>
      <c r="K1899" t="inlineStr">
        <is>
          <t>McCann, Mary Agnes, 1851-</t>
        </is>
      </c>
      <c r="L1899" t="inlineStr">
        <is>
          <t>New York : Longmans, Green, 1917-23.</t>
        </is>
      </c>
      <c r="M1899" t="inlineStr">
        <is>
          <t>1917</t>
        </is>
      </c>
      <c r="O1899" t="inlineStr">
        <is>
          <t>eng</t>
        </is>
      </c>
      <c r="P1899" t="inlineStr">
        <is>
          <t>nyu</t>
        </is>
      </c>
      <c r="R1899" t="inlineStr">
        <is>
          <t xml:space="preserve">BX </t>
        </is>
      </c>
      <c r="S1899" t="n">
        <v>4</v>
      </c>
      <c r="T1899" t="n">
        <v>18</v>
      </c>
      <c r="V1899" t="inlineStr">
        <is>
          <t>1997-03-23</t>
        </is>
      </c>
      <c r="W1899" t="inlineStr">
        <is>
          <t>1991-08-08</t>
        </is>
      </c>
      <c r="X1899" t="inlineStr">
        <is>
          <t>1991-08-08</t>
        </is>
      </c>
      <c r="Y1899" t="n">
        <v>111</v>
      </c>
      <c r="Z1899" t="n">
        <v>106</v>
      </c>
      <c r="AA1899" t="n">
        <v>127</v>
      </c>
      <c r="AB1899" t="n">
        <v>1</v>
      </c>
      <c r="AC1899" t="n">
        <v>1</v>
      </c>
      <c r="AD1899" t="n">
        <v>18</v>
      </c>
      <c r="AE1899" t="n">
        <v>19</v>
      </c>
      <c r="AF1899" t="n">
        <v>3</v>
      </c>
      <c r="AG1899" t="n">
        <v>4</v>
      </c>
      <c r="AH1899" t="n">
        <v>7</v>
      </c>
      <c r="AI1899" t="n">
        <v>7</v>
      </c>
      <c r="AJ1899" t="n">
        <v>14</v>
      </c>
      <c r="AK1899" t="n">
        <v>14</v>
      </c>
      <c r="AL1899" t="n">
        <v>0</v>
      </c>
      <c r="AM1899" t="n">
        <v>0</v>
      </c>
      <c r="AN1899" t="n">
        <v>0</v>
      </c>
      <c r="AO1899" t="n">
        <v>0</v>
      </c>
      <c r="AP1899" t="inlineStr">
        <is>
          <t>Yes</t>
        </is>
      </c>
      <c r="AQ1899" t="inlineStr">
        <is>
          <t>No</t>
        </is>
      </c>
      <c r="AR1899">
        <f>HYPERLINK("http://catalog.hathitrust.org/Record/001591374","HathiTrust Record")</f>
        <v/>
      </c>
      <c r="AS1899">
        <f>HYPERLINK("https://creighton-primo.hosted.exlibrisgroup.com/primo-explore/search?tab=default_tab&amp;search_scope=EVERYTHING&amp;vid=01CRU&amp;lang=en_US&amp;offset=0&amp;query=any,contains,991004810529702656","Catalog Record")</f>
        <v/>
      </c>
      <c r="AT1899">
        <f>HYPERLINK("http://www.worldcat.org/oclc/5272340","WorldCat Record")</f>
        <v/>
      </c>
      <c r="AU1899" t="inlineStr">
        <is>
          <t>16511389:eng</t>
        </is>
      </c>
      <c r="AV1899" t="inlineStr">
        <is>
          <t>5272340</t>
        </is>
      </c>
      <c r="AW1899" t="inlineStr">
        <is>
          <t>991004810529702656</t>
        </is>
      </c>
      <c r="AX1899" t="inlineStr">
        <is>
          <t>991004810529702656</t>
        </is>
      </c>
      <c r="AY1899" t="inlineStr">
        <is>
          <t>2270968040002656</t>
        </is>
      </c>
      <c r="AZ1899" t="inlineStr">
        <is>
          <t>BOOK</t>
        </is>
      </c>
      <c r="BC1899" t="inlineStr">
        <is>
          <t>32285000681873</t>
        </is>
      </c>
      <c r="BD1899" t="inlineStr">
        <is>
          <t>893411980</t>
        </is>
      </c>
    </row>
    <row r="1900">
      <c r="A1900" t="inlineStr">
        <is>
          <t>No</t>
        </is>
      </c>
      <c r="B1900" t="inlineStr">
        <is>
          <t>BX4470 .C5 M3 V3</t>
        </is>
      </c>
      <c r="C1900" t="inlineStr">
        <is>
          <t>0                      BX 4470000C  5                  M  3                  V  3</t>
        </is>
      </c>
      <c r="D1900" t="inlineStr">
        <is>
          <t>The history of Mother Seton's daughters : the Sisters of Charity of Cincinnati, Ohio.</t>
        </is>
      </c>
      <c r="F1900" t="inlineStr">
        <is>
          <t>Yes</t>
        </is>
      </c>
      <c r="G1900" t="inlineStr">
        <is>
          <t>1</t>
        </is>
      </c>
      <c r="H1900" t="inlineStr">
        <is>
          <t>Yes</t>
        </is>
      </c>
      <c r="I1900" t="inlineStr">
        <is>
          <t>No</t>
        </is>
      </c>
      <c r="J1900" t="inlineStr">
        <is>
          <t>0</t>
        </is>
      </c>
      <c r="K1900" t="inlineStr">
        <is>
          <t>McCann, Mary Agnes, 1851-</t>
        </is>
      </c>
      <c r="L1900" t="inlineStr">
        <is>
          <t>New York : Longmans, Green, 1917-23.</t>
        </is>
      </c>
      <c r="M1900" t="inlineStr">
        <is>
          <t>1917</t>
        </is>
      </c>
      <c r="O1900" t="inlineStr">
        <is>
          <t>eng</t>
        </is>
      </c>
      <c r="P1900" t="inlineStr">
        <is>
          <t>nyu</t>
        </is>
      </c>
      <c r="R1900" t="inlineStr">
        <is>
          <t xml:space="preserve">BX </t>
        </is>
      </c>
      <c r="S1900" t="n">
        <v>6</v>
      </c>
      <c r="T1900" t="n">
        <v>18</v>
      </c>
      <c r="U1900" t="inlineStr">
        <is>
          <t>1995-03-30</t>
        </is>
      </c>
      <c r="V1900" t="inlineStr">
        <is>
          <t>1997-03-23</t>
        </is>
      </c>
      <c r="W1900" t="inlineStr">
        <is>
          <t>1991-08-08</t>
        </is>
      </c>
      <c r="X1900" t="inlineStr">
        <is>
          <t>1991-08-08</t>
        </is>
      </c>
      <c r="Y1900" t="n">
        <v>111</v>
      </c>
      <c r="Z1900" t="n">
        <v>106</v>
      </c>
      <c r="AA1900" t="n">
        <v>127</v>
      </c>
      <c r="AB1900" t="n">
        <v>1</v>
      </c>
      <c r="AC1900" t="n">
        <v>1</v>
      </c>
      <c r="AD1900" t="n">
        <v>18</v>
      </c>
      <c r="AE1900" t="n">
        <v>19</v>
      </c>
      <c r="AF1900" t="n">
        <v>3</v>
      </c>
      <c r="AG1900" t="n">
        <v>4</v>
      </c>
      <c r="AH1900" t="n">
        <v>7</v>
      </c>
      <c r="AI1900" t="n">
        <v>7</v>
      </c>
      <c r="AJ1900" t="n">
        <v>14</v>
      </c>
      <c r="AK1900" t="n">
        <v>14</v>
      </c>
      <c r="AL1900" t="n">
        <v>0</v>
      </c>
      <c r="AM1900" t="n">
        <v>0</v>
      </c>
      <c r="AN1900" t="n">
        <v>0</v>
      </c>
      <c r="AO1900" t="n">
        <v>0</v>
      </c>
      <c r="AP1900" t="inlineStr">
        <is>
          <t>Yes</t>
        </is>
      </c>
      <c r="AQ1900" t="inlineStr">
        <is>
          <t>No</t>
        </is>
      </c>
      <c r="AR1900">
        <f>HYPERLINK("http://catalog.hathitrust.org/Record/001591374","HathiTrust Record")</f>
        <v/>
      </c>
      <c r="AS1900">
        <f>HYPERLINK("https://creighton-primo.hosted.exlibrisgroup.com/primo-explore/search?tab=default_tab&amp;search_scope=EVERYTHING&amp;vid=01CRU&amp;lang=en_US&amp;offset=0&amp;query=any,contains,991004810529702656","Catalog Record")</f>
        <v/>
      </c>
      <c r="AT1900">
        <f>HYPERLINK("http://www.worldcat.org/oclc/5272340","WorldCat Record")</f>
        <v/>
      </c>
      <c r="AU1900" t="inlineStr">
        <is>
          <t>16511389:eng</t>
        </is>
      </c>
      <c r="AV1900" t="inlineStr">
        <is>
          <t>5272340</t>
        </is>
      </c>
      <c r="AW1900" t="inlineStr">
        <is>
          <t>991004810529702656</t>
        </is>
      </c>
      <c r="AX1900" t="inlineStr">
        <is>
          <t>991004810529702656</t>
        </is>
      </c>
      <c r="AY1900" t="inlineStr">
        <is>
          <t>2270968040002656</t>
        </is>
      </c>
      <c r="AZ1900" t="inlineStr">
        <is>
          <t>BOOK</t>
        </is>
      </c>
      <c r="BC1900" t="inlineStr">
        <is>
          <t>32285000681881</t>
        </is>
      </c>
      <c r="BD1900" t="inlineStr">
        <is>
          <t>893424215</t>
        </is>
      </c>
    </row>
    <row r="1901">
      <c r="A1901" t="inlineStr">
        <is>
          <t>No</t>
        </is>
      </c>
      <c r="B1901" t="inlineStr">
        <is>
          <t>BX4470.C5 M3</t>
        </is>
      </c>
      <c r="C1901" t="inlineStr">
        <is>
          <t>0                      BX 4470000C  5                  M  3</t>
        </is>
      </c>
      <c r="D1901" t="inlineStr">
        <is>
          <t>The history of Mother Seton's daughters : the Sisters of Charity of Cincinnati, Ohio.</t>
        </is>
      </c>
      <c r="F1901" t="inlineStr">
        <is>
          <t>Yes</t>
        </is>
      </c>
      <c r="G1901" t="inlineStr">
        <is>
          <t>1</t>
        </is>
      </c>
      <c r="H1901" t="inlineStr">
        <is>
          <t>Yes</t>
        </is>
      </c>
      <c r="I1901" t="inlineStr">
        <is>
          <t>No</t>
        </is>
      </c>
      <c r="J1901" t="inlineStr">
        <is>
          <t>0</t>
        </is>
      </c>
      <c r="K1901" t="inlineStr">
        <is>
          <t>McCann, Mary Agnes, 1851-</t>
        </is>
      </c>
      <c r="L1901" t="inlineStr">
        <is>
          <t>New York : Longmans, Green, 1917-23.</t>
        </is>
      </c>
      <c r="M1901" t="inlineStr">
        <is>
          <t>1917</t>
        </is>
      </c>
      <c r="O1901" t="inlineStr">
        <is>
          <t>eng</t>
        </is>
      </c>
      <c r="P1901" t="inlineStr">
        <is>
          <t>nyu</t>
        </is>
      </c>
      <c r="R1901" t="inlineStr">
        <is>
          <t xml:space="preserve">BX </t>
        </is>
      </c>
      <c r="S1901" t="n">
        <v>8</v>
      </c>
      <c r="T1901" t="n">
        <v>18</v>
      </c>
      <c r="U1901" t="inlineStr">
        <is>
          <t>1997-03-23</t>
        </is>
      </c>
      <c r="V1901" t="inlineStr">
        <is>
          <t>1997-03-23</t>
        </is>
      </c>
      <c r="W1901" t="inlineStr">
        <is>
          <t>1991-08-08</t>
        </is>
      </c>
      <c r="X1901" t="inlineStr">
        <is>
          <t>1991-08-08</t>
        </is>
      </c>
      <c r="Y1901" t="n">
        <v>111</v>
      </c>
      <c r="Z1901" t="n">
        <v>106</v>
      </c>
      <c r="AA1901" t="n">
        <v>127</v>
      </c>
      <c r="AB1901" t="n">
        <v>1</v>
      </c>
      <c r="AC1901" t="n">
        <v>1</v>
      </c>
      <c r="AD1901" t="n">
        <v>18</v>
      </c>
      <c r="AE1901" t="n">
        <v>19</v>
      </c>
      <c r="AF1901" t="n">
        <v>3</v>
      </c>
      <c r="AG1901" t="n">
        <v>4</v>
      </c>
      <c r="AH1901" t="n">
        <v>7</v>
      </c>
      <c r="AI1901" t="n">
        <v>7</v>
      </c>
      <c r="AJ1901" t="n">
        <v>14</v>
      </c>
      <c r="AK1901" t="n">
        <v>14</v>
      </c>
      <c r="AL1901" t="n">
        <v>0</v>
      </c>
      <c r="AM1901" t="n">
        <v>0</v>
      </c>
      <c r="AN1901" t="n">
        <v>0</v>
      </c>
      <c r="AO1901" t="n">
        <v>0</v>
      </c>
      <c r="AP1901" t="inlineStr">
        <is>
          <t>Yes</t>
        </is>
      </c>
      <c r="AQ1901" t="inlineStr">
        <is>
          <t>No</t>
        </is>
      </c>
      <c r="AR1901">
        <f>HYPERLINK("http://catalog.hathitrust.org/Record/001591374","HathiTrust Record")</f>
        <v/>
      </c>
      <c r="AS1901">
        <f>HYPERLINK("https://creighton-primo.hosted.exlibrisgroup.com/primo-explore/search?tab=default_tab&amp;search_scope=EVERYTHING&amp;vid=01CRU&amp;lang=en_US&amp;offset=0&amp;query=any,contains,991004810529702656","Catalog Record")</f>
        <v/>
      </c>
      <c r="AT1901">
        <f>HYPERLINK("http://www.worldcat.org/oclc/5272340","WorldCat Record")</f>
        <v/>
      </c>
      <c r="AU1901" t="inlineStr">
        <is>
          <t>16511389:eng</t>
        </is>
      </c>
      <c r="AV1901" t="inlineStr">
        <is>
          <t>5272340</t>
        </is>
      </c>
      <c r="AW1901" t="inlineStr">
        <is>
          <t>991004810529702656</t>
        </is>
      </c>
      <c r="AX1901" t="inlineStr">
        <is>
          <t>991004810529702656</t>
        </is>
      </c>
      <c r="AY1901" t="inlineStr">
        <is>
          <t>2270968040002656</t>
        </is>
      </c>
      <c r="AZ1901" t="inlineStr">
        <is>
          <t>BOOK</t>
        </is>
      </c>
      <c r="BC1901" t="inlineStr">
        <is>
          <t>32285000681865</t>
        </is>
      </c>
      <c r="BD1901" t="inlineStr">
        <is>
          <t>893424216</t>
        </is>
      </c>
    </row>
    <row r="1902">
      <c r="A1902" t="inlineStr">
        <is>
          <t>No</t>
        </is>
      </c>
      <c r="B1902" t="inlineStr">
        <is>
          <t>BX4470.M5 J6 1946</t>
        </is>
      </c>
      <c r="C1902" t="inlineStr">
        <is>
          <t>0                      BX 4470000M  5                  J  6           1946</t>
        </is>
      </c>
      <c r="D1902" t="inlineStr">
        <is>
          <t>Daughters of Charity in Milwaukee, 1846-1946 / by the Rev. Peter Leo Johnson ; foreword by the Most Reverend Moses E. Kiley.</t>
        </is>
      </c>
      <c r="F1902" t="inlineStr">
        <is>
          <t>No</t>
        </is>
      </c>
      <c r="G1902" t="inlineStr">
        <is>
          <t>1</t>
        </is>
      </c>
      <c r="H1902" t="inlineStr">
        <is>
          <t>No</t>
        </is>
      </c>
      <c r="I1902" t="inlineStr">
        <is>
          <t>No</t>
        </is>
      </c>
      <c r="J1902" t="inlineStr">
        <is>
          <t>0</t>
        </is>
      </c>
      <c r="K1902" t="inlineStr">
        <is>
          <t>Johnson, Peter Leo.</t>
        </is>
      </c>
      <c r="L1902" t="inlineStr">
        <is>
          <t>Milwaukee, Wis. : The Daughters of Charity, 1946.</t>
        </is>
      </c>
      <c r="M1902" t="inlineStr">
        <is>
          <t>1946</t>
        </is>
      </c>
      <c r="O1902" t="inlineStr">
        <is>
          <t>eng</t>
        </is>
      </c>
      <c r="P1902" t="inlineStr">
        <is>
          <t xml:space="preserve">xx </t>
        </is>
      </c>
      <c r="R1902" t="inlineStr">
        <is>
          <t xml:space="preserve">BX </t>
        </is>
      </c>
      <c r="S1902" t="n">
        <v>5</v>
      </c>
      <c r="T1902" t="n">
        <v>5</v>
      </c>
      <c r="U1902" t="inlineStr">
        <is>
          <t>2007-04-15</t>
        </is>
      </c>
      <c r="V1902" t="inlineStr">
        <is>
          <t>2007-04-15</t>
        </is>
      </c>
      <c r="W1902" t="inlineStr">
        <is>
          <t>1990-10-01</t>
        </is>
      </c>
      <c r="X1902" t="inlineStr">
        <is>
          <t>1990-10-01</t>
        </is>
      </c>
      <c r="Y1902" t="n">
        <v>57</v>
      </c>
      <c r="Z1902" t="n">
        <v>55</v>
      </c>
      <c r="AA1902" t="n">
        <v>61</v>
      </c>
      <c r="AB1902" t="n">
        <v>1</v>
      </c>
      <c r="AC1902" t="n">
        <v>1</v>
      </c>
      <c r="AD1902" t="n">
        <v>7</v>
      </c>
      <c r="AE1902" t="n">
        <v>7</v>
      </c>
      <c r="AF1902" t="n">
        <v>0</v>
      </c>
      <c r="AG1902" t="n">
        <v>0</v>
      </c>
      <c r="AH1902" t="n">
        <v>3</v>
      </c>
      <c r="AI1902" t="n">
        <v>3</v>
      </c>
      <c r="AJ1902" t="n">
        <v>5</v>
      </c>
      <c r="AK1902" t="n">
        <v>5</v>
      </c>
      <c r="AL1902" t="n">
        <v>0</v>
      </c>
      <c r="AM1902" t="n">
        <v>0</v>
      </c>
      <c r="AN1902" t="n">
        <v>0</v>
      </c>
      <c r="AO1902" t="n">
        <v>0</v>
      </c>
      <c r="AP1902" t="inlineStr">
        <is>
          <t>Yes</t>
        </is>
      </c>
      <c r="AQ1902" t="inlineStr">
        <is>
          <t>No</t>
        </is>
      </c>
      <c r="AR1902">
        <f>HYPERLINK("http://catalog.hathitrust.org/Record/005922142","HathiTrust Record")</f>
        <v/>
      </c>
      <c r="AS1902">
        <f>HYPERLINK("https://creighton-primo.hosted.exlibrisgroup.com/primo-explore/search?tab=default_tab&amp;search_scope=EVERYTHING&amp;vid=01CRU&amp;lang=en_US&amp;offset=0&amp;query=any,contains,991003605959702656","Catalog Record")</f>
        <v/>
      </c>
      <c r="AT1902">
        <f>HYPERLINK("http://www.worldcat.org/oclc/1185770","WorldCat Record")</f>
        <v/>
      </c>
      <c r="AU1902" t="inlineStr">
        <is>
          <t>2138945:eng</t>
        </is>
      </c>
      <c r="AV1902" t="inlineStr">
        <is>
          <t>1185770</t>
        </is>
      </c>
      <c r="AW1902" t="inlineStr">
        <is>
          <t>991003605959702656</t>
        </is>
      </c>
      <c r="AX1902" t="inlineStr">
        <is>
          <t>991003605959702656</t>
        </is>
      </c>
      <c r="AY1902" t="inlineStr">
        <is>
          <t>2268731140002656</t>
        </is>
      </c>
      <c r="AZ1902" t="inlineStr">
        <is>
          <t>BOOK</t>
        </is>
      </c>
      <c r="BC1902" t="inlineStr">
        <is>
          <t>32285000278571</t>
        </is>
      </c>
      <c r="BD1902" t="inlineStr">
        <is>
          <t>893410454</t>
        </is>
      </c>
    </row>
    <row r="1903">
      <c r="A1903" t="inlineStr">
        <is>
          <t>No</t>
        </is>
      </c>
      <c r="B1903" t="inlineStr">
        <is>
          <t>BX4485.3.Z8 B54 1957</t>
        </is>
      </c>
      <c r="C1903" t="inlineStr">
        <is>
          <t>0                      BX 4485300Z  8                  B  54          1957</t>
        </is>
      </c>
      <c r="D1903" t="inlineStr">
        <is>
          <t>As gold in the furnace : the life of Blessed Julie Billiart, foundress of the Sisters of Notre Dame de Namur.</t>
        </is>
      </c>
      <c r="F1903" t="inlineStr">
        <is>
          <t>No</t>
        </is>
      </c>
      <c r="G1903" t="inlineStr">
        <is>
          <t>1</t>
        </is>
      </c>
      <c r="H1903" t="inlineStr">
        <is>
          <t>No</t>
        </is>
      </c>
      <c r="I1903" t="inlineStr">
        <is>
          <t>No</t>
        </is>
      </c>
      <c r="J1903" t="inlineStr">
        <is>
          <t>0</t>
        </is>
      </c>
      <c r="K1903" t="inlineStr">
        <is>
          <t>McManama, Mary Fidelis, 1886-</t>
        </is>
      </c>
      <c r="L1903" t="inlineStr">
        <is>
          <t>Milwaukee : Bruce Pub. Co., [1957]</t>
        </is>
      </c>
      <c r="M1903" t="inlineStr">
        <is>
          <t>1957</t>
        </is>
      </c>
      <c r="O1903" t="inlineStr">
        <is>
          <t>eng</t>
        </is>
      </c>
      <c r="P1903" t="inlineStr">
        <is>
          <t>wiu</t>
        </is>
      </c>
      <c r="R1903" t="inlineStr">
        <is>
          <t xml:space="preserve">BX </t>
        </is>
      </c>
      <c r="S1903" t="n">
        <v>1</v>
      </c>
      <c r="T1903" t="n">
        <v>1</v>
      </c>
      <c r="U1903" t="inlineStr">
        <is>
          <t>1993-04-15</t>
        </is>
      </c>
      <c r="V1903" t="inlineStr">
        <is>
          <t>1993-04-15</t>
        </is>
      </c>
      <c r="W1903" t="inlineStr">
        <is>
          <t>1991-11-15</t>
        </is>
      </c>
      <c r="X1903" t="inlineStr">
        <is>
          <t>1991-11-15</t>
        </is>
      </c>
      <c r="Y1903" t="n">
        <v>61</v>
      </c>
      <c r="Z1903" t="n">
        <v>60</v>
      </c>
      <c r="AA1903" t="n">
        <v>61</v>
      </c>
      <c r="AB1903" t="n">
        <v>1</v>
      </c>
      <c r="AC1903" t="n">
        <v>1</v>
      </c>
      <c r="AD1903" t="n">
        <v>11</v>
      </c>
      <c r="AE1903" t="n">
        <v>11</v>
      </c>
      <c r="AF1903" t="n">
        <v>2</v>
      </c>
      <c r="AG1903" t="n">
        <v>2</v>
      </c>
      <c r="AH1903" t="n">
        <v>1</v>
      </c>
      <c r="AI1903" t="n">
        <v>1</v>
      </c>
      <c r="AJ1903" t="n">
        <v>10</v>
      </c>
      <c r="AK1903" t="n">
        <v>10</v>
      </c>
      <c r="AL1903" t="n">
        <v>0</v>
      </c>
      <c r="AM1903" t="n">
        <v>0</v>
      </c>
      <c r="AN1903" t="n">
        <v>0</v>
      </c>
      <c r="AO1903" t="n">
        <v>0</v>
      </c>
      <c r="AP1903" t="inlineStr">
        <is>
          <t>No</t>
        </is>
      </c>
      <c r="AQ1903" t="inlineStr">
        <is>
          <t>No</t>
        </is>
      </c>
      <c r="AS1903">
        <f>HYPERLINK("https://creighton-primo.hosted.exlibrisgroup.com/primo-explore/search?tab=default_tab&amp;search_scope=EVERYTHING&amp;vid=01CRU&amp;lang=en_US&amp;offset=0&amp;query=any,contains,991004506919702656","Catalog Record")</f>
        <v/>
      </c>
      <c r="AT1903">
        <f>HYPERLINK("http://www.worldcat.org/oclc/3741410","WorldCat Record")</f>
        <v/>
      </c>
      <c r="AU1903" t="inlineStr">
        <is>
          <t>12717631:eng</t>
        </is>
      </c>
      <c r="AV1903" t="inlineStr">
        <is>
          <t>3741410</t>
        </is>
      </c>
      <c r="AW1903" t="inlineStr">
        <is>
          <t>991004506919702656</t>
        </is>
      </c>
      <c r="AX1903" t="inlineStr">
        <is>
          <t>991004506919702656</t>
        </is>
      </c>
      <c r="AY1903" t="inlineStr">
        <is>
          <t>2272133470002656</t>
        </is>
      </c>
      <c r="AZ1903" t="inlineStr">
        <is>
          <t>BOOK</t>
        </is>
      </c>
      <c r="BC1903" t="inlineStr">
        <is>
          <t>32285000853845</t>
        </is>
      </c>
      <c r="BD1903" t="inlineStr">
        <is>
          <t>893259795</t>
        </is>
      </c>
    </row>
    <row r="1904">
      <c r="A1904" t="inlineStr">
        <is>
          <t>No</t>
        </is>
      </c>
      <c r="B1904" t="inlineStr">
        <is>
          <t>BX4485.S6 O72 1918</t>
        </is>
      </c>
      <c r="C1904" t="inlineStr">
        <is>
          <t>0                      BX 4485000S  6                  O  72          1918</t>
        </is>
      </c>
      <c r="D1904" t="inlineStr">
        <is>
          <t>The origin of the Order of Our Lady of Charity ; or, its history from its foundation until the Revolution.</t>
        </is>
      </c>
      <c r="F1904" t="inlineStr">
        <is>
          <t>No</t>
        </is>
      </c>
      <c r="G1904" t="inlineStr">
        <is>
          <t>1</t>
        </is>
      </c>
      <c r="H1904" t="inlineStr">
        <is>
          <t>No</t>
        </is>
      </c>
      <c r="I1904" t="inlineStr">
        <is>
          <t>No</t>
        </is>
      </c>
      <c r="J1904" t="inlineStr">
        <is>
          <t>0</t>
        </is>
      </c>
      <c r="K1904" t="inlineStr">
        <is>
          <t>Ory, Joseph Mary, Rev.</t>
        </is>
      </c>
      <c r="L1904" t="inlineStr">
        <is>
          <t>Buffalo, N.Y. : Couteulx Leader Pr., 1918.</t>
        </is>
      </c>
      <c r="M1904" t="inlineStr">
        <is>
          <t>1918</t>
        </is>
      </c>
      <c r="O1904" t="inlineStr">
        <is>
          <t>eng</t>
        </is>
      </c>
      <c r="P1904" t="inlineStr">
        <is>
          <t xml:space="preserve">xx </t>
        </is>
      </c>
      <c r="R1904" t="inlineStr">
        <is>
          <t xml:space="preserve">BX </t>
        </is>
      </c>
      <c r="S1904" t="n">
        <v>1</v>
      </c>
      <c r="T1904" t="n">
        <v>1</v>
      </c>
      <c r="U1904" t="inlineStr">
        <is>
          <t>2006-06-18</t>
        </is>
      </c>
      <c r="V1904" t="inlineStr">
        <is>
          <t>2006-06-18</t>
        </is>
      </c>
      <c r="W1904" t="inlineStr">
        <is>
          <t>1991-11-15</t>
        </is>
      </c>
      <c r="X1904" t="inlineStr">
        <is>
          <t>1991-11-15</t>
        </is>
      </c>
      <c r="Y1904" t="n">
        <v>17</v>
      </c>
      <c r="Z1904" t="n">
        <v>15</v>
      </c>
      <c r="AA1904" t="n">
        <v>22</v>
      </c>
      <c r="AB1904" t="n">
        <v>1</v>
      </c>
      <c r="AC1904" t="n">
        <v>1</v>
      </c>
      <c r="AD1904" t="n">
        <v>4</v>
      </c>
      <c r="AE1904" t="n">
        <v>4</v>
      </c>
      <c r="AF1904" t="n">
        <v>1</v>
      </c>
      <c r="AG1904" t="n">
        <v>1</v>
      </c>
      <c r="AH1904" t="n">
        <v>1</v>
      </c>
      <c r="AI1904" t="n">
        <v>1</v>
      </c>
      <c r="AJ1904" t="n">
        <v>3</v>
      </c>
      <c r="AK1904" t="n">
        <v>3</v>
      </c>
      <c r="AL1904" t="n">
        <v>0</v>
      </c>
      <c r="AM1904" t="n">
        <v>0</v>
      </c>
      <c r="AN1904" t="n">
        <v>0</v>
      </c>
      <c r="AO1904" t="n">
        <v>0</v>
      </c>
      <c r="AP1904" t="inlineStr">
        <is>
          <t>Yes</t>
        </is>
      </c>
      <c r="AQ1904" t="inlineStr">
        <is>
          <t>No</t>
        </is>
      </c>
      <c r="AR1904">
        <f>HYPERLINK("http://catalog.hathitrust.org/Record/005789845","HathiTrust Record")</f>
        <v/>
      </c>
      <c r="AS1904">
        <f>HYPERLINK("https://creighton-primo.hosted.exlibrisgroup.com/primo-explore/search?tab=default_tab&amp;search_scope=EVERYTHING&amp;vid=01CRU&amp;lang=en_US&amp;offset=0&amp;query=any,contains,991000890779702656","Catalog Record")</f>
        <v/>
      </c>
      <c r="AT1904">
        <f>HYPERLINK("http://www.worldcat.org/oclc/13904905","WorldCat Record")</f>
        <v/>
      </c>
      <c r="AU1904" t="inlineStr">
        <is>
          <t>6908494:eng</t>
        </is>
      </c>
      <c r="AV1904" t="inlineStr">
        <is>
          <t>13904905</t>
        </is>
      </c>
      <c r="AW1904" t="inlineStr">
        <is>
          <t>991000890779702656</t>
        </is>
      </c>
      <c r="AX1904" t="inlineStr">
        <is>
          <t>991000890779702656</t>
        </is>
      </c>
      <c r="AY1904" t="inlineStr">
        <is>
          <t>2267159740002656</t>
        </is>
      </c>
      <c r="AZ1904" t="inlineStr">
        <is>
          <t>BOOK</t>
        </is>
      </c>
      <c r="BC1904" t="inlineStr">
        <is>
          <t>32285000853829</t>
        </is>
      </c>
      <c r="BD1904" t="inlineStr">
        <is>
          <t>893237696</t>
        </is>
      </c>
    </row>
    <row r="1905">
      <c r="A1905" t="inlineStr">
        <is>
          <t>No</t>
        </is>
      </c>
      <c r="B1905" t="inlineStr">
        <is>
          <t>BX4510.S4 A5 1938</t>
        </is>
      </c>
      <c r="C1905" t="inlineStr">
        <is>
          <t>0                      BX 4510000S  4                  A  5           1938</t>
        </is>
      </c>
      <c r="D1905" t="inlineStr">
        <is>
          <t>These fifty years : the Congregation of the sisters of the divine Savior, 1888-1938 : founding of the congregation and its development in the United States / by members of the same congregation; with a foreword by the Rev. Joseph Husslein.</t>
        </is>
      </c>
      <c r="F1905" t="inlineStr">
        <is>
          <t>No</t>
        </is>
      </c>
      <c r="G1905" t="inlineStr">
        <is>
          <t>1</t>
        </is>
      </c>
      <c r="H1905" t="inlineStr">
        <is>
          <t>No</t>
        </is>
      </c>
      <c r="I1905" t="inlineStr">
        <is>
          <t>No</t>
        </is>
      </c>
      <c r="J1905" t="inlineStr">
        <is>
          <t>0</t>
        </is>
      </c>
      <c r="K1905" t="inlineStr">
        <is>
          <t>Sisters of the Divine Savior.</t>
        </is>
      </c>
      <c r="L1905" t="inlineStr">
        <is>
          <t>Milwaukee, Wis. : St. Mary's convent, 1938.</t>
        </is>
      </c>
      <c r="M1905" t="inlineStr">
        <is>
          <t>1938</t>
        </is>
      </c>
      <c r="O1905" t="inlineStr">
        <is>
          <t>eng</t>
        </is>
      </c>
      <c r="P1905" t="inlineStr">
        <is>
          <t>wiu</t>
        </is>
      </c>
      <c r="R1905" t="inlineStr">
        <is>
          <t xml:space="preserve">BX </t>
        </is>
      </c>
      <c r="S1905" t="n">
        <v>1</v>
      </c>
      <c r="T1905" t="n">
        <v>1</v>
      </c>
      <c r="U1905" t="inlineStr">
        <is>
          <t>2005-08-17</t>
        </is>
      </c>
      <c r="V1905" t="inlineStr">
        <is>
          <t>2005-08-17</t>
        </is>
      </c>
      <c r="W1905" t="inlineStr">
        <is>
          <t>1991-11-18</t>
        </is>
      </c>
      <c r="X1905" t="inlineStr">
        <is>
          <t>1991-11-18</t>
        </is>
      </c>
      <c r="Y1905" t="n">
        <v>34</v>
      </c>
      <c r="Z1905" t="n">
        <v>33</v>
      </c>
      <c r="AA1905" t="n">
        <v>39</v>
      </c>
      <c r="AB1905" t="n">
        <v>1</v>
      </c>
      <c r="AC1905" t="n">
        <v>1</v>
      </c>
      <c r="AD1905" t="n">
        <v>8</v>
      </c>
      <c r="AE1905" t="n">
        <v>8</v>
      </c>
      <c r="AF1905" t="n">
        <v>2</v>
      </c>
      <c r="AG1905" t="n">
        <v>2</v>
      </c>
      <c r="AH1905" t="n">
        <v>2</v>
      </c>
      <c r="AI1905" t="n">
        <v>2</v>
      </c>
      <c r="AJ1905" t="n">
        <v>7</v>
      </c>
      <c r="AK1905" t="n">
        <v>7</v>
      </c>
      <c r="AL1905" t="n">
        <v>0</v>
      </c>
      <c r="AM1905" t="n">
        <v>0</v>
      </c>
      <c r="AN1905" t="n">
        <v>0</v>
      </c>
      <c r="AO1905" t="n">
        <v>0</v>
      </c>
      <c r="AP1905" t="inlineStr">
        <is>
          <t>Yes</t>
        </is>
      </c>
      <c r="AQ1905" t="inlineStr">
        <is>
          <t>No</t>
        </is>
      </c>
      <c r="AR1905">
        <f>HYPERLINK("http://catalog.hathitrust.org/Record/005922199","HathiTrust Record")</f>
        <v/>
      </c>
      <c r="AS1905">
        <f>HYPERLINK("https://creighton-primo.hosted.exlibrisgroup.com/primo-explore/search?tab=default_tab&amp;search_scope=EVERYTHING&amp;vid=01CRU&amp;lang=en_US&amp;offset=0&amp;query=any,contains,991005254379702656","Catalog Record")</f>
        <v/>
      </c>
      <c r="AT1905">
        <f>HYPERLINK("http://www.worldcat.org/oclc/4213343","WorldCat Record")</f>
        <v/>
      </c>
      <c r="AU1905" t="inlineStr">
        <is>
          <t>14519204:eng</t>
        </is>
      </c>
      <c r="AV1905" t="inlineStr">
        <is>
          <t>4213343</t>
        </is>
      </c>
      <c r="AW1905" t="inlineStr">
        <is>
          <t>991005254379702656</t>
        </is>
      </c>
      <c r="AX1905" t="inlineStr">
        <is>
          <t>991005254379702656</t>
        </is>
      </c>
      <c r="AY1905" t="inlineStr">
        <is>
          <t>2256075670002656</t>
        </is>
      </c>
      <c r="AZ1905" t="inlineStr">
        <is>
          <t>BOOK</t>
        </is>
      </c>
      <c r="BC1905" t="inlineStr">
        <is>
          <t>32285000853910</t>
        </is>
      </c>
      <c r="BD1905" t="inlineStr">
        <is>
          <t>893536503</t>
        </is>
      </c>
    </row>
    <row r="1906">
      <c r="A1906" t="inlineStr">
        <is>
          <t>No</t>
        </is>
      </c>
      <c r="B1906" t="inlineStr">
        <is>
          <t>BX4543.8 .M3 1923</t>
        </is>
      </c>
      <c r="C1906" t="inlineStr">
        <is>
          <t>0                      BX 4543800M  3           1923</t>
        </is>
      </c>
      <c r="D1906" t="inlineStr">
        <is>
          <t>Life of the Rev. Mother Amadeus of the Heart of Jesus : foundress of the Ursuline Missions of Montana and Alaska / sketch compiled from convent annals by an Ursuline of Alaska.</t>
        </is>
      </c>
      <c r="F1906" t="inlineStr">
        <is>
          <t>No</t>
        </is>
      </c>
      <c r="G1906" t="inlineStr">
        <is>
          <t>1</t>
        </is>
      </c>
      <c r="H1906" t="inlineStr">
        <is>
          <t>No</t>
        </is>
      </c>
      <c r="I1906" t="inlineStr">
        <is>
          <t>No</t>
        </is>
      </c>
      <c r="J1906" t="inlineStr">
        <is>
          <t>0</t>
        </is>
      </c>
      <c r="L1906" t="inlineStr">
        <is>
          <t>New York : Paulist Press, 1923.</t>
        </is>
      </c>
      <c r="M1906" t="inlineStr">
        <is>
          <t>1923</t>
        </is>
      </c>
      <c r="O1906" t="inlineStr">
        <is>
          <t>eng</t>
        </is>
      </c>
      <c r="P1906" t="inlineStr">
        <is>
          <t>nyu</t>
        </is>
      </c>
      <c r="R1906" t="inlineStr">
        <is>
          <t xml:space="preserve">BX </t>
        </is>
      </c>
      <c r="S1906" t="n">
        <v>1</v>
      </c>
      <c r="T1906" t="n">
        <v>1</v>
      </c>
      <c r="U1906" t="inlineStr">
        <is>
          <t>1999-03-30</t>
        </is>
      </c>
      <c r="V1906" t="inlineStr">
        <is>
          <t>1999-03-30</t>
        </is>
      </c>
      <c r="W1906" t="inlineStr">
        <is>
          <t>1991-11-18</t>
        </is>
      </c>
      <c r="X1906" t="inlineStr">
        <is>
          <t>1991-11-18</t>
        </is>
      </c>
      <c r="Y1906" t="n">
        <v>35</v>
      </c>
      <c r="Z1906" t="n">
        <v>33</v>
      </c>
      <c r="AA1906" t="n">
        <v>40</v>
      </c>
      <c r="AB1906" t="n">
        <v>1</v>
      </c>
      <c r="AC1906" t="n">
        <v>1</v>
      </c>
      <c r="AD1906" t="n">
        <v>7</v>
      </c>
      <c r="AE1906" t="n">
        <v>7</v>
      </c>
      <c r="AF1906" t="n">
        <v>2</v>
      </c>
      <c r="AG1906" t="n">
        <v>2</v>
      </c>
      <c r="AH1906" t="n">
        <v>1</v>
      </c>
      <c r="AI1906" t="n">
        <v>1</v>
      </c>
      <c r="AJ1906" t="n">
        <v>6</v>
      </c>
      <c r="AK1906" t="n">
        <v>6</v>
      </c>
      <c r="AL1906" t="n">
        <v>0</v>
      </c>
      <c r="AM1906" t="n">
        <v>0</v>
      </c>
      <c r="AN1906" t="n">
        <v>0</v>
      </c>
      <c r="AO1906" t="n">
        <v>0</v>
      </c>
      <c r="AP1906" t="inlineStr">
        <is>
          <t>Yes</t>
        </is>
      </c>
      <c r="AQ1906" t="inlineStr">
        <is>
          <t>No</t>
        </is>
      </c>
      <c r="AR1906">
        <f>HYPERLINK("http://catalog.hathitrust.org/Record/008893054","HathiTrust Record")</f>
        <v/>
      </c>
      <c r="AS1906">
        <f>HYPERLINK("https://creighton-primo.hosted.exlibrisgroup.com/primo-explore/search?tab=default_tab&amp;search_scope=EVERYTHING&amp;vid=01CRU&amp;lang=en_US&amp;offset=0&amp;query=any,contains,991005208739702656","Catalog Record")</f>
        <v/>
      </c>
      <c r="AT1906">
        <f>HYPERLINK("http://www.worldcat.org/oclc/8136692","WorldCat Record")</f>
        <v/>
      </c>
      <c r="AU1906" t="inlineStr">
        <is>
          <t>31188023:eng</t>
        </is>
      </c>
      <c r="AV1906" t="inlineStr">
        <is>
          <t>8136692</t>
        </is>
      </c>
      <c r="AW1906" t="inlineStr">
        <is>
          <t>991005208739702656</t>
        </is>
      </c>
      <c r="AX1906" t="inlineStr">
        <is>
          <t>991005208739702656</t>
        </is>
      </c>
      <c r="AY1906" t="inlineStr">
        <is>
          <t>2265551660002656</t>
        </is>
      </c>
      <c r="AZ1906" t="inlineStr">
        <is>
          <t>BOOK</t>
        </is>
      </c>
      <c r="BC1906" t="inlineStr">
        <is>
          <t>32285000853969</t>
        </is>
      </c>
      <c r="BD1906" t="inlineStr">
        <is>
          <t>893230378</t>
        </is>
      </c>
    </row>
    <row r="1907">
      <c r="A1907" t="inlineStr">
        <is>
          <t>No</t>
        </is>
      </c>
      <c r="B1907" t="inlineStr">
        <is>
          <t>BX4569.N8 U7 1934a</t>
        </is>
      </c>
      <c r="C1907" t="inlineStr">
        <is>
          <t>0                      BX 4569000N  8                  U  7           1934a</t>
        </is>
      </c>
      <c r="D1907" t="inlineStr">
        <is>
          <t>Saga of saints / by Sigrid Undset ; translated by E. C. Ramsden.</t>
        </is>
      </c>
      <c r="F1907" t="inlineStr">
        <is>
          <t>No</t>
        </is>
      </c>
      <c r="G1907" t="inlineStr">
        <is>
          <t>1</t>
        </is>
      </c>
      <c r="H1907" t="inlineStr">
        <is>
          <t>No</t>
        </is>
      </c>
      <c r="I1907" t="inlineStr">
        <is>
          <t>No</t>
        </is>
      </c>
      <c r="J1907" t="inlineStr">
        <is>
          <t>0</t>
        </is>
      </c>
      <c r="K1907" t="inlineStr">
        <is>
          <t>Undset, Sigrid, 1882-1949.</t>
        </is>
      </c>
      <c r="L1907" t="inlineStr">
        <is>
          <t>New York : Longmans, Green and Co., 1934.</t>
        </is>
      </c>
      <c r="M1907" t="inlineStr">
        <is>
          <t>1934</t>
        </is>
      </c>
      <c r="O1907" t="inlineStr">
        <is>
          <t>eng</t>
        </is>
      </c>
      <c r="P1907" t="inlineStr">
        <is>
          <t xml:space="preserve">xx </t>
        </is>
      </c>
      <c r="R1907" t="inlineStr">
        <is>
          <t xml:space="preserve">BX </t>
        </is>
      </c>
      <c r="S1907" t="n">
        <v>5</v>
      </c>
      <c r="T1907" t="n">
        <v>5</v>
      </c>
      <c r="U1907" t="inlineStr">
        <is>
          <t>1993-07-14</t>
        </is>
      </c>
      <c r="V1907" t="inlineStr">
        <is>
          <t>1993-07-14</t>
        </is>
      </c>
      <c r="W1907" t="inlineStr">
        <is>
          <t>1992-03-03</t>
        </is>
      </c>
      <c r="X1907" t="inlineStr">
        <is>
          <t>1992-03-03</t>
        </is>
      </c>
      <c r="Y1907" t="n">
        <v>174</v>
      </c>
      <c r="Z1907" t="n">
        <v>168</v>
      </c>
      <c r="AA1907" t="n">
        <v>582</v>
      </c>
      <c r="AB1907" t="n">
        <v>1</v>
      </c>
      <c r="AC1907" t="n">
        <v>2</v>
      </c>
      <c r="AD1907" t="n">
        <v>12</v>
      </c>
      <c r="AE1907" t="n">
        <v>33</v>
      </c>
      <c r="AF1907" t="n">
        <v>0</v>
      </c>
      <c r="AG1907" t="n">
        <v>14</v>
      </c>
      <c r="AH1907" t="n">
        <v>4</v>
      </c>
      <c r="AI1907" t="n">
        <v>8</v>
      </c>
      <c r="AJ1907" t="n">
        <v>9</v>
      </c>
      <c r="AK1907" t="n">
        <v>19</v>
      </c>
      <c r="AL1907" t="n">
        <v>0</v>
      </c>
      <c r="AM1907" t="n">
        <v>1</v>
      </c>
      <c r="AN1907" t="n">
        <v>0</v>
      </c>
      <c r="AO1907" t="n">
        <v>0</v>
      </c>
      <c r="AP1907" t="inlineStr">
        <is>
          <t>No</t>
        </is>
      </c>
      <c r="AQ1907" t="inlineStr">
        <is>
          <t>Yes</t>
        </is>
      </c>
      <c r="AR1907">
        <f>HYPERLINK("http://catalog.hathitrust.org/Record/101737323","HathiTrust Record")</f>
        <v/>
      </c>
      <c r="AS1907">
        <f>HYPERLINK("https://creighton-primo.hosted.exlibrisgroup.com/primo-explore/search?tab=default_tab&amp;search_scope=EVERYTHING&amp;vid=01CRU&amp;lang=en_US&amp;offset=0&amp;query=any,contains,991004181009702656","Catalog Record")</f>
        <v/>
      </c>
      <c r="AT1907">
        <f>HYPERLINK("http://www.worldcat.org/oclc/2604422","WorldCat Record")</f>
        <v/>
      </c>
      <c r="AU1907" t="inlineStr">
        <is>
          <t>5426354:eng</t>
        </is>
      </c>
      <c r="AV1907" t="inlineStr">
        <is>
          <t>2604422</t>
        </is>
      </c>
      <c r="AW1907" t="inlineStr">
        <is>
          <t>991004181009702656</t>
        </is>
      </c>
      <c r="AX1907" t="inlineStr">
        <is>
          <t>991004181009702656</t>
        </is>
      </c>
      <c r="AY1907" t="inlineStr">
        <is>
          <t>2270803080002656</t>
        </is>
      </c>
      <c r="AZ1907" t="inlineStr">
        <is>
          <t>BOOK</t>
        </is>
      </c>
      <c r="BC1907" t="inlineStr">
        <is>
          <t>32285000990746</t>
        </is>
      </c>
      <c r="BD1907" t="inlineStr">
        <is>
          <t>893612016</t>
        </is>
      </c>
    </row>
    <row r="1908">
      <c r="A1908" t="inlineStr">
        <is>
          <t>No</t>
        </is>
      </c>
      <c r="B1908" t="inlineStr">
        <is>
          <t>BX4600 .C370</t>
        </is>
      </c>
      <c r="C1908" t="inlineStr">
        <is>
          <t>0                      BX 4600000C  370</t>
        </is>
      </c>
      <c r="D1908" t="inlineStr">
        <is>
          <t>The Cathedral : a reader / edited by the Center for Pastoral Liturgy, the Catholic University of America, and Secretariat, the Bishops' Committee on the Liturgy.</t>
        </is>
      </c>
      <c r="F1908" t="inlineStr">
        <is>
          <t>No</t>
        </is>
      </c>
      <c r="G1908" t="inlineStr">
        <is>
          <t>1</t>
        </is>
      </c>
      <c r="H1908" t="inlineStr">
        <is>
          <t>No</t>
        </is>
      </c>
      <c r="I1908" t="inlineStr">
        <is>
          <t>No</t>
        </is>
      </c>
      <c r="J1908" t="inlineStr">
        <is>
          <t>0</t>
        </is>
      </c>
      <c r="L1908" t="inlineStr">
        <is>
          <t>Washington : United States Catholic Conference, c1979.</t>
        </is>
      </c>
      <c r="M1908" t="inlineStr">
        <is>
          <t>1979</t>
        </is>
      </c>
      <c r="O1908" t="inlineStr">
        <is>
          <t>eng</t>
        </is>
      </c>
      <c r="P1908" t="inlineStr">
        <is>
          <t>dcu</t>
        </is>
      </c>
      <c r="R1908" t="inlineStr">
        <is>
          <t xml:space="preserve">BX </t>
        </is>
      </c>
      <c r="S1908" t="n">
        <v>3</v>
      </c>
      <c r="T1908" t="n">
        <v>3</v>
      </c>
      <c r="U1908" t="inlineStr">
        <is>
          <t>1999-02-01</t>
        </is>
      </c>
      <c r="V1908" t="inlineStr">
        <is>
          <t>1999-02-01</t>
        </is>
      </c>
      <c r="W1908" t="inlineStr">
        <is>
          <t>1991-11-18</t>
        </is>
      </c>
      <c r="X1908" t="inlineStr">
        <is>
          <t>1991-11-18</t>
        </is>
      </c>
      <c r="Y1908" t="n">
        <v>59</v>
      </c>
      <c r="Z1908" t="n">
        <v>54</v>
      </c>
      <c r="AA1908" t="n">
        <v>55</v>
      </c>
      <c r="AB1908" t="n">
        <v>1</v>
      </c>
      <c r="AC1908" t="n">
        <v>1</v>
      </c>
      <c r="AD1908" t="n">
        <v>6</v>
      </c>
      <c r="AE1908" t="n">
        <v>6</v>
      </c>
      <c r="AF1908" t="n">
        <v>0</v>
      </c>
      <c r="AG1908" t="n">
        <v>0</v>
      </c>
      <c r="AH1908" t="n">
        <v>4</v>
      </c>
      <c r="AI1908" t="n">
        <v>4</v>
      </c>
      <c r="AJ1908" t="n">
        <v>4</v>
      </c>
      <c r="AK1908" t="n">
        <v>4</v>
      </c>
      <c r="AL1908" t="n">
        <v>0</v>
      </c>
      <c r="AM1908" t="n">
        <v>0</v>
      </c>
      <c r="AN1908" t="n">
        <v>0</v>
      </c>
      <c r="AO1908" t="n">
        <v>0</v>
      </c>
      <c r="AP1908" t="inlineStr">
        <is>
          <t>No</t>
        </is>
      </c>
      <c r="AQ1908" t="inlineStr">
        <is>
          <t>No</t>
        </is>
      </c>
      <c r="AS1908">
        <f>HYPERLINK("https://creighton-primo.hosted.exlibrisgroup.com/primo-explore/search?tab=default_tab&amp;search_scope=EVERYTHING&amp;vid=01CRU&amp;lang=en_US&amp;offset=0&amp;query=any,contains,991004923679702656","Catalog Record")</f>
        <v/>
      </c>
      <c r="AT1908">
        <f>HYPERLINK("http://www.worldcat.org/oclc/6068066","WorldCat Record")</f>
        <v/>
      </c>
      <c r="AU1908" t="inlineStr">
        <is>
          <t>426316950:eng</t>
        </is>
      </c>
      <c r="AV1908" t="inlineStr">
        <is>
          <t>6068066</t>
        </is>
      </c>
      <c r="AW1908" t="inlineStr">
        <is>
          <t>991004923679702656</t>
        </is>
      </c>
      <c r="AX1908" t="inlineStr">
        <is>
          <t>991004923679702656</t>
        </is>
      </c>
      <c r="AY1908" t="inlineStr">
        <is>
          <t>2255662880002656</t>
        </is>
      </c>
      <c r="AZ1908" t="inlineStr">
        <is>
          <t>BOOK</t>
        </is>
      </c>
      <c r="BC1908" t="inlineStr">
        <is>
          <t>32285000853993</t>
        </is>
      </c>
      <c r="BD1908" t="inlineStr">
        <is>
          <t>893412081</t>
        </is>
      </c>
    </row>
    <row r="1909">
      <c r="A1909" t="inlineStr">
        <is>
          <t>No</t>
        </is>
      </c>
      <c r="B1909" t="inlineStr">
        <is>
          <t>BX4600 .M85 1968</t>
        </is>
      </c>
      <c r="C1909" t="inlineStr">
        <is>
          <t>0                      BX 4600000M  85          1968</t>
        </is>
      </c>
      <c r="D1909" t="inlineStr">
        <is>
          <t>Famous American churches and shrines / Walter T. Murphy, editor.</t>
        </is>
      </c>
      <c r="F1909" t="inlineStr">
        <is>
          <t>No</t>
        </is>
      </c>
      <c r="G1909" t="inlineStr">
        <is>
          <t>1</t>
        </is>
      </c>
      <c r="H1909" t="inlineStr">
        <is>
          <t>No</t>
        </is>
      </c>
      <c r="I1909" t="inlineStr">
        <is>
          <t>No</t>
        </is>
      </c>
      <c r="J1909" t="inlineStr">
        <is>
          <t>0</t>
        </is>
      </c>
      <c r="K1909" t="inlineStr">
        <is>
          <t>Murphy, Walter Thomas, 1915-</t>
        </is>
      </c>
      <c r="L1909" t="inlineStr">
        <is>
          <t>Bloomfield Hills, Mich. : Walmur Pub. Co., [1968]</t>
        </is>
      </c>
      <c r="M1909" t="inlineStr">
        <is>
          <t>1968</t>
        </is>
      </c>
      <c r="N1909" t="inlineStr">
        <is>
          <t>Catholic ed.</t>
        </is>
      </c>
      <c r="O1909" t="inlineStr">
        <is>
          <t>eng</t>
        </is>
      </c>
      <c r="P1909" t="inlineStr">
        <is>
          <t>miu</t>
        </is>
      </c>
      <c r="R1909" t="inlineStr">
        <is>
          <t xml:space="preserve">BX </t>
        </is>
      </c>
      <c r="S1909" t="n">
        <v>2</v>
      </c>
      <c r="T1909" t="n">
        <v>2</v>
      </c>
      <c r="U1909" t="inlineStr">
        <is>
          <t>1998-04-11</t>
        </is>
      </c>
      <c r="V1909" t="inlineStr">
        <is>
          <t>1998-04-11</t>
        </is>
      </c>
      <c r="W1909" t="inlineStr">
        <is>
          <t>1991-11-18</t>
        </is>
      </c>
      <c r="X1909" t="inlineStr">
        <is>
          <t>1991-11-18</t>
        </is>
      </c>
      <c r="Y1909" t="n">
        <v>99</v>
      </c>
      <c r="Z1909" t="n">
        <v>96</v>
      </c>
      <c r="AA1909" t="n">
        <v>97</v>
      </c>
      <c r="AB1909" t="n">
        <v>1</v>
      </c>
      <c r="AC1909" t="n">
        <v>1</v>
      </c>
      <c r="AD1909" t="n">
        <v>17</v>
      </c>
      <c r="AE1909" t="n">
        <v>17</v>
      </c>
      <c r="AF1909" t="n">
        <v>5</v>
      </c>
      <c r="AG1909" t="n">
        <v>5</v>
      </c>
      <c r="AH1909" t="n">
        <v>4</v>
      </c>
      <c r="AI1909" t="n">
        <v>4</v>
      </c>
      <c r="AJ1909" t="n">
        <v>13</v>
      </c>
      <c r="AK1909" t="n">
        <v>13</v>
      </c>
      <c r="AL1909" t="n">
        <v>0</v>
      </c>
      <c r="AM1909" t="n">
        <v>0</v>
      </c>
      <c r="AN1909" t="n">
        <v>0</v>
      </c>
      <c r="AO1909" t="n">
        <v>0</v>
      </c>
      <c r="AP1909" t="inlineStr">
        <is>
          <t>No</t>
        </is>
      </c>
      <c r="AQ1909" t="inlineStr">
        <is>
          <t>Yes</t>
        </is>
      </c>
      <c r="AR1909">
        <f>HYPERLINK("http://catalog.hathitrust.org/Record/006922900","HathiTrust Record")</f>
        <v/>
      </c>
      <c r="AS1909">
        <f>HYPERLINK("https://creighton-primo.hosted.exlibrisgroup.com/primo-explore/search?tab=default_tab&amp;search_scope=EVERYTHING&amp;vid=01CRU&amp;lang=en_US&amp;offset=0&amp;query=any,contains,991002804119702656","Catalog Record")</f>
        <v/>
      </c>
      <c r="AT1909">
        <f>HYPERLINK("http://www.worldcat.org/oclc/448921","WorldCat Record")</f>
        <v/>
      </c>
      <c r="AU1909" t="inlineStr">
        <is>
          <t>1588802:eng</t>
        </is>
      </c>
      <c r="AV1909" t="inlineStr">
        <is>
          <t>448921</t>
        </is>
      </c>
      <c r="AW1909" t="inlineStr">
        <is>
          <t>991002804119702656</t>
        </is>
      </c>
      <c r="AX1909" t="inlineStr">
        <is>
          <t>991002804119702656</t>
        </is>
      </c>
      <c r="AY1909" t="inlineStr">
        <is>
          <t>2266712640002656</t>
        </is>
      </c>
      <c r="AZ1909" t="inlineStr">
        <is>
          <t>BOOK</t>
        </is>
      </c>
      <c r="BC1909" t="inlineStr">
        <is>
          <t>32285000854041</t>
        </is>
      </c>
      <c r="BD1909" t="inlineStr">
        <is>
          <t>893530493</t>
        </is>
      </c>
    </row>
    <row r="1910">
      <c r="A1910" t="inlineStr">
        <is>
          <t>No</t>
        </is>
      </c>
      <c r="B1910" t="inlineStr">
        <is>
          <t>BX4603.C5 H635 1923</t>
        </is>
      </c>
      <c r="C1910" t="inlineStr">
        <is>
          <t>0                      BX 4603000C  5                  H  635         1923</t>
        </is>
      </c>
      <c r="D1910" t="inlineStr">
        <is>
          <t>Holy Family Parish, Chicago : priests and people / edited and arranged by Joseph J. Thompson.</t>
        </is>
      </c>
      <c r="F1910" t="inlineStr">
        <is>
          <t>No</t>
        </is>
      </c>
      <c r="G1910" t="inlineStr">
        <is>
          <t>1</t>
        </is>
      </c>
      <c r="H1910" t="inlineStr">
        <is>
          <t>No</t>
        </is>
      </c>
      <c r="I1910" t="inlineStr">
        <is>
          <t>No</t>
        </is>
      </c>
      <c r="J1910" t="inlineStr">
        <is>
          <t>0</t>
        </is>
      </c>
      <c r="K1910" t="inlineStr">
        <is>
          <t>Mulkerins, Thomas M., 1878-1928.</t>
        </is>
      </c>
      <c r="L1910" t="inlineStr">
        <is>
          <t>Chicago : [Published for the] Holy Family Parish History Commission [by] Universal Press, 1923.</t>
        </is>
      </c>
      <c r="M1910" t="inlineStr">
        <is>
          <t>1923</t>
        </is>
      </c>
      <c r="O1910" t="inlineStr">
        <is>
          <t>eng</t>
        </is>
      </c>
      <c r="P1910" t="inlineStr">
        <is>
          <t>ilu</t>
        </is>
      </c>
      <c r="R1910" t="inlineStr">
        <is>
          <t xml:space="preserve">BX </t>
        </is>
      </c>
      <c r="S1910" t="n">
        <v>5</v>
      </c>
      <c r="T1910" t="n">
        <v>5</v>
      </c>
      <c r="U1910" t="inlineStr">
        <is>
          <t>2002-09-08</t>
        </is>
      </c>
      <c r="V1910" t="inlineStr">
        <is>
          <t>2002-09-08</t>
        </is>
      </c>
      <c r="W1910" t="inlineStr">
        <is>
          <t>1991-11-18</t>
        </is>
      </c>
      <c r="X1910" t="inlineStr">
        <is>
          <t>1991-11-18</t>
        </is>
      </c>
      <c r="Y1910" t="n">
        <v>63</v>
      </c>
      <c r="Z1910" t="n">
        <v>57</v>
      </c>
      <c r="AA1910" t="n">
        <v>57</v>
      </c>
      <c r="AB1910" t="n">
        <v>1</v>
      </c>
      <c r="AC1910" t="n">
        <v>1</v>
      </c>
      <c r="AD1910" t="n">
        <v>10</v>
      </c>
      <c r="AE1910" t="n">
        <v>10</v>
      </c>
      <c r="AF1910" t="n">
        <v>4</v>
      </c>
      <c r="AG1910" t="n">
        <v>4</v>
      </c>
      <c r="AH1910" t="n">
        <v>1</v>
      </c>
      <c r="AI1910" t="n">
        <v>1</v>
      </c>
      <c r="AJ1910" t="n">
        <v>10</v>
      </c>
      <c r="AK1910" t="n">
        <v>10</v>
      </c>
      <c r="AL1910" t="n">
        <v>0</v>
      </c>
      <c r="AM1910" t="n">
        <v>0</v>
      </c>
      <c r="AN1910" t="n">
        <v>0</v>
      </c>
      <c r="AO1910" t="n">
        <v>0</v>
      </c>
      <c r="AP1910" t="inlineStr">
        <is>
          <t>No</t>
        </is>
      </c>
      <c r="AQ1910" t="inlineStr">
        <is>
          <t>No</t>
        </is>
      </c>
      <c r="AS1910">
        <f>HYPERLINK("https://creighton-primo.hosted.exlibrisgroup.com/primo-explore/search?tab=default_tab&amp;search_scope=EVERYTHING&amp;vid=01CRU&amp;lang=en_US&amp;offset=0&amp;query=any,contains,991003787299702656","Catalog Record")</f>
        <v/>
      </c>
      <c r="AT1910">
        <f>HYPERLINK("http://www.worldcat.org/oclc/1502623","WorldCat Record")</f>
        <v/>
      </c>
      <c r="AU1910" t="inlineStr">
        <is>
          <t>2301608:eng</t>
        </is>
      </c>
      <c r="AV1910" t="inlineStr">
        <is>
          <t>1502623</t>
        </is>
      </c>
      <c r="AW1910" t="inlineStr">
        <is>
          <t>991003787299702656</t>
        </is>
      </c>
      <c r="AX1910" t="inlineStr">
        <is>
          <t>991003787299702656</t>
        </is>
      </c>
      <c r="AY1910" t="inlineStr">
        <is>
          <t>2263507390002656</t>
        </is>
      </c>
      <c r="AZ1910" t="inlineStr">
        <is>
          <t>BOOK</t>
        </is>
      </c>
      <c r="BC1910" t="inlineStr">
        <is>
          <t>32285000854017</t>
        </is>
      </c>
      <c r="BD1910" t="inlineStr">
        <is>
          <t>893787778</t>
        </is>
      </c>
    </row>
    <row r="1911">
      <c r="A1911" t="inlineStr">
        <is>
          <t>No</t>
        </is>
      </c>
      <c r="B1911" t="inlineStr">
        <is>
          <t>BX4603.D4 S283 1989</t>
        </is>
      </c>
      <c r="C1911" t="inlineStr">
        <is>
          <t>0                      BX 4603000D  4                  S  283         1989</t>
        </is>
      </c>
      <c r="D1911" t="inlineStr">
        <is>
          <t>Free to be nothing / by Edward Farrell.</t>
        </is>
      </c>
      <c r="F1911" t="inlineStr">
        <is>
          <t>No</t>
        </is>
      </c>
      <c r="G1911" t="inlineStr">
        <is>
          <t>1</t>
        </is>
      </c>
      <c r="H1911" t="inlineStr">
        <is>
          <t>No</t>
        </is>
      </c>
      <c r="I1911" t="inlineStr">
        <is>
          <t>No</t>
        </is>
      </c>
      <c r="J1911" t="inlineStr">
        <is>
          <t>0</t>
        </is>
      </c>
      <c r="K1911" t="inlineStr">
        <is>
          <t>Farrell, Edward J., Rev.</t>
        </is>
      </c>
      <c r="L1911" t="inlineStr">
        <is>
          <t>Wilmington, Del. : M. Glazier, 1989.</t>
        </is>
      </c>
      <c r="M1911" t="inlineStr">
        <is>
          <t>1989</t>
        </is>
      </c>
      <c r="O1911" t="inlineStr">
        <is>
          <t>eng</t>
        </is>
      </c>
      <c r="P1911" t="inlineStr">
        <is>
          <t>deu</t>
        </is>
      </c>
      <c r="Q1911" t="inlineStr">
        <is>
          <t>Theology and life series ; v. 28</t>
        </is>
      </c>
      <c r="R1911" t="inlineStr">
        <is>
          <t xml:space="preserve">BX </t>
        </is>
      </c>
      <c r="S1911" t="n">
        <v>2</v>
      </c>
      <c r="T1911" t="n">
        <v>2</v>
      </c>
      <c r="U1911" t="inlineStr">
        <is>
          <t>1996-06-17</t>
        </is>
      </c>
      <c r="V1911" t="inlineStr">
        <is>
          <t>1996-06-17</t>
        </is>
      </c>
      <c r="W1911" t="inlineStr">
        <is>
          <t>1990-01-15</t>
        </is>
      </c>
      <c r="X1911" t="inlineStr">
        <is>
          <t>1990-01-15</t>
        </is>
      </c>
      <c r="Y1911" t="n">
        <v>75</v>
      </c>
      <c r="Z1911" t="n">
        <v>67</v>
      </c>
      <c r="AA1911" t="n">
        <v>67</v>
      </c>
      <c r="AB1911" t="n">
        <v>2</v>
      </c>
      <c r="AC1911" t="n">
        <v>2</v>
      </c>
      <c r="AD1911" t="n">
        <v>5</v>
      </c>
      <c r="AE1911" t="n">
        <v>5</v>
      </c>
      <c r="AF1911" t="n">
        <v>1</v>
      </c>
      <c r="AG1911" t="n">
        <v>1</v>
      </c>
      <c r="AH1911" t="n">
        <v>2</v>
      </c>
      <c r="AI1911" t="n">
        <v>2</v>
      </c>
      <c r="AJ1911" t="n">
        <v>2</v>
      </c>
      <c r="AK1911" t="n">
        <v>2</v>
      </c>
      <c r="AL1911" t="n">
        <v>0</v>
      </c>
      <c r="AM1911" t="n">
        <v>0</v>
      </c>
      <c r="AN1911" t="n">
        <v>0</v>
      </c>
      <c r="AO1911" t="n">
        <v>0</v>
      </c>
      <c r="AP1911" t="inlineStr">
        <is>
          <t>No</t>
        </is>
      </c>
      <c r="AQ1911" t="inlineStr">
        <is>
          <t>No</t>
        </is>
      </c>
      <c r="AS1911">
        <f>HYPERLINK("https://creighton-primo.hosted.exlibrisgroup.com/primo-explore/search?tab=default_tab&amp;search_scope=EVERYTHING&amp;vid=01CRU&amp;lang=en_US&amp;offset=0&amp;query=any,contains,991001487929702656","Catalog Record")</f>
        <v/>
      </c>
      <c r="AT1911">
        <f>HYPERLINK("http://www.worldcat.org/oclc/19671518","WorldCat Record")</f>
        <v/>
      </c>
      <c r="AU1911" t="inlineStr">
        <is>
          <t>21450301:eng</t>
        </is>
      </c>
      <c r="AV1911" t="inlineStr">
        <is>
          <t>19671518</t>
        </is>
      </c>
      <c r="AW1911" t="inlineStr">
        <is>
          <t>991001487929702656</t>
        </is>
      </c>
      <c r="AX1911" t="inlineStr">
        <is>
          <t>991001487929702656</t>
        </is>
      </c>
      <c r="AY1911" t="inlineStr">
        <is>
          <t>2264680440002656</t>
        </is>
      </c>
      <c r="AZ1911" t="inlineStr">
        <is>
          <t>BOOK</t>
        </is>
      </c>
      <c r="BB1911" t="inlineStr">
        <is>
          <t>9780894537806</t>
        </is>
      </c>
      <c r="BC1911" t="inlineStr">
        <is>
          <t>32285000028042</t>
        </is>
      </c>
      <c r="BD1911" t="inlineStr">
        <is>
          <t>893703063</t>
        </is>
      </c>
    </row>
    <row r="1912">
      <c r="A1912" t="inlineStr">
        <is>
          <t>No</t>
        </is>
      </c>
      <c r="B1912" t="inlineStr">
        <is>
          <t>BX4603.W32 S3 1940</t>
        </is>
      </c>
      <c r="C1912" t="inlineStr">
        <is>
          <t>0                      BX 4603000W  32                 S  3           1940</t>
        </is>
      </c>
      <c r="D1912" t="inlineStr">
        <is>
          <t>Saint Matthew's of Washington, 1840-1940 / by Helene, Estelle and Imogene Philibert ; foreword by Edward L. Buckey.</t>
        </is>
      </c>
      <c r="F1912" t="inlineStr">
        <is>
          <t>No</t>
        </is>
      </c>
      <c r="G1912" t="inlineStr">
        <is>
          <t>1</t>
        </is>
      </c>
      <c r="H1912" t="inlineStr">
        <is>
          <t>No</t>
        </is>
      </c>
      <c r="I1912" t="inlineStr">
        <is>
          <t>No</t>
        </is>
      </c>
      <c r="J1912" t="inlineStr">
        <is>
          <t>0</t>
        </is>
      </c>
      <c r="K1912" t="inlineStr">
        <is>
          <t>Philibert, Helene.</t>
        </is>
      </c>
      <c r="L1912" t="inlineStr">
        <is>
          <t>Baltimore, Md. : A. Hoen &amp; Co., c1940.</t>
        </is>
      </c>
      <c r="M1912" t="inlineStr">
        <is>
          <t>1940</t>
        </is>
      </c>
      <c r="N1912" t="inlineStr">
        <is>
          <t>1st ed.</t>
        </is>
      </c>
      <c r="O1912" t="inlineStr">
        <is>
          <t>eng</t>
        </is>
      </c>
      <c r="P1912" t="inlineStr">
        <is>
          <t>mdu</t>
        </is>
      </c>
      <c r="R1912" t="inlineStr">
        <is>
          <t xml:space="preserve">BX </t>
        </is>
      </c>
      <c r="S1912" t="n">
        <v>0</v>
      </c>
      <c r="T1912" t="n">
        <v>0</v>
      </c>
      <c r="U1912" t="inlineStr">
        <is>
          <t>2007-05-16</t>
        </is>
      </c>
      <c r="V1912" t="inlineStr">
        <is>
          <t>2007-05-16</t>
        </is>
      </c>
      <c r="W1912" t="inlineStr">
        <is>
          <t>1991-11-18</t>
        </is>
      </c>
      <c r="X1912" t="inlineStr">
        <is>
          <t>1991-11-18</t>
        </is>
      </c>
      <c r="Y1912" t="n">
        <v>26</v>
      </c>
      <c r="Z1912" t="n">
        <v>26</v>
      </c>
      <c r="AA1912" t="n">
        <v>26</v>
      </c>
      <c r="AB1912" t="n">
        <v>1</v>
      </c>
      <c r="AC1912" t="n">
        <v>1</v>
      </c>
      <c r="AD1912" t="n">
        <v>4</v>
      </c>
      <c r="AE1912" t="n">
        <v>4</v>
      </c>
      <c r="AF1912" t="n">
        <v>1</v>
      </c>
      <c r="AG1912" t="n">
        <v>1</v>
      </c>
      <c r="AH1912" t="n">
        <v>1</v>
      </c>
      <c r="AI1912" t="n">
        <v>1</v>
      </c>
      <c r="AJ1912" t="n">
        <v>4</v>
      </c>
      <c r="AK1912" t="n">
        <v>4</v>
      </c>
      <c r="AL1912" t="n">
        <v>0</v>
      </c>
      <c r="AM1912" t="n">
        <v>0</v>
      </c>
      <c r="AN1912" t="n">
        <v>0</v>
      </c>
      <c r="AO1912" t="n">
        <v>0</v>
      </c>
      <c r="AP1912" t="inlineStr">
        <is>
          <t>No</t>
        </is>
      </c>
      <c r="AQ1912" t="inlineStr">
        <is>
          <t>No</t>
        </is>
      </c>
      <c r="AS1912">
        <f>HYPERLINK("https://creighton-primo.hosted.exlibrisgroup.com/primo-explore/search?tab=default_tab&amp;search_scope=EVERYTHING&amp;vid=01CRU&amp;lang=en_US&amp;offset=0&amp;query=any,contains,991000167849702656","Catalog Record")</f>
        <v/>
      </c>
      <c r="AT1912">
        <f>HYPERLINK("http://www.worldcat.org/oclc/9303784","WorldCat Record")</f>
        <v/>
      </c>
      <c r="AU1912" t="inlineStr">
        <is>
          <t>1159299004:eng</t>
        </is>
      </c>
      <c r="AV1912" t="inlineStr">
        <is>
          <t>9303784</t>
        </is>
      </c>
      <c r="AW1912" t="inlineStr">
        <is>
          <t>991000167849702656</t>
        </is>
      </c>
      <c r="AX1912" t="inlineStr">
        <is>
          <t>991000167849702656</t>
        </is>
      </c>
      <c r="AY1912" t="inlineStr">
        <is>
          <t>2258912170002656</t>
        </is>
      </c>
      <c r="AZ1912" t="inlineStr">
        <is>
          <t>BOOK</t>
        </is>
      </c>
      <c r="BC1912" t="inlineStr">
        <is>
          <t>32285000854082</t>
        </is>
      </c>
      <c r="BD1912" t="inlineStr">
        <is>
          <t>893620263</t>
        </is>
      </c>
    </row>
    <row r="1913">
      <c r="A1913" t="inlineStr">
        <is>
          <t>No</t>
        </is>
      </c>
      <c r="B1913" t="inlineStr">
        <is>
          <t>BX4629.A1 K7</t>
        </is>
      </c>
      <c r="C1913" t="inlineStr">
        <is>
          <t>0                      BX 4629000A  1                  K  7</t>
        </is>
      </c>
      <c r="D1913" t="inlineStr">
        <is>
          <t>Gold was the mortar : the economics of cathedral building / Henry Kraus.</t>
        </is>
      </c>
      <c r="F1913" t="inlineStr">
        <is>
          <t>No</t>
        </is>
      </c>
      <c r="G1913" t="inlineStr">
        <is>
          <t>1</t>
        </is>
      </c>
      <c r="H1913" t="inlineStr">
        <is>
          <t>No</t>
        </is>
      </c>
      <c r="I1913" t="inlineStr">
        <is>
          <t>No</t>
        </is>
      </c>
      <c r="J1913" t="inlineStr">
        <is>
          <t>0</t>
        </is>
      </c>
      <c r="K1913" t="inlineStr">
        <is>
          <t>Kraus, Henry, 1905-</t>
        </is>
      </c>
      <c r="L1913" t="inlineStr">
        <is>
          <t>London ; Boston : Routledge &amp; Kegan Paul, 1979.</t>
        </is>
      </c>
      <c r="M1913" t="inlineStr">
        <is>
          <t>1979</t>
        </is>
      </c>
      <c r="O1913" t="inlineStr">
        <is>
          <t>eng</t>
        </is>
      </c>
      <c r="P1913" t="inlineStr">
        <is>
          <t>enk</t>
        </is>
      </c>
      <c r="R1913" t="inlineStr">
        <is>
          <t xml:space="preserve">BX </t>
        </is>
      </c>
      <c r="S1913" t="n">
        <v>4</v>
      </c>
      <c r="T1913" t="n">
        <v>4</v>
      </c>
      <c r="U1913" t="inlineStr">
        <is>
          <t>2006-04-20</t>
        </is>
      </c>
      <c r="V1913" t="inlineStr">
        <is>
          <t>2006-04-20</t>
        </is>
      </c>
      <c r="W1913" t="inlineStr">
        <is>
          <t>1991-11-18</t>
        </is>
      </c>
      <c r="X1913" t="inlineStr">
        <is>
          <t>1991-11-18</t>
        </is>
      </c>
      <c r="Y1913" t="n">
        <v>639</v>
      </c>
      <c r="Z1913" t="n">
        <v>475</v>
      </c>
      <c r="AA1913" t="n">
        <v>536</v>
      </c>
      <c r="AB1913" t="n">
        <v>3</v>
      </c>
      <c r="AC1913" t="n">
        <v>4</v>
      </c>
      <c r="AD1913" t="n">
        <v>22</v>
      </c>
      <c r="AE1913" t="n">
        <v>26</v>
      </c>
      <c r="AF1913" t="n">
        <v>7</v>
      </c>
      <c r="AG1913" t="n">
        <v>9</v>
      </c>
      <c r="AH1913" t="n">
        <v>5</v>
      </c>
      <c r="AI1913" t="n">
        <v>6</v>
      </c>
      <c r="AJ1913" t="n">
        <v>11</v>
      </c>
      <c r="AK1913" t="n">
        <v>13</v>
      </c>
      <c r="AL1913" t="n">
        <v>2</v>
      </c>
      <c r="AM1913" t="n">
        <v>3</v>
      </c>
      <c r="AN1913" t="n">
        <v>0</v>
      </c>
      <c r="AO1913" t="n">
        <v>0</v>
      </c>
      <c r="AP1913" t="inlineStr">
        <is>
          <t>No</t>
        </is>
      </c>
      <c r="AQ1913" t="inlineStr">
        <is>
          <t>Yes</t>
        </is>
      </c>
      <c r="AR1913">
        <f>HYPERLINK("http://catalog.hathitrust.org/Record/000259549","HathiTrust Record")</f>
        <v/>
      </c>
      <c r="AS1913">
        <f>HYPERLINK("https://creighton-primo.hosted.exlibrisgroup.com/primo-explore/search?tab=default_tab&amp;search_scope=EVERYTHING&amp;vid=01CRU&amp;lang=en_US&amp;offset=0&amp;query=any,contains,991004690499702656","Catalog Record")</f>
        <v/>
      </c>
      <c r="AT1913">
        <f>HYPERLINK("http://www.worldcat.org/oclc/4607748","WorldCat Record")</f>
        <v/>
      </c>
      <c r="AU1913" t="inlineStr">
        <is>
          <t>14803768:eng</t>
        </is>
      </c>
      <c r="AV1913" t="inlineStr">
        <is>
          <t>4607748</t>
        </is>
      </c>
      <c r="AW1913" t="inlineStr">
        <is>
          <t>991004690499702656</t>
        </is>
      </c>
      <c r="AX1913" t="inlineStr">
        <is>
          <t>991004690499702656</t>
        </is>
      </c>
      <c r="AY1913" t="inlineStr">
        <is>
          <t>2264806460002656</t>
        </is>
      </c>
      <c r="AZ1913" t="inlineStr">
        <is>
          <t>BOOK</t>
        </is>
      </c>
      <c r="BB1913" t="inlineStr">
        <is>
          <t>9780710087287</t>
        </is>
      </c>
      <c r="BC1913" t="inlineStr">
        <is>
          <t>32285000854090</t>
        </is>
      </c>
      <c r="BD1913" t="inlineStr">
        <is>
          <t>893424086</t>
        </is>
      </c>
    </row>
    <row r="1914">
      <c r="A1914" t="inlineStr">
        <is>
          <t>No</t>
        </is>
      </c>
      <c r="B1914" t="inlineStr">
        <is>
          <t>BX4631.E38 E5 1967</t>
        </is>
      </c>
      <c r="C1914" t="inlineStr">
        <is>
          <t>0                      BX 4631000E  38                 E  5           1967</t>
        </is>
      </c>
      <c r="D1914" t="inlineStr">
        <is>
          <t>The English secular cathedrals in the Middle Ages : a constitutional study with special reference to the fourteenth century / by Kathleen Edwards.</t>
        </is>
      </c>
      <c r="F1914" t="inlineStr">
        <is>
          <t>No</t>
        </is>
      </c>
      <c r="G1914" t="inlineStr">
        <is>
          <t>1</t>
        </is>
      </c>
      <c r="H1914" t="inlineStr">
        <is>
          <t>No</t>
        </is>
      </c>
      <c r="I1914" t="inlineStr">
        <is>
          <t>No</t>
        </is>
      </c>
      <c r="J1914" t="inlineStr">
        <is>
          <t>0</t>
        </is>
      </c>
      <c r="K1914" t="inlineStr">
        <is>
          <t>Edwards, Kathleen.</t>
        </is>
      </c>
      <c r="L1914" t="inlineStr">
        <is>
          <t>Manchester : Manchester U.P. ; New York : Barnes &amp; Noble, 1967.</t>
        </is>
      </c>
      <c r="M1914" t="inlineStr">
        <is>
          <t>1967</t>
        </is>
      </c>
      <c r="N1914" t="inlineStr">
        <is>
          <t>2nd ed.</t>
        </is>
      </c>
      <c r="O1914" t="inlineStr">
        <is>
          <t>eng</t>
        </is>
      </c>
      <c r="P1914" t="inlineStr">
        <is>
          <t>enk</t>
        </is>
      </c>
      <c r="R1914" t="inlineStr">
        <is>
          <t xml:space="preserve">BX </t>
        </is>
      </c>
      <c r="S1914" t="n">
        <v>2</v>
      </c>
      <c r="T1914" t="n">
        <v>2</v>
      </c>
      <c r="U1914" t="inlineStr">
        <is>
          <t>2004-08-04</t>
        </is>
      </c>
      <c r="V1914" t="inlineStr">
        <is>
          <t>2004-08-04</t>
        </is>
      </c>
      <c r="W1914" t="inlineStr">
        <is>
          <t>1991-11-18</t>
        </is>
      </c>
      <c r="X1914" t="inlineStr">
        <is>
          <t>1991-11-18</t>
        </is>
      </c>
      <c r="Y1914" t="n">
        <v>353</v>
      </c>
      <c r="Z1914" t="n">
        <v>264</v>
      </c>
      <c r="AA1914" t="n">
        <v>341</v>
      </c>
      <c r="AB1914" t="n">
        <v>2</v>
      </c>
      <c r="AC1914" t="n">
        <v>2</v>
      </c>
      <c r="AD1914" t="n">
        <v>16</v>
      </c>
      <c r="AE1914" t="n">
        <v>20</v>
      </c>
      <c r="AF1914" t="n">
        <v>2</v>
      </c>
      <c r="AG1914" t="n">
        <v>3</v>
      </c>
      <c r="AH1914" t="n">
        <v>7</v>
      </c>
      <c r="AI1914" t="n">
        <v>8</v>
      </c>
      <c r="AJ1914" t="n">
        <v>10</v>
      </c>
      <c r="AK1914" t="n">
        <v>12</v>
      </c>
      <c r="AL1914" t="n">
        <v>1</v>
      </c>
      <c r="AM1914" t="n">
        <v>1</v>
      </c>
      <c r="AN1914" t="n">
        <v>0</v>
      </c>
      <c r="AO1914" t="n">
        <v>0</v>
      </c>
      <c r="AP1914" t="inlineStr">
        <is>
          <t>No</t>
        </is>
      </c>
      <c r="AQ1914" t="inlineStr">
        <is>
          <t>No</t>
        </is>
      </c>
      <c r="AS1914">
        <f>HYPERLINK("https://creighton-primo.hosted.exlibrisgroup.com/primo-explore/search?tab=default_tab&amp;search_scope=EVERYTHING&amp;vid=01CRU&amp;lang=en_US&amp;offset=0&amp;query=any,contains,991002811489702656","Catalog Record")</f>
        <v/>
      </c>
      <c r="AT1914">
        <f>HYPERLINK("http://www.worldcat.org/oclc/455820","WorldCat Record")</f>
        <v/>
      </c>
      <c r="AU1914" t="inlineStr">
        <is>
          <t>233708244:eng</t>
        </is>
      </c>
      <c r="AV1914" t="inlineStr">
        <is>
          <t>455820</t>
        </is>
      </c>
      <c r="AW1914" t="inlineStr">
        <is>
          <t>991002811489702656</t>
        </is>
      </c>
      <c r="AX1914" t="inlineStr">
        <is>
          <t>991002811489702656</t>
        </is>
      </c>
      <c r="AY1914" t="inlineStr">
        <is>
          <t>2263659800002656</t>
        </is>
      </c>
      <c r="AZ1914" t="inlineStr">
        <is>
          <t>BOOK</t>
        </is>
      </c>
      <c r="BC1914" t="inlineStr">
        <is>
          <t>32285000854116</t>
        </is>
      </c>
      <c r="BD1914" t="inlineStr">
        <is>
          <t>893530505</t>
        </is>
      </c>
    </row>
    <row r="1915">
      <c r="A1915" t="inlineStr">
        <is>
          <t>No</t>
        </is>
      </c>
      <c r="B1915" t="inlineStr">
        <is>
          <t>BX4651 .W5 1939</t>
        </is>
      </c>
      <c r="C1915" t="inlineStr">
        <is>
          <t>0                      BX 4651000W  5           1939</t>
        </is>
      </c>
      <c r="D1915" t="inlineStr">
        <is>
          <t>Great Catholics / edited by Claude Williamson, O.S.C.</t>
        </is>
      </c>
      <c r="F1915" t="inlineStr">
        <is>
          <t>No</t>
        </is>
      </c>
      <c r="G1915" t="inlineStr">
        <is>
          <t>1</t>
        </is>
      </c>
      <c r="H1915" t="inlineStr">
        <is>
          <t>No</t>
        </is>
      </c>
      <c r="I1915" t="inlineStr">
        <is>
          <t>No</t>
        </is>
      </c>
      <c r="J1915" t="inlineStr">
        <is>
          <t>0</t>
        </is>
      </c>
      <c r="K1915" t="inlineStr">
        <is>
          <t>Williamson, Claude C. H. (Claude Charles H.), 1892-</t>
        </is>
      </c>
      <c r="L1915" t="inlineStr">
        <is>
          <t>New York : The Macmillan Company, 1939.</t>
        </is>
      </c>
      <c r="M1915" t="inlineStr">
        <is>
          <t>1939</t>
        </is>
      </c>
      <c r="O1915" t="inlineStr">
        <is>
          <t>eng</t>
        </is>
      </c>
      <c r="P1915" t="inlineStr">
        <is>
          <t>nyu</t>
        </is>
      </c>
      <c r="R1915" t="inlineStr">
        <is>
          <t xml:space="preserve">BX </t>
        </is>
      </c>
      <c r="S1915" t="n">
        <v>5</v>
      </c>
      <c r="T1915" t="n">
        <v>5</v>
      </c>
      <c r="U1915" t="inlineStr">
        <is>
          <t>2001-02-14</t>
        </is>
      </c>
      <c r="V1915" t="inlineStr">
        <is>
          <t>2001-02-14</t>
        </is>
      </c>
      <c r="W1915" t="inlineStr">
        <is>
          <t>1990-02-13</t>
        </is>
      </c>
      <c r="X1915" t="inlineStr">
        <is>
          <t>1990-02-13</t>
        </is>
      </c>
      <c r="Y1915" t="n">
        <v>285</v>
      </c>
      <c r="Z1915" t="n">
        <v>274</v>
      </c>
      <c r="AA1915" t="n">
        <v>414</v>
      </c>
      <c r="AB1915" t="n">
        <v>4</v>
      </c>
      <c r="AC1915" t="n">
        <v>5</v>
      </c>
      <c r="AD1915" t="n">
        <v>24</v>
      </c>
      <c r="AE1915" t="n">
        <v>28</v>
      </c>
      <c r="AF1915" t="n">
        <v>9</v>
      </c>
      <c r="AG1915" t="n">
        <v>10</v>
      </c>
      <c r="AH1915" t="n">
        <v>4</v>
      </c>
      <c r="AI1915" t="n">
        <v>7</v>
      </c>
      <c r="AJ1915" t="n">
        <v>19</v>
      </c>
      <c r="AK1915" t="n">
        <v>21</v>
      </c>
      <c r="AL1915" t="n">
        <v>0</v>
      </c>
      <c r="AM1915" t="n">
        <v>0</v>
      </c>
      <c r="AN1915" t="n">
        <v>0</v>
      </c>
      <c r="AO1915" t="n">
        <v>0</v>
      </c>
      <c r="AP1915" t="inlineStr">
        <is>
          <t>No</t>
        </is>
      </c>
      <c r="AQ1915" t="inlineStr">
        <is>
          <t>Yes</t>
        </is>
      </c>
      <c r="AR1915">
        <f>HYPERLINK("http://catalog.hathitrust.org/Record/009801867","HathiTrust Record")</f>
        <v/>
      </c>
      <c r="AS1915">
        <f>HYPERLINK("https://creighton-primo.hosted.exlibrisgroup.com/primo-explore/search?tab=default_tab&amp;search_scope=EVERYTHING&amp;vid=01CRU&amp;lang=en_US&amp;offset=0&amp;query=any,contains,991005362069702656","Catalog Record")</f>
        <v/>
      </c>
      <c r="AT1915">
        <f>HYPERLINK("http://www.worldcat.org/oclc/1511210","WorldCat Record")</f>
        <v/>
      </c>
      <c r="AU1915" t="inlineStr">
        <is>
          <t>1531008:eng</t>
        </is>
      </c>
      <c r="AV1915" t="inlineStr">
        <is>
          <t>1511210</t>
        </is>
      </c>
      <c r="AW1915" t="inlineStr">
        <is>
          <t>991005362069702656</t>
        </is>
      </c>
      <c r="AX1915" t="inlineStr">
        <is>
          <t>991005362069702656</t>
        </is>
      </c>
      <c r="AY1915" t="inlineStr">
        <is>
          <t>2260166970002656</t>
        </is>
      </c>
      <c r="AZ1915" t="inlineStr">
        <is>
          <t>BOOK</t>
        </is>
      </c>
      <c r="BC1915" t="inlineStr">
        <is>
          <t>32285000050558</t>
        </is>
      </c>
      <c r="BD1915" t="inlineStr">
        <is>
          <t>893607257</t>
        </is>
      </c>
    </row>
    <row r="1916">
      <c r="A1916" t="inlineStr">
        <is>
          <t>No</t>
        </is>
      </c>
      <c r="B1916" t="inlineStr">
        <is>
          <t>BX4651.2 .D38 1995</t>
        </is>
      </c>
      <c r="C1916" t="inlineStr">
        <is>
          <t>0                      BX 4651200D  38          1995</t>
        </is>
      </c>
      <c r="D1916" t="inlineStr">
        <is>
          <t>The power of the powerless / Christopher De Vinck.</t>
        </is>
      </c>
      <c r="F1916" t="inlineStr">
        <is>
          <t>No</t>
        </is>
      </c>
      <c r="G1916" t="inlineStr">
        <is>
          <t>1</t>
        </is>
      </c>
      <c r="H1916" t="inlineStr">
        <is>
          <t>No</t>
        </is>
      </c>
      <c r="I1916" t="inlineStr">
        <is>
          <t>No</t>
        </is>
      </c>
      <c r="J1916" t="inlineStr">
        <is>
          <t>0</t>
        </is>
      </c>
      <c r="K1916" t="inlineStr">
        <is>
          <t>De Vinck, Christopher, 1951-</t>
        </is>
      </c>
      <c r="L1916" t="inlineStr">
        <is>
          <t>Grand Rapids, Mich. : Zondervan Pub. House, 1995.</t>
        </is>
      </c>
      <c r="M1916" t="inlineStr">
        <is>
          <t>1995</t>
        </is>
      </c>
      <c r="O1916" t="inlineStr">
        <is>
          <t>eng</t>
        </is>
      </c>
      <c r="P1916" t="inlineStr">
        <is>
          <t>miu</t>
        </is>
      </c>
      <c r="R1916" t="inlineStr">
        <is>
          <t xml:space="preserve">BX </t>
        </is>
      </c>
      <c r="S1916" t="n">
        <v>4</v>
      </c>
      <c r="T1916" t="n">
        <v>4</v>
      </c>
      <c r="U1916" t="inlineStr">
        <is>
          <t>2010-12-06</t>
        </is>
      </c>
      <c r="V1916" t="inlineStr">
        <is>
          <t>2010-12-06</t>
        </is>
      </c>
      <c r="W1916" t="inlineStr">
        <is>
          <t>1996-08-29</t>
        </is>
      </c>
      <c r="X1916" t="inlineStr">
        <is>
          <t>1996-08-29</t>
        </is>
      </c>
      <c r="Y1916" t="n">
        <v>37</v>
      </c>
      <c r="Z1916" t="n">
        <v>33</v>
      </c>
      <c r="AA1916" t="n">
        <v>356</v>
      </c>
      <c r="AB1916" t="n">
        <v>2</v>
      </c>
      <c r="AC1916" t="n">
        <v>3</v>
      </c>
      <c r="AD1916" t="n">
        <v>1</v>
      </c>
      <c r="AE1916" t="n">
        <v>13</v>
      </c>
      <c r="AF1916" t="n">
        <v>0</v>
      </c>
      <c r="AG1916" t="n">
        <v>2</v>
      </c>
      <c r="AH1916" t="n">
        <v>0</v>
      </c>
      <c r="AI1916" t="n">
        <v>4</v>
      </c>
      <c r="AJ1916" t="n">
        <v>0</v>
      </c>
      <c r="AK1916" t="n">
        <v>8</v>
      </c>
      <c r="AL1916" t="n">
        <v>1</v>
      </c>
      <c r="AM1916" t="n">
        <v>1</v>
      </c>
      <c r="AN1916" t="n">
        <v>0</v>
      </c>
      <c r="AO1916" t="n">
        <v>0</v>
      </c>
      <c r="AP1916" t="inlineStr">
        <is>
          <t>No</t>
        </is>
      </c>
      <c r="AQ1916" t="inlineStr">
        <is>
          <t>No</t>
        </is>
      </c>
      <c r="AS1916">
        <f>HYPERLINK("https://creighton-primo.hosted.exlibrisgroup.com/primo-explore/search?tab=default_tab&amp;search_scope=EVERYTHING&amp;vid=01CRU&amp;lang=en_US&amp;offset=0&amp;query=any,contains,991002433719702656","Catalog Record")</f>
        <v/>
      </c>
      <c r="AT1916">
        <f>HYPERLINK("http://www.worldcat.org/oclc/31737854","WorldCat Record")</f>
        <v/>
      </c>
      <c r="AU1916" t="inlineStr">
        <is>
          <t>12764623:eng</t>
        </is>
      </c>
      <c r="AV1916" t="inlineStr">
        <is>
          <t>31737854</t>
        </is>
      </c>
      <c r="AW1916" t="inlineStr">
        <is>
          <t>991002433719702656</t>
        </is>
      </c>
      <c r="AX1916" t="inlineStr">
        <is>
          <t>991002433719702656</t>
        </is>
      </c>
      <c r="AY1916" t="inlineStr">
        <is>
          <t>2263567800002656</t>
        </is>
      </c>
      <c r="AZ1916" t="inlineStr">
        <is>
          <t>BOOK</t>
        </is>
      </c>
      <c r="BB1916" t="inlineStr">
        <is>
          <t>9780310486916</t>
        </is>
      </c>
      <c r="BC1916" t="inlineStr">
        <is>
          <t>32285002293172</t>
        </is>
      </c>
      <c r="BD1916" t="inlineStr">
        <is>
          <t>893879925</t>
        </is>
      </c>
    </row>
    <row r="1917">
      <c r="A1917" t="inlineStr">
        <is>
          <t>No</t>
        </is>
      </c>
      <c r="B1917" t="inlineStr">
        <is>
          <t>BX4651.2 .J68 1975</t>
        </is>
      </c>
      <c r="C1917" t="inlineStr">
        <is>
          <t>0                      BX 4651200J  68          1975</t>
        </is>
      </c>
      <c r="D1917" t="inlineStr">
        <is>
          <t>Journeys : the impact of personal experience on religious thought / edited by Gregory Baum.</t>
        </is>
      </c>
      <c r="F1917" t="inlineStr">
        <is>
          <t>No</t>
        </is>
      </c>
      <c r="G1917" t="inlineStr">
        <is>
          <t>1</t>
        </is>
      </c>
      <c r="H1917" t="inlineStr">
        <is>
          <t>No</t>
        </is>
      </c>
      <c r="I1917" t="inlineStr">
        <is>
          <t>No</t>
        </is>
      </c>
      <c r="J1917" t="inlineStr">
        <is>
          <t>0</t>
        </is>
      </c>
      <c r="L1917" t="inlineStr">
        <is>
          <t>New York : Paulist Press, c1975.</t>
        </is>
      </c>
      <c r="M1917" t="inlineStr">
        <is>
          <t>1975</t>
        </is>
      </c>
      <c r="O1917" t="inlineStr">
        <is>
          <t>eng</t>
        </is>
      </c>
      <c r="P1917" t="inlineStr">
        <is>
          <t>nyu</t>
        </is>
      </c>
      <c r="R1917" t="inlineStr">
        <is>
          <t xml:space="preserve">BX </t>
        </is>
      </c>
      <c r="S1917" t="n">
        <v>2</v>
      </c>
      <c r="T1917" t="n">
        <v>2</v>
      </c>
      <c r="U1917" t="inlineStr">
        <is>
          <t>1997-06-18</t>
        </is>
      </c>
      <c r="V1917" t="inlineStr">
        <is>
          <t>1997-06-18</t>
        </is>
      </c>
      <c r="W1917" t="inlineStr">
        <is>
          <t>1990-06-26</t>
        </is>
      </c>
      <c r="X1917" t="inlineStr">
        <is>
          <t>1990-06-26</t>
        </is>
      </c>
      <c r="Y1917" t="n">
        <v>360</v>
      </c>
      <c r="Z1917" t="n">
        <v>303</v>
      </c>
      <c r="AA1917" t="n">
        <v>309</v>
      </c>
      <c r="AB1917" t="n">
        <v>3</v>
      </c>
      <c r="AC1917" t="n">
        <v>3</v>
      </c>
      <c r="AD1917" t="n">
        <v>34</v>
      </c>
      <c r="AE1917" t="n">
        <v>34</v>
      </c>
      <c r="AF1917" t="n">
        <v>13</v>
      </c>
      <c r="AG1917" t="n">
        <v>13</v>
      </c>
      <c r="AH1917" t="n">
        <v>8</v>
      </c>
      <c r="AI1917" t="n">
        <v>8</v>
      </c>
      <c r="AJ1917" t="n">
        <v>24</v>
      </c>
      <c r="AK1917" t="n">
        <v>24</v>
      </c>
      <c r="AL1917" t="n">
        <v>2</v>
      </c>
      <c r="AM1917" t="n">
        <v>2</v>
      </c>
      <c r="AN1917" t="n">
        <v>0</v>
      </c>
      <c r="AO1917" t="n">
        <v>0</v>
      </c>
      <c r="AP1917" t="inlineStr">
        <is>
          <t>No</t>
        </is>
      </c>
      <c r="AQ1917" t="inlineStr">
        <is>
          <t>No</t>
        </is>
      </c>
      <c r="AS1917">
        <f>HYPERLINK("https://creighton-primo.hosted.exlibrisgroup.com/primo-explore/search?tab=default_tab&amp;search_scope=EVERYTHING&amp;vid=01CRU&amp;lang=en_US&amp;offset=0&amp;query=any,contains,991003990619702656","Catalog Record")</f>
        <v/>
      </c>
      <c r="AT1917">
        <f>HYPERLINK("http://www.worldcat.org/oclc/2045042","WorldCat Record")</f>
        <v/>
      </c>
      <c r="AU1917" t="inlineStr">
        <is>
          <t>54099124:eng</t>
        </is>
      </c>
      <c r="AV1917" t="inlineStr">
        <is>
          <t>2045042</t>
        </is>
      </c>
      <c r="AW1917" t="inlineStr">
        <is>
          <t>991003990619702656</t>
        </is>
      </c>
      <c r="AX1917" t="inlineStr">
        <is>
          <t>991003990619702656</t>
        </is>
      </c>
      <c r="AY1917" t="inlineStr">
        <is>
          <t>2267204770002656</t>
        </is>
      </c>
      <c r="AZ1917" t="inlineStr">
        <is>
          <t>BOOK</t>
        </is>
      </c>
      <c r="BB1917" t="inlineStr">
        <is>
          <t>9780809102044</t>
        </is>
      </c>
      <c r="BC1917" t="inlineStr">
        <is>
          <t>32285000215144</t>
        </is>
      </c>
      <c r="BD1917" t="inlineStr">
        <is>
          <t>893869152</t>
        </is>
      </c>
    </row>
    <row r="1918">
      <c r="A1918" t="inlineStr">
        <is>
          <t>No</t>
        </is>
      </c>
      <c r="B1918" t="inlineStr">
        <is>
          <t>BX4651.2 .K5 1966</t>
        </is>
      </c>
      <c r="C1918" t="inlineStr">
        <is>
          <t>0                      BX 4651200K  5           1966</t>
        </is>
      </c>
      <c r="D1918" t="inlineStr">
        <is>
          <t>The wings of eagles / [by] Glenn D. Kittler</t>
        </is>
      </c>
      <c r="F1918" t="inlineStr">
        <is>
          <t>No</t>
        </is>
      </c>
      <c r="G1918" t="inlineStr">
        <is>
          <t>1</t>
        </is>
      </c>
      <c r="H1918" t="inlineStr">
        <is>
          <t>No</t>
        </is>
      </c>
      <c r="I1918" t="inlineStr">
        <is>
          <t>No</t>
        </is>
      </c>
      <c r="J1918" t="inlineStr">
        <is>
          <t>0</t>
        </is>
      </c>
      <c r="K1918" t="inlineStr">
        <is>
          <t>Kittler, Glenn D.</t>
        </is>
      </c>
      <c r="L1918" t="inlineStr">
        <is>
          <t>Garden City, New York : Doubleday, [c1966]</t>
        </is>
      </c>
      <c r="M1918" t="inlineStr">
        <is>
          <t>1966</t>
        </is>
      </c>
      <c r="N1918" t="inlineStr">
        <is>
          <t>[1st ed.]</t>
        </is>
      </c>
      <c r="O1918" t="inlineStr">
        <is>
          <t>eng</t>
        </is>
      </c>
      <c r="P1918" t="inlineStr">
        <is>
          <t>nyu</t>
        </is>
      </c>
      <c r="R1918" t="inlineStr">
        <is>
          <t xml:space="preserve">BX </t>
        </is>
      </c>
      <c r="S1918" t="n">
        <v>2</v>
      </c>
      <c r="T1918" t="n">
        <v>2</v>
      </c>
      <c r="U1918" t="inlineStr">
        <is>
          <t>1994-05-25</t>
        </is>
      </c>
      <c r="V1918" t="inlineStr">
        <is>
          <t>1994-05-25</t>
        </is>
      </c>
      <c r="W1918" t="inlineStr">
        <is>
          <t>1991-11-18</t>
        </is>
      </c>
      <c r="X1918" t="inlineStr">
        <is>
          <t>1991-11-18</t>
        </is>
      </c>
      <c r="Y1918" t="n">
        <v>285</v>
      </c>
      <c r="Z1918" t="n">
        <v>277</v>
      </c>
      <c r="AA1918" t="n">
        <v>295</v>
      </c>
      <c r="AB1918" t="n">
        <v>1</v>
      </c>
      <c r="AC1918" t="n">
        <v>1</v>
      </c>
      <c r="AD1918" t="n">
        <v>18</v>
      </c>
      <c r="AE1918" t="n">
        <v>20</v>
      </c>
      <c r="AF1918" t="n">
        <v>5</v>
      </c>
      <c r="AG1918" t="n">
        <v>5</v>
      </c>
      <c r="AH1918" t="n">
        <v>3</v>
      </c>
      <c r="AI1918" t="n">
        <v>5</v>
      </c>
      <c r="AJ1918" t="n">
        <v>15</v>
      </c>
      <c r="AK1918" t="n">
        <v>16</v>
      </c>
      <c r="AL1918" t="n">
        <v>0</v>
      </c>
      <c r="AM1918" t="n">
        <v>0</v>
      </c>
      <c r="AN1918" t="n">
        <v>0</v>
      </c>
      <c r="AO1918" t="n">
        <v>0</v>
      </c>
      <c r="AP1918" t="inlineStr">
        <is>
          <t>No</t>
        </is>
      </c>
      <c r="AQ1918" t="inlineStr">
        <is>
          <t>No</t>
        </is>
      </c>
      <c r="AS1918">
        <f>HYPERLINK("https://creighton-primo.hosted.exlibrisgroup.com/primo-explore/search?tab=default_tab&amp;search_scope=EVERYTHING&amp;vid=01CRU&amp;lang=en_US&amp;offset=0&amp;query=any,contains,991003686639702656","Catalog Record")</f>
        <v/>
      </c>
      <c r="AT1918">
        <f>HYPERLINK("http://www.worldcat.org/oclc/1314996","WorldCat Record")</f>
        <v/>
      </c>
      <c r="AU1918" t="inlineStr">
        <is>
          <t>2189528:eng</t>
        </is>
      </c>
      <c r="AV1918" t="inlineStr">
        <is>
          <t>1314996</t>
        </is>
      </c>
      <c r="AW1918" t="inlineStr">
        <is>
          <t>991003686639702656</t>
        </is>
      </c>
      <c r="AX1918" t="inlineStr">
        <is>
          <t>991003686639702656</t>
        </is>
      </c>
      <c r="AY1918" t="inlineStr">
        <is>
          <t>2270530870002656</t>
        </is>
      </c>
      <c r="AZ1918" t="inlineStr">
        <is>
          <t>BOOK</t>
        </is>
      </c>
      <c r="BC1918" t="inlineStr">
        <is>
          <t>32285000854199</t>
        </is>
      </c>
      <c r="BD1918" t="inlineStr">
        <is>
          <t>893810113</t>
        </is>
      </c>
    </row>
    <row r="1919">
      <c r="A1919" t="inlineStr">
        <is>
          <t>No</t>
        </is>
      </c>
      <c r="B1919" t="inlineStr">
        <is>
          <t>BX4651.2 .W54 1973</t>
        </is>
      </c>
      <c r="C1919" t="inlineStr">
        <is>
          <t>0                      BX 4651200W  54          1973</t>
        </is>
      </c>
      <c r="D1919" t="inlineStr">
        <is>
          <t>These priests stay / Paul Wilkes.</t>
        </is>
      </c>
      <c r="F1919" t="inlineStr">
        <is>
          <t>No</t>
        </is>
      </c>
      <c r="G1919" t="inlineStr">
        <is>
          <t>1</t>
        </is>
      </c>
      <c r="H1919" t="inlineStr">
        <is>
          <t>No</t>
        </is>
      </c>
      <c r="I1919" t="inlineStr">
        <is>
          <t>No</t>
        </is>
      </c>
      <c r="J1919" t="inlineStr">
        <is>
          <t>0</t>
        </is>
      </c>
      <c r="K1919" t="inlineStr">
        <is>
          <t>Wilkes, Paul, 1938-</t>
        </is>
      </c>
      <c r="L1919" t="inlineStr">
        <is>
          <t>New York : Simon and Schuster, c1973.</t>
        </is>
      </c>
      <c r="M1919" t="inlineStr">
        <is>
          <t>1973</t>
        </is>
      </c>
      <c r="O1919" t="inlineStr">
        <is>
          <t>eng</t>
        </is>
      </c>
      <c r="P1919" t="inlineStr">
        <is>
          <t>nyu</t>
        </is>
      </c>
      <c r="R1919" t="inlineStr">
        <is>
          <t xml:space="preserve">BX </t>
        </is>
      </c>
      <c r="S1919" t="n">
        <v>1</v>
      </c>
      <c r="T1919" t="n">
        <v>1</v>
      </c>
      <c r="U1919" t="inlineStr">
        <is>
          <t>2009-07-28</t>
        </is>
      </c>
      <c r="V1919" t="inlineStr">
        <is>
          <t>2009-07-28</t>
        </is>
      </c>
      <c r="W1919" t="inlineStr">
        <is>
          <t>2009-07-28</t>
        </is>
      </c>
      <c r="X1919" t="inlineStr">
        <is>
          <t>2009-07-28</t>
        </is>
      </c>
      <c r="Y1919" t="n">
        <v>313</v>
      </c>
      <c r="Z1919" t="n">
        <v>292</v>
      </c>
      <c r="AA1919" t="n">
        <v>297</v>
      </c>
      <c r="AB1919" t="n">
        <v>2</v>
      </c>
      <c r="AC1919" t="n">
        <v>2</v>
      </c>
      <c r="AD1919" t="n">
        <v>19</v>
      </c>
      <c r="AE1919" t="n">
        <v>19</v>
      </c>
      <c r="AF1919" t="n">
        <v>4</v>
      </c>
      <c r="AG1919" t="n">
        <v>4</v>
      </c>
      <c r="AH1919" t="n">
        <v>7</v>
      </c>
      <c r="AI1919" t="n">
        <v>7</v>
      </c>
      <c r="AJ1919" t="n">
        <v>12</v>
      </c>
      <c r="AK1919" t="n">
        <v>12</v>
      </c>
      <c r="AL1919" t="n">
        <v>1</v>
      </c>
      <c r="AM1919" t="n">
        <v>1</v>
      </c>
      <c r="AN1919" t="n">
        <v>0</v>
      </c>
      <c r="AO1919" t="n">
        <v>0</v>
      </c>
      <c r="AP1919" t="inlineStr">
        <is>
          <t>No</t>
        </is>
      </c>
      <c r="AQ1919" t="inlineStr">
        <is>
          <t>No</t>
        </is>
      </c>
      <c r="AS1919">
        <f>HYPERLINK("https://creighton-primo.hosted.exlibrisgroup.com/primo-explore/search?tab=default_tab&amp;search_scope=EVERYTHING&amp;vid=01CRU&amp;lang=en_US&amp;offset=0&amp;query=any,contains,991005328379702656","Catalog Record")</f>
        <v/>
      </c>
      <c r="AT1919">
        <f>HYPERLINK("http://www.worldcat.org/oclc/842821","WorldCat Record")</f>
        <v/>
      </c>
      <c r="AU1919" t="inlineStr">
        <is>
          <t>1795175:eng</t>
        </is>
      </c>
      <c r="AV1919" t="inlineStr">
        <is>
          <t>842821</t>
        </is>
      </c>
      <c r="AW1919" t="inlineStr">
        <is>
          <t>991005328379702656</t>
        </is>
      </c>
      <c r="AX1919" t="inlineStr">
        <is>
          <t>991005328379702656</t>
        </is>
      </c>
      <c r="AY1919" t="inlineStr">
        <is>
          <t>2265553980002656</t>
        </is>
      </c>
      <c r="AZ1919" t="inlineStr">
        <is>
          <t>BOOK</t>
        </is>
      </c>
      <c r="BB1919" t="inlineStr">
        <is>
          <t>9780671216771</t>
        </is>
      </c>
      <c r="BC1919" t="inlineStr">
        <is>
          <t>32285005539720</t>
        </is>
      </c>
      <c r="BD1919" t="inlineStr">
        <is>
          <t>893625827</t>
        </is>
      </c>
    </row>
    <row r="1920">
      <c r="A1920" t="inlineStr">
        <is>
          <t>No</t>
        </is>
      </c>
      <c r="B1920" t="inlineStr">
        <is>
          <t>BX4651.3 .C86 2007</t>
        </is>
      </c>
      <c r="C1920" t="inlineStr">
        <is>
          <t>0                      BX 4651300C  86          2007</t>
        </is>
      </c>
      <c r="D1920" t="inlineStr">
        <is>
          <t>Prophets, guardians, and saints : shapers of modern Catholic history / Owen F. Cummings.</t>
        </is>
      </c>
      <c r="F1920" t="inlineStr">
        <is>
          <t>No</t>
        </is>
      </c>
      <c r="G1920" t="inlineStr">
        <is>
          <t>1</t>
        </is>
      </c>
      <c r="H1920" t="inlineStr">
        <is>
          <t>No</t>
        </is>
      </c>
      <c r="I1920" t="inlineStr">
        <is>
          <t>No</t>
        </is>
      </c>
      <c r="J1920" t="inlineStr">
        <is>
          <t>0</t>
        </is>
      </c>
      <c r="K1920" t="inlineStr">
        <is>
          <t>Cummings, Owen F.</t>
        </is>
      </c>
      <c r="L1920" t="inlineStr">
        <is>
          <t>New York : Paulist Press, c2007.</t>
        </is>
      </c>
      <c r="M1920" t="inlineStr">
        <is>
          <t>2007</t>
        </is>
      </c>
      <c r="O1920" t="inlineStr">
        <is>
          <t>eng</t>
        </is>
      </c>
      <c r="P1920" t="inlineStr">
        <is>
          <t>nyu</t>
        </is>
      </c>
      <c r="R1920" t="inlineStr">
        <is>
          <t xml:space="preserve">BX </t>
        </is>
      </c>
      <c r="S1920" t="n">
        <v>3</v>
      </c>
      <c r="T1920" t="n">
        <v>3</v>
      </c>
      <c r="U1920" t="inlineStr">
        <is>
          <t>2010-02-02</t>
        </is>
      </c>
      <c r="V1920" t="inlineStr">
        <is>
          <t>2010-02-02</t>
        </is>
      </c>
      <c r="W1920" t="inlineStr">
        <is>
          <t>2008-10-07</t>
        </is>
      </c>
      <c r="X1920" t="inlineStr">
        <is>
          <t>2008-10-07</t>
        </is>
      </c>
      <c r="Y1920" t="n">
        <v>114</v>
      </c>
      <c r="Z1920" t="n">
        <v>97</v>
      </c>
      <c r="AA1920" t="n">
        <v>97</v>
      </c>
      <c r="AB1920" t="n">
        <v>1</v>
      </c>
      <c r="AC1920" t="n">
        <v>1</v>
      </c>
      <c r="AD1920" t="n">
        <v>15</v>
      </c>
      <c r="AE1920" t="n">
        <v>15</v>
      </c>
      <c r="AF1920" t="n">
        <v>6</v>
      </c>
      <c r="AG1920" t="n">
        <v>6</v>
      </c>
      <c r="AH1920" t="n">
        <v>5</v>
      </c>
      <c r="AI1920" t="n">
        <v>5</v>
      </c>
      <c r="AJ1920" t="n">
        <v>10</v>
      </c>
      <c r="AK1920" t="n">
        <v>10</v>
      </c>
      <c r="AL1920" t="n">
        <v>0</v>
      </c>
      <c r="AM1920" t="n">
        <v>0</v>
      </c>
      <c r="AN1920" t="n">
        <v>0</v>
      </c>
      <c r="AO1920" t="n">
        <v>0</v>
      </c>
      <c r="AP1920" t="inlineStr">
        <is>
          <t>No</t>
        </is>
      </c>
      <c r="AQ1920" t="inlineStr">
        <is>
          <t>No</t>
        </is>
      </c>
      <c r="AS1920">
        <f>HYPERLINK("https://creighton-primo.hosted.exlibrisgroup.com/primo-explore/search?tab=default_tab&amp;search_scope=EVERYTHING&amp;vid=01CRU&amp;lang=en_US&amp;offset=0&amp;query=any,contains,991005261809702656","Catalog Record")</f>
        <v/>
      </c>
      <c r="AT1920">
        <f>HYPERLINK("http://www.worldcat.org/oclc/76786648","WorldCat Record")</f>
        <v/>
      </c>
      <c r="AU1920" t="inlineStr">
        <is>
          <t>62565244:eng</t>
        </is>
      </c>
      <c r="AV1920" t="inlineStr">
        <is>
          <t>76786648</t>
        </is>
      </c>
      <c r="AW1920" t="inlineStr">
        <is>
          <t>991005261809702656</t>
        </is>
      </c>
      <c r="AX1920" t="inlineStr">
        <is>
          <t>991005261809702656</t>
        </is>
      </c>
      <c r="AY1920" t="inlineStr">
        <is>
          <t>2263985140002656</t>
        </is>
      </c>
      <c r="AZ1920" t="inlineStr">
        <is>
          <t>BOOK</t>
        </is>
      </c>
      <c r="BB1920" t="inlineStr">
        <is>
          <t>9780809144464</t>
        </is>
      </c>
      <c r="BC1920" t="inlineStr">
        <is>
          <t>32285005461842</t>
        </is>
      </c>
      <c r="BD1920" t="inlineStr">
        <is>
          <t>893889940</t>
        </is>
      </c>
    </row>
    <row r="1921">
      <c r="A1921" t="inlineStr">
        <is>
          <t>No</t>
        </is>
      </c>
      <c r="B1921" t="inlineStr">
        <is>
          <t>BX4652 .E5 1956</t>
        </is>
      </c>
      <c r="C1921" t="inlineStr">
        <is>
          <t>0                      BX 4652000E  5           1956</t>
        </is>
      </c>
      <c r="D1921" t="inlineStr">
        <is>
          <t>Adventurer saints : Joan of Arc, Martin of Tours, Peter Chanel, Juniṕero Serra [and] Giles of Assisi / Translated by Donal O'Kelly.</t>
        </is>
      </c>
      <c r="F1921" t="inlineStr">
        <is>
          <t>No</t>
        </is>
      </c>
      <c r="G1921" t="inlineStr">
        <is>
          <t>1</t>
        </is>
      </c>
      <c r="H1921" t="inlineStr">
        <is>
          <t>No</t>
        </is>
      </c>
      <c r="I1921" t="inlineStr">
        <is>
          <t>No</t>
        </is>
      </c>
      <c r="J1921" t="inlineStr">
        <is>
          <t>0</t>
        </is>
      </c>
      <c r="K1921" t="inlineStr">
        <is>
          <t>Englebert, Omer, 1893-1991.</t>
        </is>
      </c>
      <c r="L1921" t="inlineStr">
        <is>
          <t>New York : Kenedy, [1956]</t>
        </is>
      </c>
      <c r="M1921" t="inlineStr">
        <is>
          <t>1956</t>
        </is>
      </c>
      <c r="O1921" t="inlineStr">
        <is>
          <t>eng</t>
        </is>
      </c>
      <c r="P1921" t="inlineStr">
        <is>
          <t xml:space="preserve">xx </t>
        </is>
      </c>
      <c r="R1921" t="inlineStr">
        <is>
          <t xml:space="preserve">BX </t>
        </is>
      </c>
      <c r="S1921" t="n">
        <v>7</v>
      </c>
      <c r="T1921" t="n">
        <v>7</v>
      </c>
      <c r="U1921" t="inlineStr">
        <is>
          <t>1999-11-28</t>
        </is>
      </c>
      <c r="V1921" t="inlineStr">
        <is>
          <t>1999-11-28</t>
        </is>
      </c>
      <c r="W1921" t="inlineStr">
        <is>
          <t>1990-05-08</t>
        </is>
      </c>
      <c r="X1921" t="inlineStr">
        <is>
          <t>1990-05-08</t>
        </is>
      </c>
      <c r="Y1921" t="n">
        <v>188</v>
      </c>
      <c r="Z1921" t="n">
        <v>186</v>
      </c>
      <c r="AA1921" t="n">
        <v>196</v>
      </c>
      <c r="AB1921" t="n">
        <v>6</v>
      </c>
      <c r="AC1921" t="n">
        <v>6</v>
      </c>
      <c r="AD1921" t="n">
        <v>13</v>
      </c>
      <c r="AE1921" t="n">
        <v>13</v>
      </c>
      <c r="AF1921" t="n">
        <v>3</v>
      </c>
      <c r="AG1921" t="n">
        <v>3</v>
      </c>
      <c r="AH1921" t="n">
        <v>3</v>
      </c>
      <c r="AI1921" t="n">
        <v>3</v>
      </c>
      <c r="AJ1921" t="n">
        <v>9</v>
      </c>
      <c r="AK1921" t="n">
        <v>9</v>
      </c>
      <c r="AL1921" t="n">
        <v>1</v>
      </c>
      <c r="AM1921" t="n">
        <v>1</v>
      </c>
      <c r="AN1921" t="n">
        <v>0</v>
      </c>
      <c r="AO1921" t="n">
        <v>0</v>
      </c>
      <c r="AP1921" t="inlineStr">
        <is>
          <t>No</t>
        </is>
      </c>
      <c r="AQ1921" t="inlineStr">
        <is>
          <t>Yes</t>
        </is>
      </c>
      <c r="AR1921">
        <f>HYPERLINK("http://catalog.hathitrust.org/Record/006126086","HathiTrust Record")</f>
        <v/>
      </c>
      <c r="AS1921">
        <f>HYPERLINK("https://creighton-primo.hosted.exlibrisgroup.com/primo-explore/search?tab=default_tab&amp;search_scope=EVERYTHING&amp;vid=01CRU&amp;lang=en_US&amp;offset=0&amp;query=any,contains,991003723329702656","Catalog Record")</f>
        <v/>
      </c>
      <c r="AT1921">
        <f>HYPERLINK("http://www.worldcat.org/oclc/1368015","WorldCat Record")</f>
        <v/>
      </c>
      <c r="AU1921" t="inlineStr">
        <is>
          <t>2278500:eng</t>
        </is>
      </c>
      <c r="AV1921" t="inlineStr">
        <is>
          <t>1368015</t>
        </is>
      </c>
      <c r="AW1921" t="inlineStr">
        <is>
          <t>991003723329702656</t>
        </is>
      </c>
      <c r="AX1921" t="inlineStr">
        <is>
          <t>991003723329702656</t>
        </is>
      </c>
      <c r="AY1921" t="inlineStr">
        <is>
          <t>2272162520002656</t>
        </is>
      </c>
      <c r="AZ1921" t="inlineStr">
        <is>
          <t>BOOK</t>
        </is>
      </c>
      <c r="BC1921" t="inlineStr">
        <is>
          <t>32285000150598</t>
        </is>
      </c>
      <c r="BD1921" t="inlineStr">
        <is>
          <t>893410599</t>
        </is>
      </c>
    </row>
    <row r="1922">
      <c r="A1922" t="inlineStr">
        <is>
          <t>No</t>
        </is>
      </c>
      <c r="B1922" t="inlineStr">
        <is>
          <t>BX4652 .K7 1949</t>
        </is>
      </c>
      <c r="C1922" t="inlineStr">
        <is>
          <t>0                      BX 4652000K  7           1949</t>
        </is>
      </c>
      <c r="D1922" t="inlineStr">
        <is>
          <t>Crucified with Christ.</t>
        </is>
      </c>
      <c r="F1922" t="inlineStr">
        <is>
          <t>No</t>
        </is>
      </c>
      <c r="G1922" t="inlineStr">
        <is>
          <t>1</t>
        </is>
      </c>
      <c r="H1922" t="inlineStr">
        <is>
          <t>No</t>
        </is>
      </c>
      <c r="I1922" t="inlineStr">
        <is>
          <t>No</t>
        </is>
      </c>
      <c r="J1922" t="inlineStr">
        <is>
          <t>0</t>
        </is>
      </c>
      <c r="K1922" t="inlineStr">
        <is>
          <t>Kramer, Herbert George.</t>
        </is>
      </c>
      <c r="L1922" t="inlineStr">
        <is>
          <t>New York : P. J. Kenedy, [c1949]</t>
        </is>
      </c>
      <c r="M1922" t="inlineStr">
        <is>
          <t>1949</t>
        </is>
      </c>
      <c r="O1922" t="inlineStr">
        <is>
          <t>eng</t>
        </is>
      </c>
      <c r="P1922" t="inlineStr">
        <is>
          <t xml:space="preserve">xx </t>
        </is>
      </c>
      <c r="Q1922" t="inlineStr">
        <is>
          <t>"An outgrowth of a series of Lenten sermons delivered on the topic of 'Friends of the Suffering Savior' in the Church of Our Lady of the Pillar, Saint Louis County, Missouri"</t>
        </is>
      </c>
      <c r="R1922" t="inlineStr">
        <is>
          <t xml:space="preserve">BX </t>
        </is>
      </c>
      <c r="S1922" t="n">
        <v>6</v>
      </c>
      <c r="T1922" t="n">
        <v>6</v>
      </c>
      <c r="U1922" t="inlineStr">
        <is>
          <t>2003-02-27</t>
        </is>
      </c>
      <c r="V1922" t="inlineStr">
        <is>
          <t>2003-02-27</t>
        </is>
      </c>
      <c r="W1922" t="inlineStr">
        <is>
          <t>1991-11-18</t>
        </is>
      </c>
      <c r="X1922" t="inlineStr">
        <is>
          <t>1991-11-18</t>
        </is>
      </c>
      <c r="Y1922" t="n">
        <v>112</v>
      </c>
      <c r="Z1922" t="n">
        <v>103</v>
      </c>
      <c r="AA1922" t="n">
        <v>109</v>
      </c>
      <c r="AB1922" t="n">
        <v>2</v>
      </c>
      <c r="AC1922" t="n">
        <v>2</v>
      </c>
      <c r="AD1922" t="n">
        <v>17</v>
      </c>
      <c r="AE1922" t="n">
        <v>17</v>
      </c>
      <c r="AF1922" t="n">
        <v>4</v>
      </c>
      <c r="AG1922" t="n">
        <v>4</v>
      </c>
      <c r="AH1922" t="n">
        <v>4</v>
      </c>
      <c r="AI1922" t="n">
        <v>4</v>
      </c>
      <c r="AJ1922" t="n">
        <v>13</v>
      </c>
      <c r="AK1922" t="n">
        <v>13</v>
      </c>
      <c r="AL1922" t="n">
        <v>0</v>
      </c>
      <c r="AM1922" t="n">
        <v>0</v>
      </c>
      <c r="AN1922" t="n">
        <v>0</v>
      </c>
      <c r="AO1922" t="n">
        <v>0</v>
      </c>
      <c r="AP1922" t="inlineStr">
        <is>
          <t>Yes</t>
        </is>
      </c>
      <c r="AQ1922" t="inlineStr">
        <is>
          <t>No</t>
        </is>
      </c>
      <c r="AR1922">
        <f>HYPERLINK("http://catalog.hathitrust.org/Record/005789696","HathiTrust Record")</f>
        <v/>
      </c>
      <c r="AS1922">
        <f>HYPERLINK("https://creighton-primo.hosted.exlibrisgroup.com/primo-explore/search?tab=default_tab&amp;search_scope=EVERYTHING&amp;vid=01CRU&amp;lang=en_US&amp;offset=0&amp;query=any,contains,991003700949702656","Catalog Record")</f>
        <v/>
      </c>
      <c r="AT1922">
        <f>HYPERLINK("http://www.worldcat.org/oclc/1337046","WorldCat Record")</f>
        <v/>
      </c>
      <c r="AU1922" t="inlineStr">
        <is>
          <t>2225039:eng</t>
        </is>
      </c>
      <c r="AV1922" t="inlineStr">
        <is>
          <t>1337046</t>
        </is>
      </c>
      <c r="AW1922" t="inlineStr">
        <is>
          <t>991003700949702656</t>
        </is>
      </c>
      <c r="AX1922" t="inlineStr">
        <is>
          <t>991003700949702656</t>
        </is>
      </c>
      <c r="AY1922" t="inlineStr">
        <is>
          <t>2259519590002656</t>
        </is>
      </c>
      <c r="AZ1922" t="inlineStr">
        <is>
          <t>BOOK</t>
        </is>
      </c>
      <c r="BC1922" t="inlineStr">
        <is>
          <t>32285000854207</t>
        </is>
      </c>
      <c r="BD1922" t="inlineStr">
        <is>
          <t>893342903</t>
        </is>
      </c>
    </row>
    <row r="1923">
      <c r="A1923" t="inlineStr">
        <is>
          <t>No</t>
        </is>
      </c>
      <c r="B1923" t="inlineStr">
        <is>
          <t>BX4652 .M6 1943</t>
        </is>
      </c>
      <c r="C1923" t="inlineStr">
        <is>
          <t>0                      BX 4652000M  6           1943</t>
        </is>
      </c>
      <c r="D1923" t="inlineStr">
        <is>
          <t>A book of unlikely saints / by Margaret T. Monro.</t>
        </is>
      </c>
      <c r="F1923" t="inlineStr">
        <is>
          <t>No</t>
        </is>
      </c>
      <c r="G1923" t="inlineStr">
        <is>
          <t>1</t>
        </is>
      </c>
      <c r="H1923" t="inlineStr">
        <is>
          <t>No</t>
        </is>
      </c>
      <c r="I1923" t="inlineStr">
        <is>
          <t>No</t>
        </is>
      </c>
      <c r="J1923" t="inlineStr">
        <is>
          <t>0</t>
        </is>
      </c>
      <c r="K1923" t="inlineStr">
        <is>
          <t>Monro, Margaret T. (Margaret Theodora), 1896-</t>
        </is>
      </c>
      <c r="L1923" t="inlineStr">
        <is>
          <t>London ; New York [etc.] : Longmans, Green and co., [1943]</t>
        </is>
      </c>
      <c r="M1923" t="inlineStr">
        <is>
          <t>1943</t>
        </is>
      </c>
      <c r="O1923" t="inlineStr">
        <is>
          <t>eng</t>
        </is>
      </c>
      <c r="P1923" t="inlineStr">
        <is>
          <t xml:space="preserve">xx </t>
        </is>
      </c>
      <c r="R1923" t="inlineStr">
        <is>
          <t xml:space="preserve">BX </t>
        </is>
      </c>
      <c r="S1923" t="n">
        <v>8</v>
      </c>
      <c r="T1923" t="n">
        <v>8</v>
      </c>
      <c r="U1923" t="inlineStr">
        <is>
          <t>1993-07-14</t>
        </is>
      </c>
      <c r="V1923" t="inlineStr">
        <is>
          <t>1993-07-14</t>
        </is>
      </c>
      <c r="W1923" t="inlineStr">
        <is>
          <t>1991-11-18</t>
        </is>
      </c>
      <c r="X1923" t="inlineStr">
        <is>
          <t>1991-11-18</t>
        </is>
      </c>
      <c r="Y1923" t="n">
        <v>96</v>
      </c>
      <c r="Z1923" t="n">
        <v>78</v>
      </c>
      <c r="AA1923" t="n">
        <v>348</v>
      </c>
      <c r="AB1923" t="n">
        <v>1</v>
      </c>
      <c r="AC1923" t="n">
        <v>4</v>
      </c>
      <c r="AD1923" t="n">
        <v>11</v>
      </c>
      <c r="AE1923" t="n">
        <v>30</v>
      </c>
      <c r="AF1923" t="n">
        <v>2</v>
      </c>
      <c r="AG1923" t="n">
        <v>10</v>
      </c>
      <c r="AH1923" t="n">
        <v>3</v>
      </c>
      <c r="AI1923" t="n">
        <v>8</v>
      </c>
      <c r="AJ1923" t="n">
        <v>9</v>
      </c>
      <c r="AK1923" t="n">
        <v>17</v>
      </c>
      <c r="AL1923" t="n">
        <v>0</v>
      </c>
      <c r="AM1923" t="n">
        <v>3</v>
      </c>
      <c r="AN1923" t="n">
        <v>0</v>
      </c>
      <c r="AO1923" t="n">
        <v>0</v>
      </c>
      <c r="AP1923" t="inlineStr">
        <is>
          <t>No</t>
        </is>
      </c>
      <c r="AQ1923" t="inlineStr">
        <is>
          <t>Yes</t>
        </is>
      </c>
      <c r="AR1923">
        <f>HYPERLINK("http://catalog.hathitrust.org/Record/005792561","HathiTrust Record")</f>
        <v/>
      </c>
      <c r="AS1923">
        <f>HYPERLINK("https://creighton-primo.hosted.exlibrisgroup.com/primo-explore/search?tab=default_tab&amp;search_scope=EVERYTHING&amp;vid=01CRU&amp;lang=en_US&amp;offset=0&amp;query=any,contains,991004241229702656","Catalog Record")</f>
        <v/>
      </c>
      <c r="AT1923">
        <f>HYPERLINK("http://www.worldcat.org/oclc/2785751","WorldCat Record")</f>
        <v/>
      </c>
      <c r="AU1923" t="inlineStr">
        <is>
          <t>1235665:eng</t>
        </is>
      </c>
      <c r="AV1923" t="inlineStr">
        <is>
          <t>2785751</t>
        </is>
      </c>
      <c r="AW1923" t="inlineStr">
        <is>
          <t>991004241229702656</t>
        </is>
      </c>
      <c r="AX1923" t="inlineStr">
        <is>
          <t>991004241229702656</t>
        </is>
      </c>
      <c r="AY1923" t="inlineStr">
        <is>
          <t>2272183200002656</t>
        </is>
      </c>
      <c r="AZ1923" t="inlineStr">
        <is>
          <t>BOOK</t>
        </is>
      </c>
      <c r="BC1923" t="inlineStr">
        <is>
          <t>32285000854215</t>
        </is>
      </c>
      <c r="BD1923" t="inlineStr">
        <is>
          <t>893247334</t>
        </is>
      </c>
    </row>
    <row r="1924">
      <c r="A1924" t="inlineStr">
        <is>
          <t>No</t>
        </is>
      </c>
      <c r="B1924" t="inlineStr">
        <is>
          <t>BX4653 .B76 1976</t>
        </is>
      </c>
      <c r="C1924" t="inlineStr">
        <is>
          <t>0                      BX 4653000B  76          1976</t>
        </is>
      </c>
      <c r="D1924" t="inlineStr">
        <is>
          <t>The book of saints and friendly beasts / by Abbie Farwell Brown ; illustrated by Fanny Y. Cory.</t>
        </is>
      </c>
      <c r="F1924" t="inlineStr">
        <is>
          <t>No</t>
        </is>
      </c>
      <c r="G1924" t="inlineStr">
        <is>
          <t>1</t>
        </is>
      </c>
      <c r="H1924" t="inlineStr">
        <is>
          <t>No</t>
        </is>
      </c>
      <c r="I1924" t="inlineStr">
        <is>
          <t>No</t>
        </is>
      </c>
      <c r="J1924" t="inlineStr">
        <is>
          <t>0</t>
        </is>
      </c>
      <c r="K1924" t="inlineStr">
        <is>
          <t>Brown, Abbie Farwell, 1871-1927.</t>
        </is>
      </c>
      <c r="L1924" t="inlineStr">
        <is>
          <t>Great Neck, N.Y. : Core Collection Books, 1976.</t>
        </is>
      </c>
      <c r="M1924" t="inlineStr">
        <is>
          <t>1976</t>
        </is>
      </c>
      <c r="O1924" t="inlineStr">
        <is>
          <t>eng</t>
        </is>
      </c>
      <c r="P1924" t="inlineStr">
        <is>
          <t>nyu</t>
        </is>
      </c>
      <c r="Q1924" t="inlineStr">
        <is>
          <t>Children's literature reprint series</t>
        </is>
      </c>
      <c r="R1924" t="inlineStr">
        <is>
          <t xml:space="preserve">BX </t>
        </is>
      </c>
      <c r="S1924" t="n">
        <v>5</v>
      </c>
      <c r="T1924" t="n">
        <v>5</v>
      </c>
      <c r="U1924" t="inlineStr">
        <is>
          <t>2009-07-07</t>
        </is>
      </c>
      <c r="V1924" t="inlineStr">
        <is>
          <t>2009-07-07</t>
        </is>
      </c>
      <c r="W1924" t="inlineStr">
        <is>
          <t>1991-11-18</t>
        </is>
      </c>
      <c r="X1924" t="inlineStr">
        <is>
          <t>1991-11-18</t>
        </is>
      </c>
      <c r="Y1924" t="n">
        <v>61</v>
      </c>
      <c r="Z1924" t="n">
        <v>48</v>
      </c>
      <c r="AA1924" t="n">
        <v>209</v>
      </c>
      <c r="AB1924" t="n">
        <v>1</v>
      </c>
      <c r="AC1924" t="n">
        <v>2</v>
      </c>
      <c r="AD1924" t="n">
        <v>0</v>
      </c>
      <c r="AE1924" t="n">
        <v>4</v>
      </c>
      <c r="AF1924" t="n">
        <v>0</v>
      </c>
      <c r="AG1924" t="n">
        <v>1</v>
      </c>
      <c r="AH1924" t="n">
        <v>0</v>
      </c>
      <c r="AI1924" t="n">
        <v>2</v>
      </c>
      <c r="AJ1924" t="n">
        <v>0</v>
      </c>
      <c r="AK1924" t="n">
        <v>0</v>
      </c>
      <c r="AL1924" t="n">
        <v>0</v>
      </c>
      <c r="AM1924" t="n">
        <v>1</v>
      </c>
      <c r="AN1924" t="n">
        <v>0</v>
      </c>
      <c r="AO1924" t="n">
        <v>0</v>
      </c>
      <c r="AP1924" t="inlineStr">
        <is>
          <t>No</t>
        </is>
      </c>
      <c r="AQ1924" t="inlineStr">
        <is>
          <t>No</t>
        </is>
      </c>
      <c r="AS1924">
        <f>HYPERLINK("https://creighton-primo.hosted.exlibrisgroup.com/primo-explore/search?tab=default_tab&amp;search_scope=EVERYTHING&amp;vid=01CRU&amp;lang=en_US&amp;offset=0&amp;query=any,contains,991004177529702656","Catalog Record")</f>
        <v/>
      </c>
      <c r="AT1924">
        <f>HYPERLINK("http://www.worldcat.org/oclc/2597484","WorldCat Record")</f>
        <v/>
      </c>
      <c r="AU1924" t="inlineStr">
        <is>
          <t>115425179:eng</t>
        </is>
      </c>
      <c r="AV1924" t="inlineStr">
        <is>
          <t>2597484</t>
        </is>
      </c>
      <c r="AW1924" t="inlineStr">
        <is>
          <t>991004177529702656</t>
        </is>
      </c>
      <c r="AX1924" t="inlineStr">
        <is>
          <t>991004177529702656</t>
        </is>
      </c>
      <c r="AY1924" t="inlineStr">
        <is>
          <t>2268663340002656</t>
        </is>
      </c>
      <c r="AZ1924" t="inlineStr">
        <is>
          <t>BOOK</t>
        </is>
      </c>
      <c r="BB1924" t="inlineStr">
        <is>
          <t>9780848602024</t>
        </is>
      </c>
      <c r="BC1924" t="inlineStr">
        <is>
          <t>32285000854231</t>
        </is>
      </c>
      <c r="BD1924" t="inlineStr">
        <is>
          <t>893900914</t>
        </is>
      </c>
    </row>
    <row r="1925">
      <c r="A1925" t="inlineStr">
        <is>
          <t>No</t>
        </is>
      </c>
      <c r="B1925" t="inlineStr">
        <is>
          <t>BX4654 .G7414 1988</t>
        </is>
      </c>
      <c r="C1925" t="inlineStr">
        <is>
          <t>0                      BX 4654000G  7414        1988</t>
        </is>
      </c>
      <c r="D1925" t="inlineStr">
        <is>
          <t>Glory of the martyrs / Gregory of Tours ; translated with an introduction by Raymond Van Dam.</t>
        </is>
      </c>
      <c r="F1925" t="inlineStr">
        <is>
          <t>No</t>
        </is>
      </c>
      <c r="G1925" t="inlineStr">
        <is>
          <t>1</t>
        </is>
      </c>
      <c r="H1925" t="inlineStr">
        <is>
          <t>No</t>
        </is>
      </c>
      <c r="I1925" t="inlineStr">
        <is>
          <t>No</t>
        </is>
      </c>
      <c r="J1925" t="inlineStr">
        <is>
          <t>0</t>
        </is>
      </c>
      <c r="K1925" t="inlineStr">
        <is>
          <t>Gregory, Bishop of Tours, Saint, 538-594.</t>
        </is>
      </c>
      <c r="L1925" t="inlineStr">
        <is>
          <t>Liverpool : Liverpool University Press, 1988.</t>
        </is>
      </c>
      <c r="M1925" t="inlineStr">
        <is>
          <t>1988</t>
        </is>
      </c>
      <c r="O1925" t="inlineStr">
        <is>
          <t>eng</t>
        </is>
      </c>
      <c r="P1925" t="inlineStr">
        <is>
          <t>enk</t>
        </is>
      </c>
      <c r="Q1925" t="inlineStr">
        <is>
          <t>Translated texts for historians. Latin series ; 3</t>
        </is>
      </c>
      <c r="R1925" t="inlineStr">
        <is>
          <t xml:space="preserve">BX </t>
        </is>
      </c>
      <c r="S1925" t="n">
        <v>3</v>
      </c>
      <c r="T1925" t="n">
        <v>3</v>
      </c>
      <c r="U1925" t="inlineStr">
        <is>
          <t>2004-04-14</t>
        </is>
      </c>
      <c r="V1925" t="inlineStr">
        <is>
          <t>2004-04-14</t>
        </is>
      </c>
      <c r="W1925" t="inlineStr">
        <is>
          <t>1992-09-23</t>
        </is>
      </c>
      <c r="X1925" t="inlineStr">
        <is>
          <t>1992-09-23</t>
        </is>
      </c>
      <c r="Y1925" t="n">
        <v>353</v>
      </c>
      <c r="Z1925" t="n">
        <v>254</v>
      </c>
      <c r="AA1925" t="n">
        <v>268</v>
      </c>
      <c r="AB1925" t="n">
        <v>5</v>
      </c>
      <c r="AC1925" t="n">
        <v>5</v>
      </c>
      <c r="AD1925" t="n">
        <v>23</v>
      </c>
      <c r="AE1925" t="n">
        <v>23</v>
      </c>
      <c r="AF1925" t="n">
        <v>8</v>
      </c>
      <c r="AG1925" t="n">
        <v>8</v>
      </c>
      <c r="AH1925" t="n">
        <v>5</v>
      </c>
      <c r="AI1925" t="n">
        <v>5</v>
      </c>
      <c r="AJ1925" t="n">
        <v>13</v>
      </c>
      <c r="AK1925" t="n">
        <v>13</v>
      </c>
      <c r="AL1925" t="n">
        <v>4</v>
      </c>
      <c r="AM1925" t="n">
        <v>4</v>
      </c>
      <c r="AN1925" t="n">
        <v>0</v>
      </c>
      <c r="AO1925" t="n">
        <v>0</v>
      </c>
      <c r="AP1925" t="inlineStr">
        <is>
          <t>No</t>
        </is>
      </c>
      <c r="AQ1925" t="inlineStr">
        <is>
          <t>No</t>
        </is>
      </c>
      <c r="AS1925">
        <f>HYPERLINK("https://creighton-primo.hosted.exlibrisgroup.com/primo-explore/search?tab=default_tab&amp;search_scope=EVERYTHING&amp;vid=01CRU&amp;lang=en_US&amp;offset=0&amp;query=any,contains,991001346019702656","Catalog Record")</f>
        <v/>
      </c>
      <c r="AT1925">
        <f>HYPERLINK("http://www.worldcat.org/oclc/18414203","WorldCat Record")</f>
        <v/>
      </c>
      <c r="AU1925" t="inlineStr">
        <is>
          <t>138719548:eng</t>
        </is>
      </c>
      <c r="AV1925" t="inlineStr">
        <is>
          <t>18414203</t>
        </is>
      </c>
      <c r="AW1925" t="inlineStr">
        <is>
          <t>991001346019702656</t>
        </is>
      </c>
      <c r="AX1925" t="inlineStr">
        <is>
          <t>991001346019702656</t>
        </is>
      </c>
      <c r="AY1925" t="inlineStr">
        <is>
          <t>2256055370002656</t>
        </is>
      </c>
      <c r="AZ1925" t="inlineStr">
        <is>
          <t>BOOK</t>
        </is>
      </c>
      <c r="BB1925" t="inlineStr">
        <is>
          <t>9780853232360</t>
        </is>
      </c>
      <c r="BC1925" t="inlineStr">
        <is>
          <t>32285001288645</t>
        </is>
      </c>
      <c r="BD1925" t="inlineStr">
        <is>
          <t>893872476</t>
        </is>
      </c>
    </row>
    <row r="1926">
      <c r="A1926" t="inlineStr">
        <is>
          <t>No</t>
        </is>
      </c>
      <c r="B1926" t="inlineStr">
        <is>
          <t>BX4654 .L4 1964</t>
        </is>
      </c>
      <c r="C1926" t="inlineStr">
        <is>
          <t>0                      BX 4654000L  4           1964</t>
        </is>
      </c>
      <c r="D1926" t="inlineStr">
        <is>
          <t>Letters from the saints / arr. and selected by a Benedictine of Stanbrook Abbey. With illus. by Vivian Berger.</t>
        </is>
      </c>
      <c r="F1926" t="inlineStr">
        <is>
          <t>No</t>
        </is>
      </c>
      <c r="G1926" t="inlineStr">
        <is>
          <t>1</t>
        </is>
      </c>
      <c r="H1926" t="inlineStr">
        <is>
          <t>No</t>
        </is>
      </c>
      <c r="I1926" t="inlineStr">
        <is>
          <t>No</t>
        </is>
      </c>
      <c r="J1926" t="inlineStr">
        <is>
          <t>0</t>
        </is>
      </c>
      <c r="L1926" t="inlineStr">
        <is>
          <t>New York : Hawthorn Books, [1964]</t>
        </is>
      </c>
      <c r="M1926" t="inlineStr">
        <is>
          <t>1964</t>
        </is>
      </c>
      <c r="O1926" t="inlineStr">
        <is>
          <t>eng</t>
        </is>
      </c>
      <c r="P1926" t="inlineStr">
        <is>
          <t>nyu</t>
        </is>
      </c>
      <c r="R1926" t="inlineStr">
        <is>
          <t xml:space="preserve">BX </t>
        </is>
      </c>
      <c r="S1926" t="n">
        <v>1</v>
      </c>
      <c r="T1926" t="n">
        <v>1</v>
      </c>
      <c r="U1926" t="inlineStr">
        <is>
          <t>2007-07-10</t>
        </is>
      </c>
      <c r="V1926" t="inlineStr">
        <is>
          <t>2007-07-10</t>
        </is>
      </c>
      <c r="W1926" t="inlineStr">
        <is>
          <t>1991-11-18</t>
        </is>
      </c>
      <c r="X1926" t="inlineStr">
        <is>
          <t>1991-11-18</t>
        </is>
      </c>
      <c r="Y1926" t="n">
        <v>160</v>
      </c>
      <c r="Z1926" t="n">
        <v>154</v>
      </c>
      <c r="AA1926" t="n">
        <v>156</v>
      </c>
      <c r="AB1926" t="n">
        <v>2</v>
      </c>
      <c r="AC1926" t="n">
        <v>2</v>
      </c>
      <c r="AD1926" t="n">
        <v>15</v>
      </c>
      <c r="AE1926" t="n">
        <v>15</v>
      </c>
      <c r="AF1926" t="n">
        <v>4</v>
      </c>
      <c r="AG1926" t="n">
        <v>4</v>
      </c>
      <c r="AH1926" t="n">
        <v>5</v>
      </c>
      <c r="AI1926" t="n">
        <v>5</v>
      </c>
      <c r="AJ1926" t="n">
        <v>12</v>
      </c>
      <c r="AK1926" t="n">
        <v>12</v>
      </c>
      <c r="AL1926" t="n">
        <v>0</v>
      </c>
      <c r="AM1926" t="n">
        <v>0</v>
      </c>
      <c r="AN1926" t="n">
        <v>0</v>
      </c>
      <c r="AO1926" t="n">
        <v>0</v>
      </c>
      <c r="AP1926" t="inlineStr">
        <is>
          <t>No</t>
        </is>
      </c>
      <c r="AQ1926" t="inlineStr">
        <is>
          <t>No</t>
        </is>
      </c>
      <c r="AS1926">
        <f>HYPERLINK("https://creighton-primo.hosted.exlibrisgroup.com/primo-explore/search?tab=default_tab&amp;search_scope=EVERYTHING&amp;vid=01CRU&amp;lang=en_US&amp;offset=0&amp;query=any,contains,991003852809702656","Catalog Record")</f>
        <v/>
      </c>
      <c r="AT1926">
        <f>HYPERLINK("http://www.worldcat.org/oclc/1648575","WorldCat Record")</f>
        <v/>
      </c>
      <c r="AU1926" t="inlineStr">
        <is>
          <t>1089948725:eng</t>
        </is>
      </c>
      <c r="AV1926" t="inlineStr">
        <is>
          <t>1648575</t>
        </is>
      </c>
      <c r="AW1926" t="inlineStr">
        <is>
          <t>991003852809702656</t>
        </is>
      </c>
      <c r="AX1926" t="inlineStr">
        <is>
          <t>991003852809702656</t>
        </is>
      </c>
      <c r="AY1926" t="inlineStr">
        <is>
          <t>2256250470002656</t>
        </is>
      </c>
      <c r="AZ1926" t="inlineStr">
        <is>
          <t>BOOK</t>
        </is>
      </c>
      <c r="BC1926" t="inlineStr">
        <is>
          <t>32285000854264</t>
        </is>
      </c>
      <c r="BD1926" t="inlineStr">
        <is>
          <t>893881630</t>
        </is>
      </c>
    </row>
    <row r="1927">
      <c r="A1927" t="inlineStr">
        <is>
          <t>No</t>
        </is>
      </c>
      <c r="B1927" t="inlineStr">
        <is>
          <t>BX4655 .C6 1941</t>
        </is>
      </c>
      <c r="C1927" t="inlineStr">
        <is>
          <t>0                      BX 4655000C  6           1941</t>
        </is>
      </c>
      <c r="D1927" t="inlineStr">
        <is>
          <t>Wings of eagles : the Jesuit saints and blessed / by Francis J. Corley and Robert J. Willmes.</t>
        </is>
      </c>
      <c r="F1927" t="inlineStr">
        <is>
          <t>No</t>
        </is>
      </c>
      <c r="G1927" t="inlineStr">
        <is>
          <t>1</t>
        </is>
      </c>
      <c r="H1927" t="inlineStr">
        <is>
          <t>No</t>
        </is>
      </c>
      <c r="I1927" t="inlineStr">
        <is>
          <t>No</t>
        </is>
      </c>
      <c r="J1927" t="inlineStr">
        <is>
          <t>0</t>
        </is>
      </c>
      <c r="K1927" t="inlineStr">
        <is>
          <t>Corley, Francis J.</t>
        </is>
      </c>
      <c r="L1927" t="inlineStr">
        <is>
          <t>Milwaukee : the Bruce publishing Co., [c1941]</t>
        </is>
      </c>
      <c r="M1927" t="inlineStr">
        <is>
          <t>1941</t>
        </is>
      </c>
      <c r="O1927" t="inlineStr">
        <is>
          <t>eng</t>
        </is>
      </c>
      <c r="P1927" t="inlineStr">
        <is>
          <t xml:space="preserve">xx </t>
        </is>
      </c>
      <c r="Q1927" t="inlineStr">
        <is>
          <t>Half-title: Science and culture series, Joseph Husslein, general editor.</t>
        </is>
      </c>
      <c r="R1927" t="inlineStr">
        <is>
          <t xml:space="preserve">BX </t>
        </is>
      </c>
      <c r="S1927" t="n">
        <v>2</v>
      </c>
      <c r="T1927" t="n">
        <v>2</v>
      </c>
      <c r="U1927" t="inlineStr">
        <is>
          <t>2008-04-21</t>
        </is>
      </c>
      <c r="V1927" t="inlineStr">
        <is>
          <t>2008-04-21</t>
        </is>
      </c>
      <c r="W1927" t="inlineStr">
        <is>
          <t>1991-11-18</t>
        </is>
      </c>
      <c r="X1927" t="inlineStr">
        <is>
          <t>1991-11-18</t>
        </is>
      </c>
      <c r="Y1927" t="n">
        <v>114</v>
      </c>
      <c r="Z1927" t="n">
        <v>102</v>
      </c>
      <c r="AA1927" t="n">
        <v>132</v>
      </c>
      <c r="AB1927" t="n">
        <v>2</v>
      </c>
      <c r="AC1927" t="n">
        <v>2</v>
      </c>
      <c r="AD1927" t="n">
        <v>28</v>
      </c>
      <c r="AE1927" t="n">
        <v>29</v>
      </c>
      <c r="AF1927" t="n">
        <v>9</v>
      </c>
      <c r="AG1927" t="n">
        <v>9</v>
      </c>
      <c r="AH1927" t="n">
        <v>5</v>
      </c>
      <c r="AI1927" t="n">
        <v>5</v>
      </c>
      <c r="AJ1927" t="n">
        <v>25</v>
      </c>
      <c r="AK1927" t="n">
        <v>26</v>
      </c>
      <c r="AL1927" t="n">
        <v>1</v>
      </c>
      <c r="AM1927" t="n">
        <v>1</v>
      </c>
      <c r="AN1927" t="n">
        <v>0</v>
      </c>
      <c r="AO1927" t="n">
        <v>0</v>
      </c>
      <c r="AP1927" t="inlineStr">
        <is>
          <t>No</t>
        </is>
      </c>
      <c r="AQ1927" t="inlineStr">
        <is>
          <t>No</t>
        </is>
      </c>
      <c r="AS1927">
        <f>HYPERLINK("https://creighton-primo.hosted.exlibrisgroup.com/primo-explore/search?tab=default_tab&amp;search_scope=EVERYTHING&amp;vid=01CRU&amp;lang=en_US&amp;offset=0&amp;query=any,contains,991003657919702656","Catalog Record")</f>
        <v/>
      </c>
      <c r="AT1927">
        <f>HYPERLINK("http://www.worldcat.org/oclc/1264131","WorldCat Record")</f>
        <v/>
      </c>
      <c r="AU1927" t="inlineStr">
        <is>
          <t>2188759:eng</t>
        </is>
      </c>
      <c r="AV1927" t="inlineStr">
        <is>
          <t>1264131</t>
        </is>
      </c>
      <c r="AW1927" t="inlineStr">
        <is>
          <t>991003657919702656</t>
        </is>
      </c>
      <c r="AX1927" t="inlineStr">
        <is>
          <t>991003657919702656</t>
        </is>
      </c>
      <c r="AY1927" t="inlineStr">
        <is>
          <t>2264201010002656</t>
        </is>
      </c>
      <c r="AZ1927" t="inlineStr">
        <is>
          <t>BOOK</t>
        </is>
      </c>
      <c r="BC1927" t="inlineStr">
        <is>
          <t>32285000854470</t>
        </is>
      </c>
      <c r="BD1927" t="inlineStr">
        <is>
          <t>893617571</t>
        </is>
      </c>
    </row>
    <row r="1928">
      <c r="A1928" t="inlineStr">
        <is>
          <t>No</t>
        </is>
      </c>
      <c r="B1928" t="inlineStr">
        <is>
          <t>BX4655 .L8 1952</t>
        </is>
      </c>
      <c r="C1928" t="inlineStr">
        <is>
          <t>0                      BX 4655000L  8           1952</t>
        </is>
      </c>
      <c r="D1928" t="inlineStr">
        <is>
          <t>Saints for now.</t>
        </is>
      </c>
      <c r="F1928" t="inlineStr">
        <is>
          <t>No</t>
        </is>
      </c>
      <c r="G1928" t="inlineStr">
        <is>
          <t>3</t>
        </is>
      </c>
      <c r="H1928" t="inlineStr">
        <is>
          <t>No</t>
        </is>
      </c>
      <c r="I1928" t="inlineStr">
        <is>
          <t>No</t>
        </is>
      </c>
      <c r="J1928" t="inlineStr">
        <is>
          <t>0</t>
        </is>
      </c>
      <c r="K1928" t="inlineStr">
        <is>
          <t>Luce, Clare Boothe, 1903-1987 editor.</t>
        </is>
      </c>
      <c r="L1928" t="inlineStr">
        <is>
          <t>New York : Sheed &amp; Ward, 1952.</t>
        </is>
      </c>
      <c r="M1928" t="inlineStr">
        <is>
          <t>1952</t>
        </is>
      </c>
      <c r="O1928" t="inlineStr">
        <is>
          <t>eng</t>
        </is>
      </c>
      <c r="P1928" t="inlineStr">
        <is>
          <t>nyu</t>
        </is>
      </c>
      <c r="R1928" t="inlineStr">
        <is>
          <t xml:space="preserve">BX </t>
        </is>
      </c>
      <c r="S1928" t="n">
        <v>4</v>
      </c>
      <c r="T1928" t="n">
        <v>4</v>
      </c>
      <c r="U1928" t="inlineStr">
        <is>
          <t>2003-04-22</t>
        </is>
      </c>
      <c r="V1928" t="inlineStr">
        <is>
          <t>2003-04-22</t>
        </is>
      </c>
      <c r="W1928" t="inlineStr">
        <is>
          <t>1991-11-18</t>
        </is>
      </c>
      <c r="X1928" t="inlineStr">
        <is>
          <t>1991-11-18</t>
        </is>
      </c>
      <c r="Y1928" t="n">
        <v>582</v>
      </c>
      <c r="Z1928" t="n">
        <v>547</v>
      </c>
      <c r="AA1928" t="n">
        <v>591</v>
      </c>
      <c r="AB1928" t="n">
        <v>6</v>
      </c>
      <c r="AC1928" t="n">
        <v>6</v>
      </c>
      <c r="AD1928" t="n">
        <v>37</v>
      </c>
      <c r="AE1928" t="n">
        <v>37</v>
      </c>
      <c r="AF1928" t="n">
        <v>14</v>
      </c>
      <c r="AG1928" t="n">
        <v>14</v>
      </c>
      <c r="AH1928" t="n">
        <v>10</v>
      </c>
      <c r="AI1928" t="n">
        <v>10</v>
      </c>
      <c r="AJ1928" t="n">
        <v>24</v>
      </c>
      <c r="AK1928" t="n">
        <v>24</v>
      </c>
      <c r="AL1928" t="n">
        <v>2</v>
      </c>
      <c r="AM1928" t="n">
        <v>2</v>
      </c>
      <c r="AN1928" t="n">
        <v>0</v>
      </c>
      <c r="AO1928" t="n">
        <v>0</v>
      </c>
      <c r="AP1928" t="inlineStr">
        <is>
          <t>No</t>
        </is>
      </c>
      <c r="AQ1928" t="inlineStr">
        <is>
          <t>No</t>
        </is>
      </c>
      <c r="AR1928">
        <f>HYPERLINK("http://catalog.hathitrust.org/Record/001591457","HathiTrust Record")</f>
        <v/>
      </c>
      <c r="AS1928">
        <f>HYPERLINK("https://creighton-primo.hosted.exlibrisgroup.com/primo-explore/search?tab=default_tab&amp;search_scope=EVERYTHING&amp;vid=01CRU&amp;lang=en_US&amp;offset=0&amp;query=any,contains,991002647889702656","Catalog Record")</f>
        <v/>
      </c>
      <c r="AT1928">
        <f>HYPERLINK("http://www.worldcat.org/oclc/386299","WorldCat Record")</f>
        <v/>
      </c>
      <c r="AU1928" t="inlineStr">
        <is>
          <t>1510982:eng</t>
        </is>
      </c>
      <c r="AV1928" t="inlineStr">
        <is>
          <t>386299</t>
        </is>
      </c>
      <c r="AW1928" t="inlineStr">
        <is>
          <t>991002647889702656</t>
        </is>
      </c>
      <c r="AX1928" t="inlineStr">
        <is>
          <t>991002647889702656</t>
        </is>
      </c>
      <c r="AY1928" t="inlineStr">
        <is>
          <t>2259486960002656</t>
        </is>
      </c>
      <c r="AZ1928" t="inlineStr">
        <is>
          <t>BOOK</t>
        </is>
      </c>
      <c r="BC1928" t="inlineStr">
        <is>
          <t>32285000854546</t>
        </is>
      </c>
      <c r="BD1928" t="inlineStr">
        <is>
          <t>893622539</t>
        </is>
      </c>
    </row>
    <row r="1929">
      <c r="A1929" t="inlineStr">
        <is>
          <t>No</t>
        </is>
      </c>
      <c r="B1929" t="inlineStr">
        <is>
          <t>BX4655 .M35</t>
        </is>
      </c>
      <c r="C1929" t="inlineStr">
        <is>
          <t>0                      BX 4655000M  35</t>
        </is>
      </c>
      <c r="D1929" t="inlineStr">
        <is>
          <t>What are saints? : Fifteen chapters in sanctity / broadcast by C. C. Martindale, S.J..</t>
        </is>
      </c>
      <c r="F1929" t="inlineStr">
        <is>
          <t>No</t>
        </is>
      </c>
      <c r="G1929" t="inlineStr">
        <is>
          <t>1</t>
        </is>
      </c>
      <c r="H1929" t="inlineStr">
        <is>
          <t>No</t>
        </is>
      </c>
      <c r="I1929" t="inlineStr">
        <is>
          <t>No</t>
        </is>
      </c>
      <c r="J1929" t="inlineStr">
        <is>
          <t>0</t>
        </is>
      </c>
      <c r="K1929" t="inlineStr">
        <is>
          <t>Martindale, C. C. (Cyril Charlie), 1879-1963.</t>
        </is>
      </c>
      <c r="L1929" t="inlineStr">
        <is>
          <t>London ; New York : Sheed &amp; Ward, 1934, c1932.</t>
        </is>
      </c>
      <c r="M1929" t="inlineStr">
        <is>
          <t>1932</t>
        </is>
      </c>
      <c r="O1929" t="inlineStr">
        <is>
          <t>eng</t>
        </is>
      </c>
      <c r="P1929" t="inlineStr">
        <is>
          <t>enk</t>
        </is>
      </c>
      <c r="R1929" t="inlineStr">
        <is>
          <t xml:space="preserve">BX </t>
        </is>
      </c>
      <c r="S1929" t="n">
        <v>7</v>
      </c>
      <c r="T1929" t="n">
        <v>7</v>
      </c>
      <c r="U1929" t="inlineStr">
        <is>
          <t>2002-11-04</t>
        </is>
      </c>
      <c r="V1929" t="inlineStr">
        <is>
          <t>2002-11-04</t>
        </is>
      </c>
      <c r="W1929" t="inlineStr">
        <is>
          <t>1991-11-18</t>
        </is>
      </c>
      <c r="X1929" t="inlineStr">
        <is>
          <t>1991-11-18</t>
        </is>
      </c>
      <c r="Y1929" t="n">
        <v>55</v>
      </c>
      <c r="Z1929" t="n">
        <v>32</v>
      </c>
      <c r="AA1929" t="n">
        <v>432</v>
      </c>
      <c r="AB1929" t="n">
        <v>1</v>
      </c>
      <c r="AC1929" t="n">
        <v>4</v>
      </c>
      <c r="AD1929" t="n">
        <v>9</v>
      </c>
      <c r="AE1929" t="n">
        <v>33</v>
      </c>
      <c r="AF1929" t="n">
        <v>1</v>
      </c>
      <c r="AG1929" t="n">
        <v>12</v>
      </c>
      <c r="AH1929" t="n">
        <v>0</v>
      </c>
      <c r="AI1929" t="n">
        <v>6</v>
      </c>
      <c r="AJ1929" t="n">
        <v>9</v>
      </c>
      <c r="AK1929" t="n">
        <v>23</v>
      </c>
      <c r="AL1929" t="n">
        <v>0</v>
      </c>
      <c r="AM1929" t="n">
        <v>2</v>
      </c>
      <c r="AN1929" t="n">
        <v>0</v>
      </c>
      <c r="AO1929" t="n">
        <v>0</v>
      </c>
      <c r="AP1929" t="inlineStr">
        <is>
          <t>No</t>
        </is>
      </c>
      <c r="AQ1929" t="inlineStr">
        <is>
          <t>No</t>
        </is>
      </c>
      <c r="AS1929">
        <f>HYPERLINK("https://creighton-primo.hosted.exlibrisgroup.com/primo-explore/search?tab=default_tab&amp;search_scope=EVERYTHING&amp;vid=01CRU&amp;lang=en_US&amp;offset=0&amp;query=any,contains,991005009739702656","Catalog Record")</f>
        <v/>
      </c>
      <c r="AT1929">
        <f>HYPERLINK("http://www.worldcat.org/oclc/6594053","WorldCat Record")</f>
        <v/>
      </c>
      <c r="AU1929" t="inlineStr">
        <is>
          <t>1510968:eng</t>
        </is>
      </c>
      <c r="AV1929" t="inlineStr">
        <is>
          <t>6594053</t>
        </is>
      </c>
      <c r="AW1929" t="inlineStr">
        <is>
          <t>991005009739702656</t>
        </is>
      </c>
      <c r="AX1929" t="inlineStr">
        <is>
          <t>991005009739702656</t>
        </is>
      </c>
      <c r="AY1929" t="inlineStr">
        <is>
          <t>2258016800002656</t>
        </is>
      </c>
      <c r="AZ1929" t="inlineStr">
        <is>
          <t>BOOK</t>
        </is>
      </c>
      <c r="BC1929" t="inlineStr">
        <is>
          <t>32285000854553</t>
        </is>
      </c>
      <c r="BD1929" t="inlineStr">
        <is>
          <t>893350583</t>
        </is>
      </c>
    </row>
    <row r="1930">
      <c r="A1930" t="inlineStr">
        <is>
          <t>No</t>
        </is>
      </c>
      <c r="B1930" t="inlineStr">
        <is>
          <t>BX4655.2 .B8 1965</t>
        </is>
      </c>
      <c r="C1930" t="inlineStr">
        <is>
          <t>0                      BX 4655200B  8           1965</t>
        </is>
      </c>
      <c r="D1930" t="inlineStr">
        <is>
          <t>Saints and sanctity / [by] Walter J. Burghardt.</t>
        </is>
      </c>
      <c r="F1930" t="inlineStr">
        <is>
          <t>No</t>
        </is>
      </c>
      <c r="G1930" t="inlineStr">
        <is>
          <t>1</t>
        </is>
      </c>
      <c r="H1930" t="inlineStr">
        <is>
          <t>No</t>
        </is>
      </c>
      <c r="I1930" t="inlineStr">
        <is>
          <t>No</t>
        </is>
      </c>
      <c r="J1930" t="inlineStr">
        <is>
          <t>0</t>
        </is>
      </c>
      <c r="K1930" t="inlineStr">
        <is>
          <t>Burghardt, Walter J.</t>
        </is>
      </c>
      <c r="L1930" t="inlineStr">
        <is>
          <t>Englewood Cliffs, N. J. : Prentice-Hall, [1965]</t>
        </is>
      </c>
      <c r="M1930" t="inlineStr">
        <is>
          <t>1965</t>
        </is>
      </c>
      <c r="O1930" t="inlineStr">
        <is>
          <t>eng</t>
        </is>
      </c>
      <c r="P1930" t="inlineStr">
        <is>
          <t>nju</t>
        </is>
      </c>
      <c r="R1930" t="inlineStr">
        <is>
          <t xml:space="preserve">BX </t>
        </is>
      </c>
      <c r="S1930" t="n">
        <v>7</v>
      </c>
      <c r="T1930" t="n">
        <v>7</v>
      </c>
      <c r="U1930" t="inlineStr">
        <is>
          <t>2005-01-25</t>
        </is>
      </c>
      <c r="V1930" t="inlineStr">
        <is>
          <t>2005-01-25</t>
        </is>
      </c>
      <c r="W1930" t="inlineStr">
        <is>
          <t>1991-11-18</t>
        </is>
      </c>
      <c r="X1930" t="inlineStr">
        <is>
          <t>1991-11-18</t>
        </is>
      </c>
      <c r="Y1930" t="n">
        <v>255</v>
      </c>
      <c r="Z1930" t="n">
        <v>237</v>
      </c>
      <c r="AA1930" t="n">
        <v>243</v>
      </c>
      <c r="AB1930" t="n">
        <v>1</v>
      </c>
      <c r="AC1930" t="n">
        <v>1</v>
      </c>
      <c r="AD1930" t="n">
        <v>27</v>
      </c>
      <c r="AE1930" t="n">
        <v>27</v>
      </c>
      <c r="AF1930" t="n">
        <v>8</v>
      </c>
      <c r="AG1930" t="n">
        <v>8</v>
      </c>
      <c r="AH1930" t="n">
        <v>8</v>
      </c>
      <c r="AI1930" t="n">
        <v>8</v>
      </c>
      <c r="AJ1930" t="n">
        <v>23</v>
      </c>
      <c r="AK1930" t="n">
        <v>23</v>
      </c>
      <c r="AL1930" t="n">
        <v>0</v>
      </c>
      <c r="AM1930" t="n">
        <v>0</v>
      </c>
      <c r="AN1930" t="n">
        <v>0</v>
      </c>
      <c r="AO1930" t="n">
        <v>0</v>
      </c>
      <c r="AP1930" t="inlineStr">
        <is>
          <t>No</t>
        </is>
      </c>
      <c r="AQ1930" t="inlineStr">
        <is>
          <t>No</t>
        </is>
      </c>
      <c r="AS1930">
        <f>HYPERLINK("https://creighton-primo.hosted.exlibrisgroup.com/primo-explore/search?tab=default_tab&amp;search_scope=EVERYTHING&amp;vid=01CRU&amp;lang=en_US&amp;offset=0&amp;query=any,contains,991004152549702656","Catalog Record")</f>
        <v/>
      </c>
      <c r="AT1930">
        <f>HYPERLINK("http://www.worldcat.org/oclc/2529116","WorldCat Record")</f>
        <v/>
      </c>
      <c r="AU1930" t="inlineStr">
        <is>
          <t>5461051:eng</t>
        </is>
      </c>
      <c r="AV1930" t="inlineStr">
        <is>
          <t>2529116</t>
        </is>
      </c>
      <c r="AW1930" t="inlineStr">
        <is>
          <t>991004152549702656</t>
        </is>
      </c>
      <c r="AX1930" t="inlineStr">
        <is>
          <t>991004152549702656</t>
        </is>
      </c>
      <c r="AY1930" t="inlineStr">
        <is>
          <t>2256071690002656</t>
        </is>
      </c>
      <c r="AZ1930" t="inlineStr">
        <is>
          <t>BOOK</t>
        </is>
      </c>
      <c r="BC1930" t="inlineStr">
        <is>
          <t>32285000854611</t>
        </is>
      </c>
      <c r="BD1930" t="inlineStr">
        <is>
          <t>893712221</t>
        </is>
      </c>
    </row>
    <row r="1931">
      <c r="A1931" t="inlineStr">
        <is>
          <t>No</t>
        </is>
      </c>
      <c r="B1931" t="inlineStr">
        <is>
          <t>BX4655.2 .E5 1966</t>
        </is>
      </c>
      <c r="C1931" t="inlineStr">
        <is>
          <t>0                      BX 4655200E  5           1966</t>
        </is>
      </c>
      <c r="D1931" t="inlineStr">
        <is>
          <t>The Encyclopedia of Catholic saints.</t>
        </is>
      </c>
      <c r="E1931" t="inlineStr">
        <is>
          <t>V.6</t>
        </is>
      </c>
      <c r="F1931" t="inlineStr">
        <is>
          <t>Yes</t>
        </is>
      </c>
      <c r="G1931" t="inlineStr">
        <is>
          <t>1</t>
        </is>
      </c>
      <c r="H1931" t="inlineStr">
        <is>
          <t>No</t>
        </is>
      </c>
      <c r="I1931" t="inlineStr">
        <is>
          <t>No</t>
        </is>
      </c>
      <c r="J1931" t="inlineStr">
        <is>
          <t>0</t>
        </is>
      </c>
      <c r="L1931" t="inlineStr">
        <is>
          <t>Philadelphia : Chilton Books, [1966]</t>
        </is>
      </c>
      <c r="M1931" t="inlineStr">
        <is>
          <t>1966</t>
        </is>
      </c>
      <c r="N1931" t="inlineStr">
        <is>
          <t>[1st American ed.]</t>
        </is>
      </c>
      <c r="O1931" t="inlineStr">
        <is>
          <t>eng</t>
        </is>
      </c>
      <c r="P1931" t="inlineStr">
        <is>
          <t>pau</t>
        </is>
      </c>
      <c r="R1931" t="inlineStr">
        <is>
          <t xml:space="preserve">BX </t>
        </is>
      </c>
      <c r="S1931" t="n">
        <v>7</v>
      </c>
      <c r="T1931" t="n">
        <v>76</v>
      </c>
      <c r="U1931" t="inlineStr">
        <is>
          <t>2002-04-25</t>
        </is>
      </c>
      <c r="V1931" t="inlineStr">
        <is>
          <t>2008-06-13</t>
        </is>
      </c>
      <c r="W1931" t="inlineStr">
        <is>
          <t>1991-11-18</t>
        </is>
      </c>
      <c r="X1931" t="inlineStr">
        <is>
          <t>1991-11-18</t>
        </is>
      </c>
      <c r="Y1931" t="n">
        <v>193</v>
      </c>
      <c r="Z1931" t="n">
        <v>186</v>
      </c>
      <c r="AA1931" t="n">
        <v>190</v>
      </c>
      <c r="AB1931" t="n">
        <v>2</v>
      </c>
      <c r="AC1931" t="n">
        <v>2</v>
      </c>
      <c r="AD1931" t="n">
        <v>16</v>
      </c>
      <c r="AE1931" t="n">
        <v>16</v>
      </c>
      <c r="AF1931" t="n">
        <v>5</v>
      </c>
      <c r="AG1931" t="n">
        <v>5</v>
      </c>
      <c r="AH1931" t="n">
        <v>5</v>
      </c>
      <c r="AI1931" t="n">
        <v>5</v>
      </c>
      <c r="AJ1931" t="n">
        <v>13</v>
      </c>
      <c r="AK1931" t="n">
        <v>13</v>
      </c>
      <c r="AL1931" t="n">
        <v>0</v>
      </c>
      <c r="AM1931" t="n">
        <v>0</v>
      </c>
      <c r="AN1931" t="n">
        <v>0</v>
      </c>
      <c r="AO1931" t="n">
        <v>0</v>
      </c>
      <c r="AP1931" t="inlineStr">
        <is>
          <t>No</t>
        </is>
      </c>
      <c r="AQ1931" t="inlineStr">
        <is>
          <t>No</t>
        </is>
      </c>
      <c r="AS1931">
        <f>HYPERLINK("https://creighton-primo.hosted.exlibrisgroup.com/primo-explore/search?tab=default_tab&amp;search_scope=EVERYTHING&amp;vid=01CRU&amp;lang=en_US&amp;offset=0&amp;query=any,contains,991003989599702656","Catalog Record")</f>
        <v/>
      </c>
      <c r="AT1931">
        <f>HYPERLINK("http://www.worldcat.org/oclc/2040469","WorldCat Record")</f>
        <v/>
      </c>
      <c r="AU1931" t="inlineStr">
        <is>
          <t>3120664:eng</t>
        </is>
      </c>
      <c r="AV1931" t="inlineStr">
        <is>
          <t>2040469</t>
        </is>
      </c>
      <c r="AW1931" t="inlineStr">
        <is>
          <t>991003989599702656</t>
        </is>
      </c>
      <c r="AX1931" t="inlineStr">
        <is>
          <t>991003989599702656</t>
        </is>
      </c>
      <c r="AY1931" t="inlineStr">
        <is>
          <t>2269918860002656</t>
        </is>
      </c>
      <c r="AZ1931" t="inlineStr">
        <is>
          <t>BOOK</t>
        </is>
      </c>
      <c r="BC1931" t="inlineStr">
        <is>
          <t>32285000854678</t>
        </is>
      </c>
      <c r="BD1931" t="inlineStr">
        <is>
          <t>893253112</t>
        </is>
      </c>
    </row>
    <row r="1932">
      <c r="A1932" t="inlineStr">
        <is>
          <t>No</t>
        </is>
      </c>
      <c r="B1932" t="inlineStr">
        <is>
          <t>BX4655.2 .E5 1966</t>
        </is>
      </c>
      <c r="C1932" t="inlineStr">
        <is>
          <t>0                      BX 4655200E  5           1966</t>
        </is>
      </c>
      <c r="D1932" t="inlineStr">
        <is>
          <t>The Encyclopedia of Catholic saints.</t>
        </is>
      </c>
      <c r="E1932" t="inlineStr">
        <is>
          <t>V.10</t>
        </is>
      </c>
      <c r="F1932" t="inlineStr">
        <is>
          <t>Yes</t>
        </is>
      </c>
      <c r="G1932" t="inlineStr">
        <is>
          <t>1</t>
        </is>
      </c>
      <c r="H1932" t="inlineStr">
        <is>
          <t>No</t>
        </is>
      </c>
      <c r="I1932" t="inlineStr">
        <is>
          <t>No</t>
        </is>
      </c>
      <c r="J1932" t="inlineStr">
        <is>
          <t>0</t>
        </is>
      </c>
      <c r="L1932" t="inlineStr">
        <is>
          <t>Philadelphia : Chilton Books, [1966]</t>
        </is>
      </c>
      <c r="M1932" t="inlineStr">
        <is>
          <t>1966</t>
        </is>
      </c>
      <c r="N1932" t="inlineStr">
        <is>
          <t>[1st American ed.]</t>
        </is>
      </c>
      <c r="O1932" t="inlineStr">
        <is>
          <t>eng</t>
        </is>
      </c>
      <c r="P1932" t="inlineStr">
        <is>
          <t>pau</t>
        </is>
      </c>
      <c r="R1932" t="inlineStr">
        <is>
          <t xml:space="preserve">BX </t>
        </is>
      </c>
      <c r="S1932" t="n">
        <v>5</v>
      </c>
      <c r="T1932" t="n">
        <v>76</v>
      </c>
      <c r="U1932" t="inlineStr">
        <is>
          <t>1996-11-06</t>
        </is>
      </c>
      <c r="V1932" t="inlineStr">
        <is>
          <t>2008-06-13</t>
        </is>
      </c>
      <c r="W1932" t="inlineStr">
        <is>
          <t>1991-11-18</t>
        </is>
      </c>
      <c r="X1932" t="inlineStr">
        <is>
          <t>1991-11-18</t>
        </is>
      </c>
      <c r="Y1932" t="n">
        <v>193</v>
      </c>
      <c r="Z1932" t="n">
        <v>186</v>
      </c>
      <c r="AA1932" t="n">
        <v>190</v>
      </c>
      <c r="AB1932" t="n">
        <v>2</v>
      </c>
      <c r="AC1932" t="n">
        <v>2</v>
      </c>
      <c r="AD1932" t="n">
        <v>16</v>
      </c>
      <c r="AE1932" t="n">
        <v>16</v>
      </c>
      <c r="AF1932" t="n">
        <v>5</v>
      </c>
      <c r="AG1932" t="n">
        <v>5</v>
      </c>
      <c r="AH1932" t="n">
        <v>5</v>
      </c>
      <c r="AI1932" t="n">
        <v>5</v>
      </c>
      <c r="AJ1932" t="n">
        <v>13</v>
      </c>
      <c r="AK1932" t="n">
        <v>13</v>
      </c>
      <c r="AL1932" t="n">
        <v>0</v>
      </c>
      <c r="AM1932" t="n">
        <v>0</v>
      </c>
      <c r="AN1932" t="n">
        <v>0</v>
      </c>
      <c r="AO1932" t="n">
        <v>0</v>
      </c>
      <c r="AP1932" t="inlineStr">
        <is>
          <t>No</t>
        </is>
      </c>
      <c r="AQ1932" t="inlineStr">
        <is>
          <t>No</t>
        </is>
      </c>
      <c r="AS1932">
        <f>HYPERLINK("https://creighton-primo.hosted.exlibrisgroup.com/primo-explore/search?tab=default_tab&amp;search_scope=EVERYTHING&amp;vid=01CRU&amp;lang=en_US&amp;offset=0&amp;query=any,contains,991003989599702656","Catalog Record")</f>
        <v/>
      </c>
      <c r="AT1932">
        <f>HYPERLINK("http://www.worldcat.org/oclc/2040469","WorldCat Record")</f>
        <v/>
      </c>
      <c r="AU1932" t="inlineStr">
        <is>
          <t>3120664:eng</t>
        </is>
      </c>
      <c r="AV1932" t="inlineStr">
        <is>
          <t>2040469</t>
        </is>
      </c>
      <c r="AW1932" t="inlineStr">
        <is>
          <t>991003989599702656</t>
        </is>
      </c>
      <c r="AX1932" t="inlineStr">
        <is>
          <t>991003989599702656</t>
        </is>
      </c>
      <c r="AY1932" t="inlineStr">
        <is>
          <t>2269918860002656</t>
        </is>
      </c>
      <c r="AZ1932" t="inlineStr">
        <is>
          <t>BOOK</t>
        </is>
      </c>
      <c r="BC1932" t="inlineStr">
        <is>
          <t>32285000854710</t>
        </is>
      </c>
      <c r="BD1932" t="inlineStr">
        <is>
          <t>893228777</t>
        </is>
      </c>
    </row>
    <row r="1933">
      <c r="A1933" t="inlineStr">
        <is>
          <t>No</t>
        </is>
      </c>
      <c r="B1933" t="inlineStr">
        <is>
          <t>BX4655.2 .E5 1966</t>
        </is>
      </c>
      <c r="C1933" t="inlineStr">
        <is>
          <t>0                      BX 4655200E  5           1966</t>
        </is>
      </c>
      <c r="D1933" t="inlineStr">
        <is>
          <t>The Encyclopedia of Catholic saints.</t>
        </is>
      </c>
      <c r="E1933" t="inlineStr">
        <is>
          <t>V.2</t>
        </is>
      </c>
      <c r="F1933" t="inlineStr">
        <is>
          <t>Yes</t>
        </is>
      </c>
      <c r="G1933" t="inlineStr">
        <is>
          <t>1</t>
        </is>
      </c>
      <c r="H1933" t="inlineStr">
        <is>
          <t>No</t>
        </is>
      </c>
      <c r="I1933" t="inlineStr">
        <is>
          <t>No</t>
        </is>
      </c>
      <c r="J1933" t="inlineStr">
        <is>
          <t>0</t>
        </is>
      </c>
      <c r="L1933" t="inlineStr">
        <is>
          <t>Philadelphia : Chilton Books, [1966]</t>
        </is>
      </c>
      <c r="M1933" t="inlineStr">
        <is>
          <t>1966</t>
        </is>
      </c>
      <c r="N1933" t="inlineStr">
        <is>
          <t>[1st American ed.]</t>
        </is>
      </c>
      <c r="O1933" t="inlineStr">
        <is>
          <t>eng</t>
        </is>
      </c>
      <c r="P1933" t="inlineStr">
        <is>
          <t>pau</t>
        </is>
      </c>
      <c r="R1933" t="inlineStr">
        <is>
          <t xml:space="preserve">BX </t>
        </is>
      </c>
      <c r="S1933" t="n">
        <v>8</v>
      </c>
      <c r="T1933" t="n">
        <v>76</v>
      </c>
      <c r="U1933" t="inlineStr">
        <is>
          <t>2002-04-25</t>
        </is>
      </c>
      <c r="V1933" t="inlineStr">
        <is>
          <t>2008-06-13</t>
        </is>
      </c>
      <c r="W1933" t="inlineStr">
        <is>
          <t>1991-11-18</t>
        </is>
      </c>
      <c r="X1933" t="inlineStr">
        <is>
          <t>1991-11-18</t>
        </is>
      </c>
      <c r="Y1933" t="n">
        <v>193</v>
      </c>
      <c r="Z1933" t="n">
        <v>186</v>
      </c>
      <c r="AA1933" t="n">
        <v>190</v>
      </c>
      <c r="AB1933" t="n">
        <v>2</v>
      </c>
      <c r="AC1933" t="n">
        <v>2</v>
      </c>
      <c r="AD1933" t="n">
        <v>16</v>
      </c>
      <c r="AE1933" t="n">
        <v>16</v>
      </c>
      <c r="AF1933" t="n">
        <v>5</v>
      </c>
      <c r="AG1933" t="n">
        <v>5</v>
      </c>
      <c r="AH1933" t="n">
        <v>5</v>
      </c>
      <c r="AI1933" t="n">
        <v>5</v>
      </c>
      <c r="AJ1933" t="n">
        <v>13</v>
      </c>
      <c r="AK1933" t="n">
        <v>13</v>
      </c>
      <c r="AL1933" t="n">
        <v>0</v>
      </c>
      <c r="AM1933" t="n">
        <v>0</v>
      </c>
      <c r="AN1933" t="n">
        <v>0</v>
      </c>
      <c r="AO1933" t="n">
        <v>0</v>
      </c>
      <c r="AP1933" t="inlineStr">
        <is>
          <t>No</t>
        </is>
      </c>
      <c r="AQ1933" t="inlineStr">
        <is>
          <t>No</t>
        </is>
      </c>
      <c r="AS1933">
        <f>HYPERLINK("https://creighton-primo.hosted.exlibrisgroup.com/primo-explore/search?tab=default_tab&amp;search_scope=EVERYTHING&amp;vid=01CRU&amp;lang=en_US&amp;offset=0&amp;query=any,contains,991003989599702656","Catalog Record")</f>
        <v/>
      </c>
      <c r="AT1933">
        <f>HYPERLINK("http://www.worldcat.org/oclc/2040469","WorldCat Record")</f>
        <v/>
      </c>
      <c r="AU1933" t="inlineStr">
        <is>
          <t>3120664:eng</t>
        </is>
      </c>
      <c r="AV1933" t="inlineStr">
        <is>
          <t>2040469</t>
        </is>
      </c>
      <c r="AW1933" t="inlineStr">
        <is>
          <t>991003989599702656</t>
        </is>
      </c>
      <c r="AX1933" t="inlineStr">
        <is>
          <t>991003989599702656</t>
        </is>
      </c>
      <c r="AY1933" t="inlineStr">
        <is>
          <t>2269918860002656</t>
        </is>
      </c>
      <c r="AZ1933" t="inlineStr">
        <is>
          <t>BOOK</t>
        </is>
      </c>
      <c r="BC1933" t="inlineStr">
        <is>
          <t>32285000854645</t>
        </is>
      </c>
      <c r="BD1933" t="inlineStr">
        <is>
          <t>893259188</t>
        </is>
      </c>
    </row>
    <row r="1934">
      <c r="A1934" t="inlineStr">
        <is>
          <t>No</t>
        </is>
      </c>
      <c r="B1934" t="inlineStr">
        <is>
          <t>BX4655.2 .E5 1966</t>
        </is>
      </c>
      <c r="C1934" t="inlineStr">
        <is>
          <t>0                      BX 4655200E  5           1966</t>
        </is>
      </c>
      <c r="D1934" t="inlineStr">
        <is>
          <t>The Encyclopedia of Catholic saints.</t>
        </is>
      </c>
      <c r="E1934" t="inlineStr">
        <is>
          <t>V.8</t>
        </is>
      </c>
      <c r="F1934" t="inlineStr">
        <is>
          <t>Yes</t>
        </is>
      </c>
      <c r="G1934" t="inlineStr">
        <is>
          <t>1</t>
        </is>
      </c>
      <c r="H1934" t="inlineStr">
        <is>
          <t>No</t>
        </is>
      </c>
      <c r="I1934" t="inlineStr">
        <is>
          <t>No</t>
        </is>
      </c>
      <c r="J1934" t="inlineStr">
        <is>
          <t>0</t>
        </is>
      </c>
      <c r="L1934" t="inlineStr">
        <is>
          <t>Philadelphia : Chilton Books, [1966]</t>
        </is>
      </c>
      <c r="M1934" t="inlineStr">
        <is>
          <t>1966</t>
        </is>
      </c>
      <c r="N1934" t="inlineStr">
        <is>
          <t>[1st American ed.]</t>
        </is>
      </c>
      <c r="O1934" t="inlineStr">
        <is>
          <t>eng</t>
        </is>
      </c>
      <c r="P1934" t="inlineStr">
        <is>
          <t>pau</t>
        </is>
      </c>
      <c r="R1934" t="inlineStr">
        <is>
          <t xml:space="preserve">BX </t>
        </is>
      </c>
      <c r="S1934" t="n">
        <v>9</v>
      </c>
      <c r="T1934" t="n">
        <v>76</v>
      </c>
      <c r="U1934" t="inlineStr">
        <is>
          <t>2002-06-29</t>
        </is>
      </c>
      <c r="V1934" t="inlineStr">
        <is>
          <t>2008-06-13</t>
        </is>
      </c>
      <c r="W1934" t="inlineStr">
        <is>
          <t>1991-11-18</t>
        </is>
      </c>
      <c r="X1934" t="inlineStr">
        <is>
          <t>1991-11-18</t>
        </is>
      </c>
      <c r="Y1934" t="n">
        <v>193</v>
      </c>
      <c r="Z1934" t="n">
        <v>186</v>
      </c>
      <c r="AA1934" t="n">
        <v>190</v>
      </c>
      <c r="AB1934" t="n">
        <v>2</v>
      </c>
      <c r="AC1934" t="n">
        <v>2</v>
      </c>
      <c r="AD1934" t="n">
        <v>16</v>
      </c>
      <c r="AE1934" t="n">
        <v>16</v>
      </c>
      <c r="AF1934" t="n">
        <v>5</v>
      </c>
      <c r="AG1934" t="n">
        <v>5</v>
      </c>
      <c r="AH1934" t="n">
        <v>5</v>
      </c>
      <c r="AI1934" t="n">
        <v>5</v>
      </c>
      <c r="AJ1934" t="n">
        <v>13</v>
      </c>
      <c r="AK1934" t="n">
        <v>13</v>
      </c>
      <c r="AL1934" t="n">
        <v>0</v>
      </c>
      <c r="AM1934" t="n">
        <v>0</v>
      </c>
      <c r="AN1934" t="n">
        <v>0</v>
      </c>
      <c r="AO1934" t="n">
        <v>0</v>
      </c>
      <c r="AP1934" t="inlineStr">
        <is>
          <t>No</t>
        </is>
      </c>
      <c r="AQ1934" t="inlineStr">
        <is>
          <t>No</t>
        </is>
      </c>
      <c r="AS1934">
        <f>HYPERLINK("https://creighton-primo.hosted.exlibrisgroup.com/primo-explore/search?tab=default_tab&amp;search_scope=EVERYTHING&amp;vid=01CRU&amp;lang=en_US&amp;offset=0&amp;query=any,contains,991003989599702656","Catalog Record")</f>
        <v/>
      </c>
      <c r="AT1934">
        <f>HYPERLINK("http://www.worldcat.org/oclc/2040469","WorldCat Record")</f>
        <v/>
      </c>
      <c r="AU1934" t="inlineStr">
        <is>
          <t>3120664:eng</t>
        </is>
      </c>
      <c r="AV1934" t="inlineStr">
        <is>
          <t>2040469</t>
        </is>
      </c>
      <c r="AW1934" t="inlineStr">
        <is>
          <t>991003989599702656</t>
        </is>
      </c>
      <c r="AX1934" t="inlineStr">
        <is>
          <t>991003989599702656</t>
        </is>
      </c>
      <c r="AY1934" t="inlineStr">
        <is>
          <t>2269918860002656</t>
        </is>
      </c>
      <c r="AZ1934" t="inlineStr">
        <is>
          <t>BOOK</t>
        </is>
      </c>
      <c r="BC1934" t="inlineStr">
        <is>
          <t>32285000854694</t>
        </is>
      </c>
      <c r="BD1934" t="inlineStr">
        <is>
          <t>893263045</t>
        </is>
      </c>
    </row>
    <row r="1935">
      <c r="A1935" t="inlineStr">
        <is>
          <t>No</t>
        </is>
      </c>
      <c r="B1935" t="inlineStr">
        <is>
          <t>BX4655.2 .E5 1966</t>
        </is>
      </c>
      <c r="C1935" t="inlineStr">
        <is>
          <t>0                      BX 4655200E  5           1966</t>
        </is>
      </c>
      <c r="D1935" t="inlineStr">
        <is>
          <t>The Encyclopedia of Catholic saints.</t>
        </is>
      </c>
      <c r="E1935" t="inlineStr">
        <is>
          <t>V.3</t>
        </is>
      </c>
      <c r="F1935" t="inlineStr">
        <is>
          <t>Yes</t>
        </is>
      </c>
      <c r="G1935" t="inlineStr">
        <is>
          <t>1</t>
        </is>
      </c>
      <c r="H1935" t="inlineStr">
        <is>
          <t>No</t>
        </is>
      </c>
      <c r="I1935" t="inlineStr">
        <is>
          <t>No</t>
        </is>
      </c>
      <c r="J1935" t="inlineStr">
        <is>
          <t>0</t>
        </is>
      </c>
      <c r="L1935" t="inlineStr">
        <is>
          <t>Philadelphia : Chilton Books, [1966]</t>
        </is>
      </c>
      <c r="M1935" t="inlineStr">
        <is>
          <t>1966</t>
        </is>
      </c>
      <c r="N1935" t="inlineStr">
        <is>
          <t>[1st American ed.]</t>
        </is>
      </c>
      <c r="O1935" t="inlineStr">
        <is>
          <t>eng</t>
        </is>
      </c>
      <c r="P1935" t="inlineStr">
        <is>
          <t>pau</t>
        </is>
      </c>
      <c r="R1935" t="inlineStr">
        <is>
          <t xml:space="preserve">BX </t>
        </is>
      </c>
      <c r="S1935" t="n">
        <v>10</v>
      </c>
      <c r="T1935" t="n">
        <v>76</v>
      </c>
      <c r="U1935" t="inlineStr">
        <is>
          <t>2004-11-09</t>
        </is>
      </c>
      <c r="V1935" t="inlineStr">
        <is>
          <t>2008-06-13</t>
        </is>
      </c>
      <c r="W1935" t="inlineStr">
        <is>
          <t>1991-11-18</t>
        </is>
      </c>
      <c r="X1935" t="inlineStr">
        <is>
          <t>1991-11-18</t>
        </is>
      </c>
      <c r="Y1935" t="n">
        <v>193</v>
      </c>
      <c r="Z1935" t="n">
        <v>186</v>
      </c>
      <c r="AA1935" t="n">
        <v>190</v>
      </c>
      <c r="AB1935" t="n">
        <v>2</v>
      </c>
      <c r="AC1935" t="n">
        <v>2</v>
      </c>
      <c r="AD1935" t="n">
        <v>16</v>
      </c>
      <c r="AE1935" t="n">
        <v>16</v>
      </c>
      <c r="AF1935" t="n">
        <v>5</v>
      </c>
      <c r="AG1935" t="n">
        <v>5</v>
      </c>
      <c r="AH1935" t="n">
        <v>5</v>
      </c>
      <c r="AI1935" t="n">
        <v>5</v>
      </c>
      <c r="AJ1935" t="n">
        <v>13</v>
      </c>
      <c r="AK1935" t="n">
        <v>13</v>
      </c>
      <c r="AL1935" t="n">
        <v>0</v>
      </c>
      <c r="AM1935" t="n">
        <v>0</v>
      </c>
      <c r="AN1935" t="n">
        <v>0</v>
      </c>
      <c r="AO1935" t="n">
        <v>0</v>
      </c>
      <c r="AP1935" t="inlineStr">
        <is>
          <t>No</t>
        </is>
      </c>
      <c r="AQ1935" t="inlineStr">
        <is>
          <t>No</t>
        </is>
      </c>
      <c r="AS1935">
        <f>HYPERLINK("https://creighton-primo.hosted.exlibrisgroup.com/primo-explore/search?tab=default_tab&amp;search_scope=EVERYTHING&amp;vid=01CRU&amp;lang=en_US&amp;offset=0&amp;query=any,contains,991003989599702656","Catalog Record")</f>
        <v/>
      </c>
      <c r="AT1935">
        <f>HYPERLINK("http://www.worldcat.org/oclc/2040469","WorldCat Record")</f>
        <v/>
      </c>
      <c r="AU1935" t="inlineStr">
        <is>
          <t>3120664:eng</t>
        </is>
      </c>
      <c r="AV1935" t="inlineStr">
        <is>
          <t>2040469</t>
        </is>
      </c>
      <c r="AW1935" t="inlineStr">
        <is>
          <t>991003989599702656</t>
        </is>
      </c>
      <c r="AX1935" t="inlineStr">
        <is>
          <t>991003989599702656</t>
        </is>
      </c>
      <c r="AY1935" t="inlineStr">
        <is>
          <t>2269918860002656</t>
        </is>
      </c>
      <c r="AZ1935" t="inlineStr">
        <is>
          <t>BOOK</t>
        </is>
      </c>
      <c r="BC1935" t="inlineStr">
        <is>
          <t>32285000854652</t>
        </is>
      </c>
      <c r="BD1935" t="inlineStr">
        <is>
          <t>893234918</t>
        </is>
      </c>
    </row>
    <row r="1936">
      <c r="A1936" t="inlineStr">
        <is>
          <t>No</t>
        </is>
      </c>
      <c r="B1936" t="inlineStr">
        <is>
          <t>BX4655.2 .E5 1966</t>
        </is>
      </c>
      <c r="C1936" t="inlineStr">
        <is>
          <t>0                      BX 4655200E  5           1966</t>
        </is>
      </c>
      <c r="D1936" t="inlineStr">
        <is>
          <t>The Encyclopedia of Catholic saints.</t>
        </is>
      </c>
      <c r="E1936" t="inlineStr">
        <is>
          <t>V.4</t>
        </is>
      </c>
      <c r="F1936" t="inlineStr">
        <is>
          <t>Yes</t>
        </is>
      </c>
      <c r="G1936" t="inlineStr">
        <is>
          <t>1</t>
        </is>
      </c>
      <c r="H1936" t="inlineStr">
        <is>
          <t>No</t>
        </is>
      </c>
      <c r="I1936" t="inlineStr">
        <is>
          <t>No</t>
        </is>
      </c>
      <c r="J1936" t="inlineStr">
        <is>
          <t>0</t>
        </is>
      </c>
      <c r="L1936" t="inlineStr">
        <is>
          <t>Philadelphia : Chilton Books, [1966]</t>
        </is>
      </c>
      <c r="M1936" t="inlineStr">
        <is>
          <t>1966</t>
        </is>
      </c>
      <c r="N1936" t="inlineStr">
        <is>
          <t>[1st American ed.]</t>
        </is>
      </c>
      <c r="O1936" t="inlineStr">
        <is>
          <t>eng</t>
        </is>
      </c>
      <c r="P1936" t="inlineStr">
        <is>
          <t>pau</t>
        </is>
      </c>
      <c r="R1936" t="inlineStr">
        <is>
          <t xml:space="preserve">BX </t>
        </is>
      </c>
      <c r="S1936" t="n">
        <v>5</v>
      </c>
      <c r="T1936" t="n">
        <v>76</v>
      </c>
      <c r="U1936" t="inlineStr">
        <is>
          <t>1997-10-14</t>
        </is>
      </c>
      <c r="V1936" t="inlineStr">
        <is>
          <t>2008-06-13</t>
        </is>
      </c>
      <c r="W1936" t="inlineStr">
        <is>
          <t>1991-11-18</t>
        </is>
      </c>
      <c r="X1936" t="inlineStr">
        <is>
          <t>1991-11-18</t>
        </is>
      </c>
      <c r="Y1936" t="n">
        <v>193</v>
      </c>
      <c r="Z1936" t="n">
        <v>186</v>
      </c>
      <c r="AA1936" t="n">
        <v>190</v>
      </c>
      <c r="AB1936" t="n">
        <v>2</v>
      </c>
      <c r="AC1936" t="n">
        <v>2</v>
      </c>
      <c r="AD1936" t="n">
        <v>16</v>
      </c>
      <c r="AE1936" t="n">
        <v>16</v>
      </c>
      <c r="AF1936" t="n">
        <v>5</v>
      </c>
      <c r="AG1936" t="n">
        <v>5</v>
      </c>
      <c r="AH1936" t="n">
        <v>5</v>
      </c>
      <c r="AI1936" t="n">
        <v>5</v>
      </c>
      <c r="AJ1936" t="n">
        <v>13</v>
      </c>
      <c r="AK1936" t="n">
        <v>13</v>
      </c>
      <c r="AL1936" t="n">
        <v>0</v>
      </c>
      <c r="AM1936" t="n">
        <v>0</v>
      </c>
      <c r="AN1936" t="n">
        <v>0</v>
      </c>
      <c r="AO1936" t="n">
        <v>0</v>
      </c>
      <c r="AP1936" t="inlineStr">
        <is>
          <t>No</t>
        </is>
      </c>
      <c r="AQ1936" t="inlineStr">
        <is>
          <t>No</t>
        </is>
      </c>
      <c r="AS1936">
        <f>HYPERLINK("https://creighton-primo.hosted.exlibrisgroup.com/primo-explore/search?tab=default_tab&amp;search_scope=EVERYTHING&amp;vid=01CRU&amp;lang=en_US&amp;offset=0&amp;query=any,contains,991003989599702656","Catalog Record")</f>
        <v/>
      </c>
      <c r="AT1936">
        <f>HYPERLINK("http://www.worldcat.org/oclc/2040469","WorldCat Record")</f>
        <v/>
      </c>
      <c r="AU1936" t="inlineStr">
        <is>
          <t>3120664:eng</t>
        </is>
      </c>
      <c r="AV1936" t="inlineStr">
        <is>
          <t>2040469</t>
        </is>
      </c>
      <c r="AW1936" t="inlineStr">
        <is>
          <t>991003989599702656</t>
        </is>
      </c>
      <c r="AX1936" t="inlineStr">
        <is>
          <t>991003989599702656</t>
        </is>
      </c>
      <c r="AY1936" t="inlineStr">
        <is>
          <t>2269918860002656</t>
        </is>
      </c>
      <c r="AZ1936" t="inlineStr">
        <is>
          <t>BOOK</t>
        </is>
      </c>
      <c r="BC1936" t="inlineStr">
        <is>
          <t>32285000854660</t>
        </is>
      </c>
      <c r="BD1936" t="inlineStr">
        <is>
          <t>893228775</t>
        </is>
      </c>
    </row>
    <row r="1937">
      <c r="A1937" t="inlineStr">
        <is>
          <t>No</t>
        </is>
      </c>
      <c r="B1937" t="inlineStr">
        <is>
          <t>BX4655.2 .E5 1966</t>
        </is>
      </c>
      <c r="C1937" t="inlineStr">
        <is>
          <t>0                      BX 4655200E  5           1966</t>
        </is>
      </c>
      <c r="D1937" t="inlineStr">
        <is>
          <t>The Encyclopedia of Catholic saints.</t>
        </is>
      </c>
      <c r="E1937" t="inlineStr">
        <is>
          <t>V.5</t>
        </is>
      </c>
      <c r="F1937" t="inlineStr">
        <is>
          <t>Yes</t>
        </is>
      </c>
      <c r="G1937" t="inlineStr">
        <is>
          <t>1</t>
        </is>
      </c>
      <c r="H1937" t="inlineStr">
        <is>
          <t>No</t>
        </is>
      </c>
      <c r="I1937" t="inlineStr">
        <is>
          <t>No</t>
        </is>
      </c>
      <c r="J1937" t="inlineStr">
        <is>
          <t>0</t>
        </is>
      </c>
      <c r="L1937" t="inlineStr">
        <is>
          <t>Philadelphia : Chilton Books, [1966]</t>
        </is>
      </c>
      <c r="M1937" t="inlineStr">
        <is>
          <t>1966</t>
        </is>
      </c>
      <c r="N1937" t="inlineStr">
        <is>
          <t>[1st American ed.]</t>
        </is>
      </c>
      <c r="O1937" t="inlineStr">
        <is>
          <t>eng</t>
        </is>
      </c>
      <c r="P1937" t="inlineStr">
        <is>
          <t>pau</t>
        </is>
      </c>
      <c r="R1937" t="inlineStr">
        <is>
          <t xml:space="preserve">BX </t>
        </is>
      </c>
      <c r="S1937" t="n">
        <v>5</v>
      </c>
      <c r="T1937" t="n">
        <v>76</v>
      </c>
      <c r="U1937" t="inlineStr">
        <is>
          <t>2002-06-29</t>
        </is>
      </c>
      <c r="V1937" t="inlineStr">
        <is>
          <t>2008-06-13</t>
        </is>
      </c>
      <c r="W1937" t="inlineStr">
        <is>
          <t>1990-05-21</t>
        </is>
      </c>
      <c r="X1937" t="inlineStr">
        <is>
          <t>1991-11-18</t>
        </is>
      </c>
      <c r="Y1937" t="n">
        <v>193</v>
      </c>
      <c r="Z1937" t="n">
        <v>186</v>
      </c>
      <c r="AA1937" t="n">
        <v>190</v>
      </c>
      <c r="AB1937" t="n">
        <v>2</v>
      </c>
      <c r="AC1937" t="n">
        <v>2</v>
      </c>
      <c r="AD1937" t="n">
        <v>16</v>
      </c>
      <c r="AE1937" t="n">
        <v>16</v>
      </c>
      <c r="AF1937" t="n">
        <v>5</v>
      </c>
      <c r="AG1937" t="n">
        <v>5</v>
      </c>
      <c r="AH1937" t="n">
        <v>5</v>
      </c>
      <c r="AI1937" t="n">
        <v>5</v>
      </c>
      <c r="AJ1937" t="n">
        <v>13</v>
      </c>
      <c r="AK1937" t="n">
        <v>13</v>
      </c>
      <c r="AL1937" t="n">
        <v>0</v>
      </c>
      <c r="AM1937" t="n">
        <v>0</v>
      </c>
      <c r="AN1937" t="n">
        <v>0</v>
      </c>
      <c r="AO1937" t="n">
        <v>0</v>
      </c>
      <c r="AP1937" t="inlineStr">
        <is>
          <t>No</t>
        </is>
      </c>
      <c r="AQ1937" t="inlineStr">
        <is>
          <t>No</t>
        </is>
      </c>
      <c r="AS1937">
        <f>HYPERLINK("https://creighton-primo.hosted.exlibrisgroup.com/primo-explore/search?tab=default_tab&amp;search_scope=EVERYTHING&amp;vid=01CRU&amp;lang=en_US&amp;offset=0&amp;query=any,contains,991003989599702656","Catalog Record")</f>
        <v/>
      </c>
      <c r="AT1937">
        <f>HYPERLINK("http://www.worldcat.org/oclc/2040469","WorldCat Record")</f>
        <v/>
      </c>
      <c r="AU1937" t="inlineStr">
        <is>
          <t>3120664:eng</t>
        </is>
      </c>
      <c r="AV1937" t="inlineStr">
        <is>
          <t>2040469</t>
        </is>
      </c>
      <c r="AW1937" t="inlineStr">
        <is>
          <t>991003989599702656</t>
        </is>
      </c>
      <c r="AX1937" t="inlineStr">
        <is>
          <t>991003989599702656</t>
        </is>
      </c>
      <c r="AY1937" t="inlineStr">
        <is>
          <t>2269918860002656</t>
        </is>
      </c>
      <c r="AZ1937" t="inlineStr">
        <is>
          <t>BOOK</t>
        </is>
      </c>
      <c r="BC1937" t="inlineStr">
        <is>
          <t>32285000153931</t>
        </is>
      </c>
      <c r="BD1937" t="inlineStr">
        <is>
          <t>893259187</t>
        </is>
      </c>
    </row>
    <row r="1938">
      <c r="A1938" t="inlineStr">
        <is>
          <t>No</t>
        </is>
      </c>
      <c r="B1938" t="inlineStr">
        <is>
          <t>BX4655.2 .E5 1966</t>
        </is>
      </c>
      <c r="C1938" t="inlineStr">
        <is>
          <t>0                      BX 4655200E  5           1966</t>
        </is>
      </c>
      <c r="D1938" t="inlineStr">
        <is>
          <t>The Encyclopedia of Catholic saints.</t>
        </is>
      </c>
      <c r="E1938" t="inlineStr">
        <is>
          <t>V.11</t>
        </is>
      </c>
      <c r="F1938" t="inlineStr">
        <is>
          <t>Yes</t>
        </is>
      </c>
      <c r="G1938" t="inlineStr">
        <is>
          <t>1</t>
        </is>
      </c>
      <c r="H1938" t="inlineStr">
        <is>
          <t>No</t>
        </is>
      </c>
      <c r="I1938" t="inlineStr">
        <is>
          <t>No</t>
        </is>
      </c>
      <c r="J1938" t="inlineStr">
        <is>
          <t>0</t>
        </is>
      </c>
      <c r="L1938" t="inlineStr">
        <is>
          <t>Philadelphia : Chilton Books, [1966]</t>
        </is>
      </c>
      <c r="M1938" t="inlineStr">
        <is>
          <t>1966</t>
        </is>
      </c>
      <c r="N1938" t="inlineStr">
        <is>
          <t>[1st American ed.]</t>
        </is>
      </c>
      <c r="O1938" t="inlineStr">
        <is>
          <t>eng</t>
        </is>
      </c>
      <c r="P1938" t="inlineStr">
        <is>
          <t>pau</t>
        </is>
      </c>
      <c r="R1938" t="inlineStr">
        <is>
          <t xml:space="preserve">BX </t>
        </is>
      </c>
      <c r="S1938" t="n">
        <v>7</v>
      </c>
      <c r="T1938" t="n">
        <v>76</v>
      </c>
      <c r="U1938" t="inlineStr">
        <is>
          <t>1997-11-09</t>
        </is>
      </c>
      <c r="V1938" t="inlineStr">
        <is>
          <t>2008-06-13</t>
        </is>
      </c>
      <c r="W1938" t="inlineStr">
        <is>
          <t>1991-11-18</t>
        </is>
      </c>
      <c r="X1938" t="inlineStr">
        <is>
          <t>1991-11-18</t>
        </is>
      </c>
      <c r="Y1938" t="n">
        <v>193</v>
      </c>
      <c r="Z1938" t="n">
        <v>186</v>
      </c>
      <c r="AA1938" t="n">
        <v>190</v>
      </c>
      <c r="AB1938" t="n">
        <v>2</v>
      </c>
      <c r="AC1938" t="n">
        <v>2</v>
      </c>
      <c r="AD1938" t="n">
        <v>16</v>
      </c>
      <c r="AE1938" t="n">
        <v>16</v>
      </c>
      <c r="AF1938" t="n">
        <v>5</v>
      </c>
      <c r="AG1938" t="n">
        <v>5</v>
      </c>
      <c r="AH1938" t="n">
        <v>5</v>
      </c>
      <c r="AI1938" t="n">
        <v>5</v>
      </c>
      <c r="AJ1938" t="n">
        <v>13</v>
      </c>
      <c r="AK1938" t="n">
        <v>13</v>
      </c>
      <c r="AL1938" t="n">
        <v>0</v>
      </c>
      <c r="AM1938" t="n">
        <v>0</v>
      </c>
      <c r="AN1938" t="n">
        <v>0</v>
      </c>
      <c r="AO1938" t="n">
        <v>0</v>
      </c>
      <c r="AP1938" t="inlineStr">
        <is>
          <t>No</t>
        </is>
      </c>
      <c r="AQ1938" t="inlineStr">
        <is>
          <t>No</t>
        </is>
      </c>
      <c r="AS1938">
        <f>HYPERLINK("https://creighton-primo.hosted.exlibrisgroup.com/primo-explore/search?tab=default_tab&amp;search_scope=EVERYTHING&amp;vid=01CRU&amp;lang=en_US&amp;offset=0&amp;query=any,contains,991003989599702656","Catalog Record")</f>
        <v/>
      </c>
      <c r="AT1938">
        <f>HYPERLINK("http://www.worldcat.org/oclc/2040469","WorldCat Record")</f>
        <v/>
      </c>
      <c r="AU1938" t="inlineStr">
        <is>
          <t>3120664:eng</t>
        </is>
      </c>
      <c r="AV1938" t="inlineStr">
        <is>
          <t>2040469</t>
        </is>
      </c>
      <c r="AW1938" t="inlineStr">
        <is>
          <t>991003989599702656</t>
        </is>
      </c>
      <c r="AX1938" t="inlineStr">
        <is>
          <t>991003989599702656</t>
        </is>
      </c>
      <c r="AY1938" t="inlineStr">
        <is>
          <t>2269918860002656</t>
        </is>
      </c>
      <c r="AZ1938" t="inlineStr">
        <is>
          <t>BOOK</t>
        </is>
      </c>
      <c r="BC1938" t="inlineStr">
        <is>
          <t>32285000854728</t>
        </is>
      </c>
      <c r="BD1938" t="inlineStr">
        <is>
          <t>893228776</t>
        </is>
      </c>
    </row>
    <row r="1939">
      <c r="A1939" t="inlineStr">
        <is>
          <t>No</t>
        </is>
      </c>
      <c r="B1939" t="inlineStr">
        <is>
          <t>BX4655.2 .E5 1966</t>
        </is>
      </c>
      <c r="C1939" t="inlineStr">
        <is>
          <t>0                      BX 4655200E  5           1966</t>
        </is>
      </c>
      <c r="D1939" t="inlineStr">
        <is>
          <t>The Encyclopedia of Catholic saints.</t>
        </is>
      </c>
      <c r="E1939" t="inlineStr">
        <is>
          <t>V.9</t>
        </is>
      </c>
      <c r="F1939" t="inlineStr">
        <is>
          <t>Yes</t>
        </is>
      </c>
      <c r="G1939" t="inlineStr">
        <is>
          <t>1</t>
        </is>
      </c>
      <c r="H1939" t="inlineStr">
        <is>
          <t>No</t>
        </is>
      </c>
      <c r="I1939" t="inlineStr">
        <is>
          <t>No</t>
        </is>
      </c>
      <c r="J1939" t="inlineStr">
        <is>
          <t>0</t>
        </is>
      </c>
      <c r="L1939" t="inlineStr">
        <is>
          <t>Philadelphia : Chilton Books, [1966]</t>
        </is>
      </c>
      <c r="M1939" t="inlineStr">
        <is>
          <t>1966</t>
        </is>
      </c>
      <c r="N1939" t="inlineStr">
        <is>
          <t>[1st American ed.]</t>
        </is>
      </c>
      <c r="O1939" t="inlineStr">
        <is>
          <t>eng</t>
        </is>
      </c>
      <c r="P1939" t="inlineStr">
        <is>
          <t>pau</t>
        </is>
      </c>
      <c r="R1939" t="inlineStr">
        <is>
          <t xml:space="preserve">BX </t>
        </is>
      </c>
      <c r="S1939" t="n">
        <v>5</v>
      </c>
      <c r="T1939" t="n">
        <v>76</v>
      </c>
      <c r="U1939" t="inlineStr">
        <is>
          <t>2002-07-29</t>
        </is>
      </c>
      <c r="V1939" t="inlineStr">
        <is>
          <t>2008-06-13</t>
        </is>
      </c>
      <c r="W1939" t="inlineStr">
        <is>
          <t>1991-11-18</t>
        </is>
      </c>
      <c r="X1939" t="inlineStr">
        <is>
          <t>1991-11-18</t>
        </is>
      </c>
      <c r="Y1939" t="n">
        <v>193</v>
      </c>
      <c r="Z1939" t="n">
        <v>186</v>
      </c>
      <c r="AA1939" t="n">
        <v>190</v>
      </c>
      <c r="AB1939" t="n">
        <v>2</v>
      </c>
      <c r="AC1939" t="n">
        <v>2</v>
      </c>
      <c r="AD1939" t="n">
        <v>16</v>
      </c>
      <c r="AE1939" t="n">
        <v>16</v>
      </c>
      <c r="AF1939" t="n">
        <v>5</v>
      </c>
      <c r="AG1939" t="n">
        <v>5</v>
      </c>
      <c r="AH1939" t="n">
        <v>5</v>
      </c>
      <c r="AI1939" t="n">
        <v>5</v>
      </c>
      <c r="AJ1939" t="n">
        <v>13</v>
      </c>
      <c r="AK1939" t="n">
        <v>13</v>
      </c>
      <c r="AL1939" t="n">
        <v>0</v>
      </c>
      <c r="AM1939" t="n">
        <v>0</v>
      </c>
      <c r="AN1939" t="n">
        <v>0</v>
      </c>
      <c r="AO1939" t="n">
        <v>0</v>
      </c>
      <c r="AP1939" t="inlineStr">
        <is>
          <t>No</t>
        </is>
      </c>
      <c r="AQ1939" t="inlineStr">
        <is>
          <t>No</t>
        </is>
      </c>
      <c r="AS1939">
        <f>HYPERLINK("https://creighton-primo.hosted.exlibrisgroup.com/primo-explore/search?tab=default_tab&amp;search_scope=EVERYTHING&amp;vid=01CRU&amp;lang=en_US&amp;offset=0&amp;query=any,contains,991003989599702656","Catalog Record")</f>
        <v/>
      </c>
      <c r="AT1939">
        <f>HYPERLINK("http://www.worldcat.org/oclc/2040469","WorldCat Record")</f>
        <v/>
      </c>
      <c r="AU1939" t="inlineStr">
        <is>
          <t>3120664:eng</t>
        </is>
      </c>
      <c r="AV1939" t="inlineStr">
        <is>
          <t>2040469</t>
        </is>
      </c>
      <c r="AW1939" t="inlineStr">
        <is>
          <t>991003989599702656</t>
        </is>
      </c>
      <c r="AX1939" t="inlineStr">
        <is>
          <t>991003989599702656</t>
        </is>
      </c>
      <c r="AY1939" t="inlineStr">
        <is>
          <t>2269918860002656</t>
        </is>
      </c>
      <c r="AZ1939" t="inlineStr">
        <is>
          <t>BOOK</t>
        </is>
      </c>
      <c r="BC1939" t="inlineStr">
        <is>
          <t>32285000854702</t>
        </is>
      </c>
      <c r="BD1939" t="inlineStr">
        <is>
          <t>893228774</t>
        </is>
      </c>
    </row>
    <row r="1940">
      <c r="A1940" t="inlineStr">
        <is>
          <t>No</t>
        </is>
      </c>
      <c r="B1940" t="inlineStr">
        <is>
          <t>BX4655.2 .E5 1966</t>
        </is>
      </c>
      <c r="C1940" t="inlineStr">
        <is>
          <t>0                      BX 4655200E  5           1966</t>
        </is>
      </c>
      <c r="D1940" t="inlineStr">
        <is>
          <t>The Encyclopedia of Catholic saints.</t>
        </is>
      </c>
      <c r="E1940" t="inlineStr">
        <is>
          <t>V.12</t>
        </is>
      </c>
      <c r="F1940" t="inlineStr">
        <is>
          <t>Yes</t>
        </is>
      </c>
      <c r="G1940" t="inlineStr">
        <is>
          <t>1</t>
        </is>
      </c>
      <c r="H1940" t="inlineStr">
        <is>
          <t>No</t>
        </is>
      </c>
      <c r="I1940" t="inlineStr">
        <is>
          <t>No</t>
        </is>
      </c>
      <c r="J1940" t="inlineStr">
        <is>
          <t>0</t>
        </is>
      </c>
      <c r="L1940" t="inlineStr">
        <is>
          <t>Philadelphia : Chilton Books, [1966]</t>
        </is>
      </c>
      <c r="M1940" t="inlineStr">
        <is>
          <t>1966</t>
        </is>
      </c>
      <c r="N1940" t="inlineStr">
        <is>
          <t>[1st American ed.]</t>
        </is>
      </c>
      <c r="O1940" t="inlineStr">
        <is>
          <t>eng</t>
        </is>
      </c>
      <c r="P1940" t="inlineStr">
        <is>
          <t>pau</t>
        </is>
      </c>
      <c r="R1940" t="inlineStr">
        <is>
          <t xml:space="preserve">BX </t>
        </is>
      </c>
      <c r="S1940" t="n">
        <v>4</v>
      </c>
      <c r="T1940" t="n">
        <v>76</v>
      </c>
      <c r="U1940" t="inlineStr">
        <is>
          <t>1994-10-30</t>
        </is>
      </c>
      <c r="V1940" t="inlineStr">
        <is>
          <t>2008-06-13</t>
        </is>
      </c>
      <c r="W1940" t="inlineStr">
        <is>
          <t>1991-11-18</t>
        </is>
      </c>
      <c r="X1940" t="inlineStr">
        <is>
          <t>1991-11-18</t>
        </is>
      </c>
      <c r="Y1940" t="n">
        <v>193</v>
      </c>
      <c r="Z1940" t="n">
        <v>186</v>
      </c>
      <c r="AA1940" t="n">
        <v>190</v>
      </c>
      <c r="AB1940" t="n">
        <v>2</v>
      </c>
      <c r="AC1940" t="n">
        <v>2</v>
      </c>
      <c r="AD1940" t="n">
        <v>16</v>
      </c>
      <c r="AE1940" t="n">
        <v>16</v>
      </c>
      <c r="AF1940" t="n">
        <v>5</v>
      </c>
      <c r="AG1940" t="n">
        <v>5</v>
      </c>
      <c r="AH1940" t="n">
        <v>5</v>
      </c>
      <c r="AI1940" t="n">
        <v>5</v>
      </c>
      <c r="AJ1940" t="n">
        <v>13</v>
      </c>
      <c r="AK1940" t="n">
        <v>13</v>
      </c>
      <c r="AL1940" t="n">
        <v>0</v>
      </c>
      <c r="AM1940" t="n">
        <v>0</v>
      </c>
      <c r="AN1940" t="n">
        <v>0</v>
      </c>
      <c r="AO1940" t="n">
        <v>0</v>
      </c>
      <c r="AP1940" t="inlineStr">
        <is>
          <t>No</t>
        </is>
      </c>
      <c r="AQ1940" t="inlineStr">
        <is>
          <t>No</t>
        </is>
      </c>
      <c r="AS1940">
        <f>HYPERLINK("https://creighton-primo.hosted.exlibrisgroup.com/primo-explore/search?tab=default_tab&amp;search_scope=EVERYTHING&amp;vid=01CRU&amp;lang=en_US&amp;offset=0&amp;query=any,contains,991003989599702656","Catalog Record")</f>
        <v/>
      </c>
      <c r="AT1940">
        <f>HYPERLINK("http://www.worldcat.org/oclc/2040469","WorldCat Record")</f>
        <v/>
      </c>
      <c r="AU1940" t="inlineStr">
        <is>
          <t>3120664:eng</t>
        </is>
      </c>
      <c r="AV1940" t="inlineStr">
        <is>
          <t>2040469</t>
        </is>
      </c>
      <c r="AW1940" t="inlineStr">
        <is>
          <t>991003989599702656</t>
        </is>
      </c>
      <c r="AX1940" t="inlineStr">
        <is>
          <t>991003989599702656</t>
        </is>
      </c>
      <c r="AY1940" t="inlineStr">
        <is>
          <t>2269918860002656</t>
        </is>
      </c>
      <c r="AZ1940" t="inlineStr">
        <is>
          <t>BOOK</t>
        </is>
      </c>
      <c r="BC1940" t="inlineStr">
        <is>
          <t>32285000854736</t>
        </is>
      </c>
      <c r="BD1940" t="inlineStr">
        <is>
          <t>893263046</t>
        </is>
      </c>
    </row>
    <row r="1941">
      <c r="A1941" t="inlineStr">
        <is>
          <t>No</t>
        </is>
      </c>
      <c r="B1941" t="inlineStr">
        <is>
          <t>BX4655.2 .E5 1966</t>
        </is>
      </c>
      <c r="C1941" t="inlineStr">
        <is>
          <t>0                      BX 4655200E  5           1966</t>
        </is>
      </c>
      <c r="D1941" t="inlineStr">
        <is>
          <t>The Encyclopedia of Catholic saints.</t>
        </is>
      </c>
      <c r="E1941" t="inlineStr">
        <is>
          <t>V.1</t>
        </is>
      </c>
      <c r="F1941" t="inlineStr">
        <is>
          <t>Yes</t>
        </is>
      </c>
      <c r="G1941" t="inlineStr">
        <is>
          <t>1</t>
        </is>
      </c>
      <c r="H1941" t="inlineStr">
        <is>
          <t>No</t>
        </is>
      </c>
      <c r="I1941" t="inlineStr">
        <is>
          <t>No</t>
        </is>
      </c>
      <c r="J1941" t="inlineStr">
        <is>
          <t>0</t>
        </is>
      </c>
      <c r="L1941" t="inlineStr">
        <is>
          <t>Philadelphia : Chilton Books, [1966]</t>
        </is>
      </c>
      <c r="M1941" t="inlineStr">
        <is>
          <t>1966</t>
        </is>
      </c>
      <c r="N1941" t="inlineStr">
        <is>
          <t>[1st American ed.]</t>
        </is>
      </c>
      <c r="O1941" t="inlineStr">
        <is>
          <t>eng</t>
        </is>
      </c>
      <c r="P1941" t="inlineStr">
        <is>
          <t>pau</t>
        </is>
      </c>
      <c r="R1941" t="inlineStr">
        <is>
          <t xml:space="preserve">BX </t>
        </is>
      </c>
      <c r="S1941" t="n">
        <v>11</v>
      </c>
      <c r="T1941" t="n">
        <v>76</v>
      </c>
      <c r="U1941" t="inlineStr">
        <is>
          <t>2008-06-13</t>
        </is>
      </c>
      <c r="V1941" t="inlineStr">
        <is>
          <t>2008-06-13</t>
        </is>
      </c>
      <c r="W1941" t="inlineStr">
        <is>
          <t>1991-11-18</t>
        </is>
      </c>
      <c r="X1941" t="inlineStr">
        <is>
          <t>1991-11-18</t>
        </is>
      </c>
      <c r="Y1941" t="n">
        <v>193</v>
      </c>
      <c r="Z1941" t="n">
        <v>186</v>
      </c>
      <c r="AA1941" t="n">
        <v>190</v>
      </c>
      <c r="AB1941" t="n">
        <v>2</v>
      </c>
      <c r="AC1941" t="n">
        <v>2</v>
      </c>
      <c r="AD1941" t="n">
        <v>16</v>
      </c>
      <c r="AE1941" t="n">
        <v>16</v>
      </c>
      <c r="AF1941" t="n">
        <v>5</v>
      </c>
      <c r="AG1941" t="n">
        <v>5</v>
      </c>
      <c r="AH1941" t="n">
        <v>5</v>
      </c>
      <c r="AI1941" t="n">
        <v>5</v>
      </c>
      <c r="AJ1941" t="n">
        <v>13</v>
      </c>
      <c r="AK1941" t="n">
        <v>13</v>
      </c>
      <c r="AL1941" t="n">
        <v>0</v>
      </c>
      <c r="AM1941" t="n">
        <v>0</v>
      </c>
      <c r="AN1941" t="n">
        <v>0</v>
      </c>
      <c r="AO1941" t="n">
        <v>0</v>
      </c>
      <c r="AP1941" t="inlineStr">
        <is>
          <t>No</t>
        </is>
      </c>
      <c r="AQ1941" t="inlineStr">
        <is>
          <t>No</t>
        </is>
      </c>
      <c r="AS1941">
        <f>HYPERLINK("https://creighton-primo.hosted.exlibrisgroup.com/primo-explore/search?tab=default_tab&amp;search_scope=EVERYTHING&amp;vid=01CRU&amp;lang=en_US&amp;offset=0&amp;query=any,contains,991003989599702656","Catalog Record")</f>
        <v/>
      </c>
      <c r="AT1941">
        <f>HYPERLINK("http://www.worldcat.org/oclc/2040469","WorldCat Record")</f>
        <v/>
      </c>
      <c r="AU1941" t="inlineStr">
        <is>
          <t>3120664:eng</t>
        </is>
      </c>
      <c r="AV1941" t="inlineStr">
        <is>
          <t>2040469</t>
        </is>
      </c>
      <c r="AW1941" t="inlineStr">
        <is>
          <t>991003989599702656</t>
        </is>
      </c>
      <c r="AX1941" t="inlineStr">
        <is>
          <t>991003989599702656</t>
        </is>
      </c>
      <c r="AY1941" t="inlineStr">
        <is>
          <t>2269918860002656</t>
        </is>
      </c>
      <c r="AZ1941" t="inlineStr">
        <is>
          <t>BOOK</t>
        </is>
      </c>
      <c r="BC1941" t="inlineStr">
        <is>
          <t>32285000854637</t>
        </is>
      </c>
      <c r="BD1941" t="inlineStr">
        <is>
          <t>893228778</t>
        </is>
      </c>
    </row>
    <row r="1942">
      <c r="A1942" t="inlineStr">
        <is>
          <t>No</t>
        </is>
      </c>
      <c r="B1942" t="inlineStr">
        <is>
          <t>BX4655.2 .F64</t>
        </is>
      </c>
      <c r="C1942" t="inlineStr">
        <is>
          <t>0                      BX 4655200F  64</t>
        </is>
      </c>
      <c r="D1942" t="inlineStr">
        <is>
          <t>Saint of the Day : A life and lesson for each of the 173 saints of the new missal / edited by Leonard Foley, O.F.M.</t>
        </is>
      </c>
      <c r="E1942" t="inlineStr">
        <is>
          <t>V.1</t>
        </is>
      </c>
      <c r="F1942" t="inlineStr">
        <is>
          <t>Yes</t>
        </is>
      </c>
      <c r="G1942" t="inlineStr">
        <is>
          <t>1</t>
        </is>
      </c>
      <c r="H1942" t="inlineStr">
        <is>
          <t>No</t>
        </is>
      </c>
      <c r="I1942" t="inlineStr">
        <is>
          <t>No</t>
        </is>
      </c>
      <c r="J1942" t="inlineStr">
        <is>
          <t>0</t>
        </is>
      </c>
      <c r="K1942" t="inlineStr">
        <is>
          <t>Foley, Leonard, 1913-1994 editor.</t>
        </is>
      </c>
      <c r="L1942" t="inlineStr">
        <is>
          <t>Cincinnati, Ohio : St. Anthony Messenger Press, 1974</t>
        </is>
      </c>
      <c r="M1942" t="inlineStr">
        <is>
          <t>1974</t>
        </is>
      </c>
      <c r="O1942" t="inlineStr">
        <is>
          <t>eng</t>
        </is>
      </c>
      <c r="P1942" t="inlineStr">
        <is>
          <t xml:space="preserve">xx </t>
        </is>
      </c>
      <c r="R1942" t="inlineStr">
        <is>
          <t xml:space="preserve">BX </t>
        </is>
      </c>
      <c r="S1942" t="n">
        <v>13</v>
      </c>
      <c r="T1942" t="n">
        <v>27</v>
      </c>
      <c r="U1942" t="inlineStr">
        <is>
          <t>1999-01-20</t>
        </is>
      </c>
      <c r="V1942" t="inlineStr">
        <is>
          <t>2000-08-28</t>
        </is>
      </c>
      <c r="W1942" t="inlineStr">
        <is>
          <t>1990-06-12</t>
        </is>
      </c>
      <c r="X1942" t="inlineStr">
        <is>
          <t>1994-12-21</t>
        </is>
      </c>
      <c r="Y1942" t="n">
        <v>98</v>
      </c>
      <c r="Z1942" t="n">
        <v>85</v>
      </c>
      <c r="AA1942" t="n">
        <v>129</v>
      </c>
      <c r="AB1942" t="n">
        <v>1</v>
      </c>
      <c r="AC1942" t="n">
        <v>5</v>
      </c>
      <c r="AD1942" t="n">
        <v>6</v>
      </c>
      <c r="AE1942" t="n">
        <v>9</v>
      </c>
      <c r="AF1942" t="n">
        <v>1</v>
      </c>
      <c r="AG1942" t="n">
        <v>2</v>
      </c>
      <c r="AH1942" t="n">
        <v>2</v>
      </c>
      <c r="AI1942" t="n">
        <v>3</v>
      </c>
      <c r="AJ1942" t="n">
        <v>4</v>
      </c>
      <c r="AK1942" t="n">
        <v>6</v>
      </c>
      <c r="AL1942" t="n">
        <v>0</v>
      </c>
      <c r="AM1942" t="n">
        <v>0</v>
      </c>
      <c r="AN1942" t="n">
        <v>0</v>
      </c>
      <c r="AO1942" t="n">
        <v>0</v>
      </c>
      <c r="AP1942" t="inlineStr">
        <is>
          <t>No</t>
        </is>
      </c>
      <c r="AQ1942" t="inlineStr">
        <is>
          <t>No</t>
        </is>
      </c>
      <c r="AS1942">
        <f>HYPERLINK("https://creighton-primo.hosted.exlibrisgroup.com/primo-explore/search?tab=default_tab&amp;search_scope=EVERYTHING&amp;vid=01CRU&amp;lang=en_US&amp;offset=0&amp;query=any,contains,991003956389702656","Catalog Record")</f>
        <v/>
      </c>
      <c r="AT1942">
        <f>HYPERLINK("http://www.worldcat.org/oclc/1967579","WorldCat Record")</f>
        <v/>
      </c>
      <c r="AU1942" t="inlineStr">
        <is>
          <t>423300965:eng</t>
        </is>
      </c>
      <c r="AV1942" t="inlineStr">
        <is>
          <t>1967579</t>
        </is>
      </c>
      <c r="AW1942" t="inlineStr">
        <is>
          <t>991003956389702656</t>
        </is>
      </c>
      <c r="AX1942" t="inlineStr">
        <is>
          <t>991003956389702656</t>
        </is>
      </c>
      <c r="AY1942" t="inlineStr">
        <is>
          <t>2267603420002656</t>
        </is>
      </c>
      <c r="AZ1942" t="inlineStr">
        <is>
          <t>BOOK</t>
        </is>
      </c>
      <c r="BB1942" t="inlineStr">
        <is>
          <t>9780912228167</t>
        </is>
      </c>
      <c r="BC1942" t="inlineStr">
        <is>
          <t>32285000190511</t>
        </is>
      </c>
      <c r="BD1942" t="inlineStr">
        <is>
          <t>893343295</t>
        </is>
      </c>
    </row>
    <row r="1943">
      <c r="A1943" t="inlineStr">
        <is>
          <t>No</t>
        </is>
      </c>
      <c r="B1943" t="inlineStr">
        <is>
          <t>BX4655.2 .F64</t>
        </is>
      </c>
      <c r="C1943" t="inlineStr">
        <is>
          <t>0                      BX 4655200F  64</t>
        </is>
      </c>
      <c r="D1943" t="inlineStr">
        <is>
          <t>Saint of the Day : A life and lesson for each of the 173 saints of the new missal / edited by Leonard Foley, O.F.M.</t>
        </is>
      </c>
      <c r="E1943" t="inlineStr">
        <is>
          <t>V.2</t>
        </is>
      </c>
      <c r="F1943" t="inlineStr">
        <is>
          <t>Yes</t>
        </is>
      </c>
      <c r="G1943" t="inlineStr">
        <is>
          <t>1</t>
        </is>
      </c>
      <c r="H1943" t="inlineStr">
        <is>
          <t>No</t>
        </is>
      </c>
      <c r="I1943" t="inlineStr">
        <is>
          <t>No</t>
        </is>
      </c>
      <c r="J1943" t="inlineStr">
        <is>
          <t>0</t>
        </is>
      </c>
      <c r="K1943" t="inlineStr">
        <is>
          <t>Foley, Leonard, 1913-1994 editor.</t>
        </is>
      </c>
      <c r="L1943" t="inlineStr">
        <is>
          <t>Cincinnati, Ohio : St. Anthony Messenger Press, 1974</t>
        </is>
      </c>
      <c r="M1943" t="inlineStr">
        <is>
          <t>1974</t>
        </is>
      </c>
      <c r="O1943" t="inlineStr">
        <is>
          <t>eng</t>
        </is>
      </c>
      <c r="P1943" t="inlineStr">
        <is>
          <t xml:space="preserve">xx </t>
        </is>
      </c>
      <c r="R1943" t="inlineStr">
        <is>
          <t xml:space="preserve">BX </t>
        </is>
      </c>
      <c r="S1943" t="n">
        <v>14</v>
      </c>
      <c r="T1943" t="n">
        <v>27</v>
      </c>
      <c r="U1943" t="inlineStr">
        <is>
          <t>2000-08-28</t>
        </is>
      </c>
      <c r="V1943" t="inlineStr">
        <is>
          <t>2000-08-28</t>
        </is>
      </c>
      <c r="W1943" t="inlineStr">
        <is>
          <t>1994-12-21</t>
        </is>
      </c>
      <c r="X1943" t="inlineStr">
        <is>
          <t>1994-12-21</t>
        </is>
      </c>
      <c r="Y1943" t="n">
        <v>98</v>
      </c>
      <c r="Z1943" t="n">
        <v>85</v>
      </c>
      <c r="AA1943" t="n">
        <v>129</v>
      </c>
      <c r="AB1943" t="n">
        <v>1</v>
      </c>
      <c r="AC1943" t="n">
        <v>5</v>
      </c>
      <c r="AD1943" t="n">
        <v>6</v>
      </c>
      <c r="AE1943" t="n">
        <v>9</v>
      </c>
      <c r="AF1943" t="n">
        <v>1</v>
      </c>
      <c r="AG1943" t="n">
        <v>2</v>
      </c>
      <c r="AH1943" t="n">
        <v>2</v>
      </c>
      <c r="AI1943" t="n">
        <v>3</v>
      </c>
      <c r="AJ1943" t="n">
        <v>4</v>
      </c>
      <c r="AK1943" t="n">
        <v>6</v>
      </c>
      <c r="AL1943" t="n">
        <v>0</v>
      </c>
      <c r="AM1943" t="n">
        <v>0</v>
      </c>
      <c r="AN1943" t="n">
        <v>0</v>
      </c>
      <c r="AO1943" t="n">
        <v>0</v>
      </c>
      <c r="AP1943" t="inlineStr">
        <is>
          <t>No</t>
        </is>
      </c>
      <c r="AQ1943" t="inlineStr">
        <is>
          <t>No</t>
        </is>
      </c>
      <c r="AS1943">
        <f>HYPERLINK("https://creighton-primo.hosted.exlibrisgroup.com/primo-explore/search?tab=default_tab&amp;search_scope=EVERYTHING&amp;vid=01CRU&amp;lang=en_US&amp;offset=0&amp;query=any,contains,991003956389702656","Catalog Record")</f>
        <v/>
      </c>
      <c r="AT1943">
        <f>HYPERLINK("http://www.worldcat.org/oclc/1967579","WorldCat Record")</f>
        <v/>
      </c>
      <c r="AU1943" t="inlineStr">
        <is>
          <t>423300965:eng</t>
        </is>
      </c>
      <c r="AV1943" t="inlineStr">
        <is>
          <t>1967579</t>
        </is>
      </c>
      <c r="AW1943" t="inlineStr">
        <is>
          <t>991003956389702656</t>
        </is>
      </c>
      <c r="AX1943" t="inlineStr">
        <is>
          <t>991003956389702656</t>
        </is>
      </c>
      <c r="AY1943" t="inlineStr">
        <is>
          <t>2267603420002656</t>
        </is>
      </c>
      <c r="AZ1943" t="inlineStr">
        <is>
          <t>BOOK</t>
        </is>
      </c>
      <c r="BB1943" t="inlineStr">
        <is>
          <t>9780912228167</t>
        </is>
      </c>
      <c r="BC1943" t="inlineStr">
        <is>
          <t>32285001778637</t>
        </is>
      </c>
      <c r="BD1943" t="inlineStr">
        <is>
          <t>893331032</t>
        </is>
      </c>
    </row>
    <row r="1944">
      <c r="A1944" t="inlineStr">
        <is>
          <t>No</t>
        </is>
      </c>
      <c r="B1944" t="inlineStr">
        <is>
          <t>BX4655.2 .F66 1978</t>
        </is>
      </c>
      <c r="C1944" t="inlineStr">
        <is>
          <t>0                      BX 4655200F  66          1978</t>
        </is>
      </c>
      <c r="D1944" t="inlineStr">
        <is>
          <t>Saints alive! : the lives of thirteen heroic saints / Anne Fremantle.</t>
        </is>
      </c>
      <c r="F1944" t="inlineStr">
        <is>
          <t>No</t>
        </is>
      </c>
      <c r="G1944" t="inlineStr">
        <is>
          <t>1</t>
        </is>
      </c>
      <c r="H1944" t="inlineStr">
        <is>
          <t>No</t>
        </is>
      </c>
      <c r="I1944" t="inlineStr">
        <is>
          <t>No</t>
        </is>
      </c>
      <c r="J1944" t="inlineStr">
        <is>
          <t>0</t>
        </is>
      </c>
      <c r="K1944" t="inlineStr">
        <is>
          <t>Fremantle, Anne, 1909-2002.</t>
        </is>
      </c>
      <c r="L1944" t="inlineStr">
        <is>
          <t>Garden City, N.Y. : Doubleday, 1978.</t>
        </is>
      </c>
      <c r="M1944" t="inlineStr">
        <is>
          <t>1978</t>
        </is>
      </c>
      <c r="N1944" t="inlineStr">
        <is>
          <t>1st ed.</t>
        </is>
      </c>
      <c r="O1944" t="inlineStr">
        <is>
          <t>eng</t>
        </is>
      </c>
      <c r="P1944" t="inlineStr">
        <is>
          <t>nyu</t>
        </is>
      </c>
      <c r="R1944" t="inlineStr">
        <is>
          <t xml:space="preserve">BX </t>
        </is>
      </c>
      <c r="S1944" t="n">
        <v>11</v>
      </c>
      <c r="T1944" t="n">
        <v>11</v>
      </c>
      <c r="U1944" t="inlineStr">
        <is>
          <t>2002-03-06</t>
        </is>
      </c>
      <c r="V1944" t="inlineStr">
        <is>
          <t>2002-03-06</t>
        </is>
      </c>
      <c r="W1944" t="inlineStr">
        <is>
          <t>1991-11-18</t>
        </is>
      </c>
      <c r="X1944" t="inlineStr">
        <is>
          <t>1991-11-18</t>
        </is>
      </c>
      <c r="Y1944" t="n">
        <v>495</v>
      </c>
      <c r="Z1944" t="n">
        <v>476</v>
      </c>
      <c r="AA1944" t="n">
        <v>481</v>
      </c>
      <c r="AB1944" t="n">
        <v>5</v>
      </c>
      <c r="AC1944" t="n">
        <v>5</v>
      </c>
      <c r="AD1944" t="n">
        <v>10</v>
      </c>
      <c r="AE1944" t="n">
        <v>10</v>
      </c>
      <c r="AF1944" t="n">
        <v>3</v>
      </c>
      <c r="AG1944" t="n">
        <v>3</v>
      </c>
      <c r="AH1944" t="n">
        <v>1</v>
      </c>
      <c r="AI1944" t="n">
        <v>1</v>
      </c>
      <c r="AJ1944" t="n">
        <v>7</v>
      </c>
      <c r="AK1944" t="n">
        <v>7</v>
      </c>
      <c r="AL1944" t="n">
        <v>1</v>
      </c>
      <c r="AM1944" t="n">
        <v>1</v>
      </c>
      <c r="AN1944" t="n">
        <v>0</v>
      </c>
      <c r="AO1944" t="n">
        <v>0</v>
      </c>
      <c r="AP1944" t="inlineStr">
        <is>
          <t>No</t>
        </is>
      </c>
      <c r="AQ1944" t="inlineStr">
        <is>
          <t>No</t>
        </is>
      </c>
      <c r="AS1944">
        <f>HYPERLINK("https://creighton-primo.hosted.exlibrisgroup.com/primo-explore/search?tab=default_tab&amp;search_scope=EVERYTHING&amp;vid=01CRU&amp;lang=en_US&amp;offset=0&amp;query=any,contains,991004595569702656","Catalog Record")</f>
        <v/>
      </c>
      <c r="AT1944">
        <f>HYPERLINK("http://www.worldcat.org/oclc/4136520","WorldCat Record")</f>
        <v/>
      </c>
      <c r="AU1944" t="inlineStr">
        <is>
          <t>4161199874:eng</t>
        </is>
      </c>
      <c r="AV1944" t="inlineStr">
        <is>
          <t>4136520</t>
        </is>
      </c>
      <c r="AW1944" t="inlineStr">
        <is>
          <t>991004595569702656</t>
        </is>
      </c>
      <c r="AX1944" t="inlineStr">
        <is>
          <t>991004595569702656</t>
        </is>
      </c>
      <c r="AY1944" t="inlineStr">
        <is>
          <t>2258151220002656</t>
        </is>
      </c>
      <c r="AZ1944" t="inlineStr">
        <is>
          <t>BOOK</t>
        </is>
      </c>
      <c r="BB1944" t="inlineStr">
        <is>
          <t>9780385124416</t>
        </is>
      </c>
      <c r="BC1944" t="inlineStr">
        <is>
          <t>32285000854751</t>
        </is>
      </c>
      <c r="BD1944" t="inlineStr">
        <is>
          <t>893895191</t>
        </is>
      </c>
    </row>
    <row r="1945">
      <c r="A1945" t="inlineStr">
        <is>
          <t>No</t>
        </is>
      </c>
      <c r="B1945" t="inlineStr">
        <is>
          <t>BX4655.2 .G35 1976</t>
        </is>
      </c>
      <c r="C1945" t="inlineStr">
        <is>
          <t>0                      BX 4655200G  35          1976</t>
        </is>
      </c>
      <c r="D1945" t="inlineStr">
        <is>
          <t>Saints for confused times / by John Garvey.</t>
        </is>
      </c>
      <c r="F1945" t="inlineStr">
        <is>
          <t>No</t>
        </is>
      </c>
      <c r="G1945" t="inlineStr">
        <is>
          <t>1</t>
        </is>
      </c>
      <c r="H1945" t="inlineStr">
        <is>
          <t>Yes</t>
        </is>
      </c>
      <c r="I1945" t="inlineStr">
        <is>
          <t>No</t>
        </is>
      </c>
      <c r="J1945" t="inlineStr">
        <is>
          <t>0</t>
        </is>
      </c>
      <c r="K1945" t="inlineStr">
        <is>
          <t>Garvey, John, 1944-2015.</t>
        </is>
      </c>
      <c r="L1945" t="inlineStr">
        <is>
          <t>Chicago : Thomas More Press, c1976.</t>
        </is>
      </c>
      <c r="M1945" t="inlineStr">
        <is>
          <t>1976</t>
        </is>
      </c>
      <c r="O1945" t="inlineStr">
        <is>
          <t>eng</t>
        </is>
      </c>
      <c r="P1945" t="inlineStr">
        <is>
          <t>ilu</t>
        </is>
      </c>
      <c r="R1945" t="inlineStr">
        <is>
          <t xml:space="preserve">BX </t>
        </is>
      </c>
      <c r="S1945" t="n">
        <v>12</v>
      </c>
      <c r="T1945" t="n">
        <v>12</v>
      </c>
      <c r="U1945" t="inlineStr">
        <is>
          <t>2006-02-19</t>
        </is>
      </c>
      <c r="V1945" t="inlineStr">
        <is>
          <t>2006-02-19</t>
        </is>
      </c>
      <c r="W1945" t="inlineStr">
        <is>
          <t>1991-11-18</t>
        </is>
      </c>
      <c r="X1945" t="inlineStr">
        <is>
          <t>1992-07-17</t>
        </is>
      </c>
      <c r="Y1945" t="n">
        <v>109</v>
      </c>
      <c r="Z1945" t="n">
        <v>100</v>
      </c>
      <c r="AA1945" t="n">
        <v>100</v>
      </c>
      <c r="AB1945" t="n">
        <v>3</v>
      </c>
      <c r="AC1945" t="n">
        <v>3</v>
      </c>
      <c r="AD1945" t="n">
        <v>10</v>
      </c>
      <c r="AE1945" t="n">
        <v>10</v>
      </c>
      <c r="AF1945" t="n">
        <v>1</v>
      </c>
      <c r="AG1945" t="n">
        <v>1</v>
      </c>
      <c r="AH1945" t="n">
        <v>4</v>
      </c>
      <c r="AI1945" t="n">
        <v>4</v>
      </c>
      <c r="AJ1945" t="n">
        <v>7</v>
      </c>
      <c r="AK1945" t="n">
        <v>7</v>
      </c>
      <c r="AL1945" t="n">
        <v>0</v>
      </c>
      <c r="AM1945" t="n">
        <v>0</v>
      </c>
      <c r="AN1945" t="n">
        <v>0</v>
      </c>
      <c r="AO1945" t="n">
        <v>0</v>
      </c>
      <c r="AP1945" t="inlineStr">
        <is>
          <t>No</t>
        </is>
      </c>
      <c r="AQ1945" t="inlineStr">
        <is>
          <t>No</t>
        </is>
      </c>
      <c r="AS1945">
        <f>HYPERLINK("https://creighton-primo.hosted.exlibrisgroup.com/primo-explore/search?tab=default_tab&amp;search_scope=EVERYTHING&amp;vid=01CRU&amp;lang=en_US&amp;offset=0&amp;query=any,contains,991001760749702656","Catalog Record")</f>
        <v/>
      </c>
      <c r="AT1945">
        <f>HYPERLINK("http://www.worldcat.org/oclc/2351814","WorldCat Record")</f>
        <v/>
      </c>
      <c r="AU1945" t="inlineStr">
        <is>
          <t>4466376:eng</t>
        </is>
      </c>
      <c r="AV1945" t="inlineStr">
        <is>
          <t>2351814</t>
        </is>
      </c>
      <c r="AW1945" t="inlineStr">
        <is>
          <t>991001760749702656</t>
        </is>
      </c>
      <c r="AX1945" t="inlineStr">
        <is>
          <t>991001760749702656</t>
        </is>
      </c>
      <c r="AY1945" t="inlineStr">
        <is>
          <t>2264603020002656</t>
        </is>
      </c>
      <c r="AZ1945" t="inlineStr">
        <is>
          <t>BOOK</t>
        </is>
      </c>
      <c r="BB1945" t="inlineStr">
        <is>
          <t>9780883470664</t>
        </is>
      </c>
      <c r="BC1945" t="inlineStr">
        <is>
          <t>32285000854769</t>
        </is>
      </c>
      <c r="BD1945" t="inlineStr">
        <is>
          <t>893872777</t>
        </is>
      </c>
    </row>
    <row r="1946">
      <c r="A1946" t="inlineStr">
        <is>
          <t>No</t>
        </is>
      </c>
      <c r="B1946" t="inlineStr">
        <is>
          <t>BX4655.2 .M62 1984</t>
        </is>
      </c>
      <c r="C1946" t="inlineStr">
        <is>
          <t>0                      BX 4655200M  62          1984</t>
        </is>
      </c>
      <c r="D1946" t="inlineStr">
        <is>
          <t>Beatitude saints / Daniel Morris.</t>
        </is>
      </c>
      <c r="F1946" t="inlineStr">
        <is>
          <t>No</t>
        </is>
      </c>
      <c r="G1946" t="inlineStr">
        <is>
          <t>1</t>
        </is>
      </c>
      <c r="H1946" t="inlineStr">
        <is>
          <t>No</t>
        </is>
      </c>
      <c r="I1946" t="inlineStr">
        <is>
          <t>No</t>
        </is>
      </c>
      <c r="J1946" t="inlineStr">
        <is>
          <t>0</t>
        </is>
      </c>
      <c r="K1946" t="inlineStr">
        <is>
          <t>Morris, Daniel.</t>
        </is>
      </c>
      <c r="L1946" t="inlineStr">
        <is>
          <t>Huntington, Ind. : Our Sunday Visitor, c1984.</t>
        </is>
      </c>
      <c r="M1946" t="inlineStr">
        <is>
          <t>1984</t>
        </is>
      </c>
      <c r="O1946" t="inlineStr">
        <is>
          <t>eng</t>
        </is>
      </c>
      <c r="P1946" t="inlineStr">
        <is>
          <t>inu</t>
        </is>
      </c>
      <c r="R1946" t="inlineStr">
        <is>
          <t xml:space="preserve">BX </t>
        </is>
      </c>
      <c r="S1946" t="n">
        <v>4</v>
      </c>
      <c r="T1946" t="n">
        <v>4</v>
      </c>
      <c r="U1946" t="inlineStr">
        <is>
          <t>2001-11-06</t>
        </is>
      </c>
      <c r="V1946" t="inlineStr">
        <is>
          <t>2001-11-06</t>
        </is>
      </c>
      <c r="W1946" t="inlineStr">
        <is>
          <t>1996-01-29</t>
        </is>
      </c>
      <c r="X1946" t="inlineStr">
        <is>
          <t>1996-01-29</t>
        </is>
      </c>
      <c r="Y1946" t="n">
        <v>50</v>
      </c>
      <c r="Z1946" t="n">
        <v>49</v>
      </c>
      <c r="AA1946" t="n">
        <v>58</v>
      </c>
      <c r="AB1946" t="n">
        <v>1</v>
      </c>
      <c r="AC1946" t="n">
        <v>1</v>
      </c>
      <c r="AD1946" t="n">
        <v>6</v>
      </c>
      <c r="AE1946" t="n">
        <v>6</v>
      </c>
      <c r="AF1946" t="n">
        <v>2</v>
      </c>
      <c r="AG1946" t="n">
        <v>2</v>
      </c>
      <c r="AH1946" t="n">
        <v>1</v>
      </c>
      <c r="AI1946" t="n">
        <v>1</v>
      </c>
      <c r="AJ1946" t="n">
        <v>4</v>
      </c>
      <c r="AK1946" t="n">
        <v>4</v>
      </c>
      <c r="AL1946" t="n">
        <v>0</v>
      </c>
      <c r="AM1946" t="n">
        <v>0</v>
      </c>
      <c r="AN1946" t="n">
        <v>0</v>
      </c>
      <c r="AO1946" t="n">
        <v>0</v>
      </c>
      <c r="AP1946" t="inlineStr">
        <is>
          <t>No</t>
        </is>
      </c>
      <c r="AQ1946" t="inlineStr">
        <is>
          <t>No</t>
        </is>
      </c>
      <c r="AS1946">
        <f>HYPERLINK("https://creighton-primo.hosted.exlibrisgroup.com/primo-explore/search?tab=default_tab&amp;search_scope=EVERYTHING&amp;vid=01CRU&amp;lang=en_US&amp;offset=0&amp;query=any,contains,991000497049702656","Catalog Record")</f>
        <v/>
      </c>
      <c r="AT1946">
        <f>HYPERLINK("http://www.worldcat.org/oclc/11154169","WorldCat Record")</f>
        <v/>
      </c>
      <c r="AU1946" t="inlineStr">
        <is>
          <t>4682604809:eng</t>
        </is>
      </c>
      <c r="AV1946" t="inlineStr">
        <is>
          <t>11154169</t>
        </is>
      </c>
      <c r="AW1946" t="inlineStr">
        <is>
          <t>991000497049702656</t>
        </is>
      </c>
      <c r="AX1946" t="inlineStr">
        <is>
          <t>991000497049702656</t>
        </is>
      </c>
      <c r="AY1946" t="inlineStr">
        <is>
          <t>2272165730002656</t>
        </is>
      </c>
      <c r="AZ1946" t="inlineStr">
        <is>
          <t>BOOK</t>
        </is>
      </c>
      <c r="BB1946" t="inlineStr">
        <is>
          <t>9780879736156</t>
        </is>
      </c>
      <c r="BC1946" t="inlineStr">
        <is>
          <t>32285002126307</t>
        </is>
      </c>
      <c r="BD1946" t="inlineStr">
        <is>
          <t>893407239</t>
        </is>
      </c>
    </row>
    <row r="1947">
      <c r="A1947" t="inlineStr">
        <is>
          <t>No</t>
        </is>
      </c>
      <c r="B1947" t="inlineStr">
        <is>
          <t>BX4655.2 .S24 1978</t>
        </is>
      </c>
      <c r="C1947" t="inlineStr">
        <is>
          <t>0                      BX 4655200S  24          1978</t>
        </is>
      </c>
      <c r="D1947" t="inlineStr">
        <is>
          <t>Saints for all seasons / John J. Delaney, editor.</t>
        </is>
      </c>
      <c r="F1947" t="inlineStr">
        <is>
          <t>No</t>
        </is>
      </c>
      <c r="G1947" t="inlineStr">
        <is>
          <t>1</t>
        </is>
      </c>
      <c r="H1947" t="inlineStr">
        <is>
          <t>No</t>
        </is>
      </c>
      <c r="I1947" t="inlineStr">
        <is>
          <t>No</t>
        </is>
      </c>
      <c r="J1947" t="inlineStr">
        <is>
          <t>0</t>
        </is>
      </c>
      <c r="L1947" t="inlineStr">
        <is>
          <t>New York : Doubleday, 1978.</t>
        </is>
      </c>
      <c r="M1947" t="inlineStr">
        <is>
          <t>1978</t>
        </is>
      </c>
      <c r="N1947" t="inlineStr">
        <is>
          <t>1st ed.</t>
        </is>
      </c>
      <c r="O1947" t="inlineStr">
        <is>
          <t>eng</t>
        </is>
      </c>
      <c r="P1947" t="inlineStr">
        <is>
          <t>nyu</t>
        </is>
      </c>
      <c r="R1947" t="inlineStr">
        <is>
          <t xml:space="preserve">BX </t>
        </is>
      </c>
      <c r="S1947" t="n">
        <v>5</v>
      </c>
      <c r="T1947" t="n">
        <v>5</v>
      </c>
      <c r="U1947" t="inlineStr">
        <is>
          <t>1998-06-27</t>
        </is>
      </c>
      <c r="V1947" t="inlineStr">
        <is>
          <t>1998-06-27</t>
        </is>
      </c>
      <c r="W1947" t="inlineStr">
        <is>
          <t>1990-03-23</t>
        </is>
      </c>
      <c r="X1947" t="inlineStr">
        <is>
          <t>1990-03-23</t>
        </is>
      </c>
      <c r="Y1947" t="n">
        <v>493</v>
      </c>
      <c r="Z1947" t="n">
        <v>478</v>
      </c>
      <c r="AA1947" t="n">
        <v>535</v>
      </c>
      <c r="AB1947" t="n">
        <v>5</v>
      </c>
      <c r="AC1947" t="n">
        <v>5</v>
      </c>
      <c r="AD1947" t="n">
        <v>16</v>
      </c>
      <c r="AE1947" t="n">
        <v>17</v>
      </c>
      <c r="AF1947" t="n">
        <v>5</v>
      </c>
      <c r="AG1947" t="n">
        <v>5</v>
      </c>
      <c r="AH1947" t="n">
        <v>6</v>
      </c>
      <c r="AI1947" t="n">
        <v>7</v>
      </c>
      <c r="AJ1947" t="n">
        <v>11</v>
      </c>
      <c r="AK1947" t="n">
        <v>11</v>
      </c>
      <c r="AL1947" t="n">
        <v>0</v>
      </c>
      <c r="AM1947" t="n">
        <v>0</v>
      </c>
      <c r="AN1947" t="n">
        <v>0</v>
      </c>
      <c r="AO1947" t="n">
        <v>0</v>
      </c>
      <c r="AP1947" t="inlineStr">
        <is>
          <t>No</t>
        </is>
      </c>
      <c r="AQ1947" t="inlineStr">
        <is>
          <t>No</t>
        </is>
      </c>
      <c r="AS1947">
        <f>HYPERLINK("https://creighton-primo.hosted.exlibrisgroup.com/primo-explore/search?tab=default_tab&amp;search_scope=EVERYTHING&amp;vid=01CRU&amp;lang=en_US&amp;offset=0&amp;query=any,contains,991004428439702656","Catalog Record")</f>
        <v/>
      </c>
      <c r="AT1947">
        <f>HYPERLINK("http://www.worldcat.org/oclc/3413937","WorldCat Record")</f>
        <v/>
      </c>
      <c r="AU1947" t="inlineStr">
        <is>
          <t>54193705:eng</t>
        </is>
      </c>
      <c r="AV1947" t="inlineStr">
        <is>
          <t>3413937</t>
        </is>
      </c>
      <c r="AW1947" t="inlineStr">
        <is>
          <t>991004428439702656</t>
        </is>
      </c>
      <c r="AX1947" t="inlineStr">
        <is>
          <t>991004428439702656</t>
        </is>
      </c>
      <c r="AY1947" t="inlineStr">
        <is>
          <t>2261628560002656</t>
        </is>
      </c>
      <c r="AZ1947" t="inlineStr">
        <is>
          <t>BOOK</t>
        </is>
      </c>
      <c r="BB1947" t="inlineStr">
        <is>
          <t>9780385129084</t>
        </is>
      </c>
      <c r="BC1947" t="inlineStr">
        <is>
          <t>32285000095355</t>
        </is>
      </c>
      <c r="BD1947" t="inlineStr">
        <is>
          <t>893532391</t>
        </is>
      </c>
    </row>
    <row r="1948">
      <c r="A1948" t="inlineStr">
        <is>
          <t>No</t>
        </is>
      </c>
      <c r="B1948" t="inlineStr">
        <is>
          <t>BX4655.2 .W25 1961</t>
        </is>
      </c>
      <c r="C1948" t="inlineStr">
        <is>
          <t>0                      BX 4655200W  25          1961</t>
        </is>
      </c>
      <c r="D1948" t="inlineStr">
        <is>
          <t>Saints in action.</t>
        </is>
      </c>
      <c r="F1948" t="inlineStr">
        <is>
          <t>No</t>
        </is>
      </c>
      <c r="G1948" t="inlineStr">
        <is>
          <t>1</t>
        </is>
      </c>
      <c r="H1948" t="inlineStr">
        <is>
          <t>No</t>
        </is>
      </c>
      <c r="I1948" t="inlineStr">
        <is>
          <t>No</t>
        </is>
      </c>
      <c r="J1948" t="inlineStr">
        <is>
          <t>0</t>
        </is>
      </c>
      <c r="K1948" t="inlineStr">
        <is>
          <t>Walsh, William Thomas, 1891-1949.</t>
        </is>
      </c>
      <c r="L1948" t="inlineStr">
        <is>
          <t>Garden City, N.Y. : Hanover House, 1961.</t>
        </is>
      </c>
      <c r="M1948" t="inlineStr">
        <is>
          <t>1961</t>
        </is>
      </c>
      <c r="N1948" t="inlineStr">
        <is>
          <t>[1st ed.]</t>
        </is>
      </c>
      <c r="O1948" t="inlineStr">
        <is>
          <t>eng</t>
        </is>
      </c>
      <c r="P1948" t="inlineStr">
        <is>
          <t xml:space="preserve">xx </t>
        </is>
      </c>
      <c r="R1948" t="inlineStr">
        <is>
          <t xml:space="preserve">BX </t>
        </is>
      </c>
      <c r="S1948" t="n">
        <v>4</v>
      </c>
      <c r="T1948" t="n">
        <v>4</v>
      </c>
      <c r="U1948" t="inlineStr">
        <is>
          <t>2010-06-07</t>
        </is>
      </c>
      <c r="V1948" t="inlineStr">
        <is>
          <t>2010-06-07</t>
        </is>
      </c>
      <c r="W1948" t="inlineStr">
        <is>
          <t>1991-11-18</t>
        </is>
      </c>
      <c r="X1948" t="inlineStr">
        <is>
          <t>1991-11-18</t>
        </is>
      </c>
      <c r="Y1948" t="n">
        <v>216</v>
      </c>
      <c r="Z1948" t="n">
        <v>207</v>
      </c>
      <c r="AA1948" t="n">
        <v>213</v>
      </c>
      <c r="AB1948" t="n">
        <v>3</v>
      </c>
      <c r="AC1948" t="n">
        <v>3</v>
      </c>
      <c r="AD1948" t="n">
        <v>18</v>
      </c>
      <c r="AE1948" t="n">
        <v>18</v>
      </c>
      <c r="AF1948" t="n">
        <v>3</v>
      </c>
      <c r="AG1948" t="n">
        <v>3</v>
      </c>
      <c r="AH1948" t="n">
        <v>4</v>
      </c>
      <c r="AI1948" t="n">
        <v>4</v>
      </c>
      <c r="AJ1948" t="n">
        <v>14</v>
      </c>
      <c r="AK1948" t="n">
        <v>14</v>
      </c>
      <c r="AL1948" t="n">
        <v>0</v>
      </c>
      <c r="AM1948" t="n">
        <v>0</v>
      </c>
      <c r="AN1948" t="n">
        <v>0</v>
      </c>
      <c r="AO1948" t="n">
        <v>0</v>
      </c>
      <c r="AP1948" t="inlineStr">
        <is>
          <t>No</t>
        </is>
      </c>
      <c r="AQ1948" t="inlineStr">
        <is>
          <t>No</t>
        </is>
      </c>
      <c r="AS1948">
        <f>HYPERLINK("https://creighton-primo.hosted.exlibrisgroup.com/primo-explore/search?tab=default_tab&amp;search_scope=EVERYTHING&amp;vid=01CRU&amp;lang=en_US&amp;offset=0&amp;query=any,contains,991003708139702656","Catalog Record")</f>
        <v/>
      </c>
      <c r="AT1948">
        <f>HYPERLINK("http://www.worldcat.org/oclc/1346496","WorldCat Record")</f>
        <v/>
      </c>
      <c r="AU1948" t="inlineStr">
        <is>
          <t>2242193:eng</t>
        </is>
      </c>
      <c r="AV1948" t="inlineStr">
        <is>
          <t>1346496</t>
        </is>
      </c>
      <c r="AW1948" t="inlineStr">
        <is>
          <t>991003708139702656</t>
        </is>
      </c>
      <c r="AX1948" t="inlineStr">
        <is>
          <t>991003708139702656</t>
        </is>
      </c>
      <c r="AY1948" t="inlineStr">
        <is>
          <t>2258328390002656</t>
        </is>
      </c>
      <c r="AZ1948" t="inlineStr">
        <is>
          <t>BOOK</t>
        </is>
      </c>
      <c r="BC1948" t="inlineStr">
        <is>
          <t>32285000854785</t>
        </is>
      </c>
      <c r="BD1948" t="inlineStr">
        <is>
          <t>893505900</t>
        </is>
      </c>
    </row>
    <row r="1949">
      <c r="A1949" t="inlineStr">
        <is>
          <t>No</t>
        </is>
      </c>
      <c r="B1949" t="inlineStr">
        <is>
          <t>BX4656 .M46 2004</t>
        </is>
      </c>
      <c r="C1949" t="inlineStr">
        <is>
          <t>0                      BX 4656000M  46          2004</t>
        </is>
      </c>
      <c r="D1949" t="inlineStr">
        <is>
          <t>Women at the table : three medieval theologians / Marie Anne Mayeski.</t>
        </is>
      </c>
      <c r="F1949" t="inlineStr">
        <is>
          <t>No</t>
        </is>
      </c>
      <c r="G1949" t="inlineStr">
        <is>
          <t>1</t>
        </is>
      </c>
      <c r="H1949" t="inlineStr">
        <is>
          <t>No</t>
        </is>
      </c>
      <c r="I1949" t="inlineStr">
        <is>
          <t>No</t>
        </is>
      </c>
      <c r="J1949" t="inlineStr">
        <is>
          <t>0</t>
        </is>
      </c>
      <c r="K1949" t="inlineStr">
        <is>
          <t>Mayeski, Marie Anne.</t>
        </is>
      </c>
      <c r="L1949" t="inlineStr">
        <is>
          <t>Collegeville, Minn. : Liturgical Press, c2004.</t>
        </is>
      </c>
      <c r="M1949" t="inlineStr">
        <is>
          <t>2004</t>
        </is>
      </c>
      <c r="O1949" t="inlineStr">
        <is>
          <t>eng</t>
        </is>
      </c>
      <c r="P1949" t="inlineStr">
        <is>
          <t>mnu</t>
        </is>
      </c>
      <c r="R1949" t="inlineStr">
        <is>
          <t xml:space="preserve">BX </t>
        </is>
      </c>
      <c r="S1949" t="n">
        <v>4</v>
      </c>
      <c r="T1949" t="n">
        <v>4</v>
      </c>
      <c r="U1949" t="inlineStr">
        <is>
          <t>2006-09-25</t>
        </is>
      </c>
      <c r="V1949" t="inlineStr">
        <is>
          <t>2006-09-25</t>
        </is>
      </c>
      <c r="W1949" t="inlineStr">
        <is>
          <t>2004-11-08</t>
        </is>
      </c>
      <c r="X1949" t="inlineStr">
        <is>
          <t>2004-11-08</t>
        </is>
      </c>
      <c r="Y1949" t="n">
        <v>216</v>
      </c>
      <c r="Z1949" t="n">
        <v>174</v>
      </c>
      <c r="AA1949" t="n">
        <v>175</v>
      </c>
      <c r="AB1949" t="n">
        <v>2</v>
      </c>
      <c r="AC1949" t="n">
        <v>2</v>
      </c>
      <c r="AD1949" t="n">
        <v>19</v>
      </c>
      <c r="AE1949" t="n">
        <v>19</v>
      </c>
      <c r="AF1949" t="n">
        <v>6</v>
      </c>
      <c r="AG1949" t="n">
        <v>6</v>
      </c>
      <c r="AH1949" t="n">
        <v>5</v>
      </c>
      <c r="AI1949" t="n">
        <v>5</v>
      </c>
      <c r="AJ1949" t="n">
        <v>12</v>
      </c>
      <c r="AK1949" t="n">
        <v>12</v>
      </c>
      <c r="AL1949" t="n">
        <v>1</v>
      </c>
      <c r="AM1949" t="n">
        <v>1</v>
      </c>
      <c r="AN1949" t="n">
        <v>0</v>
      </c>
      <c r="AO1949" t="n">
        <v>0</v>
      </c>
      <c r="AP1949" t="inlineStr">
        <is>
          <t>No</t>
        </is>
      </c>
      <c r="AQ1949" t="inlineStr">
        <is>
          <t>No</t>
        </is>
      </c>
      <c r="AS1949">
        <f>HYPERLINK("https://creighton-primo.hosted.exlibrisgroup.com/primo-explore/search?tab=default_tab&amp;search_scope=EVERYTHING&amp;vid=01CRU&amp;lang=en_US&amp;offset=0&amp;query=any,contains,991004404209702656","Catalog Record")</f>
        <v/>
      </c>
      <c r="AT1949">
        <f>HYPERLINK("http://www.worldcat.org/oclc/54536778","WorldCat Record")</f>
        <v/>
      </c>
      <c r="AU1949" t="inlineStr">
        <is>
          <t>963163:eng</t>
        </is>
      </c>
      <c r="AV1949" t="inlineStr">
        <is>
          <t>54536778</t>
        </is>
      </c>
      <c r="AW1949" t="inlineStr">
        <is>
          <t>991004404209702656</t>
        </is>
      </c>
      <c r="AX1949" t="inlineStr">
        <is>
          <t>991004404209702656</t>
        </is>
      </c>
      <c r="AY1949" t="inlineStr">
        <is>
          <t>2255479810002656</t>
        </is>
      </c>
      <c r="AZ1949" t="inlineStr">
        <is>
          <t>BOOK</t>
        </is>
      </c>
      <c r="BB1949" t="inlineStr">
        <is>
          <t>9780814658291</t>
        </is>
      </c>
      <c r="BC1949" t="inlineStr">
        <is>
          <t>32285005009567</t>
        </is>
      </c>
      <c r="BD1949" t="inlineStr">
        <is>
          <t>893782202</t>
        </is>
      </c>
    </row>
    <row r="1950">
      <c r="A1950" t="inlineStr">
        <is>
          <t>No</t>
        </is>
      </c>
      <c r="B1950" t="inlineStr">
        <is>
          <t>BX4657 .H8 1958</t>
        </is>
      </c>
      <c r="C1950" t="inlineStr">
        <is>
          <t>0                      BX 4657000H  8           1958</t>
        </is>
      </c>
      <c r="D1950" t="inlineStr">
        <is>
          <t>Diocesan priest saints.</t>
        </is>
      </c>
      <c r="F1950" t="inlineStr">
        <is>
          <t>No</t>
        </is>
      </c>
      <c r="G1950" t="inlineStr">
        <is>
          <t>1</t>
        </is>
      </c>
      <c r="H1950" t="inlineStr">
        <is>
          <t>No</t>
        </is>
      </c>
      <c r="I1950" t="inlineStr">
        <is>
          <t>No</t>
        </is>
      </c>
      <c r="J1950" t="inlineStr">
        <is>
          <t>0</t>
        </is>
      </c>
      <c r="K1950" t="inlineStr">
        <is>
          <t>Hutchinson, Roderick A., 1947-1997.</t>
        </is>
      </c>
      <c r="L1950" t="inlineStr">
        <is>
          <t>St. Louis : Herder, [1958]</t>
        </is>
      </c>
      <c r="M1950" t="inlineStr">
        <is>
          <t>1958</t>
        </is>
      </c>
      <c r="O1950" t="inlineStr">
        <is>
          <t>eng</t>
        </is>
      </c>
      <c r="P1950" t="inlineStr">
        <is>
          <t>mou</t>
        </is>
      </c>
      <c r="R1950" t="inlineStr">
        <is>
          <t xml:space="preserve">BX </t>
        </is>
      </c>
      <c r="S1950" t="n">
        <v>2</v>
      </c>
      <c r="T1950" t="n">
        <v>2</v>
      </c>
      <c r="U1950" t="inlineStr">
        <is>
          <t>2009-05-27</t>
        </is>
      </c>
      <c r="V1950" t="inlineStr">
        <is>
          <t>2009-05-27</t>
        </is>
      </c>
      <c r="W1950" t="inlineStr">
        <is>
          <t>1991-11-18</t>
        </is>
      </c>
      <c r="X1950" t="inlineStr">
        <is>
          <t>1991-11-18</t>
        </is>
      </c>
      <c r="Y1950" t="n">
        <v>106</v>
      </c>
      <c r="Z1950" t="n">
        <v>94</v>
      </c>
      <c r="AA1950" t="n">
        <v>99</v>
      </c>
      <c r="AB1950" t="n">
        <v>3</v>
      </c>
      <c r="AC1950" t="n">
        <v>3</v>
      </c>
      <c r="AD1950" t="n">
        <v>14</v>
      </c>
      <c r="AE1950" t="n">
        <v>14</v>
      </c>
      <c r="AF1950" t="n">
        <v>4</v>
      </c>
      <c r="AG1950" t="n">
        <v>4</v>
      </c>
      <c r="AH1950" t="n">
        <v>4</v>
      </c>
      <c r="AI1950" t="n">
        <v>4</v>
      </c>
      <c r="AJ1950" t="n">
        <v>11</v>
      </c>
      <c r="AK1950" t="n">
        <v>11</v>
      </c>
      <c r="AL1950" t="n">
        <v>0</v>
      </c>
      <c r="AM1950" t="n">
        <v>0</v>
      </c>
      <c r="AN1950" t="n">
        <v>0</v>
      </c>
      <c r="AO1950" t="n">
        <v>0</v>
      </c>
      <c r="AP1950" t="inlineStr">
        <is>
          <t>No</t>
        </is>
      </c>
      <c r="AQ1950" t="inlineStr">
        <is>
          <t>No</t>
        </is>
      </c>
      <c r="AS1950">
        <f>HYPERLINK("https://creighton-primo.hosted.exlibrisgroup.com/primo-explore/search?tab=default_tab&amp;search_scope=EVERYTHING&amp;vid=01CRU&amp;lang=en_US&amp;offset=0&amp;query=any,contains,991004569789702656","Catalog Record")</f>
        <v/>
      </c>
      <c r="AT1950">
        <f>HYPERLINK("http://www.worldcat.org/oclc/4016672","WorldCat Record")</f>
        <v/>
      </c>
      <c r="AU1950" t="inlineStr">
        <is>
          <t>5076496430:eng</t>
        </is>
      </c>
      <c r="AV1950" t="inlineStr">
        <is>
          <t>4016672</t>
        </is>
      </c>
      <c r="AW1950" t="inlineStr">
        <is>
          <t>991004569789702656</t>
        </is>
      </c>
      <c r="AX1950" t="inlineStr">
        <is>
          <t>991004569789702656</t>
        </is>
      </c>
      <c r="AY1950" t="inlineStr">
        <is>
          <t>2266857970002656</t>
        </is>
      </c>
      <c r="AZ1950" t="inlineStr">
        <is>
          <t>BOOK</t>
        </is>
      </c>
      <c r="BC1950" t="inlineStr">
        <is>
          <t>32285000854819</t>
        </is>
      </c>
      <c r="BD1950" t="inlineStr">
        <is>
          <t>893436432</t>
        </is>
      </c>
    </row>
    <row r="1951">
      <c r="A1951" t="inlineStr">
        <is>
          <t>No</t>
        </is>
      </c>
      <c r="B1951" t="inlineStr">
        <is>
          <t>BX4657 .M66 1958</t>
        </is>
      </c>
      <c r="C1951" t="inlineStr">
        <is>
          <t>0                      BX 4657000M  66          1958</t>
        </is>
      </c>
      <c r="D1951" t="inlineStr">
        <is>
          <t>Saints and ourselves : personal portraits of favorite Saints by twenty-four outstanding catholic authors / edited by Philip Caraman, S. J.</t>
        </is>
      </c>
      <c r="F1951" t="inlineStr">
        <is>
          <t>No</t>
        </is>
      </c>
      <c r="G1951" t="inlineStr">
        <is>
          <t>1</t>
        </is>
      </c>
      <c r="H1951" t="inlineStr">
        <is>
          <t>No</t>
        </is>
      </c>
      <c r="I1951" t="inlineStr">
        <is>
          <t>No</t>
        </is>
      </c>
      <c r="J1951" t="inlineStr">
        <is>
          <t>0</t>
        </is>
      </c>
      <c r="K1951" t="inlineStr">
        <is>
          <t>Caraman, Philip, 1911-1998, editor.</t>
        </is>
      </c>
      <c r="L1951" t="inlineStr">
        <is>
          <t>Garden City, N.Y. : Doubleday, [1958]</t>
        </is>
      </c>
      <c r="M1951" t="inlineStr">
        <is>
          <t>1958</t>
        </is>
      </c>
      <c r="N1951" t="inlineStr">
        <is>
          <t>1st-2nd ser.</t>
        </is>
      </c>
      <c r="O1951" t="inlineStr">
        <is>
          <t>eng</t>
        </is>
      </c>
      <c r="P1951" t="inlineStr">
        <is>
          <t>nyu</t>
        </is>
      </c>
      <c r="Q1951" t="inlineStr">
        <is>
          <t>A Doubleday Image Book D61.</t>
        </is>
      </c>
      <c r="R1951" t="inlineStr">
        <is>
          <t xml:space="preserve">BX </t>
        </is>
      </c>
      <c r="S1951" t="n">
        <v>8</v>
      </c>
      <c r="T1951" t="n">
        <v>8</v>
      </c>
      <c r="U1951" t="inlineStr">
        <is>
          <t>2001-11-06</t>
        </is>
      </c>
      <c r="V1951" t="inlineStr">
        <is>
          <t>2001-11-06</t>
        </is>
      </c>
      <c r="W1951" t="inlineStr">
        <is>
          <t>1991-11-18</t>
        </is>
      </c>
      <c r="X1951" t="inlineStr">
        <is>
          <t>1991-11-18</t>
        </is>
      </c>
      <c r="Y1951" t="n">
        <v>36</v>
      </c>
      <c r="Z1951" t="n">
        <v>34</v>
      </c>
      <c r="AA1951" t="n">
        <v>62</v>
      </c>
      <c r="AB1951" t="n">
        <v>1</v>
      </c>
      <c r="AC1951" t="n">
        <v>2</v>
      </c>
      <c r="AD1951" t="n">
        <v>3</v>
      </c>
      <c r="AE1951" t="n">
        <v>6</v>
      </c>
      <c r="AF1951" t="n">
        <v>0</v>
      </c>
      <c r="AG1951" t="n">
        <v>2</v>
      </c>
      <c r="AH1951" t="n">
        <v>2</v>
      </c>
      <c r="AI1951" t="n">
        <v>2</v>
      </c>
      <c r="AJ1951" t="n">
        <v>2</v>
      </c>
      <c r="AK1951" t="n">
        <v>4</v>
      </c>
      <c r="AL1951" t="n">
        <v>0</v>
      </c>
      <c r="AM1951" t="n">
        <v>1</v>
      </c>
      <c r="AN1951" t="n">
        <v>0</v>
      </c>
      <c r="AO1951" t="n">
        <v>0</v>
      </c>
      <c r="AP1951" t="inlineStr">
        <is>
          <t>No</t>
        </is>
      </c>
      <c r="AQ1951" t="inlineStr">
        <is>
          <t>No</t>
        </is>
      </c>
      <c r="AS1951">
        <f>HYPERLINK("https://creighton-primo.hosted.exlibrisgroup.com/primo-explore/search?tab=default_tab&amp;search_scope=EVERYTHING&amp;vid=01CRU&amp;lang=en_US&amp;offset=0&amp;query=any,contains,991003887609702656","Catalog Record")</f>
        <v/>
      </c>
      <c r="AT1951">
        <f>HYPERLINK("http://www.worldcat.org/oclc/1742495","WorldCat Record")</f>
        <v/>
      </c>
      <c r="AU1951" t="inlineStr">
        <is>
          <t>9566037336:eng</t>
        </is>
      </c>
      <c r="AV1951" t="inlineStr">
        <is>
          <t>1742495</t>
        </is>
      </c>
      <c r="AW1951" t="inlineStr">
        <is>
          <t>991003887609702656</t>
        </is>
      </c>
      <c r="AX1951" t="inlineStr">
        <is>
          <t>991003887609702656</t>
        </is>
      </c>
      <c r="AY1951" t="inlineStr">
        <is>
          <t>2260061180002656</t>
        </is>
      </c>
      <c r="AZ1951" t="inlineStr">
        <is>
          <t>BOOK</t>
        </is>
      </c>
      <c r="BC1951" t="inlineStr">
        <is>
          <t>32285000854843</t>
        </is>
      </c>
      <c r="BD1951" t="inlineStr">
        <is>
          <t>893330941</t>
        </is>
      </c>
    </row>
    <row r="1952">
      <c r="A1952" t="inlineStr">
        <is>
          <t>No</t>
        </is>
      </c>
      <c r="B1952" t="inlineStr">
        <is>
          <t>BX4659.E85 K54 1992</t>
        </is>
      </c>
      <c r="C1952" t="inlineStr">
        <is>
          <t>0                      BX 4659000E  85                 K  54          1992</t>
        </is>
      </c>
      <c r="D1952" t="inlineStr">
        <is>
          <t>Prophets in their own country : living saints and the making of sainthood in the later Middle Ages / Aviad M. Kleinberg.</t>
        </is>
      </c>
      <c r="F1952" t="inlineStr">
        <is>
          <t>No</t>
        </is>
      </c>
      <c r="G1952" t="inlineStr">
        <is>
          <t>1</t>
        </is>
      </c>
      <c r="H1952" t="inlineStr">
        <is>
          <t>No</t>
        </is>
      </c>
      <c r="I1952" t="inlineStr">
        <is>
          <t>No</t>
        </is>
      </c>
      <c r="J1952" t="inlineStr">
        <is>
          <t>0</t>
        </is>
      </c>
      <c r="K1952" t="inlineStr">
        <is>
          <t>Kleinberg, Aviad M.</t>
        </is>
      </c>
      <c r="L1952" t="inlineStr">
        <is>
          <t>Chicago : University of Chicago Press, c1992.</t>
        </is>
      </c>
      <c r="M1952" t="inlineStr">
        <is>
          <t>1992</t>
        </is>
      </c>
      <c r="O1952" t="inlineStr">
        <is>
          <t>eng</t>
        </is>
      </c>
      <c r="P1952" t="inlineStr">
        <is>
          <t>ilu</t>
        </is>
      </c>
      <c r="R1952" t="inlineStr">
        <is>
          <t xml:space="preserve">BX </t>
        </is>
      </c>
      <c r="S1952" t="n">
        <v>3</v>
      </c>
      <c r="T1952" t="n">
        <v>3</v>
      </c>
      <c r="U1952" t="inlineStr">
        <is>
          <t>2005-03-15</t>
        </is>
      </c>
      <c r="V1952" t="inlineStr">
        <is>
          <t>2005-03-15</t>
        </is>
      </c>
      <c r="W1952" t="inlineStr">
        <is>
          <t>1994-02-07</t>
        </is>
      </c>
      <c r="X1952" t="inlineStr">
        <is>
          <t>1994-02-07</t>
        </is>
      </c>
      <c r="Y1952" t="n">
        <v>451</v>
      </c>
      <c r="Z1952" t="n">
        <v>355</v>
      </c>
      <c r="AA1952" t="n">
        <v>383</v>
      </c>
      <c r="AB1952" t="n">
        <v>2</v>
      </c>
      <c r="AC1952" t="n">
        <v>2</v>
      </c>
      <c r="AD1952" t="n">
        <v>24</v>
      </c>
      <c r="AE1952" t="n">
        <v>26</v>
      </c>
      <c r="AF1952" t="n">
        <v>8</v>
      </c>
      <c r="AG1952" t="n">
        <v>9</v>
      </c>
      <c r="AH1952" t="n">
        <v>8</v>
      </c>
      <c r="AI1952" t="n">
        <v>9</v>
      </c>
      <c r="AJ1952" t="n">
        <v>14</v>
      </c>
      <c r="AK1952" t="n">
        <v>15</v>
      </c>
      <c r="AL1952" t="n">
        <v>1</v>
      </c>
      <c r="AM1952" t="n">
        <v>1</v>
      </c>
      <c r="AN1952" t="n">
        <v>0</v>
      </c>
      <c r="AO1952" t="n">
        <v>0</v>
      </c>
      <c r="AP1952" t="inlineStr">
        <is>
          <t>No</t>
        </is>
      </c>
      <c r="AQ1952" t="inlineStr">
        <is>
          <t>No</t>
        </is>
      </c>
      <c r="AS1952">
        <f>HYPERLINK("https://creighton-primo.hosted.exlibrisgroup.com/primo-explore/search?tab=default_tab&amp;search_scope=EVERYTHING&amp;vid=01CRU&amp;lang=en_US&amp;offset=0&amp;query=any,contains,991001980879702656","Catalog Record")</f>
        <v/>
      </c>
      <c r="AT1952">
        <f>HYPERLINK("http://www.worldcat.org/oclc/25131377","WorldCat Record")</f>
        <v/>
      </c>
      <c r="AU1952" t="inlineStr">
        <is>
          <t>601677:eng</t>
        </is>
      </c>
      <c r="AV1952" t="inlineStr">
        <is>
          <t>25131377</t>
        </is>
      </c>
      <c r="AW1952" t="inlineStr">
        <is>
          <t>991001980879702656</t>
        </is>
      </c>
      <c r="AX1952" t="inlineStr">
        <is>
          <t>991001980879702656</t>
        </is>
      </c>
      <c r="AY1952" t="inlineStr">
        <is>
          <t>2271254690002656</t>
        </is>
      </c>
      <c r="AZ1952" t="inlineStr">
        <is>
          <t>BOOK</t>
        </is>
      </c>
      <c r="BB1952" t="inlineStr">
        <is>
          <t>9780226439716</t>
        </is>
      </c>
      <c r="BC1952" t="inlineStr">
        <is>
          <t>32285001840296</t>
        </is>
      </c>
      <c r="BD1952" t="inlineStr">
        <is>
          <t>893316230</t>
        </is>
      </c>
    </row>
    <row r="1953">
      <c r="A1953" t="inlineStr">
        <is>
          <t>No</t>
        </is>
      </c>
      <c r="B1953" t="inlineStr">
        <is>
          <t>BX4659.F8 R3 1944</t>
        </is>
      </c>
      <c r="C1953" t="inlineStr">
        <is>
          <t>0                      BX 4659000F  8                  R  3           1944</t>
        </is>
      </c>
      <c r="D1953" t="inlineStr">
        <is>
          <t>Three religious rebels : forefathers of the Trappists / [by] M. Raymond.</t>
        </is>
      </c>
      <c r="F1953" t="inlineStr">
        <is>
          <t>No</t>
        </is>
      </c>
      <c r="G1953" t="inlineStr">
        <is>
          <t>1</t>
        </is>
      </c>
      <c r="H1953" t="inlineStr">
        <is>
          <t>No</t>
        </is>
      </c>
      <c r="I1953" t="inlineStr">
        <is>
          <t>No</t>
        </is>
      </c>
      <c r="J1953" t="inlineStr">
        <is>
          <t>0</t>
        </is>
      </c>
      <c r="K1953" t="inlineStr">
        <is>
          <t>M. Raymond, Father, O.C.S.O., 1903-1990.</t>
        </is>
      </c>
      <c r="L1953" t="inlineStr">
        <is>
          <t>New York : P.J. Kenedy &amp; Sons, [1944]</t>
        </is>
      </c>
      <c r="M1953" t="inlineStr">
        <is>
          <t>1944</t>
        </is>
      </c>
      <c r="O1953" t="inlineStr">
        <is>
          <t>eng</t>
        </is>
      </c>
      <c r="P1953" t="inlineStr">
        <is>
          <t xml:space="preserve">xx </t>
        </is>
      </c>
      <c r="Q1953" t="inlineStr">
        <is>
          <t>His The saga of Citeaux. 1st epoch</t>
        </is>
      </c>
      <c r="R1953" t="inlineStr">
        <is>
          <t xml:space="preserve">BX </t>
        </is>
      </c>
      <c r="S1953" t="n">
        <v>1</v>
      </c>
      <c r="T1953" t="n">
        <v>1</v>
      </c>
      <c r="U1953" t="inlineStr">
        <is>
          <t>2006-06-18</t>
        </is>
      </c>
      <c r="V1953" t="inlineStr">
        <is>
          <t>2006-06-18</t>
        </is>
      </c>
      <c r="W1953" t="inlineStr">
        <is>
          <t>1991-11-18</t>
        </is>
      </c>
      <c r="X1953" t="inlineStr">
        <is>
          <t>1991-11-18</t>
        </is>
      </c>
      <c r="Y1953" t="n">
        <v>193</v>
      </c>
      <c r="Z1953" t="n">
        <v>179</v>
      </c>
      <c r="AA1953" t="n">
        <v>209</v>
      </c>
      <c r="AB1953" t="n">
        <v>4</v>
      </c>
      <c r="AC1953" t="n">
        <v>4</v>
      </c>
      <c r="AD1953" t="n">
        <v>22</v>
      </c>
      <c r="AE1953" t="n">
        <v>25</v>
      </c>
      <c r="AF1953" t="n">
        <v>5</v>
      </c>
      <c r="AG1953" t="n">
        <v>6</v>
      </c>
      <c r="AH1953" t="n">
        <v>5</v>
      </c>
      <c r="AI1953" t="n">
        <v>7</v>
      </c>
      <c r="AJ1953" t="n">
        <v>16</v>
      </c>
      <c r="AK1953" t="n">
        <v>18</v>
      </c>
      <c r="AL1953" t="n">
        <v>2</v>
      </c>
      <c r="AM1953" t="n">
        <v>2</v>
      </c>
      <c r="AN1953" t="n">
        <v>0</v>
      </c>
      <c r="AO1953" t="n">
        <v>0</v>
      </c>
      <c r="AP1953" t="inlineStr">
        <is>
          <t>No</t>
        </is>
      </c>
      <c r="AQ1953" t="inlineStr">
        <is>
          <t>Yes</t>
        </is>
      </c>
      <c r="AR1953">
        <f>HYPERLINK("http://catalog.hathitrust.org/Record/101666594","HathiTrust Record")</f>
        <v/>
      </c>
      <c r="AS1953">
        <f>HYPERLINK("https://creighton-primo.hosted.exlibrisgroup.com/primo-explore/search?tab=default_tab&amp;search_scope=EVERYTHING&amp;vid=01CRU&amp;lang=en_US&amp;offset=0&amp;query=any,contains,991003169609702656","Catalog Record")</f>
        <v/>
      </c>
      <c r="AT1953">
        <f>HYPERLINK("http://www.worldcat.org/oclc/706328","WorldCat Record")</f>
        <v/>
      </c>
      <c r="AU1953" t="inlineStr">
        <is>
          <t>3901158393:eng</t>
        </is>
      </c>
      <c r="AV1953" t="inlineStr">
        <is>
          <t>706328</t>
        </is>
      </c>
      <c r="AW1953" t="inlineStr">
        <is>
          <t>991003169609702656</t>
        </is>
      </c>
      <c r="AX1953" t="inlineStr">
        <is>
          <t>991003169609702656</t>
        </is>
      </c>
      <c r="AY1953" t="inlineStr">
        <is>
          <t>2256429060002656</t>
        </is>
      </c>
      <c r="AZ1953" t="inlineStr">
        <is>
          <t>BOOK</t>
        </is>
      </c>
      <c r="BC1953" t="inlineStr">
        <is>
          <t>32285000854884</t>
        </is>
      </c>
      <c r="BD1953" t="inlineStr">
        <is>
          <t>893246081</t>
        </is>
      </c>
    </row>
    <row r="1954">
      <c r="A1954" t="inlineStr">
        <is>
          <t>No</t>
        </is>
      </c>
      <c r="B1954" t="inlineStr">
        <is>
          <t>BX4659.G7 A7 1968</t>
        </is>
      </c>
      <c r="C1954" t="inlineStr">
        <is>
          <t>0                      BX 4659000G  7                  A  7           1968</t>
        </is>
      </c>
      <c r="D1954" t="inlineStr">
        <is>
          <t>Archdiocese of Westminster : Cause of the canonization of Blessed Martyrs John Houghton, Robert Lawrence, Augustine Webster, Richard Reynolds, John Stone, Cuthbert Mayne, John Paine, Edmund Campion, Alexander Briant, Ralph Sherwin and Luke Kirby ; put to death in England in defence of the Catholic faith (1535-1582) ; official presentation of documents on martyrdom and cult.</t>
        </is>
      </c>
      <c r="F1954" t="inlineStr">
        <is>
          <t>No</t>
        </is>
      </c>
      <c r="G1954" t="inlineStr">
        <is>
          <t>1</t>
        </is>
      </c>
      <c r="H1954" t="inlineStr">
        <is>
          <t>No</t>
        </is>
      </c>
      <c r="I1954" t="inlineStr">
        <is>
          <t>No</t>
        </is>
      </c>
      <c r="J1954" t="inlineStr">
        <is>
          <t>0</t>
        </is>
      </c>
      <c r="K1954" t="inlineStr">
        <is>
          <t>Catholic Church. Congregatio Sacrorum Rituum.</t>
        </is>
      </c>
      <c r="L1954" t="inlineStr">
        <is>
          <t>[Vatican City] : Vatican polyglot press, 1968.</t>
        </is>
      </c>
      <c r="M1954" t="inlineStr">
        <is>
          <t>1968</t>
        </is>
      </c>
      <c r="O1954" t="inlineStr">
        <is>
          <t>eng</t>
        </is>
      </c>
      <c r="P1954" t="inlineStr">
        <is>
          <t xml:space="preserve">vc </t>
        </is>
      </c>
      <c r="Q1954" t="inlineStr">
        <is>
          <t>Historical section, no. 148</t>
        </is>
      </c>
      <c r="R1954" t="inlineStr">
        <is>
          <t xml:space="preserve">BX </t>
        </is>
      </c>
      <c r="S1954" t="n">
        <v>1</v>
      </c>
      <c r="T1954" t="n">
        <v>1</v>
      </c>
      <c r="U1954" t="inlineStr">
        <is>
          <t>2002-03-04</t>
        </is>
      </c>
      <c r="V1954" t="inlineStr">
        <is>
          <t>2002-03-04</t>
        </is>
      </c>
      <c r="W1954" t="inlineStr">
        <is>
          <t>1991-11-18</t>
        </is>
      </c>
      <c r="X1954" t="inlineStr">
        <is>
          <t>1991-11-18</t>
        </is>
      </c>
      <c r="Y1954" t="n">
        <v>29</v>
      </c>
      <c r="Z1954" t="n">
        <v>25</v>
      </c>
      <c r="AA1954" t="n">
        <v>25</v>
      </c>
      <c r="AB1954" t="n">
        <v>1</v>
      </c>
      <c r="AC1954" t="n">
        <v>1</v>
      </c>
      <c r="AD1954" t="n">
        <v>4</v>
      </c>
      <c r="AE1954" t="n">
        <v>4</v>
      </c>
      <c r="AF1954" t="n">
        <v>0</v>
      </c>
      <c r="AG1954" t="n">
        <v>0</v>
      </c>
      <c r="AH1954" t="n">
        <v>0</v>
      </c>
      <c r="AI1954" t="n">
        <v>0</v>
      </c>
      <c r="AJ1954" t="n">
        <v>4</v>
      </c>
      <c r="AK1954" t="n">
        <v>4</v>
      </c>
      <c r="AL1954" t="n">
        <v>0</v>
      </c>
      <c r="AM1954" t="n">
        <v>0</v>
      </c>
      <c r="AN1954" t="n">
        <v>0</v>
      </c>
      <c r="AO1954" t="n">
        <v>0</v>
      </c>
      <c r="AP1954" t="inlineStr">
        <is>
          <t>No</t>
        </is>
      </c>
      <c r="AQ1954" t="inlineStr">
        <is>
          <t>No</t>
        </is>
      </c>
      <c r="AS1954">
        <f>HYPERLINK("https://creighton-primo.hosted.exlibrisgroup.com/primo-explore/search?tab=default_tab&amp;search_scope=EVERYTHING&amp;vid=01CRU&amp;lang=en_US&amp;offset=0&amp;query=any,contains,991004383429702656","Catalog Record")</f>
        <v/>
      </c>
      <c r="AT1954">
        <f>HYPERLINK("http://www.worldcat.org/oclc/3232472","WorldCat Record")</f>
        <v/>
      </c>
      <c r="AU1954" t="inlineStr">
        <is>
          <t>9331909:eng</t>
        </is>
      </c>
      <c r="AV1954" t="inlineStr">
        <is>
          <t>3232472</t>
        </is>
      </c>
      <c r="AW1954" t="inlineStr">
        <is>
          <t>991004383429702656</t>
        </is>
      </c>
      <c r="AX1954" t="inlineStr">
        <is>
          <t>991004383429702656</t>
        </is>
      </c>
      <c r="AY1954" t="inlineStr">
        <is>
          <t>2261006800002656</t>
        </is>
      </c>
      <c r="AZ1954" t="inlineStr">
        <is>
          <t>BOOK</t>
        </is>
      </c>
      <c r="BC1954" t="inlineStr">
        <is>
          <t>32285000854918</t>
        </is>
      </c>
      <c r="BD1954" t="inlineStr">
        <is>
          <t>893599782</t>
        </is>
      </c>
    </row>
    <row r="1955">
      <c r="A1955" t="inlineStr">
        <is>
          <t>No</t>
        </is>
      </c>
      <c r="B1955" t="inlineStr">
        <is>
          <t>BX4659.G7 H46 1987</t>
        </is>
      </c>
      <c r="C1955" t="inlineStr">
        <is>
          <t>0                      BX 4659000G  7                  H  46          1987</t>
        </is>
      </c>
      <c r="D1955" t="inlineStr">
        <is>
          <t>Traditions of the Welsh saints / Elissa R. Henken.</t>
        </is>
      </c>
      <c r="F1955" t="inlineStr">
        <is>
          <t>No</t>
        </is>
      </c>
      <c r="G1955" t="inlineStr">
        <is>
          <t>1</t>
        </is>
      </c>
      <c r="H1955" t="inlineStr">
        <is>
          <t>No</t>
        </is>
      </c>
      <c r="I1955" t="inlineStr">
        <is>
          <t>No</t>
        </is>
      </c>
      <c r="J1955" t="inlineStr">
        <is>
          <t>0</t>
        </is>
      </c>
      <c r="K1955" t="inlineStr">
        <is>
          <t>Henken, Elissa R.</t>
        </is>
      </c>
      <c r="L1955" t="inlineStr">
        <is>
          <t>Cambridge [Cambridgeshire] ; Wolfeboro, N.H., USA : D.S. Brewer, 1987.</t>
        </is>
      </c>
      <c r="M1955" t="inlineStr">
        <is>
          <t>1987</t>
        </is>
      </c>
      <c r="O1955" t="inlineStr">
        <is>
          <t>eng</t>
        </is>
      </c>
      <c r="P1955" t="inlineStr">
        <is>
          <t>enk</t>
        </is>
      </c>
      <c r="R1955" t="inlineStr">
        <is>
          <t xml:space="preserve">BX </t>
        </is>
      </c>
      <c r="S1955" t="n">
        <v>2</v>
      </c>
      <c r="T1955" t="n">
        <v>2</v>
      </c>
      <c r="U1955" t="inlineStr">
        <is>
          <t>1995-06-21</t>
        </is>
      </c>
      <c r="V1955" t="inlineStr">
        <is>
          <t>1995-06-21</t>
        </is>
      </c>
      <c r="W1955" t="inlineStr">
        <is>
          <t>1990-05-08</t>
        </is>
      </c>
      <c r="X1955" t="inlineStr">
        <is>
          <t>1990-05-08</t>
        </is>
      </c>
      <c r="Y1955" t="n">
        <v>216</v>
      </c>
      <c r="Z1955" t="n">
        <v>128</v>
      </c>
      <c r="AA1955" t="n">
        <v>130</v>
      </c>
      <c r="AB1955" t="n">
        <v>2</v>
      </c>
      <c r="AC1955" t="n">
        <v>2</v>
      </c>
      <c r="AD1955" t="n">
        <v>11</v>
      </c>
      <c r="AE1955" t="n">
        <v>11</v>
      </c>
      <c r="AF1955" t="n">
        <v>0</v>
      </c>
      <c r="AG1955" t="n">
        <v>0</v>
      </c>
      <c r="AH1955" t="n">
        <v>4</v>
      </c>
      <c r="AI1955" t="n">
        <v>4</v>
      </c>
      <c r="AJ1955" t="n">
        <v>8</v>
      </c>
      <c r="AK1955" t="n">
        <v>8</v>
      </c>
      <c r="AL1955" t="n">
        <v>1</v>
      </c>
      <c r="AM1955" t="n">
        <v>1</v>
      </c>
      <c r="AN1955" t="n">
        <v>0</v>
      </c>
      <c r="AO1955" t="n">
        <v>0</v>
      </c>
      <c r="AP1955" t="inlineStr">
        <is>
          <t>No</t>
        </is>
      </c>
      <c r="AQ1955" t="inlineStr">
        <is>
          <t>No</t>
        </is>
      </c>
      <c r="AS1955">
        <f>HYPERLINK("https://creighton-primo.hosted.exlibrisgroup.com/primo-explore/search?tab=default_tab&amp;search_scope=EVERYTHING&amp;vid=01CRU&amp;lang=en_US&amp;offset=0&amp;query=any,contains,991000921069702656","Catalog Record")</f>
        <v/>
      </c>
      <c r="AT1955">
        <f>HYPERLINK("http://www.worldcat.org/oclc/14212254","WorldCat Record")</f>
        <v/>
      </c>
      <c r="AU1955" t="inlineStr">
        <is>
          <t>7190887:eng</t>
        </is>
      </c>
      <c r="AV1955" t="inlineStr">
        <is>
          <t>14212254</t>
        </is>
      </c>
      <c r="AW1955" t="inlineStr">
        <is>
          <t>991000921069702656</t>
        </is>
      </c>
      <c r="AX1955" t="inlineStr">
        <is>
          <t>991000921069702656</t>
        </is>
      </c>
      <c r="AY1955" t="inlineStr">
        <is>
          <t>2270883940002656</t>
        </is>
      </c>
      <c r="AZ1955" t="inlineStr">
        <is>
          <t>BOOK</t>
        </is>
      </c>
      <c r="BB1955" t="inlineStr">
        <is>
          <t>9780859912211</t>
        </is>
      </c>
      <c r="BC1955" t="inlineStr">
        <is>
          <t>32285000119874</t>
        </is>
      </c>
      <c r="BD1955" t="inlineStr">
        <is>
          <t>893243725</t>
        </is>
      </c>
    </row>
    <row r="1956">
      <c r="A1956" t="inlineStr">
        <is>
          <t>No</t>
        </is>
      </c>
      <c r="B1956" t="inlineStr">
        <is>
          <t>BX4659.G7 L58 1904</t>
        </is>
      </c>
      <c r="C1956" t="inlineStr">
        <is>
          <t>0                      BX 4659000G  7                  L  58          1904</t>
        </is>
      </c>
      <c r="D1956" t="inlineStr">
        <is>
          <t>Lives of the English martyrs declared blessed by Pope Leo XIII in 1886 and 1895 / written by fathers of the Oratory, of the secular clergy and of the Society of Jesus ; completed and edited by Bede Camm.</t>
        </is>
      </c>
      <c r="E1956" t="inlineStr">
        <is>
          <t>V.2</t>
        </is>
      </c>
      <c r="F1956" t="inlineStr">
        <is>
          <t>Yes</t>
        </is>
      </c>
      <c r="G1956" t="inlineStr">
        <is>
          <t>1</t>
        </is>
      </c>
      <c r="H1956" t="inlineStr">
        <is>
          <t>No</t>
        </is>
      </c>
      <c r="I1956" t="inlineStr">
        <is>
          <t>No</t>
        </is>
      </c>
      <c r="J1956" t="inlineStr">
        <is>
          <t>0</t>
        </is>
      </c>
      <c r="L1956" t="inlineStr">
        <is>
          <t>London : Burns and Oates ; New York : Benzinger Brothers, 1904-1905.</t>
        </is>
      </c>
      <c r="M1956" t="inlineStr">
        <is>
          <t>1904</t>
        </is>
      </c>
      <c r="O1956" t="inlineStr">
        <is>
          <t>eng</t>
        </is>
      </c>
      <c r="P1956" t="inlineStr">
        <is>
          <t>enk</t>
        </is>
      </c>
      <c r="Q1956" t="inlineStr">
        <is>
          <t>Quarterly series ; v. 100-101</t>
        </is>
      </c>
      <c r="R1956" t="inlineStr">
        <is>
          <t xml:space="preserve">BX </t>
        </is>
      </c>
      <c r="S1956" t="n">
        <v>1</v>
      </c>
      <c r="T1956" t="n">
        <v>2</v>
      </c>
      <c r="U1956" t="inlineStr">
        <is>
          <t>2009-05-26</t>
        </is>
      </c>
      <c r="V1956" t="inlineStr">
        <is>
          <t>2009-05-26</t>
        </is>
      </c>
      <c r="W1956" t="inlineStr">
        <is>
          <t>1991-11-18</t>
        </is>
      </c>
      <c r="X1956" t="inlineStr">
        <is>
          <t>1991-11-18</t>
        </is>
      </c>
      <c r="Y1956" t="n">
        <v>61</v>
      </c>
      <c r="Z1956" t="n">
        <v>46</v>
      </c>
      <c r="AA1956" t="n">
        <v>77</v>
      </c>
      <c r="AB1956" t="n">
        <v>1</v>
      </c>
      <c r="AC1956" t="n">
        <v>1</v>
      </c>
      <c r="AD1956" t="n">
        <v>8</v>
      </c>
      <c r="AE1956" t="n">
        <v>8</v>
      </c>
      <c r="AF1956" t="n">
        <v>0</v>
      </c>
      <c r="AG1956" t="n">
        <v>0</v>
      </c>
      <c r="AH1956" t="n">
        <v>1</v>
      </c>
      <c r="AI1956" t="n">
        <v>1</v>
      </c>
      <c r="AJ1956" t="n">
        <v>7</v>
      </c>
      <c r="AK1956" t="n">
        <v>7</v>
      </c>
      <c r="AL1956" t="n">
        <v>0</v>
      </c>
      <c r="AM1956" t="n">
        <v>0</v>
      </c>
      <c r="AN1956" t="n">
        <v>0</v>
      </c>
      <c r="AO1956" t="n">
        <v>0</v>
      </c>
      <c r="AP1956" t="inlineStr">
        <is>
          <t>Yes</t>
        </is>
      </c>
      <c r="AQ1956" t="inlineStr">
        <is>
          <t>No</t>
        </is>
      </c>
      <c r="AR1956">
        <f>HYPERLINK("http://catalog.hathitrust.org/Record/001937562","HathiTrust Record")</f>
        <v/>
      </c>
      <c r="AS1956">
        <f>HYPERLINK("https://creighton-primo.hosted.exlibrisgroup.com/primo-explore/search?tab=default_tab&amp;search_scope=EVERYTHING&amp;vid=01CRU&amp;lang=en_US&amp;offset=0&amp;query=any,contains,991005202709702656","Catalog Record")</f>
        <v/>
      </c>
      <c r="AT1956">
        <f>HYPERLINK("http://www.worldcat.org/oclc/8102941","WorldCat Record")</f>
        <v/>
      </c>
      <c r="AU1956" t="inlineStr">
        <is>
          <t>4495299001:eng</t>
        </is>
      </c>
      <c r="AV1956" t="inlineStr">
        <is>
          <t>8102941</t>
        </is>
      </c>
      <c r="AW1956" t="inlineStr">
        <is>
          <t>991005202709702656</t>
        </is>
      </c>
      <c r="AX1956" t="inlineStr">
        <is>
          <t>991005202709702656</t>
        </is>
      </c>
      <c r="AY1956" t="inlineStr">
        <is>
          <t>2255063420002656</t>
        </is>
      </c>
      <c r="AZ1956" t="inlineStr">
        <is>
          <t>BOOK</t>
        </is>
      </c>
      <c r="BC1956" t="inlineStr">
        <is>
          <t>32285000854942</t>
        </is>
      </c>
      <c r="BD1956" t="inlineStr">
        <is>
          <t>893889845</t>
        </is>
      </c>
    </row>
    <row r="1957">
      <c r="A1957" t="inlineStr">
        <is>
          <t>No</t>
        </is>
      </c>
      <c r="B1957" t="inlineStr">
        <is>
          <t>BX4659.G7 L58 1904</t>
        </is>
      </c>
      <c r="C1957" t="inlineStr">
        <is>
          <t>0                      BX 4659000G  7                  L  58          1904</t>
        </is>
      </c>
      <c r="D1957" t="inlineStr">
        <is>
          <t>Lives of the English martyrs declared blessed by Pope Leo XIII in 1886 and 1895 / written by fathers of the Oratory, of the secular clergy and of the Society of Jesus ; completed and edited by Bede Camm.</t>
        </is>
      </c>
      <c r="E1957" t="inlineStr">
        <is>
          <t>V.1</t>
        </is>
      </c>
      <c r="F1957" t="inlineStr">
        <is>
          <t>Yes</t>
        </is>
      </c>
      <c r="G1957" t="inlineStr">
        <is>
          <t>1</t>
        </is>
      </c>
      <c r="H1957" t="inlineStr">
        <is>
          <t>No</t>
        </is>
      </c>
      <c r="I1957" t="inlineStr">
        <is>
          <t>No</t>
        </is>
      </c>
      <c r="J1957" t="inlineStr">
        <is>
          <t>0</t>
        </is>
      </c>
      <c r="L1957" t="inlineStr">
        <is>
          <t>London : Burns and Oates ; New York : Benzinger Brothers, 1904-1905.</t>
        </is>
      </c>
      <c r="M1957" t="inlineStr">
        <is>
          <t>1904</t>
        </is>
      </c>
      <c r="O1957" t="inlineStr">
        <is>
          <t>eng</t>
        </is>
      </c>
      <c r="P1957" t="inlineStr">
        <is>
          <t>enk</t>
        </is>
      </c>
      <c r="Q1957" t="inlineStr">
        <is>
          <t>Quarterly series ; v. 100-101</t>
        </is>
      </c>
      <c r="R1957" t="inlineStr">
        <is>
          <t xml:space="preserve">BX </t>
        </is>
      </c>
      <c r="S1957" t="n">
        <v>1</v>
      </c>
      <c r="T1957" t="n">
        <v>2</v>
      </c>
      <c r="U1957" t="inlineStr">
        <is>
          <t>2009-05-26</t>
        </is>
      </c>
      <c r="V1957" t="inlineStr">
        <is>
          <t>2009-05-26</t>
        </is>
      </c>
      <c r="W1957" t="inlineStr">
        <is>
          <t>1991-11-18</t>
        </is>
      </c>
      <c r="X1957" t="inlineStr">
        <is>
          <t>1991-11-18</t>
        </is>
      </c>
      <c r="Y1957" t="n">
        <v>61</v>
      </c>
      <c r="Z1957" t="n">
        <v>46</v>
      </c>
      <c r="AA1957" t="n">
        <v>77</v>
      </c>
      <c r="AB1957" t="n">
        <v>1</v>
      </c>
      <c r="AC1957" t="n">
        <v>1</v>
      </c>
      <c r="AD1957" t="n">
        <v>8</v>
      </c>
      <c r="AE1957" t="n">
        <v>8</v>
      </c>
      <c r="AF1957" t="n">
        <v>0</v>
      </c>
      <c r="AG1957" t="n">
        <v>0</v>
      </c>
      <c r="AH1957" t="n">
        <v>1</v>
      </c>
      <c r="AI1957" t="n">
        <v>1</v>
      </c>
      <c r="AJ1957" t="n">
        <v>7</v>
      </c>
      <c r="AK1957" t="n">
        <v>7</v>
      </c>
      <c r="AL1957" t="n">
        <v>0</v>
      </c>
      <c r="AM1957" t="n">
        <v>0</v>
      </c>
      <c r="AN1957" t="n">
        <v>0</v>
      </c>
      <c r="AO1957" t="n">
        <v>0</v>
      </c>
      <c r="AP1957" t="inlineStr">
        <is>
          <t>Yes</t>
        </is>
      </c>
      <c r="AQ1957" t="inlineStr">
        <is>
          <t>No</t>
        </is>
      </c>
      <c r="AR1957">
        <f>HYPERLINK("http://catalog.hathitrust.org/Record/001937562","HathiTrust Record")</f>
        <v/>
      </c>
      <c r="AS1957">
        <f>HYPERLINK("https://creighton-primo.hosted.exlibrisgroup.com/primo-explore/search?tab=default_tab&amp;search_scope=EVERYTHING&amp;vid=01CRU&amp;lang=en_US&amp;offset=0&amp;query=any,contains,991005202709702656","Catalog Record")</f>
        <v/>
      </c>
      <c r="AT1957">
        <f>HYPERLINK("http://www.worldcat.org/oclc/8102941","WorldCat Record")</f>
        <v/>
      </c>
      <c r="AU1957" t="inlineStr">
        <is>
          <t>4495299001:eng</t>
        </is>
      </c>
      <c r="AV1957" t="inlineStr">
        <is>
          <t>8102941</t>
        </is>
      </c>
      <c r="AW1957" t="inlineStr">
        <is>
          <t>991005202709702656</t>
        </is>
      </c>
      <c r="AX1957" t="inlineStr">
        <is>
          <t>991005202709702656</t>
        </is>
      </c>
      <c r="AY1957" t="inlineStr">
        <is>
          <t>2255063420002656</t>
        </is>
      </c>
      <c r="AZ1957" t="inlineStr">
        <is>
          <t>BOOK</t>
        </is>
      </c>
      <c r="BC1957" t="inlineStr">
        <is>
          <t>32285000854934</t>
        </is>
      </c>
      <c r="BD1957" t="inlineStr">
        <is>
          <t>893902290</t>
        </is>
      </c>
    </row>
    <row r="1958">
      <c r="A1958" t="inlineStr">
        <is>
          <t>No</t>
        </is>
      </c>
      <c r="B1958" t="inlineStr">
        <is>
          <t>BX4659.I7 C7 1885</t>
        </is>
      </c>
      <c r="C1958" t="inlineStr">
        <is>
          <t>0                      BX 4659000I  7                  C  7           1885</t>
        </is>
      </c>
      <c r="D1958" t="inlineStr">
        <is>
          <t>Lives of the Irish saints and martyrs / by D. P. Conyngham.</t>
        </is>
      </c>
      <c r="F1958" t="inlineStr">
        <is>
          <t>No</t>
        </is>
      </c>
      <c r="G1958" t="inlineStr">
        <is>
          <t>1</t>
        </is>
      </c>
      <c r="H1958" t="inlineStr">
        <is>
          <t>No</t>
        </is>
      </c>
      <c r="I1958" t="inlineStr">
        <is>
          <t>No</t>
        </is>
      </c>
      <c r="J1958" t="inlineStr">
        <is>
          <t>0</t>
        </is>
      </c>
      <c r="K1958" t="inlineStr">
        <is>
          <t>Conyngham, David Power, 1825-1883.</t>
        </is>
      </c>
      <c r="L1958" t="inlineStr">
        <is>
          <t>New York : D. &amp; J. Sadlier, 1885.</t>
        </is>
      </c>
      <c r="M1958" t="inlineStr">
        <is>
          <t>1885</t>
        </is>
      </c>
      <c r="O1958" t="inlineStr">
        <is>
          <t>eng</t>
        </is>
      </c>
      <c r="P1958" t="inlineStr">
        <is>
          <t>xxu</t>
        </is>
      </c>
      <c r="R1958" t="inlineStr">
        <is>
          <t xml:space="preserve">BX </t>
        </is>
      </c>
      <c r="S1958" t="n">
        <v>7</v>
      </c>
      <c r="T1958" t="n">
        <v>7</v>
      </c>
      <c r="U1958" t="inlineStr">
        <is>
          <t>2004-11-09</t>
        </is>
      </c>
      <c r="V1958" t="inlineStr">
        <is>
          <t>2004-11-09</t>
        </is>
      </c>
      <c r="W1958" t="inlineStr">
        <is>
          <t>1991-11-18</t>
        </is>
      </c>
      <c r="X1958" t="inlineStr">
        <is>
          <t>1991-11-18</t>
        </is>
      </c>
      <c r="Y1958" t="n">
        <v>28</v>
      </c>
      <c r="Z1958" t="n">
        <v>23</v>
      </c>
      <c r="AA1958" t="n">
        <v>61</v>
      </c>
      <c r="AB1958" t="n">
        <v>1</v>
      </c>
      <c r="AC1958" t="n">
        <v>1</v>
      </c>
      <c r="AD1958" t="n">
        <v>4</v>
      </c>
      <c r="AE1958" t="n">
        <v>13</v>
      </c>
      <c r="AF1958" t="n">
        <v>2</v>
      </c>
      <c r="AG1958" t="n">
        <v>3</v>
      </c>
      <c r="AH1958" t="n">
        <v>0</v>
      </c>
      <c r="AI1958" t="n">
        <v>3</v>
      </c>
      <c r="AJ1958" t="n">
        <v>2</v>
      </c>
      <c r="AK1958" t="n">
        <v>8</v>
      </c>
      <c r="AL1958" t="n">
        <v>0</v>
      </c>
      <c r="AM1958" t="n">
        <v>0</v>
      </c>
      <c r="AN1958" t="n">
        <v>0</v>
      </c>
      <c r="AO1958" t="n">
        <v>0</v>
      </c>
      <c r="AP1958" t="inlineStr">
        <is>
          <t>No</t>
        </is>
      </c>
      <c r="AQ1958" t="inlineStr">
        <is>
          <t>No</t>
        </is>
      </c>
      <c r="AS1958">
        <f>HYPERLINK("https://creighton-primo.hosted.exlibrisgroup.com/primo-explore/search?tab=default_tab&amp;search_scope=EVERYTHING&amp;vid=01CRU&amp;lang=en_US&amp;offset=0&amp;query=any,contains,991004537229702656","Catalog Record")</f>
        <v/>
      </c>
      <c r="AT1958">
        <f>HYPERLINK("http://www.worldcat.org/oclc/3873532","WorldCat Record")</f>
        <v/>
      </c>
      <c r="AU1958" t="inlineStr">
        <is>
          <t>3855332444:eng</t>
        </is>
      </c>
      <c r="AV1958" t="inlineStr">
        <is>
          <t>3873532</t>
        </is>
      </c>
      <c r="AW1958" t="inlineStr">
        <is>
          <t>991004537229702656</t>
        </is>
      </c>
      <c r="AX1958" t="inlineStr">
        <is>
          <t>991004537229702656</t>
        </is>
      </c>
      <c r="AY1958" t="inlineStr">
        <is>
          <t>2267582030002656</t>
        </is>
      </c>
      <c r="AZ1958" t="inlineStr">
        <is>
          <t>BOOK</t>
        </is>
      </c>
      <c r="BC1958" t="inlineStr">
        <is>
          <t>32285000854967</t>
        </is>
      </c>
      <c r="BD1958" t="inlineStr">
        <is>
          <t>893687843</t>
        </is>
      </c>
    </row>
    <row r="1959">
      <c r="A1959" t="inlineStr">
        <is>
          <t>No</t>
        </is>
      </c>
      <c r="B1959" t="inlineStr">
        <is>
          <t>BX4659.I7 C8 1955</t>
        </is>
      </c>
      <c r="C1959" t="inlineStr">
        <is>
          <t>0                      BX 4659000I  7                  C  8           1955</t>
        </is>
      </c>
      <c r="D1959" t="inlineStr">
        <is>
          <t>Twenty tales of Irish saints; with illus. by Johannes Troyer.</t>
        </is>
      </c>
      <c r="F1959" t="inlineStr">
        <is>
          <t>No</t>
        </is>
      </c>
      <c r="G1959" t="inlineStr">
        <is>
          <t>1</t>
        </is>
      </c>
      <c r="H1959" t="inlineStr">
        <is>
          <t>No</t>
        </is>
      </c>
      <c r="I1959" t="inlineStr">
        <is>
          <t>No</t>
        </is>
      </c>
      <c r="J1959" t="inlineStr">
        <is>
          <t>0</t>
        </is>
      </c>
      <c r="K1959" t="inlineStr">
        <is>
          <t>Curtayne, Alice.</t>
        </is>
      </c>
      <c r="L1959" t="inlineStr">
        <is>
          <t>New York : Sheed and Ward, [1955]</t>
        </is>
      </c>
      <c r="M1959" t="inlineStr">
        <is>
          <t>1955</t>
        </is>
      </c>
      <c r="O1959" t="inlineStr">
        <is>
          <t>eng</t>
        </is>
      </c>
      <c r="P1959" t="inlineStr">
        <is>
          <t>nyu</t>
        </is>
      </c>
      <c r="R1959" t="inlineStr">
        <is>
          <t xml:space="preserve">BX </t>
        </is>
      </c>
      <c r="S1959" t="n">
        <v>8</v>
      </c>
      <c r="T1959" t="n">
        <v>8</v>
      </c>
      <c r="U1959" t="inlineStr">
        <is>
          <t>1996-11-07</t>
        </is>
      </c>
      <c r="V1959" t="inlineStr">
        <is>
          <t>1996-11-07</t>
        </is>
      </c>
      <c r="W1959" t="inlineStr">
        <is>
          <t>1991-11-18</t>
        </is>
      </c>
      <c r="X1959" t="inlineStr">
        <is>
          <t>1991-11-18</t>
        </is>
      </c>
      <c r="Y1959" t="n">
        <v>80</v>
      </c>
      <c r="Z1959" t="n">
        <v>78</v>
      </c>
      <c r="AA1959" t="n">
        <v>96</v>
      </c>
      <c r="AB1959" t="n">
        <v>2</v>
      </c>
      <c r="AC1959" t="n">
        <v>2</v>
      </c>
      <c r="AD1959" t="n">
        <v>5</v>
      </c>
      <c r="AE1959" t="n">
        <v>5</v>
      </c>
      <c r="AF1959" t="n">
        <v>0</v>
      </c>
      <c r="AG1959" t="n">
        <v>0</v>
      </c>
      <c r="AH1959" t="n">
        <v>2</v>
      </c>
      <c r="AI1959" t="n">
        <v>2</v>
      </c>
      <c r="AJ1959" t="n">
        <v>4</v>
      </c>
      <c r="AK1959" t="n">
        <v>4</v>
      </c>
      <c r="AL1959" t="n">
        <v>0</v>
      </c>
      <c r="AM1959" t="n">
        <v>0</v>
      </c>
      <c r="AN1959" t="n">
        <v>0</v>
      </c>
      <c r="AO1959" t="n">
        <v>0</v>
      </c>
      <c r="AP1959" t="inlineStr">
        <is>
          <t>No</t>
        </is>
      </c>
      <c r="AQ1959" t="inlineStr">
        <is>
          <t>No</t>
        </is>
      </c>
      <c r="AS1959">
        <f>HYPERLINK("https://creighton-primo.hosted.exlibrisgroup.com/primo-explore/search?tab=default_tab&amp;search_scope=EVERYTHING&amp;vid=01CRU&amp;lang=en_US&amp;offset=0&amp;query=any,contains,991003833419702656","Catalog Record")</f>
        <v/>
      </c>
      <c r="AT1959">
        <f>HYPERLINK("http://www.worldcat.org/oclc/1596893","WorldCat Record")</f>
        <v/>
      </c>
      <c r="AU1959" t="inlineStr">
        <is>
          <t>2498320:eng</t>
        </is>
      </c>
      <c r="AV1959" t="inlineStr">
        <is>
          <t>1596893</t>
        </is>
      </c>
      <c r="AW1959" t="inlineStr">
        <is>
          <t>991003833419702656</t>
        </is>
      </c>
      <c r="AX1959" t="inlineStr">
        <is>
          <t>991003833419702656</t>
        </is>
      </c>
      <c r="AY1959" t="inlineStr">
        <is>
          <t>2271869360002656</t>
        </is>
      </c>
      <c r="AZ1959" t="inlineStr">
        <is>
          <t>BOOK</t>
        </is>
      </c>
      <c r="BC1959" t="inlineStr">
        <is>
          <t>32285000854975</t>
        </is>
      </c>
      <c r="BD1959" t="inlineStr">
        <is>
          <t>893252840</t>
        </is>
      </c>
    </row>
    <row r="1960">
      <c r="A1960" t="inlineStr">
        <is>
          <t>No</t>
        </is>
      </c>
      <c r="B1960" t="inlineStr">
        <is>
          <t>BX4659.S8 W65 1988</t>
        </is>
      </c>
      <c r="C1960" t="inlineStr">
        <is>
          <t>0                      BX 4659000S  8                  W  65          1988</t>
        </is>
      </c>
      <c r="D1960" t="inlineStr">
        <is>
          <t>Christian martyrs in Muslim Spain / Kenneth Baxter Wolf.</t>
        </is>
      </c>
      <c r="F1960" t="inlineStr">
        <is>
          <t>No</t>
        </is>
      </c>
      <c r="G1960" t="inlineStr">
        <is>
          <t>1</t>
        </is>
      </c>
      <c r="H1960" t="inlineStr">
        <is>
          <t>No</t>
        </is>
      </c>
      <c r="I1960" t="inlineStr">
        <is>
          <t>No</t>
        </is>
      </c>
      <c r="J1960" t="inlineStr">
        <is>
          <t>0</t>
        </is>
      </c>
      <c r="K1960" t="inlineStr">
        <is>
          <t>Wolf, Kenneth Baxter, 1957-</t>
        </is>
      </c>
      <c r="L1960" t="inlineStr">
        <is>
          <t>Cambridge [Cambridgeshire] ; New York : Cambridge University Press, 1988.</t>
        </is>
      </c>
      <c r="M1960" t="inlineStr">
        <is>
          <t>1988</t>
        </is>
      </c>
      <c r="O1960" t="inlineStr">
        <is>
          <t>eng</t>
        </is>
      </c>
      <c r="P1960" t="inlineStr">
        <is>
          <t>enk</t>
        </is>
      </c>
      <c r="Q1960" t="inlineStr">
        <is>
          <t>Cambridge Iberian and Latin American studies</t>
        </is>
      </c>
      <c r="R1960" t="inlineStr">
        <is>
          <t xml:space="preserve">BX </t>
        </is>
      </c>
      <c r="S1960" t="n">
        <v>5</v>
      </c>
      <c r="T1960" t="n">
        <v>5</v>
      </c>
      <c r="U1960" t="inlineStr">
        <is>
          <t>2000-04-04</t>
        </is>
      </c>
      <c r="V1960" t="inlineStr">
        <is>
          <t>2000-04-04</t>
        </is>
      </c>
      <c r="W1960" t="inlineStr">
        <is>
          <t>1992-07-09</t>
        </is>
      </c>
      <c r="X1960" t="inlineStr">
        <is>
          <t>1992-07-09</t>
        </is>
      </c>
      <c r="Y1960" t="n">
        <v>384</v>
      </c>
      <c r="Z1960" t="n">
        <v>291</v>
      </c>
      <c r="AA1960" t="n">
        <v>300</v>
      </c>
      <c r="AB1960" t="n">
        <v>2</v>
      </c>
      <c r="AC1960" t="n">
        <v>2</v>
      </c>
      <c r="AD1960" t="n">
        <v>16</v>
      </c>
      <c r="AE1960" t="n">
        <v>16</v>
      </c>
      <c r="AF1960" t="n">
        <v>3</v>
      </c>
      <c r="AG1960" t="n">
        <v>3</v>
      </c>
      <c r="AH1960" t="n">
        <v>6</v>
      </c>
      <c r="AI1960" t="n">
        <v>6</v>
      </c>
      <c r="AJ1960" t="n">
        <v>11</v>
      </c>
      <c r="AK1960" t="n">
        <v>11</v>
      </c>
      <c r="AL1960" t="n">
        <v>1</v>
      </c>
      <c r="AM1960" t="n">
        <v>1</v>
      </c>
      <c r="AN1960" t="n">
        <v>0</v>
      </c>
      <c r="AO1960" t="n">
        <v>0</v>
      </c>
      <c r="AP1960" t="inlineStr">
        <is>
          <t>No</t>
        </is>
      </c>
      <c r="AQ1960" t="inlineStr">
        <is>
          <t>No</t>
        </is>
      </c>
      <c r="AS1960">
        <f>HYPERLINK("https://creighton-primo.hosted.exlibrisgroup.com/primo-explore/search?tab=default_tab&amp;search_scope=EVERYTHING&amp;vid=01CRU&amp;lang=en_US&amp;offset=0&amp;query=any,contains,991001040489702656","Catalog Record")</f>
        <v/>
      </c>
      <c r="AT1960">
        <f>HYPERLINK("http://www.worldcat.org/oclc/15588758","WorldCat Record")</f>
        <v/>
      </c>
      <c r="AU1960" t="inlineStr">
        <is>
          <t>10554738:eng</t>
        </is>
      </c>
      <c r="AV1960" t="inlineStr">
        <is>
          <t>15588758</t>
        </is>
      </c>
      <c r="AW1960" t="inlineStr">
        <is>
          <t>991001040489702656</t>
        </is>
      </c>
      <c r="AX1960" t="inlineStr">
        <is>
          <t>991001040489702656</t>
        </is>
      </c>
      <c r="AY1960" t="inlineStr">
        <is>
          <t>2270259130002656</t>
        </is>
      </c>
      <c r="AZ1960" t="inlineStr">
        <is>
          <t>BOOK</t>
        </is>
      </c>
      <c r="BB1960" t="inlineStr">
        <is>
          <t>9780521344166</t>
        </is>
      </c>
      <c r="BC1960" t="inlineStr">
        <is>
          <t>32285001158046</t>
        </is>
      </c>
      <c r="BD1960" t="inlineStr">
        <is>
          <t>893683967</t>
        </is>
      </c>
    </row>
    <row r="1961">
      <c r="A1961" t="inlineStr">
        <is>
          <t>No</t>
        </is>
      </c>
      <c r="B1961" t="inlineStr">
        <is>
          <t>BX4659.U5 C6 1957</t>
        </is>
      </c>
      <c r="C1961" t="inlineStr">
        <is>
          <t>0                      BX 4659000U  5                  C  6           1957</t>
        </is>
      </c>
      <c r="D1961" t="inlineStr">
        <is>
          <t>The martyrs of the United States of America : manuscript of preliminary studies / prepared by the Commission for the Cause of Canonization of the Martyrs of the United States, and related essays by John Mark Gannon. Editor: James M. Powers.</t>
        </is>
      </c>
      <c r="F1961" t="inlineStr">
        <is>
          <t>No</t>
        </is>
      </c>
      <c r="G1961" t="inlineStr">
        <is>
          <t>1</t>
        </is>
      </c>
      <c r="H1961" t="inlineStr">
        <is>
          <t>No</t>
        </is>
      </c>
      <c r="I1961" t="inlineStr">
        <is>
          <t>No</t>
        </is>
      </c>
      <c r="J1961" t="inlineStr">
        <is>
          <t>0</t>
        </is>
      </c>
      <c r="K1961" t="inlineStr">
        <is>
          <t>Commission for the Cause of Canonization of the Martyrs of the United States.</t>
        </is>
      </c>
      <c r="M1961" t="inlineStr">
        <is>
          <t>1957</t>
        </is>
      </c>
      <c r="O1961" t="inlineStr">
        <is>
          <t>eng</t>
        </is>
      </c>
      <c r="P1961" t="inlineStr">
        <is>
          <t>pau</t>
        </is>
      </c>
      <c r="R1961" t="inlineStr">
        <is>
          <t xml:space="preserve">BX </t>
        </is>
      </c>
      <c r="S1961" t="n">
        <v>3</v>
      </c>
      <c r="T1961" t="n">
        <v>3</v>
      </c>
      <c r="U1961" t="inlineStr">
        <is>
          <t>1996-07-10</t>
        </is>
      </c>
      <c r="V1961" t="inlineStr">
        <is>
          <t>1996-07-10</t>
        </is>
      </c>
      <c r="W1961" t="inlineStr">
        <is>
          <t>1991-11-18</t>
        </is>
      </c>
      <c r="X1961" t="inlineStr">
        <is>
          <t>1991-11-18</t>
        </is>
      </c>
      <c r="Y1961" t="n">
        <v>131</v>
      </c>
      <c r="Z1961" t="n">
        <v>129</v>
      </c>
      <c r="AA1961" t="n">
        <v>133</v>
      </c>
      <c r="AB1961" t="n">
        <v>2</v>
      </c>
      <c r="AC1961" t="n">
        <v>2</v>
      </c>
      <c r="AD1961" t="n">
        <v>30</v>
      </c>
      <c r="AE1961" t="n">
        <v>30</v>
      </c>
      <c r="AF1961" t="n">
        <v>11</v>
      </c>
      <c r="AG1961" t="n">
        <v>11</v>
      </c>
      <c r="AH1961" t="n">
        <v>8</v>
      </c>
      <c r="AI1961" t="n">
        <v>8</v>
      </c>
      <c r="AJ1961" t="n">
        <v>24</v>
      </c>
      <c r="AK1961" t="n">
        <v>24</v>
      </c>
      <c r="AL1961" t="n">
        <v>0</v>
      </c>
      <c r="AM1961" t="n">
        <v>0</v>
      </c>
      <c r="AN1961" t="n">
        <v>0</v>
      </c>
      <c r="AO1961" t="n">
        <v>0</v>
      </c>
      <c r="AP1961" t="inlineStr">
        <is>
          <t>No</t>
        </is>
      </c>
      <c r="AQ1961" t="inlineStr">
        <is>
          <t>Yes</t>
        </is>
      </c>
      <c r="AR1961">
        <f>HYPERLINK("http://catalog.hathitrust.org/Record/102669598","HathiTrust Record")</f>
        <v/>
      </c>
      <c r="AS1961">
        <f>HYPERLINK("https://creighton-primo.hosted.exlibrisgroup.com/primo-explore/search?tab=default_tab&amp;search_scope=EVERYTHING&amp;vid=01CRU&amp;lang=en_US&amp;offset=0&amp;query=any,contains,991004366989702656","Catalog Record")</f>
        <v/>
      </c>
      <c r="AT1961">
        <f>HYPERLINK("http://www.worldcat.org/oclc/3172725","WorldCat Record")</f>
        <v/>
      </c>
      <c r="AU1961" t="inlineStr">
        <is>
          <t>43128412:eng</t>
        </is>
      </c>
      <c r="AV1961" t="inlineStr">
        <is>
          <t>3172725</t>
        </is>
      </c>
      <c r="AW1961" t="inlineStr">
        <is>
          <t>991004366989702656</t>
        </is>
      </c>
      <c r="AX1961" t="inlineStr">
        <is>
          <t>991004366989702656</t>
        </is>
      </c>
      <c r="AY1961" t="inlineStr">
        <is>
          <t>2266606780002656</t>
        </is>
      </c>
      <c r="AZ1961" t="inlineStr">
        <is>
          <t>BOOK</t>
        </is>
      </c>
      <c r="BC1961" t="inlineStr">
        <is>
          <t>32285000834936</t>
        </is>
      </c>
      <c r="BD1961" t="inlineStr">
        <is>
          <t>893247506</t>
        </is>
      </c>
    </row>
    <row r="1962">
      <c r="A1962" t="inlineStr">
        <is>
          <t>No</t>
        </is>
      </c>
      <c r="B1962" t="inlineStr">
        <is>
          <t>BX4662 .D343 1907</t>
        </is>
      </c>
      <c r="C1962" t="inlineStr">
        <is>
          <t>0                      BX 4662000D  343         1907</t>
        </is>
      </c>
      <c r="D1962" t="inlineStr">
        <is>
          <t>The Legends of the saints : an introduction to Hagiography / from the French of Père H. Delehaye, translated by Mrs. V. M. Crawford.</t>
        </is>
      </c>
      <c r="F1962" t="inlineStr">
        <is>
          <t>No</t>
        </is>
      </c>
      <c r="G1962" t="inlineStr">
        <is>
          <t>1</t>
        </is>
      </c>
      <c r="H1962" t="inlineStr">
        <is>
          <t>No</t>
        </is>
      </c>
      <c r="I1962" t="inlineStr">
        <is>
          <t>Yes</t>
        </is>
      </c>
      <c r="J1962" t="inlineStr">
        <is>
          <t>0</t>
        </is>
      </c>
      <c r="K1962" t="inlineStr">
        <is>
          <t>Delehaye, Hippolyte, 1859-1941.</t>
        </is>
      </c>
      <c r="L1962" t="inlineStr">
        <is>
          <t>London : Longmans, Green, 1907.</t>
        </is>
      </c>
      <c r="M1962" t="inlineStr">
        <is>
          <t>1907</t>
        </is>
      </c>
      <c r="O1962" t="inlineStr">
        <is>
          <t>eng</t>
        </is>
      </c>
      <c r="P1962" t="inlineStr">
        <is>
          <t>___</t>
        </is>
      </c>
      <c r="Q1962" t="inlineStr">
        <is>
          <t>The Westminster Library, a series of manuals for Catholic priests and students, edited by the Right Rev. Mgr. Bernard Ward and the Rev. Herbert Thurston.</t>
        </is>
      </c>
      <c r="R1962" t="inlineStr">
        <is>
          <t xml:space="preserve">BX </t>
        </is>
      </c>
      <c r="S1962" t="n">
        <v>4</v>
      </c>
      <c r="T1962" t="n">
        <v>4</v>
      </c>
      <c r="U1962" t="inlineStr">
        <is>
          <t>1998-04-01</t>
        </is>
      </c>
      <c r="V1962" t="inlineStr">
        <is>
          <t>1998-04-01</t>
        </is>
      </c>
      <c r="W1962" t="inlineStr">
        <is>
          <t>1992-06-09</t>
        </is>
      </c>
      <c r="X1962" t="inlineStr">
        <is>
          <t>1992-06-09</t>
        </is>
      </c>
      <c r="Y1962" t="n">
        <v>117</v>
      </c>
      <c r="Z1962" t="n">
        <v>81</v>
      </c>
      <c r="AA1962" t="n">
        <v>872</v>
      </c>
      <c r="AB1962" t="n">
        <v>1</v>
      </c>
      <c r="AC1962" t="n">
        <v>9</v>
      </c>
      <c r="AD1962" t="n">
        <v>9</v>
      </c>
      <c r="AE1962" t="n">
        <v>48</v>
      </c>
      <c r="AF1962" t="n">
        <v>1</v>
      </c>
      <c r="AG1962" t="n">
        <v>19</v>
      </c>
      <c r="AH1962" t="n">
        <v>3</v>
      </c>
      <c r="AI1962" t="n">
        <v>11</v>
      </c>
      <c r="AJ1962" t="n">
        <v>7</v>
      </c>
      <c r="AK1962" t="n">
        <v>24</v>
      </c>
      <c r="AL1962" t="n">
        <v>0</v>
      </c>
      <c r="AM1962" t="n">
        <v>6</v>
      </c>
      <c r="AN1962" t="n">
        <v>0</v>
      </c>
      <c r="AO1962" t="n">
        <v>0</v>
      </c>
      <c r="AP1962" t="inlineStr">
        <is>
          <t>Yes</t>
        </is>
      </c>
      <c r="AQ1962" t="inlineStr">
        <is>
          <t>No</t>
        </is>
      </c>
      <c r="AR1962">
        <f>HYPERLINK("http://catalog.hathitrust.org/Record/100884758","HathiTrust Record")</f>
        <v/>
      </c>
      <c r="AS1962">
        <f>HYPERLINK("https://creighton-primo.hosted.exlibrisgroup.com/primo-explore/search?tab=default_tab&amp;search_scope=EVERYTHING&amp;vid=01CRU&amp;lang=en_US&amp;offset=0&amp;query=any,contains,991003174849702656","Catalog Record")</f>
        <v/>
      </c>
      <c r="AT1962">
        <f>HYPERLINK("http://www.worldcat.org/oclc/710299","WorldCat Record")</f>
        <v/>
      </c>
      <c r="AU1962" t="inlineStr">
        <is>
          <t>1512263:eng</t>
        </is>
      </c>
      <c r="AV1962" t="inlineStr">
        <is>
          <t>710299</t>
        </is>
      </c>
      <c r="AW1962" t="inlineStr">
        <is>
          <t>991003174849702656</t>
        </is>
      </c>
      <c r="AX1962" t="inlineStr">
        <is>
          <t>991003174849702656</t>
        </is>
      </c>
      <c r="AY1962" t="inlineStr">
        <is>
          <t>2262421880002656</t>
        </is>
      </c>
      <c r="AZ1962" t="inlineStr">
        <is>
          <t>BOOK</t>
        </is>
      </c>
      <c r="BC1962" t="inlineStr">
        <is>
          <t>32285001074730</t>
        </is>
      </c>
      <c r="BD1962" t="inlineStr">
        <is>
          <t>893416119</t>
        </is>
      </c>
    </row>
    <row r="1963">
      <c r="A1963" t="inlineStr">
        <is>
          <t>No</t>
        </is>
      </c>
      <c r="B1963" t="inlineStr">
        <is>
          <t>BX4662 .D347 1966</t>
        </is>
      </c>
      <c r="C1963" t="inlineStr">
        <is>
          <t>0                      BX 4662000D  347         1966</t>
        </is>
      </c>
      <c r="D1963" t="inlineStr">
        <is>
          <t>Mélanges d'hagiographie grecque et latine / par Hippolyte Delehaye.</t>
        </is>
      </c>
      <c r="F1963" t="inlineStr">
        <is>
          <t>No</t>
        </is>
      </c>
      <c r="G1963" t="inlineStr">
        <is>
          <t>1</t>
        </is>
      </c>
      <c r="H1963" t="inlineStr">
        <is>
          <t>No</t>
        </is>
      </c>
      <c r="I1963" t="inlineStr">
        <is>
          <t>No</t>
        </is>
      </c>
      <c r="J1963" t="inlineStr">
        <is>
          <t>0</t>
        </is>
      </c>
      <c r="K1963" t="inlineStr">
        <is>
          <t>Delehaye, Hippolyte, 1859-1941.</t>
        </is>
      </c>
      <c r="L1963" t="inlineStr">
        <is>
          <t>Bruxelles : Société des Bollandistes, 1966.</t>
        </is>
      </c>
      <c r="M1963" t="inlineStr">
        <is>
          <t>1966</t>
        </is>
      </c>
      <c r="O1963" t="inlineStr">
        <is>
          <t>fre</t>
        </is>
      </c>
      <c r="P1963" t="inlineStr">
        <is>
          <t xml:space="preserve">be </t>
        </is>
      </c>
      <c r="Q1963" t="inlineStr">
        <is>
          <t>Subsidia hagiographica ; no 42</t>
        </is>
      </c>
      <c r="R1963" t="inlineStr">
        <is>
          <t xml:space="preserve">BX </t>
        </is>
      </c>
      <c r="S1963" t="n">
        <v>5</v>
      </c>
      <c r="T1963" t="n">
        <v>5</v>
      </c>
      <c r="U1963" t="inlineStr">
        <is>
          <t>2010-05-05</t>
        </is>
      </c>
      <c r="V1963" t="inlineStr">
        <is>
          <t>2010-05-05</t>
        </is>
      </c>
      <c r="W1963" t="inlineStr">
        <is>
          <t>1991-11-21</t>
        </is>
      </c>
      <c r="X1963" t="inlineStr">
        <is>
          <t>1991-11-21</t>
        </is>
      </c>
      <c r="Y1963" t="n">
        <v>147</v>
      </c>
      <c r="Z1963" t="n">
        <v>91</v>
      </c>
      <c r="AA1963" t="n">
        <v>93</v>
      </c>
      <c r="AB1963" t="n">
        <v>1</v>
      </c>
      <c r="AC1963" t="n">
        <v>1</v>
      </c>
      <c r="AD1963" t="n">
        <v>9</v>
      </c>
      <c r="AE1963" t="n">
        <v>9</v>
      </c>
      <c r="AF1963" t="n">
        <v>1</v>
      </c>
      <c r="AG1963" t="n">
        <v>1</v>
      </c>
      <c r="AH1963" t="n">
        <v>2</v>
      </c>
      <c r="AI1963" t="n">
        <v>2</v>
      </c>
      <c r="AJ1963" t="n">
        <v>7</v>
      </c>
      <c r="AK1963" t="n">
        <v>7</v>
      </c>
      <c r="AL1963" t="n">
        <v>0</v>
      </c>
      <c r="AM1963" t="n">
        <v>0</v>
      </c>
      <c r="AN1963" t="n">
        <v>0</v>
      </c>
      <c r="AO1963" t="n">
        <v>0</v>
      </c>
      <c r="AP1963" t="inlineStr">
        <is>
          <t>No</t>
        </is>
      </c>
      <c r="AQ1963" t="inlineStr">
        <is>
          <t>Yes</t>
        </is>
      </c>
      <c r="AR1963">
        <f>HYPERLINK("http://catalog.hathitrust.org/Record/003928892","HathiTrust Record")</f>
        <v/>
      </c>
      <c r="AS1963">
        <f>HYPERLINK("https://creighton-primo.hosted.exlibrisgroup.com/primo-explore/search?tab=default_tab&amp;search_scope=EVERYTHING&amp;vid=01CRU&amp;lang=en_US&amp;offset=0&amp;query=any,contains,991004456089702656","Catalog Record")</f>
        <v/>
      </c>
      <c r="AT1963">
        <f>HYPERLINK("http://www.worldcat.org/oclc/3526604","WorldCat Record")</f>
        <v/>
      </c>
      <c r="AU1963" t="inlineStr">
        <is>
          <t>10953806:fre</t>
        </is>
      </c>
      <c r="AV1963" t="inlineStr">
        <is>
          <t>3526604</t>
        </is>
      </c>
      <c r="AW1963" t="inlineStr">
        <is>
          <t>991004456089702656</t>
        </is>
      </c>
      <c r="AX1963" t="inlineStr">
        <is>
          <t>991004456089702656</t>
        </is>
      </c>
      <c r="AY1963" t="inlineStr">
        <is>
          <t>2256074060002656</t>
        </is>
      </c>
      <c r="AZ1963" t="inlineStr">
        <is>
          <t>BOOK</t>
        </is>
      </c>
      <c r="BC1963" t="inlineStr">
        <is>
          <t>32285000855253</t>
        </is>
      </c>
      <c r="BD1963" t="inlineStr">
        <is>
          <t>893800984</t>
        </is>
      </c>
    </row>
    <row r="1964">
      <c r="A1964" t="inlineStr">
        <is>
          <t>No</t>
        </is>
      </c>
      <c r="B1964" t="inlineStr">
        <is>
          <t>BX4662 .F74 2005</t>
        </is>
      </c>
      <c r="C1964" t="inlineStr">
        <is>
          <t>0                      BX 4662000F  74          2005</t>
        </is>
      </c>
      <c r="D1964" t="inlineStr">
        <is>
          <t>Possible lives : authors and saints in Renaissance Italy / Alison Knowles Frazier.</t>
        </is>
      </c>
      <c r="F1964" t="inlineStr">
        <is>
          <t>No</t>
        </is>
      </c>
      <c r="G1964" t="inlineStr">
        <is>
          <t>1</t>
        </is>
      </c>
      <c r="H1964" t="inlineStr">
        <is>
          <t>No</t>
        </is>
      </c>
      <c r="I1964" t="inlineStr">
        <is>
          <t>No</t>
        </is>
      </c>
      <c r="J1964" t="inlineStr">
        <is>
          <t>0</t>
        </is>
      </c>
      <c r="K1964" t="inlineStr">
        <is>
          <t>Frazier, Alison Knowles.</t>
        </is>
      </c>
      <c r="L1964" t="inlineStr">
        <is>
          <t>New York : Columbia University Press, c2005.</t>
        </is>
      </c>
      <c r="M1964" t="inlineStr">
        <is>
          <t>2005</t>
        </is>
      </c>
      <c r="O1964" t="inlineStr">
        <is>
          <t>eng</t>
        </is>
      </c>
      <c r="P1964" t="inlineStr">
        <is>
          <t>nyu</t>
        </is>
      </c>
      <c r="R1964" t="inlineStr">
        <is>
          <t xml:space="preserve">BX </t>
        </is>
      </c>
      <c r="S1964" t="n">
        <v>1</v>
      </c>
      <c r="T1964" t="n">
        <v>1</v>
      </c>
      <c r="U1964" t="inlineStr">
        <is>
          <t>2007-11-14</t>
        </is>
      </c>
      <c r="V1964" t="inlineStr">
        <is>
          <t>2007-11-14</t>
        </is>
      </c>
      <c r="W1964" t="inlineStr">
        <is>
          <t>2007-11-14</t>
        </is>
      </c>
      <c r="X1964" t="inlineStr">
        <is>
          <t>2007-11-14</t>
        </is>
      </c>
      <c r="Y1964" t="n">
        <v>304</v>
      </c>
      <c r="Z1964" t="n">
        <v>238</v>
      </c>
      <c r="AA1964" t="n">
        <v>701</v>
      </c>
      <c r="AB1964" t="n">
        <v>2</v>
      </c>
      <c r="AC1964" t="n">
        <v>6</v>
      </c>
      <c r="AD1964" t="n">
        <v>19</v>
      </c>
      <c r="AE1964" t="n">
        <v>38</v>
      </c>
      <c r="AF1964" t="n">
        <v>4</v>
      </c>
      <c r="AG1964" t="n">
        <v>14</v>
      </c>
      <c r="AH1964" t="n">
        <v>8</v>
      </c>
      <c r="AI1964" t="n">
        <v>10</v>
      </c>
      <c r="AJ1964" t="n">
        <v>13</v>
      </c>
      <c r="AK1964" t="n">
        <v>18</v>
      </c>
      <c r="AL1964" t="n">
        <v>1</v>
      </c>
      <c r="AM1964" t="n">
        <v>5</v>
      </c>
      <c r="AN1964" t="n">
        <v>0</v>
      </c>
      <c r="AO1964" t="n">
        <v>1</v>
      </c>
      <c r="AP1964" t="inlineStr">
        <is>
          <t>No</t>
        </is>
      </c>
      <c r="AQ1964" t="inlineStr">
        <is>
          <t>No</t>
        </is>
      </c>
      <c r="AS1964">
        <f>HYPERLINK("https://creighton-primo.hosted.exlibrisgroup.com/primo-explore/search?tab=default_tab&amp;search_scope=EVERYTHING&amp;vid=01CRU&amp;lang=en_US&amp;offset=0&amp;query=any,contains,991005146809702656","Catalog Record")</f>
        <v/>
      </c>
      <c r="AT1964">
        <f>HYPERLINK("http://www.worldcat.org/oclc/55511348","WorldCat Record")</f>
        <v/>
      </c>
      <c r="AU1964" t="inlineStr">
        <is>
          <t>892634885:eng</t>
        </is>
      </c>
      <c r="AV1964" t="inlineStr">
        <is>
          <t>55511348</t>
        </is>
      </c>
      <c r="AW1964" t="inlineStr">
        <is>
          <t>991005146809702656</t>
        </is>
      </c>
      <c r="AX1964" t="inlineStr">
        <is>
          <t>991005146809702656</t>
        </is>
      </c>
      <c r="AY1964" t="inlineStr">
        <is>
          <t>2260997940002656</t>
        </is>
      </c>
      <c r="AZ1964" t="inlineStr">
        <is>
          <t>BOOK</t>
        </is>
      </c>
      <c r="BB1964" t="inlineStr">
        <is>
          <t>9780231129763</t>
        </is>
      </c>
      <c r="BC1964" t="inlineStr">
        <is>
          <t>32285005367379</t>
        </is>
      </c>
      <c r="BD1964" t="inlineStr">
        <is>
          <t>893713519</t>
        </is>
      </c>
    </row>
    <row r="1965">
      <c r="A1965" t="inlineStr">
        <is>
          <t>No</t>
        </is>
      </c>
      <c r="B1965" t="inlineStr">
        <is>
          <t>BX4662 .K6 1964</t>
        </is>
      </c>
      <c r="C1965" t="inlineStr">
        <is>
          <t>0                      BX 4662000K  6           1964</t>
        </is>
      </c>
      <c r="D1965" t="inlineStr">
        <is>
          <t>Great historical enterprises : problems in monastic history / David Knowles.</t>
        </is>
      </c>
      <c r="F1965" t="inlineStr">
        <is>
          <t>No</t>
        </is>
      </c>
      <c r="G1965" t="inlineStr">
        <is>
          <t>1</t>
        </is>
      </c>
      <c r="H1965" t="inlineStr">
        <is>
          <t>No</t>
        </is>
      </c>
      <c r="I1965" t="inlineStr">
        <is>
          <t>No</t>
        </is>
      </c>
      <c r="J1965" t="inlineStr">
        <is>
          <t>0</t>
        </is>
      </c>
      <c r="K1965" t="inlineStr">
        <is>
          <t>Knowles, David, 1896-1974.</t>
        </is>
      </c>
      <c r="L1965" t="inlineStr">
        <is>
          <t>London ; New York : Nelson, [1964, c1963]</t>
        </is>
      </c>
      <c r="M1965" t="inlineStr">
        <is>
          <t>1964</t>
        </is>
      </c>
      <c r="O1965" t="inlineStr">
        <is>
          <t>eng</t>
        </is>
      </c>
      <c r="P1965" t="inlineStr">
        <is>
          <t>enk</t>
        </is>
      </c>
      <c r="R1965" t="inlineStr">
        <is>
          <t xml:space="preserve">BX </t>
        </is>
      </c>
      <c r="S1965" t="n">
        <v>1</v>
      </c>
      <c r="T1965" t="n">
        <v>1</v>
      </c>
      <c r="U1965" t="inlineStr">
        <is>
          <t>2004-09-30</t>
        </is>
      </c>
      <c r="V1965" t="inlineStr">
        <is>
          <t>2004-09-30</t>
        </is>
      </c>
      <c r="W1965" t="inlineStr">
        <is>
          <t>1991-11-21</t>
        </is>
      </c>
      <c r="X1965" t="inlineStr">
        <is>
          <t>1991-11-21</t>
        </is>
      </c>
      <c r="Y1965" t="n">
        <v>356</v>
      </c>
      <c r="Z1965" t="n">
        <v>334</v>
      </c>
      <c r="AA1965" t="n">
        <v>491</v>
      </c>
      <c r="AB1965" t="n">
        <v>1</v>
      </c>
      <c r="AC1965" t="n">
        <v>3</v>
      </c>
      <c r="AD1965" t="n">
        <v>25</v>
      </c>
      <c r="AE1965" t="n">
        <v>36</v>
      </c>
      <c r="AF1965" t="n">
        <v>13</v>
      </c>
      <c r="AG1965" t="n">
        <v>16</v>
      </c>
      <c r="AH1965" t="n">
        <v>5</v>
      </c>
      <c r="AI1965" t="n">
        <v>6</v>
      </c>
      <c r="AJ1965" t="n">
        <v>17</v>
      </c>
      <c r="AK1965" t="n">
        <v>23</v>
      </c>
      <c r="AL1965" t="n">
        <v>0</v>
      </c>
      <c r="AM1965" t="n">
        <v>2</v>
      </c>
      <c r="AN1965" t="n">
        <v>0</v>
      </c>
      <c r="AO1965" t="n">
        <v>0</v>
      </c>
      <c r="AP1965" t="inlineStr">
        <is>
          <t>No</t>
        </is>
      </c>
      <c r="AQ1965" t="inlineStr">
        <is>
          <t>Yes</t>
        </is>
      </c>
      <c r="AR1965">
        <f>HYPERLINK("http://catalog.hathitrust.org/Record/101872442","HathiTrust Record")</f>
        <v/>
      </c>
      <c r="AS1965">
        <f>HYPERLINK("https://creighton-primo.hosted.exlibrisgroup.com/primo-explore/search?tab=default_tab&amp;search_scope=EVERYTHING&amp;vid=01CRU&amp;lang=en_US&amp;offset=0&amp;query=any,contains,991002892729702656","Catalog Record")</f>
        <v/>
      </c>
      <c r="AT1965">
        <f>HYPERLINK("http://www.worldcat.org/oclc/512439","WorldCat Record")</f>
        <v/>
      </c>
      <c r="AU1965" t="inlineStr">
        <is>
          <t>132301529:eng</t>
        </is>
      </c>
      <c r="AV1965" t="inlineStr">
        <is>
          <t>512439</t>
        </is>
      </c>
      <c r="AW1965" t="inlineStr">
        <is>
          <t>991002892729702656</t>
        </is>
      </c>
      <c r="AX1965" t="inlineStr">
        <is>
          <t>991002892729702656</t>
        </is>
      </c>
      <c r="AY1965" t="inlineStr">
        <is>
          <t>2263281410002656</t>
        </is>
      </c>
      <c r="AZ1965" t="inlineStr">
        <is>
          <t>BOOK</t>
        </is>
      </c>
      <c r="BC1965" t="inlineStr">
        <is>
          <t>32285000855279</t>
        </is>
      </c>
      <c r="BD1965" t="inlineStr">
        <is>
          <t>893899378</t>
        </is>
      </c>
    </row>
    <row r="1966">
      <c r="A1966" t="inlineStr">
        <is>
          <t>No</t>
        </is>
      </c>
      <c r="B1966" t="inlineStr">
        <is>
          <t>BX4662 .S24 1996</t>
        </is>
      </c>
      <c r="C1966" t="inlineStr">
        <is>
          <t>0                      BX 4662000S  24          1996</t>
        </is>
      </c>
      <c r="D1966" t="inlineStr">
        <is>
          <t>Saints : studies in hagiography / edited by Sandro Sticca.</t>
        </is>
      </c>
      <c r="F1966" t="inlineStr">
        <is>
          <t>No</t>
        </is>
      </c>
      <c r="G1966" t="inlineStr">
        <is>
          <t>1</t>
        </is>
      </c>
      <c r="H1966" t="inlineStr">
        <is>
          <t>No</t>
        </is>
      </c>
      <c r="I1966" t="inlineStr">
        <is>
          <t>No</t>
        </is>
      </c>
      <c r="J1966" t="inlineStr">
        <is>
          <t>0</t>
        </is>
      </c>
      <c r="L1966" t="inlineStr">
        <is>
          <t>Binghamton, N.Y. : Medieval &amp; Renaissance Texts &amp; Studies, 1996.</t>
        </is>
      </c>
      <c r="M1966" t="inlineStr">
        <is>
          <t>1996</t>
        </is>
      </c>
      <c r="O1966" t="inlineStr">
        <is>
          <t>eng</t>
        </is>
      </c>
      <c r="P1966" t="inlineStr">
        <is>
          <t>nyu</t>
        </is>
      </c>
      <c r="Q1966" t="inlineStr">
        <is>
          <t>Medieval &amp; Renaissance texts &amp; studies ; v. 141</t>
        </is>
      </c>
      <c r="R1966" t="inlineStr">
        <is>
          <t xml:space="preserve">BX </t>
        </is>
      </c>
      <c r="S1966" t="n">
        <v>5</v>
      </c>
      <c r="T1966" t="n">
        <v>5</v>
      </c>
      <c r="U1966" t="inlineStr">
        <is>
          <t>2010-09-07</t>
        </is>
      </c>
      <c r="V1966" t="inlineStr">
        <is>
          <t>2010-09-07</t>
        </is>
      </c>
      <c r="W1966" t="inlineStr">
        <is>
          <t>2000-03-09</t>
        </is>
      </c>
      <c r="X1966" t="inlineStr">
        <is>
          <t>2000-03-09</t>
        </is>
      </c>
      <c r="Y1966" t="n">
        <v>270</v>
      </c>
      <c r="Z1966" t="n">
        <v>208</v>
      </c>
      <c r="AA1966" t="n">
        <v>209</v>
      </c>
      <c r="AB1966" t="n">
        <v>1</v>
      </c>
      <c r="AC1966" t="n">
        <v>1</v>
      </c>
      <c r="AD1966" t="n">
        <v>14</v>
      </c>
      <c r="AE1966" t="n">
        <v>14</v>
      </c>
      <c r="AF1966" t="n">
        <v>5</v>
      </c>
      <c r="AG1966" t="n">
        <v>5</v>
      </c>
      <c r="AH1966" t="n">
        <v>5</v>
      </c>
      <c r="AI1966" t="n">
        <v>5</v>
      </c>
      <c r="AJ1966" t="n">
        <v>8</v>
      </c>
      <c r="AK1966" t="n">
        <v>8</v>
      </c>
      <c r="AL1966" t="n">
        <v>0</v>
      </c>
      <c r="AM1966" t="n">
        <v>0</v>
      </c>
      <c r="AN1966" t="n">
        <v>0</v>
      </c>
      <c r="AO1966" t="n">
        <v>0</v>
      </c>
      <c r="AP1966" t="inlineStr">
        <is>
          <t>No</t>
        </is>
      </c>
      <c r="AQ1966" t="inlineStr">
        <is>
          <t>Yes</t>
        </is>
      </c>
      <c r="AR1966">
        <f>HYPERLINK("http://catalog.hathitrust.org/Record/003105789","HathiTrust Record")</f>
        <v/>
      </c>
      <c r="AS1966">
        <f>HYPERLINK("https://creighton-primo.hosted.exlibrisgroup.com/primo-explore/search?tab=default_tab&amp;search_scope=EVERYTHING&amp;vid=01CRU&amp;lang=en_US&amp;offset=0&amp;query=any,contains,991002512919702656","Catalog Record")</f>
        <v/>
      </c>
      <c r="AT1966">
        <f>HYPERLINK("http://www.worldcat.org/oclc/32666180","WorldCat Record")</f>
        <v/>
      </c>
      <c r="AU1966" t="inlineStr">
        <is>
          <t>864135071:eng</t>
        </is>
      </c>
      <c r="AV1966" t="inlineStr">
        <is>
          <t>32666180</t>
        </is>
      </c>
      <c r="AW1966" t="inlineStr">
        <is>
          <t>991002512919702656</t>
        </is>
      </c>
      <c r="AX1966" t="inlineStr">
        <is>
          <t>991002512919702656</t>
        </is>
      </c>
      <c r="AY1966" t="inlineStr">
        <is>
          <t>2264924100002656</t>
        </is>
      </c>
      <c r="AZ1966" t="inlineStr">
        <is>
          <t>BOOK</t>
        </is>
      </c>
      <c r="BB1966" t="inlineStr">
        <is>
          <t>9780866981798</t>
        </is>
      </c>
      <c r="BC1966" t="inlineStr">
        <is>
          <t>32285003668190</t>
        </is>
      </c>
      <c r="BD1966" t="inlineStr">
        <is>
          <t>893591428</t>
        </is>
      </c>
    </row>
    <row r="1967">
      <c r="A1967" t="inlineStr">
        <is>
          <t>No</t>
        </is>
      </c>
      <c r="B1967" t="inlineStr">
        <is>
          <t>BX4662.J65 S3</t>
        </is>
      </c>
      <c r="C1967" t="inlineStr">
        <is>
          <t>0                      BX 4662000J  65                 S  3</t>
        </is>
      </c>
      <c r="D1967" t="inlineStr">
        <is>
          <t>Saints' lives and chronicles in early England : together with first English translations of The oldest life of Pope St. Gregory the Great by a monk of Whitby, and The life of St. Guthlac of Crowland by Felix / by Charles W. Jones.</t>
        </is>
      </c>
      <c r="F1967" t="inlineStr">
        <is>
          <t>No</t>
        </is>
      </c>
      <c r="G1967" t="inlineStr">
        <is>
          <t>1</t>
        </is>
      </c>
      <c r="H1967" t="inlineStr">
        <is>
          <t>No</t>
        </is>
      </c>
      <c r="I1967" t="inlineStr">
        <is>
          <t>No</t>
        </is>
      </c>
      <c r="J1967" t="inlineStr">
        <is>
          <t>0</t>
        </is>
      </c>
      <c r="K1967" t="inlineStr">
        <is>
          <t>Jones, Charles Williams, 1905-1989.</t>
        </is>
      </c>
      <c r="L1967" t="inlineStr">
        <is>
          <t>Ithaca : Cornell University Press, 1947.</t>
        </is>
      </c>
      <c r="M1967" t="inlineStr">
        <is>
          <t>1947</t>
        </is>
      </c>
      <c r="O1967" t="inlineStr">
        <is>
          <t>eng</t>
        </is>
      </c>
      <c r="P1967" t="inlineStr">
        <is>
          <t>___</t>
        </is>
      </c>
      <c r="Q1967" t="inlineStr">
        <is>
          <t>Romanesque literature ; v. 1</t>
        </is>
      </c>
      <c r="R1967" t="inlineStr">
        <is>
          <t xml:space="preserve">BX </t>
        </is>
      </c>
      <c r="S1967" t="n">
        <v>1</v>
      </c>
      <c r="T1967" t="n">
        <v>1</v>
      </c>
      <c r="U1967" t="inlineStr">
        <is>
          <t>2001-10-29</t>
        </is>
      </c>
      <c r="V1967" t="inlineStr">
        <is>
          <t>2001-10-29</t>
        </is>
      </c>
      <c r="W1967" t="inlineStr">
        <is>
          <t>1991-11-21</t>
        </is>
      </c>
      <c r="X1967" t="inlineStr">
        <is>
          <t>1991-11-21</t>
        </is>
      </c>
      <c r="Y1967" t="n">
        <v>348</v>
      </c>
      <c r="Z1967" t="n">
        <v>304</v>
      </c>
      <c r="AA1967" t="n">
        <v>456</v>
      </c>
      <c r="AB1967" t="n">
        <v>2</v>
      </c>
      <c r="AC1967" t="n">
        <v>3</v>
      </c>
      <c r="AD1967" t="n">
        <v>24</v>
      </c>
      <c r="AE1967" t="n">
        <v>28</v>
      </c>
      <c r="AF1967" t="n">
        <v>8</v>
      </c>
      <c r="AG1967" t="n">
        <v>8</v>
      </c>
      <c r="AH1967" t="n">
        <v>8</v>
      </c>
      <c r="AI1967" t="n">
        <v>9</v>
      </c>
      <c r="AJ1967" t="n">
        <v>13</v>
      </c>
      <c r="AK1967" t="n">
        <v>16</v>
      </c>
      <c r="AL1967" t="n">
        <v>1</v>
      </c>
      <c r="AM1967" t="n">
        <v>2</v>
      </c>
      <c r="AN1967" t="n">
        <v>1</v>
      </c>
      <c r="AO1967" t="n">
        <v>1</v>
      </c>
      <c r="AP1967" t="inlineStr">
        <is>
          <t>No</t>
        </is>
      </c>
      <c r="AQ1967" t="inlineStr">
        <is>
          <t>Yes</t>
        </is>
      </c>
      <c r="AR1967">
        <f>HYPERLINK("http://catalog.hathitrust.org/Record/001591488","HathiTrust Record")</f>
        <v/>
      </c>
      <c r="AS1967">
        <f>HYPERLINK("https://creighton-primo.hosted.exlibrisgroup.com/primo-explore/search?tab=default_tab&amp;search_scope=EVERYTHING&amp;vid=01CRU&amp;lang=en_US&amp;offset=0&amp;query=any,contains,991003811589702656","Catalog Record")</f>
        <v/>
      </c>
      <c r="AT1967">
        <f>HYPERLINK("http://www.worldcat.org/oclc/1540058","WorldCat Record")</f>
        <v/>
      </c>
      <c r="AU1967" t="inlineStr">
        <is>
          <t>10252669099:eng</t>
        </is>
      </c>
      <c r="AV1967" t="inlineStr">
        <is>
          <t>1540058</t>
        </is>
      </c>
      <c r="AW1967" t="inlineStr">
        <is>
          <t>991003811589702656</t>
        </is>
      </c>
      <c r="AX1967" t="inlineStr">
        <is>
          <t>991003811589702656</t>
        </is>
      </c>
      <c r="AY1967" t="inlineStr">
        <is>
          <t>2264333150002656</t>
        </is>
      </c>
      <c r="AZ1967" t="inlineStr">
        <is>
          <t>BOOK</t>
        </is>
      </c>
      <c r="BC1967" t="inlineStr">
        <is>
          <t>32285000855261</t>
        </is>
      </c>
      <c r="BD1967" t="inlineStr">
        <is>
          <t>893868904</t>
        </is>
      </c>
    </row>
    <row r="1968">
      <c r="A1968" t="inlineStr">
        <is>
          <t>No</t>
        </is>
      </c>
      <c r="B1968" t="inlineStr">
        <is>
          <t>BX4666 .E5 1983</t>
        </is>
      </c>
      <c r="C1968" t="inlineStr">
        <is>
          <t>0                      BX 4666000E  5           1983</t>
        </is>
      </c>
      <c r="D1968" t="inlineStr">
        <is>
          <t>Catholic bishops : a memoir / by John Tracy Ellis.</t>
        </is>
      </c>
      <c r="F1968" t="inlineStr">
        <is>
          <t>No</t>
        </is>
      </c>
      <c r="G1968" t="inlineStr">
        <is>
          <t>1</t>
        </is>
      </c>
      <c r="H1968" t="inlineStr">
        <is>
          <t>No</t>
        </is>
      </c>
      <c r="I1968" t="inlineStr">
        <is>
          <t>No</t>
        </is>
      </c>
      <c r="J1968" t="inlineStr">
        <is>
          <t>0</t>
        </is>
      </c>
      <c r="K1968" t="inlineStr">
        <is>
          <t>Ellis, John Tracy, 1905-1992.</t>
        </is>
      </c>
      <c r="L1968" t="inlineStr">
        <is>
          <t>Wilmington, Delaware : Glazier, 1983.</t>
        </is>
      </c>
      <c r="M1968" t="inlineStr">
        <is>
          <t>1983</t>
        </is>
      </c>
      <c r="O1968" t="inlineStr">
        <is>
          <t>eng</t>
        </is>
      </c>
      <c r="P1968" t="inlineStr">
        <is>
          <t>deu</t>
        </is>
      </c>
      <c r="R1968" t="inlineStr">
        <is>
          <t xml:space="preserve">BX </t>
        </is>
      </c>
      <c r="S1968" t="n">
        <v>2</v>
      </c>
      <c r="T1968" t="n">
        <v>2</v>
      </c>
      <c r="U1968" t="inlineStr">
        <is>
          <t>1993-09-01</t>
        </is>
      </c>
      <c r="V1968" t="inlineStr">
        <is>
          <t>1993-09-01</t>
        </is>
      </c>
      <c r="W1968" t="inlineStr">
        <is>
          <t>1991-11-21</t>
        </is>
      </c>
      <c r="X1968" t="inlineStr">
        <is>
          <t>1991-11-21</t>
        </is>
      </c>
      <c r="Y1968" t="n">
        <v>152</v>
      </c>
      <c r="Z1968" t="n">
        <v>143</v>
      </c>
      <c r="AA1968" t="n">
        <v>223</v>
      </c>
      <c r="AB1968" t="n">
        <v>2</v>
      </c>
      <c r="AC1968" t="n">
        <v>4</v>
      </c>
      <c r="AD1968" t="n">
        <v>22</v>
      </c>
      <c r="AE1968" t="n">
        <v>32</v>
      </c>
      <c r="AF1968" t="n">
        <v>6</v>
      </c>
      <c r="AG1968" t="n">
        <v>12</v>
      </c>
      <c r="AH1968" t="n">
        <v>6</v>
      </c>
      <c r="AI1968" t="n">
        <v>8</v>
      </c>
      <c r="AJ1968" t="n">
        <v>15</v>
      </c>
      <c r="AK1968" t="n">
        <v>20</v>
      </c>
      <c r="AL1968" t="n">
        <v>0</v>
      </c>
      <c r="AM1968" t="n">
        <v>1</v>
      </c>
      <c r="AN1968" t="n">
        <v>0</v>
      </c>
      <c r="AO1968" t="n">
        <v>0</v>
      </c>
      <c r="AP1968" t="inlineStr">
        <is>
          <t>No</t>
        </is>
      </c>
      <c r="AQ1968" t="inlineStr">
        <is>
          <t>Yes</t>
        </is>
      </c>
      <c r="AR1968">
        <f>HYPERLINK("http://catalog.hathitrust.org/Record/000328841","HathiTrust Record")</f>
        <v/>
      </c>
      <c r="AS1968">
        <f>HYPERLINK("https://creighton-primo.hosted.exlibrisgroup.com/primo-explore/search?tab=default_tab&amp;search_scope=EVERYTHING&amp;vid=01CRU&amp;lang=en_US&amp;offset=0&amp;query=any,contains,991000351629702656","Catalog Record")</f>
        <v/>
      </c>
      <c r="AT1968">
        <f>HYPERLINK("http://www.worldcat.org/oclc/10305447","WorldCat Record")</f>
        <v/>
      </c>
      <c r="AU1968" t="inlineStr">
        <is>
          <t>428979695:eng</t>
        </is>
      </c>
      <c r="AV1968" t="inlineStr">
        <is>
          <t>10305447</t>
        </is>
      </c>
      <c r="AW1968" t="inlineStr">
        <is>
          <t>991000351629702656</t>
        </is>
      </c>
      <c r="AX1968" t="inlineStr">
        <is>
          <t>991000351629702656</t>
        </is>
      </c>
      <c r="AY1968" t="inlineStr">
        <is>
          <t>2262586160002656</t>
        </is>
      </c>
      <c r="AZ1968" t="inlineStr">
        <is>
          <t>BOOK</t>
        </is>
      </c>
      <c r="BB1968" t="inlineStr">
        <is>
          <t>9780894533716</t>
        </is>
      </c>
      <c r="BC1968" t="inlineStr">
        <is>
          <t>32285000855345</t>
        </is>
      </c>
      <c r="BD1968" t="inlineStr">
        <is>
          <t>893243168</t>
        </is>
      </c>
    </row>
    <row r="1969">
      <c r="A1969" t="inlineStr">
        <is>
          <t>No</t>
        </is>
      </c>
      <c r="B1969" t="inlineStr">
        <is>
          <t>BX4667 .H8</t>
        </is>
      </c>
      <c r="C1969" t="inlineStr">
        <is>
          <t>0                      BX 4667000H  8</t>
        </is>
      </c>
      <c r="D1969" t="inlineStr">
        <is>
          <t>Heroines of Christ, edited by Joseph Husslein.</t>
        </is>
      </c>
      <c r="F1969" t="inlineStr">
        <is>
          <t>No</t>
        </is>
      </c>
      <c r="G1969" t="inlineStr">
        <is>
          <t>1</t>
        </is>
      </c>
      <c r="H1969" t="inlineStr">
        <is>
          <t>No</t>
        </is>
      </c>
      <c r="I1969" t="inlineStr">
        <is>
          <t>No</t>
        </is>
      </c>
      <c r="J1969" t="inlineStr">
        <is>
          <t>0</t>
        </is>
      </c>
      <c r="K1969" t="inlineStr">
        <is>
          <t>Husslein, Joseph, 1873-1952, editor.</t>
        </is>
      </c>
      <c r="L1969" t="inlineStr">
        <is>
          <t>Milwaukee, The Bruce Publishing Co. [1939]</t>
        </is>
      </c>
      <c r="M1969" t="inlineStr">
        <is>
          <t>1939</t>
        </is>
      </c>
      <c r="O1969" t="inlineStr">
        <is>
          <t>eng</t>
        </is>
      </c>
      <c r="P1969" t="inlineStr">
        <is>
          <t>wiu</t>
        </is>
      </c>
      <c r="Q1969" t="inlineStr">
        <is>
          <t>Science and culture series; Joseph Husslein ... general editor</t>
        </is>
      </c>
      <c r="R1969" t="inlineStr">
        <is>
          <t xml:space="preserve">BX </t>
        </is>
      </c>
      <c r="S1969" t="n">
        <v>7</v>
      </c>
      <c r="T1969" t="n">
        <v>7</v>
      </c>
      <c r="U1969" t="inlineStr">
        <is>
          <t>2003-07-21</t>
        </is>
      </c>
      <c r="V1969" t="inlineStr">
        <is>
          <t>2003-07-21</t>
        </is>
      </c>
      <c r="W1969" t="inlineStr">
        <is>
          <t>1992-09-03</t>
        </is>
      </c>
      <c r="X1969" t="inlineStr">
        <is>
          <t>1992-09-03</t>
        </is>
      </c>
      <c r="Y1969" t="n">
        <v>90</v>
      </c>
      <c r="Z1969" t="n">
        <v>87</v>
      </c>
      <c r="AA1969" t="n">
        <v>87</v>
      </c>
      <c r="AB1969" t="n">
        <v>3</v>
      </c>
      <c r="AC1969" t="n">
        <v>3</v>
      </c>
      <c r="AD1969" t="n">
        <v>12</v>
      </c>
      <c r="AE1969" t="n">
        <v>12</v>
      </c>
      <c r="AF1969" t="n">
        <v>1</v>
      </c>
      <c r="AG1969" t="n">
        <v>1</v>
      </c>
      <c r="AH1969" t="n">
        <v>3</v>
      </c>
      <c r="AI1969" t="n">
        <v>3</v>
      </c>
      <c r="AJ1969" t="n">
        <v>9</v>
      </c>
      <c r="AK1969" t="n">
        <v>9</v>
      </c>
      <c r="AL1969" t="n">
        <v>1</v>
      </c>
      <c r="AM1969" t="n">
        <v>1</v>
      </c>
      <c r="AN1969" t="n">
        <v>0</v>
      </c>
      <c r="AO1969" t="n">
        <v>0</v>
      </c>
      <c r="AP1969" t="inlineStr">
        <is>
          <t>No</t>
        </is>
      </c>
      <c r="AQ1969" t="inlineStr">
        <is>
          <t>No</t>
        </is>
      </c>
      <c r="AS1969">
        <f>HYPERLINK("https://creighton-primo.hosted.exlibrisgroup.com/primo-explore/search?tab=default_tab&amp;search_scope=EVERYTHING&amp;vid=01CRU&amp;lang=en_US&amp;offset=0&amp;query=any,contains,991004266019702656","Catalog Record")</f>
        <v/>
      </c>
      <c r="AT1969">
        <f>HYPERLINK("http://www.worldcat.org/oclc/3523290","WorldCat Record")</f>
        <v/>
      </c>
      <c r="AU1969" t="inlineStr">
        <is>
          <t>10869072:eng</t>
        </is>
      </c>
      <c r="AV1969" t="inlineStr">
        <is>
          <t>3523290</t>
        </is>
      </c>
      <c r="AW1969" t="inlineStr">
        <is>
          <t>991004266019702656</t>
        </is>
      </c>
      <c r="AX1969" t="inlineStr">
        <is>
          <t>991004266019702656</t>
        </is>
      </c>
      <c r="AY1969" t="inlineStr">
        <is>
          <t>2264009820002656</t>
        </is>
      </c>
      <c r="AZ1969" t="inlineStr">
        <is>
          <t>BOOK</t>
        </is>
      </c>
      <c r="BC1969" t="inlineStr">
        <is>
          <t>32285001295343</t>
        </is>
      </c>
      <c r="BD1969" t="inlineStr">
        <is>
          <t>893861593</t>
        </is>
      </c>
    </row>
    <row r="1970">
      <c r="A1970" t="inlineStr">
        <is>
          <t>No</t>
        </is>
      </c>
      <c r="B1970" t="inlineStr">
        <is>
          <t>BX4668 .A8</t>
        </is>
      </c>
      <c r="C1970" t="inlineStr">
        <is>
          <t>0                      BX 4668000A  8</t>
        </is>
      </c>
      <c r="D1970" t="inlineStr">
        <is>
          <t>My Catholic neighbors / by Sam. Atkinson.</t>
        </is>
      </c>
      <c r="F1970" t="inlineStr">
        <is>
          <t>No</t>
        </is>
      </c>
      <c r="G1970" t="inlineStr">
        <is>
          <t>1</t>
        </is>
      </c>
      <c r="H1970" t="inlineStr">
        <is>
          <t>No</t>
        </is>
      </c>
      <c r="I1970" t="inlineStr">
        <is>
          <t>No</t>
        </is>
      </c>
      <c r="J1970" t="inlineStr">
        <is>
          <t>0</t>
        </is>
      </c>
      <c r="K1970" t="inlineStr">
        <is>
          <t>Atkinson, Samuel.</t>
        </is>
      </c>
      <c r="L1970" t="inlineStr">
        <is>
          <t>New York : The Devin-Adair co., [1939]</t>
        </is>
      </c>
      <c r="M1970" t="inlineStr">
        <is>
          <t>1939</t>
        </is>
      </c>
      <c r="O1970" t="inlineStr">
        <is>
          <t>eng</t>
        </is>
      </c>
      <c r="P1970" t="inlineStr">
        <is>
          <t>nyu</t>
        </is>
      </c>
      <c r="R1970" t="inlineStr">
        <is>
          <t xml:space="preserve">BX </t>
        </is>
      </c>
      <c r="S1970" t="n">
        <v>1</v>
      </c>
      <c r="T1970" t="n">
        <v>1</v>
      </c>
      <c r="U1970" t="inlineStr">
        <is>
          <t>1995-03-26</t>
        </is>
      </c>
      <c r="V1970" t="inlineStr">
        <is>
          <t>1995-03-26</t>
        </is>
      </c>
      <c r="W1970" t="inlineStr">
        <is>
          <t>1991-11-21</t>
        </is>
      </c>
      <c r="X1970" t="inlineStr">
        <is>
          <t>1991-11-21</t>
        </is>
      </c>
      <c r="Y1970" t="n">
        <v>40</v>
      </c>
      <c r="Z1970" t="n">
        <v>38</v>
      </c>
      <c r="AA1970" t="n">
        <v>50</v>
      </c>
      <c r="AB1970" t="n">
        <v>1</v>
      </c>
      <c r="AC1970" t="n">
        <v>1</v>
      </c>
      <c r="AD1970" t="n">
        <v>11</v>
      </c>
      <c r="AE1970" t="n">
        <v>13</v>
      </c>
      <c r="AF1970" t="n">
        <v>0</v>
      </c>
      <c r="AG1970" t="n">
        <v>0</v>
      </c>
      <c r="AH1970" t="n">
        <v>4</v>
      </c>
      <c r="AI1970" t="n">
        <v>5</v>
      </c>
      <c r="AJ1970" t="n">
        <v>9</v>
      </c>
      <c r="AK1970" t="n">
        <v>10</v>
      </c>
      <c r="AL1970" t="n">
        <v>0</v>
      </c>
      <c r="AM1970" t="n">
        <v>0</v>
      </c>
      <c r="AN1970" t="n">
        <v>0</v>
      </c>
      <c r="AO1970" t="n">
        <v>0</v>
      </c>
      <c r="AP1970" t="inlineStr">
        <is>
          <t>No</t>
        </is>
      </c>
      <c r="AQ1970" t="inlineStr">
        <is>
          <t>No</t>
        </is>
      </c>
      <c r="AS1970">
        <f>HYPERLINK("https://creighton-primo.hosted.exlibrisgroup.com/primo-explore/search?tab=default_tab&amp;search_scope=EVERYTHING&amp;vid=01CRU&amp;lang=en_US&amp;offset=0&amp;query=any,contains,991005030559702656","Catalog Record")</f>
        <v/>
      </c>
      <c r="AT1970">
        <f>HYPERLINK("http://www.worldcat.org/oclc/6712045","WorldCat Record")</f>
        <v/>
      </c>
      <c r="AU1970" t="inlineStr">
        <is>
          <t>11349152:eng</t>
        </is>
      </c>
      <c r="AV1970" t="inlineStr">
        <is>
          <t>6712045</t>
        </is>
      </c>
      <c r="AW1970" t="inlineStr">
        <is>
          <t>991005030559702656</t>
        </is>
      </c>
      <c r="AX1970" t="inlineStr">
        <is>
          <t>991005030559702656</t>
        </is>
      </c>
      <c r="AY1970" t="inlineStr">
        <is>
          <t>2263551540002656</t>
        </is>
      </c>
      <c r="AZ1970" t="inlineStr">
        <is>
          <t>BOOK</t>
        </is>
      </c>
      <c r="BC1970" t="inlineStr">
        <is>
          <t>32285000855402</t>
        </is>
      </c>
      <c r="BD1970" t="inlineStr">
        <is>
          <t>893613024</t>
        </is>
      </c>
    </row>
    <row r="1971">
      <c r="A1971" t="inlineStr">
        <is>
          <t>No</t>
        </is>
      </c>
      <c r="B1971" t="inlineStr">
        <is>
          <t>BX4668 .B67</t>
        </is>
      </c>
      <c r="C1971" t="inlineStr">
        <is>
          <t>0                      BX 4668000B  67</t>
        </is>
      </c>
      <c r="D1971" t="inlineStr">
        <is>
          <t>The spirit and forms of Protestantism / by Louis Bouyer. Translated by A.V. Littledale.</t>
        </is>
      </c>
      <c r="F1971" t="inlineStr">
        <is>
          <t>No</t>
        </is>
      </c>
      <c r="G1971" t="inlineStr">
        <is>
          <t>1</t>
        </is>
      </c>
      <c r="H1971" t="inlineStr">
        <is>
          <t>No</t>
        </is>
      </c>
      <c r="I1971" t="inlineStr">
        <is>
          <t>Yes</t>
        </is>
      </c>
      <c r="J1971" t="inlineStr">
        <is>
          <t>0</t>
        </is>
      </c>
      <c r="K1971" t="inlineStr">
        <is>
          <t>Bouyer, Louis, 1913-2004.</t>
        </is>
      </c>
      <c r="L1971" t="inlineStr">
        <is>
          <t>Westminster, Md. : Newman Press, 1956.</t>
        </is>
      </c>
      <c r="M1971" t="inlineStr">
        <is>
          <t>1956</t>
        </is>
      </c>
      <c r="O1971" t="inlineStr">
        <is>
          <t>eng</t>
        </is>
      </c>
      <c r="P1971" t="inlineStr">
        <is>
          <t>___</t>
        </is>
      </c>
      <c r="R1971" t="inlineStr">
        <is>
          <t xml:space="preserve">BX </t>
        </is>
      </c>
      <c r="S1971" t="n">
        <v>1</v>
      </c>
      <c r="T1971" t="n">
        <v>1</v>
      </c>
      <c r="U1971" t="inlineStr">
        <is>
          <t>1994-02-19</t>
        </is>
      </c>
      <c r="V1971" t="inlineStr">
        <is>
          <t>1994-02-19</t>
        </is>
      </c>
      <c r="W1971" t="inlineStr">
        <is>
          <t>1991-11-21</t>
        </is>
      </c>
      <c r="X1971" t="inlineStr">
        <is>
          <t>1991-11-21</t>
        </is>
      </c>
      <c r="Y1971" t="n">
        <v>332</v>
      </c>
      <c r="Z1971" t="n">
        <v>307</v>
      </c>
      <c r="AA1971" t="n">
        <v>552</v>
      </c>
      <c r="AB1971" t="n">
        <v>4</v>
      </c>
      <c r="AC1971" t="n">
        <v>4</v>
      </c>
      <c r="AD1971" t="n">
        <v>30</v>
      </c>
      <c r="AE1971" t="n">
        <v>42</v>
      </c>
      <c r="AF1971" t="n">
        <v>12</v>
      </c>
      <c r="AG1971" t="n">
        <v>20</v>
      </c>
      <c r="AH1971" t="n">
        <v>6</v>
      </c>
      <c r="AI1971" t="n">
        <v>8</v>
      </c>
      <c r="AJ1971" t="n">
        <v>20</v>
      </c>
      <c r="AK1971" t="n">
        <v>25</v>
      </c>
      <c r="AL1971" t="n">
        <v>1</v>
      </c>
      <c r="AM1971" t="n">
        <v>1</v>
      </c>
      <c r="AN1971" t="n">
        <v>0</v>
      </c>
      <c r="AO1971" t="n">
        <v>0</v>
      </c>
      <c r="AP1971" t="inlineStr">
        <is>
          <t>No</t>
        </is>
      </c>
      <c r="AQ1971" t="inlineStr">
        <is>
          <t>No</t>
        </is>
      </c>
      <c r="AR1971">
        <f>HYPERLINK("http://catalog.hathitrust.org/Record/001602936","HathiTrust Record")</f>
        <v/>
      </c>
      <c r="AS1971">
        <f>HYPERLINK("https://creighton-primo.hosted.exlibrisgroup.com/primo-explore/search?tab=default_tab&amp;search_scope=EVERYTHING&amp;vid=01CRU&amp;lang=en_US&amp;offset=0&amp;query=any,contains,991003751279702656","Catalog Record")</f>
        <v/>
      </c>
      <c r="AT1971">
        <f>HYPERLINK("http://www.worldcat.org/oclc/1428236","WorldCat Record")</f>
        <v/>
      </c>
      <c r="AU1971" t="inlineStr">
        <is>
          <t>2979243456:eng</t>
        </is>
      </c>
      <c r="AV1971" t="inlineStr">
        <is>
          <t>1428236</t>
        </is>
      </c>
      <c r="AW1971" t="inlineStr">
        <is>
          <t>991003751279702656</t>
        </is>
      </c>
      <c r="AX1971" t="inlineStr">
        <is>
          <t>991003751279702656</t>
        </is>
      </c>
      <c r="AY1971" t="inlineStr">
        <is>
          <t>2265656290002656</t>
        </is>
      </c>
      <c r="AZ1971" t="inlineStr">
        <is>
          <t>BOOK</t>
        </is>
      </c>
      <c r="BC1971" t="inlineStr">
        <is>
          <t>32285000855444</t>
        </is>
      </c>
      <c r="BD1971" t="inlineStr">
        <is>
          <t>893531551</t>
        </is>
      </c>
    </row>
    <row r="1972">
      <c r="A1972" t="inlineStr">
        <is>
          <t>No</t>
        </is>
      </c>
      <c r="B1972" t="inlineStr">
        <is>
          <t>BX4668 .B67 1964</t>
        </is>
      </c>
      <c r="C1972" t="inlineStr">
        <is>
          <t>0                      BX 4668000B  67          1964</t>
        </is>
      </c>
      <c r="D1972" t="inlineStr">
        <is>
          <t>The spirit and forms of Protestantism / by Louis Bouyer. Translated by A. V. Littledale.</t>
        </is>
      </c>
      <c r="F1972" t="inlineStr">
        <is>
          <t>No</t>
        </is>
      </c>
      <c r="G1972" t="inlineStr">
        <is>
          <t>1</t>
        </is>
      </c>
      <c r="H1972" t="inlineStr">
        <is>
          <t>No</t>
        </is>
      </c>
      <c r="I1972" t="inlineStr">
        <is>
          <t>Yes</t>
        </is>
      </c>
      <c r="J1972" t="inlineStr">
        <is>
          <t>0</t>
        </is>
      </c>
      <c r="K1972" t="inlineStr">
        <is>
          <t>Bouyer, Louis, 1913-2004.</t>
        </is>
      </c>
      <c r="L1972" t="inlineStr">
        <is>
          <t>Cleveland : Meridian Books ; World Pub. Co., [1964]</t>
        </is>
      </c>
      <c r="M1972" t="inlineStr">
        <is>
          <t>1964</t>
        </is>
      </c>
      <c r="O1972" t="inlineStr">
        <is>
          <t>eng</t>
        </is>
      </c>
      <c r="P1972" t="inlineStr">
        <is>
          <t>___</t>
        </is>
      </c>
      <c r="Q1972" t="inlineStr">
        <is>
          <t>Meridian books</t>
        </is>
      </c>
      <c r="R1972" t="inlineStr">
        <is>
          <t xml:space="preserve">BX </t>
        </is>
      </c>
      <c r="S1972" t="n">
        <v>8</v>
      </c>
      <c r="T1972" t="n">
        <v>8</v>
      </c>
      <c r="U1972" t="inlineStr">
        <is>
          <t>2008-12-02</t>
        </is>
      </c>
      <c r="V1972" t="inlineStr">
        <is>
          <t>2008-12-02</t>
        </is>
      </c>
      <c r="W1972" t="inlineStr">
        <is>
          <t>1991-11-21</t>
        </is>
      </c>
      <c r="X1972" t="inlineStr">
        <is>
          <t>1991-11-21</t>
        </is>
      </c>
      <c r="Y1972" t="n">
        <v>98</v>
      </c>
      <c r="Z1972" t="n">
        <v>90</v>
      </c>
      <c r="AA1972" t="n">
        <v>552</v>
      </c>
      <c r="AB1972" t="n">
        <v>1</v>
      </c>
      <c r="AC1972" t="n">
        <v>4</v>
      </c>
      <c r="AD1972" t="n">
        <v>11</v>
      </c>
      <c r="AE1972" t="n">
        <v>42</v>
      </c>
      <c r="AF1972" t="n">
        <v>4</v>
      </c>
      <c r="AG1972" t="n">
        <v>20</v>
      </c>
      <c r="AH1972" t="n">
        <v>2</v>
      </c>
      <c r="AI1972" t="n">
        <v>8</v>
      </c>
      <c r="AJ1972" t="n">
        <v>7</v>
      </c>
      <c r="AK1972" t="n">
        <v>25</v>
      </c>
      <c r="AL1972" t="n">
        <v>0</v>
      </c>
      <c r="AM1972" t="n">
        <v>1</v>
      </c>
      <c r="AN1972" t="n">
        <v>0</v>
      </c>
      <c r="AO1972" t="n">
        <v>0</v>
      </c>
      <c r="AP1972" t="inlineStr">
        <is>
          <t>No</t>
        </is>
      </c>
      <c r="AQ1972" t="inlineStr">
        <is>
          <t>No</t>
        </is>
      </c>
      <c r="AS1972">
        <f>HYPERLINK("https://creighton-primo.hosted.exlibrisgroup.com/primo-explore/search?tab=default_tab&amp;search_scope=EVERYTHING&amp;vid=01CRU&amp;lang=en_US&amp;offset=0&amp;query=any,contains,991003640079702656","Catalog Record")</f>
        <v/>
      </c>
      <c r="AT1972">
        <f>HYPERLINK("http://www.worldcat.org/oclc/1236656","WorldCat Record")</f>
        <v/>
      </c>
      <c r="AU1972" t="inlineStr">
        <is>
          <t>2979243456:eng</t>
        </is>
      </c>
      <c r="AV1972" t="inlineStr">
        <is>
          <t>1236656</t>
        </is>
      </c>
      <c r="AW1972" t="inlineStr">
        <is>
          <t>991003640079702656</t>
        </is>
      </c>
      <c r="AX1972" t="inlineStr">
        <is>
          <t>991003640079702656</t>
        </is>
      </c>
      <c r="AY1972" t="inlineStr">
        <is>
          <t>2265727300002656</t>
        </is>
      </c>
      <c r="AZ1972" t="inlineStr">
        <is>
          <t>BOOK</t>
        </is>
      </c>
      <c r="BC1972" t="inlineStr">
        <is>
          <t>32285000855451</t>
        </is>
      </c>
      <c r="BD1972" t="inlineStr">
        <is>
          <t>893228262</t>
        </is>
      </c>
    </row>
    <row r="1973">
      <c r="A1973" t="inlineStr">
        <is>
          <t>No</t>
        </is>
      </c>
      <c r="B1973" t="inlineStr">
        <is>
          <t>BX4668 .C93</t>
        </is>
      </c>
      <c r="C1973" t="inlineStr">
        <is>
          <t>0                      BX 4668000C  93</t>
        </is>
      </c>
      <c r="D1973" t="inlineStr">
        <is>
          <t>Some roads to Rome in America : being personal records of conversions to the Catholic church / edited by Georgina Pell Curtis ...</t>
        </is>
      </c>
      <c r="F1973" t="inlineStr">
        <is>
          <t>No</t>
        </is>
      </c>
      <c r="G1973" t="inlineStr">
        <is>
          <t>1</t>
        </is>
      </c>
      <c r="H1973" t="inlineStr">
        <is>
          <t>No</t>
        </is>
      </c>
      <c r="I1973" t="inlineStr">
        <is>
          <t>No</t>
        </is>
      </c>
      <c r="J1973" t="inlineStr">
        <is>
          <t>0</t>
        </is>
      </c>
      <c r="K1973" t="inlineStr">
        <is>
          <t>Curtis, Georgina Pell, 1859-1922, editor.</t>
        </is>
      </c>
      <c r="L1973" t="inlineStr">
        <is>
          <t>St. Louis, Mo. : Freiburg (Baden) ; B. Herder, 1909.</t>
        </is>
      </c>
      <c r="M1973" t="inlineStr">
        <is>
          <t>1910</t>
        </is>
      </c>
      <c r="O1973" t="inlineStr">
        <is>
          <t>eng</t>
        </is>
      </c>
      <c r="P1973" t="inlineStr">
        <is>
          <t>mou</t>
        </is>
      </c>
      <c r="R1973" t="inlineStr">
        <is>
          <t xml:space="preserve">BX </t>
        </is>
      </c>
      <c r="S1973" t="n">
        <v>3</v>
      </c>
      <c r="T1973" t="n">
        <v>3</v>
      </c>
      <c r="U1973" t="inlineStr">
        <is>
          <t>1998-01-02</t>
        </is>
      </c>
      <c r="V1973" t="inlineStr">
        <is>
          <t>1998-01-02</t>
        </is>
      </c>
      <c r="W1973" t="inlineStr">
        <is>
          <t>1990-06-15</t>
        </is>
      </c>
      <c r="X1973" t="inlineStr">
        <is>
          <t>1990-06-15</t>
        </is>
      </c>
      <c r="Y1973" t="n">
        <v>86</v>
      </c>
      <c r="Z1973" t="n">
        <v>75</v>
      </c>
      <c r="AA1973" t="n">
        <v>92</v>
      </c>
      <c r="AB1973" t="n">
        <v>1</v>
      </c>
      <c r="AC1973" t="n">
        <v>1</v>
      </c>
      <c r="AD1973" t="n">
        <v>17</v>
      </c>
      <c r="AE1973" t="n">
        <v>18</v>
      </c>
      <c r="AF1973" t="n">
        <v>3</v>
      </c>
      <c r="AG1973" t="n">
        <v>3</v>
      </c>
      <c r="AH1973" t="n">
        <v>5</v>
      </c>
      <c r="AI1973" t="n">
        <v>6</v>
      </c>
      <c r="AJ1973" t="n">
        <v>14</v>
      </c>
      <c r="AK1973" t="n">
        <v>14</v>
      </c>
      <c r="AL1973" t="n">
        <v>0</v>
      </c>
      <c r="AM1973" t="n">
        <v>0</v>
      </c>
      <c r="AN1973" t="n">
        <v>0</v>
      </c>
      <c r="AO1973" t="n">
        <v>0</v>
      </c>
      <c r="AP1973" t="inlineStr">
        <is>
          <t>Yes</t>
        </is>
      </c>
      <c r="AQ1973" t="inlineStr">
        <is>
          <t>No</t>
        </is>
      </c>
      <c r="AR1973">
        <f>HYPERLINK("http://catalog.hathitrust.org/Record/011212525","HathiTrust Record")</f>
        <v/>
      </c>
      <c r="AS1973">
        <f>HYPERLINK("https://creighton-primo.hosted.exlibrisgroup.com/primo-explore/search?tab=default_tab&amp;search_scope=EVERYTHING&amp;vid=01CRU&amp;lang=en_US&amp;offset=0&amp;query=any,contains,991004348659702656","Catalog Record")</f>
        <v/>
      </c>
      <c r="AT1973">
        <f>HYPERLINK("http://www.worldcat.org/oclc/3109201","WorldCat Record")</f>
        <v/>
      </c>
      <c r="AU1973" t="inlineStr">
        <is>
          <t>423921153:eng</t>
        </is>
      </c>
      <c r="AV1973" t="inlineStr">
        <is>
          <t>3109201</t>
        </is>
      </c>
      <c r="AW1973" t="inlineStr">
        <is>
          <t>991004348659702656</t>
        </is>
      </c>
      <c r="AX1973" t="inlineStr">
        <is>
          <t>991004348659702656</t>
        </is>
      </c>
      <c r="AY1973" t="inlineStr">
        <is>
          <t>2269267470002656</t>
        </is>
      </c>
      <c r="AZ1973" t="inlineStr">
        <is>
          <t>BOOK</t>
        </is>
      </c>
      <c r="BC1973" t="inlineStr">
        <is>
          <t>32285000197078</t>
        </is>
      </c>
      <c r="BD1973" t="inlineStr">
        <is>
          <t>893722382</t>
        </is>
      </c>
    </row>
    <row r="1974">
      <c r="A1974" t="inlineStr">
        <is>
          <t>No</t>
        </is>
      </c>
      <c r="B1974" t="inlineStr">
        <is>
          <t>BX4668 .D7</t>
        </is>
      </c>
      <c r="C1974" t="inlineStr">
        <is>
          <t>0                      BX 4668000D  7</t>
        </is>
      </c>
      <c r="D1974" t="inlineStr">
        <is>
          <t>Literary convert women / by Annette S. Driscoll. With a preface by Hugh F. Blunt.</t>
        </is>
      </c>
      <c r="F1974" t="inlineStr">
        <is>
          <t>No</t>
        </is>
      </c>
      <c r="G1974" t="inlineStr">
        <is>
          <t>1</t>
        </is>
      </c>
      <c r="H1974" t="inlineStr">
        <is>
          <t>No</t>
        </is>
      </c>
      <c r="I1974" t="inlineStr">
        <is>
          <t>No</t>
        </is>
      </c>
      <c r="J1974" t="inlineStr">
        <is>
          <t>0</t>
        </is>
      </c>
      <c r="K1974" t="inlineStr">
        <is>
          <t>Driscoll, Annette Sophia Hoogs, 1857-</t>
        </is>
      </c>
      <c r="L1974" t="inlineStr">
        <is>
          <t>Manchester, N.H. : Magnificat Press, 1928.</t>
        </is>
      </c>
      <c r="M1974" t="inlineStr">
        <is>
          <t>1928</t>
        </is>
      </c>
      <c r="O1974" t="inlineStr">
        <is>
          <t>eng</t>
        </is>
      </c>
      <c r="P1974" t="inlineStr">
        <is>
          <t>___</t>
        </is>
      </c>
      <c r="R1974" t="inlineStr">
        <is>
          <t xml:space="preserve">BX </t>
        </is>
      </c>
      <c r="S1974" t="n">
        <v>1</v>
      </c>
      <c r="T1974" t="n">
        <v>1</v>
      </c>
      <c r="U1974" t="inlineStr">
        <is>
          <t>2010-02-24</t>
        </is>
      </c>
      <c r="V1974" t="inlineStr">
        <is>
          <t>2010-02-24</t>
        </is>
      </c>
      <c r="W1974" t="inlineStr">
        <is>
          <t>1991-11-21</t>
        </is>
      </c>
      <c r="X1974" t="inlineStr">
        <is>
          <t>1991-11-21</t>
        </is>
      </c>
      <c r="Y1974" t="n">
        <v>40</v>
      </c>
      <c r="Z1974" t="n">
        <v>35</v>
      </c>
      <c r="AA1974" t="n">
        <v>35</v>
      </c>
      <c r="AB1974" t="n">
        <v>1</v>
      </c>
      <c r="AC1974" t="n">
        <v>1</v>
      </c>
      <c r="AD1974" t="n">
        <v>5</v>
      </c>
      <c r="AE1974" t="n">
        <v>5</v>
      </c>
      <c r="AF1974" t="n">
        <v>0</v>
      </c>
      <c r="AG1974" t="n">
        <v>0</v>
      </c>
      <c r="AH1974" t="n">
        <v>1</v>
      </c>
      <c r="AI1974" t="n">
        <v>1</v>
      </c>
      <c r="AJ1974" t="n">
        <v>4</v>
      </c>
      <c r="AK1974" t="n">
        <v>4</v>
      </c>
      <c r="AL1974" t="n">
        <v>0</v>
      </c>
      <c r="AM1974" t="n">
        <v>0</v>
      </c>
      <c r="AN1974" t="n">
        <v>0</v>
      </c>
      <c r="AO1974" t="n">
        <v>0</v>
      </c>
      <c r="AP1974" t="inlineStr">
        <is>
          <t>No</t>
        </is>
      </c>
      <c r="AQ1974" t="inlineStr">
        <is>
          <t>No</t>
        </is>
      </c>
      <c r="AS1974">
        <f>HYPERLINK("https://creighton-primo.hosted.exlibrisgroup.com/primo-explore/search?tab=default_tab&amp;search_scope=EVERYTHING&amp;vid=01CRU&amp;lang=en_US&amp;offset=0&amp;query=any,contains,991003541559702656","Catalog Record")</f>
        <v/>
      </c>
      <c r="AT1974">
        <f>HYPERLINK("http://www.worldcat.org/oclc/1106076","WorldCat Record")</f>
        <v/>
      </c>
      <c r="AU1974" t="inlineStr">
        <is>
          <t>1980527:eng</t>
        </is>
      </c>
      <c r="AV1974" t="inlineStr">
        <is>
          <t>1106076</t>
        </is>
      </c>
      <c r="AW1974" t="inlineStr">
        <is>
          <t>991003541559702656</t>
        </is>
      </c>
      <c r="AX1974" t="inlineStr">
        <is>
          <t>991003541559702656</t>
        </is>
      </c>
      <c r="AY1974" t="inlineStr">
        <is>
          <t>2259550330002656</t>
        </is>
      </c>
      <c r="AZ1974" t="inlineStr">
        <is>
          <t>BOOK</t>
        </is>
      </c>
      <c r="BC1974" t="inlineStr">
        <is>
          <t>32285000855535</t>
        </is>
      </c>
      <c r="BD1974" t="inlineStr">
        <is>
          <t>893617446</t>
        </is>
      </c>
    </row>
    <row r="1975">
      <c r="A1975" t="inlineStr">
        <is>
          <t>No</t>
        </is>
      </c>
      <c r="B1975" t="inlineStr">
        <is>
          <t>BX4668 .D8</t>
        </is>
      </c>
      <c r="C1975" t="inlineStr">
        <is>
          <t>0                      BX 4668000D  8</t>
        </is>
      </c>
      <c r="D1975" t="inlineStr">
        <is>
          <t>A testimonial to grace, by Avery Dulles.</t>
        </is>
      </c>
      <c r="F1975" t="inlineStr">
        <is>
          <t>No</t>
        </is>
      </c>
      <c r="G1975" t="inlineStr">
        <is>
          <t>1</t>
        </is>
      </c>
      <c r="H1975" t="inlineStr">
        <is>
          <t>No</t>
        </is>
      </c>
      <c r="I1975" t="inlineStr">
        <is>
          <t>No</t>
        </is>
      </c>
      <c r="J1975" t="inlineStr">
        <is>
          <t>0</t>
        </is>
      </c>
      <c r="K1975" t="inlineStr">
        <is>
          <t>Dulles, Avery, 1918-2008.</t>
        </is>
      </c>
      <c r="L1975" t="inlineStr">
        <is>
          <t>New York, Sheed and Ward, 1946, 1947 printing.</t>
        </is>
      </c>
      <c r="M1975" t="inlineStr">
        <is>
          <t>1946</t>
        </is>
      </c>
      <c r="O1975" t="inlineStr">
        <is>
          <t>eng</t>
        </is>
      </c>
      <c r="P1975" t="inlineStr">
        <is>
          <t>nyu</t>
        </is>
      </c>
      <c r="R1975" t="inlineStr">
        <is>
          <t xml:space="preserve">BX </t>
        </is>
      </c>
      <c r="S1975" t="n">
        <v>5</v>
      </c>
      <c r="T1975" t="n">
        <v>5</v>
      </c>
      <c r="U1975" t="inlineStr">
        <is>
          <t>1992-07-17</t>
        </is>
      </c>
      <c r="V1975" t="inlineStr">
        <is>
          <t>1992-07-17</t>
        </is>
      </c>
      <c r="W1975" t="inlineStr">
        <is>
          <t>1991-11-21</t>
        </is>
      </c>
      <c r="X1975" t="inlineStr">
        <is>
          <t>1991-11-21</t>
        </is>
      </c>
      <c r="Y1975" t="n">
        <v>291</v>
      </c>
      <c r="Z1975" t="n">
        <v>267</v>
      </c>
      <c r="AA1975" t="n">
        <v>278</v>
      </c>
      <c r="AB1975" t="n">
        <v>3</v>
      </c>
      <c r="AC1975" t="n">
        <v>3</v>
      </c>
      <c r="AD1975" t="n">
        <v>28</v>
      </c>
      <c r="AE1975" t="n">
        <v>28</v>
      </c>
      <c r="AF1975" t="n">
        <v>9</v>
      </c>
      <c r="AG1975" t="n">
        <v>9</v>
      </c>
      <c r="AH1975" t="n">
        <v>8</v>
      </c>
      <c r="AI1975" t="n">
        <v>8</v>
      </c>
      <c r="AJ1975" t="n">
        <v>21</v>
      </c>
      <c r="AK1975" t="n">
        <v>21</v>
      </c>
      <c r="AL1975" t="n">
        <v>0</v>
      </c>
      <c r="AM1975" t="n">
        <v>0</v>
      </c>
      <c r="AN1975" t="n">
        <v>0</v>
      </c>
      <c r="AO1975" t="n">
        <v>0</v>
      </c>
      <c r="AP1975" t="inlineStr">
        <is>
          <t>No</t>
        </is>
      </c>
      <c r="AQ1975" t="inlineStr">
        <is>
          <t>No</t>
        </is>
      </c>
      <c r="AS1975">
        <f>HYPERLINK("https://creighton-primo.hosted.exlibrisgroup.com/primo-explore/search?tab=default_tab&amp;search_scope=EVERYTHING&amp;vid=01CRU&amp;lang=en_US&amp;offset=0&amp;query=any,contains,991003103399702656","Catalog Record")</f>
        <v/>
      </c>
      <c r="AT1975">
        <f>HYPERLINK("http://www.worldcat.org/oclc/652487","WorldCat Record")</f>
        <v/>
      </c>
      <c r="AU1975" t="inlineStr">
        <is>
          <t>422790198:eng</t>
        </is>
      </c>
      <c r="AV1975" t="inlineStr">
        <is>
          <t>652487</t>
        </is>
      </c>
      <c r="AW1975" t="inlineStr">
        <is>
          <t>991003103399702656</t>
        </is>
      </c>
      <c r="AX1975" t="inlineStr">
        <is>
          <t>991003103399702656</t>
        </is>
      </c>
      <c r="AY1975" t="inlineStr">
        <is>
          <t>2262826070002656</t>
        </is>
      </c>
      <c r="AZ1975" t="inlineStr">
        <is>
          <t>BOOK</t>
        </is>
      </c>
      <c r="BC1975" t="inlineStr">
        <is>
          <t>32285000855543</t>
        </is>
      </c>
      <c r="BD1975" t="inlineStr">
        <is>
          <t>893805428</t>
        </is>
      </c>
    </row>
    <row r="1976">
      <c r="A1976" t="inlineStr">
        <is>
          <t>No</t>
        </is>
      </c>
      <c r="B1976" t="inlineStr">
        <is>
          <t>BX4668 .H8</t>
        </is>
      </c>
      <c r="C1976" t="inlineStr">
        <is>
          <t>0                      BX 4668000H  8</t>
        </is>
      </c>
      <c r="D1976" t="inlineStr">
        <is>
          <t>From Confucius to Christ / by Paul K. T. Sih.</t>
        </is>
      </c>
      <c r="F1976" t="inlineStr">
        <is>
          <t>No</t>
        </is>
      </c>
      <c r="G1976" t="inlineStr">
        <is>
          <t>1</t>
        </is>
      </c>
      <c r="H1976" t="inlineStr">
        <is>
          <t>No</t>
        </is>
      </c>
      <c r="I1976" t="inlineStr">
        <is>
          <t>No</t>
        </is>
      </c>
      <c r="J1976" t="inlineStr">
        <is>
          <t>0</t>
        </is>
      </c>
      <c r="K1976" t="inlineStr">
        <is>
          <t>Sih, Paul K. T. (Paul Kwang Tsien), 1910-1978.</t>
        </is>
      </c>
      <c r="L1976" t="inlineStr">
        <is>
          <t>New York : Sheed &amp; Ward, 1952.</t>
        </is>
      </c>
      <c r="M1976" t="inlineStr">
        <is>
          <t>1952</t>
        </is>
      </c>
      <c r="O1976" t="inlineStr">
        <is>
          <t>eng</t>
        </is>
      </c>
      <c r="P1976" t="inlineStr">
        <is>
          <t>___</t>
        </is>
      </c>
      <c r="R1976" t="inlineStr">
        <is>
          <t xml:space="preserve">BX </t>
        </is>
      </c>
      <c r="S1976" t="n">
        <v>5</v>
      </c>
      <c r="T1976" t="n">
        <v>5</v>
      </c>
      <c r="U1976" t="inlineStr">
        <is>
          <t>1999-11-30</t>
        </is>
      </c>
      <c r="V1976" t="inlineStr">
        <is>
          <t>1999-11-30</t>
        </is>
      </c>
      <c r="W1976" t="inlineStr">
        <is>
          <t>1991-11-21</t>
        </is>
      </c>
      <c r="X1976" t="inlineStr">
        <is>
          <t>1991-11-21</t>
        </is>
      </c>
      <c r="Y1976" t="n">
        <v>176</v>
      </c>
      <c r="Z1976" t="n">
        <v>164</v>
      </c>
      <c r="AA1976" t="n">
        <v>202</v>
      </c>
      <c r="AB1976" t="n">
        <v>1</v>
      </c>
      <c r="AC1976" t="n">
        <v>1</v>
      </c>
      <c r="AD1976" t="n">
        <v>24</v>
      </c>
      <c r="AE1976" t="n">
        <v>26</v>
      </c>
      <c r="AF1976" t="n">
        <v>6</v>
      </c>
      <c r="AG1976" t="n">
        <v>7</v>
      </c>
      <c r="AH1976" t="n">
        <v>5</v>
      </c>
      <c r="AI1976" t="n">
        <v>6</v>
      </c>
      <c r="AJ1976" t="n">
        <v>20</v>
      </c>
      <c r="AK1976" t="n">
        <v>20</v>
      </c>
      <c r="AL1976" t="n">
        <v>0</v>
      </c>
      <c r="AM1976" t="n">
        <v>0</v>
      </c>
      <c r="AN1976" t="n">
        <v>0</v>
      </c>
      <c r="AO1976" t="n">
        <v>0</v>
      </c>
      <c r="AP1976" t="inlineStr">
        <is>
          <t>No</t>
        </is>
      </c>
      <c r="AQ1976" t="inlineStr">
        <is>
          <t>Yes</t>
        </is>
      </c>
      <c r="AR1976">
        <f>HYPERLINK("http://catalog.hathitrust.org/Record/008953171","HathiTrust Record")</f>
        <v/>
      </c>
      <c r="AS1976">
        <f>HYPERLINK("https://creighton-primo.hosted.exlibrisgroup.com/primo-explore/search?tab=default_tab&amp;search_scope=EVERYTHING&amp;vid=01CRU&amp;lang=en_US&amp;offset=0&amp;query=any,contains,991003607109702656","Catalog Record")</f>
        <v/>
      </c>
      <c r="AT1976">
        <f>HYPERLINK("http://www.worldcat.org/oclc/1187991","WorldCat Record")</f>
        <v/>
      </c>
      <c r="AU1976" t="inlineStr">
        <is>
          <t>17417597:eng</t>
        </is>
      </c>
      <c r="AV1976" t="inlineStr">
        <is>
          <t>1187991</t>
        </is>
      </c>
      <c r="AW1976" t="inlineStr">
        <is>
          <t>991003607109702656</t>
        </is>
      </c>
      <c r="AX1976" t="inlineStr">
        <is>
          <t>991003607109702656</t>
        </is>
      </c>
      <c r="AY1976" t="inlineStr">
        <is>
          <t>2263020770002656</t>
        </is>
      </c>
      <c r="AZ1976" t="inlineStr">
        <is>
          <t>BOOK</t>
        </is>
      </c>
      <c r="BC1976" t="inlineStr">
        <is>
          <t>32285000855592</t>
        </is>
      </c>
      <c r="BD1976" t="inlineStr">
        <is>
          <t>893705418</t>
        </is>
      </c>
    </row>
    <row r="1977">
      <c r="A1977" t="inlineStr">
        <is>
          <t>No</t>
        </is>
      </c>
      <c r="B1977" t="inlineStr">
        <is>
          <t>BX4668 .K37</t>
        </is>
      </c>
      <c r="C1977" t="inlineStr">
        <is>
          <t>0                      BX 4668000K  37</t>
        </is>
      </c>
      <c r="D1977" t="inlineStr">
        <is>
          <t>My road to certainty / William C. Kernan.</t>
        </is>
      </c>
      <c r="F1977" t="inlineStr">
        <is>
          <t>No</t>
        </is>
      </c>
      <c r="G1977" t="inlineStr">
        <is>
          <t>1</t>
        </is>
      </c>
      <c r="H1977" t="inlineStr">
        <is>
          <t>No</t>
        </is>
      </c>
      <c r="I1977" t="inlineStr">
        <is>
          <t>No</t>
        </is>
      </c>
      <c r="J1977" t="inlineStr">
        <is>
          <t>0</t>
        </is>
      </c>
      <c r="K1977" t="inlineStr">
        <is>
          <t>Kernan, William C. (William Charles), 1900-</t>
        </is>
      </c>
      <c r="L1977" t="inlineStr">
        <is>
          <t>New York : D. McKay Co., [1953]</t>
        </is>
      </c>
      <c r="M1977" t="inlineStr">
        <is>
          <t>1953</t>
        </is>
      </c>
      <c r="O1977" t="inlineStr">
        <is>
          <t>eng</t>
        </is>
      </c>
      <c r="P1977" t="inlineStr">
        <is>
          <t>nyu</t>
        </is>
      </c>
      <c r="R1977" t="inlineStr">
        <is>
          <t xml:space="preserve">BX </t>
        </is>
      </c>
      <c r="S1977" t="n">
        <v>1</v>
      </c>
      <c r="T1977" t="n">
        <v>1</v>
      </c>
      <c r="U1977" t="inlineStr">
        <is>
          <t>2010-06-21</t>
        </is>
      </c>
      <c r="V1977" t="inlineStr">
        <is>
          <t>2010-06-21</t>
        </is>
      </c>
      <c r="W1977" t="inlineStr">
        <is>
          <t>1991-11-21</t>
        </is>
      </c>
      <c r="X1977" t="inlineStr">
        <is>
          <t>1991-11-21</t>
        </is>
      </c>
      <c r="Y1977" t="n">
        <v>104</v>
      </c>
      <c r="Z1977" t="n">
        <v>98</v>
      </c>
      <c r="AA1977" t="n">
        <v>99</v>
      </c>
      <c r="AB1977" t="n">
        <v>1</v>
      </c>
      <c r="AC1977" t="n">
        <v>1</v>
      </c>
      <c r="AD1977" t="n">
        <v>20</v>
      </c>
      <c r="AE1977" t="n">
        <v>20</v>
      </c>
      <c r="AF1977" t="n">
        <v>5</v>
      </c>
      <c r="AG1977" t="n">
        <v>5</v>
      </c>
      <c r="AH1977" t="n">
        <v>5</v>
      </c>
      <c r="AI1977" t="n">
        <v>5</v>
      </c>
      <c r="AJ1977" t="n">
        <v>15</v>
      </c>
      <c r="AK1977" t="n">
        <v>15</v>
      </c>
      <c r="AL1977" t="n">
        <v>0</v>
      </c>
      <c r="AM1977" t="n">
        <v>0</v>
      </c>
      <c r="AN1977" t="n">
        <v>0</v>
      </c>
      <c r="AO1977" t="n">
        <v>0</v>
      </c>
      <c r="AP1977" t="inlineStr">
        <is>
          <t>No</t>
        </is>
      </c>
      <c r="AQ1977" t="inlineStr">
        <is>
          <t>No</t>
        </is>
      </c>
      <c r="AR1977">
        <f>HYPERLINK("http://catalog.hathitrust.org/Record/102359757","HathiTrust Record")</f>
        <v/>
      </c>
      <c r="AS1977">
        <f>HYPERLINK("https://creighton-primo.hosted.exlibrisgroup.com/primo-explore/search?tab=default_tab&amp;search_scope=EVERYTHING&amp;vid=01CRU&amp;lang=en_US&amp;offset=0&amp;query=any,contains,991003638539702656","Catalog Record")</f>
        <v/>
      </c>
      <c r="AT1977">
        <f>HYPERLINK("http://www.worldcat.org/oclc/1233637","WorldCat Record")</f>
        <v/>
      </c>
      <c r="AU1977" t="inlineStr">
        <is>
          <t>1008387137:eng</t>
        </is>
      </c>
      <c r="AV1977" t="inlineStr">
        <is>
          <t>1233637</t>
        </is>
      </c>
      <c r="AW1977" t="inlineStr">
        <is>
          <t>991003638539702656</t>
        </is>
      </c>
      <c r="AX1977" t="inlineStr">
        <is>
          <t>991003638539702656</t>
        </is>
      </c>
      <c r="AY1977" t="inlineStr">
        <is>
          <t>2262125270002656</t>
        </is>
      </c>
      <c r="AZ1977" t="inlineStr">
        <is>
          <t>BOOK</t>
        </is>
      </c>
      <c r="BC1977" t="inlineStr">
        <is>
          <t>32285000855600</t>
        </is>
      </c>
      <c r="BD1977" t="inlineStr">
        <is>
          <t>893240430</t>
        </is>
      </c>
    </row>
    <row r="1978">
      <c r="A1978" t="inlineStr">
        <is>
          <t>No</t>
        </is>
      </c>
      <c r="B1978" t="inlineStr">
        <is>
          <t>BX4668 .L75</t>
        </is>
      </c>
      <c r="C1978" t="inlineStr">
        <is>
          <t>0                      BX 4668000L  75</t>
        </is>
      </c>
      <c r="D1978" t="inlineStr">
        <is>
          <t>Now I see / by Arnold Lunn.</t>
        </is>
      </c>
      <c r="F1978" t="inlineStr">
        <is>
          <t>No</t>
        </is>
      </c>
      <c r="G1978" t="inlineStr">
        <is>
          <t>1</t>
        </is>
      </c>
      <c r="H1978" t="inlineStr">
        <is>
          <t>No</t>
        </is>
      </c>
      <c r="I1978" t="inlineStr">
        <is>
          <t>No</t>
        </is>
      </c>
      <c r="J1978" t="inlineStr">
        <is>
          <t>0</t>
        </is>
      </c>
      <c r="K1978" t="inlineStr">
        <is>
          <t>Lunn, Arnold, 1888-1974.</t>
        </is>
      </c>
      <c r="L1978" t="inlineStr">
        <is>
          <t>London : Sheed &amp; Ward, 1933.</t>
        </is>
      </c>
      <c r="M1978" t="inlineStr">
        <is>
          <t>1933</t>
        </is>
      </c>
      <c r="O1978" t="inlineStr">
        <is>
          <t>eng</t>
        </is>
      </c>
      <c r="P1978" t="inlineStr">
        <is>
          <t>enk</t>
        </is>
      </c>
      <c r="R1978" t="inlineStr">
        <is>
          <t xml:space="preserve">BX </t>
        </is>
      </c>
      <c r="S1978" t="n">
        <v>1</v>
      </c>
      <c r="T1978" t="n">
        <v>1</v>
      </c>
      <c r="U1978" t="inlineStr">
        <is>
          <t>2010-06-21</t>
        </is>
      </c>
      <c r="V1978" t="inlineStr">
        <is>
          <t>2010-06-21</t>
        </is>
      </c>
      <c r="W1978" t="inlineStr">
        <is>
          <t>1991-11-21</t>
        </is>
      </c>
      <c r="X1978" t="inlineStr">
        <is>
          <t>1991-11-21</t>
        </is>
      </c>
      <c r="Y1978" t="n">
        <v>48</v>
      </c>
      <c r="Z1978" t="n">
        <v>34</v>
      </c>
      <c r="AA1978" t="n">
        <v>222</v>
      </c>
      <c r="AB1978" t="n">
        <v>1</v>
      </c>
      <c r="AC1978" t="n">
        <v>2</v>
      </c>
      <c r="AD1978" t="n">
        <v>9</v>
      </c>
      <c r="AE1978" t="n">
        <v>26</v>
      </c>
      <c r="AF1978" t="n">
        <v>2</v>
      </c>
      <c r="AG1978" t="n">
        <v>8</v>
      </c>
      <c r="AH1978" t="n">
        <v>2</v>
      </c>
      <c r="AI1978" t="n">
        <v>5</v>
      </c>
      <c r="AJ1978" t="n">
        <v>8</v>
      </c>
      <c r="AK1978" t="n">
        <v>18</v>
      </c>
      <c r="AL1978" t="n">
        <v>0</v>
      </c>
      <c r="AM1978" t="n">
        <v>0</v>
      </c>
      <c r="AN1978" t="n">
        <v>0</v>
      </c>
      <c r="AO1978" t="n">
        <v>0</v>
      </c>
      <c r="AP1978" t="inlineStr">
        <is>
          <t>No</t>
        </is>
      </c>
      <c r="AQ1978" t="inlineStr">
        <is>
          <t>No</t>
        </is>
      </c>
      <c r="AS1978">
        <f>HYPERLINK("https://creighton-primo.hosted.exlibrisgroup.com/primo-explore/search?tab=default_tab&amp;search_scope=EVERYTHING&amp;vid=01CRU&amp;lang=en_US&amp;offset=0&amp;query=any,contains,991000560049702656","Catalog Record")</f>
        <v/>
      </c>
      <c r="AT1978">
        <f>HYPERLINK("http://www.worldcat.org/oclc/11577051","WorldCat Record")</f>
        <v/>
      </c>
      <c r="AU1978" t="inlineStr">
        <is>
          <t>409054858:eng</t>
        </is>
      </c>
      <c r="AV1978" t="inlineStr">
        <is>
          <t>11577051</t>
        </is>
      </c>
      <c r="AW1978" t="inlineStr">
        <is>
          <t>991000560049702656</t>
        </is>
      </c>
      <c r="AX1978" t="inlineStr">
        <is>
          <t>991000560049702656</t>
        </is>
      </c>
      <c r="AY1978" t="inlineStr">
        <is>
          <t>2263749670002656</t>
        </is>
      </c>
      <c r="AZ1978" t="inlineStr">
        <is>
          <t>BOOK</t>
        </is>
      </c>
      <c r="BC1978" t="inlineStr">
        <is>
          <t>32285000855667</t>
        </is>
      </c>
      <c r="BD1978" t="inlineStr">
        <is>
          <t>893345776</t>
        </is>
      </c>
    </row>
    <row r="1979">
      <c r="A1979" t="inlineStr">
        <is>
          <t>No</t>
        </is>
      </c>
      <c r="B1979" t="inlineStr">
        <is>
          <t>BX4668 .O22</t>
        </is>
      </c>
      <c r="C1979" t="inlineStr">
        <is>
          <t>0                      BX 4668000O  22</t>
        </is>
      </c>
      <c r="D1979" t="inlineStr">
        <is>
          <t>Giants of the faith : conversions which changed the world / John A. O'Brien.</t>
        </is>
      </c>
      <c r="F1979" t="inlineStr">
        <is>
          <t>No</t>
        </is>
      </c>
      <c r="G1979" t="inlineStr">
        <is>
          <t>1</t>
        </is>
      </c>
      <c r="H1979" t="inlineStr">
        <is>
          <t>No</t>
        </is>
      </c>
      <c r="I1979" t="inlineStr">
        <is>
          <t>No</t>
        </is>
      </c>
      <c r="J1979" t="inlineStr">
        <is>
          <t>0</t>
        </is>
      </c>
      <c r="K1979" t="inlineStr">
        <is>
          <t>O'Brien, John A. (John Anthony), 1893-1980.</t>
        </is>
      </c>
      <c r="L1979" t="inlineStr">
        <is>
          <t>Garden City, N.Y. : Hanover House, 1957.</t>
        </is>
      </c>
      <c r="M1979" t="inlineStr">
        <is>
          <t>1957</t>
        </is>
      </c>
      <c r="N1979" t="inlineStr">
        <is>
          <t>[1st ed.]</t>
        </is>
      </c>
      <c r="O1979" t="inlineStr">
        <is>
          <t>eng</t>
        </is>
      </c>
      <c r="P1979" t="inlineStr">
        <is>
          <t>___</t>
        </is>
      </c>
      <c r="R1979" t="inlineStr">
        <is>
          <t xml:space="preserve">BX </t>
        </is>
      </c>
      <c r="S1979" t="n">
        <v>3</v>
      </c>
      <c r="T1979" t="n">
        <v>3</v>
      </c>
      <c r="U1979" t="inlineStr">
        <is>
          <t>1996-05-14</t>
        </is>
      </c>
      <c r="V1979" t="inlineStr">
        <is>
          <t>1996-05-14</t>
        </is>
      </c>
      <c r="W1979" t="inlineStr">
        <is>
          <t>1991-11-21</t>
        </is>
      </c>
      <c r="X1979" t="inlineStr">
        <is>
          <t>1991-11-21</t>
        </is>
      </c>
      <c r="Y1979" t="n">
        <v>241</v>
      </c>
      <c r="Z1979" t="n">
        <v>224</v>
      </c>
      <c r="AA1979" t="n">
        <v>260</v>
      </c>
      <c r="AB1979" t="n">
        <v>3</v>
      </c>
      <c r="AC1979" t="n">
        <v>4</v>
      </c>
      <c r="AD1979" t="n">
        <v>22</v>
      </c>
      <c r="AE1979" t="n">
        <v>24</v>
      </c>
      <c r="AF1979" t="n">
        <v>8</v>
      </c>
      <c r="AG1979" t="n">
        <v>9</v>
      </c>
      <c r="AH1979" t="n">
        <v>6</v>
      </c>
      <c r="AI1979" t="n">
        <v>6</v>
      </c>
      <c r="AJ1979" t="n">
        <v>14</v>
      </c>
      <c r="AK1979" t="n">
        <v>15</v>
      </c>
      <c r="AL1979" t="n">
        <v>0</v>
      </c>
      <c r="AM1979" t="n">
        <v>1</v>
      </c>
      <c r="AN1979" t="n">
        <v>0</v>
      </c>
      <c r="AO1979" t="n">
        <v>0</v>
      </c>
      <c r="AP1979" t="inlineStr">
        <is>
          <t>No</t>
        </is>
      </c>
      <c r="AQ1979" t="inlineStr">
        <is>
          <t>No</t>
        </is>
      </c>
      <c r="AS1979">
        <f>HYPERLINK("https://creighton-primo.hosted.exlibrisgroup.com/primo-explore/search?tab=default_tab&amp;search_scope=EVERYTHING&amp;vid=01CRU&amp;lang=en_US&amp;offset=0&amp;query=any,contains,991003576709702656","Catalog Record")</f>
        <v/>
      </c>
      <c r="AT1979">
        <f>HYPERLINK("http://www.worldcat.org/oclc/1155919","WorldCat Record")</f>
        <v/>
      </c>
      <c r="AU1979" t="inlineStr">
        <is>
          <t>2088154:eng</t>
        </is>
      </c>
      <c r="AV1979" t="inlineStr">
        <is>
          <t>1155919</t>
        </is>
      </c>
      <c r="AW1979" t="inlineStr">
        <is>
          <t>991003576709702656</t>
        </is>
      </c>
      <c r="AX1979" t="inlineStr">
        <is>
          <t>991003576709702656</t>
        </is>
      </c>
      <c r="AY1979" t="inlineStr">
        <is>
          <t>2265957110002656</t>
        </is>
      </c>
      <c r="AZ1979" t="inlineStr">
        <is>
          <t>BOOK</t>
        </is>
      </c>
      <c r="BC1979" t="inlineStr">
        <is>
          <t>32285000855709</t>
        </is>
      </c>
      <c r="BD1979" t="inlineStr">
        <is>
          <t>893881312</t>
        </is>
      </c>
    </row>
    <row r="1980">
      <c r="A1980" t="inlineStr">
        <is>
          <t>No</t>
        </is>
      </c>
      <c r="B1980" t="inlineStr">
        <is>
          <t>BX4668 .O26</t>
        </is>
      </c>
      <c r="C1980" t="inlineStr">
        <is>
          <t>0                      BX 4668000O  26</t>
        </is>
      </c>
      <c r="D1980" t="inlineStr">
        <is>
          <t>Where I found Christ : the intimate personal stories of fourteen converts to the Catholic faith / edited by John A. O'Brien.</t>
        </is>
      </c>
      <c r="F1980" t="inlineStr">
        <is>
          <t>No</t>
        </is>
      </c>
      <c r="G1980" t="inlineStr">
        <is>
          <t>1</t>
        </is>
      </c>
      <c r="H1980" t="inlineStr">
        <is>
          <t>No</t>
        </is>
      </c>
      <c r="I1980" t="inlineStr">
        <is>
          <t>No</t>
        </is>
      </c>
      <c r="J1980" t="inlineStr">
        <is>
          <t>0</t>
        </is>
      </c>
      <c r="K1980" t="inlineStr">
        <is>
          <t>O'Brien, John A. (John Anthony), 1893-1980 editor.</t>
        </is>
      </c>
      <c r="L1980" t="inlineStr">
        <is>
          <t>Garden City, N.J. : Doubleday and Company,Inc., 1950.</t>
        </is>
      </c>
      <c r="M1980" t="inlineStr">
        <is>
          <t>1950</t>
        </is>
      </c>
      <c r="O1980" t="inlineStr">
        <is>
          <t>eng</t>
        </is>
      </c>
      <c r="P1980" t="inlineStr">
        <is>
          <t>___</t>
        </is>
      </c>
      <c r="R1980" t="inlineStr">
        <is>
          <t xml:space="preserve">BX </t>
        </is>
      </c>
      <c r="S1980" t="n">
        <v>3</v>
      </c>
      <c r="T1980" t="n">
        <v>3</v>
      </c>
      <c r="U1980" t="inlineStr">
        <is>
          <t>1999-02-22</t>
        </is>
      </c>
      <c r="V1980" t="inlineStr">
        <is>
          <t>1999-02-22</t>
        </is>
      </c>
      <c r="W1980" t="inlineStr">
        <is>
          <t>1991-11-21</t>
        </is>
      </c>
      <c r="X1980" t="inlineStr">
        <is>
          <t>1991-11-21</t>
        </is>
      </c>
      <c r="Y1980" t="n">
        <v>210</v>
      </c>
      <c r="Z1980" t="n">
        <v>193</v>
      </c>
      <c r="AA1980" t="n">
        <v>211</v>
      </c>
      <c r="AB1980" t="n">
        <v>3</v>
      </c>
      <c r="AC1980" t="n">
        <v>3</v>
      </c>
      <c r="AD1980" t="n">
        <v>26</v>
      </c>
      <c r="AE1980" t="n">
        <v>26</v>
      </c>
      <c r="AF1980" t="n">
        <v>9</v>
      </c>
      <c r="AG1980" t="n">
        <v>9</v>
      </c>
      <c r="AH1980" t="n">
        <v>9</v>
      </c>
      <c r="AI1980" t="n">
        <v>9</v>
      </c>
      <c r="AJ1980" t="n">
        <v>17</v>
      </c>
      <c r="AK1980" t="n">
        <v>17</v>
      </c>
      <c r="AL1980" t="n">
        <v>0</v>
      </c>
      <c r="AM1980" t="n">
        <v>0</v>
      </c>
      <c r="AN1980" t="n">
        <v>0</v>
      </c>
      <c r="AO1980" t="n">
        <v>0</v>
      </c>
      <c r="AP1980" t="inlineStr">
        <is>
          <t>No</t>
        </is>
      </c>
      <c r="AQ1980" t="inlineStr">
        <is>
          <t>Yes</t>
        </is>
      </c>
      <c r="AR1980">
        <f>HYPERLINK("http://catalog.hathitrust.org/Record/102160009","HathiTrust Record")</f>
        <v/>
      </c>
      <c r="AS1980">
        <f>HYPERLINK("https://creighton-primo.hosted.exlibrisgroup.com/primo-explore/search?tab=default_tab&amp;search_scope=EVERYTHING&amp;vid=01CRU&amp;lang=en_US&amp;offset=0&amp;query=any,contains,991003103579702656","Catalog Record")</f>
        <v/>
      </c>
      <c r="AT1980">
        <f>HYPERLINK("http://www.worldcat.org/oclc/652563","WorldCat Record")</f>
        <v/>
      </c>
      <c r="AU1980" t="inlineStr">
        <is>
          <t>902267527:eng</t>
        </is>
      </c>
      <c r="AV1980" t="inlineStr">
        <is>
          <t>652563</t>
        </is>
      </c>
      <c r="AW1980" t="inlineStr">
        <is>
          <t>991003103579702656</t>
        </is>
      </c>
      <c r="AX1980" t="inlineStr">
        <is>
          <t>991003103579702656</t>
        </is>
      </c>
      <c r="AY1980" t="inlineStr">
        <is>
          <t>2262877520002656</t>
        </is>
      </c>
      <c r="AZ1980" t="inlineStr">
        <is>
          <t>BOOK</t>
        </is>
      </c>
      <c r="BC1980" t="inlineStr">
        <is>
          <t>32285000855733</t>
        </is>
      </c>
      <c r="BD1980" t="inlineStr">
        <is>
          <t>893252035</t>
        </is>
      </c>
    </row>
    <row r="1981">
      <c r="A1981" t="inlineStr">
        <is>
          <t>No</t>
        </is>
      </c>
      <c r="B1981" t="inlineStr">
        <is>
          <t>BX4668 .V37 1928</t>
        </is>
      </c>
      <c r="C1981" t="inlineStr">
        <is>
          <t>0                      BX 4668000V  37          1928</t>
        </is>
      </c>
      <c r="D1981" t="inlineStr">
        <is>
          <t>After fifty years / by O.R. Vassall-Phillips.</t>
        </is>
      </c>
      <c r="F1981" t="inlineStr">
        <is>
          <t>No</t>
        </is>
      </c>
      <c r="G1981" t="inlineStr">
        <is>
          <t>1</t>
        </is>
      </c>
      <c r="H1981" t="inlineStr">
        <is>
          <t>No</t>
        </is>
      </c>
      <c r="I1981" t="inlineStr">
        <is>
          <t>No</t>
        </is>
      </c>
      <c r="J1981" t="inlineStr">
        <is>
          <t>0</t>
        </is>
      </c>
      <c r="K1981" t="inlineStr">
        <is>
          <t>Vassall-Phillips, O. R. (Oliver Rodie), 1857-1932.</t>
        </is>
      </c>
      <c r="L1981" t="inlineStr">
        <is>
          <t>London : Sheed &amp; Ward ; New York : Benziger, 1928.</t>
        </is>
      </c>
      <c r="M1981" t="inlineStr">
        <is>
          <t>1928</t>
        </is>
      </c>
      <c r="O1981" t="inlineStr">
        <is>
          <t>eng</t>
        </is>
      </c>
      <c r="P1981" t="inlineStr">
        <is>
          <t>enk</t>
        </is>
      </c>
      <c r="R1981" t="inlineStr">
        <is>
          <t xml:space="preserve">BX </t>
        </is>
      </c>
      <c r="S1981" t="n">
        <v>0</v>
      </c>
      <c r="T1981" t="n">
        <v>0</v>
      </c>
      <c r="U1981" t="inlineStr">
        <is>
          <t>2005-04-04</t>
        </is>
      </c>
      <c r="V1981" t="inlineStr">
        <is>
          <t>2005-04-04</t>
        </is>
      </c>
      <c r="W1981" t="inlineStr">
        <is>
          <t>1991-11-21</t>
        </is>
      </c>
      <c r="X1981" t="inlineStr">
        <is>
          <t>1991-11-21</t>
        </is>
      </c>
      <c r="Y1981" t="n">
        <v>31</v>
      </c>
      <c r="Z1981" t="n">
        <v>22</v>
      </c>
      <c r="AA1981" t="n">
        <v>28</v>
      </c>
      <c r="AB1981" t="n">
        <v>1</v>
      </c>
      <c r="AC1981" t="n">
        <v>1</v>
      </c>
      <c r="AD1981" t="n">
        <v>9</v>
      </c>
      <c r="AE1981" t="n">
        <v>11</v>
      </c>
      <c r="AF1981" t="n">
        <v>1</v>
      </c>
      <c r="AG1981" t="n">
        <v>1</v>
      </c>
      <c r="AH1981" t="n">
        <v>2</v>
      </c>
      <c r="AI1981" t="n">
        <v>2</v>
      </c>
      <c r="AJ1981" t="n">
        <v>8</v>
      </c>
      <c r="AK1981" t="n">
        <v>10</v>
      </c>
      <c r="AL1981" t="n">
        <v>0</v>
      </c>
      <c r="AM1981" t="n">
        <v>0</v>
      </c>
      <c r="AN1981" t="n">
        <v>0</v>
      </c>
      <c r="AO1981" t="n">
        <v>0</v>
      </c>
      <c r="AP1981" t="inlineStr">
        <is>
          <t>No</t>
        </is>
      </c>
      <c r="AQ1981" t="inlineStr">
        <is>
          <t>No</t>
        </is>
      </c>
      <c r="AS1981">
        <f>HYPERLINK("https://creighton-primo.hosted.exlibrisgroup.com/primo-explore/search?tab=default_tab&amp;search_scope=EVERYTHING&amp;vid=01CRU&amp;lang=en_US&amp;offset=0&amp;query=any,contains,991004016899702656","Catalog Record")</f>
        <v/>
      </c>
      <c r="AT1981">
        <f>HYPERLINK("http://www.worldcat.org/oclc/2112640","WorldCat Record")</f>
        <v/>
      </c>
      <c r="AU1981" t="inlineStr">
        <is>
          <t>3786597:eng</t>
        </is>
      </c>
      <c r="AV1981" t="inlineStr">
        <is>
          <t>2112640</t>
        </is>
      </c>
      <c r="AW1981" t="inlineStr">
        <is>
          <t>991004016899702656</t>
        </is>
      </c>
      <c r="AX1981" t="inlineStr">
        <is>
          <t>991004016899702656</t>
        </is>
      </c>
      <c r="AY1981" t="inlineStr">
        <is>
          <t>2271312280002656</t>
        </is>
      </c>
      <c r="AZ1981" t="inlineStr">
        <is>
          <t>BOOK</t>
        </is>
      </c>
      <c r="BC1981" t="inlineStr">
        <is>
          <t>32285000855857</t>
        </is>
      </c>
      <c r="BD1981" t="inlineStr">
        <is>
          <t>893699728</t>
        </is>
      </c>
    </row>
    <row r="1982">
      <c r="A1982" t="inlineStr">
        <is>
          <t>No</t>
        </is>
      </c>
      <c r="B1982" t="inlineStr">
        <is>
          <t>BX4668 .W8 1951</t>
        </is>
      </c>
      <c r="C1982" t="inlineStr">
        <is>
          <t>0                      BX 4668000W  8           1951</t>
        </is>
      </c>
      <c r="D1982" t="inlineStr">
        <is>
          <t>Beyond East and West.</t>
        </is>
      </c>
      <c r="F1982" t="inlineStr">
        <is>
          <t>No</t>
        </is>
      </c>
      <c r="G1982" t="inlineStr">
        <is>
          <t>1</t>
        </is>
      </c>
      <c r="H1982" t="inlineStr">
        <is>
          <t>No</t>
        </is>
      </c>
      <c r="I1982" t="inlineStr">
        <is>
          <t>No</t>
        </is>
      </c>
      <c r="J1982" t="inlineStr">
        <is>
          <t>0</t>
        </is>
      </c>
      <c r="K1982" t="inlineStr">
        <is>
          <t>Wu, Jingxiong, 1899-1986.</t>
        </is>
      </c>
      <c r="L1982" t="inlineStr">
        <is>
          <t>New York : Sheed and Ward, 1951.</t>
        </is>
      </c>
      <c r="M1982" t="inlineStr">
        <is>
          <t>1951</t>
        </is>
      </c>
      <c r="O1982" t="inlineStr">
        <is>
          <t>eng</t>
        </is>
      </c>
      <c r="P1982" t="inlineStr">
        <is>
          <t xml:space="preserve">xx </t>
        </is>
      </c>
      <c r="R1982" t="inlineStr">
        <is>
          <t xml:space="preserve">BX </t>
        </is>
      </c>
      <c r="S1982" t="n">
        <v>1</v>
      </c>
      <c r="T1982" t="n">
        <v>1</v>
      </c>
      <c r="U1982" t="inlineStr">
        <is>
          <t>1998-11-28</t>
        </is>
      </c>
      <c r="V1982" t="inlineStr">
        <is>
          <t>1998-11-28</t>
        </is>
      </c>
      <c r="W1982" t="inlineStr">
        <is>
          <t>1991-11-22</t>
        </is>
      </c>
      <c r="X1982" t="inlineStr">
        <is>
          <t>1991-11-22</t>
        </is>
      </c>
      <c r="Y1982" t="n">
        <v>337</v>
      </c>
      <c r="Z1982" t="n">
        <v>304</v>
      </c>
      <c r="AA1982" t="n">
        <v>434</v>
      </c>
      <c r="AB1982" t="n">
        <v>3</v>
      </c>
      <c r="AC1982" t="n">
        <v>4</v>
      </c>
      <c r="AD1982" t="n">
        <v>29</v>
      </c>
      <c r="AE1982" t="n">
        <v>35</v>
      </c>
      <c r="AF1982" t="n">
        <v>8</v>
      </c>
      <c r="AG1982" t="n">
        <v>12</v>
      </c>
      <c r="AH1982" t="n">
        <v>7</v>
      </c>
      <c r="AI1982" t="n">
        <v>8</v>
      </c>
      <c r="AJ1982" t="n">
        <v>20</v>
      </c>
      <c r="AK1982" t="n">
        <v>21</v>
      </c>
      <c r="AL1982" t="n">
        <v>1</v>
      </c>
      <c r="AM1982" t="n">
        <v>2</v>
      </c>
      <c r="AN1982" t="n">
        <v>1</v>
      </c>
      <c r="AO1982" t="n">
        <v>1</v>
      </c>
      <c r="AP1982" t="inlineStr">
        <is>
          <t>No</t>
        </is>
      </c>
      <c r="AQ1982" t="inlineStr">
        <is>
          <t>Yes</t>
        </is>
      </c>
      <c r="AR1982">
        <f>HYPERLINK("http://catalog.hathitrust.org/Record/005789912","HathiTrust Record")</f>
        <v/>
      </c>
      <c r="AS1982">
        <f>HYPERLINK("https://creighton-primo.hosted.exlibrisgroup.com/primo-explore/search?tab=default_tab&amp;search_scope=EVERYTHING&amp;vid=01CRU&amp;lang=en_US&amp;offset=0&amp;query=any,contains,991002431969702656","Catalog Record")</f>
        <v/>
      </c>
      <c r="AT1982">
        <f>HYPERLINK("http://www.worldcat.org/oclc/347487","WorldCat Record")</f>
        <v/>
      </c>
      <c r="AU1982" t="inlineStr">
        <is>
          <t>199037340:eng</t>
        </is>
      </c>
      <c r="AV1982" t="inlineStr">
        <is>
          <t>347487</t>
        </is>
      </c>
      <c r="AW1982" t="inlineStr">
        <is>
          <t>991002431969702656</t>
        </is>
      </c>
      <c r="AX1982" t="inlineStr">
        <is>
          <t>991002431969702656</t>
        </is>
      </c>
      <c r="AY1982" t="inlineStr">
        <is>
          <t>2272360740002656</t>
        </is>
      </c>
      <c r="AZ1982" t="inlineStr">
        <is>
          <t>BOOK</t>
        </is>
      </c>
      <c r="BC1982" t="inlineStr">
        <is>
          <t>32285000855865</t>
        </is>
      </c>
      <c r="BD1982" t="inlineStr">
        <is>
          <t>893898748</t>
        </is>
      </c>
    </row>
    <row r="1983">
      <c r="A1983" t="inlineStr">
        <is>
          <t>No</t>
        </is>
      </c>
      <c r="B1983" t="inlineStr">
        <is>
          <t>BX4668.3.C76 A3 2000</t>
        </is>
      </c>
      <c r="C1983" t="inlineStr">
        <is>
          <t>0                      BX 4668300C  76                 A  3           2000</t>
        </is>
      </c>
      <c r="D1983" t="inlineStr">
        <is>
          <t>A long way from Tipperary : a memoir / John Dominic Crossan.</t>
        </is>
      </c>
      <c r="F1983" t="inlineStr">
        <is>
          <t>No</t>
        </is>
      </c>
      <c r="G1983" t="inlineStr">
        <is>
          <t>1</t>
        </is>
      </c>
      <c r="H1983" t="inlineStr">
        <is>
          <t>No</t>
        </is>
      </c>
      <c r="I1983" t="inlineStr">
        <is>
          <t>No</t>
        </is>
      </c>
      <c r="J1983" t="inlineStr">
        <is>
          <t>0</t>
        </is>
      </c>
      <c r="K1983" t="inlineStr">
        <is>
          <t>Crossan, John Dominic.</t>
        </is>
      </c>
      <c r="L1983" t="inlineStr">
        <is>
          <t>San Francisco : HarperSanFrancisco, c2000.</t>
        </is>
      </c>
      <c r="M1983" t="inlineStr">
        <is>
          <t>2000</t>
        </is>
      </c>
      <c r="N1983" t="inlineStr">
        <is>
          <t>1st ed.</t>
        </is>
      </c>
      <c r="O1983" t="inlineStr">
        <is>
          <t>eng</t>
        </is>
      </c>
      <c r="P1983" t="inlineStr">
        <is>
          <t>cau</t>
        </is>
      </c>
      <c r="R1983" t="inlineStr">
        <is>
          <t xml:space="preserve">BX </t>
        </is>
      </c>
      <c r="S1983" t="n">
        <v>5</v>
      </c>
      <c r="T1983" t="n">
        <v>5</v>
      </c>
      <c r="U1983" t="inlineStr">
        <is>
          <t>2007-07-02</t>
        </is>
      </c>
      <c r="V1983" t="inlineStr">
        <is>
          <t>2007-07-02</t>
        </is>
      </c>
      <c r="W1983" t="inlineStr">
        <is>
          <t>2001-06-04</t>
        </is>
      </c>
      <c r="X1983" t="inlineStr">
        <is>
          <t>2001-06-04</t>
        </is>
      </c>
      <c r="Y1983" t="n">
        <v>404</v>
      </c>
      <c r="Z1983" t="n">
        <v>363</v>
      </c>
      <c r="AA1983" t="n">
        <v>372</v>
      </c>
      <c r="AB1983" t="n">
        <v>3</v>
      </c>
      <c r="AC1983" t="n">
        <v>3</v>
      </c>
      <c r="AD1983" t="n">
        <v>19</v>
      </c>
      <c r="AE1983" t="n">
        <v>19</v>
      </c>
      <c r="AF1983" t="n">
        <v>3</v>
      </c>
      <c r="AG1983" t="n">
        <v>3</v>
      </c>
      <c r="AH1983" t="n">
        <v>8</v>
      </c>
      <c r="AI1983" t="n">
        <v>8</v>
      </c>
      <c r="AJ1983" t="n">
        <v>10</v>
      </c>
      <c r="AK1983" t="n">
        <v>10</v>
      </c>
      <c r="AL1983" t="n">
        <v>2</v>
      </c>
      <c r="AM1983" t="n">
        <v>2</v>
      </c>
      <c r="AN1983" t="n">
        <v>0</v>
      </c>
      <c r="AO1983" t="n">
        <v>0</v>
      </c>
      <c r="AP1983" t="inlineStr">
        <is>
          <t>No</t>
        </is>
      </c>
      <c r="AQ1983" t="inlineStr">
        <is>
          <t>No</t>
        </is>
      </c>
      <c r="AS1983">
        <f>HYPERLINK("https://creighton-primo.hosted.exlibrisgroup.com/primo-explore/search?tab=default_tab&amp;search_scope=EVERYTHING&amp;vid=01CRU&amp;lang=en_US&amp;offset=0&amp;query=any,contains,991003534869702656","Catalog Record")</f>
        <v/>
      </c>
      <c r="AT1983">
        <f>HYPERLINK("http://www.worldcat.org/oclc/43286939","WorldCat Record")</f>
        <v/>
      </c>
      <c r="AU1983" t="inlineStr">
        <is>
          <t>979685:eng</t>
        </is>
      </c>
      <c r="AV1983" t="inlineStr">
        <is>
          <t>43286939</t>
        </is>
      </c>
      <c r="AW1983" t="inlineStr">
        <is>
          <t>991003534869702656</t>
        </is>
      </c>
      <c r="AX1983" t="inlineStr">
        <is>
          <t>991003534869702656</t>
        </is>
      </c>
      <c r="AY1983" t="inlineStr">
        <is>
          <t>2258255340002656</t>
        </is>
      </c>
      <c r="AZ1983" t="inlineStr">
        <is>
          <t>BOOK</t>
        </is>
      </c>
      <c r="BB1983" t="inlineStr">
        <is>
          <t>9780060699741</t>
        </is>
      </c>
      <c r="BC1983" t="inlineStr">
        <is>
          <t>32285004319785</t>
        </is>
      </c>
      <c r="BD1983" t="inlineStr">
        <is>
          <t>893623593</t>
        </is>
      </c>
    </row>
    <row r="1984">
      <c r="A1984" t="inlineStr">
        <is>
          <t>No</t>
        </is>
      </c>
      <c r="B1984" t="inlineStr">
        <is>
          <t>BX4668.3.S48 A3 1998</t>
        </is>
      </c>
      <c r="C1984" t="inlineStr">
        <is>
          <t>0                      BX 4668300S  48                 A  3           1998</t>
        </is>
      </c>
      <c r="D1984" t="inlineStr">
        <is>
          <t>Reluctant dissenter / by James Patrick Shannon.</t>
        </is>
      </c>
      <c r="F1984" t="inlineStr">
        <is>
          <t>No</t>
        </is>
      </c>
      <c r="G1984" t="inlineStr">
        <is>
          <t>1</t>
        </is>
      </c>
      <c r="H1984" t="inlineStr">
        <is>
          <t>No</t>
        </is>
      </c>
      <c r="I1984" t="inlineStr">
        <is>
          <t>No</t>
        </is>
      </c>
      <c r="J1984" t="inlineStr">
        <is>
          <t>0</t>
        </is>
      </c>
      <c r="K1984" t="inlineStr">
        <is>
          <t>Shannon, James P., 1921-2003.</t>
        </is>
      </c>
      <c r="L1984" t="inlineStr">
        <is>
          <t>New York : Crossroads Pub., c1998.</t>
        </is>
      </c>
      <c r="M1984" t="inlineStr">
        <is>
          <t>1998</t>
        </is>
      </c>
      <c r="O1984" t="inlineStr">
        <is>
          <t>eng</t>
        </is>
      </c>
      <c r="P1984" t="inlineStr">
        <is>
          <t>nyu</t>
        </is>
      </c>
      <c r="R1984" t="inlineStr">
        <is>
          <t xml:space="preserve">BX </t>
        </is>
      </c>
      <c r="S1984" t="n">
        <v>5</v>
      </c>
      <c r="T1984" t="n">
        <v>5</v>
      </c>
      <c r="U1984" t="inlineStr">
        <is>
          <t>2003-03-29</t>
        </is>
      </c>
      <c r="V1984" t="inlineStr">
        <is>
          <t>2003-03-29</t>
        </is>
      </c>
      <c r="W1984" t="inlineStr">
        <is>
          <t>1999-01-06</t>
        </is>
      </c>
      <c r="X1984" t="inlineStr">
        <is>
          <t>1999-01-06</t>
        </is>
      </c>
      <c r="Y1984" t="n">
        <v>270</v>
      </c>
      <c r="Z1984" t="n">
        <v>258</v>
      </c>
      <c r="AA1984" t="n">
        <v>275</v>
      </c>
      <c r="AB1984" t="n">
        <v>3</v>
      </c>
      <c r="AC1984" t="n">
        <v>3</v>
      </c>
      <c r="AD1984" t="n">
        <v>18</v>
      </c>
      <c r="AE1984" t="n">
        <v>18</v>
      </c>
      <c r="AF1984" t="n">
        <v>4</v>
      </c>
      <c r="AG1984" t="n">
        <v>4</v>
      </c>
      <c r="AH1984" t="n">
        <v>6</v>
      </c>
      <c r="AI1984" t="n">
        <v>6</v>
      </c>
      <c r="AJ1984" t="n">
        <v>10</v>
      </c>
      <c r="AK1984" t="n">
        <v>10</v>
      </c>
      <c r="AL1984" t="n">
        <v>1</v>
      </c>
      <c r="AM1984" t="n">
        <v>1</v>
      </c>
      <c r="AN1984" t="n">
        <v>0</v>
      </c>
      <c r="AO1984" t="n">
        <v>0</v>
      </c>
      <c r="AP1984" t="inlineStr">
        <is>
          <t>No</t>
        </is>
      </c>
      <c r="AQ1984" t="inlineStr">
        <is>
          <t>Yes</t>
        </is>
      </c>
      <c r="AR1984">
        <f>HYPERLINK("http://catalog.hathitrust.org/Record/004016169","HathiTrust Record")</f>
        <v/>
      </c>
      <c r="AS1984">
        <f>HYPERLINK("https://creighton-primo.hosted.exlibrisgroup.com/primo-explore/search?tab=default_tab&amp;search_scope=EVERYTHING&amp;vid=01CRU&amp;lang=en_US&amp;offset=0&amp;query=any,contains,991002917619702656","Catalog Record")</f>
        <v/>
      </c>
      <c r="AT1984">
        <f>HYPERLINK("http://www.worldcat.org/oclc/38580171","WorldCat Record")</f>
        <v/>
      </c>
      <c r="AU1984" t="inlineStr">
        <is>
          <t>42173217:eng</t>
        </is>
      </c>
      <c r="AV1984" t="inlineStr">
        <is>
          <t>38580171</t>
        </is>
      </c>
      <c r="AW1984" t="inlineStr">
        <is>
          <t>991002917619702656</t>
        </is>
      </c>
      <c r="AX1984" t="inlineStr">
        <is>
          <t>991002917619702656</t>
        </is>
      </c>
      <c r="AY1984" t="inlineStr">
        <is>
          <t>2256551850002656</t>
        </is>
      </c>
      <c r="AZ1984" t="inlineStr">
        <is>
          <t>BOOK</t>
        </is>
      </c>
      <c r="BB1984" t="inlineStr">
        <is>
          <t>9780824517588</t>
        </is>
      </c>
      <c r="BC1984" t="inlineStr">
        <is>
          <t>32285003509907</t>
        </is>
      </c>
      <c r="BD1984" t="inlineStr">
        <is>
          <t>893904150</t>
        </is>
      </c>
    </row>
    <row r="1985">
      <c r="A1985" t="inlineStr">
        <is>
          <t>No</t>
        </is>
      </c>
      <c r="B1985" t="inlineStr">
        <is>
          <t>BX4668.3.W66 A35 1983</t>
        </is>
      </c>
      <c r="C1985" t="inlineStr">
        <is>
          <t>0                      BX 4668300W  66                 A  35          1983</t>
        </is>
      </c>
      <c r="D1985" t="inlineStr">
        <is>
          <t>Nun : a memoir / Mary Gilligan Wong.</t>
        </is>
      </c>
      <c r="F1985" t="inlineStr">
        <is>
          <t>No</t>
        </is>
      </c>
      <c r="G1985" t="inlineStr">
        <is>
          <t>1</t>
        </is>
      </c>
      <c r="H1985" t="inlineStr">
        <is>
          <t>No</t>
        </is>
      </c>
      <c r="I1985" t="inlineStr">
        <is>
          <t>No</t>
        </is>
      </c>
      <c r="J1985" t="inlineStr">
        <is>
          <t>0</t>
        </is>
      </c>
      <c r="K1985" t="inlineStr">
        <is>
          <t>Wong, Mary Gilligan.</t>
        </is>
      </c>
      <c r="L1985" t="inlineStr">
        <is>
          <t>New York : Harcourt Brace Jovanovich, c1983.</t>
        </is>
      </c>
      <c r="M1985" t="inlineStr">
        <is>
          <t>1983</t>
        </is>
      </c>
      <c r="N1985" t="inlineStr">
        <is>
          <t>1st ed.</t>
        </is>
      </c>
      <c r="O1985" t="inlineStr">
        <is>
          <t>eng</t>
        </is>
      </c>
      <c r="P1985" t="inlineStr">
        <is>
          <t>nyu</t>
        </is>
      </c>
      <c r="R1985" t="inlineStr">
        <is>
          <t xml:space="preserve">BX </t>
        </is>
      </c>
      <c r="S1985" t="n">
        <v>2</v>
      </c>
      <c r="T1985" t="n">
        <v>2</v>
      </c>
      <c r="U1985" t="inlineStr">
        <is>
          <t>1992-12-04</t>
        </is>
      </c>
      <c r="V1985" t="inlineStr">
        <is>
          <t>1992-12-04</t>
        </is>
      </c>
      <c r="W1985" t="inlineStr">
        <is>
          <t>1991-11-22</t>
        </is>
      </c>
      <c r="X1985" t="inlineStr">
        <is>
          <t>1991-11-22</t>
        </is>
      </c>
      <c r="Y1985" t="n">
        <v>451</v>
      </c>
      <c r="Z1985" t="n">
        <v>430</v>
      </c>
      <c r="AA1985" t="n">
        <v>494</v>
      </c>
      <c r="AB1985" t="n">
        <v>4</v>
      </c>
      <c r="AC1985" t="n">
        <v>4</v>
      </c>
      <c r="AD1985" t="n">
        <v>16</v>
      </c>
      <c r="AE1985" t="n">
        <v>17</v>
      </c>
      <c r="AF1985" t="n">
        <v>4</v>
      </c>
      <c r="AG1985" t="n">
        <v>4</v>
      </c>
      <c r="AH1985" t="n">
        <v>5</v>
      </c>
      <c r="AI1985" t="n">
        <v>5</v>
      </c>
      <c r="AJ1985" t="n">
        <v>12</v>
      </c>
      <c r="AK1985" t="n">
        <v>13</v>
      </c>
      <c r="AL1985" t="n">
        <v>1</v>
      </c>
      <c r="AM1985" t="n">
        <v>1</v>
      </c>
      <c r="AN1985" t="n">
        <v>0</v>
      </c>
      <c r="AO1985" t="n">
        <v>0</v>
      </c>
      <c r="AP1985" t="inlineStr">
        <is>
          <t>No</t>
        </is>
      </c>
      <c r="AQ1985" t="inlineStr">
        <is>
          <t>Yes</t>
        </is>
      </c>
      <c r="AR1985">
        <f>HYPERLINK("http://catalog.hathitrust.org/Record/006023011","HathiTrust Record")</f>
        <v/>
      </c>
      <c r="AS1985">
        <f>HYPERLINK("https://creighton-primo.hosted.exlibrisgroup.com/primo-explore/search?tab=default_tab&amp;search_scope=EVERYTHING&amp;vid=01CRU&amp;lang=en_US&amp;offset=0&amp;query=any,contains,991000056989702656","Catalog Record")</f>
        <v/>
      </c>
      <c r="AT1985">
        <f>HYPERLINK("http://www.worldcat.org/oclc/8709370","WorldCat Record")</f>
        <v/>
      </c>
      <c r="AU1985" t="inlineStr">
        <is>
          <t>413351:eng</t>
        </is>
      </c>
      <c r="AV1985" t="inlineStr">
        <is>
          <t>8709370</t>
        </is>
      </c>
      <c r="AW1985" t="inlineStr">
        <is>
          <t>991000056989702656</t>
        </is>
      </c>
      <c r="AX1985" t="inlineStr">
        <is>
          <t>991000056989702656</t>
        </is>
      </c>
      <c r="AY1985" t="inlineStr">
        <is>
          <t>2256598220002656</t>
        </is>
      </c>
      <c r="AZ1985" t="inlineStr">
        <is>
          <t>BOOK</t>
        </is>
      </c>
      <c r="BB1985" t="inlineStr">
        <is>
          <t>9780151677399</t>
        </is>
      </c>
      <c r="BC1985" t="inlineStr">
        <is>
          <t>32285000855923</t>
        </is>
      </c>
      <c r="BD1985" t="inlineStr">
        <is>
          <t>893255139</t>
        </is>
      </c>
    </row>
    <row r="1986">
      <c r="A1986" t="inlineStr">
        <is>
          <t>No</t>
        </is>
      </c>
      <c r="B1986" t="inlineStr">
        <is>
          <t>BX4668.A1 A44 1997</t>
        </is>
      </c>
      <c r="C1986" t="inlineStr">
        <is>
          <t>0                      BX 4668000A  1                  A  44          1997</t>
        </is>
      </c>
      <c r="D1986" t="inlineStr">
        <is>
          <t>Catholic converts : British and American intellectuals turn to Rome / Patrick Allitt.</t>
        </is>
      </c>
      <c r="F1986" t="inlineStr">
        <is>
          <t>No</t>
        </is>
      </c>
      <c r="G1986" t="inlineStr">
        <is>
          <t>1</t>
        </is>
      </c>
      <c r="H1986" t="inlineStr">
        <is>
          <t>No</t>
        </is>
      </c>
      <c r="I1986" t="inlineStr">
        <is>
          <t>No</t>
        </is>
      </c>
      <c r="J1986" t="inlineStr">
        <is>
          <t>0</t>
        </is>
      </c>
      <c r="K1986" t="inlineStr">
        <is>
          <t>Allitt, Patrick.</t>
        </is>
      </c>
      <c r="L1986" t="inlineStr">
        <is>
          <t>Ithaca : Cornell University Press, 1997.</t>
        </is>
      </c>
      <c r="M1986" t="inlineStr">
        <is>
          <t>1997</t>
        </is>
      </c>
      <c r="O1986" t="inlineStr">
        <is>
          <t>eng</t>
        </is>
      </c>
      <c r="P1986" t="inlineStr">
        <is>
          <t>nyu</t>
        </is>
      </c>
      <c r="R1986" t="inlineStr">
        <is>
          <t xml:space="preserve">BX </t>
        </is>
      </c>
      <c r="S1986" t="n">
        <v>8</v>
      </c>
      <c r="T1986" t="n">
        <v>8</v>
      </c>
      <c r="U1986" t="inlineStr">
        <is>
          <t>2009-03-02</t>
        </is>
      </c>
      <c r="V1986" t="inlineStr">
        <is>
          <t>2009-03-02</t>
        </is>
      </c>
      <c r="W1986" t="inlineStr">
        <is>
          <t>1998-05-18</t>
        </is>
      </c>
      <c r="X1986" t="inlineStr">
        <is>
          <t>1998-05-18</t>
        </is>
      </c>
      <c r="Y1986" t="n">
        <v>551</v>
      </c>
      <c r="Z1986" t="n">
        <v>478</v>
      </c>
      <c r="AA1986" t="n">
        <v>657</v>
      </c>
      <c r="AB1986" t="n">
        <v>3</v>
      </c>
      <c r="AC1986" t="n">
        <v>3</v>
      </c>
      <c r="AD1986" t="n">
        <v>35</v>
      </c>
      <c r="AE1986" t="n">
        <v>41</v>
      </c>
      <c r="AF1986" t="n">
        <v>12</v>
      </c>
      <c r="AG1986" t="n">
        <v>17</v>
      </c>
      <c r="AH1986" t="n">
        <v>9</v>
      </c>
      <c r="AI1986" t="n">
        <v>11</v>
      </c>
      <c r="AJ1986" t="n">
        <v>22</v>
      </c>
      <c r="AK1986" t="n">
        <v>23</v>
      </c>
      <c r="AL1986" t="n">
        <v>2</v>
      </c>
      <c r="AM1986" t="n">
        <v>2</v>
      </c>
      <c r="AN1986" t="n">
        <v>0</v>
      </c>
      <c r="AO1986" t="n">
        <v>0</v>
      </c>
      <c r="AP1986" t="inlineStr">
        <is>
          <t>No</t>
        </is>
      </c>
      <c r="AQ1986" t="inlineStr">
        <is>
          <t>Yes</t>
        </is>
      </c>
      <c r="AR1986">
        <f>HYPERLINK("http://catalog.hathitrust.org/Record/003174480","HathiTrust Record")</f>
        <v/>
      </c>
      <c r="AS1986">
        <f>HYPERLINK("https://creighton-primo.hosted.exlibrisgroup.com/primo-explore/search?tab=default_tab&amp;search_scope=EVERYTHING&amp;vid=01CRU&amp;lang=en_US&amp;offset=0&amp;query=any,contains,991002756999702656","Catalog Record")</f>
        <v/>
      </c>
      <c r="AT1986">
        <f>HYPERLINK("http://www.worldcat.org/oclc/36159638","WorldCat Record")</f>
        <v/>
      </c>
      <c r="AU1986" t="inlineStr">
        <is>
          <t>35662465:eng</t>
        </is>
      </c>
      <c r="AV1986" t="inlineStr">
        <is>
          <t>36159638</t>
        </is>
      </c>
      <c r="AW1986" t="inlineStr">
        <is>
          <t>991002756999702656</t>
        </is>
      </c>
      <c r="AX1986" t="inlineStr">
        <is>
          <t>991002756999702656</t>
        </is>
      </c>
      <c r="AY1986" t="inlineStr">
        <is>
          <t>2258861830002656</t>
        </is>
      </c>
      <c r="AZ1986" t="inlineStr">
        <is>
          <t>BOOK</t>
        </is>
      </c>
      <c r="BB1986" t="inlineStr">
        <is>
          <t>9780801429965</t>
        </is>
      </c>
      <c r="BC1986" t="inlineStr">
        <is>
          <t>32285003409595</t>
        </is>
      </c>
      <c r="BD1986" t="inlineStr">
        <is>
          <t>893257681</t>
        </is>
      </c>
    </row>
    <row r="1987">
      <c r="A1987" t="inlineStr">
        <is>
          <t>No</t>
        </is>
      </c>
      <c r="B1987" t="inlineStr">
        <is>
          <t>BX4668.A1 B413</t>
        </is>
      </c>
      <c r="C1987" t="inlineStr">
        <is>
          <t>0                      BX 4668000A  1                  B  413</t>
        </is>
      </c>
      <c r="D1987" t="inlineStr">
        <is>
          <t>We are now Catholics / [by] Rudolf Goethe [and others]. Edited by Karl Hardt. Translated from the German by Norman C. Reeves. With an introductory essay by Sylvester P.Theisen.</t>
        </is>
      </c>
      <c r="F1987" t="inlineStr">
        <is>
          <t>No</t>
        </is>
      </c>
      <c r="G1987" t="inlineStr">
        <is>
          <t>1</t>
        </is>
      </c>
      <c r="H1987" t="inlineStr">
        <is>
          <t>No</t>
        </is>
      </c>
      <c r="I1987" t="inlineStr">
        <is>
          <t>No</t>
        </is>
      </c>
      <c r="J1987" t="inlineStr">
        <is>
          <t>0</t>
        </is>
      </c>
      <c r="L1987" t="inlineStr">
        <is>
          <t>Westminster, Md. : Newman Press, 1959.</t>
        </is>
      </c>
      <c r="M1987" t="inlineStr">
        <is>
          <t>1959</t>
        </is>
      </c>
      <c r="O1987" t="inlineStr">
        <is>
          <t>eng</t>
        </is>
      </c>
      <c r="P1987" t="inlineStr">
        <is>
          <t>___</t>
        </is>
      </c>
      <c r="R1987" t="inlineStr">
        <is>
          <t xml:space="preserve">BX </t>
        </is>
      </c>
      <c r="S1987" t="n">
        <v>3</v>
      </c>
      <c r="T1987" t="n">
        <v>3</v>
      </c>
      <c r="U1987" t="inlineStr">
        <is>
          <t>1995-03-26</t>
        </is>
      </c>
      <c r="V1987" t="inlineStr">
        <is>
          <t>1995-03-26</t>
        </is>
      </c>
      <c r="W1987" t="inlineStr">
        <is>
          <t>1991-11-21</t>
        </is>
      </c>
      <c r="X1987" t="inlineStr">
        <is>
          <t>1991-11-21</t>
        </is>
      </c>
      <c r="Y1987" t="n">
        <v>162</v>
      </c>
      <c r="Z1987" t="n">
        <v>149</v>
      </c>
      <c r="AA1987" t="n">
        <v>153</v>
      </c>
      <c r="AB1987" t="n">
        <v>3</v>
      </c>
      <c r="AC1987" t="n">
        <v>3</v>
      </c>
      <c r="AD1987" t="n">
        <v>26</v>
      </c>
      <c r="AE1987" t="n">
        <v>28</v>
      </c>
      <c r="AF1987" t="n">
        <v>9</v>
      </c>
      <c r="AG1987" t="n">
        <v>9</v>
      </c>
      <c r="AH1987" t="n">
        <v>6</v>
      </c>
      <c r="AI1987" t="n">
        <v>7</v>
      </c>
      <c r="AJ1987" t="n">
        <v>21</v>
      </c>
      <c r="AK1987" t="n">
        <v>22</v>
      </c>
      <c r="AL1987" t="n">
        <v>0</v>
      </c>
      <c r="AM1987" t="n">
        <v>0</v>
      </c>
      <c r="AN1987" t="n">
        <v>0</v>
      </c>
      <c r="AO1987" t="n">
        <v>0</v>
      </c>
      <c r="AP1987" t="inlineStr">
        <is>
          <t>No</t>
        </is>
      </c>
      <c r="AQ1987" t="inlineStr">
        <is>
          <t>No</t>
        </is>
      </c>
      <c r="AS1987">
        <f>HYPERLINK("https://creighton-primo.hosted.exlibrisgroup.com/primo-explore/search?tab=default_tab&amp;search_scope=EVERYTHING&amp;vid=01CRU&amp;lang=en_US&amp;offset=0&amp;query=any,contains,991003103639702656","Catalog Record")</f>
        <v/>
      </c>
      <c r="AT1987">
        <f>HYPERLINK("http://www.worldcat.org/oclc/652610","WorldCat Record")</f>
        <v/>
      </c>
      <c r="AU1987" t="inlineStr">
        <is>
          <t>2287389563:eng</t>
        </is>
      </c>
      <c r="AV1987" t="inlineStr">
        <is>
          <t>652610</t>
        </is>
      </c>
      <c r="AW1987" t="inlineStr">
        <is>
          <t>991003103639702656</t>
        </is>
      </c>
      <c r="AX1987" t="inlineStr">
        <is>
          <t>991003103639702656</t>
        </is>
      </c>
      <c r="AY1987" t="inlineStr">
        <is>
          <t>2262775500002656</t>
        </is>
      </c>
      <c r="AZ1987" t="inlineStr">
        <is>
          <t>BOOK</t>
        </is>
      </c>
      <c r="BC1987" t="inlineStr">
        <is>
          <t>32285000855378</t>
        </is>
      </c>
      <c r="BD1987" t="inlineStr">
        <is>
          <t>893323764</t>
        </is>
      </c>
    </row>
    <row r="1988">
      <c r="A1988" t="inlineStr">
        <is>
          <t>No</t>
        </is>
      </c>
      <c r="B1988" t="inlineStr">
        <is>
          <t>BX4668.A1 I54 1987</t>
        </is>
      </c>
      <c r="C1988" t="inlineStr">
        <is>
          <t>0                      BX 4668000A  1                  I  54          1987</t>
        </is>
      </c>
      <c r="D1988" t="inlineStr">
        <is>
          <t>The Ingrafting : the conversion stories of ten Hebrew-Catholics / edited by Ronda Chervin.</t>
        </is>
      </c>
      <c r="F1988" t="inlineStr">
        <is>
          <t>No</t>
        </is>
      </c>
      <c r="G1988" t="inlineStr">
        <is>
          <t>1</t>
        </is>
      </c>
      <c r="H1988" t="inlineStr">
        <is>
          <t>No</t>
        </is>
      </c>
      <c r="I1988" t="inlineStr">
        <is>
          <t>No</t>
        </is>
      </c>
      <c r="J1988" t="inlineStr">
        <is>
          <t>0</t>
        </is>
      </c>
      <c r="L1988" t="inlineStr">
        <is>
          <t>Petersham, Mass. : St. Bede's Publications, c1987.</t>
        </is>
      </c>
      <c r="M1988" t="inlineStr">
        <is>
          <t>1987</t>
        </is>
      </c>
      <c r="O1988" t="inlineStr">
        <is>
          <t>eng</t>
        </is>
      </c>
      <c r="P1988" t="inlineStr">
        <is>
          <t>mau</t>
        </is>
      </c>
      <c r="R1988" t="inlineStr">
        <is>
          <t xml:space="preserve">BX </t>
        </is>
      </c>
      <c r="S1988" t="n">
        <v>2</v>
      </c>
      <c r="T1988" t="n">
        <v>2</v>
      </c>
      <c r="U1988" t="inlineStr">
        <is>
          <t>2005-08-30</t>
        </is>
      </c>
      <c r="V1988" t="inlineStr">
        <is>
          <t>2005-08-30</t>
        </is>
      </c>
      <c r="W1988" t="inlineStr">
        <is>
          <t>1991-11-21</t>
        </is>
      </c>
      <c r="X1988" t="inlineStr">
        <is>
          <t>1991-11-21</t>
        </is>
      </c>
      <c r="Y1988" t="n">
        <v>73</v>
      </c>
      <c r="Z1988" t="n">
        <v>69</v>
      </c>
      <c r="AA1988" t="n">
        <v>71</v>
      </c>
      <c r="AB1988" t="n">
        <v>2</v>
      </c>
      <c r="AC1988" t="n">
        <v>2</v>
      </c>
      <c r="AD1988" t="n">
        <v>6</v>
      </c>
      <c r="AE1988" t="n">
        <v>6</v>
      </c>
      <c r="AF1988" t="n">
        <v>1</v>
      </c>
      <c r="AG1988" t="n">
        <v>1</v>
      </c>
      <c r="AH1988" t="n">
        <v>1</v>
      </c>
      <c r="AI1988" t="n">
        <v>1</v>
      </c>
      <c r="AJ1988" t="n">
        <v>5</v>
      </c>
      <c r="AK1988" t="n">
        <v>5</v>
      </c>
      <c r="AL1988" t="n">
        <v>0</v>
      </c>
      <c r="AM1988" t="n">
        <v>0</v>
      </c>
      <c r="AN1988" t="n">
        <v>0</v>
      </c>
      <c r="AO1988" t="n">
        <v>0</v>
      </c>
      <c r="AP1988" t="inlineStr">
        <is>
          <t>No</t>
        </is>
      </c>
      <c r="AQ1988" t="inlineStr">
        <is>
          <t>No</t>
        </is>
      </c>
      <c r="AS1988">
        <f>HYPERLINK("https://creighton-primo.hosted.exlibrisgroup.com/primo-explore/search?tab=default_tab&amp;search_scope=EVERYTHING&amp;vid=01CRU&amp;lang=en_US&amp;offset=0&amp;query=any,contains,991001040459702656","Catalog Record")</f>
        <v/>
      </c>
      <c r="AT1988">
        <f>HYPERLINK("http://www.worldcat.org/oclc/15588748","WorldCat Record")</f>
        <v/>
      </c>
      <c r="AU1988" t="inlineStr">
        <is>
          <t>54950145:eng</t>
        </is>
      </c>
      <c r="AV1988" t="inlineStr">
        <is>
          <t>15588748</t>
        </is>
      </c>
      <c r="AW1988" t="inlineStr">
        <is>
          <t>991001040459702656</t>
        </is>
      </c>
      <c r="AX1988" t="inlineStr">
        <is>
          <t>991001040459702656</t>
        </is>
      </c>
      <c r="AY1988" t="inlineStr">
        <is>
          <t>2270265730002656</t>
        </is>
      </c>
      <c r="AZ1988" t="inlineStr">
        <is>
          <t>BOOK</t>
        </is>
      </c>
      <c r="BB1988" t="inlineStr">
        <is>
          <t>9780932506559</t>
        </is>
      </c>
      <c r="BC1988" t="inlineStr">
        <is>
          <t>32285000855386</t>
        </is>
      </c>
      <c r="BD1988" t="inlineStr">
        <is>
          <t>893407774</t>
        </is>
      </c>
    </row>
    <row r="1989">
      <c r="A1989" t="inlineStr">
        <is>
          <t>No</t>
        </is>
      </c>
      <c r="B1989" t="inlineStr">
        <is>
          <t>BX4668.A1 S65 1988</t>
        </is>
      </c>
      <c r="C1989" t="inlineStr">
        <is>
          <t>0                      BX 4668000A  1                  S  65          1988</t>
        </is>
      </c>
      <c r="D1989" t="inlineStr">
        <is>
          <t>Spiritual journeys : twenty-seven men and women share their faith experiences / foreword by Bernard Cardinal Law ; edited by Robert Baram.</t>
        </is>
      </c>
      <c r="F1989" t="inlineStr">
        <is>
          <t>No</t>
        </is>
      </c>
      <c r="G1989" t="inlineStr">
        <is>
          <t>1</t>
        </is>
      </c>
      <c r="H1989" t="inlineStr">
        <is>
          <t>No</t>
        </is>
      </c>
      <c r="I1989" t="inlineStr">
        <is>
          <t>No</t>
        </is>
      </c>
      <c r="J1989" t="inlineStr">
        <is>
          <t>0</t>
        </is>
      </c>
      <c r="L1989" t="inlineStr">
        <is>
          <t>Boston, MA : St. Paul Books &amp; Media, 1988, c1987.</t>
        </is>
      </c>
      <c r="M1989" t="inlineStr">
        <is>
          <t>1988</t>
        </is>
      </c>
      <c r="N1989" t="inlineStr">
        <is>
          <t>Rev.</t>
        </is>
      </c>
      <c r="O1989" t="inlineStr">
        <is>
          <t>eng</t>
        </is>
      </c>
      <c r="P1989" t="inlineStr">
        <is>
          <t>mau</t>
        </is>
      </c>
      <c r="R1989" t="inlineStr">
        <is>
          <t xml:space="preserve">BX </t>
        </is>
      </c>
      <c r="S1989" t="n">
        <v>5</v>
      </c>
      <c r="T1989" t="n">
        <v>5</v>
      </c>
      <c r="U1989" t="inlineStr">
        <is>
          <t>2002-07-30</t>
        </is>
      </c>
      <c r="V1989" t="inlineStr">
        <is>
          <t>2002-07-30</t>
        </is>
      </c>
      <c r="W1989" t="inlineStr">
        <is>
          <t>1991-11-21</t>
        </is>
      </c>
      <c r="X1989" t="inlineStr">
        <is>
          <t>1991-11-21</t>
        </is>
      </c>
      <c r="Y1989" t="n">
        <v>41</v>
      </c>
      <c r="Z1989" t="n">
        <v>37</v>
      </c>
      <c r="AA1989" t="n">
        <v>57</v>
      </c>
      <c r="AB1989" t="n">
        <v>2</v>
      </c>
      <c r="AC1989" t="n">
        <v>2</v>
      </c>
      <c r="AD1989" t="n">
        <v>3</v>
      </c>
      <c r="AE1989" t="n">
        <v>7</v>
      </c>
      <c r="AF1989" t="n">
        <v>0</v>
      </c>
      <c r="AG1989" t="n">
        <v>0</v>
      </c>
      <c r="AH1989" t="n">
        <v>0</v>
      </c>
      <c r="AI1989" t="n">
        <v>1</v>
      </c>
      <c r="AJ1989" t="n">
        <v>3</v>
      </c>
      <c r="AK1989" t="n">
        <v>7</v>
      </c>
      <c r="AL1989" t="n">
        <v>0</v>
      </c>
      <c r="AM1989" t="n">
        <v>0</v>
      </c>
      <c r="AN1989" t="n">
        <v>0</v>
      </c>
      <c r="AO1989" t="n">
        <v>0</v>
      </c>
      <c r="AP1989" t="inlineStr">
        <is>
          <t>No</t>
        </is>
      </c>
      <c r="AQ1989" t="inlineStr">
        <is>
          <t>No</t>
        </is>
      </c>
      <c r="AS1989">
        <f>HYPERLINK("https://creighton-primo.hosted.exlibrisgroup.com/primo-explore/search?tab=default_tab&amp;search_scope=EVERYTHING&amp;vid=01CRU&amp;lang=en_US&amp;offset=0&amp;query=any,contains,991001032389702656","Catalog Record")</f>
        <v/>
      </c>
      <c r="AT1989">
        <f>HYPERLINK("http://www.worldcat.org/oclc/15519907","WorldCat Record")</f>
        <v/>
      </c>
      <c r="AU1989" t="inlineStr">
        <is>
          <t>54950006:eng</t>
        </is>
      </c>
      <c r="AV1989" t="inlineStr">
        <is>
          <t>15519907</t>
        </is>
      </c>
      <c r="AW1989" t="inlineStr">
        <is>
          <t>991001032389702656</t>
        </is>
      </c>
      <c r="AX1989" t="inlineStr">
        <is>
          <t>991001032389702656</t>
        </is>
      </c>
      <c r="AY1989" t="inlineStr">
        <is>
          <t>2265288100002656</t>
        </is>
      </c>
      <c r="AZ1989" t="inlineStr">
        <is>
          <t>BOOK</t>
        </is>
      </c>
      <c r="BB1989" t="inlineStr">
        <is>
          <t>9780819868763</t>
        </is>
      </c>
      <c r="BC1989" t="inlineStr">
        <is>
          <t>32285000855394</t>
        </is>
      </c>
      <c r="BD1989" t="inlineStr">
        <is>
          <t>893522227</t>
        </is>
      </c>
    </row>
    <row r="1990">
      <c r="A1990" t="inlineStr">
        <is>
          <t>No</t>
        </is>
      </c>
      <c r="B1990" t="inlineStr">
        <is>
          <t>BX4669 .G68</t>
        </is>
      </c>
      <c r="C1990" t="inlineStr">
        <is>
          <t>0                      BX 4669000G  68</t>
        </is>
      </c>
      <c r="D1990" t="inlineStr">
        <is>
          <t>Divine disobedience : profiles in Catholic radicalism / Francine de Plessix Gray.</t>
        </is>
      </c>
      <c r="F1990" t="inlineStr">
        <is>
          <t>No</t>
        </is>
      </c>
      <c r="G1990" t="inlineStr">
        <is>
          <t>1</t>
        </is>
      </c>
      <c r="H1990" t="inlineStr">
        <is>
          <t>No</t>
        </is>
      </c>
      <c r="I1990" t="inlineStr">
        <is>
          <t>No</t>
        </is>
      </c>
      <c r="J1990" t="inlineStr">
        <is>
          <t>0</t>
        </is>
      </c>
      <c r="K1990" t="inlineStr">
        <is>
          <t>Gray, Francine du Plessix.</t>
        </is>
      </c>
      <c r="L1990" t="inlineStr">
        <is>
          <t>New York : Knopf, 1970.</t>
        </is>
      </c>
      <c r="M1990" t="inlineStr">
        <is>
          <t>1970</t>
        </is>
      </c>
      <c r="N1990" t="inlineStr">
        <is>
          <t>[1st ed.]</t>
        </is>
      </c>
      <c r="O1990" t="inlineStr">
        <is>
          <t>eng</t>
        </is>
      </c>
      <c r="P1990" t="inlineStr">
        <is>
          <t>nyu</t>
        </is>
      </c>
      <c r="R1990" t="inlineStr">
        <is>
          <t xml:space="preserve">BX </t>
        </is>
      </c>
      <c r="S1990" t="n">
        <v>7</v>
      </c>
      <c r="T1990" t="n">
        <v>7</v>
      </c>
      <c r="U1990" t="inlineStr">
        <is>
          <t>2008-11-30</t>
        </is>
      </c>
      <c r="V1990" t="inlineStr">
        <is>
          <t>2008-11-30</t>
        </is>
      </c>
      <c r="W1990" t="inlineStr">
        <is>
          <t>1991-11-22</t>
        </is>
      </c>
      <c r="X1990" t="inlineStr">
        <is>
          <t>1991-11-22</t>
        </is>
      </c>
      <c r="Y1990" t="n">
        <v>638</v>
      </c>
      <c r="Z1990" t="n">
        <v>594</v>
      </c>
      <c r="AA1990" t="n">
        <v>649</v>
      </c>
      <c r="AB1990" t="n">
        <v>6</v>
      </c>
      <c r="AC1990" t="n">
        <v>6</v>
      </c>
      <c r="AD1990" t="n">
        <v>40</v>
      </c>
      <c r="AE1990" t="n">
        <v>41</v>
      </c>
      <c r="AF1990" t="n">
        <v>14</v>
      </c>
      <c r="AG1990" t="n">
        <v>15</v>
      </c>
      <c r="AH1990" t="n">
        <v>9</v>
      </c>
      <c r="AI1990" t="n">
        <v>10</v>
      </c>
      <c r="AJ1990" t="n">
        <v>22</v>
      </c>
      <c r="AK1990" t="n">
        <v>22</v>
      </c>
      <c r="AL1990" t="n">
        <v>5</v>
      </c>
      <c r="AM1990" t="n">
        <v>5</v>
      </c>
      <c r="AN1990" t="n">
        <v>0</v>
      </c>
      <c r="AO1990" t="n">
        <v>0</v>
      </c>
      <c r="AP1990" t="inlineStr">
        <is>
          <t>No</t>
        </is>
      </c>
      <c r="AQ1990" t="inlineStr">
        <is>
          <t>Yes</t>
        </is>
      </c>
      <c r="AR1990">
        <f>HYPERLINK("http://catalog.hathitrust.org/Record/001591507","HathiTrust Record")</f>
        <v/>
      </c>
      <c r="AS1990">
        <f>HYPERLINK("https://creighton-primo.hosted.exlibrisgroup.com/primo-explore/search?tab=default_tab&amp;search_scope=EVERYTHING&amp;vid=01CRU&amp;lang=en_US&amp;offset=0&amp;query=any,contains,991000499559702656","Catalog Record")</f>
        <v/>
      </c>
      <c r="AT1990">
        <f>HYPERLINK("http://www.worldcat.org/oclc/81162","WorldCat Record")</f>
        <v/>
      </c>
      <c r="AU1990" t="inlineStr">
        <is>
          <t>2285536:eng</t>
        </is>
      </c>
      <c r="AV1990" t="inlineStr">
        <is>
          <t>81162</t>
        </is>
      </c>
      <c r="AW1990" t="inlineStr">
        <is>
          <t>991000499559702656</t>
        </is>
      </c>
      <c r="AX1990" t="inlineStr">
        <is>
          <t>991000499559702656</t>
        </is>
      </c>
      <c r="AY1990" t="inlineStr">
        <is>
          <t>2269792160002656</t>
        </is>
      </c>
      <c r="AZ1990" t="inlineStr">
        <is>
          <t>BOOK</t>
        </is>
      </c>
      <c r="BC1990" t="inlineStr">
        <is>
          <t>32285000855931</t>
        </is>
      </c>
      <c r="BD1990" t="inlineStr">
        <is>
          <t>893796712</t>
        </is>
      </c>
    </row>
    <row r="1991">
      <c r="A1991" t="inlineStr">
        <is>
          <t>No</t>
        </is>
      </c>
      <c r="B1991" t="inlineStr">
        <is>
          <t>BX4669 .H67 1909</t>
        </is>
      </c>
      <c r="C1991" t="inlineStr">
        <is>
          <t>0                      BX 4669000H  67          1909</t>
        </is>
      </c>
      <c r="D1991" t="inlineStr">
        <is>
          <t>Great Catholic laymen / by John J. Horgan.</t>
        </is>
      </c>
      <c r="F1991" t="inlineStr">
        <is>
          <t>No</t>
        </is>
      </c>
      <c r="G1991" t="inlineStr">
        <is>
          <t>1</t>
        </is>
      </c>
      <c r="H1991" t="inlineStr">
        <is>
          <t>No</t>
        </is>
      </c>
      <c r="I1991" t="inlineStr">
        <is>
          <t>No</t>
        </is>
      </c>
      <c r="J1991" t="inlineStr">
        <is>
          <t>0</t>
        </is>
      </c>
      <c r="K1991" t="inlineStr">
        <is>
          <t>Horgan, John J. (John Joseph), 1881-1967.</t>
        </is>
      </c>
      <c r="L1991" t="inlineStr">
        <is>
          <t>New York : Benziger, 1909.</t>
        </is>
      </c>
      <c r="M1991" t="inlineStr">
        <is>
          <t>1909</t>
        </is>
      </c>
      <c r="O1991" t="inlineStr">
        <is>
          <t>eng</t>
        </is>
      </c>
      <c r="P1991" t="inlineStr">
        <is>
          <t>nyu</t>
        </is>
      </c>
      <c r="R1991" t="inlineStr">
        <is>
          <t xml:space="preserve">BX </t>
        </is>
      </c>
      <c r="S1991" t="n">
        <v>3</v>
      </c>
      <c r="T1991" t="n">
        <v>3</v>
      </c>
      <c r="U1991" t="inlineStr">
        <is>
          <t>1999-02-16</t>
        </is>
      </c>
      <c r="V1991" t="inlineStr">
        <is>
          <t>1999-02-16</t>
        </is>
      </c>
      <c r="W1991" t="inlineStr">
        <is>
          <t>1991-11-22</t>
        </is>
      </c>
      <c r="X1991" t="inlineStr">
        <is>
          <t>1991-11-22</t>
        </is>
      </c>
      <c r="Y1991" t="n">
        <v>11</v>
      </c>
      <c r="Z1991" t="n">
        <v>10</v>
      </c>
      <c r="AA1991" t="n">
        <v>75</v>
      </c>
      <c r="AB1991" t="n">
        <v>1</v>
      </c>
      <c r="AC1991" t="n">
        <v>1</v>
      </c>
      <c r="AD1991" t="n">
        <v>4</v>
      </c>
      <c r="AE1991" t="n">
        <v>16</v>
      </c>
      <c r="AF1991" t="n">
        <v>2</v>
      </c>
      <c r="AG1991" t="n">
        <v>6</v>
      </c>
      <c r="AH1991" t="n">
        <v>0</v>
      </c>
      <c r="AI1991" t="n">
        <v>3</v>
      </c>
      <c r="AJ1991" t="n">
        <v>4</v>
      </c>
      <c r="AK1991" t="n">
        <v>13</v>
      </c>
      <c r="AL1991" t="n">
        <v>0</v>
      </c>
      <c r="AM1991" t="n">
        <v>0</v>
      </c>
      <c r="AN1991" t="n">
        <v>0</v>
      </c>
      <c r="AO1991" t="n">
        <v>0</v>
      </c>
      <c r="AP1991" t="inlineStr">
        <is>
          <t>No</t>
        </is>
      </c>
      <c r="AQ1991" t="inlineStr">
        <is>
          <t>No</t>
        </is>
      </c>
      <c r="AS1991">
        <f>HYPERLINK("https://creighton-primo.hosted.exlibrisgroup.com/primo-explore/search?tab=default_tab&amp;search_scope=EVERYTHING&amp;vid=01CRU&amp;lang=en_US&amp;offset=0&amp;query=any,contains,991004708039702656","Catalog Record")</f>
        <v/>
      </c>
      <c r="AT1991">
        <f>HYPERLINK("http://www.worldcat.org/oclc/4732767","WorldCat Record")</f>
        <v/>
      </c>
      <c r="AU1991" t="inlineStr">
        <is>
          <t>3823379:eng</t>
        </is>
      </c>
      <c r="AV1991" t="inlineStr">
        <is>
          <t>4732767</t>
        </is>
      </c>
      <c r="AW1991" t="inlineStr">
        <is>
          <t>991004708039702656</t>
        </is>
      </c>
      <c r="AX1991" t="inlineStr">
        <is>
          <t>991004708039702656</t>
        </is>
      </c>
      <c r="AY1991" t="inlineStr">
        <is>
          <t>2262314790002656</t>
        </is>
      </c>
      <c r="AZ1991" t="inlineStr">
        <is>
          <t>BOOK</t>
        </is>
      </c>
      <c r="BC1991" t="inlineStr">
        <is>
          <t>32285000855949</t>
        </is>
      </c>
      <c r="BD1991" t="inlineStr">
        <is>
          <t>893436654</t>
        </is>
      </c>
    </row>
    <row r="1992">
      <c r="A1992" t="inlineStr">
        <is>
          <t>No</t>
        </is>
      </c>
      <c r="B1992" t="inlineStr">
        <is>
          <t>BX4669 .S47 1954</t>
        </is>
      </c>
      <c r="C1992" t="inlineStr">
        <is>
          <t>0                      BX 4669000S  47          1954</t>
        </is>
      </c>
      <c r="D1992" t="inlineStr">
        <is>
          <t>Born Catholics.</t>
        </is>
      </c>
      <c r="F1992" t="inlineStr">
        <is>
          <t>No</t>
        </is>
      </c>
      <c r="G1992" t="inlineStr">
        <is>
          <t>1</t>
        </is>
      </c>
      <c r="H1992" t="inlineStr">
        <is>
          <t>No</t>
        </is>
      </c>
      <c r="I1992" t="inlineStr">
        <is>
          <t>No</t>
        </is>
      </c>
      <c r="J1992" t="inlineStr">
        <is>
          <t>0</t>
        </is>
      </c>
      <c r="K1992" t="inlineStr">
        <is>
          <t>Sheed, F. J. (Francis Joseph), 1897-1981, compiler.</t>
        </is>
      </c>
      <c r="L1992" t="inlineStr">
        <is>
          <t>New York : Sheed &amp; Ward, 1954.</t>
        </is>
      </c>
      <c r="M1992" t="inlineStr">
        <is>
          <t>1954</t>
        </is>
      </c>
      <c r="O1992" t="inlineStr">
        <is>
          <t>eng</t>
        </is>
      </c>
      <c r="P1992" t="inlineStr">
        <is>
          <t xml:space="preserve">xx </t>
        </is>
      </c>
      <c r="R1992" t="inlineStr">
        <is>
          <t xml:space="preserve">BX </t>
        </is>
      </c>
      <c r="S1992" t="n">
        <v>2</v>
      </c>
      <c r="T1992" t="n">
        <v>2</v>
      </c>
      <c r="U1992" t="inlineStr">
        <is>
          <t>1998-03-12</t>
        </is>
      </c>
      <c r="V1992" t="inlineStr">
        <is>
          <t>1998-03-12</t>
        </is>
      </c>
      <c r="W1992" t="inlineStr">
        <is>
          <t>1991-07-11</t>
        </is>
      </c>
      <c r="X1992" t="inlineStr">
        <is>
          <t>1991-07-11</t>
        </is>
      </c>
      <c r="Y1992" t="n">
        <v>239</v>
      </c>
      <c r="Z1992" t="n">
        <v>219</v>
      </c>
      <c r="AA1992" t="n">
        <v>234</v>
      </c>
      <c r="AB1992" t="n">
        <v>2</v>
      </c>
      <c r="AC1992" t="n">
        <v>2</v>
      </c>
      <c r="AD1992" t="n">
        <v>24</v>
      </c>
      <c r="AE1992" t="n">
        <v>25</v>
      </c>
      <c r="AF1992" t="n">
        <v>7</v>
      </c>
      <c r="AG1992" t="n">
        <v>7</v>
      </c>
      <c r="AH1992" t="n">
        <v>7</v>
      </c>
      <c r="AI1992" t="n">
        <v>7</v>
      </c>
      <c r="AJ1992" t="n">
        <v>18</v>
      </c>
      <c r="AK1992" t="n">
        <v>19</v>
      </c>
      <c r="AL1992" t="n">
        <v>0</v>
      </c>
      <c r="AM1992" t="n">
        <v>0</v>
      </c>
      <c r="AN1992" t="n">
        <v>0</v>
      </c>
      <c r="AO1992" t="n">
        <v>0</v>
      </c>
      <c r="AP1992" t="inlineStr">
        <is>
          <t>No</t>
        </is>
      </c>
      <c r="AQ1992" t="inlineStr">
        <is>
          <t>Yes</t>
        </is>
      </c>
      <c r="AR1992">
        <f>HYPERLINK("http://catalog.hathitrust.org/Record/007035737","HathiTrust Record")</f>
        <v/>
      </c>
      <c r="AS1992">
        <f>HYPERLINK("https://creighton-primo.hosted.exlibrisgroup.com/primo-explore/search?tab=default_tab&amp;search_scope=EVERYTHING&amp;vid=01CRU&amp;lang=en_US&amp;offset=0&amp;query=any,contains,991002287229702656","Catalog Record")</f>
        <v/>
      </c>
      <c r="AT1992">
        <f>HYPERLINK("http://www.worldcat.org/oclc/311821","WorldCat Record")</f>
        <v/>
      </c>
      <c r="AU1992" t="inlineStr">
        <is>
          <t>133800841:eng</t>
        </is>
      </c>
      <c r="AV1992" t="inlineStr">
        <is>
          <t>311821</t>
        </is>
      </c>
      <c r="AW1992" t="inlineStr">
        <is>
          <t>991002287229702656</t>
        </is>
      </c>
      <c r="AX1992" t="inlineStr">
        <is>
          <t>991002287229702656</t>
        </is>
      </c>
      <c r="AY1992" t="inlineStr">
        <is>
          <t>2272514380002656</t>
        </is>
      </c>
      <c r="AZ1992" t="inlineStr">
        <is>
          <t>BOOK</t>
        </is>
      </c>
      <c r="BC1992" t="inlineStr">
        <is>
          <t>32285000637594</t>
        </is>
      </c>
      <c r="BD1992" t="inlineStr">
        <is>
          <t>893427434</t>
        </is>
      </c>
    </row>
    <row r="1993">
      <c r="A1993" t="inlineStr">
        <is>
          <t>No</t>
        </is>
      </c>
      <c r="B1993" t="inlineStr">
        <is>
          <t>BX4670 .K86 1998</t>
        </is>
      </c>
      <c r="C1993" t="inlineStr">
        <is>
          <t>0                      BX 4670000K  86          1998</t>
        </is>
      </c>
      <c r="D1993" t="inlineStr">
        <is>
          <t>Enormous prayers : a journey into the priesthood / Thomas Kunkel.</t>
        </is>
      </c>
      <c r="F1993" t="inlineStr">
        <is>
          <t>No</t>
        </is>
      </c>
      <c r="G1993" t="inlineStr">
        <is>
          <t>1</t>
        </is>
      </c>
      <c r="H1993" t="inlineStr">
        <is>
          <t>No</t>
        </is>
      </c>
      <c r="I1993" t="inlineStr">
        <is>
          <t>No</t>
        </is>
      </c>
      <c r="J1993" t="inlineStr">
        <is>
          <t>0</t>
        </is>
      </c>
      <c r="K1993" t="inlineStr">
        <is>
          <t>Kunkel, Thomas, 1955-</t>
        </is>
      </c>
      <c r="L1993" t="inlineStr">
        <is>
          <t>Boulder, Colo. : Westview Press, 1998.</t>
        </is>
      </c>
      <c r="M1993" t="inlineStr">
        <is>
          <t>1998</t>
        </is>
      </c>
      <c r="O1993" t="inlineStr">
        <is>
          <t>eng</t>
        </is>
      </c>
      <c r="P1993" t="inlineStr">
        <is>
          <t>cou</t>
        </is>
      </c>
      <c r="R1993" t="inlineStr">
        <is>
          <t xml:space="preserve">BX </t>
        </is>
      </c>
      <c r="S1993" t="n">
        <v>5</v>
      </c>
      <c r="T1993" t="n">
        <v>5</v>
      </c>
      <c r="U1993" t="inlineStr">
        <is>
          <t>2007-05-16</t>
        </is>
      </c>
      <c r="V1993" t="inlineStr">
        <is>
          <t>2007-05-16</t>
        </is>
      </c>
      <c r="W1993" t="inlineStr">
        <is>
          <t>1998-12-02</t>
        </is>
      </c>
      <c r="X1993" t="inlineStr">
        <is>
          <t>1998-12-02</t>
        </is>
      </c>
      <c r="Y1993" t="n">
        <v>257</v>
      </c>
      <c r="Z1993" t="n">
        <v>237</v>
      </c>
      <c r="AA1993" t="n">
        <v>242</v>
      </c>
      <c r="AB1993" t="n">
        <v>2</v>
      </c>
      <c r="AC1993" t="n">
        <v>2</v>
      </c>
      <c r="AD1993" t="n">
        <v>12</v>
      </c>
      <c r="AE1993" t="n">
        <v>12</v>
      </c>
      <c r="AF1993" t="n">
        <v>2</v>
      </c>
      <c r="AG1993" t="n">
        <v>2</v>
      </c>
      <c r="AH1993" t="n">
        <v>3</v>
      </c>
      <c r="AI1993" t="n">
        <v>3</v>
      </c>
      <c r="AJ1993" t="n">
        <v>10</v>
      </c>
      <c r="AK1993" t="n">
        <v>10</v>
      </c>
      <c r="AL1993" t="n">
        <v>0</v>
      </c>
      <c r="AM1993" t="n">
        <v>0</v>
      </c>
      <c r="AN1993" t="n">
        <v>0</v>
      </c>
      <c r="AO1993" t="n">
        <v>0</v>
      </c>
      <c r="AP1993" t="inlineStr">
        <is>
          <t>No</t>
        </is>
      </c>
      <c r="AQ1993" t="inlineStr">
        <is>
          <t>No</t>
        </is>
      </c>
      <c r="AS1993">
        <f>HYPERLINK("https://creighton-primo.hosted.exlibrisgroup.com/primo-explore/search?tab=default_tab&amp;search_scope=EVERYTHING&amp;vid=01CRU&amp;lang=en_US&amp;offset=0&amp;query=any,contains,991002876559702656","Catalog Record")</f>
        <v/>
      </c>
      <c r="AT1993">
        <f>HYPERLINK("http://www.worldcat.org/oclc/37903556","WorldCat Record")</f>
        <v/>
      </c>
      <c r="AU1993" t="inlineStr">
        <is>
          <t>837020218:eng</t>
        </is>
      </c>
      <c r="AV1993" t="inlineStr">
        <is>
          <t>37903556</t>
        </is>
      </c>
      <c r="AW1993" t="inlineStr">
        <is>
          <t>991002876559702656</t>
        </is>
      </c>
      <c r="AX1993" t="inlineStr">
        <is>
          <t>991002876559702656</t>
        </is>
      </c>
      <c r="AY1993" t="inlineStr">
        <is>
          <t>2256244920002656</t>
        </is>
      </c>
      <c r="AZ1993" t="inlineStr">
        <is>
          <t>BOOK</t>
        </is>
      </c>
      <c r="BB1993" t="inlineStr">
        <is>
          <t>9780813334646</t>
        </is>
      </c>
      <c r="BC1993" t="inlineStr">
        <is>
          <t>32285003492963</t>
        </is>
      </c>
      <c r="BD1993" t="inlineStr">
        <is>
          <t>893610405</t>
        </is>
      </c>
    </row>
    <row r="1994">
      <c r="A1994" t="inlineStr">
        <is>
          <t>No</t>
        </is>
      </c>
      <c r="B1994" t="inlineStr">
        <is>
          <t>BX4670 .N48 1985</t>
        </is>
      </c>
      <c r="C1994" t="inlineStr">
        <is>
          <t>0                      BX 4670000N  48          1985</t>
        </is>
      </c>
      <c r="D1994" t="inlineStr">
        <is>
          <t>Builders of Catholic America / Albert J. Nevins.</t>
        </is>
      </c>
      <c r="F1994" t="inlineStr">
        <is>
          <t>No</t>
        </is>
      </c>
      <c r="G1994" t="inlineStr">
        <is>
          <t>1</t>
        </is>
      </c>
      <c r="H1994" t="inlineStr">
        <is>
          <t>No</t>
        </is>
      </c>
      <c r="I1994" t="inlineStr">
        <is>
          <t>No</t>
        </is>
      </c>
      <c r="J1994" t="inlineStr">
        <is>
          <t>0</t>
        </is>
      </c>
      <c r="K1994" t="inlineStr">
        <is>
          <t>Nevins, Albert J., 1915-1997.</t>
        </is>
      </c>
      <c r="L1994" t="inlineStr">
        <is>
          <t>Huntington, Ind. : Our Sunday Visitor Pub., c1985.</t>
        </is>
      </c>
      <c r="M1994" t="inlineStr">
        <is>
          <t>1985</t>
        </is>
      </c>
      <c r="O1994" t="inlineStr">
        <is>
          <t>eng</t>
        </is>
      </c>
      <c r="P1994" t="inlineStr">
        <is>
          <t>inu</t>
        </is>
      </c>
      <c r="R1994" t="inlineStr">
        <is>
          <t xml:space="preserve">BX </t>
        </is>
      </c>
      <c r="S1994" t="n">
        <v>2</v>
      </c>
      <c r="T1994" t="n">
        <v>2</v>
      </c>
      <c r="U1994" t="inlineStr">
        <is>
          <t>2010-04-15</t>
        </is>
      </c>
      <c r="V1994" t="inlineStr">
        <is>
          <t>2010-04-15</t>
        </is>
      </c>
      <c r="W1994" t="inlineStr">
        <is>
          <t>1991-11-22</t>
        </is>
      </c>
      <c r="X1994" t="inlineStr">
        <is>
          <t>1991-11-22</t>
        </is>
      </c>
      <c r="Y1994" t="n">
        <v>91</v>
      </c>
      <c r="Z1994" t="n">
        <v>85</v>
      </c>
      <c r="AA1994" t="n">
        <v>85</v>
      </c>
      <c r="AB1994" t="n">
        <v>2</v>
      </c>
      <c r="AC1994" t="n">
        <v>2</v>
      </c>
      <c r="AD1994" t="n">
        <v>11</v>
      </c>
      <c r="AE1994" t="n">
        <v>11</v>
      </c>
      <c r="AF1994" t="n">
        <v>1</v>
      </c>
      <c r="AG1994" t="n">
        <v>1</v>
      </c>
      <c r="AH1994" t="n">
        <v>4</v>
      </c>
      <c r="AI1994" t="n">
        <v>4</v>
      </c>
      <c r="AJ1994" t="n">
        <v>8</v>
      </c>
      <c r="AK1994" t="n">
        <v>8</v>
      </c>
      <c r="AL1994" t="n">
        <v>0</v>
      </c>
      <c r="AM1994" t="n">
        <v>0</v>
      </c>
      <c r="AN1994" t="n">
        <v>0</v>
      </c>
      <c r="AO1994" t="n">
        <v>0</v>
      </c>
      <c r="AP1994" t="inlineStr">
        <is>
          <t>No</t>
        </is>
      </c>
      <c r="AQ1994" t="inlineStr">
        <is>
          <t>No</t>
        </is>
      </c>
      <c r="AS1994">
        <f>HYPERLINK("https://creighton-primo.hosted.exlibrisgroup.com/primo-explore/search?tab=default_tab&amp;search_scope=EVERYTHING&amp;vid=01CRU&amp;lang=en_US&amp;offset=0&amp;query=any,contains,991000751509702656","Catalog Record")</f>
        <v/>
      </c>
      <c r="AT1994">
        <f>HYPERLINK("http://www.worldcat.org/oclc/12933588","WorldCat Record")</f>
        <v/>
      </c>
      <c r="AU1994" t="inlineStr">
        <is>
          <t>5726481:eng</t>
        </is>
      </c>
      <c r="AV1994" t="inlineStr">
        <is>
          <t>12933588</t>
        </is>
      </c>
      <c r="AW1994" t="inlineStr">
        <is>
          <t>991000751509702656</t>
        </is>
      </c>
      <c r="AX1994" t="inlineStr">
        <is>
          <t>991000751509702656</t>
        </is>
      </c>
      <c r="AY1994" t="inlineStr">
        <is>
          <t>2256146370002656</t>
        </is>
      </c>
      <c r="AZ1994" t="inlineStr">
        <is>
          <t>BOOK</t>
        </is>
      </c>
      <c r="BB1994" t="inlineStr">
        <is>
          <t>9780879735821</t>
        </is>
      </c>
      <c r="BC1994" t="inlineStr">
        <is>
          <t>32285000856053</t>
        </is>
      </c>
      <c r="BD1994" t="inlineStr">
        <is>
          <t>893413647</t>
        </is>
      </c>
    </row>
    <row r="1995">
      <c r="A1995" t="inlineStr">
        <is>
          <t>No</t>
        </is>
      </c>
      <c r="B1995" t="inlineStr">
        <is>
          <t>BX4700 .A5 1966</t>
        </is>
      </c>
      <c r="C1995" t="inlineStr">
        <is>
          <t>0                      BX 4700000A  5           1966</t>
        </is>
      </c>
      <c r="D1995" t="inlineStr">
        <is>
          <t>The English correspondence of Saint Boniface: being for the most part letters exchanged between the apostle of the Germans and his English friends / translated and edited with an introductory sketch of the Saint's life by Edward Kylie.</t>
        </is>
      </c>
      <c r="F1995" t="inlineStr">
        <is>
          <t>No</t>
        </is>
      </c>
      <c r="G1995" t="inlineStr">
        <is>
          <t>1</t>
        </is>
      </c>
      <c r="H1995" t="inlineStr">
        <is>
          <t>No</t>
        </is>
      </c>
      <c r="I1995" t="inlineStr">
        <is>
          <t>No</t>
        </is>
      </c>
      <c r="J1995" t="inlineStr">
        <is>
          <t>0</t>
        </is>
      </c>
      <c r="K1995" t="inlineStr">
        <is>
          <t>Boniface, Saint, Archbishop of Mainz, approximately 675-754.</t>
        </is>
      </c>
      <c r="L1995" t="inlineStr">
        <is>
          <t>New York, Cooper Square Publishers, 1966.</t>
        </is>
      </c>
      <c r="M1995" t="inlineStr">
        <is>
          <t>1966</t>
        </is>
      </c>
      <c r="O1995" t="inlineStr">
        <is>
          <t>eng</t>
        </is>
      </c>
      <c r="P1995" t="inlineStr">
        <is>
          <t>___</t>
        </is>
      </c>
      <c r="Q1995" t="inlineStr">
        <is>
          <t>The Medieval library</t>
        </is>
      </c>
      <c r="R1995" t="inlineStr">
        <is>
          <t xml:space="preserve">BX </t>
        </is>
      </c>
      <c r="S1995" t="n">
        <v>5</v>
      </c>
      <c r="T1995" t="n">
        <v>5</v>
      </c>
      <c r="U1995" t="inlineStr">
        <is>
          <t>2001-02-12</t>
        </is>
      </c>
      <c r="V1995" t="inlineStr">
        <is>
          <t>2001-02-12</t>
        </is>
      </c>
      <c r="W1995" t="inlineStr">
        <is>
          <t>1991-11-22</t>
        </is>
      </c>
      <c r="X1995" t="inlineStr">
        <is>
          <t>1991-11-22</t>
        </is>
      </c>
      <c r="Y1995" t="n">
        <v>465</v>
      </c>
      <c r="Z1995" t="n">
        <v>410</v>
      </c>
      <c r="AA1995" t="n">
        <v>481</v>
      </c>
      <c r="AB1995" t="n">
        <v>7</v>
      </c>
      <c r="AC1995" t="n">
        <v>7</v>
      </c>
      <c r="AD1995" t="n">
        <v>23</v>
      </c>
      <c r="AE1995" t="n">
        <v>27</v>
      </c>
      <c r="AF1995" t="n">
        <v>6</v>
      </c>
      <c r="AG1995" t="n">
        <v>7</v>
      </c>
      <c r="AH1995" t="n">
        <v>3</v>
      </c>
      <c r="AI1995" t="n">
        <v>5</v>
      </c>
      <c r="AJ1995" t="n">
        <v>12</v>
      </c>
      <c r="AK1995" t="n">
        <v>14</v>
      </c>
      <c r="AL1995" t="n">
        <v>6</v>
      </c>
      <c r="AM1995" t="n">
        <v>6</v>
      </c>
      <c r="AN1995" t="n">
        <v>0</v>
      </c>
      <c r="AO1995" t="n">
        <v>0</v>
      </c>
      <c r="AP1995" t="inlineStr">
        <is>
          <t>No</t>
        </is>
      </c>
      <c r="AQ1995" t="inlineStr">
        <is>
          <t>Yes</t>
        </is>
      </c>
      <c r="AR1995">
        <f>HYPERLINK("http://catalog.hathitrust.org/Record/009907009","HathiTrust Record")</f>
        <v/>
      </c>
      <c r="AS1995">
        <f>HYPERLINK("https://creighton-primo.hosted.exlibrisgroup.com/primo-explore/search?tab=default_tab&amp;search_scope=EVERYTHING&amp;vid=01CRU&amp;lang=en_US&amp;offset=0&amp;query=any,contains,991002680679702656","Catalog Record")</f>
        <v/>
      </c>
      <c r="AT1995">
        <f>HYPERLINK("http://www.worldcat.org/oclc/172281","WorldCat Record")</f>
        <v/>
      </c>
      <c r="AU1995" t="inlineStr">
        <is>
          <t>62908704:eng</t>
        </is>
      </c>
      <c r="AV1995" t="inlineStr">
        <is>
          <t>172281</t>
        </is>
      </c>
      <c r="AW1995" t="inlineStr">
        <is>
          <t>991002680679702656</t>
        </is>
      </c>
      <c r="AX1995" t="inlineStr">
        <is>
          <t>991002680679702656</t>
        </is>
      </c>
      <c r="AY1995" t="inlineStr">
        <is>
          <t>2259720040002656</t>
        </is>
      </c>
      <c r="AZ1995" t="inlineStr">
        <is>
          <t>BOOK</t>
        </is>
      </c>
      <c r="BC1995" t="inlineStr">
        <is>
          <t>32285000856236</t>
        </is>
      </c>
      <c r="BD1995" t="inlineStr">
        <is>
          <t>893427877</t>
        </is>
      </c>
    </row>
    <row r="1996">
      <c r="A1996" t="inlineStr">
        <is>
          <t>No</t>
        </is>
      </c>
      <c r="B1996" t="inlineStr">
        <is>
          <t>BX4700. P3 B75 1937</t>
        </is>
      </c>
      <c r="C1996" t="inlineStr">
        <is>
          <t>0                      BX 4700000P  3                  B  75          1937</t>
        </is>
      </c>
      <c r="D1996" t="inlineStr">
        <is>
          <t>My Saint Patrick / by Alan Michael Buck ; pictures by Richard Bennett.</t>
        </is>
      </c>
      <c r="F1996" t="inlineStr">
        <is>
          <t>No</t>
        </is>
      </c>
      <c r="G1996" t="inlineStr">
        <is>
          <t>1</t>
        </is>
      </c>
      <c r="H1996" t="inlineStr">
        <is>
          <t>No</t>
        </is>
      </c>
      <c r="I1996" t="inlineStr">
        <is>
          <t>No</t>
        </is>
      </c>
      <c r="J1996" t="inlineStr">
        <is>
          <t>0</t>
        </is>
      </c>
      <c r="K1996" t="inlineStr">
        <is>
          <t>Buck, Alan Michael.</t>
        </is>
      </c>
      <c r="L1996" t="inlineStr">
        <is>
          <t>Boston ; New York : Lothrop, Lee and Shepard Company, 1937.</t>
        </is>
      </c>
      <c r="M1996" t="inlineStr">
        <is>
          <t>1937</t>
        </is>
      </c>
      <c r="O1996" t="inlineStr">
        <is>
          <t>eng</t>
        </is>
      </c>
      <c r="P1996" t="inlineStr">
        <is>
          <t>mau</t>
        </is>
      </c>
      <c r="R1996" t="inlineStr">
        <is>
          <t xml:space="preserve">BX </t>
        </is>
      </c>
      <c r="S1996" t="n">
        <v>6</v>
      </c>
      <c r="T1996" t="n">
        <v>6</v>
      </c>
      <c r="U1996" t="inlineStr">
        <is>
          <t>2007-08-17</t>
        </is>
      </c>
      <c r="V1996" t="inlineStr">
        <is>
          <t>2007-08-17</t>
        </is>
      </c>
      <c r="W1996" t="inlineStr">
        <is>
          <t>1991-12-04</t>
        </is>
      </c>
      <c r="X1996" t="inlineStr">
        <is>
          <t>1991-12-04</t>
        </is>
      </c>
      <c r="Y1996" t="n">
        <v>40</v>
      </c>
      <c r="Z1996" t="n">
        <v>39</v>
      </c>
      <c r="AA1996" t="n">
        <v>47</v>
      </c>
      <c r="AB1996" t="n">
        <v>1</v>
      </c>
      <c r="AC1996" t="n">
        <v>1</v>
      </c>
      <c r="AD1996" t="n">
        <v>4</v>
      </c>
      <c r="AE1996" t="n">
        <v>4</v>
      </c>
      <c r="AF1996" t="n">
        <v>1</v>
      </c>
      <c r="AG1996" t="n">
        <v>1</v>
      </c>
      <c r="AH1996" t="n">
        <v>3</v>
      </c>
      <c r="AI1996" t="n">
        <v>3</v>
      </c>
      <c r="AJ1996" t="n">
        <v>2</v>
      </c>
      <c r="AK1996" t="n">
        <v>2</v>
      </c>
      <c r="AL1996" t="n">
        <v>0</v>
      </c>
      <c r="AM1996" t="n">
        <v>0</v>
      </c>
      <c r="AN1996" t="n">
        <v>0</v>
      </c>
      <c r="AO1996" t="n">
        <v>0</v>
      </c>
      <c r="AP1996" t="inlineStr">
        <is>
          <t>No</t>
        </is>
      </c>
      <c r="AQ1996" t="inlineStr">
        <is>
          <t>No</t>
        </is>
      </c>
      <c r="AS1996">
        <f>HYPERLINK("https://creighton-primo.hosted.exlibrisgroup.com/primo-explore/search?tab=default_tab&amp;search_scope=EVERYTHING&amp;vid=01CRU&amp;lang=en_US&amp;offset=0&amp;query=any,contains,991004113769702656","Catalog Record")</f>
        <v/>
      </c>
      <c r="AT1996">
        <f>HYPERLINK("http://www.worldcat.org/oclc/2404211","WorldCat Record")</f>
        <v/>
      </c>
      <c r="AU1996" t="inlineStr">
        <is>
          <t>4806423:eng</t>
        </is>
      </c>
      <c r="AV1996" t="inlineStr">
        <is>
          <t>2404211</t>
        </is>
      </c>
      <c r="AW1996" t="inlineStr">
        <is>
          <t>991004113769702656</t>
        </is>
      </c>
      <c r="AX1996" t="inlineStr">
        <is>
          <t>991004113769702656</t>
        </is>
      </c>
      <c r="AY1996" t="inlineStr">
        <is>
          <t>2269795410002656</t>
        </is>
      </c>
      <c r="AZ1996" t="inlineStr">
        <is>
          <t>BOOK</t>
        </is>
      </c>
      <c r="BC1996" t="inlineStr">
        <is>
          <t>32285000871086</t>
        </is>
      </c>
      <c r="BD1996" t="inlineStr">
        <is>
          <t>893253252</t>
        </is>
      </c>
    </row>
    <row r="1997">
      <c r="A1997" t="inlineStr">
        <is>
          <t>No</t>
        </is>
      </c>
      <c r="B1997" t="inlineStr">
        <is>
          <t>BX4700.A37 H4 1947</t>
        </is>
      </c>
      <c r="C1997" t="inlineStr">
        <is>
          <t>0                      BX 4700000A  37                 H  4           1947</t>
        </is>
      </c>
      <c r="D1997" t="inlineStr">
        <is>
          <t>"Behold this heart" : the story of St. Margaret Mary Alacoque.</t>
        </is>
      </c>
      <c r="F1997" t="inlineStr">
        <is>
          <t>No</t>
        </is>
      </c>
      <c r="G1997" t="inlineStr">
        <is>
          <t>1</t>
        </is>
      </c>
      <c r="H1997" t="inlineStr">
        <is>
          <t>No</t>
        </is>
      </c>
      <c r="I1997" t="inlineStr">
        <is>
          <t>No</t>
        </is>
      </c>
      <c r="J1997" t="inlineStr">
        <is>
          <t>0</t>
        </is>
      </c>
      <c r="K1997" t="inlineStr">
        <is>
          <t>Heagney, H. J. (Harold Jerome), 1890-</t>
        </is>
      </c>
      <c r="L1997" t="inlineStr">
        <is>
          <t>New York : P.J. Kenedy, [1947]</t>
        </is>
      </c>
      <c r="M1997" t="inlineStr">
        <is>
          <t>1947</t>
        </is>
      </c>
      <c r="O1997" t="inlineStr">
        <is>
          <t>eng</t>
        </is>
      </c>
      <c r="P1997" t="inlineStr">
        <is>
          <t xml:space="preserve">xx </t>
        </is>
      </c>
      <c r="R1997" t="inlineStr">
        <is>
          <t xml:space="preserve">BX </t>
        </is>
      </c>
      <c r="S1997" t="n">
        <v>7</v>
      </c>
      <c r="T1997" t="n">
        <v>7</v>
      </c>
      <c r="U1997" t="inlineStr">
        <is>
          <t>2000-07-09</t>
        </is>
      </c>
      <c r="V1997" t="inlineStr">
        <is>
          <t>2000-07-09</t>
        </is>
      </c>
      <c r="W1997" t="inlineStr">
        <is>
          <t>1991-11-22</t>
        </is>
      </c>
      <c r="X1997" t="inlineStr">
        <is>
          <t>1991-11-22</t>
        </is>
      </c>
      <c r="Y1997" t="n">
        <v>115</v>
      </c>
      <c r="Z1997" t="n">
        <v>107</v>
      </c>
      <c r="AA1997" t="n">
        <v>112</v>
      </c>
      <c r="AB1997" t="n">
        <v>2</v>
      </c>
      <c r="AC1997" t="n">
        <v>2</v>
      </c>
      <c r="AD1997" t="n">
        <v>17</v>
      </c>
      <c r="AE1997" t="n">
        <v>17</v>
      </c>
      <c r="AF1997" t="n">
        <v>5</v>
      </c>
      <c r="AG1997" t="n">
        <v>5</v>
      </c>
      <c r="AH1997" t="n">
        <v>7</v>
      </c>
      <c r="AI1997" t="n">
        <v>7</v>
      </c>
      <c r="AJ1997" t="n">
        <v>12</v>
      </c>
      <c r="AK1997" t="n">
        <v>12</v>
      </c>
      <c r="AL1997" t="n">
        <v>0</v>
      </c>
      <c r="AM1997" t="n">
        <v>0</v>
      </c>
      <c r="AN1997" t="n">
        <v>0</v>
      </c>
      <c r="AO1997" t="n">
        <v>0</v>
      </c>
      <c r="AP1997" t="inlineStr">
        <is>
          <t>No</t>
        </is>
      </c>
      <c r="AQ1997" t="inlineStr">
        <is>
          <t>No</t>
        </is>
      </c>
      <c r="AS1997">
        <f>HYPERLINK("https://creighton-primo.hosted.exlibrisgroup.com/primo-explore/search?tab=default_tab&amp;search_scope=EVERYTHING&amp;vid=01CRU&amp;lang=en_US&amp;offset=0&amp;query=any,contains,991004439999702656","Catalog Record")</f>
        <v/>
      </c>
      <c r="AT1997">
        <f>HYPERLINK("http://www.worldcat.org/oclc/3455791","WorldCat Record")</f>
        <v/>
      </c>
      <c r="AU1997" t="inlineStr">
        <is>
          <t>9918139:eng</t>
        </is>
      </c>
      <c r="AV1997" t="inlineStr">
        <is>
          <t>3455791</t>
        </is>
      </c>
      <c r="AW1997" t="inlineStr">
        <is>
          <t>991004439999702656</t>
        </is>
      </c>
      <c r="AX1997" t="inlineStr">
        <is>
          <t>991004439999702656</t>
        </is>
      </c>
      <c r="AY1997" t="inlineStr">
        <is>
          <t>2257208800002656</t>
        </is>
      </c>
      <c r="AZ1997" t="inlineStr">
        <is>
          <t>BOOK</t>
        </is>
      </c>
      <c r="BC1997" t="inlineStr">
        <is>
          <t>32285000856145</t>
        </is>
      </c>
      <c r="BD1997" t="inlineStr">
        <is>
          <t>893229369</t>
        </is>
      </c>
    </row>
    <row r="1998">
      <c r="A1998" t="inlineStr">
        <is>
          <t>No</t>
        </is>
      </c>
      <c r="B1998" t="inlineStr">
        <is>
          <t>BX4700.A375 M5</t>
        </is>
      </c>
      <c r="C1998" t="inlineStr">
        <is>
          <t>0                      BX 4700000A  375                M  5</t>
        </is>
      </c>
      <c r="D1998" t="inlineStr">
        <is>
          <t>La psychologie de l'activité chez Albert le Grand / Pierre Michaud-Quantin.</t>
        </is>
      </c>
      <c r="F1998" t="inlineStr">
        <is>
          <t>No</t>
        </is>
      </c>
      <c r="G1998" t="inlineStr">
        <is>
          <t>1</t>
        </is>
      </c>
      <c r="H1998" t="inlineStr">
        <is>
          <t>No</t>
        </is>
      </c>
      <c r="I1998" t="inlineStr">
        <is>
          <t>No</t>
        </is>
      </c>
      <c r="J1998" t="inlineStr">
        <is>
          <t>0</t>
        </is>
      </c>
      <c r="K1998" t="inlineStr">
        <is>
          <t>Michaud-Quantin, Pierre.</t>
        </is>
      </c>
      <c r="L1998" t="inlineStr">
        <is>
          <t>Paris : J. Vrin, 1966.</t>
        </is>
      </c>
      <c r="M1998" t="inlineStr">
        <is>
          <t>1966</t>
        </is>
      </c>
      <c r="O1998" t="inlineStr">
        <is>
          <t>fre</t>
        </is>
      </c>
      <c r="P1998" t="inlineStr">
        <is>
          <t xml:space="preserve">fr </t>
        </is>
      </c>
      <c r="Q1998" t="inlineStr">
        <is>
          <t>Bibliothèque thomiste ; 36</t>
        </is>
      </c>
      <c r="R1998" t="inlineStr">
        <is>
          <t xml:space="preserve">BX </t>
        </is>
      </c>
      <c r="S1998" t="n">
        <v>1</v>
      </c>
      <c r="T1998" t="n">
        <v>1</v>
      </c>
      <c r="U1998" t="inlineStr">
        <is>
          <t>1992-06-15</t>
        </is>
      </c>
      <c r="V1998" t="inlineStr">
        <is>
          <t>1992-06-15</t>
        </is>
      </c>
      <c r="W1998" t="inlineStr">
        <is>
          <t>1991-11-22</t>
        </is>
      </c>
      <c r="X1998" t="inlineStr">
        <is>
          <t>1991-11-22</t>
        </is>
      </c>
      <c r="Y1998" t="n">
        <v>133</v>
      </c>
      <c r="Z1998" t="n">
        <v>70</v>
      </c>
      <c r="AA1998" t="n">
        <v>70</v>
      </c>
      <c r="AB1998" t="n">
        <v>1</v>
      </c>
      <c r="AC1998" t="n">
        <v>1</v>
      </c>
      <c r="AD1998" t="n">
        <v>10</v>
      </c>
      <c r="AE1998" t="n">
        <v>10</v>
      </c>
      <c r="AF1998" t="n">
        <v>1</v>
      </c>
      <c r="AG1998" t="n">
        <v>1</v>
      </c>
      <c r="AH1998" t="n">
        <v>4</v>
      </c>
      <c r="AI1998" t="n">
        <v>4</v>
      </c>
      <c r="AJ1998" t="n">
        <v>9</v>
      </c>
      <c r="AK1998" t="n">
        <v>9</v>
      </c>
      <c r="AL1998" t="n">
        <v>0</v>
      </c>
      <c r="AM1998" t="n">
        <v>0</v>
      </c>
      <c r="AN1998" t="n">
        <v>0</v>
      </c>
      <c r="AO1998" t="n">
        <v>0</v>
      </c>
      <c r="AP1998" t="inlineStr">
        <is>
          <t>No</t>
        </is>
      </c>
      <c r="AQ1998" t="inlineStr">
        <is>
          <t>No</t>
        </is>
      </c>
      <c r="AS1998">
        <f>HYPERLINK("https://creighton-primo.hosted.exlibrisgroup.com/primo-explore/search?tab=default_tab&amp;search_scope=EVERYTHING&amp;vid=01CRU&amp;lang=en_US&amp;offset=0&amp;query=any,contains,991004387719702656","Catalog Record")</f>
        <v/>
      </c>
      <c r="AT1998">
        <f>HYPERLINK("http://www.worldcat.org/oclc/3247433","WorldCat Record")</f>
        <v/>
      </c>
      <c r="AU1998" t="inlineStr">
        <is>
          <t>350189523:fre</t>
        </is>
      </c>
      <c r="AV1998" t="inlineStr">
        <is>
          <t>3247433</t>
        </is>
      </c>
      <c r="AW1998" t="inlineStr">
        <is>
          <t>991004387719702656</t>
        </is>
      </c>
      <c r="AX1998" t="inlineStr">
        <is>
          <t>991004387719702656</t>
        </is>
      </c>
      <c r="AY1998" t="inlineStr">
        <is>
          <t>2270897780002656</t>
        </is>
      </c>
      <c r="AZ1998" t="inlineStr">
        <is>
          <t>BOOK</t>
        </is>
      </c>
      <c r="BC1998" t="inlineStr">
        <is>
          <t>32285000856160</t>
        </is>
      </c>
      <c r="BD1998" t="inlineStr">
        <is>
          <t>893411465</t>
        </is>
      </c>
    </row>
    <row r="1999">
      <c r="A1999" t="inlineStr">
        <is>
          <t>No</t>
        </is>
      </c>
      <c r="B1999" t="inlineStr">
        <is>
          <t>BX4700.A45 F7 1934</t>
        </is>
      </c>
      <c r="C1999" t="inlineStr">
        <is>
          <t>0                      BX 4700000A  45                 F  7           1934</t>
        </is>
      </c>
      <c r="D1999" t="inlineStr">
        <is>
          <t>Sant' Angela of the Ursulines / by Mother Francis d'Assisi ; illustrated by Mother Basil Kutsky.</t>
        </is>
      </c>
      <c r="F1999" t="inlineStr">
        <is>
          <t>No</t>
        </is>
      </c>
      <c r="G1999" t="inlineStr">
        <is>
          <t>1</t>
        </is>
      </c>
      <c r="H1999" t="inlineStr">
        <is>
          <t>No</t>
        </is>
      </c>
      <c r="I1999" t="inlineStr">
        <is>
          <t>No</t>
        </is>
      </c>
      <c r="J1999" t="inlineStr">
        <is>
          <t>0</t>
        </is>
      </c>
      <c r="K1999" t="inlineStr">
        <is>
          <t>Francis d'Assisi, Mother, 1881-</t>
        </is>
      </c>
      <c r="L1999" t="inlineStr">
        <is>
          <t>Milwaukee : Bruce, c1934.</t>
        </is>
      </c>
      <c r="M1999" t="inlineStr">
        <is>
          <t>1934</t>
        </is>
      </c>
      <c r="O1999" t="inlineStr">
        <is>
          <t>eng</t>
        </is>
      </c>
      <c r="P1999" t="inlineStr">
        <is>
          <t>wiu</t>
        </is>
      </c>
      <c r="R1999" t="inlineStr">
        <is>
          <t xml:space="preserve">BX </t>
        </is>
      </c>
      <c r="S1999" t="n">
        <v>5</v>
      </c>
      <c r="T1999" t="n">
        <v>5</v>
      </c>
      <c r="U1999" t="inlineStr">
        <is>
          <t>1993-04-03</t>
        </is>
      </c>
      <c r="V1999" t="inlineStr">
        <is>
          <t>1993-04-03</t>
        </is>
      </c>
      <c r="W1999" t="inlineStr">
        <is>
          <t>1991-11-22</t>
        </is>
      </c>
      <c r="X1999" t="inlineStr">
        <is>
          <t>1991-11-22</t>
        </is>
      </c>
      <c r="Y1999" t="n">
        <v>49</v>
      </c>
      <c r="Z1999" t="n">
        <v>44</v>
      </c>
      <c r="AA1999" t="n">
        <v>126</v>
      </c>
      <c r="AB1999" t="n">
        <v>2</v>
      </c>
      <c r="AC1999" t="n">
        <v>2</v>
      </c>
      <c r="AD1999" t="n">
        <v>8</v>
      </c>
      <c r="AE1999" t="n">
        <v>23</v>
      </c>
      <c r="AF1999" t="n">
        <v>1</v>
      </c>
      <c r="AG1999" t="n">
        <v>8</v>
      </c>
      <c r="AH1999" t="n">
        <v>1</v>
      </c>
      <c r="AI1999" t="n">
        <v>6</v>
      </c>
      <c r="AJ1999" t="n">
        <v>8</v>
      </c>
      <c r="AK1999" t="n">
        <v>19</v>
      </c>
      <c r="AL1999" t="n">
        <v>0</v>
      </c>
      <c r="AM1999" t="n">
        <v>0</v>
      </c>
      <c r="AN1999" t="n">
        <v>0</v>
      </c>
      <c r="AO1999" t="n">
        <v>0</v>
      </c>
      <c r="AP1999" t="inlineStr">
        <is>
          <t>No</t>
        </is>
      </c>
      <c r="AQ1999" t="inlineStr">
        <is>
          <t>Yes</t>
        </is>
      </c>
      <c r="AR1999">
        <f>HYPERLINK("http://catalog.hathitrust.org/Record/101652444","HathiTrust Record")</f>
        <v/>
      </c>
      <c r="AS1999">
        <f>HYPERLINK("https://creighton-primo.hosted.exlibrisgroup.com/primo-explore/search?tab=default_tab&amp;search_scope=EVERYTHING&amp;vid=01CRU&amp;lang=en_US&amp;offset=0&amp;query=any,contains,991000599919702656","Catalog Record")</f>
        <v/>
      </c>
      <c r="AT1999">
        <f>HYPERLINK("http://www.worldcat.org/oclc/11838119","WorldCat Record")</f>
        <v/>
      </c>
      <c r="AU1999" t="inlineStr">
        <is>
          <t>1376390928:eng</t>
        </is>
      </c>
      <c r="AV1999" t="inlineStr">
        <is>
          <t>11838119</t>
        </is>
      </c>
      <c r="AW1999" t="inlineStr">
        <is>
          <t>991000599919702656</t>
        </is>
      </c>
      <c r="AX1999" t="inlineStr">
        <is>
          <t>991000599919702656</t>
        </is>
      </c>
      <c r="AY1999" t="inlineStr">
        <is>
          <t>2269002880002656</t>
        </is>
      </c>
      <c r="AZ1999" t="inlineStr">
        <is>
          <t>BOOK</t>
        </is>
      </c>
      <c r="BC1999" t="inlineStr">
        <is>
          <t>32285000856194</t>
        </is>
      </c>
      <c r="BD1999" t="inlineStr">
        <is>
          <t>893884557</t>
        </is>
      </c>
    </row>
    <row r="2000">
      <c r="A2000" t="inlineStr">
        <is>
          <t>No</t>
        </is>
      </c>
      <c r="B2000" t="inlineStr">
        <is>
          <t>BX4700.A45 M6 1927</t>
        </is>
      </c>
      <c r="C2000" t="inlineStr">
        <is>
          <t>0                      BX 4700000A  45                 M  6           1927</t>
        </is>
      </c>
      <c r="D2000" t="inlineStr">
        <is>
          <t>Angela Merici and her teaching idea &lt;1474-1540&gt; / by Sister M. Monica ; with an introduction by Most Reverend J. F. Regis Canevin.</t>
        </is>
      </c>
      <c r="F2000" t="inlineStr">
        <is>
          <t>No</t>
        </is>
      </c>
      <c r="G2000" t="inlineStr">
        <is>
          <t>1</t>
        </is>
      </c>
      <c r="H2000" t="inlineStr">
        <is>
          <t>No</t>
        </is>
      </c>
      <c r="I2000" t="inlineStr">
        <is>
          <t>No</t>
        </is>
      </c>
      <c r="J2000" t="inlineStr">
        <is>
          <t>0</t>
        </is>
      </c>
      <c r="K2000" t="inlineStr">
        <is>
          <t>Monica, Sister, 1892-</t>
        </is>
      </c>
      <c r="L2000" t="inlineStr">
        <is>
          <t>New York [etc.] : Longmans. Green and co., 1927.</t>
        </is>
      </c>
      <c r="M2000" t="inlineStr">
        <is>
          <t>1927</t>
        </is>
      </c>
      <c r="O2000" t="inlineStr">
        <is>
          <t>eng</t>
        </is>
      </c>
      <c r="P2000" t="inlineStr">
        <is>
          <t xml:space="preserve">xx </t>
        </is>
      </c>
      <c r="R2000" t="inlineStr">
        <is>
          <t xml:space="preserve">BX </t>
        </is>
      </c>
      <c r="S2000" t="n">
        <v>6</v>
      </c>
      <c r="T2000" t="n">
        <v>6</v>
      </c>
      <c r="U2000" t="inlineStr">
        <is>
          <t>2009-06-15</t>
        </is>
      </c>
      <c r="V2000" t="inlineStr">
        <is>
          <t>2009-06-15</t>
        </is>
      </c>
      <c r="W2000" t="inlineStr">
        <is>
          <t>1991-11-22</t>
        </is>
      </c>
      <c r="X2000" t="inlineStr">
        <is>
          <t>1991-11-22</t>
        </is>
      </c>
      <c r="Y2000" t="n">
        <v>118</v>
      </c>
      <c r="Z2000" t="n">
        <v>100</v>
      </c>
      <c r="AA2000" t="n">
        <v>121</v>
      </c>
      <c r="AB2000" t="n">
        <v>1</v>
      </c>
      <c r="AC2000" t="n">
        <v>1</v>
      </c>
      <c r="AD2000" t="n">
        <v>12</v>
      </c>
      <c r="AE2000" t="n">
        <v>15</v>
      </c>
      <c r="AF2000" t="n">
        <v>3</v>
      </c>
      <c r="AG2000" t="n">
        <v>4</v>
      </c>
      <c r="AH2000" t="n">
        <v>2</v>
      </c>
      <c r="AI2000" t="n">
        <v>3</v>
      </c>
      <c r="AJ2000" t="n">
        <v>11</v>
      </c>
      <c r="AK2000" t="n">
        <v>14</v>
      </c>
      <c r="AL2000" t="n">
        <v>0</v>
      </c>
      <c r="AM2000" t="n">
        <v>0</v>
      </c>
      <c r="AN2000" t="n">
        <v>0</v>
      </c>
      <c r="AO2000" t="n">
        <v>0</v>
      </c>
      <c r="AP2000" t="inlineStr">
        <is>
          <t>No</t>
        </is>
      </c>
      <c r="AQ2000" t="inlineStr">
        <is>
          <t>No</t>
        </is>
      </c>
      <c r="AS2000">
        <f>HYPERLINK("https://creighton-primo.hosted.exlibrisgroup.com/primo-explore/search?tab=default_tab&amp;search_scope=EVERYTHING&amp;vid=01CRU&amp;lang=en_US&amp;offset=0&amp;query=any,contains,991003332789702656","Catalog Record")</f>
        <v/>
      </c>
      <c r="AT2000">
        <f>HYPERLINK("http://www.worldcat.org/oclc/864434","WorldCat Record")</f>
        <v/>
      </c>
      <c r="AU2000" t="inlineStr">
        <is>
          <t>1909179505:eng</t>
        </is>
      </c>
      <c r="AV2000" t="inlineStr">
        <is>
          <t>864434</t>
        </is>
      </c>
      <c r="AW2000" t="inlineStr">
        <is>
          <t>991003332789702656</t>
        </is>
      </c>
      <c r="AX2000" t="inlineStr">
        <is>
          <t>991003332789702656</t>
        </is>
      </c>
      <c r="AY2000" t="inlineStr">
        <is>
          <t>2266207600002656</t>
        </is>
      </c>
      <c r="AZ2000" t="inlineStr">
        <is>
          <t>BOOK</t>
        </is>
      </c>
      <c r="BC2000" t="inlineStr">
        <is>
          <t>32285000856202</t>
        </is>
      </c>
      <c r="BD2000" t="inlineStr">
        <is>
          <t>893604690</t>
        </is>
      </c>
    </row>
    <row r="2001">
      <c r="A2001" t="inlineStr">
        <is>
          <t>No</t>
        </is>
      </c>
      <c r="B2001" t="inlineStr">
        <is>
          <t>BX4700.A45 R4 1961</t>
        </is>
      </c>
      <c r="C2001" t="inlineStr">
        <is>
          <t>0                      BX 4700000A  45                 R  4           1961</t>
        </is>
      </c>
      <c r="D2001" t="inlineStr">
        <is>
          <t>The first Ursuline : the story of Saint Angela Merici / by Mary Reidy. With an introduction by James Brodrick. Illustrated by Marina Hoffer.</t>
        </is>
      </c>
      <c r="F2001" t="inlineStr">
        <is>
          <t>No</t>
        </is>
      </c>
      <c r="G2001" t="inlineStr">
        <is>
          <t>1</t>
        </is>
      </c>
      <c r="H2001" t="inlineStr">
        <is>
          <t>No</t>
        </is>
      </c>
      <c r="I2001" t="inlineStr">
        <is>
          <t>No</t>
        </is>
      </c>
      <c r="J2001" t="inlineStr">
        <is>
          <t>0</t>
        </is>
      </c>
      <c r="K2001" t="inlineStr">
        <is>
          <t>Reidy, Mary.</t>
        </is>
      </c>
      <c r="L2001" t="inlineStr">
        <is>
          <t>Westminster, Md. : Newman Press, 1961.</t>
        </is>
      </c>
      <c r="M2001" t="inlineStr">
        <is>
          <t>1961</t>
        </is>
      </c>
      <c r="O2001" t="inlineStr">
        <is>
          <t>eng</t>
        </is>
      </c>
      <c r="P2001" t="inlineStr">
        <is>
          <t xml:space="preserve">xx </t>
        </is>
      </c>
      <c r="R2001" t="inlineStr">
        <is>
          <t xml:space="preserve">BX </t>
        </is>
      </c>
      <c r="S2001" t="n">
        <v>4</v>
      </c>
      <c r="T2001" t="n">
        <v>4</v>
      </c>
      <c r="U2001" t="inlineStr">
        <is>
          <t>2006-11-19</t>
        </is>
      </c>
      <c r="V2001" t="inlineStr">
        <is>
          <t>2006-11-19</t>
        </is>
      </c>
      <c r="W2001" t="inlineStr">
        <is>
          <t>1991-11-22</t>
        </is>
      </c>
      <c r="X2001" t="inlineStr">
        <is>
          <t>1991-11-22</t>
        </is>
      </c>
      <c r="Y2001" t="n">
        <v>37</v>
      </c>
      <c r="Z2001" t="n">
        <v>37</v>
      </c>
      <c r="AA2001" t="n">
        <v>37</v>
      </c>
      <c r="AB2001" t="n">
        <v>1</v>
      </c>
      <c r="AC2001" t="n">
        <v>1</v>
      </c>
      <c r="AD2001" t="n">
        <v>5</v>
      </c>
      <c r="AE2001" t="n">
        <v>5</v>
      </c>
      <c r="AF2001" t="n">
        <v>1</v>
      </c>
      <c r="AG2001" t="n">
        <v>1</v>
      </c>
      <c r="AH2001" t="n">
        <v>1</v>
      </c>
      <c r="AI2001" t="n">
        <v>1</v>
      </c>
      <c r="AJ2001" t="n">
        <v>4</v>
      </c>
      <c r="AK2001" t="n">
        <v>4</v>
      </c>
      <c r="AL2001" t="n">
        <v>0</v>
      </c>
      <c r="AM2001" t="n">
        <v>0</v>
      </c>
      <c r="AN2001" t="n">
        <v>0</v>
      </c>
      <c r="AO2001" t="n">
        <v>0</v>
      </c>
      <c r="AP2001" t="inlineStr">
        <is>
          <t>No</t>
        </is>
      </c>
      <c r="AQ2001" t="inlineStr">
        <is>
          <t>No</t>
        </is>
      </c>
      <c r="AS2001">
        <f>HYPERLINK("https://creighton-primo.hosted.exlibrisgroup.com/primo-explore/search?tab=default_tab&amp;search_scope=EVERYTHING&amp;vid=01CRU&amp;lang=en_US&amp;offset=0&amp;query=any,contains,991004449109702656","Catalog Record")</f>
        <v/>
      </c>
      <c r="AT2001">
        <f>HYPERLINK("http://www.worldcat.org/oclc/3500056","WorldCat Record")</f>
        <v/>
      </c>
      <c r="AU2001" t="inlineStr">
        <is>
          <t>5612256461:eng</t>
        </is>
      </c>
      <c r="AV2001" t="inlineStr">
        <is>
          <t>3500056</t>
        </is>
      </c>
      <c r="AW2001" t="inlineStr">
        <is>
          <t>991004449109702656</t>
        </is>
      </c>
      <c r="AX2001" t="inlineStr">
        <is>
          <t>991004449109702656</t>
        </is>
      </c>
      <c r="AY2001" t="inlineStr">
        <is>
          <t>2272368530002656</t>
        </is>
      </c>
      <c r="AZ2001" t="inlineStr">
        <is>
          <t>BOOK</t>
        </is>
      </c>
      <c r="BC2001" t="inlineStr">
        <is>
          <t>32285000856228</t>
        </is>
      </c>
      <c r="BD2001" t="inlineStr">
        <is>
          <t>893624746</t>
        </is>
      </c>
    </row>
    <row r="2002">
      <c r="A2002" t="inlineStr">
        <is>
          <t>No</t>
        </is>
      </c>
      <c r="B2002" t="inlineStr">
        <is>
          <t>BX4700.A6 L4</t>
        </is>
      </c>
      <c r="C2002" t="inlineStr">
        <is>
          <t>0                      BX 4700000A  6                  L  4</t>
        </is>
      </c>
      <c r="D2002" t="inlineStr">
        <is>
          <t>Saint Antony of Padua (1195-1231) by M. l'abbé Albert Lepitre, tr. by Edith Guest.</t>
        </is>
      </c>
      <c r="F2002" t="inlineStr">
        <is>
          <t>No</t>
        </is>
      </c>
      <c r="G2002" t="inlineStr">
        <is>
          <t>1</t>
        </is>
      </c>
      <c r="H2002" t="inlineStr">
        <is>
          <t>No</t>
        </is>
      </c>
      <c r="I2002" t="inlineStr">
        <is>
          <t>No</t>
        </is>
      </c>
      <c r="J2002" t="inlineStr">
        <is>
          <t>0</t>
        </is>
      </c>
      <c r="K2002" t="inlineStr">
        <is>
          <t>Lepitre, Albert.</t>
        </is>
      </c>
      <c r="L2002" t="inlineStr">
        <is>
          <t>London, Duckworth; New York, Benzinger Bros., 1902.</t>
        </is>
      </c>
      <c r="M2002" t="inlineStr">
        <is>
          <t>1902</t>
        </is>
      </c>
      <c r="O2002" t="inlineStr">
        <is>
          <t>eng</t>
        </is>
      </c>
      <c r="P2002" t="inlineStr">
        <is>
          <t>enk</t>
        </is>
      </c>
      <c r="Q2002" t="inlineStr">
        <is>
          <t>The saints</t>
        </is>
      </c>
      <c r="R2002" t="inlineStr">
        <is>
          <t xml:space="preserve">BX </t>
        </is>
      </c>
      <c r="S2002" t="n">
        <v>6</v>
      </c>
      <c r="T2002" t="n">
        <v>6</v>
      </c>
      <c r="U2002" t="inlineStr">
        <is>
          <t>1993-11-17</t>
        </is>
      </c>
      <c r="V2002" t="inlineStr">
        <is>
          <t>1993-11-17</t>
        </is>
      </c>
      <c r="W2002" t="inlineStr">
        <is>
          <t>1991-11-22</t>
        </is>
      </c>
      <c r="X2002" t="inlineStr">
        <is>
          <t>1991-11-22</t>
        </is>
      </c>
      <c r="Y2002" t="n">
        <v>65</v>
      </c>
      <c r="Z2002" t="n">
        <v>50</v>
      </c>
      <c r="AA2002" t="n">
        <v>52</v>
      </c>
      <c r="AB2002" t="n">
        <v>1</v>
      </c>
      <c r="AC2002" t="n">
        <v>1</v>
      </c>
      <c r="AD2002" t="n">
        <v>12</v>
      </c>
      <c r="AE2002" t="n">
        <v>13</v>
      </c>
      <c r="AF2002" t="n">
        <v>1</v>
      </c>
      <c r="AG2002" t="n">
        <v>1</v>
      </c>
      <c r="AH2002" t="n">
        <v>4</v>
      </c>
      <c r="AI2002" t="n">
        <v>4</v>
      </c>
      <c r="AJ2002" t="n">
        <v>10</v>
      </c>
      <c r="AK2002" t="n">
        <v>11</v>
      </c>
      <c r="AL2002" t="n">
        <v>0</v>
      </c>
      <c r="AM2002" t="n">
        <v>0</v>
      </c>
      <c r="AN2002" t="n">
        <v>0</v>
      </c>
      <c r="AO2002" t="n">
        <v>0</v>
      </c>
      <c r="AP2002" t="inlineStr">
        <is>
          <t>No</t>
        </is>
      </c>
      <c r="AQ2002" t="inlineStr">
        <is>
          <t>No</t>
        </is>
      </c>
      <c r="AS2002">
        <f>HYPERLINK("https://creighton-primo.hosted.exlibrisgroup.com/primo-explore/search?tab=default_tab&amp;search_scope=EVERYTHING&amp;vid=01CRU&amp;lang=en_US&amp;offset=0&amp;query=any,contains,991004389719702656","Catalog Record")</f>
        <v/>
      </c>
      <c r="AT2002">
        <f>HYPERLINK("http://www.worldcat.org/oclc/3256568","WorldCat Record")</f>
        <v/>
      </c>
      <c r="AU2002" t="inlineStr">
        <is>
          <t>3901610900:eng</t>
        </is>
      </c>
      <c r="AV2002" t="inlineStr">
        <is>
          <t>3256568</t>
        </is>
      </c>
      <c r="AW2002" t="inlineStr">
        <is>
          <t>991004389719702656</t>
        </is>
      </c>
      <c r="AX2002" t="inlineStr">
        <is>
          <t>991004389719702656</t>
        </is>
      </c>
      <c r="AY2002" t="inlineStr">
        <is>
          <t>2271342580002656</t>
        </is>
      </c>
      <c r="AZ2002" t="inlineStr">
        <is>
          <t>BOOK</t>
        </is>
      </c>
      <c r="BC2002" t="inlineStr">
        <is>
          <t>32285000856343</t>
        </is>
      </c>
      <c r="BD2002" t="inlineStr">
        <is>
          <t>893624668</t>
        </is>
      </c>
    </row>
    <row r="2003">
      <c r="A2003" t="inlineStr">
        <is>
          <t>No</t>
        </is>
      </c>
      <c r="B2003" t="inlineStr">
        <is>
          <t>BX4700.A6 W6 1911</t>
        </is>
      </c>
      <c r="C2003" t="inlineStr">
        <is>
          <t>0                      BX 4700000A  6                  W  6           1911</t>
        </is>
      </c>
      <c r="D2003" t="inlineStr">
        <is>
          <t>Saint Antony of Padua : the miracle worker (1195-1231) / by C.M. Antony [pseud.]</t>
        </is>
      </c>
      <c r="F2003" t="inlineStr">
        <is>
          <t>No</t>
        </is>
      </c>
      <c r="G2003" t="inlineStr">
        <is>
          <t>1</t>
        </is>
      </c>
      <c r="H2003" t="inlineStr">
        <is>
          <t>No</t>
        </is>
      </c>
      <c r="I2003" t="inlineStr">
        <is>
          <t>No</t>
        </is>
      </c>
      <c r="J2003" t="inlineStr">
        <is>
          <t>0</t>
        </is>
      </c>
      <c r="K2003" t="inlineStr">
        <is>
          <t>Antony, C. M. (Catherine Mary)</t>
        </is>
      </c>
      <c r="L2003" t="inlineStr">
        <is>
          <t>London ; Bombay [etc.] : Longmans, Green and co., 1911.</t>
        </is>
      </c>
      <c r="M2003" t="inlineStr">
        <is>
          <t>1911</t>
        </is>
      </c>
      <c r="O2003" t="inlineStr">
        <is>
          <t>eng</t>
        </is>
      </c>
      <c r="P2003" t="inlineStr">
        <is>
          <t xml:space="preserve">xx </t>
        </is>
      </c>
      <c r="Q2003" t="inlineStr">
        <is>
          <t>Half-title: The friar saints series.</t>
        </is>
      </c>
      <c r="R2003" t="inlineStr">
        <is>
          <t xml:space="preserve">BX </t>
        </is>
      </c>
      <c r="S2003" t="n">
        <v>6</v>
      </c>
      <c r="T2003" t="n">
        <v>6</v>
      </c>
      <c r="U2003" t="inlineStr">
        <is>
          <t>1993-11-17</t>
        </is>
      </c>
      <c r="V2003" t="inlineStr">
        <is>
          <t>1993-11-17</t>
        </is>
      </c>
      <c r="W2003" t="inlineStr">
        <is>
          <t>1991-11-22</t>
        </is>
      </c>
      <c r="X2003" t="inlineStr">
        <is>
          <t>1991-11-22</t>
        </is>
      </c>
      <c r="Y2003" t="n">
        <v>53</v>
      </c>
      <c r="Z2003" t="n">
        <v>48</v>
      </c>
      <c r="AA2003" t="n">
        <v>71</v>
      </c>
      <c r="AB2003" t="n">
        <v>1</v>
      </c>
      <c r="AC2003" t="n">
        <v>1</v>
      </c>
      <c r="AD2003" t="n">
        <v>8</v>
      </c>
      <c r="AE2003" t="n">
        <v>8</v>
      </c>
      <c r="AF2003" t="n">
        <v>2</v>
      </c>
      <c r="AG2003" t="n">
        <v>2</v>
      </c>
      <c r="AH2003" t="n">
        <v>2</v>
      </c>
      <c r="AI2003" t="n">
        <v>2</v>
      </c>
      <c r="AJ2003" t="n">
        <v>6</v>
      </c>
      <c r="AK2003" t="n">
        <v>6</v>
      </c>
      <c r="AL2003" t="n">
        <v>0</v>
      </c>
      <c r="AM2003" t="n">
        <v>0</v>
      </c>
      <c r="AN2003" t="n">
        <v>0</v>
      </c>
      <c r="AO2003" t="n">
        <v>0</v>
      </c>
      <c r="AP2003" t="inlineStr">
        <is>
          <t>Yes</t>
        </is>
      </c>
      <c r="AQ2003" t="inlineStr">
        <is>
          <t>No</t>
        </is>
      </c>
      <c r="AR2003">
        <f>HYPERLINK("http://catalog.hathitrust.org/Record/006512779","HathiTrust Record")</f>
        <v/>
      </c>
      <c r="AS2003">
        <f>HYPERLINK("https://creighton-primo.hosted.exlibrisgroup.com/primo-explore/search?tab=default_tab&amp;search_scope=EVERYTHING&amp;vid=01CRU&amp;lang=en_US&amp;offset=0&amp;query=any,contains,991004449199702656","Catalog Record")</f>
        <v/>
      </c>
      <c r="AT2003">
        <f>HYPERLINK("http://www.worldcat.org/oclc/3500360","WorldCat Record")</f>
        <v/>
      </c>
      <c r="AU2003" t="inlineStr">
        <is>
          <t>10288368:eng</t>
        </is>
      </c>
      <c r="AV2003" t="inlineStr">
        <is>
          <t>3500360</t>
        </is>
      </c>
      <c r="AW2003" t="inlineStr">
        <is>
          <t>991004449199702656</t>
        </is>
      </c>
      <c r="AX2003" t="inlineStr">
        <is>
          <t>991004449199702656</t>
        </is>
      </c>
      <c r="AY2003" t="inlineStr">
        <is>
          <t>2272396860002656</t>
        </is>
      </c>
      <c r="AZ2003" t="inlineStr">
        <is>
          <t>BOOK</t>
        </is>
      </c>
      <c r="BC2003" t="inlineStr">
        <is>
          <t>32285000856376</t>
        </is>
      </c>
      <c r="BD2003" t="inlineStr">
        <is>
          <t>893712613</t>
        </is>
      </c>
    </row>
    <row r="2004">
      <c r="A2004" t="inlineStr">
        <is>
          <t>No</t>
        </is>
      </c>
      <c r="B2004" t="inlineStr">
        <is>
          <t>BX4700.A62 J37 1914</t>
        </is>
      </c>
      <c r="C2004" t="inlineStr">
        <is>
          <t>0                      BX 4700000A  62                 J  37          1914</t>
        </is>
      </c>
      <c r="D2004" t="inlineStr">
        <is>
          <t>S. Antonino and mediæval economics / by Bede Jarrett.</t>
        </is>
      </c>
      <c r="F2004" t="inlineStr">
        <is>
          <t>No</t>
        </is>
      </c>
      <c r="G2004" t="inlineStr">
        <is>
          <t>1</t>
        </is>
      </c>
      <c r="H2004" t="inlineStr">
        <is>
          <t>No</t>
        </is>
      </c>
      <c r="I2004" t="inlineStr">
        <is>
          <t>No</t>
        </is>
      </c>
      <c r="J2004" t="inlineStr">
        <is>
          <t>0</t>
        </is>
      </c>
      <c r="K2004" t="inlineStr">
        <is>
          <t>Jarrett, Bede, 1881-1934.</t>
        </is>
      </c>
      <c r="L2004" t="inlineStr">
        <is>
          <t>B. Herder : St. Louis; London : Manresa Press, 1914.</t>
        </is>
      </c>
      <c r="M2004" t="inlineStr">
        <is>
          <t>1914</t>
        </is>
      </c>
      <c r="O2004" t="inlineStr">
        <is>
          <t>eng</t>
        </is>
      </c>
      <c r="P2004" t="inlineStr">
        <is>
          <t>enk</t>
        </is>
      </c>
      <c r="Q2004" t="inlineStr">
        <is>
          <t>The Catholic library ; 3.</t>
        </is>
      </c>
      <c r="R2004" t="inlineStr">
        <is>
          <t xml:space="preserve">BX </t>
        </is>
      </c>
      <c r="S2004" t="n">
        <v>9</v>
      </c>
      <c r="T2004" t="n">
        <v>9</v>
      </c>
      <c r="U2004" t="inlineStr">
        <is>
          <t>2003-10-30</t>
        </is>
      </c>
      <c r="V2004" t="inlineStr">
        <is>
          <t>2003-10-30</t>
        </is>
      </c>
      <c r="W2004" t="inlineStr">
        <is>
          <t>1991-11-22</t>
        </is>
      </c>
      <c r="X2004" t="inlineStr">
        <is>
          <t>1991-11-22</t>
        </is>
      </c>
      <c r="Y2004" t="n">
        <v>58</v>
      </c>
      <c r="Z2004" t="n">
        <v>32</v>
      </c>
      <c r="AA2004" t="n">
        <v>190</v>
      </c>
      <c r="AB2004" t="n">
        <v>1</v>
      </c>
      <c r="AC2004" t="n">
        <v>1</v>
      </c>
      <c r="AD2004" t="n">
        <v>5</v>
      </c>
      <c r="AE2004" t="n">
        <v>27</v>
      </c>
      <c r="AF2004" t="n">
        <v>0</v>
      </c>
      <c r="AG2004" t="n">
        <v>7</v>
      </c>
      <c r="AH2004" t="n">
        <v>3</v>
      </c>
      <c r="AI2004" t="n">
        <v>9</v>
      </c>
      <c r="AJ2004" t="n">
        <v>3</v>
      </c>
      <c r="AK2004" t="n">
        <v>21</v>
      </c>
      <c r="AL2004" t="n">
        <v>0</v>
      </c>
      <c r="AM2004" t="n">
        <v>0</v>
      </c>
      <c r="AN2004" t="n">
        <v>0</v>
      </c>
      <c r="AO2004" t="n">
        <v>0</v>
      </c>
      <c r="AP2004" t="inlineStr">
        <is>
          <t>No</t>
        </is>
      </c>
      <c r="AQ2004" t="inlineStr">
        <is>
          <t>No</t>
        </is>
      </c>
      <c r="AS2004">
        <f>HYPERLINK("https://creighton-primo.hosted.exlibrisgroup.com/primo-explore/search?tab=default_tab&amp;search_scope=EVERYTHING&amp;vid=01CRU&amp;lang=en_US&amp;offset=0&amp;query=any,contains,991004277669702656","Catalog Record")</f>
        <v/>
      </c>
      <c r="AT2004">
        <f>HYPERLINK("http://www.worldcat.org/oclc/2896445","WorldCat Record")</f>
        <v/>
      </c>
      <c r="AU2004" t="inlineStr">
        <is>
          <t>6697845:eng</t>
        </is>
      </c>
      <c r="AV2004" t="inlineStr">
        <is>
          <t>2896445</t>
        </is>
      </c>
      <c r="AW2004" t="inlineStr">
        <is>
          <t>991004277669702656</t>
        </is>
      </c>
      <c r="AX2004" t="inlineStr">
        <is>
          <t>991004277669702656</t>
        </is>
      </c>
      <c r="AY2004" t="inlineStr">
        <is>
          <t>2256235610002656</t>
        </is>
      </c>
      <c r="AZ2004" t="inlineStr">
        <is>
          <t>BOOK</t>
        </is>
      </c>
      <c r="BC2004" t="inlineStr">
        <is>
          <t>32285000856384</t>
        </is>
      </c>
      <c r="BD2004" t="inlineStr">
        <is>
          <t>893712365</t>
        </is>
      </c>
    </row>
    <row r="2005">
      <c r="A2005" t="inlineStr">
        <is>
          <t>No</t>
        </is>
      </c>
      <c r="B2005" t="inlineStr">
        <is>
          <t>BX4700.A78 A89 1970</t>
        </is>
      </c>
      <c r="C2005" t="inlineStr">
        <is>
          <t>0                      BX 4700000A  78                 A  89          1970</t>
        </is>
      </c>
      <c r="D2005" t="inlineStr">
        <is>
          <t>San Juan de Avila y la reforma de la Iglesia en España.</t>
        </is>
      </c>
      <c r="F2005" t="inlineStr">
        <is>
          <t>No</t>
        </is>
      </c>
      <c r="G2005" t="inlineStr">
        <is>
          <t>1</t>
        </is>
      </c>
      <c r="H2005" t="inlineStr">
        <is>
          <t>No</t>
        </is>
      </c>
      <c r="I2005" t="inlineStr">
        <is>
          <t>No</t>
        </is>
      </c>
      <c r="J2005" t="inlineStr">
        <is>
          <t>0</t>
        </is>
      </c>
      <c r="K2005" t="inlineStr">
        <is>
          <t>Arce, Rafael.</t>
        </is>
      </c>
      <c r="L2005" t="inlineStr">
        <is>
          <t>Madrid : Ediciones Rialp, [1970]</t>
        </is>
      </c>
      <c r="M2005" t="inlineStr">
        <is>
          <t>1970</t>
        </is>
      </c>
      <c r="O2005" t="inlineStr">
        <is>
          <t>spa</t>
        </is>
      </c>
      <c r="P2005" t="inlineStr">
        <is>
          <t xml:space="preserve">xx </t>
        </is>
      </c>
      <c r="Q2005" t="inlineStr">
        <is>
          <t>Naturaleza e historia ; 21</t>
        </is>
      </c>
      <c r="R2005" t="inlineStr">
        <is>
          <t xml:space="preserve">BX </t>
        </is>
      </c>
      <c r="S2005" t="n">
        <v>0</v>
      </c>
      <c r="T2005" t="n">
        <v>0</v>
      </c>
      <c r="U2005" t="inlineStr">
        <is>
          <t>2009-01-19</t>
        </is>
      </c>
      <c r="V2005" t="inlineStr">
        <is>
          <t>2009-01-19</t>
        </is>
      </c>
      <c r="W2005" t="inlineStr">
        <is>
          <t>1991-11-22</t>
        </is>
      </c>
      <c r="X2005" t="inlineStr">
        <is>
          <t>1991-11-22</t>
        </is>
      </c>
      <c r="Y2005" t="n">
        <v>49</v>
      </c>
      <c r="Z2005" t="n">
        <v>37</v>
      </c>
      <c r="AA2005" t="n">
        <v>38</v>
      </c>
      <c r="AB2005" t="n">
        <v>2</v>
      </c>
      <c r="AC2005" t="n">
        <v>2</v>
      </c>
      <c r="AD2005" t="n">
        <v>2</v>
      </c>
      <c r="AE2005" t="n">
        <v>2</v>
      </c>
      <c r="AF2005" t="n">
        <v>0</v>
      </c>
      <c r="AG2005" t="n">
        <v>0</v>
      </c>
      <c r="AH2005" t="n">
        <v>0</v>
      </c>
      <c r="AI2005" t="n">
        <v>0</v>
      </c>
      <c r="AJ2005" t="n">
        <v>1</v>
      </c>
      <c r="AK2005" t="n">
        <v>1</v>
      </c>
      <c r="AL2005" t="n">
        <v>1</v>
      </c>
      <c r="AM2005" t="n">
        <v>1</v>
      </c>
      <c r="AN2005" t="n">
        <v>0</v>
      </c>
      <c r="AO2005" t="n">
        <v>0</v>
      </c>
      <c r="AP2005" t="inlineStr">
        <is>
          <t>No</t>
        </is>
      </c>
      <c r="AQ2005" t="inlineStr">
        <is>
          <t>No</t>
        </is>
      </c>
      <c r="AS2005">
        <f>HYPERLINK("https://creighton-primo.hosted.exlibrisgroup.com/primo-explore/search?tab=default_tab&amp;search_scope=EVERYTHING&amp;vid=01CRU&amp;lang=en_US&amp;offset=0&amp;query=any,contains,991003284759702656","Catalog Record")</f>
        <v/>
      </c>
      <c r="AT2005">
        <f>HYPERLINK("http://www.worldcat.org/oclc/806526","WorldCat Record")</f>
        <v/>
      </c>
      <c r="AU2005" t="inlineStr">
        <is>
          <t>1634822:spa</t>
        </is>
      </c>
      <c r="AV2005" t="inlineStr">
        <is>
          <t>806526</t>
        </is>
      </c>
      <c r="AW2005" t="inlineStr">
        <is>
          <t>991003284759702656</t>
        </is>
      </c>
      <c r="AX2005" t="inlineStr">
        <is>
          <t>991003284759702656</t>
        </is>
      </c>
      <c r="AY2005" t="inlineStr">
        <is>
          <t>2268026750002656</t>
        </is>
      </c>
      <c r="AZ2005" t="inlineStr">
        <is>
          <t>BOOK</t>
        </is>
      </c>
      <c r="BC2005" t="inlineStr">
        <is>
          <t>32285000856400</t>
        </is>
      </c>
      <c r="BD2005" t="inlineStr">
        <is>
          <t>893793493</t>
        </is>
      </c>
    </row>
    <row r="2006">
      <c r="A2006" t="inlineStr">
        <is>
          <t>No</t>
        </is>
      </c>
      <c r="B2006" t="inlineStr">
        <is>
          <t>BX4700.B25 C6 1893</t>
        </is>
      </c>
      <c r="C2006" t="inlineStr">
        <is>
          <t>0                      BX 4700000B  25                 C  6           1893</t>
        </is>
      </c>
      <c r="D2006" t="inlineStr">
        <is>
          <t>Le vénérable Cardianl Bellarmin / par le P. J.-B. Couderc.</t>
        </is>
      </c>
      <c r="E2006" t="inlineStr">
        <is>
          <t>V.2</t>
        </is>
      </c>
      <c r="F2006" t="inlineStr">
        <is>
          <t>Yes</t>
        </is>
      </c>
      <c r="G2006" t="inlineStr">
        <is>
          <t>1</t>
        </is>
      </c>
      <c r="H2006" t="inlineStr">
        <is>
          <t>No</t>
        </is>
      </c>
      <c r="I2006" t="inlineStr">
        <is>
          <t>No</t>
        </is>
      </c>
      <c r="J2006" t="inlineStr">
        <is>
          <t>0</t>
        </is>
      </c>
      <c r="K2006" t="inlineStr">
        <is>
          <t>Couderc, J.-B., 1849-</t>
        </is>
      </c>
      <c r="L2006" t="inlineStr">
        <is>
          <t>Paris : V. Retaux et fils, 1893.</t>
        </is>
      </c>
      <c r="M2006" t="inlineStr">
        <is>
          <t>1893</t>
        </is>
      </c>
      <c r="O2006" t="inlineStr">
        <is>
          <t>fre</t>
        </is>
      </c>
      <c r="P2006" t="inlineStr">
        <is>
          <t xml:space="preserve">fr </t>
        </is>
      </c>
      <c r="R2006" t="inlineStr">
        <is>
          <t xml:space="preserve">BX </t>
        </is>
      </c>
      <c r="S2006" t="n">
        <v>0</v>
      </c>
      <c r="T2006" t="n">
        <v>1</v>
      </c>
      <c r="V2006" t="inlineStr">
        <is>
          <t>1992-10-08</t>
        </is>
      </c>
      <c r="W2006" t="inlineStr">
        <is>
          <t>1991-11-22</t>
        </is>
      </c>
      <c r="X2006" t="inlineStr">
        <is>
          <t>1991-11-22</t>
        </is>
      </c>
      <c r="Y2006" t="n">
        <v>31</v>
      </c>
      <c r="Z2006" t="n">
        <v>23</v>
      </c>
      <c r="AA2006" t="n">
        <v>30</v>
      </c>
      <c r="AB2006" t="n">
        <v>1</v>
      </c>
      <c r="AC2006" t="n">
        <v>1</v>
      </c>
      <c r="AD2006" t="n">
        <v>6</v>
      </c>
      <c r="AE2006" t="n">
        <v>6</v>
      </c>
      <c r="AF2006" t="n">
        <v>1</v>
      </c>
      <c r="AG2006" t="n">
        <v>1</v>
      </c>
      <c r="AH2006" t="n">
        <v>0</v>
      </c>
      <c r="AI2006" t="n">
        <v>0</v>
      </c>
      <c r="AJ2006" t="n">
        <v>5</v>
      </c>
      <c r="AK2006" t="n">
        <v>5</v>
      </c>
      <c r="AL2006" t="n">
        <v>0</v>
      </c>
      <c r="AM2006" t="n">
        <v>0</v>
      </c>
      <c r="AN2006" t="n">
        <v>0</v>
      </c>
      <c r="AO2006" t="n">
        <v>0</v>
      </c>
      <c r="AP2006" t="inlineStr">
        <is>
          <t>Yes</t>
        </is>
      </c>
      <c r="AQ2006" t="inlineStr">
        <is>
          <t>No</t>
        </is>
      </c>
      <c r="AR2006">
        <f>HYPERLINK("http://catalog.hathitrust.org/Record/100323669","HathiTrust Record")</f>
        <v/>
      </c>
      <c r="AS2006">
        <f>HYPERLINK("https://creighton-primo.hosted.exlibrisgroup.com/primo-explore/search?tab=default_tab&amp;search_scope=EVERYTHING&amp;vid=01CRU&amp;lang=en_US&amp;offset=0&amp;query=any,contains,991003809199702656","Catalog Record")</f>
        <v/>
      </c>
      <c r="AT2006">
        <f>HYPERLINK("http://www.worldcat.org/oclc/1533648","WorldCat Record")</f>
        <v/>
      </c>
      <c r="AU2006" t="inlineStr">
        <is>
          <t>363839501:fre</t>
        </is>
      </c>
      <c r="AV2006" t="inlineStr">
        <is>
          <t>1533648</t>
        </is>
      </c>
      <c r="AW2006" t="inlineStr">
        <is>
          <t>991003809199702656</t>
        </is>
      </c>
      <c r="AX2006" t="inlineStr">
        <is>
          <t>991003809199702656</t>
        </is>
      </c>
      <c r="AY2006" t="inlineStr">
        <is>
          <t>2271042600002656</t>
        </is>
      </c>
      <c r="AZ2006" t="inlineStr">
        <is>
          <t>BOOK</t>
        </is>
      </c>
      <c r="BC2006" t="inlineStr">
        <is>
          <t>32285000856475</t>
        </is>
      </c>
      <c r="BD2006" t="inlineStr">
        <is>
          <t>893258891</t>
        </is>
      </c>
    </row>
    <row r="2007">
      <c r="A2007" t="inlineStr">
        <is>
          <t>No</t>
        </is>
      </c>
      <c r="B2007" t="inlineStr">
        <is>
          <t>BX4700.B25 C6 1893</t>
        </is>
      </c>
      <c r="C2007" t="inlineStr">
        <is>
          <t>0                      BX 4700000B  25                 C  6           1893</t>
        </is>
      </c>
      <c r="D2007" t="inlineStr">
        <is>
          <t>Le vénérable Cardianl Bellarmin / par le P. J.-B. Couderc.</t>
        </is>
      </c>
      <c r="E2007" t="inlineStr">
        <is>
          <t>V.1</t>
        </is>
      </c>
      <c r="F2007" t="inlineStr">
        <is>
          <t>Yes</t>
        </is>
      </c>
      <c r="G2007" t="inlineStr">
        <is>
          <t>1</t>
        </is>
      </c>
      <c r="H2007" t="inlineStr">
        <is>
          <t>No</t>
        </is>
      </c>
      <c r="I2007" t="inlineStr">
        <is>
          <t>No</t>
        </is>
      </c>
      <c r="J2007" t="inlineStr">
        <is>
          <t>0</t>
        </is>
      </c>
      <c r="K2007" t="inlineStr">
        <is>
          <t>Couderc, J.-B., 1849-</t>
        </is>
      </c>
      <c r="L2007" t="inlineStr">
        <is>
          <t>Paris : V. Retaux et fils, 1893.</t>
        </is>
      </c>
      <c r="M2007" t="inlineStr">
        <is>
          <t>1893</t>
        </is>
      </c>
      <c r="O2007" t="inlineStr">
        <is>
          <t>fre</t>
        </is>
      </c>
      <c r="P2007" t="inlineStr">
        <is>
          <t xml:space="preserve">fr </t>
        </is>
      </c>
      <c r="R2007" t="inlineStr">
        <is>
          <t xml:space="preserve">BX </t>
        </is>
      </c>
      <c r="S2007" t="n">
        <v>1</v>
      </c>
      <c r="T2007" t="n">
        <v>1</v>
      </c>
      <c r="U2007" t="inlineStr">
        <is>
          <t>1992-10-08</t>
        </is>
      </c>
      <c r="V2007" t="inlineStr">
        <is>
          <t>1992-10-08</t>
        </is>
      </c>
      <c r="W2007" t="inlineStr">
        <is>
          <t>1991-11-22</t>
        </is>
      </c>
      <c r="X2007" t="inlineStr">
        <is>
          <t>1991-11-22</t>
        </is>
      </c>
      <c r="Y2007" t="n">
        <v>31</v>
      </c>
      <c r="Z2007" t="n">
        <v>23</v>
      </c>
      <c r="AA2007" t="n">
        <v>30</v>
      </c>
      <c r="AB2007" t="n">
        <v>1</v>
      </c>
      <c r="AC2007" t="n">
        <v>1</v>
      </c>
      <c r="AD2007" t="n">
        <v>6</v>
      </c>
      <c r="AE2007" t="n">
        <v>6</v>
      </c>
      <c r="AF2007" t="n">
        <v>1</v>
      </c>
      <c r="AG2007" t="n">
        <v>1</v>
      </c>
      <c r="AH2007" t="n">
        <v>0</v>
      </c>
      <c r="AI2007" t="n">
        <v>0</v>
      </c>
      <c r="AJ2007" t="n">
        <v>5</v>
      </c>
      <c r="AK2007" t="n">
        <v>5</v>
      </c>
      <c r="AL2007" t="n">
        <v>0</v>
      </c>
      <c r="AM2007" t="n">
        <v>0</v>
      </c>
      <c r="AN2007" t="n">
        <v>0</v>
      </c>
      <c r="AO2007" t="n">
        <v>0</v>
      </c>
      <c r="AP2007" t="inlineStr">
        <is>
          <t>Yes</t>
        </is>
      </c>
      <c r="AQ2007" t="inlineStr">
        <is>
          <t>No</t>
        </is>
      </c>
      <c r="AR2007">
        <f>HYPERLINK("http://catalog.hathitrust.org/Record/100323669","HathiTrust Record")</f>
        <v/>
      </c>
      <c r="AS2007">
        <f>HYPERLINK("https://creighton-primo.hosted.exlibrisgroup.com/primo-explore/search?tab=default_tab&amp;search_scope=EVERYTHING&amp;vid=01CRU&amp;lang=en_US&amp;offset=0&amp;query=any,contains,991003809199702656","Catalog Record")</f>
        <v/>
      </c>
      <c r="AT2007">
        <f>HYPERLINK("http://www.worldcat.org/oclc/1533648","WorldCat Record")</f>
        <v/>
      </c>
      <c r="AU2007" t="inlineStr">
        <is>
          <t>363839501:fre</t>
        </is>
      </c>
      <c r="AV2007" t="inlineStr">
        <is>
          <t>1533648</t>
        </is>
      </c>
      <c r="AW2007" t="inlineStr">
        <is>
          <t>991003809199702656</t>
        </is>
      </c>
      <c r="AX2007" t="inlineStr">
        <is>
          <t>991003809199702656</t>
        </is>
      </c>
      <c r="AY2007" t="inlineStr">
        <is>
          <t>2271042600002656</t>
        </is>
      </c>
      <c r="AZ2007" t="inlineStr">
        <is>
          <t>BOOK</t>
        </is>
      </c>
      <c r="BC2007" t="inlineStr">
        <is>
          <t>32285000856467</t>
        </is>
      </c>
      <c r="BD2007" t="inlineStr">
        <is>
          <t>893246758</t>
        </is>
      </c>
    </row>
    <row r="2008">
      <c r="A2008" t="inlineStr">
        <is>
          <t>No</t>
        </is>
      </c>
      <c r="B2008" t="inlineStr">
        <is>
          <t>BX4700.B3 C5 1971</t>
        </is>
      </c>
      <c r="C2008" t="inlineStr">
        <is>
          <t>0                      BX 4700000B  3                  C  5           1971</t>
        </is>
      </c>
      <c r="D2008" t="inlineStr">
        <is>
          <t>Saint Benedict and the sixth century.</t>
        </is>
      </c>
      <c r="F2008" t="inlineStr">
        <is>
          <t>No</t>
        </is>
      </c>
      <c r="G2008" t="inlineStr">
        <is>
          <t>1</t>
        </is>
      </c>
      <c r="H2008" t="inlineStr">
        <is>
          <t>No</t>
        </is>
      </c>
      <c r="I2008" t="inlineStr">
        <is>
          <t>No</t>
        </is>
      </c>
      <c r="J2008" t="inlineStr">
        <is>
          <t>0</t>
        </is>
      </c>
      <c r="K2008" t="inlineStr">
        <is>
          <t>Chapman, John, 1865-1933.</t>
        </is>
      </c>
      <c r="L2008" t="inlineStr">
        <is>
          <t>Westport, Conn. : Greenwood Press, [1971]</t>
        </is>
      </c>
      <c r="M2008" t="inlineStr">
        <is>
          <t>1971</t>
        </is>
      </c>
      <c r="O2008" t="inlineStr">
        <is>
          <t>eng</t>
        </is>
      </c>
      <c r="P2008" t="inlineStr">
        <is>
          <t>ctu</t>
        </is>
      </c>
      <c r="R2008" t="inlineStr">
        <is>
          <t xml:space="preserve">BX </t>
        </is>
      </c>
      <c r="S2008" t="n">
        <v>9</v>
      </c>
      <c r="T2008" t="n">
        <v>9</v>
      </c>
      <c r="U2008" t="inlineStr">
        <is>
          <t>2005-11-03</t>
        </is>
      </c>
      <c r="V2008" t="inlineStr">
        <is>
          <t>2005-11-03</t>
        </is>
      </c>
      <c r="W2008" t="inlineStr">
        <is>
          <t>1991-11-22</t>
        </is>
      </c>
      <c r="X2008" t="inlineStr">
        <is>
          <t>1991-11-22</t>
        </is>
      </c>
      <c r="Y2008" t="n">
        <v>279</v>
      </c>
      <c r="Z2008" t="n">
        <v>256</v>
      </c>
      <c r="AA2008" t="n">
        <v>396</v>
      </c>
      <c r="AB2008" t="n">
        <v>2</v>
      </c>
      <c r="AC2008" t="n">
        <v>3</v>
      </c>
      <c r="AD2008" t="n">
        <v>13</v>
      </c>
      <c r="AE2008" t="n">
        <v>30</v>
      </c>
      <c r="AF2008" t="n">
        <v>3</v>
      </c>
      <c r="AG2008" t="n">
        <v>9</v>
      </c>
      <c r="AH2008" t="n">
        <v>3</v>
      </c>
      <c r="AI2008" t="n">
        <v>8</v>
      </c>
      <c r="AJ2008" t="n">
        <v>9</v>
      </c>
      <c r="AK2008" t="n">
        <v>21</v>
      </c>
      <c r="AL2008" t="n">
        <v>1</v>
      </c>
      <c r="AM2008" t="n">
        <v>2</v>
      </c>
      <c r="AN2008" t="n">
        <v>0</v>
      </c>
      <c r="AO2008" t="n">
        <v>0</v>
      </c>
      <c r="AP2008" t="inlineStr">
        <is>
          <t>No</t>
        </is>
      </c>
      <c r="AQ2008" t="inlineStr">
        <is>
          <t>No</t>
        </is>
      </c>
      <c r="AS2008">
        <f>HYPERLINK("https://creighton-primo.hosted.exlibrisgroup.com/primo-explore/search?tab=default_tab&amp;search_scope=EVERYTHING&amp;vid=01CRU&amp;lang=en_US&amp;offset=0&amp;query=any,contains,991001908729702656","Catalog Record")</f>
        <v/>
      </c>
      <c r="AT2008">
        <f>HYPERLINK("http://www.worldcat.org/oclc/241573","WorldCat Record")</f>
        <v/>
      </c>
      <c r="AU2008" t="inlineStr">
        <is>
          <t>115789148:eng</t>
        </is>
      </c>
      <c r="AV2008" t="inlineStr">
        <is>
          <t>241573</t>
        </is>
      </c>
      <c r="AW2008" t="inlineStr">
        <is>
          <t>991001908729702656</t>
        </is>
      </c>
      <c r="AX2008" t="inlineStr">
        <is>
          <t>991001908729702656</t>
        </is>
      </c>
      <c r="AY2008" t="inlineStr">
        <is>
          <t>2269961310002656</t>
        </is>
      </c>
      <c r="AZ2008" t="inlineStr">
        <is>
          <t>BOOK</t>
        </is>
      </c>
      <c r="BB2008" t="inlineStr">
        <is>
          <t>9780837142098</t>
        </is>
      </c>
      <c r="BC2008" t="inlineStr">
        <is>
          <t>32285000856483</t>
        </is>
      </c>
      <c r="BD2008" t="inlineStr">
        <is>
          <t>893256619</t>
        </is>
      </c>
    </row>
    <row r="2009">
      <c r="A2009" t="inlineStr">
        <is>
          <t>No</t>
        </is>
      </c>
      <c r="B2009" t="inlineStr">
        <is>
          <t>BX4700.B3 D6 1887</t>
        </is>
      </c>
      <c r="C2009" t="inlineStr">
        <is>
          <t>0                      BX 4700000B  3                  D  6           1887</t>
        </is>
      </c>
      <c r="D2009" t="inlineStr">
        <is>
          <t>The teaching of St. Benedict / by Francis Cuthbert Doyle.</t>
        </is>
      </c>
      <c r="F2009" t="inlineStr">
        <is>
          <t>No</t>
        </is>
      </c>
      <c r="G2009" t="inlineStr">
        <is>
          <t>1</t>
        </is>
      </c>
      <c r="H2009" t="inlineStr">
        <is>
          <t>No</t>
        </is>
      </c>
      <c r="I2009" t="inlineStr">
        <is>
          <t>No</t>
        </is>
      </c>
      <c r="J2009" t="inlineStr">
        <is>
          <t>0</t>
        </is>
      </c>
      <c r="K2009" t="inlineStr">
        <is>
          <t>Doyle, Francis Cuthbert, 1842-1932.</t>
        </is>
      </c>
      <c r="L2009" t="inlineStr">
        <is>
          <t>London : Burns &amp; Oates ; New York : Catholic Publication Society, 1887.</t>
        </is>
      </c>
      <c r="M2009" t="inlineStr">
        <is>
          <t>1887</t>
        </is>
      </c>
      <c r="O2009" t="inlineStr">
        <is>
          <t>eng</t>
        </is>
      </c>
      <c r="P2009" t="inlineStr">
        <is>
          <t>enk</t>
        </is>
      </c>
      <c r="R2009" t="inlineStr">
        <is>
          <t xml:space="preserve">BX </t>
        </is>
      </c>
      <c r="S2009" t="n">
        <v>3</v>
      </c>
      <c r="T2009" t="n">
        <v>3</v>
      </c>
      <c r="U2009" t="inlineStr">
        <is>
          <t>2003-06-19</t>
        </is>
      </c>
      <c r="V2009" t="inlineStr">
        <is>
          <t>2003-06-19</t>
        </is>
      </c>
      <c r="W2009" t="inlineStr">
        <is>
          <t>1991-11-22</t>
        </is>
      </c>
      <c r="X2009" t="inlineStr">
        <is>
          <t>1991-11-22</t>
        </is>
      </c>
      <c r="Y2009" t="n">
        <v>44</v>
      </c>
      <c r="Z2009" t="n">
        <v>37</v>
      </c>
      <c r="AA2009" t="n">
        <v>53</v>
      </c>
      <c r="AB2009" t="n">
        <v>1</v>
      </c>
      <c r="AC2009" t="n">
        <v>1</v>
      </c>
      <c r="AD2009" t="n">
        <v>7</v>
      </c>
      <c r="AE2009" t="n">
        <v>7</v>
      </c>
      <c r="AF2009" t="n">
        <v>2</v>
      </c>
      <c r="AG2009" t="n">
        <v>2</v>
      </c>
      <c r="AH2009" t="n">
        <v>1</v>
      </c>
      <c r="AI2009" t="n">
        <v>1</v>
      </c>
      <c r="AJ2009" t="n">
        <v>4</v>
      </c>
      <c r="AK2009" t="n">
        <v>4</v>
      </c>
      <c r="AL2009" t="n">
        <v>0</v>
      </c>
      <c r="AM2009" t="n">
        <v>0</v>
      </c>
      <c r="AN2009" t="n">
        <v>0</v>
      </c>
      <c r="AO2009" t="n">
        <v>0</v>
      </c>
      <c r="AP2009" t="inlineStr">
        <is>
          <t>Yes</t>
        </is>
      </c>
      <c r="AQ2009" t="inlineStr">
        <is>
          <t>No</t>
        </is>
      </c>
      <c r="AR2009">
        <f>HYPERLINK("http://catalog.hathitrust.org/Record/008413373","HathiTrust Record")</f>
        <v/>
      </c>
      <c r="AS2009">
        <f>HYPERLINK("https://creighton-primo.hosted.exlibrisgroup.com/primo-explore/search?tab=default_tab&amp;search_scope=EVERYTHING&amp;vid=01CRU&amp;lang=en_US&amp;offset=0&amp;query=any,contains,991004264199702656","Catalog Record")</f>
        <v/>
      </c>
      <c r="AT2009">
        <f>HYPERLINK("http://www.worldcat.org/oclc/2858870","WorldCat Record")</f>
        <v/>
      </c>
      <c r="AU2009" t="inlineStr">
        <is>
          <t>3901378518:eng</t>
        </is>
      </c>
      <c r="AV2009" t="inlineStr">
        <is>
          <t>2858870</t>
        </is>
      </c>
      <c r="AW2009" t="inlineStr">
        <is>
          <t>991004264199702656</t>
        </is>
      </c>
      <c r="AX2009" t="inlineStr">
        <is>
          <t>991004264199702656</t>
        </is>
      </c>
      <c r="AY2009" t="inlineStr">
        <is>
          <t>2263414280002656</t>
        </is>
      </c>
      <c r="AZ2009" t="inlineStr">
        <is>
          <t>BOOK</t>
        </is>
      </c>
      <c r="BC2009" t="inlineStr">
        <is>
          <t>32285000856491</t>
        </is>
      </c>
      <c r="BD2009" t="inlineStr">
        <is>
          <t>893331380</t>
        </is>
      </c>
    </row>
    <row r="2010">
      <c r="A2010" t="inlineStr">
        <is>
          <t>No</t>
        </is>
      </c>
      <c r="B2010" t="inlineStr">
        <is>
          <t>BX4700.B4 D3 1921</t>
        </is>
      </c>
      <c r="C2010" t="inlineStr">
        <is>
          <t>0                      BX 4700000B  4                  D  3           1921</t>
        </is>
      </c>
      <c r="D2010" t="inlineStr">
        <is>
          <t>Saint John Berchmans : the story of the saint of innonce.</t>
        </is>
      </c>
      <c r="F2010" t="inlineStr">
        <is>
          <t>No</t>
        </is>
      </c>
      <c r="G2010" t="inlineStr">
        <is>
          <t>1</t>
        </is>
      </c>
      <c r="H2010" t="inlineStr">
        <is>
          <t>No</t>
        </is>
      </c>
      <c r="I2010" t="inlineStr">
        <is>
          <t>No</t>
        </is>
      </c>
      <c r="J2010" t="inlineStr">
        <is>
          <t>0</t>
        </is>
      </c>
      <c r="K2010" t="inlineStr">
        <is>
          <t>Daly, James J. (James Jeremiah), 1872-1953.</t>
        </is>
      </c>
      <c r="L2010" t="inlineStr">
        <is>
          <t>New York : P. J. Kenedy &amp; Sons, 1921.</t>
        </is>
      </c>
      <c r="M2010" t="inlineStr">
        <is>
          <t>1921</t>
        </is>
      </c>
      <c r="O2010" t="inlineStr">
        <is>
          <t>eng</t>
        </is>
      </c>
      <c r="P2010" t="inlineStr">
        <is>
          <t xml:space="preserve">xx </t>
        </is>
      </c>
      <c r="R2010" t="inlineStr">
        <is>
          <t xml:space="preserve">BX </t>
        </is>
      </c>
      <c r="S2010" t="n">
        <v>3</v>
      </c>
      <c r="T2010" t="n">
        <v>3</v>
      </c>
      <c r="U2010" t="inlineStr">
        <is>
          <t>2005-07-29</t>
        </is>
      </c>
      <c r="V2010" t="inlineStr">
        <is>
          <t>2005-07-29</t>
        </is>
      </c>
      <c r="W2010" t="inlineStr">
        <is>
          <t>1991-11-22</t>
        </is>
      </c>
      <c r="X2010" t="inlineStr">
        <is>
          <t>1991-11-22</t>
        </is>
      </c>
      <c r="Y2010" t="n">
        <v>70</v>
      </c>
      <c r="Z2010" t="n">
        <v>64</v>
      </c>
      <c r="AA2010" t="n">
        <v>64</v>
      </c>
      <c r="AB2010" t="n">
        <v>2</v>
      </c>
      <c r="AC2010" t="n">
        <v>2</v>
      </c>
      <c r="AD2010" t="n">
        <v>20</v>
      </c>
      <c r="AE2010" t="n">
        <v>20</v>
      </c>
      <c r="AF2010" t="n">
        <v>6</v>
      </c>
      <c r="AG2010" t="n">
        <v>6</v>
      </c>
      <c r="AH2010" t="n">
        <v>5</v>
      </c>
      <c r="AI2010" t="n">
        <v>5</v>
      </c>
      <c r="AJ2010" t="n">
        <v>16</v>
      </c>
      <c r="AK2010" t="n">
        <v>16</v>
      </c>
      <c r="AL2010" t="n">
        <v>0</v>
      </c>
      <c r="AM2010" t="n">
        <v>0</v>
      </c>
      <c r="AN2010" t="n">
        <v>0</v>
      </c>
      <c r="AO2010" t="n">
        <v>0</v>
      </c>
      <c r="AP2010" t="inlineStr">
        <is>
          <t>No</t>
        </is>
      </c>
      <c r="AQ2010" t="inlineStr">
        <is>
          <t>No</t>
        </is>
      </c>
      <c r="AS2010">
        <f>HYPERLINK("https://creighton-primo.hosted.exlibrisgroup.com/primo-explore/search?tab=default_tab&amp;search_scope=EVERYTHING&amp;vid=01CRU&amp;lang=en_US&amp;offset=0&amp;query=any,contains,991003681989702656","Catalog Record")</f>
        <v/>
      </c>
      <c r="AT2010">
        <f>HYPERLINK("http://www.worldcat.org/oclc/1308272","WorldCat Record")</f>
        <v/>
      </c>
      <c r="AU2010" t="inlineStr">
        <is>
          <t>2178013:eng</t>
        </is>
      </c>
      <c r="AV2010" t="inlineStr">
        <is>
          <t>1308272</t>
        </is>
      </c>
      <c r="AW2010" t="inlineStr">
        <is>
          <t>991003681989702656</t>
        </is>
      </c>
      <c r="AX2010" t="inlineStr">
        <is>
          <t>991003681989702656</t>
        </is>
      </c>
      <c r="AY2010" t="inlineStr">
        <is>
          <t>2265570880002656</t>
        </is>
      </c>
      <c r="AZ2010" t="inlineStr">
        <is>
          <t>BOOK</t>
        </is>
      </c>
      <c r="BC2010" t="inlineStr">
        <is>
          <t>32285000856533</t>
        </is>
      </c>
      <c r="BD2010" t="inlineStr">
        <is>
          <t>893531484</t>
        </is>
      </c>
    </row>
    <row r="2011">
      <c r="A2011" t="inlineStr">
        <is>
          <t>No</t>
        </is>
      </c>
      <c r="B2011" t="inlineStr">
        <is>
          <t>BX4700.B5 A42 1904</t>
        </is>
      </c>
      <c r="C2011" t="inlineStr">
        <is>
          <t>0                      BX 4700000B  5                  A  42          1904</t>
        </is>
      </c>
      <c r="D2011" t="inlineStr">
        <is>
          <t>Some letters of Saint Bernard, abbot of Clairvaux, from the translation by Dr. Eales; selected, with a preface, by Francis Aidan Gasquet.</t>
        </is>
      </c>
      <c r="F2011" t="inlineStr">
        <is>
          <t>No</t>
        </is>
      </c>
      <c r="G2011" t="inlineStr">
        <is>
          <t>1</t>
        </is>
      </c>
      <c r="H2011" t="inlineStr">
        <is>
          <t>No</t>
        </is>
      </c>
      <c r="I2011" t="inlineStr">
        <is>
          <t>No</t>
        </is>
      </c>
      <c r="J2011" t="inlineStr">
        <is>
          <t>0</t>
        </is>
      </c>
      <c r="K2011" t="inlineStr">
        <is>
          <t>Bernard, of Clairvaux, Saint, 1090 or 1091-1153.</t>
        </is>
      </c>
      <c r="L2011" t="inlineStr">
        <is>
          <t>London, J. Hodges, 1904.</t>
        </is>
      </c>
      <c r="M2011" t="inlineStr">
        <is>
          <t>1904</t>
        </is>
      </c>
      <c r="O2011" t="inlineStr">
        <is>
          <t>eng</t>
        </is>
      </c>
      <c r="P2011" t="inlineStr">
        <is>
          <t>enk</t>
        </is>
      </c>
      <c r="Q2011" t="inlineStr">
        <is>
          <t>Great letter writers: S. Bernard of Clairvaux</t>
        </is>
      </c>
      <c r="R2011" t="inlineStr">
        <is>
          <t xml:space="preserve">BX </t>
        </is>
      </c>
      <c r="S2011" t="n">
        <v>7</v>
      </c>
      <c r="T2011" t="n">
        <v>7</v>
      </c>
      <c r="U2011" t="inlineStr">
        <is>
          <t>2006-09-20</t>
        </is>
      </c>
      <c r="V2011" t="inlineStr">
        <is>
          <t>2006-09-20</t>
        </is>
      </c>
      <c r="W2011" t="inlineStr">
        <is>
          <t>1991-11-22</t>
        </is>
      </c>
      <c r="X2011" t="inlineStr">
        <is>
          <t>1991-11-22</t>
        </is>
      </c>
      <c r="Y2011" t="n">
        <v>174</v>
      </c>
      <c r="Z2011" t="n">
        <v>134</v>
      </c>
      <c r="AA2011" t="n">
        <v>152</v>
      </c>
      <c r="AB2011" t="n">
        <v>3</v>
      </c>
      <c r="AC2011" t="n">
        <v>3</v>
      </c>
      <c r="AD2011" t="n">
        <v>16</v>
      </c>
      <c r="AE2011" t="n">
        <v>16</v>
      </c>
      <c r="AF2011" t="n">
        <v>3</v>
      </c>
      <c r="AG2011" t="n">
        <v>3</v>
      </c>
      <c r="AH2011" t="n">
        <v>3</v>
      </c>
      <c r="AI2011" t="n">
        <v>3</v>
      </c>
      <c r="AJ2011" t="n">
        <v>13</v>
      </c>
      <c r="AK2011" t="n">
        <v>13</v>
      </c>
      <c r="AL2011" t="n">
        <v>1</v>
      </c>
      <c r="AM2011" t="n">
        <v>1</v>
      </c>
      <c r="AN2011" t="n">
        <v>0</v>
      </c>
      <c r="AO2011" t="n">
        <v>0</v>
      </c>
      <c r="AP2011" t="inlineStr">
        <is>
          <t>Yes</t>
        </is>
      </c>
      <c r="AQ2011" t="inlineStr">
        <is>
          <t>No</t>
        </is>
      </c>
      <c r="AR2011">
        <f>HYPERLINK("http://catalog.hathitrust.org/Record/001591536","HathiTrust Record")</f>
        <v/>
      </c>
      <c r="AS2011">
        <f>HYPERLINK("https://creighton-primo.hosted.exlibrisgroup.com/primo-explore/search?tab=default_tab&amp;search_scope=EVERYTHING&amp;vid=01CRU&amp;lang=en_US&amp;offset=0&amp;query=any,contains,991004071759702656","Catalog Record")</f>
        <v/>
      </c>
      <c r="AT2011">
        <f>HYPERLINK("http://www.worldcat.org/oclc/2304077","WorldCat Record")</f>
        <v/>
      </c>
      <c r="AU2011" t="inlineStr">
        <is>
          <t>4459835:eng</t>
        </is>
      </c>
      <c r="AV2011" t="inlineStr">
        <is>
          <t>2304077</t>
        </is>
      </c>
      <c r="AW2011" t="inlineStr">
        <is>
          <t>991004071759702656</t>
        </is>
      </c>
      <c r="AX2011" t="inlineStr">
        <is>
          <t>991004071759702656</t>
        </is>
      </c>
      <c r="AY2011" t="inlineStr">
        <is>
          <t>2262753400002656</t>
        </is>
      </c>
      <c r="AZ2011" t="inlineStr">
        <is>
          <t>BOOK</t>
        </is>
      </c>
      <c r="BC2011" t="inlineStr">
        <is>
          <t>32285000856558</t>
        </is>
      </c>
      <c r="BD2011" t="inlineStr">
        <is>
          <t>893806607</t>
        </is>
      </c>
    </row>
    <row r="2012">
      <c r="A2012" t="inlineStr">
        <is>
          <t>No</t>
        </is>
      </c>
      <c r="B2012" t="inlineStr">
        <is>
          <t>BX4700.B5 B46 1992</t>
        </is>
      </c>
      <c r="C2012" t="inlineStr">
        <is>
          <t>0                      BX 4700000B  5                  B  46          1992</t>
        </is>
      </c>
      <c r="D2012" t="inlineStr">
        <is>
          <t>Bernard de Clairvaux : histoire, mentalités, spiritualité : colloque de Lyon-Cîteaux-Dijon.</t>
        </is>
      </c>
      <c r="F2012" t="inlineStr">
        <is>
          <t>No</t>
        </is>
      </c>
      <c r="G2012" t="inlineStr">
        <is>
          <t>1</t>
        </is>
      </c>
      <c r="H2012" t="inlineStr">
        <is>
          <t>No</t>
        </is>
      </c>
      <c r="I2012" t="inlineStr">
        <is>
          <t>No</t>
        </is>
      </c>
      <c r="J2012" t="inlineStr">
        <is>
          <t>0</t>
        </is>
      </c>
      <c r="L2012" t="inlineStr">
        <is>
          <t>Paris : Editions du Cerf, 1992.</t>
        </is>
      </c>
      <c r="M2012" t="inlineStr">
        <is>
          <t>1992</t>
        </is>
      </c>
      <c r="O2012" t="inlineStr">
        <is>
          <t>fre</t>
        </is>
      </c>
      <c r="P2012" t="inlineStr">
        <is>
          <t xml:space="preserve">fr </t>
        </is>
      </c>
      <c r="Q2012" t="inlineStr">
        <is>
          <t>Œuvres complètes ; 1</t>
        </is>
      </c>
      <c r="R2012" t="inlineStr">
        <is>
          <t xml:space="preserve">BX </t>
        </is>
      </c>
      <c r="S2012" t="n">
        <v>4</v>
      </c>
      <c r="T2012" t="n">
        <v>4</v>
      </c>
      <c r="U2012" t="inlineStr">
        <is>
          <t>2010-11-01</t>
        </is>
      </c>
      <c r="V2012" t="inlineStr">
        <is>
          <t>2010-11-01</t>
        </is>
      </c>
      <c r="W2012" t="inlineStr">
        <is>
          <t>1997-07-18</t>
        </is>
      </c>
      <c r="X2012" t="inlineStr">
        <is>
          <t>1997-07-18</t>
        </is>
      </c>
      <c r="Y2012" t="n">
        <v>142</v>
      </c>
      <c r="Z2012" t="n">
        <v>94</v>
      </c>
      <c r="AA2012" t="n">
        <v>108</v>
      </c>
      <c r="AB2012" t="n">
        <v>1</v>
      </c>
      <c r="AC2012" t="n">
        <v>1</v>
      </c>
      <c r="AD2012" t="n">
        <v>9</v>
      </c>
      <c r="AE2012" t="n">
        <v>9</v>
      </c>
      <c r="AF2012" t="n">
        <v>1</v>
      </c>
      <c r="AG2012" t="n">
        <v>1</v>
      </c>
      <c r="AH2012" t="n">
        <v>2</v>
      </c>
      <c r="AI2012" t="n">
        <v>2</v>
      </c>
      <c r="AJ2012" t="n">
        <v>8</v>
      </c>
      <c r="AK2012" t="n">
        <v>8</v>
      </c>
      <c r="AL2012" t="n">
        <v>0</v>
      </c>
      <c r="AM2012" t="n">
        <v>0</v>
      </c>
      <c r="AN2012" t="n">
        <v>0</v>
      </c>
      <c r="AO2012" t="n">
        <v>0</v>
      </c>
      <c r="AP2012" t="inlineStr">
        <is>
          <t>No</t>
        </is>
      </c>
      <c r="AQ2012" t="inlineStr">
        <is>
          <t>No</t>
        </is>
      </c>
      <c r="AS2012">
        <f>HYPERLINK("https://creighton-primo.hosted.exlibrisgroup.com/primo-explore/search?tab=default_tab&amp;search_scope=EVERYTHING&amp;vid=01CRU&amp;lang=en_US&amp;offset=0&amp;query=any,contains,991002731089702656","Catalog Record")</f>
        <v/>
      </c>
      <c r="AT2012">
        <f>HYPERLINK("http://www.worldcat.org/oclc/35823004","WorldCat Record")</f>
        <v/>
      </c>
      <c r="AU2012" t="inlineStr">
        <is>
          <t>1081075772:fre</t>
        </is>
      </c>
      <c r="AV2012" t="inlineStr">
        <is>
          <t>35823004</t>
        </is>
      </c>
      <c r="AW2012" t="inlineStr">
        <is>
          <t>991002731089702656</t>
        </is>
      </c>
      <c r="AX2012" t="inlineStr">
        <is>
          <t>991002731089702656</t>
        </is>
      </c>
      <c r="AY2012" t="inlineStr">
        <is>
          <t>2260622240002656</t>
        </is>
      </c>
      <c r="AZ2012" t="inlineStr">
        <is>
          <t>BOOK</t>
        </is>
      </c>
      <c r="BB2012" t="inlineStr">
        <is>
          <t>9782204046770</t>
        </is>
      </c>
      <c r="BC2012" t="inlineStr">
        <is>
          <t>32285002883287</t>
        </is>
      </c>
      <c r="BD2012" t="inlineStr">
        <is>
          <t>893341772</t>
        </is>
      </c>
    </row>
    <row r="2013">
      <c r="A2013" t="inlineStr">
        <is>
          <t>No</t>
        </is>
      </c>
      <c r="B2013" t="inlineStr">
        <is>
          <t>BX4700.B5 G5 1947</t>
        </is>
      </c>
      <c r="C2013" t="inlineStr">
        <is>
          <t>0                      BX 4700000B  5                  G  5           1947</t>
        </is>
      </c>
      <c r="D2013" t="inlineStr">
        <is>
          <t>La théologie mystique de saint Bernard / par Étienne Gilson.</t>
        </is>
      </c>
      <c r="F2013" t="inlineStr">
        <is>
          <t>No</t>
        </is>
      </c>
      <c r="G2013" t="inlineStr">
        <is>
          <t>1</t>
        </is>
      </c>
      <c r="H2013" t="inlineStr">
        <is>
          <t>No</t>
        </is>
      </c>
      <c r="I2013" t="inlineStr">
        <is>
          <t>No</t>
        </is>
      </c>
      <c r="J2013" t="inlineStr">
        <is>
          <t>0</t>
        </is>
      </c>
      <c r="K2013" t="inlineStr">
        <is>
          <t>Gilson, Étienne, 1884-1978.</t>
        </is>
      </c>
      <c r="L2013" t="inlineStr">
        <is>
          <t>Paris : J. Vrin, 1947.</t>
        </is>
      </c>
      <c r="M2013" t="inlineStr">
        <is>
          <t>1947</t>
        </is>
      </c>
      <c r="O2013" t="inlineStr">
        <is>
          <t>fre</t>
        </is>
      </c>
      <c r="P2013" t="inlineStr">
        <is>
          <t xml:space="preserve">fr </t>
        </is>
      </c>
      <c r="Q2013" t="inlineStr">
        <is>
          <t>Etudes de philosophie médiévale ; 20</t>
        </is>
      </c>
      <c r="R2013" t="inlineStr">
        <is>
          <t xml:space="preserve">BX </t>
        </is>
      </c>
      <c r="S2013" t="n">
        <v>2</v>
      </c>
      <c r="T2013" t="n">
        <v>2</v>
      </c>
      <c r="U2013" t="inlineStr">
        <is>
          <t>2007-09-10</t>
        </is>
      </c>
      <c r="V2013" t="inlineStr">
        <is>
          <t>2007-09-10</t>
        </is>
      </c>
      <c r="W2013" t="inlineStr">
        <is>
          <t>1991-11-22</t>
        </is>
      </c>
      <c r="X2013" t="inlineStr">
        <is>
          <t>1991-11-22</t>
        </is>
      </c>
      <c r="Y2013" t="n">
        <v>114</v>
      </c>
      <c r="Z2013" t="n">
        <v>65</v>
      </c>
      <c r="AA2013" t="n">
        <v>158</v>
      </c>
      <c r="AB2013" t="n">
        <v>2</v>
      </c>
      <c r="AC2013" t="n">
        <v>2</v>
      </c>
      <c r="AD2013" t="n">
        <v>9</v>
      </c>
      <c r="AE2013" t="n">
        <v>17</v>
      </c>
      <c r="AF2013" t="n">
        <v>1</v>
      </c>
      <c r="AG2013" t="n">
        <v>3</v>
      </c>
      <c r="AH2013" t="n">
        <v>2</v>
      </c>
      <c r="AI2013" t="n">
        <v>4</v>
      </c>
      <c r="AJ2013" t="n">
        <v>7</v>
      </c>
      <c r="AK2013" t="n">
        <v>14</v>
      </c>
      <c r="AL2013" t="n">
        <v>1</v>
      </c>
      <c r="AM2013" t="n">
        <v>1</v>
      </c>
      <c r="AN2013" t="n">
        <v>0</v>
      </c>
      <c r="AO2013" t="n">
        <v>0</v>
      </c>
      <c r="AP2013" t="inlineStr">
        <is>
          <t>No</t>
        </is>
      </c>
      <c r="AQ2013" t="inlineStr">
        <is>
          <t>Yes</t>
        </is>
      </c>
      <c r="AR2013">
        <f>HYPERLINK("http://catalog.hathitrust.org/Record/001941228","HathiTrust Record")</f>
        <v/>
      </c>
      <c r="AS2013">
        <f>HYPERLINK("https://creighton-primo.hosted.exlibrisgroup.com/primo-explore/search?tab=default_tab&amp;search_scope=EVERYTHING&amp;vid=01CRU&amp;lang=en_US&amp;offset=0&amp;query=any,contains,991004805959702656","Catalog Record")</f>
        <v/>
      </c>
      <c r="AT2013">
        <f>HYPERLINK("http://www.worldcat.org/oclc/5246284","WorldCat Record")</f>
        <v/>
      </c>
      <c r="AU2013" t="inlineStr">
        <is>
          <t>132704424:fre</t>
        </is>
      </c>
      <c r="AV2013" t="inlineStr">
        <is>
          <t>5246284</t>
        </is>
      </c>
      <c r="AW2013" t="inlineStr">
        <is>
          <t>991004805959702656</t>
        </is>
      </c>
      <c r="AX2013" t="inlineStr">
        <is>
          <t>991004805959702656</t>
        </is>
      </c>
      <c r="AY2013" t="inlineStr">
        <is>
          <t>2259700330002656</t>
        </is>
      </c>
      <c r="AZ2013" t="inlineStr">
        <is>
          <t>BOOK</t>
        </is>
      </c>
      <c r="BC2013" t="inlineStr">
        <is>
          <t>32285000856624</t>
        </is>
      </c>
      <c r="BD2013" t="inlineStr">
        <is>
          <t>893795297</t>
        </is>
      </c>
    </row>
    <row r="2014">
      <c r="A2014" t="inlineStr">
        <is>
          <t>No</t>
        </is>
      </c>
      <c r="B2014" t="inlineStr">
        <is>
          <t>BX4700.B5 O43</t>
        </is>
      </c>
      <c r="C2014" t="inlineStr">
        <is>
          <t>0                      BX 4700000B  5                  O  43</t>
        </is>
      </c>
      <c r="D2014" t="inlineStr">
        <is>
          <t>Saint Bernard. Textes de Saint Bernard, Abélard, Pierre le Vénérable, Geoffroi de Clairvaux, Bérenger de Poitiers, Bossuet.</t>
        </is>
      </c>
      <c r="F2014" t="inlineStr">
        <is>
          <t>No</t>
        </is>
      </c>
      <c r="G2014" t="inlineStr">
        <is>
          <t>1</t>
        </is>
      </c>
      <c r="H2014" t="inlineStr">
        <is>
          <t>No</t>
        </is>
      </c>
      <c r="I2014" t="inlineStr">
        <is>
          <t>No</t>
        </is>
      </c>
      <c r="J2014" t="inlineStr">
        <is>
          <t>0</t>
        </is>
      </c>
      <c r="K2014" t="inlineStr">
        <is>
          <t>Oldenbourg, Zoé, 1916-2002.</t>
        </is>
      </c>
      <c r="L2014" t="inlineStr">
        <is>
          <t>Paris, A. Michel [1970]</t>
        </is>
      </c>
      <c r="M2014" t="inlineStr">
        <is>
          <t>1970</t>
        </is>
      </c>
      <c r="O2014" t="inlineStr">
        <is>
          <t>fre</t>
        </is>
      </c>
      <c r="P2014" t="inlineStr">
        <is>
          <t>___</t>
        </is>
      </c>
      <c r="Q2014" t="inlineStr">
        <is>
          <t>Mémorial des siècles: les hommes, xiie siècle</t>
        </is>
      </c>
      <c r="R2014" t="inlineStr">
        <is>
          <t xml:space="preserve">BX </t>
        </is>
      </c>
      <c r="S2014" t="n">
        <v>3</v>
      </c>
      <c r="T2014" t="n">
        <v>3</v>
      </c>
      <c r="U2014" t="inlineStr">
        <is>
          <t>2010-09-05</t>
        </is>
      </c>
      <c r="V2014" t="inlineStr">
        <is>
          <t>2010-09-05</t>
        </is>
      </c>
      <c r="W2014" t="inlineStr">
        <is>
          <t>1991-11-22</t>
        </is>
      </c>
      <c r="X2014" t="inlineStr">
        <is>
          <t>1991-11-22</t>
        </is>
      </c>
      <c r="Y2014" t="n">
        <v>103</v>
      </c>
      <c r="Z2014" t="n">
        <v>75</v>
      </c>
      <c r="AA2014" t="n">
        <v>76</v>
      </c>
      <c r="AB2014" t="n">
        <v>1</v>
      </c>
      <c r="AC2014" t="n">
        <v>1</v>
      </c>
      <c r="AD2014" t="n">
        <v>9</v>
      </c>
      <c r="AE2014" t="n">
        <v>9</v>
      </c>
      <c r="AF2014" t="n">
        <v>0</v>
      </c>
      <c r="AG2014" t="n">
        <v>0</v>
      </c>
      <c r="AH2014" t="n">
        <v>4</v>
      </c>
      <c r="AI2014" t="n">
        <v>4</v>
      </c>
      <c r="AJ2014" t="n">
        <v>6</v>
      </c>
      <c r="AK2014" t="n">
        <v>6</v>
      </c>
      <c r="AL2014" t="n">
        <v>0</v>
      </c>
      <c r="AM2014" t="n">
        <v>0</v>
      </c>
      <c r="AN2014" t="n">
        <v>0</v>
      </c>
      <c r="AO2014" t="n">
        <v>0</v>
      </c>
      <c r="AP2014" t="inlineStr">
        <is>
          <t>No</t>
        </is>
      </c>
      <c r="AQ2014" t="inlineStr">
        <is>
          <t>Yes</t>
        </is>
      </c>
      <c r="AR2014">
        <f>HYPERLINK("http://catalog.hathitrust.org/Record/001591543","HathiTrust Record")</f>
        <v/>
      </c>
      <c r="AS2014">
        <f>HYPERLINK("https://creighton-primo.hosted.exlibrisgroup.com/primo-explore/search?tab=default_tab&amp;search_scope=EVERYTHING&amp;vid=01CRU&amp;lang=en_US&amp;offset=0&amp;query=any,contains,991003231349702656","Catalog Record")</f>
        <v/>
      </c>
      <c r="AT2014">
        <f>HYPERLINK("http://www.worldcat.org/oclc/756045","WorldCat Record")</f>
        <v/>
      </c>
      <c r="AU2014" t="inlineStr">
        <is>
          <t>5616201560:fre</t>
        </is>
      </c>
      <c r="AV2014" t="inlineStr">
        <is>
          <t>756045</t>
        </is>
      </c>
      <c r="AW2014" t="inlineStr">
        <is>
          <t>991003231349702656</t>
        </is>
      </c>
      <c r="AX2014" t="inlineStr">
        <is>
          <t>991003231349702656</t>
        </is>
      </c>
      <c r="AY2014" t="inlineStr">
        <is>
          <t>2271242260002656</t>
        </is>
      </c>
      <c r="AZ2014" t="inlineStr">
        <is>
          <t>BOOK</t>
        </is>
      </c>
      <c r="BC2014" t="inlineStr">
        <is>
          <t>32285000856715</t>
        </is>
      </c>
      <c r="BD2014" t="inlineStr">
        <is>
          <t>893705039</t>
        </is>
      </c>
    </row>
    <row r="2015">
      <c r="A2015" t="inlineStr">
        <is>
          <t>No</t>
        </is>
      </c>
      <c r="B2015" t="inlineStr">
        <is>
          <t>BX4700.B6 B8 1968</t>
        </is>
      </c>
      <c r="C2015" t="inlineStr">
        <is>
          <t>0                      BX 4700000B  6                  B  8           1968</t>
        </is>
      </c>
      <c r="D2015" t="inlineStr">
        <is>
          <t>Anima eroica : St. Brigitte of Sweden.</t>
        </is>
      </c>
      <c r="F2015" t="inlineStr">
        <is>
          <t>No</t>
        </is>
      </c>
      <c r="G2015" t="inlineStr">
        <is>
          <t>1</t>
        </is>
      </c>
      <c r="H2015" t="inlineStr">
        <is>
          <t>No</t>
        </is>
      </c>
      <c r="I2015" t="inlineStr">
        <is>
          <t>No</t>
        </is>
      </c>
      <c r="J2015" t="inlineStr">
        <is>
          <t>0</t>
        </is>
      </c>
      <c r="K2015" t="inlineStr">
        <is>
          <t>Butkovich, Anthony, 1921-1976.</t>
        </is>
      </c>
      <c r="L2015" t="inlineStr">
        <is>
          <t>[Los Angeles?] : Ecumenical Foundation of America, 1968.</t>
        </is>
      </c>
      <c r="M2015" t="inlineStr">
        <is>
          <t>1968</t>
        </is>
      </c>
      <c r="O2015" t="inlineStr">
        <is>
          <t>eng</t>
        </is>
      </c>
      <c r="P2015" t="inlineStr">
        <is>
          <t>cau</t>
        </is>
      </c>
      <c r="R2015" t="inlineStr">
        <is>
          <t xml:space="preserve">BX </t>
        </is>
      </c>
      <c r="S2015" t="n">
        <v>3</v>
      </c>
      <c r="T2015" t="n">
        <v>3</v>
      </c>
      <c r="U2015" t="inlineStr">
        <is>
          <t>2006-03-13</t>
        </is>
      </c>
      <c r="V2015" t="inlineStr">
        <is>
          <t>2006-03-13</t>
        </is>
      </c>
      <c r="W2015" t="inlineStr">
        <is>
          <t>1991-11-22</t>
        </is>
      </c>
      <c r="X2015" t="inlineStr">
        <is>
          <t>1991-11-22</t>
        </is>
      </c>
      <c r="Y2015" t="n">
        <v>98</v>
      </c>
      <c r="Z2015" t="n">
        <v>86</v>
      </c>
      <c r="AA2015" t="n">
        <v>88</v>
      </c>
      <c r="AB2015" t="n">
        <v>1</v>
      </c>
      <c r="AC2015" t="n">
        <v>1</v>
      </c>
      <c r="AD2015" t="n">
        <v>11</v>
      </c>
      <c r="AE2015" t="n">
        <v>11</v>
      </c>
      <c r="AF2015" t="n">
        <v>4</v>
      </c>
      <c r="AG2015" t="n">
        <v>4</v>
      </c>
      <c r="AH2015" t="n">
        <v>3</v>
      </c>
      <c r="AI2015" t="n">
        <v>3</v>
      </c>
      <c r="AJ2015" t="n">
        <v>9</v>
      </c>
      <c r="AK2015" t="n">
        <v>9</v>
      </c>
      <c r="AL2015" t="n">
        <v>0</v>
      </c>
      <c r="AM2015" t="n">
        <v>0</v>
      </c>
      <c r="AN2015" t="n">
        <v>0</v>
      </c>
      <c r="AO2015" t="n">
        <v>0</v>
      </c>
      <c r="AP2015" t="inlineStr">
        <is>
          <t>No</t>
        </is>
      </c>
      <c r="AQ2015" t="inlineStr">
        <is>
          <t>Yes</t>
        </is>
      </c>
      <c r="AR2015">
        <f>HYPERLINK("http://catalog.hathitrust.org/Record/001591551","HathiTrust Record")</f>
        <v/>
      </c>
      <c r="AS2015">
        <f>HYPERLINK("https://creighton-primo.hosted.exlibrisgroup.com/primo-explore/search?tab=default_tab&amp;search_scope=EVERYTHING&amp;vid=01CRU&amp;lang=en_US&amp;offset=0&amp;query=any,contains,991002792859702656","Catalog Record")</f>
        <v/>
      </c>
      <c r="AT2015">
        <f>HYPERLINK("http://www.worldcat.org/oclc/444165","WorldCat Record")</f>
        <v/>
      </c>
      <c r="AU2015" t="inlineStr">
        <is>
          <t>341539649:eng</t>
        </is>
      </c>
      <c r="AV2015" t="inlineStr">
        <is>
          <t>444165</t>
        </is>
      </c>
      <c r="AW2015" t="inlineStr">
        <is>
          <t>991002792859702656</t>
        </is>
      </c>
      <c r="AX2015" t="inlineStr">
        <is>
          <t>991002792859702656</t>
        </is>
      </c>
      <c r="AY2015" t="inlineStr">
        <is>
          <t>2265000770002656</t>
        </is>
      </c>
      <c r="AZ2015" t="inlineStr">
        <is>
          <t>BOOK</t>
        </is>
      </c>
      <c r="BC2015" t="inlineStr">
        <is>
          <t>32285000856822</t>
        </is>
      </c>
      <c r="BD2015" t="inlineStr">
        <is>
          <t>893899232</t>
        </is>
      </c>
    </row>
    <row r="2016">
      <c r="A2016" t="inlineStr">
        <is>
          <t>No</t>
        </is>
      </c>
      <c r="B2016" t="inlineStr">
        <is>
          <t>BX4700.B6 B83 1969</t>
        </is>
      </c>
      <c r="C2016" t="inlineStr">
        <is>
          <t>0                      BX 4700000B  6                  B  83          1969</t>
        </is>
      </c>
      <c r="D2016" t="inlineStr">
        <is>
          <t>Iconography, St. Birgitta of Sweden / by Anthony Butkovich.</t>
        </is>
      </c>
      <c r="F2016" t="inlineStr">
        <is>
          <t>No</t>
        </is>
      </c>
      <c r="G2016" t="inlineStr">
        <is>
          <t>1</t>
        </is>
      </c>
      <c r="H2016" t="inlineStr">
        <is>
          <t>No</t>
        </is>
      </c>
      <c r="I2016" t="inlineStr">
        <is>
          <t>No</t>
        </is>
      </c>
      <c r="J2016" t="inlineStr">
        <is>
          <t>0</t>
        </is>
      </c>
      <c r="K2016" t="inlineStr">
        <is>
          <t>Butkovich, Anthony, 1921-1976.</t>
        </is>
      </c>
      <c r="L2016" t="inlineStr">
        <is>
          <t>[Los Angeles?] : Ecumenical Foundation of America, 1969.</t>
        </is>
      </c>
      <c r="M2016" t="inlineStr">
        <is>
          <t>1969</t>
        </is>
      </c>
      <c r="O2016" t="inlineStr">
        <is>
          <t>eng</t>
        </is>
      </c>
      <c r="P2016" t="inlineStr">
        <is>
          <t>cau</t>
        </is>
      </c>
      <c r="R2016" t="inlineStr">
        <is>
          <t xml:space="preserve">BX </t>
        </is>
      </c>
      <c r="S2016" t="n">
        <v>5</v>
      </c>
      <c r="T2016" t="n">
        <v>5</v>
      </c>
      <c r="U2016" t="inlineStr">
        <is>
          <t>2006-03-13</t>
        </is>
      </c>
      <c r="V2016" t="inlineStr">
        <is>
          <t>2006-03-13</t>
        </is>
      </c>
      <c r="W2016" t="inlineStr">
        <is>
          <t>1991-11-22</t>
        </is>
      </c>
      <c r="X2016" t="inlineStr">
        <is>
          <t>1991-11-22</t>
        </is>
      </c>
      <c r="Y2016" t="n">
        <v>237</v>
      </c>
      <c r="Z2016" t="n">
        <v>221</v>
      </c>
      <c r="AA2016" t="n">
        <v>224</v>
      </c>
      <c r="AB2016" t="n">
        <v>3</v>
      </c>
      <c r="AC2016" t="n">
        <v>3</v>
      </c>
      <c r="AD2016" t="n">
        <v>21</v>
      </c>
      <c r="AE2016" t="n">
        <v>21</v>
      </c>
      <c r="AF2016" t="n">
        <v>7</v>
      </c>
      <c r="AG2016" t="n">
        <v>7</v>
      </c>
      <c r="AH2016" t="n">
        <v>6</v>
      </c>
      <c r="AI2016" t="n">
        <v>6</v>
      </c>
      <c r="AJ2016" t="n">
        <v>13</v>
      </c>
      <c r="AK2016" t="n">
        <v>13</v>
      </c>
      <c r="AL2016" t="n">
        <v>2</v>
      </c>
      <c r="AM2016" t="n">
        <v>2</v>
      </c>
      <c r="AN2016" t="n">
        <v>0</v>
      </c>
      <c r="AO2016" t="n">
        <v>0</v>
      </c>
      <c r="AP2016" t="inlineStr">
        <is>
          <t>No</t>
        </is>
      </c>
      <c r="AQ2016" t="inlineStr">
        <is>
          <t>Yes</t>
        </is>
      </c>
      <c r="AR2016">
        <f>HYPERLINK("http://catalog.hathitrust.org/Record/001591552","HathiTrust Record")</f>
        <v/>
      </c>
      <c r="AS2016">
        <f>HYPERLINK("https://creighton-primo.hosted.exlibrisgroup.com/primo-explore/search?tab=default_tab&amp;search_scope=EVERYTHING&amp;vid=01CRU&amp;lang=en_US&amp;offset=0&amp;query=any,contains,991000644379702656","Catalog Record")</f>
        <v/>
      </c>
      <c r="AT2016">
        <f>HYPERLINK("http://www.worldcat.org/oclc/110682","WorldCat Record")</f>
        <v/>
      </c>
      <c r="AU2016" t="inlineStr">
        <is>
          <t>3855258871:eng</t>
        </is>
      </c>
      <c r="AV2016" t="inlineStr">
        <is>
          <t>110682</t>
        </is>
      </c>
      <c r="AW2016" t="inlineStr">
        <is>
          <t>991000644379702656</t>
        </is>
      </c>
      <c r="AX2016" t="inlineStr">
        <is>
          <t>991000644379702656</t>
        </is>
      </c>
      <c r="AY2016" t="inlineStr">
        <is>
          <t>2266611720002656</t>
        </is>
      </c>
      <c r="AZ2016" t="inlineStr">
        <is>
          <t>BOOK</t>
        </is>
      </c>
      <c r="BC2016" t="inlineStr">
        <is>
          <t>32285000856830</t>
        </is>
      </c>
      <c r="BD2016" t="inlineStr">
        <is>
          <t>893425895</t>
        </is>
      </c>
    </row>
    <row r="2017">
      <c r="A2017" t="inlineStr">
        <is>
          <t>No</t>
        </is>
      </c>
      <c r="B2017" t="inlineStr">
        <is>
          <t>BX4700.B6 B85 1972</t>
        </is>
      </c>
      <c r="C2017" t="inlineStr">
        <is>
          <t>0                      BX 4700000B  6                  B  85          1972</t>
        </is>
      </c>
      <c r="D2017" t="inlineStr">
        <is>
          <t>Revelations : Saint Birgitta of Sweden.</t>
        </is>
      </c>
      <c r="F2017" t="inlineStr">
        <is>
          <t>No</t>
        </is>
      </c>
      <c r="G2017" t="inlineStr">
        <is>
          <t>1</t>
        </is>
      </c>
      <c r="H2017" t="inlineStr">
        <is>
          <t>No</t>
        </is>
      </c>
      <c r="I2017" t="inlineStr">
        <is>
          <t>No</t>
        </is>
      </c>
      <c r="J2017" t="inlineStr">
        <is>
          <t>0</t>
        </is>
      </c>
      <c r="K2017" t="inlineStr">
        <is>
          <t>Butkovich, Anthony, 1921-1976.</t>
        </is>
      </c>
      <c r="L2017" t="inlineStr">
        <is>
          <t>Los Angeles : Ecumenical Foundation of America, 1972.</t>
        </is>
      </c>
      <c r="M2017" t="inlineStr">
        <is>
          <t>1972</t>
        </is>
      </c>
      <c r="O2017" t="inlineStr">
        <is>
          <t>eng</t>
        </is>
      </c>
      <c r="P2017" t="inlineStr">
        <is>
          <t>cau</t>
        </is>
      </c>
      <c r="R2017" t="inlineStr">
        <is>
          <t xml:space="preserve">BX </t>
        </is>
      </c>
      <c r="S2017" t="n">
        <v>6</v>
      </c>
      <c r="T2017" t="n">
        <v>6</v>
      </c>
      <c r="U2017" t="inlineStr">
        <is>
          <t>2006-04-12</t>
        </is>
      </c>
      <c r="V2017" t="inlineStr">
        <is>
          <t>2006-04-12</t>
        </is>
      </c>
      <c r="W2017" t="inlineStr">
        <is>
          <t>1991-11-22</t>
        </is>
      </c>
      <c r="X2017" t="inlineStr">
        <is>
          <t>1991-11-22</t>
        </is>
      </c>
      <c r="Y2017" t="n">
        <v>473</v>
      </c>
      <c r="Z2017" t="n">
        <v>381</v>
      </c>
      <c r="AA2017" t="n">
        <v>390</v>
      </c>
      <c r="AB2017" t="n">
        <v>3</v>
      </c>
      <c r="AC2017" t="n">
        <v>3</v>
      </c>
      <c r="AD2017" t="n">
        <v>29</v>
      </c>
      <c r="AE2017" t="n">
        <v>29</v>
      </c>
      <c r="AF2017" t="n">
        <v>13</v>
      </c>
      <c r="AG2017" t="n">
        <v>13</v>
      </c>
      <c r="AH2017" t="n">
        <v>6</v>
      </c>
      <c r="AI2017" t="n">
        <v>6</v>
      </c>
      <c r="AJ2017" t="n">
        <v>17</v>
      </c>
      <c r="AK2017" t="n">
        <v>17</v>
      </c>
      <c r="AL2017" t="n">
        <v>2</v>
      </c>
      <c r="AM2017" t="n">
        <v>2</v>
      </c>
      <c r="AN2017" t="n">
        <v>0</v>
      </c>
      <c r="AO2017" t="n">
        <v>0</v>
      </c>
      <c r="AP2017" t="inlineStr">
        <is>
          <t>No</t>
        </is>
      </c>
      <c r="AQ2017" t="inlineStr">
        <is>
          <t>No</t>
        </is>
      </c>
      <c r="AS2017">
        <f>HYPERLINK("https://creighton-primo.hosted.exlibrisgroup.com/primo-explore/search?tab=default_tab&amp;search_scope=EVERYTHING&amp;vid=01CRU&amp;lang=en_US&amp;offset=0&amp;query=any,contains,991002694579702656","Catalog Record")</f>
        <v/>
      </c>
      <c r="AT2017">
        <f>HYPERLINK("http://www.worldcat.org/oclc/403012","WorldCat Record")</f>
        <v/>
      </c>
      <c r="AU2017" t="inlineStr">
        <is>
          <t>3805757343:eng</t>
        </is>
      </c>
      <c r="AV2017" t="inlineStr">
        <is>
          <t>403012</t>
        </is>
      </c>
      <c r="AW2017" t="inlineStr">
        <is>
          <t>991002694579702656</t>
        </is>
      </c>
      <c r="AX2017" t="inlineStr">
        <is>
          <t>991002694579702656</t>
        </is>
      </c>
      <c r="AY2017" t="inlineStr">
        <is>
          <t>2265305790002656</t>
        </is>
      </c>
      <c r="AZ2017" t="inlineStr">
        <is>
          <t>BOOK</t>
        </is>
      </c>
      <c r="BC2017" t="inlineStr">
        <is>
          <t>32285000856855</t>
        </is>
      </c>
      <c r="BD2017" t="inlineStr">
        <is>
          <t>893804900</t>
        </is>
      </c>
    </row>
    <row r="2018">
      <c r="A2018" t="inlineStr">
        <is>
          <t>No</t>
        </is>
      </c>
      <c r="B2018" t="inlineStr">
        <is>
          <t>BX4700.B68 P76</t>
        </is>
      </c>
      <c r="C2018" t="inlineStr">
        <is>
          <t>0                      BX 4700000B  68                 P  76</t>
        </is>
      </c>
      <c r="D2018" t="inlineStr">
        <is>
          <t>Proceedings of the seventh centenary celebration of the death of Saint Bonaventure, St. Bonaventure University, St. Bonaventure, N.Y., July 12-15, 1974 / edited by Pascal F. Foley.</t>
        </is>
      </c>
      <c r="F2018" t="inlineStr">
        <is>
          <t>No</t>
        </is>
      </c>
      <c r="G2018" t="inlineStr">
        <is>
          <t>1</t>
        </is>
      </c>
      <c r="H2018" t="inlineStr">
        <is>
          <t>No</t>
        </is>
      </c>
      <c r="I2018" t="inlineStr">
        <is>
          <t>No</t>
        </is>
      </c>
      <c r="J2018" t="inlineStr">
        <is>
          <t>0</t>
        </is>
      </c>
      <c r="L2018" t="inlineStr">
        <is>
          <t>St. Bonaventure, N.Y. : Franciscan Institute, 1975.</t>
        </is>
      </c>
      <c r="M2018" t="inlineStr">
        <is>
          <t>1975</t>
        </is>
      </c>
      <c r="O2018" t="inlineStr">
        <is>
          <t>eng</t>
        </is>
      </c>
      <c r="P2018" t="inlineStr">
        <is>
          <t>nyu</t>
        </is>
      </c>
      <c r="R2018" t="inlineStr">
        <is>
          <t xml:space="preserve">BX </t>
        </is>
      </c>
      <c r="S2018" t="n">
        <v>2</v>
      </c>
      <c r="T2018" t="n">
        <v>2</v>
      </c>
      <c r="U2018" t="inlineStr">
        <is>
          <t>2005-11-03</t>
        </is>
      </c>
      <c r="V2018" t="inlineStr">
        <is>
          <t>2005-11-03</t>
        </is>
      </c>
      <c r="W2018" t="inlineStr">
        <is>
          <t>1991-11-22</t>
        </is>
      </c>
      <c r="X2018" t="inlineStr">
        <is>
          <t>1991-11-22</t>
        </is>
      </c>
      <c r="Y2018" t="n">
        <v>161</v>
      </c>
      <c r="Z2018" t="n">
        <v>128</v>
      </c>
      <c r="AA2018" t="n">
        <v>139</v>
      </c>
      <c r="AB2018" t="n">
        <v>1</v>
      </c>
      <c r="AC2018" t="n">
        <v>1</v>
      </c>
      <c r="AD2018" t="n">
        <v>14</v>
      </c>
      <c r="AE2018" t="n">
        <v>14</v>
      </c>
      <c r="AF2018" t="n">
        <v>3</v>
      </c>
      <c r="AG2018" t="n">
        <v>3</v>
      </c>
      <c r="AH2018" t="n">
        <v>5</v>
      </c>
      <c r="AI2018" t="n">
        <v>5</v>
      </c>
      <c r="AJ2018" t="n">
        <v>11</v>
      </c>
      <c r="AK2018" t="n">
        <v>11</v>
      </c>
      <c r="AL2018" t="n">
        <v>0</v>
      </c>
      <c r="AM2018" t="n">
        <v>0</v>
      </c>
      <c r="AN2018" t="n">
        <v>0</v>
      </c>
      <c r="AO2018" t="n">
        <v>0</v>
      </c>
      <c r="AP2018" t="inlineStr">
        <is>
          <t>No</t>
        </is>
      </c>
      <c r="AQ2018" t="inlineStr">
        <is>
          <t>Yes</t>
        </is>
      </c>
      <c r="AR2018">
        <f>HYPERLINK("http://catalog.hathitrust.org/Record/000731343","HathiTrust Record")</f>
        <v/>
      </c>
      <c r="AS2018">
        <f>HYPERLINK("https://creighton-primo.hosted.exlibrisgroup.com/primo-explore/search?tab=default_tab&amp;search_scope=EVERYTHING&amp;vid=01CRU&amp;lang=en_US&amp;offset=0&amp;query=any,contains,991003986029702656","Catalog Record")</f>
        <v/>
      </c>
      <c r="AT2018">
        <f>HYPERLINK("http://www.worldcat.org/oclc/2031250","WorldCat Record")</f>
        <v/>
      </c>
      <c r="AU2018" t="inlineStr">
        <is>
          <t>2782904:eng</t>
        </is>
      </c>
      <c r="AV2018" t="inlineStr">
        <is>
          <t>2031250</t>
        </is>
      </c>
      <c r="AW2018" t="inlineStr">
        <is>
          <t>991003986029702656</t>
        </is>
      </c>
      <c r="AX2018" t="inlineStr">
        <is>
          <t>991003986029702656</t>
        </is>
      </c>
      <c r="AY2018" t="inlineStr">
        <is>
          <t>2270900940002656</t>
        </is>
      </c>
      <c r="AZ2018" t="inlineStr">
        <is>
          <t>BOOK</t>
        </is>
      </c>
      <c r="BC2018" t="inlineStr">
        <is>
          <t>32285000856905</t>
        </is>
      </c>
      <c r="BD2018" t="inlineStr">
        <is>
          <t>893228767</t>
        </is>
      </c>
    </row>
    <row r="2019">
      <c r="A2019" t="inlineStr">
        <is>
          <t>No</t>
        </is>
      </c>
      <c r="B2019" t="inlineStr">
        <is>
          <t>BX4700.B683 A53 2002</t>
        </is>
      </c>
      <c r="C2019" t="inlineStr">
        <is>
          <t>0                      BX 4700000B  683                A  53          2002</t>
        </is>
      </c>
      <c r="D2019" t="inlineStr">
        <is>
          <t>A call to piety : St. Bonaventure's Collations on the six days / C. Colt Anderson.</t>
        </is>
      </c>
      <c r="F2019" t="inlineStr">
        <is>
          <t>No</t>
        </is>
      </c>
      <c r="G2019" t="inlineStr">
        <is>
          <t>1</t>
        </is>
      </c>
      <c r="H2019" t="inlineStr">
        <is>
          <t>No</t>
        </is>
      </c>
      <c r="I2019" t="inlineStr">
        <is>
          <t>No</t>
        </is>
      </c>
      <c r="J2019" t="inlineStr">
        <is>
          <t>0</t>
        </is>
      </c>
      <c r="K2019" t="inlineStr">
        <is>
          <t>Anderson, C. Colt.</t>
        </is>
      </c>
      <c r="L2019" t="inlineStr">
        <is>
          <t>Quincy, IL : Franciscan Press, 2002.</t>
        </is>
      </c>
      <c r="M2019" t="inlineStr">
        <is>
          <t>2002</t>
        </is>
      </c>
      <c r="N2019" t="inlineStr">
        <is>
          <t>1st ed.</t>
        </is>
      </c>
      <c r="O2019" t="inlineStr">
        <is>
          <t>eng</t>
        </is>
      </c>
      <c r="P2019" t="inlineStr">
        <is>
          <t>ilu</t>
        </is>
      </c>
      <c r="Q2019" t="inlineStr">
        <is>
          <t>Studies in Franciscanism</t>
        </is>
      </c>
      <c r="R2019" t="inlineStr">
        <is>
          <t xml:space="preserve">BX </t>
        </is>
      </c>
      <c r="S2019" t="n">
        <v>9</v>
      </c>
      <c r="T2019" t="n">
        <v>9</v>
      </c>
      <c r="U2019" t="inlineStr">
        <is>
          <t>2007-12-08</t>
        </is>
      </c>
      <c r="V2019" t="inlineStr">
        <is>
          <t>2007-12-08</t>
        </is>
      </c>
      <c r="W2019" t="inlineStr">
        <is>
          <t>2003-10-27</t>
        </is>
      </c>
      <c r="X2019" t="inlineStr">
        <is>
          <t>2003-10-27</t>
        </is>
      </c>
      <c r="Y2019" t="n">
        <v>42</v>
      </c>
      <c r="Z2019" t="n">
        <v>35</v>
      </c>
      <c r="AA2019" t="n">
        <v>35</v>
      </c>
      <c r="AB2019" t="n">
        <v>1</v>
      </c>
      <c r="AC2019" t="n">
        <v>1</v>
      </c>
      <c r="AD2019" t="n">
        <v>6</v>
      </c>
      <c r="AE2019" t="n">
        <v>6</v>
      </c>
      <c r="AF2019" t="n">
        <v>0</v>
      </c>
      <c r="AG2019" t="n">
        <v>0</v>
      </c>
      <c r="AH2019" t="n">
        <v>2</v>
      </c>
      <c r="AI2019" t="n">
        <v>2</v>
      </c>
      <c r="AJ2019" t="n">
        <v>5</v>
      </c>
      <c r="AK2019" t="n">
        <v>5</v>
      </c>
      <c r="AL2019" t="n">
        <v>0</v>
      </c>
      <c r="AM2019" t="n">
        <v>0</v>
      </c>
      <c r="AN2019" t="n">
        <v>0</v>
      </c>
      <c r="AO2019" t="n">
        <v>0</v>
      </c>
      <c r="AP2019" t="inlineStr">
        <is>
          <t>No</t>
        </is>
      </c>
      <c r="AQ2019" t="inlineStr">
        <is>
          <t>No</t>
        </is>
      </c>
      <c r="AS2019">
        <f>HYPERLINK("https://creighton-primo.hosted.exlibrisgroup.com/primo-explore/search?tab=default_tab&amp;search_scope=EVERYTHING&amp;vid=01CRU&amp;lang=en_US&amp;offset=0&amp;query=any,contains,991004115529702656","Catalog Record")</f>
        <v/>
      </c>
      <c r="AT2019">
        <f>HYPERLINK("http://www.worldcat.org/oclc/49991507","WorldCat Record")</f>
        <v/>
      </c>
      <c r="AU2019" t="inlineStr">
        <is>
          <t>39979079:eng</t>
        </is>
      </c>
      <c r="AV2019" t="inlineStr">
        <is>
          <t>49991507</t>
        </is>
      </c>
      <c r="AW2019" t="inlineStr">
        <is>
          <t>991004115529702656</t>
        </is>
      </c>
      <c r="AX2019" t="inlineStr">
        <is>
          <t>991004115529702656</t>
        </is>
      </c>
      <c r="AY2019" t="inlineStr">
        <is>
          <t>2271732890002656</t>
        </is>
      </c>
      <c r="AZ2019" t="inlineStr">
        <is>
          <t>BOOK</t>
        </is>
      </c>
      <c r="BB2019" t="inlineStr">
        <is>
          <t>9780819910059</t>
        </is>
      </c>
      <c r="BC2019" t="inlineStr">
        <is>
          <t>32285004790407</t>
        </is>
      </c>
      <c r="BD2019" t="inlineStr">
        <is>
          <t>893605641</t>
        </is>
      </c>
    </row>
    <row r="2020">
      <c r="A2020" t="inlineStr">
        <is>
          <t>No</t>
        </is>
      </c>
      <c r="B2020" t="inlineStr">
        <is>
          <t>BX4700.B7 B4 1927</t>
        </is>
      </c>
      <c r="C2020" t="inlineStr">
        <is>
          <t>0                      BX 4700000B  7                  B  4           1927</t>
        </is>
      </c>
      <c r="D2020" t="inlineStr">
        <is>
          <t>St. Boniface and St. Virgil : a study from the original sources of two supposed conflicts : a contribution to the history of the eight century / by Francis S. Betten.</t>
        </is>
      </c>
      <c r="F2020" t="inlineStr">
        <is>
          <t>No</t>
        </is>
      </c>
      <c r="G2020" t="inlineStr">
        <is>
          <t>1</t>
        </is>
      </c>
      <c r="H2020" t="inlineStr">
        <is>
          <t>No</t>
        </is>
      </c>
      <c r="I2020" t="inlineStr">
        <is>
          <t>No</t>
        </is>
      </c>
      <c r="J2020" t="inlineStr">
        <is>
          <t>0</t>
        </is>
      </c>
      <c r="K2020" t="inlineStr">
        <is>
          <t>Betten, Francis S. (Francis Sales), 1863-1942.</t>
        </is>
      </c>
      <c r="L2020" t="inlineStr">
        <is>
          <t>[Washington, D. C.] : St. Anselm's priory, [c1927]</t>
        </is>
      </c>
      <c r="M2020" t="inlineStr">
        <is>
          <t>1927</t>
        </is>
      </c>
      <c r="O2020" t="inlineStr">
        <is>
          <t>eng</t>
        </is>
      </c>
      <c r="P2020" t="inlineStr">
        <is>
          <t xml:space="preserve">xx </t>
        </is>
      </c>
      <c r="Q2020" t="inlineStr">
        <is>
          <t>Benedictine historical monographs ; II</t>
        </is>
      </c>
      <c r="R2020" t="inlineStr">
        <is>
          <t xml:space="preserve">BX </t>
        </is>
      </c>
      <c r="S2020" t="n">
        <v>9</v>
      </c>
      <c r="T2020" t="n">
        <v>9</v>
      </c>
      <c r="U2020" t="inlineStr">
        <is>
          <t>2006-09-26</t>
        </is>
      </c>
      <c r="V2020" t="inlineStr">
        <is>
          <t>2006-09-26</t>
        </is>
      </c>
      <c r="W2020" t="inlineStr">
        <is>
          <t>1991-11-22</t>
        </is>
      </c>
      <c r="X2020" t="inlineStr">
        <is>
          <t>1991-11-22</t>
        </is>
      </c>
      <c r="Y2020" t="n">
        <v>43</v>
      </c>
      <c r="Z2020" t="n">
        <v>39</v>
      </c>
      <c r="AA2020" t="n">
        <v>45</v>
      </c>
      <c r="AB2020" t="n">
        <v>1</v>
      </c>
      <c r="AC2020" t="n">
        <v>1</v>
      </c>
      <c r="AD2020" t="n">
        <v>10</v>
      </c>
      <c r="AE2020" t="n">
        <v>10</v>
      </c>
      <c r="AF2020" t="n">
        <v>2</v>
      </c>
      <c r="AG2020" t="n">
        <v>2</v>
      </c>
      <c r="AH2020" t="n">
        <v>1</v>
      </c>
      <c r="AI2020" t="n">
        <v>1</v>
      </c>
      <c r="AJ2020" t="n">
        <v>10</v>
      </c>
      <c r="AK2020" t="n">
        <v>10</v>
      </c>
      <c r="AL2020" t="n">
        <v>0</v>
      </c>
      <c r="AM2020" t="n">
        <v>0</v>
      </c>
      <c r="AN2020" t="n">
        <v>0</v>
      </c>
      <c r="AO2020" t="n">
        <v>0</v>
      </c>
      <c r="AP2020" t="inlineStr">
        <is>
          <t>Yes</t>
        </is>
      </c>
      <c r="AQ2020" t="inlineStr">
        <is>
          <t>No</t>
        </is>
      </c>
      <c r="AR2020">
        <f>HYPERLINK("http://catalog.hathitrust.org/Record/001634818","HathiTrust Record")</f>
        <v/>
      </c>
      <c r="AS2020">
        <f>HYPERLINK("https://creighton-primo.hosted.exlibrisgroup.com/primo-explore/search?tab=default_tab&amp;search_scope=EVERYTHING&amp;vid=01CRU&amp;lang=en_US&amp;offset=0&amp;query=any,contains,991003543759702656","Catalog Record")</f>
        <v/>
      </c>
      <c r="AT2020">
        <f>HYPERLINK("http://www.worldcat.org/oclc/1109815","WorldCat Record")</f>
        <v/>
      </c>
      <c r="AU2020" t="inlineStr">
        <is>
          <t>504941354:eng</t>
        </is>
      </c>
      <c r="AV2020" t="inlineStr">
        <is>
          <t>1109815</t>
        </is>
      </c>
      <c r="AW2020" t="inlineStr">
        <is>
          <t>991003543759702656</t>
        </is>
      </c>
      <c r="AX2020" t="inlineStr">
        <is>
          <t>991003543759702656</t>
        </is>
      </c>
      <c r="AY2020" t="inlineStr">
        <is>
          <t>2255396790002656</t>
        </is>
      </c>
      <c r="AZ2020" t="inlineStr">
        <is>
          <t>BOOK</t>
        </is>
      </c>
      <c r="BC2020" t="inlineStr">
        <is>
          <t>32285000856921</t>
        </is>
      </c>
      <c r="BD2020" t="inlineStr">
        <is>
          <t>893692824</t>
        </is>
      </c>
    </row>
    <row r="2021">
      <c r="A2021" t="inlineStr">
        <is>
          <t>No</t>
        </is>
      </c>
      <c r="B2021" t="inlineStr">
        <is>
          <t>BX4700.B7 K82 1935</t>
        </is>
      </c>
      <c r="C2021" t="inlineStr">
        <is>
          <t>0                      BX 4700000B  7                  K  82          1935</t>
        </is>
      </c>
      <c r="D2021" t="inlineStr">
        <is>
          <t>Saint Boniface / translated from the fourth French edition by Rt. Reverend Victor Day; with insertions from the latest historical findings by Rev. Francis S. Betten.</t>
        </is>
      </c>
      <c r="F2021" t="inlineStr">
        <is>
          <t>No</t>
        </is>
      </c>
      <c r="G2021" t="inlineStr">
        <is>
          <t>1</t>
        </is>
      </c>
      <c r="H2021" t="inlineStr">
        <is>
          <t>No</t>
        </is>
      </c>
      <c r="I2021" t="inlineStr">
        <is>
          <t>No</t>
        </is>
      </c>
      <c r="J2021" t="inlineStr">
        <is>
          <t>0</t>
        </is>
      </c>
      <c r="K2021" t="inlineStr">
        <is>
          <t>Kurth, Godefroid, 1847-1916.</t>
        </is>
      </c>
      <c r="L2021" t="inlineStr">
        <is>
          <t>Milwaukee : The Bruce Publishing Company, [c1935]</t>
        </is>
      </c>
      <c r="M2021" t="inlineStr">
        <is>
          <t>1935</t>
        </is>
      </c>
      <c r="O2021" t="inlineStr">
        <is>
          <t>eng</t>
        </is>
      </c>
      <c r="P2021" t="inlineStr">
        <is>
          <t>wiu</t>
        </is>
      </c>
      <c r="Q2021" t="inlineStr">
        <is>
          <t>Science and culture series</t>
        </is>
      </c>
      <c r="R2021" t="inlineStr">
        <is>
          <t xml:space="preserve">BX </t>
        </is>
      </c>
      <c r="S2021" t="n">
        <v>7</v>
      </c>
      <c r="T2021" t="n">
        <v>7</v>
      </c>
      <c r="U2021" t="inlineStr">
        <is>
          <t>2006-09-26</t>
        </is>
      </c>
      <c r="V2021" t="inlineStr">
        <is>
          <t>2006-09-26</t>
        </is>
      </c>
      <c r="W2021" t="inlineStr">
        <is>
          <t>1991-11-22</t>
        </is>
      </c>
      <c r="X2021" t="inlineStr">
        <is>
          <t>1991-11-22</t>
        </is>
      </c>
      <c r="Y2021" t="n">
        <v>171</v>
      </c>
      <c r="Z2021" t="n">
        <v>153</v>
      </c>
      <c r="AA2021" t="n">
        <v>162</v>
      </c>
      <c r="AB2021" t="n">
        <v>2</v>
      </c>
      <c r="AC2021" t="n">
        <v>2</v>
      </c>
      <c r="AD2021" t="n">
        <v>24</v>
      </c>
      <c r="AE2021" t="n">
        <v>24</v>
      </c>
      <c r="AF2021" t="n">
        <v>7</v>
      </c>
      <c r="AG2021" t="n">
        <v>7</v>
      </c>
      <c r="AH2021" t="n">
        <v>7</v>
      </c>
      <c r="AI2021" t="n">
        <v>7</v>
      </c>
      <c r="AJ2021" t="n">
        <v>18</v>
      </c>
      <c r="AK2021" t="n">
        <v>18</v>
      </c>
      <c r="AL2021" t="n">
        <v>0</v>
      </c>
      <c r="AM2021" t="n">
        <v>0</v>
      </c>
      <c r="AN2021" t="n">
        <v>0</v>
      </c>
      <c r="AO2021" t="n">
        <v>0</v>
      </c>
      <c r="AP2021" t="inlineStr">
        <is>
          <t>No</t>
        </is>
      </c>
      <c r="AQ2021" t="inlineStr">
        <is>
          <t>No</t>
        </is>
      </c>
      <c r="AS2021">
        <f>HYPERLINK("https://creighton-primo.hosted.exlibrisgroup.com/primo-explore/search?tab=default_tab&amp;search_scope=EVERYTHING&amp;vid=01CRU&amp;lang=en_US&amp;offset=0&amp;query=any,contains,991003911089702656","Catalog Record")</f>
        <v/>
      </c>
      <c r="AT2021">
        <f>HYPERLINK("http://www.worldcat.org/oclc/1852065","WorldCat Record")</f>
        <v/>
      </c>
      <c r="AU2021" t="inlineStr">
        <is>
          <t>10792688980:eng</t>
        </is>
      </c>
      <c r="AV2021" t="inlineStr">
        <is>
          <t>1852065</t>
        </is>
      </c>
      <c r="AW2021" t="inlineStr">
        <is>
          <t>991003911089702656</t>
        </is>
      </c>
      <c r="AX2021" t="inlineStr">
        <is>
          <t>991003911089702656</t>
        </is>
      </c>
      <c r="AY2021" t="inlineStr">
        <is>
          <t>2263751860002656</t>
        </is>
      </c>
      <c r="AZ2021" t="inlineStr">
        <is>
          <t>BOOK</t>
        </is>
      </c>
      <c r="BC2021" t="inlineStr">
        <is>
          <t>32285000856939</t>
        </is>
      </c>
      <c r="BD2021" t="inlineStr">
        <is>
          <t>893794256</t>
        </is>
      </c>
    </row>
    <row r="2022">
      <c r="A2022" t="inlineStr">
        <is>
          <t>No</t>
        </is>
      </c>
      <c r="B2022" t="inlineStr">
        <is>
          <t>BX4700.B7 L3 1922</t>
        </is>
      </c>
      <c r="C2022" t="inlineStr">
        <is>
          <t>0                      BX 4700000B  7                  L  3           1922</t>
        </is>
      </c>
      <c r="D2022" t="inlineStr">
        <is>
          <t>Der heilige Bonifatius Apostel der Deutschen.</t>
        </is>
      </c>
      <c r="F2022" t="inlineStr">
        <is>
          <t>No</t>
        </is>
      </c>
      <c r="G2022" t="inlineStr">
        <is>
          <t>1</t>
        </is>
      </c>
      <c r="H2022" t="inlineStr">
        <is>
          <t>No</t>
        </is>
      </c>
      <c r="I2022" t="inlineStr">
        <is>
          <t>No</t>
        </is>
      </c>
      <c r="J2022" t="inlineStr">
        <is>
          <t>0</t>
        </is>
      </c>
      <c r="K2022" t="inlineStr">
        <is>
          <t>Laux, Johann Joseph.</t>
        </is>
      </c>
      <c r="L2022" t="inlineStr">
        <is>
          <t>Freiburg i. Br. : Herder, 1922.</t>
        </is>
      </c>
      <c r="M2022" t="inlineStr">
        <is>
          <t>1922</t>
        </is>
      </c>
      <c r="O2022" t="inlineStr">
        <is>
          <t>ger</t>
        </is>
      </c>
      <c r="P2022" t="inlineStr">
        <is>
          <t xml:space="preserve">gw </t>
        </is>
      </c>
      <c r="R2022" t="inlineStr">
        <is>
          <t xml:space="preserve">BX </t>
        </is>
      </c>
      <c r="S2022" t="n">
        <v>3</v>
      </c>
      <c r="T2022" t="n">
        <v>3</v>
      </c>
      <c r="U2022" t="inlineStr">
        <is>
          <t>1995-03-13</t>
        </is>
      </c>
      <c r="V2022" t="inlineStr">
        <is>
          <t>1995-03-13</t>
        </is>
      </c>
      <c r="W2022" t="inlineStr">
        <is>
          <t>1991-11-22</t>
        </is>
      </c>
      <c r="X2022" t="inlineStr">
        <is>
          <t>1991-11-22</t>
        </is>
      </c>
      <c r="Y2022" t="n">
        <v>55</v>
      </c>
      <c r="Z2022" t="n">
        <v>23</v>
      </c>
      <c r="AA2022" t="n">
        <v>23</v>
      </c>
      <c r="AB2022" t="n">
        <v>1</v>
      </c>
      <c r="AC2022" t="n">
        <v>1</v>
      </c>
      <c r="AD2022" t="n">
        <v>4</v>
      </c>
      <c r="AE2022" t="n">
        <v>4</v>
      </c>
      <c r="AF2022" t="n">
        <v>1</v>
      </c>
      <c r="AG2022" t="n">
        <v>1</v>
      </c>
      <c r="AH2022" t="n">
        <v>1</v>
      </c>
      <c r="AI2022" t="n">
        <v>1</v>
      </c>
      <c r="AJ2022" t="n">
        <v>3</v>
      </c>
      <c r="AK2022" t="n">
        <v>3</v>
      </c>
      <c r="AL2022" t="n">
        <v>0</v>
      </c>
      <c r="AM2022" t="n">
        <v>0</v>
      </c>
      <c r="AN2022" t="n">
        <v>0</v>
      </c>
      <c r="AO2022" t="n">
        <v>0</v>
      </c>
      <c r="AP2022" t="inlineStr">
        <is>
          <t>No</t>
        </is>
      </c>
      <c r="AQ2022" t="inlineStr">
        <is>
          <t>No</t>
        </is>
      </c>
      <c r="AS2022">
        <f>HYPERLINK("https://creighton-primo.hosted.exlibrisgroup.com/primo-explore/search?tab=default_tab&amp;search_scope=EVERYTHING&amp;vid=01CRU&amp;lang=en_US&amp;offset=0&amp;query=any,contains,991000062019702656","Catalog Record")</f>
        <v/>
      </c>
      <c r="AT2022">
        <f>HYPERLINK("http://www.worldcat.org/oclc/8737664","WorldCat Record")</f>
        <v/>
      </c>
      <c r="AU2022" t="inlineStr">
        <is>
          <t>5622408271:ger</t>
        </is>
      </c>
      <c r="AV2022" t="inlineStr">
        <is>
          <t>8737664</t>
        </is>
      </c>
      <c r="AW2022" t="inlineStr">
        <is>
          <t>991000062019702656</t>
        </is>
      </c>
      <c r="AX2022" t="inlineStr">
        <is>
          <t>991000062019702656</t>
        </is>
      </c>
      <c r="AY2022" t="inlineStr">
        <is>
          <t>2256919330002656</t>
        </is>
      </c>
      <c r="AZ2022" t="inlineStr">
        <is>
          <t>BOOK</t>
        </is>
      </c>
      <c r="BC2022" t="inlineStr">
        <is>
          <t>32285000856947</t>
        </is>
      </c>
      <c r="BD2022" t="inlineStr">
        <is>
          <t>893419157</t>
        </is>
      </c>
    </row>
    <row r="2023">
      <c r="A2023" t="inlineStr">
        <is>
          <t>No</t>
        </is>
      </c>
      <c r="B2023" t="inlineStr">
        <is>
          <t>BX4700.B75 K8 1942</t>
        </is>
      </c>
      <c r="C2023" t="inlineStr">
        <is>
          <t>0                      BX 4700000B  75                 K  8           1942</t>
        </is>
      </c>
      <c r="D2023" t="inlineStr">
        <is>
          <t>The quest of Don Bosco / [by] Anna Kuhn.</t>
        </is>
      </c>
      <c r="F2023" t="inlineStr">
        <is>
          <t>No</t>
        </is>
      </c>
      <c r="G2023" t="inlineStr">
        <is>
          <t>1</t>
        </is>
      </c>
      <c r="H2023" t="inlineStr">
        <is>
          <t>No</t>
        </is>
      </c>
      <c r="I2023" t="inlineStr">
        <is>
          <t>No</t>
        </is>
      </c>
      <c r="J2023" t="inlineStr">
        <is>
          <t>0</t>
        </is>
      </c>
      <c r="K2023" t="inlineStr">
        <is>
          <t>Kuhn, Anna, 1900-</t>
        </is>
      </c>
      <c r="L2023" t="inlineStr">
        <is>
          <t>Milwaukee : The Bruce publishing company, [1942]</t>
        </is>
      </c>
      <c r="M2023" t="inlineStr">
        <is>
          <t>1942</t>
        </is>
      </c>
      <c r="O2023" t="inlineStr">
        <is>
          <t>eng</t>
        </is>
      </c>
      <c r="P2023" t="inlineStr">
        <is>
          <t>wiu</t>
        </is>
      </c>
      <c r="R2023" t="inlineStr">
        <is>
          <t xml:space="preserve">BX </t>
        </is>
      </c>
      <c r="S2023" t="n">
        <v>1</v>
      </c>
      <c r="T2023" t="n">
        <v>1</v>
      </c>
      <c r="U2023" t="inlineStr">
        <is>
          <t>1998-10-10</t>
        </is>
      </c>
      <c r="V2023" t="inlineStr">
        <is>
          <t>1998-10-10</t>
        </is>
      </c>
      <c r="W2023" t="inlineStr">
        <is>
          <t>1991-11-22</t>
        </is>
      </c>
      <c r="X2023" t="inlineStr">
        <is>
          <t>1991-11-22</t>
        </is>
      </c>
      <c r="Y2023" t="n">
        <v>44</v>
      </c>
      <c r="Z2023" t="n">
        <v>39</v>
      </c>
      <c r="AA2023" t="n">
        <v>40</v>
      </c>
      <c r="AB2023" t="n">
        <v>2</v>
      </c>
      <c r="AC2023" t="n">
        <v>2</v>
      </c>
      <c r="AD2023" t="n">
        <v>5</v>
      </c>
      <c r="AE2023" t="n">
        <v>5</v>
      </c>
      <c r="AF2023" t="n">
        <v>1</v>
      </c>
      <c r="AG2023" t="n">
        <v>1</v>
      </c>
      <c r="AH2023" t="n">
        <v>1</v>
      </c>
      <c r="AI2023" t="n">
        <v>1</v>
      </c>
      <c r="AJ2023" t="n">
        <v>5</v>
      </c>
      <c r="AK2023" t="n">
        <v>5</v>
      </c>
      <c r="AL2023" t="n">
        <v>0</v>
      </c>
      <c r="AM2023" t="n">
        <v>0</v>
      </c>
      <c r="AN2023" t="n">
        <v>0</v>
      </c>
      <c r="AO2023" t="n">
        <v>0</v>
      </c>
      <c r="AP2023" t="inlineStr">
        <is>
          <t>No</t>
        </is>
      </c>
      <c r="AQ2023" t="inlineStr">
        <is>
          <t>No</t>
        </is>
      </c>
      <c r="AS2023">
        <f>HYPERLINK("https://creighton-primo.hosted.exlibrisgroup.com/primo-explore/search?tab=default_tab&amp;search_scope=EVERYTHING&amp;vid=01CRU&amp;lang=en_US&amp;offset=0&amp;query=any,contains,991005065249702656","Catalog Record")</f>
        <v/>
      </c>
      <c r="AT2023">
        <f>HYPERLINK("http://www.worldcat.org/oclc/6947691","WorldCat Record")</f>
        <v/>
      </c>
      <c r="AU2023" t="inlineStr">
        <is>
          <t>25243841:eng</t>
        </is>
      </c>
      <c r="AV2023" t="inlineStr">
        <is>
          <t>6947691</t>
        </is>
      </c>
      <c r="AW2023" t="inlineStr">
        <is>
          <t>991005065249702656</t>
        </is>
      </c>
      <c r="AX2023" t="inlineStr">
        <is>
          <t>991005065249702656</t>
        </is>
      </c>
      <c r="AY2023" t="inlineStr">
        <is>
          <t>2256937720002656</t>
        </is>
      </c>
      <c r="AZ2023" t="inlineStr">
        <is>
          <t>BOOK</t>
        </is>
      </c>
      <c r="BC2023" t="inlineStr">
        <is>
          <t>32285000857002</t>
        </is>
      </c>
      <c r="BD2023" t="inlineStr">
        <is>
          <t>893437080</t>
        </is>
      </c>
    </row>
    <row r="2024">
      <c r="A2024" t="inlineStr">
        <is>
          <t>No</t>
        </is>
      </c>
      <c r="B2024" t="inlineStr">
        <is>
          <t>BX4700.B85 K5 1907</t>
        </is>
      </c>
      <c r="C2024" t="inlineStr">
        <is>
          <t>0                      BX 4700000B  85                 K  5           1907</t>
        </is>
      </c>
      <c r="D2024" t="inlineStr">
        <is>
          <t>St. Brigid, patroness of Ireland.</t>
        </is>
      </c>
      <c r="F2024" t="inlineStr">
        <is>
          <t>No</t>
        </is>
      </c>
      <c r="G2024" t="inlineStr">
        <is>
          <t>1</t>
        </is>
      </c>
      <c r="H2024" t="inlineStr">
        <is>
          <t>No</t>
        </is>
      </c>
      <c r="I2024" t="inlineStr">
        <is>
          <t>No</t>
        </is>
      </c>
      <c r="J2024" t="inlineStr">
        <is>
          <t>0</t>
        </is>
      </c>
      <c r="K2024" t="inlineStr">
        <is>
          <t>Knowles, J. A. (Joseph A.)</t>
        </is>
      </c>
      <c r="L2024" t="inlineStr">
        <is>
          <t>New York : Benziger, 1907.</t>
        </is>
      </c>
      <c r="M2024" t="inlineStr">
        <is>
          <t>1907</t>
        </is>
      </c>
      <c r="O2024" t="inlineStr">
        <is>
          <t>eng</t>
        </is>
      </c>
      <c r="P2024" t="inlineStr">
        <is>
          <t>nyu</t>
        </is>
      </c>
      <c r="R2024" t="inlineStr">
        <is>
          <t xml:space="preserve">BX </t>
        </is>
      </c>
      <c r="S2024" t="n">
        <v>8</v>
      </c>
      <c r="T2024" t="n">
        <v>8</v>
      </c>
      <c r="U2024" t="inlineStr">
        <is>
          <t>2008-11-13</t>
        </is>
      </c>
      <c r="V2024" t="inlineStr">
        <is>
          <t>2008-11-13</t>
        </is>
      </c>
      <c r="W2024" t="inlineStr">
        <is>
          <t>1991-11-22</t>
        </is>
      </c>
      <c r="X2024" t="inlineStr">
        <is>
          <t>1991-11-22</t>
        </is>
      </c>
      <c r="Y2024" t="n">
        <v>21</v>
      </c>
      <c r="Z2024" t="n">
        <v>20</v>
      </c>
      <c r="AA2024" t="n">
        <v>52</v>
      </c>
      <c r="AB2024" t="n">
        <v>2</v>
      </c>
      <c r="AC2024" t="n">
        <v>2</v>
      </c>
      <c r="AD2024" t="n">
        <v>8</v>
      </c>
      <c r="AE2024" t="n">
        <v>12</v>
      </c>
      <c r="AF2024" t="n">
        <v>1</v>
      </c>
      <c r="AG2024" t="n">
        <v>1</v>
      </c>
      <c r="AH2024" t="n">
        <v>2</v>
      </c>
      <c r="AI2024" t="n">
        <v>4</v>
      </c>
      <c r="AJ2024" t="n">
        <v>6</v>
      </c>
      <c r="AK2024" t="n">
        <v>8</v>
      </c>
      <c r="AL2024" t="n">
        <v>0</v>
      </c>
      <c r="AM2024" t="n">
        <v>0</v>
      </c>
      <c r="AN2024" t="n">
        <v>0</v>
      </c>
      <c r="AO2024" t="n">
        <v>0</v>
      </c>
      <c r="AP2024" t="inlineStr">
        <is>
          <t>No</t>
        </is>
      </c>
      <c r="AQ2024" t="inlineStr">
        <is>
          <t>No</t>
        </is>
      </c>
      <c r="AS2024">
        <f>HYPERLINK("https://creighton-primo.hosted.exlibrisgroup.com/primo-explore/search?tab=default_tab&amp;search_scope=EVERYTHING&amp;vid=01CRU&amp;lang=en_US&amp;offset=0&amp;query=any,contains,991000851569702656","Catalog Record")</f>
        <v/>
      </c>
      <c r="AT2024">
        <f>HYPERLINK("http://www.worldcat.org/oclc/13584343","WorldCat Record")</f>
        <v/>
      </c>
      <c r="AU2024" t="inlineStr">
        <is>
          <t>7596292:eng</t>
        </is>
      </c>
      <c r="AV2024" t="inlineStr">
        <is>
          <t>13584343</t>
        </is>
      </c>
      <c r="AW2024" t="inlineStr">
        <is>
          <t>991000851569702656</t>
        </is>
      </c>
      <c r="AX2024" t="inlineStr">
        <is>
          <t>991000851569702656</t>
        </is>
      </c>
      <c r="AY2024" t="inlineStr">
        <is>
          <t>2258617460002656</t>
        </is>
      </c>
      <c r="AZ2024" t="inlineStr">
        <is>
          <t>BOOK</t>
        </is>
      </c>
      <c r="BC2024" t="inlineStr">
        <is>
          <t>32285000857044</t>
        </is>
      </c>
      <c r="BD2024" t="inlineStr">
        <is>
          <t>893865743</t>
        </is>
      </c>
    </row>
    <row r="2025">
      <c r="A2025" t="inlineStr">
        <is>
          <t>No</t>
        </is>
      </c>
      <c r="B2025" t="inlineStr">
        <is>
          <t>BX4700.C13 A4 2001</t>
        </is>
      </c>
      <c r="C2025" t="inlineStr">
        <is>
          <t>0                      BX 4700000C  13                 A  4           2001</t>
        </is>
      </c>
      <c r="D2025" t="inlineStr">
        <is>
          <t>To the ends of the earth : the missionary travels of Frances X. Cabrini ; translated by Philippa Provenzano.</t>
        </is>
      </c>
      <c r="F2025" t="inlineStr">
        <is>
          <t>No</t>
        </is>
      </c>
      <c r="G2025" t="inlineStr">
        <is>
          <t>1</t>
        </is>
      </c>
      <c r="H2025" t="inlineStr">
        <is>
          <t>No</t>
        </is>
      </c>
      <c r="I2025" t="inlineStr">
        <is>
          <t>No</t>
        </is>
      </c>
      <c r="J2025" t="inlineStr">
        <is>
          <t>0</t>
        </is>
      </c>
      <c r="K2025" t="inlineStr">
        <is>
          <t>Cabrini, Frances Xavier, Saint, 1850-1917.</t>
        </is>
      </c>
      <c r="L2025" t="inlineStr">
        <is>
          <t>New York : Center for Migration Studies, 2001.</t>
        </is>
      </c>
      <c r="M2025" t="inlineStr">
        <is>
          <t>2001</t>
        </is>
      </c>
      <c r="N2025" t="inlineStr">
        <is>
          <t>1st ed.</t>
        </is>
      </c>
      <c r="O2025" t="inlineStr">
        <is>
          <t>eng</t>
        </is>
      </c>
      <c r="P2025" t="inlineStr">
        <is>
          <t>nyu</t>
        </is>
      </c>
      <c r="R2025" t="inlineStr">
        <is>
          <t xml:space="preserve">BX </t>
        </is>
      </c>
      <c r="S2025" t="n">
        <v>4</v>
      </c>
      <c r="T2025" t="n">
        <v>4</v>
      </c>
      <c r="U2025" t="inlineStr">
        <is>
          <t>2005-02-24</t>
        </is>
      </c>
      <c r="V2025" t="inlineStr">
        <is>
          <t>2005-02-24</t>
        </is>
      </c>
      <c r="W2025" t="inlineStr">
        <is>
          <t>2003-07-01</t>
        </is>
      </c>
      <c r="X2025" t="inlineStr">
        <is>
          <t>2003-07-01</t>
        </is>
      </c>
      <c r="Y2025" t="n">
        <v>57</v>
      </c>
      <c r="Z2025" t="n">
        <v>53</v>
      </c>
      <c r="AA2025" t="n">
        <v>53</v>
      </c>
      <c r="AB2025" t="n">
        <v>1</v>
      </c>
      <c r="AC2025" t="n">
        <v>1</v>
      </c>
      <c r="AD2025" t="n">
        <v>7</v>
      </c>
      <c r="AE2025" t="n">
        <v>7</v>
      </c>
      <c r="AF2025" t="n">
        <v>1</v>
      </c>
      <c r="AG2025" t="n">
        <v>1</v>
      </c>
      <c r="AH2025" t="n">
        <v>2</v>
      </c>
      <c r="AI2025" t="n">
        <v>2</v>
      </c>
      <c r="AJ2025" t="n">
        <v>5</v>
      </c>
      <c r="AK2025" t="n">
        <v>5</v>
      </c>
      <c r="AL2025" t="n">
        <v>0</v>
      </c>
      <c r="AM2025" t="n">
        <v>0</v>
      </c>
      <c r="AN2025" t="n">
        <v>0</v>
      </c>
      <c r="AO2025" t="n">
        <v>0</v>
      </c>
      <c r="AP2025" t="inlineStr">
        <is>
          <t>No</t>
        </is>
      </c>
      <c r="AQ2025" t="inlineStr">
        <is>
          <t>No</t>
        </is>
      </c>
      <c r="AS2025">
        <f>HYPERLINK("https://creighton-primo.hosted.exlibrisgroup.com/primo-explore/search?tab=default_tab&amp;search_scope=EVERYTHING&amp;vid=01CRU&amp;lang=en_US&amp;offset=0&amp;query=any,contains,991004086289702656","Catalog Record")</f>
        <v/>
      </c>
      <c r="AT2025">
        <f>HYPERLINK("http://www.worldcat.org/oclc/45195680","WorldCat Record")</f>
        <v/>
      </c>
      <c r="AU2025" t="inlineStr">
        <is>
          <t>34879708:eng</t>
        </is>
      </c>
      <c r="AV2025" t="inlineStr">
        <is>
          <t>45195680</t>
        </is>
      </c>
      <c r="AW2025" t="inlineStr">
        <is>
          <t>991004086289702656</t>
        </is>
      </c>
      <c r="AX2025" t="inlineStr">
        <is>
          <t>991004086289702656</t>
        </is>
      </c>
      <c r="AY2025" t="inlineStr">
        <is>
          <t>2258782960002656</t>
        </is>
      </c>
      <c r="AZ2025" t="inlineStr">
        <is>
          <t>BOOK</t>
        </is>
      </c>
      <c r="BB2025" t="inlineStr">
        <is>
          <t>9781577030171</t>
        </is>
      </c>
      <c r="BC2025" t="inlineStr">
        <is>
          <t>32285004754965</t>
        </is>
      </c>
      <c r="BD2025" t="inlineStr">
        <is>
          <t>893331193</t>
        </is>
      </c>
    </row>
    <row r="2026">
      <c r="A2026" t="inlineStr">
        <is>
          <t>No</t>
        </is>
      </c>
      <c r="B2026" t="inlineStr">
        <is>
          <t>BX4700.C13 D5</t>
        </is>
      </c>
      <c r="C2026" t="inlineStr">
        <is>
          <t>0                      BX 4700000C  13                 D  5</t>
        </is>
      </c>
      <c r="D2026" t="inlineStr">
        <is>
          <t>Immigrant saint : the life of Mother Cabrini / Pietro Di Donato.</t>
        </is>
      </c>
      <c r="F2026" t="inlineStr">
        <is>
          <t>No</t>
        </is>
      </c>
      <c r="G2026" t="inlineStr">
        <is>
          <t>1</t>
        </is>
      </c>
      <c r="H2026" t="inlineStr">
        <is>
          <t>No</t>
        </is>
      </c>
      <c r="I2026" t="inlineStr">
        <is>
          <t>No</t>
        </is>
      </c>
      <c r="J2026" t="inlineStr">
        <is>
          <t>0</t>
        </is>
      </c>
      <c r="K2026" t="inlineStr">
        <is>
          <t>Di Donato, Pietro, 1911-1992.</t>
        </is>
      </c>
      <c r="L2026" t="inlineStr">
        <is>
          <t>New York : McGraw-Hill Book Company, Inc., [1960]</t>
        </is>
      </c>
      <c r="M2026" t="inlineStr">
        <is>
          <t>1960</t>
        </is>
      </c>
      <c r="O2026" t="inlineStr">
        <is>
          <t>eng</t>
        </is>
      </c>
      <c r="P2026" t="inlineStr">
        <is>
          <t xml:space="preserve">xx </t>
        </is>
      </c>
      <c r="R2026" t="inlineStr">
        <is>
          <t xml:space="preserve">BX </t>
        </is>
      </c>
      <c r="S2026" t="n">
        <v>4</v>
      </c>
      <c r="T2026" t="n">
        <v>4</v>
      </c>
      <c r="U2026" t="inlineStr">
        <is>
          <t>2005-02-24</t>
        </is>
      </c>
      <c r="V2026" t="inlineStr">
        <is>
          <t>2005-02-24</t>
        </is>
      </c>
      <c r="W2026" t="inlineStr">
        <is>
          <t>1991-12-12</t>
        </is>
      </c>
      <c r="X2026" t="inlineStr">
        <is>
          <t>1991-12-12</t>
        </is>
      </c>
      <c r="Y2026" t="n">
        <v>445</v>
      </c>
      <c r="Z2026" t="n">
        <v>427</v>
      </c>
      <c r="AA2026" t="n">
        <v>519</v>
      </c>
      <c r="AB2026" t="n">
        <v>5</v>
      </c>
      <c r="AC2026" t="n">
        <v>5</v>
      </c>
      <c r="AD2026" t="n">
        <v>36</v>
      </c>
      <c r="AE2026" t="n">
        <v>37</v>
      </c>
      <c r="AF2026" t="n">
        <v>14</v>
      </c>
      <c r="AG2026" t="n">
        <v>15</v>
      </c>
      <c r="AH2026" t="n">
        <v>10</v>
      </c>
      <c r="AI2026" t="n">
        <v>11</v>
      </c>
      <c r="AJ2026" t="n">
        <v>23</v>
      </c>
      <c r="AK2026" t="n">
        <v>23</v>
      </c>
      <c r="AL2026" t="n">
        <v>1</v>
      </c>
      <c r="AM2026" t="n">
        <v>1</v>
      </c>
      <c r="AN2026" t="n">
        <v>0</v>
      </c>
      <c r="AO2026" t="n">
        <v>0</v>
      </c>
      <c r="AP2026" t="inlineStr">
        <is>
          <t>No</t>
        </is>
      </c>
      <c r="AQ2026" t="inlineStr">
        <is>
          <t>Yes</t>
        </is>
      </c>
      <c r="AR2026">
        <f>HYPERLINK("http://catalog.hathitrust.org/Record/007035745","HathiTrust Record")</f>
        <v/>
      </c>
      <c r="AS2026">
        <f>HYPERLINK("https://creighton-primo.hosted.exlibrisgroup.com/primo-explore/search?tab=default_tab&amp;search_scope=EVERYTHING&amp;vid=01CRU&amp;lang=en_US&amp;offset=0&amp;query=any,contains,991003905389702656","Catalog Record")</f>
        <v/>
      </c>
      <c r="AT2026">
        <f>HYPERLINK("http://www.worldcat.org/oclc/1184675","WorldCat Record")</f>
        <v/>
      </c>
      <c r="AU2026" t="inlineStr">
        <is>
          <t>293187300:eng</t>
        </is>
      </c>
      <c r="AV2026" t="inlineStr">
        <is>
          <t>1184675</t>
        </is>
      </c>
      <c r="AW2026" t="inlineStr">
        <is>
          <t>991003905389702656</t>
        </is>
      </c>
      <c r="AX2026" t="inlineStr">
        <is>
          <t>991003905389702656</t>
        </is>
      </c>
      <c r="AY2026" t="inlineStr">
        <is>
          <t>2257490940002656</t>
        </is>
      </c>
      <c r="AZ2026" t="inlineStr">
        <is>
          <t>BOOK</t>
        </is>
      </c>
      <c r="BC2026" t="inlineStr">
        <is>
          <t>32285000874007</t>
        </is>
      </c>
      <c r="BD2026" t="inlineStr">
        <is>
          <t>893519027</t>
        </is>
      </c>
    </row>
    <row r="2027">
      <c r="A2027" t="inlineStr">
        <is>
          <t>No</t>
        </is>
      </c>
      <c r="B2027" t="inlineStr">
        <is>
          <t>BX4700.C13 S85 1992</t>
        </is>
      </c>
      <c r="C2027" t="inlineStr">
        <is>
          <t>0                      BX 4700000C  13                 S  85          1992</t>
        </is>
      </c>
      <c r="D2027" t="inlineStr">
        <is>
          <t>Mother Cabrini, "Italian immigrant of the century" / by Mary Louise Sullivan.</t>
        </is>
      </c>
      <c r="F2027" t="inlineStr">
        <is>
          <t>No</t>
        </is>
      </c>
      <c r="G2027" t="inlineStr">
        <is>
          <t>1</t>
        </is>
      </c>
      <c r="H2027" t="inlineStr">
        <is>
          <t>No</t>
        </is>
      </c>
      <c r="I2027" t="inlineStr">
        <is>
          <t>No</t>
        </is>
      </c>
      <c r="J2027" t="inlineStr">
        <is>
          <t>0</t>
        </is>
      </c>
      <c r="K2027" t="inlineStr">
        <is>
          <t>Sullivan, Mary Louise.</t>
        </is>
      </c>
      <c r="L2027" t="inlineStr">
        <is>
          <t>New York : Center for Migration Studies, 1992.</t>
        </is>
      </c>
      <c r="M2027" t="inlineStr">
        <is>
          <t>1992</t>
        </is>
      </c>
      <c r="N2027" t="inlineStr">
        <is>
          <t>1st ed.</t>
        </is>
      </c>
      <c r="O2027" t="inlineStr">
        <is>
          <t>eng</t>
        </is>
      </c>
      <c r="P2027" t="inlineStr">
        <is>
          <t>nyu</t>
        </is>
      </c>
      <c r="R2027" t="inlineStr">
        <is>
          <t xml:space="preserve">BX </t>
        </is>
      </c>
      <c r="S2027" t="n">
        <v>4</v>
      </c>
      <c r="T2027" t="n">
        <v>4</v>
      </c>
      <c r="U2027" t="inlineStr">
        <is>
          <t>2005-02-24</t>
        </is>
      </c>
      <c r="V2027" t="inlineStr">
        <is>
          <t>2005-02-24</t>
        </is>
      </c>
      <c r="W2027" t="inlineStr">
        <is>
          <t>2003-07-01</t>
        </is>
      </c>
      <c r="X2027" t="inlineStr">
        <is>
          <t>2003-07-01</t>
        </is>
      </c>
      <c r="Y2027" t="n">
        <v>166</v>
      </c>
      <c r="Z2027" t="n">
        <v>155</v>
      </c>
      <c r="AA2027" t="n">
        <v>157</v>
      </c>
      <c r="AB2027" t="n">
        <v>1</v>
      </c>
      <c r="AC2027" t="n">
        <v>1</v>
      </c>
      <c r="AD2027" t="n">
        <v>22</v>
      </c>
      <c r="AE2027" t="n">
        <v>22</v>
      </c>
      <c r="AF2027" t="n">
        <v>9</v>
      </c>
      <c r="AG2027" t="n">
        <v>9</v>
      </c>
      <c r="AH2027" t="n">
        <v>5</v>
      </c>
      <c r="AI2027" t="n">
        <v>5</v>
      </c>
      <c r="AJ2027" t="n">
        <v>15</v>
      </c>
      <c r="AK2027" t="n">
        <v>15</v>
      </c>
      <c r="AL2027" t="n">
        <v>0</v>
      </c>
      <c r="AM2027" t="n">
        <v>0</v>
      </c>
      <c r="AN2027" t="n">
        <v>0</v>
      </c>
      <c r="AO2027" t="n">
        <v>0</v>
      </c>
      <c r="AP2027" t="inlineStr">
        <is>
          <t>No</t>
        </is>
      </c>
      <c r="AQ2027" t="inlineStr">
        <is>
          <t>Yes</t>
        </is>
      </c>
      <c r="AR2027">
        <f>HYPERLINK("http://catalog.hathitrust.org/Record/006922844","HathiTrust Record")</f>
        <v/>
      </c>
      <c r="AS2027">
        <f>HYPERLINK("https://creighton-primo.hosted.exlibrisgroup.com/primo-explore/search?tab=default_tab&amp;search_scope=EVERYTHING&amp;vid=01CRU&amp;lang=en_US&amp;offset=0&amp;query=any,contains,991004086319702656","Catalog Record")</f>
        <v/>
      </c>
      <c r="AT2027">
        <f>HYPERLINK("http://www.worldcat.org/oclc/15015163","WorldCat Record")</f>
        <v/>
      </c>
      <c r="AU2027" t="inlineStr">
        <is>
          <t>8501421:eng</t>
        </is>
      </c>
      <c r="AV2027" t="inlineStr">
        <is>
          <t>15015163</t>
        </is>
      </c>
      <c r="AW2027" t="inlineStr">
        <is>
          <t>991004086319702656</t>
        </is>
      </c>
      <c r="AX2027" t="inlineStr">
        <is>
          <t>991004086319702656</t>
        </is>
      </c>
      <c r="AY2027" t="inlineStr">
        <is>
          <t>2272006120002656</t>
        </is>
      </c>
      <c r="AZ2027" t="inlineStr">
        <is>
          <t>BOOK</t>
        </is>
      </c>
      <c r="BB2027" t="inlineStr">
        <is>
          <t>9780934733069</t>
        </is>
      </c>
      <c r="BC2027" t="inlineStr">
        <is>
          <t>32285004754957</t>
        </is>
      </c>
      <c r="BD2027" t="inlineStr">
        <is>
          <t>893411105</t>
        </is>
      </c>
    </row>
    <row r="2028">
      <c r="A2028" t="inlineStr">
        <is>
          <t>No</t>
        </is>
      </c>
      <c r="B2028" t="inlineStr">
        <is>
          <t>BX4700.C18 L9 1917</t>
        </is>
      </c>
      <c r="C2028" t="inlineStr">
        <is>
          <t>0                      BX 4700000C  18                 L  9           1917</t>
        </is>
      </c>
      <c r="D2028" t="inlineStr">
        <is>
          <t>Camillus de Lellis : the hospital saint / by a Sister of mercy.</t>
        </is>
      </c>
      <c r="F2028" t="inlineStr">
        <is>
          <t>No</t>
        </is>
      </c>
      <c r="G2028" t="inlineStr">
        <is>
          <t>1</t>
        </is>
      </c>
      <c r="H2028" t="inlineStr">
        <is>
          <t>No</t>
        </is>
      </c>
      <c r="I2028" t="inlineStr">
        <is>
          <t>No</t>
        </is>
      </c>
      <c r="J2028" t="inlineStr">
        <is>
          <t>0</t>
        </is>
      </c>
      <c r="K2028" t="inlineStr">
        <is>
          <t>Lyons, Mary Camilla, Sister.</t>
        </is>
      </c>
      <c r="L2028" t="inlineStr">
        <is>
          <t>New York ; Cincinnati [etc.] : Benziger brothers, 1917.</t>
        </is>
      </c>
      <c r="M2028" t="inlineStr">
        <is>
          <t>1917</t>
        </is>
      </c>
      <c r="O2028" t="inlineStr">
        <is>
          <t>eng</t>
        </is>
      </c>
      <c r="P2028" t="inlineStr">
        <is>
          <t xml:space="preserve">xx </t>
        </is>
      </c>
      <c r="R2028" t="inlineStr">
        <is>
          <t xml:space="preserve">BX </t>
        </is>
      </c>
      <c r="S2028" t="n">
        <v>2</v>
      </c>
      <c r="T2028" t="n">
        <v>2</v>
      </c>
      <c r="U2028" t="inlineStr">
        <is>
          <t>1993-04-15</t>
        </is>
      </c>
      <c r="V2028" t="inlineStr">
        <is>
          <t>1993-04-15</t>
        </is>
      </c>
      <c r="W2028" t="inlineStr">
        <is>
          <t>1991-11-22</t>
        </is>
      </c>
      <c r="X2028" t="inlineStr">
        <is>
          <t>1991-11-22</t>
        </is>
      </c>
      <c r="Y2028" t="n">
        <v>43</v>
      </c>
      <c r="Z2028" t="n">
        <v>38</v>
      </c>
      <c r="AA2028" t="n">
        <v>46</v>
      </c>
      <c r="AB2028" t="n">
        <v>1</v>
      </c>
      <c r="AC2028" t="n">
        <v>1</v>
      </c>
      <c r="AD2028" t="n">
        <v>9</v>
      </c>
      <c r="AE2028" t="n">
        <v>9</v>
      </c>
      <c r="AF2028" t="n">
        <v>2</v>
      </c>
      <c r="AG2028" t="n">
        <v>2</v>
      </c>
      <c r="AH2028" t="n">
        <v>2</v>
      </c>
      <c r="AI2028" t="n">
        <v>2</v>
      </c>
      <c r="AJ2028" t="n">
        <v>8</v>
      </c>
      <c r="AK2028" t="n">
        <v>8</v>
      </c>
      <c r="AL2028" t="n">
        <v>0</v>
      </c>
      <c r="AM2028" t="n">
        <v>0</v>
      </c>
      <c r="AN2028" t="n">
        <v>0</v>
      </c>
      <c r="AO2028" t="n">
        <v>0</v>
      </c>
      <c r="AP2028" t="inlineStr">
        <is>
          <t>Yes</t>
        </is>
      </c>
      <c r="AQ2028" t="inlineStr">
        <is>
          <t>No</t>
        </is>
      </c>
      <c r="AR2028">
        <f>HYPERLINK("http://catalog.hathitrust.org/Record/008638138","HathiTrust Record")</f>
        <v/>
      </c>
      <c r="AS2028">
        <f>HYPERLINK("https://creighton-primo.hosted.exlibrisgroup.com/primo-explore/search?tab=default_tab&amp;search_scope=EVERYTHING&amp;vid=01CRU&amp;lang=en_US&amp;offset=0&amp;query=any,contains,991004417079702656","Catalog Record")</f>
        <v/>
      </c>
      <c r="AT2028">
        <f>HYPERLINK("http://www.worldcat.org/oclc/3366975","WorldCat Record")</f>
        <v/>
      </c>
      <c r="AU2028" t="inlineStr">
        <is>
          <t>9597667:eng</t>
        </is>
      </c>
      <c r="AV2028" t="inlineStr">
        <is>
          <t>3366975</t>
        </is>
      </c>
      <c r="AW2028" t="inlineStr">
        <is>
          <t>991004417079702656</t>
        </is>
      </c>
      <c r="AX2028" t="inlineStr">
        <is>
          <t>991004417079702656</t>
        </is>
      </c>
      <c r="AY2028" t="inlineStr">
        <is>
          <t>2259532560002656</t>
        </is>
      </c>
      <c r="AZ2028" t="inlineStr">
        <is>
          <t>BOOK</t>
        </is>
      </c>
      <c r="BC2028" t="inlineStr">
        <is>
          <t>32285000857069</t>
        </is>
      </c>
      <c r="BD2028" t="inlineStr">
        <is>
          <t>893253667</t>
        </is>
      </c>
    </row>
    <row r="2029">
      <c r="A2029" t="inlineStr">
        <is>
          <t>No</t>
        </is>
      </c>
      <c r="B2029" t="inlineStr">
        <is>
          <t>BX4700.C18 O6 1924</t>
        </is>
      </c>
      <c r="C2029" t="inlineStr">
        <is>
          <t>0                      BX 4700000C  18                 O  6           1924</t>
        </is>
      </c>
      <c r="D2029" t="inlineStr">
        <is>
          <t>The first Red cross : (Camillus de Lellis, 1550-1614) / by Cecilia Oldmeadow.</t>
        </is>
      </c>
      <c r="F2029" t="inlineStr">
        <is>
          <t>No</t>
        </is>
      </c>
      <c r="G2029" t="inlineStr">
        <is>
          <t>1</t>
        </is>
      </c>
      <c r="H2029" t="inlineStr">
        <is>
          <t>No</t>
        </is>
      </c>
      <c r="I2029" t="inlineStr">
        <is>
          <t>No</t>
        </is>
      </c>
      <c r="J2029" t="inlineStr">
        <is>
          <t>0</t>
        </is>
      </c>
      <c r="K2029" t="inlineStr">
        <is>
          <t>Oldmeadow, Cecilia Dawson.</t>
        </is>
      </c>
      <c r="L2029" t="inlineStr">
        <is>
          <t>St. Louis : Herder, 1924.</t>
        </is>
      </c>
      <c r="M2029" t="inlineStr">
        <is>
          <t>1924</t>
        </is>
      </c>
      <c r="O2029" t="inlineStr">
        <is>
          <t>eng</t>
        </is>
      </c>
      <c r="P2029" t="inlineStr">
        <is>
          <t>ilu</t>
        </is>
      </c>
      <c r="R2029" t="inlineStr">
        <is>
          <t xml:space="preserve">BX </t>
        </is>
      </c>
      <c r="S2029" t="n">
        <v>4</v>
      </c>
      <c r="T2029" t="n">
        <v>4</v>
      </c>
      <c r="U2029" t="inlineStr">
        <is>
          <t>1993-04-15</t>
        </is>
      </c>
      <c r="V2029" t="inlineStr">
        <is>
          <t>1993-04-15</t>
        </is>
      </c>
      <c r="W2029" t="inlineStr">
        <is>
          <t>1991-11-22</t>
        </is>
      </c>
      <c r="X2029" t="inlineStr">
        <is>
          <t>1991-11-22</t>
        </is>
      </c>
      <c r="Y2029" t="n">
        <v>11</v>
      </c>
      <c r="Z2029" t="n">
        <v>11</v>
      </c>
      <c r="AA2029" t="n">
        <v>22</v>
      </c>
      <c r="AB2029" t="n">
        <v>1</v>
      </c>
      <c r="AC2029" t="n">
        <v>1</v>
      </c>
      <c r="AD2029" t="n">
        <v>5</v>
      </c>
      <c r="AE2029" t="n">
        <v>6</v>
      </c>
      <c r="AF2029" t="n">
        <v>0</v>
      </c>
      <c r="AG2029" t="n">
        <v>0</v>
      </c>
      <c r="AH2029" t="n">
        <v>0</v>
      </c>
      <c r="AI2029" t="n">
        <v>0</v>
      </c>
      <c r="AJ2029" t="n">
        <v>5</v>
      </c>
      <c r="AK2029" t="n">
        <v>6</v>
      </c>
      <c r="AL2029" t="n">
        <v>0</v>
      </c>
      <c r="AM2029" t="n">
        <v>0</v>
      </c>
      <c r="AN2029" t="n">
        <v>0</v>
      </c>
      <c r="AO2029" t="n">
        <v>0</v>
      </c>
      <c r="AP2029" t="inlineStr">
        <is>
          <t>No</t>
        </is>
      </c>
      <c r="AQ2029" t="inlineStr">
        <is>
          <t>No</t>
        </is>
      </c>
      <c r="AS2029">
        <f>HYPERLINK("https://creighton-primo.hosted.exlibrisgroup.com/primo-explore/search?tab=default_tab&amp;search_scope=EVERYTHING&amp;vid=01CRU&amp;lang=en_US&amp;offset=0&amp;query=any,contains,991004828569702656","Catalog Record")</f>
        <v/>
      </c>
      <c r="AT2029">
        <f>HYPERLINK("http://www.worldcat.org/oclc/5380805","WorldCat Record")</f>
        <v/>
      </c>
      <c r="AU2029" t="inlineStr">
        <is>
          <t>430646948:eng</t>
        </is>
      </c>
      <c r="AV2029" t="inlineStr">
        <is>
          <t>5380805</t>
        </is>
      </c>
      <c r="AW2029" t="inlineStr">
        <is>
          <t>991004828569702656</t>
        </is>
      </c>
      <c r="AX2029" t="inlineStr">
        <is>
          <t>991004828569702656</t>
        </is>
      </c>
      <c r="AY2029" t="inlineStr">
        <is>
          <t>2272813800002656</t>
        </is>
      </c>
      <c r="AZ2029" t="inlineStr">
        <is>
          <t>BOOK</t>
        </is>
      </c>
      <c r="BC2029" t="inlineStr">
        <is>
          <t>32285000857085</t>
        </is>
      </c>
      <c r="BD2029" t="inlineStr">
        <is>
          <t>893338174</t>
        </is>
      </c>
    </row>
    <row r="2030">
      <c r="A2030" t="inlineStr">
        <is>
          <t>No</t>
        </is>
      </c>
      <c r="B2030" t="inlineStr">
        <is>
          <t>BX4700.C2 A4 1896</t>
        </is>
      </c>
      <c r="C2030" t="inlineStr">
        <is>
          <t>0                      BX 4700000C  2                  A  4           1896</t>
        </is>
      </c>
      <c r="D2030" t="inlineStr">
        <is>
          <t>Beati Petri Canisii, Societatis Iesu, Epistulae et acta / collegit et adnotationibus illustravit Otto Braunsberger.</t>
        </is>
      </c>
      <c r="E2030" t="inlineStr">
        <is>
          <t>V. 5</t>
        </is>
      </c>
      <c r="F2030" t="inlineStr">
        <is>
          <t>Yes</t>
        </is>
      </c>
      <c r="G2030" t="inlineStr">
        <is>
          <t>1</t>
        </is>
      </c>
      <c r="H2030" t="inlineStr">
        <is>
          <t>No</t>
        </is>
      </c>
      <c r="I2030" t="inlineStr">
        <is>
          <t>No</t>
        </is>
      </c>
      <c r="J2030" t="inlineStr">
        <is>
          <t>0</t>
        </is>
      </c>
      <c r="K2030" t="inlineStr">
        <is>
          <t>Canisius, Petrus, Saint, 1521-1597.</t>
        </is>
      </c>
      <c r="L2030" t="inlineStr">
        <is>
          <t>Friburgi Brisgoviae : Herder, 1896-1923.</t>
        </is>
      </c>
      <c r="M2030" t="inlineStr">
        <is>
          <t>1896</t>
        </is>
      </c>
      <c r="O2030" t="inlineStr">
        <is>
          <t>lat</t>
        </is>
      </c>
      <c r="P2030" t="inlineStr">
        <is>
          <t xml:space="preserve">gw </t>
        </is>
      </c>
      <c r="R2030" t="inlineStr">
        <is>
          <t xml:space="preserve">BX </t>
        </is>
      </c>
      <c r="S2030" t="n">
        <v>0</v>
      </c>
      <c r="T2030" t="n">
        <v>5</v>
      </c>
      <c r="V2030" t="inlineStr">
        <is>
          <t>2009-04-02</t>
        </is>
      </c>
      <c r="W2030" t="inlineStr">
        <is>
          <t>1991-11-22</t>
        </is>
      </c>
      <c r="X2030" t="inlineStr">
        <is>
          <t>1991-11-22</t>
        </is>
      </c>
      <c r="Y2030" t="n">
        <v>63</v>
      </c>
      <c r="Z2030" t="n">
        <v>47</v>
      </c>
      <c r="AA2030" t="n">
        <v>61</v>
      </c>
      <c r="AB2030" t="n">
        <v>1</v>
      </c>
      <c r="AC2030" t="n">
        <v>1</v>
      </c>
      <c r="AD2030" t="n">
        <v>13</v>
      </c>
      <c r="AE2030" t="n">
        <v>13</v>
      </c>
      <c r="AF2030" t="n">
        <v>2</v>
      </c>
      <c r="AG2030" t="n">
        <v>2</v>
      </c>
      <c r="AH2030" t="n">
        <v>3</v>
      </c>
      <c r="AI2030" t="n">
        <v>3</v>
      </c>
      <c r="AJ2030" t="n">
        <v>11</v>
      </c>
      <c r="AK2030" t="n">
        <v>11</v>
      </c>
      <c r="AL2030" t="n">
        <v>0</v>
      </c>
      <c r="AM2030" t="n">
        <v>0</v>
      </c>
      <c r="AN2030" t="n">
        <v>0</v>
      </c>
      <c r="AO2030" t="n">
        <v>0</v>
      </c>
      <c r="AP2030" t="inlineStr">
        <is>
          <t>Yes</t>
        </is>
      </c>
      <c r="AQ2030" t="inlineStr">
        <is>
          <t>No</t>
        </is>
      </c>
      <c r="AR2030">
        <f>HYPERLINK("http://catalog.hathitrust.org/Record/011718054","HathiTrust Record")</f>
        <v/>
      </c>
      <c r="AS2030">
        <f>HYPERLINK("https://creighton-primo.hosted.exlibrisgroup.com/primo-explore/search?tab=default_tab&amp;search_scope=EVERYTHING&amp;vid=01CRU&amp;lang=en_US&amp;offset=0&amp;query=any,contains,991004818759702656","Catalog Record")</f>
        <v/>
      </c>
      <c r="AT2030">
        <f>HYPERLINK("http://www.worldcat.org/oclc/5315929","WorldCat Record")</f>
        <v/>
      </c>
      <c r="AU2030" t="inlineStr">
        <is>
          <t>3377376949:lat</t>
        </is>
      </c>
      <c r="AV2030" t="inlineStr">
        <is>
          <t>5315929</t>
        </is>
      </c>
      <c r="AW2030" t="inlineStr">
        <is>
          <t>991004818759702656</t>
        </is>
      </c>
      <c r="AX2030" t="inlineStr">
        <is>
          <t>991004818759702656</t>
        </is>
      </c>
      <c r="AY2030" t="inlineStr">
        <is>
          <t>2261423150002656</t>
        </is>
      </c>
      <c r="AZ2030" t="inlineStr">
        <is>
          <t>BOOK</t>
        </is>
      </c>
      <c r="BC2030" t="inlineStr">
        <is>
          <t>32285000857135</t>
        </is>
      </c>
      <c r="BD2030" t="inlineStr">
        <is>
          <t>893882989</t>
        </is>
      </c>
    </row>
    <row r="2031">
      <c r="A2031" t="inlineStr">
        <is>
          <t>No</t>
        </is>
      </c>
      <c r="B2031" t="inlineStr">
        <is>
          <t>BX4700.C2 A4 1896</t>
        </is>
      </c>
      <c r="C2031" t="inlineStr">
        <is>
          <t>0                      BX 4700000C  2                  A  4           1896</t>
        </is>
      </c>
      <c r="D2031" t="inlineStr">
        <is>
          <t>Beati Petri Canisii, Societatis Iesu, Epistulae et acta / collegit et adnotationibus illustravit Otto Braunsberger.</t>
        </is>
      </c>
      <c r="E2031" t="inlineStr">
        <is>
          <t>V. 4</t>
        </is>
      </c>
      <c r="F2031" t="inlineStr">
        <is>
          <t>Yes</t>
        </is>
      </c>
      <c r="G2031" t="inlineStr">
        <is>
          <t>1</t>
        </is>
      </c>
      <c r="H2031" t="inlineStr">
        <is>
          <t>No</t>
        </is>
      </c>
      <c r="I2031" t="inlineStr">
        <is>
          <t>No</t>
        </is>
      </c>
      <c r="J2031" t="inlineStr">
        <is>
          <t>0</t>
        </is>
      </c>
      <c r="K2031" t="inlineStr">
        <is>
          <t>Canisius, Petrus, Saint, 1521-1597.</t>
        </is>
      </c>
      <c r="L2031" t="inlineStr">
        <is>
          <t>Friburgi Brisgoviae : Herder, 1896-1923.</t>
        </is>
      </c>
      <c r="M2031" t="inlineStr">
        <is>
          <t>1896</t>
        </is>
      </c>
      <c r="O2031" t="inlineStr">
        <is>
          <t>lat</t>
        </is>
      </c>
      <c r="P2031" t="inlineStr">
        <is>
          <t xml:space="preserve">gw </t>
        </is>
      </c>
      <c r="R2031" t="inlineStr">
        <is>
          <t xml:space="preserve">BX </t>
        </is>
      </c>
      <c r="S2031" t="n">
        <v>0</v>
      </c>
      <c r="T2031" t="n">
        <v>5</v>
      </c>
      <c r="V2031" t="inlineStr">
        <is>
          <t>2009-04-02</t>
        </is>
      </c>
      <c r="W2031" t="inlineStr">
        <is>
          <t>1991-11-22</t>
        </is>
      </c>
      <c r="X2031" t="inlineStr">
        <is>
          <t>1991-11-22</t>
        </is>
      </c>
      <c r="Y2031" t="n">
        <v>63</v>
      </c>
      <c r="Z2031" t="n">
        <v>47</v>
      </c>
      <c r="AA2031" t="n">
        <v>61</v>
      </c>
      <c r="AB2031" t="n">
        <v>1</v>
      </c>
      <c r="AC2031" t="n">
        <v>1</v>
      </c>
      <c r="AD2031" t="n">
        <v>13</v>
      </c>
      <c r="AE2031" t="n">
        <v>13</v>
      </c>
      <c r="AF2031" t="n">
        <v>2</v>
      </c>
      <c r="AG2031" t="n">
        <v>2</v>
      </c>
      <c r="AH2031" t="n">
        <v>3</v>
      </c>
      <c r="AI2031" t="n">
        <v>3</v>
      </c>
      <c r="AJ2031" t="n">
        <v>11</v>
      </c>
      <c r="AK2031" t="n">
        <v>11</v>
      </c>
      <c r="AL2031" t="n">
        <v>0</v>
      </c>
      <c r="AM2031" t="n">
        <v>0</v>
      </c>
      <c r="AN2031" t="n">
        <v>0</v>
      </c>
      <c r="AO2031" t="n">
        <v>0</v>
      </c>
      <c r="AP2031" t="inlineStr">
        <is>
          <t>Yes</t>
        </is>
      </c>
      <c r="AQ2031" t="inlineStr">
        <is>
          <t>No</t>
        </is>
      </c>
      <c r="AR2031">
        <f>HYPERLINK("http://catalog.hathitrust.org/Record/011718054","HathiTrust Record")</f>
        <v/>
      </c>
      <c r="AS2031">
        <f>HYPERLINK("https://creighton-primo.hosted.exlibrisgroup.com/primo-explore/search?tab=default_tab&amp;search_scope=EVERYTHING&amp;vid=01CRU&amp;lang=en_US&amp;offset=0&amp;query=any,contains,991004818759702656","Catalog Record")</f>
        <v/>
      </c>
      <c r="AT2031">
        <f>HYPERLINK("http://www.worldcat.org/oclc/5315929","WorldCat Record")</f>
        <v/>
      </c>
      <c r="AU2031" t="inlineStr">
        <is>
          <t>3377376949:lat</t>
        </is>
      </c>
      <c r="AV2031" t="inlineStr">
        <is>
          <t>5315929</t>
        </is>
      </c>
      <c r="AW2031" t="inlineStr">
        <is>
          <t>991004818759702656</t>
        </is>
      </c>
      <c r="AX2031" t="inlineStr">
        <is>
          <t>991004818759702656</t>
        </is>
      </c>
      <c r="AY2031" t="inlineStr">
        <is>
          <t>2261423150002656</t>
        </is>
      </c>
      <c r="AZ2031" t="inlineStr">
        <is>
          <t>BOOK</t>
        </is>
      </c>
      <c r="BC2031" t="inlineStr">
        <is>
          <t>32285000857127</t>
        </is>
      </c>
      <c r="BD2031" t="inlineStr">
        <is>
          <t>893895521</t>
        </is>
      </c>
    </row>
    <row r="2032">
      <c r="A2032" t="inlineStr">
        <is>
          <t>No</t>
        </is>
      </c>
      <c r="B2032" t="inlineStr">
        <is>
          <t>BX4700.C2 A4 1896</t>
        </is>
      </c>
      <c r="C2032" t="inlineStr">
        <is>
          <t>0                      BX 4700000C  2                  A  4           1896</t>
        </is>
      </c>
      <c r="D2032" t="inlineStr">
        <is>
          <t>Beati Petri Canisii, Societatis Iesu, Epistulae et acta / collegit et adnotationibus illustravit Otto Braunsberger.</t>
        </is>
      </c>
      <c r="E2032" t="inlineStr">
        <is>
          <t>V. 6</t>
        </is>
      </c>
      <c r="F2032" t="inlineStr">
        <is>
          <t>Yes</t>
        </is>
      </c>
      <c r="G2032" t="inlineStr">
        <is>
          <t>1</t>
        </is>
      </c>
      <c r="H2032" t="inlineStr">
        <is>
          <t>No</t>
        </is>
      </c>
      <c r="I2032" t="inlineStr">
        <is>
          <t>No</t>
        </is>
      </c>
      <c r="J2032" t="inlineStr">
        <is>
          <t>0</t>
        </is>
      </c>
      <c r="K2032" t="inlineStr">
        <is>
          <t>Canisius, Petrus, Saint, 1521-1597.</t>
        </is>
      </c>
      <c r="L2032" t="inlineStr">
        <is>
          <t>Friburgi Brisgoviae : Herder, 1896-1923.</t>
        </is>
      </c>
      <c r="M2032" t="inlineStr">
        <is>
          <t>1896</t>
        </is>
      </c>
      <c r="O2032" t="inlineStr">
        <is>
          <t>lat</t>
        </is>
      </c>
      <c r="P2032" t="inlineStr">
        <is>
          <t xml:space="preserve">gw </t>
        </is>
      </c>
      <c r="R2032" t="inlineStr">
        <is>
          <t xml:space="preserve">BX </t>
        </is>
      </c>
      <c r="S2032" t="n">
        <v>0</v>
      </c>
      <c r="T2032" t="n">
        <v>5</v>
      </c>
      <c r="V2032" t="inlineStr">
        <is>
          <t>2009-04-02</t>
        </is>
      </c>
      <c r="W2032" t="inlineStr">
        <is>
          <t>1991-11-22</t>
        </is>
      </c>
      <c r="X2032" t="inlineStr">
        <is>
          <t>1991-11-22</t>
        </is>
      </c>
      <c r="Y2032" t="n">
        <v>63</v>
      </c>
      <c r="Z2032" t="n">
        <v>47</v>
      </c>
      <c r="AA2032" t="n">
        <v>61</v>
      </c>
      <c r="AB2032" t="n">
        <v>1</v>
      </c>
      <c r="AC2032" t="n">
        <v>1</v>
      </c>
      <c r="AD2032" t="n">
        <v>13</v>
      </c>
      <c r="AE2032" t="n">
        <v>13</v>
      </c>
      <c r="AF2032" t="n">
        <v>2</v>
      </c>
      <c r="AG2032" t="n">
        <v>2</v>
      </c>
      <c r="AH2032" t="n">
        <v>3</v>
      </c>
      <c r="AI2032" t="n">
        <v>3</v>
      </c>
      <c r="AJ2032" t="n">
        <v>11</v>
      </c>
      <c r="AK2032" t="n">
        <v>11</v>
      </c>
      <c r="AL2032" t="n">
        <v>0</v>
      </c>
      <c r="AM2032" t="n">
        <v>0</v>
      </c>
      <c r="AN2032" t="n">
        <v>0</v>
      </c>
      <c r="AO2032" t="n">
        <v>0</v>
      </c>
      <c r="AP2032" t="inlineStr">
        <is>
          <t>Yes</t>
        </is>
      </c>
      <c r="AQ2032" t="inlineStr">
        <is>
          <t>No</t>
        </is>
      </c>
      <c r="AR2032">
        <f>HYPERLINK("http://catalog.hathitrust.org/Record/011718054","HathiTrust Record")</f>
        <v/>
      </c>
      <c r="AS2032">
        <f>HYPERLINK("https://creighton-primo.hosted.exlibrisgroup.com/primo-explore/search?tab=default_tab&amp;search_scope=EVERYTHING&amp;vid=01CRU&amp;lang=en_US&amp;offset=0&amp;query=any,contains,991004818759702656","Catalog Record")</f>
        <v/>
      </c>
      <c r="AT2032">
        <f>HYPERLINK("http://www.worldcat.org/oclc/5315929","WorldCat Record")</f>
        <v/>
      </c>
      <c r="AU2032" t="inlineStr">
        <is>
          <t>3377376949:lat</t>
        </is>
      </c>
      <c r="AV2032" t="inlineStr">
        <is>
          <t>5315929</t>
        </is>
      </c>
      <c r="AW2032" t="inlineStr">
        <is>
          <t>991004818759702656</t>
        </is>
      </c>
      <c r="AX2032" t="inlineStr">
        <is>
          <t>991004818759702656</t>
        </is>
      </c>
      <c r="AY2032" t="inlineStr">
        <is>
          <t>2261423150002656</t>
        </is>
      </c>
      <c r="AZ2032" t="inlineStr">
        <is>
          <t>BOOK</t>
        </is>
      </c>
      <c r="BC2032" t="inlineStr">
        <is>
          <t>32285000857143</t>
        </is>
      </c>
      <c r="BD2032" t="inlineStr">
        <is>
          <t>893901797</t>
        </is>
      </c>
    </row>
    <row r="2033">
      <c r="A2033" t="inlineStr">
        <is>
          <t>No</t>
        </is>
      </c>
      <c r="B2033" t="inlineStr">
        <is>
          <t>BX4700.C2 A4 1896</t>
        </is>
      </c>
      <c r="C2033" t="inlineStr">
        <is>
          <t>0                      BX 4700000C  2                  A  4           1896</t>
        </is>
      </c>
      <c r="D2033" t="inlineStr">
        <is>
          <t>Beati Petri Canisii, Societatis Iesu, Epistulae et acta / collegit et adnotationibus illustravit Otto Braunsberger.</t>
        </is>
      </c>
      <c r="E2033" t="inlineStr">
        <is>
          <t>V. 2</t>
        </is>
      </c>
      <c r="F2033" t="inlineStr">
        <is>
          <t>Yes</t>
        </is>
      </c>
      <c r="G2033" t="inlineStr">
        <is>
          <t>1</t>
        </is>
      </c>
      <c r="H2033" t="inlineStr">
        <is>
          <t>No</t>
        </is>
      </c>
      <c r="I2033" t="inlineStr">
        <is>
          <t>No</t>
        </is>
      </c>
      <c r="J2033" t="inlineStr">
        <is>
          <t>0</t>
        </is>
      </c>
      <c r="K2033" t="inlineStr">
        <is>
          <t>Canisius, Petrus, Saint, 1521-1597.</t>
        </is>
      </c>
      <c r="L2033" t="inlineStr">
        <is>
          <t>Friburgi Brisgoviae : Herder, 1896-1923.</t>
        </is>
      </c>
      <c r="M2033" t="inlineStr">
        <is>
          <t>1896</t>
        </is>
      </c>
      <c r="O2033" t="inlineStr">
        <is>
          <t>lat</t>
        </is>
      </c>
      <c r="P2033" t="inlineStr">
        <is>
          <t xml:space="preserve">gw </t>
        </is>
      </c>
      <c r="R2033" t="inlineStr">
        <is>
          <t xml:space="preserve">BX </t>
        </is>
      </c>
      <c r="S2033" t="n">
        <v>1</v>
      </c>
      <c r="T2033" t="n">
        <v>5</v>
      </c>
      <c r="U2033" t="inlineStr">
        <is>
          <t>2009-04-02</t>
        </is>
      </c>
      <c r="V2033" t="inlineStr">
        <is>
          <t>2009-04-02</t>
        </is>
      </c>
      <c r="W2033" t="inlineStr">
        <is>
          <t>1991-11-22</t>
        </is>
      </c>
      <c r="X2033" t="inlineStr">
        <is>
          <t>1991-11-22</t>
        </is>
      </c>
      <c r="Y2033" t="n">
        <v>63</v>
      </c>
      <c r="Z2033" t="n">
        <v>47</v>
      </c>
      <c r="AA2033" t="n">
        <v>61</v>
      </c>
      <c r="AB2033" t="n">
        <v>1</v>
      </c>
      <c r="AC2033" t="n">
        <v>1</v>
      </c>
      <c r="AD2033" t="n">
        <v>13</v>
      </c>
      <c r="AE2033" t="n">
        <v>13</v>
      </c>
      <c r="AF2033" t="n">
        <v>2</v>
      </c>
      <c r="AG2033" t="n">
        <v>2</v>
      </c>
      <c r="AH2033" t="n">
        <v>3</v>
      </c>
      <c r="AI2033" t="n">
        <v>3</v>
      </c>
      <c r="AJ2033" t="n">
        <v>11</v>
      </c>
      <c r="AK2033" t="n">
        <v>11</v>
      </c>
      <c r="AL2033" t="n">
        <v>0</v>
      </c>
      <c r="AM2033" t="n">
        <v>0</v>
      </c>
      <c r="AN2033" t="n">
        <v>0</v>
      </c>
      <c r="AO2033" t="n">
        <v>0</v>
      </c>
      <c r="AP2033" t="inlineStr">
        <is>
          <t>Yes</t>
        </is>
      </c>
      <c r="AQ2033" t="inlineStr">
        <is>
          <t>No</t>
        </is>
      </c>
      <c r="AR2033">
        <f>HYPERLINK("http://catalog.hathitrust.org/Record/011718054","HathiTrust Record")</f>
        <v/>
      </c>
      <c r="AS2033">
        <f>HYPERLINK("https://creighton-primo.hosted.exlibrisgroup.com/primo-explore/search?tab=default_tab&amp;search_scope=EVERYTHING&amp;vid=01CRU&amp;lang=en_US&amp;offset=0&amp;query=any,contains,991004818759702656","Catalog Record")</f>
        <v/>
      </c>
      <c r="AT2033">
        <f>HYPERLINK("http://www.worldcat.org/oclc/5315929","WorldCat Record")</f>
        <v/>
      </c>
      <c r="AU2033" t="inlineStr">
        <is>
          <t>3377376949:lat</t>
        </is>
      </c>
      <c r="AV2033" t="inlineStr">
        <is>
          <t>5315929</t>
        </is>
      </c>
      <c r="AW2033" t="inlineStr">
        <is>
          <t>991004818759702656</t>
        </is>
      </c>
      <c r="AX2033" t="inlineStr">
        <is>
          <t>991004818759702656</t>
        </is>
      </c>
      <c r="AY2033" t="inlineStr">
        <is>
          <t>2261423150002656</t>
        </is>
      </c>
      <c r="AZ2033" t="inlineStr">
        <is>
          <t>BOOK</t>
        </is>
      </c>
      <c r="BC2033" t="inlineStr">
        <is>
          <t>32285000857101</t>
        </is>
      </c>
      <c r="BD2033" t="inlineStr">
        <is>
          <t>893905091</t>
        </is>
      </c>
    </row>
    <row r="2034">
      <c r="A2034" t="inlineStr">
        <is>
          <t>No</t>
        </is>
      </c>
      <c r="B2034" t="inlineStr">
        <is>
          <t>BX4700.C2 A4 1896</t>
        </is>
      </c>
      <c r="C2034" t="inlineStr">
        <is>
          <t>0                      BX 4700000C  2                  A  4           1896</t>
        </is>
      </c>
      <c r="D2034" t="inlineStr">
        <is>
          <t>Beati Petri Canisii, Societatis Iesu, Epistulae et acta / collegit et adnotationibus illustravit Otto Braunsberger.</t>
        </is>
      </c>
      <c r="E2034" t="inlineStr">
        <is>
          <t>V. 1</t>
        </is>
      </c>
      <c r="F2034" t="inlineStr">
        <is>
          <t>Yes</t>
        </is>
      </c>
      <c r="G2034" t="inlineStr">
        <is>
          <t>1</t>
        </is>
      </c>
      <c r="H2034" t="inlineStr">
        <is>
          <t>No</t>
        </is>
      </c>
      <c r="I2034" t="inlineStr">
        <is>
          <t>No</t>
        </is>
      </c>
      <c r="J2034" t="inlineStr">
        <is>
          <t>0</t>
        </is>
      </c>
      <c r="K2034" t="inlineStr">
        <is>
          <t>Canisius, Petrus, Saint, 1521-1597.</t>
        </is>
      </c>
      <c r="L2034" t="inlineStr">
        <is>
          <t>Friburgi Brisgoviae : Herder, 1896-1923.</t>
        </is>
      </c>
      <c r="M2034" t="inlineStr">
        <is>
          <t>1896</t>
        </is>
      </c>
      <c r="O2034" t="inlineStr">
        <is>
          <t>lat</t>
        </is>
      </c>
      <c r="P2034" t="inlineStr">
        <is>
          <t xml:space="preserve">gw </t>
        </is>
      </c>
      <c r="R2034" t="inlineStr">
        <is>
          <t xml:space="preserve">BX </t>
        </is>
      </c>
      <c r="S2034" t="n">
        <v>2</v>
      </c>
      <c r="T2034" t="n">
        <v>5</v>
      </c>
      <c r="V2034" t="inlineStr">
        <is>
          <t>2009-04-02</t>
        </is>
      </c>
      <c r="W2034" t="inlineStr">
        <is>
          <t>1991-11-22</t>
        </is>
      </c>
      <c r="X2034" t="inlineStr">
        <is>
          <t>1991-11-22</t>
        </is>
      </c>
      <c r="Y2034" t="n">
        <v>63</v>
      </c>
      <c r="Z2034" t="n">
        <v>47</v>
      </c>
      <c r="AA2034" t="n">
        <v>61</v>
      </c>
      <c r="AB2034" t="n">
        <v>1</v>
      </c>
      <c r="AC2034" t="n">
        <v>1</v>
      </c>
      <c r="AD2034" t="n">
        <v>13</v>
      </c>
      <c r="AE2034" t="n">
        <v>13</v>
      </c>
      <c r="AF2034" t="n">
        <v>2</v>
      </c>
      <c r="AG2034" t="n">
        <v>2</v>
      </c>
      <c r="AH2034" t="n">
        <v>3</v>
      </c>
      <c r="AI2034" t="n">
        <v>3</v>
      </c>
      <c r="AJ2034" t="n">
        <v>11</v>
      </c>
      <c r="AK2034" t="n">
        <v>11</v>
      </c>
      <c r="AL2034" t="n">
        <v>0</v>
      </c>
      <c r="AM2034" t="n">
        <v>0</v>
      </c>
      <c r="AN2034" t="n">
        <v>0</v>
      </c>
      <c r="AO2034" t="n">
        <v>0</v>
      </c>
      <c r="AP2034" t="inlineStr">
        <is>
          <t>Yes</t>
        </is>
      </c>
      <c r="AQ2034" t="inlineStr">
        <is>
          <t>No</t>
        </is>
      </c>
      <c r="AR2034">
        <f>HYPERLINK("http://catalog.hathitrust.org/Record/011718054","HathiTrust Record")</f>
        <v/>
      </c>
      <c r="AS2034">
        <f>HYPERLINK("https://creighton-primo.hosted.exlibrisgroup.com/primo-explore/search?tab=default_tab&amp;search_scope=EVERYTHING&amp;vid=01CRU&amp;lang=en_US&amp;offset=0&amp;query=any,contains,991004818759702656","Catalog Record")</f>
        <v/>
      </c>
      <c r="AT2034">
        <f>HYPERLINK("http://www.worldcat.org/oclc/5315929","WorldCat Record")</f>
        <v/>
      </c>
      <c r="AU2034" t="inlineStr">
        <is>
          <t>3377376949:lat</t>
        </is>
      </c>
      <c r="AV2034" t="inlineStr">
        <is>
          <t>5315929</t>
        </is>
      </c>
      <c r="AW2034" t="inlineStr">
        <is>
          <t>991004818759702656</t>
        </is>
      </c>
      <c r="AX2034" t="inlineStr">
        <is>
          <t>991004818759702656</t>
        </is>
      </c>
      <c r="AY2034" t="inlineStr">
        <is>
          <t>2261423150002656</t>
        </is>
      </c>
      <c r="AZ2034" t="inlineStr">
        <is>
          <t>BOOK</t>
        </is>
      </c>
      <c r="BC2034" t="inlineStr">
        <is>
          <t>32285000857093</t>
        </is>
      </c>
      <c r="BD2034" t="inlineStr">
        <is>
          <t>893901798</t>
        </is>
      </c>
    </row>
    <row r="2035">
      <c r="A2035" t="inlineStr">
        <is>
          <t>No</t>
        </is>
      </c>
      <c r="B2035" t="inlineStr">
        <is>
          <t>BX4700.C2 A4 1896</t>
        </is>
      </c>
      <c r="C2035" t="inlineStr">
        <is>
          <t>0                      BX 4700000C  2                  A  4           1896</t>
        </is>
      </c>
      <c r="D2035" t="inlineStr">
        <is>
          <t>Beati Petri Canisii, Societatis Iesu, Epistulae et acta / collegit et adnotationibus illustravit Otto Braunsberger.</t>
        </is>
      </c>
      <c r="E2035" t="inlineStr">
        <is>
          <t>V. 8</t>
        </is>
      </c>
      <c r="F2035" t="inlineStr">
        <is>
          <t>Yes</t>
        </is>
      </c>
      <c r="G2035" t="inlineStr">
        <is>
          <t>1</t>
        </is>
      </c>
      <c r="H2035" t="inlineStr">
        <is>
          <t>No</t>
        </is>
      </c>
      <c r="I2035" t="inlineStr">
        <is>
          <t>No</t>
        </is>
      </c>
      <c r="J2035" t="inlineStr">
        <is>
          <t>0</t>
        </is>
      </c>
      <c r="K2035" t="inlineStr">
        <is>
          <t>Canisius, Petrus, Saint, 1521-1597.</t>
        </is>
      </c>
      <c r="L2035" t="inlineStr">
        <is>
          <t>Friburgi Brisgoviae : Herder, 1896-1923.</t>
        </is>
      </c>
      <c r="M2035" t="inlineStr">
        <is>
          <t>1896</t>
        </is>
      </c>
      <c r="O2035" t="inlineStr">
        <is>
          <t>lat</t>
        </is>
      </c>
      <c r="P2035" t="inlineStr">
        <is>
          <t xml:space="preserve">gw </t>
        </is>
      </c>
      <c r="R2035" t="inlineStr">
        <is>
          <t xml:space="preserve">BX </t>
        </is>
      </c>
      <c r="S2035" t="n">
        <v>1</v>
      </c>
      <c r="T2035" t="n">
        <v>5</v>
      </c>
      <c r="V2035" t="inlineStr">
        <is>
          <t>2009-04-02</t>
        </is>
      </c>
      <c r="W2035" t="inlineStr">
        <is>
          <t>1991-11-22</t>
        </is>
      </c>
      <c r="X2035" t="inlineStr">
        <is>
          <t>1991-11-22</t>
        </is>
      </c>
      <c r="Y2035" t="n">
        <v>63</v>
      </c>
      <c r="Z2035" t="n">
        <v>47</v>
      </c>
      <c r="AA2035" t="n">
        <v>61</v>
      </c>
      <c r="AB2035" t="n">
        <v>1</v>
      </c>
      <c r="AC2035" t="n">
        <v>1</v>
      </c>
      <c r="AD2035" t="n">
        <v>13</v>
      </c>
      <c r="AE2035" t="n">
        <v>13</v>
      </c>
      <c r="AF2035" t="n">
        <v>2</v>
      </c>
      <c r="AG2035" t="n">
        <v>2</v>
      </c>
      <c r="AH2035" t="n">
        <v>3</v>
      </c>
      <c r="AI2035" t="n">
        <v>3</v>
      </c>
      <c r="AJ2035" t="n">
        <v>11</v>
      </c>
      <c r="AK2035" t="n">
        <v>11</v>
      </c>
      <c r="AL2035" t="n">
        <v>0</v>
      </c>
      <c r="AM2035" t="n">
        <v>0</v>
      </c>
      <c r="AN2035" t="n">
        <v>0</v>
      </c>
      <c r="AO2035" t="n">
        <v>0</v>
      </c>
      <c r="AP2035" t="inlineStr">
        <is>
          <t>Yes</t>
        </is>
      </c>
      <c r="AQ2035" t="inlineStr">
        <is>
          <t>No</t>
        </is>
      </c>
      <c r="AR2035">
        <f>HYPERLINK("http://catalog.hathitrust.org/Record/011718054","HathiTrust Record")</f>
        <v/>
      </c>
      <c r="AS2035">
        <f>HYPERLINK("https://creighton-primo.hosted.exlibrisgroup.com/primo-explore/search?tab=default_tab&amp;search_scope=EVERYTHING&amp;vid=01CRU&amp;lang=en_US&amp;offset=0&amp;query=any,contains,991004818759702656","Catalog Record")</f>
        <v/>
      </c>
      <c r="AT2035">
        <f>HYPERLINK("http://www.worldcat.org/oclc/5315929","WorldCat Record")</f>
        <v/>
      </c>
      <c r="AU2035" t="inlineStr">
        <is>
          <t>3377376949:lat</t>
        </is>
      </c>
      <c r="AV2035" t="inlineStr">
        <is>
          <t>5315929</t>
        </is>
      </c>
      <c r="AW2035" t="inlineStr">
        <is>
          <t>991004818759702656</t>
        </is>
      </c>
      <c r="AX2035" t="inlineStr">
        <is>
          <t>991004818759702656</t>
        </is>
      </c>
      <c r="AY2035" t="inlineStr">
        <is>
          <t>2261423150002656</t>
        </is>
      </c>
      <c r="AZ2035" t="inlineStr">
        <is>
          <t>BOOK</t>
        </is>
      </c>
      <c r="BC2035" t="inlineStr">
        <is>
          <t>32285000857168</t>
        </is>
      </c>
      <c r="BD2035" t="inlineStr">
        <is>
          <t>893876611</t>
        </is>
      </c>
    </row>
    <row r="2036">
      <c r="A2036" t="inlineStr">
        <is>
          <t>No</t>
        </is>
      </c>
      <c r="B2036" t="inlineStr">
        <is>
          <t>BX4700.C2 A4 1896</t>
        </is>
      </c>
      <c r="C2036" t="inlineStr">
        <is>
          <t>0                      BX 4700000C  2                  A  4           1896</t>
        </is>
      </c>
      <c r="D2036" t="inlineStr">
        <is>
          <t>Beati Petri Canisii, Societatis Iesu, Epistulae et acta / collegit et adnotationibus illustravit Otto Braunsberger.</t>
        </is>
      </c>
      <c r="E2036" t="inlineStr">
        <is>
          <t>V. 7</t>
        </is>
      </c>
      <c r="F2036" t="inlineStr">
        <is>
          <t>Yes</t>
        </is>
      </c>
      <c r="G2036" t="inlineStr">
        <is>
          <t>1</t>
        </is>
      </c>
      <c r="H2036" t="inlineStr">
        <is>
          <t>No</t>
        </is>
      </c>
      <c r="I2036" t="inlineStr">
        <is>
          <t>No</t>
        </is>
      </c>
      <c r="J2036" t="inlineStr">
        <is>
          <t>0</t>
        </is>
      </c>
      <c r="K2036" t="inlineStr">
        <is>
          <t>Canisius, Petrus, Saint, 1521-1597.</t>
        </is>
      </c>
      <c r="L2036" t="inlineStr">
        <is>
          <t>Friburgi Brisgoviae : Herder, 1896-1923.</t>
        </is>
      </c>
      <c r="M2036" t="inlineStr">
        <is>
          <t>1896</t>
        </is>
      </c>
      <c r="O2036" t="inlineStr">
        <is>
          <t>lat</t>
        </is>
      </c>
      <c r="P2036" t="inlineStr">
        <is>
          <t xml:space="preserve">gw </t>
        </is>
      </c>
      <c r="R2036" t="inlineStr">
        <is>
          <t xml:space="preserve">BX </t>
        </is>
      </c>
      <c r="S2036" t="n">
        <v>0</v>
      </c>
      <c r="T2036" t="n">
        <v>5</v>
      </c>
      <c r="V2036" t="inlineStr">
        <is>
          <t>2009-04-02</t>
        </is>
      </c>
      <c r="W2036" t="inlineStr">
        <is>
          <t>1991-11-22</t>
        </is>
      </c>
      <c r="X2036" t="inlineStr">
        <is>
          <t>1991-11-22</t>
        </is>
      </c>
      <c r="Y2036" t="n">
        <v>63</v>
      </c>
      <c r="Z2036" t="n">
        <v>47</v>
      </c>
      <c r="AA2036" t="n">
        <v>61</v>
      </c>
      <c r="AB2036" t="n">
        <v>1</v>
      </c>
      <c r="AC2036" t="n">
        <v>1</v>
      </c>
      <c r="AD2036" t="n">
        <v>13</v>
      </c>
      <c r="AE2036" t="n">
        <v>13</v>
      </c>
      <c r="AF2036" t="n">
        <v>2</v>
      </c>
      <c r="AG2036" t="n">
        <v>2</v>
      </c>
      <c r="AH2036" t="n">
        <v>3</v>
      </c>
      <c r="AI2036" t="n">
        <v>3</v>
      </c>
      <c r="AJ2036" t="n">
        <v>11</v>
      </c>
      <c r="AK2036" t="n">
        <v>11</v>
      </c>
      <c r="AL2036" t="n">
        <v>0</v>
      </c>
      <c r="AM2036" t="n">
        <v>0</v>
      </c>
      <c r="AN2036" t="n">
        <v>0</v>
      </c>
      <c r="AO2036" t="n">
        <v>0</v>
      </c>
      <c r="AP2036" t="inlineStr">
        <is>
          <t>Yes</t>
        </is>
      </c>
      <c r="AQ2036" t="inlineStr">
        <is>
          <t>No</t>
        </is>
      </c>
      <c r="AR2036">
        <f>HYPERLINK("http://catalog.hathitrust.org/Record/011718054","HathiTrust Record")</f>
        <v/>
      </c>
      <c r="AS2036">
        <f>HYPERLINK("https://creighton-primo.hosted.exlibrisgroup.com/primo-explore/search?tab=default_tab&amp;search_scope=EVERYTHING&amp;vid=01CRU&amp;lang=en_US&amp;offset=0&amp;query=any,contains,991004818759702656","Catalog Record")</f>
        <v/>
      </c>
      <c r="AT2036">
        <f>HYPERLINK("http://www.worldcat.org/oclc/5315929","WorldCat Record")</f>
        <v/>
      </c>
      <c r="AU2036" t="inlineStr">
        <is>
          <t>3377376949:lat</t>
        </is>
      </c>
      <c r="AV2036" t="inlineStr">
        <is>
          <t>5315929</t>
        </is>
      </c>
      <c r="AW2036" t="inlineStr">
        <is>
          <t>991004818759702656</t>
        </is>
      </c>
      <c r="AX2036" t="inlineStr">
        <is>
          <t>991004818759702656</t>
        </is>
      </c>
      <c r="AY2036" t="inlineStr">
        <is>
          <t>2261423150002656</t>
        </is>
      </c>
      <c r="AZ2036" t="inlineStr">
        <is>
          <t>BOOK</t>
        </is>
      </c>
      <c r="BC2036" t="inlineStr">
        <is>
          <t>32285000857150</t>
        </is>
      </c>
      <c r="BD2036" t="inlineStr">
        <is>
          <t>893870151</t>
        </is>
      </c>
    </row>
    <row r="2037">
      <c r="A2037" t="inlineStr">
        <is>
          <t>No</t>
        </is>
      </c>
      <c r="B2037" t="inlineStr">
        <is>
          <t>BX4700.C2 A4 1896</t>
        </is>
      </c>
      <c r="C2037" t="inlineStr">
        <is>
          <t>0                      BX 4700000C  2                  A  4           1896</t>
        </is>
      </c>
      <c r="D2037" t="inlineStr">
        <is>
          <t>Beati Petri Canisii, Societatis Iesu, Epistulae et acta / collegit et adnotationibus illustravit Otto Braunsberger.</t>
        </is>
      </c>
      <c r="E2037" t="inlineStr">
        <is>
          <t>V. 3</t>
        </is>
      </c>
      <c r="F2037" t="inlineStr">
        <is>
          <t>Yes</t>
        </is>
      </c>
      <c r="G2037" t="inlineStr">
        <is>
          <t>1</t>
        </is>
      </c>
      <c r="H2037" t="inlineStr">
        <is>
          <t>No</t>
        </is>
      </c>
      <c r="I2037" t="inlineStr">
        <is>
          <t>No</t>
        </is>
      </c>
      <c r="J2037" t="inlineStr">
        <is>
          <t>0</t>
        </is>
      </c>
      <c r="K2037" t="inlineStr">
        <is>
          <t>Canisius, Petrus, Saint, 1521-1597.</t>
        </is>
      </c>
      <c r="L2037" t="inlineStr">
        <is>
          <t>Friburgi Brisgoviae : Herder, 1896-1923.</t>
        </is>
      </c>
      <c r="M2037" t="inlineStr">
        <is>
          <t>1896</t>
        </is>
      </c>
      <c r="O2037" t="inlineStr">
        <is>
          <t>lat</t>
        </is>
      </c>
      <c r="P2037" t="inlineStr">
        <is>
          <t xml:space="preserve">gw </t>
        </is>
      </c>
      <c r="R2037" t="inlineStr">
        <is>
          <t xml:space="preserve">BX </t>
        </is>
      </c>
      <c r="S2037" t="n">
        <v>1</v>
      </c>
      <c r="T2037" t="n">
        <v>5</v>
      </c>
      <c r="U2037" t="inlineStr">
        <is>
          <t>2008-07-02</t>
        </is>
      </c>
      <c r="V2037" t="inlineStr">
        <is>
          <t>2009-04-02</t>
        </is>
      </c>
      <c r="W2037" t="inlineStr">
        <is>
          <t>1991-11-22</t>
        </is>
      </c>
      <c r="X2037" t="inlineStr">
        <is>
          <t>1991-11-22</t>
        </is>
      </c>
      <c r="Y2037" t="n">
        <v>63</v>
      </c>
      <c r="Z2037" t="n">
        <v>47</v>
      </c>
      <c r="AA2037" t="n">
        <v>61</v>
      </c>
      <c r="AB2037" t="n">
        <v>1</v>
      </c>
      <c r="AC2037" t="n">
        <v>1</v>
      </c>
      <c r="AD2037" t="n">
        <v>13</v>
      </c>
      <c r="AE2037" t="n">
        <v>13</v>
      </c>
      <c r="AF2037" t="n">
        <v>2</v>
      </c>
      <c r="AG2037" t="n">
        <v>2</v>
      </c>
      <c r="AH2037" t="n">
        <v>3</v>
      </c>
      <c r="AI2037" t="n">
        <v>3</v>
      </c>
      <c r="AJ2037" t="n">
        <v>11</v>
      </c>
      <c r="AK2037" t="n">
        <v>11</v>
      </c>
      <c r="AL2037" t="n">
        <v>0</v>
      </c>
      <c r="AM2037" t="n">
        <v>0</v>
      </c>
      <c r="AN2037" t="n">
        <v>0</v>
      </c>
      <c r="AO2037" t="n">
        <v>0</v>
      </c>
      <c r="AP2037" t="inlineStr">
        <is>
          <t>Yes</t>
        </is>
      </c>
      <c r="AQ2037" t="inlineStr">
        <is>
          <t>No</t>
        </is>
      </c>
      <c r="AR2037">
        <f>HYPERLINK("http://catalog.hathitrust.org/Record/011718054","HathiTrust Record")</f>
        <v/>
      </c>
      <c r="AS2037">
        <f>HYPERLINK("https://creighton-primo.hosted.exlibrisgroup.com/primo-explore/search?tab=default_tab&amp;search_scope=EVERYTHING&amp;vid=01CRU&amp;lang=en_US&amp;offset=0&amp;query=any,contains,991004818759702656","Catalog Record")</f>
        <v/>
      </c>
      <c r="AT2037">
        <f>HYPERLINK("http://www.worldcat.org/oclc/5315929","WorldCat Record")</f>
        <v/>
      </c>
      <c r="AU2037" t="inlineStr">
        <is>
          <t>3377376949:lat</t>
        </is>
      </c>
      <c r="AV2037" t="inlineStr">
        <is>
          <t>5315929</t>
        </is>
      </c>
      <c r="AW2037" t="inlineStr">
        <is>
          <t>991004818759702656</t>
        </is>
      </c>
      <c r="AX2037" t="inlineStr">
        <is>
          <t>991004818759702656</t>
        </is>
      </c>
      <c r="AY2037" t="inlineStr">
        <is>
          <t>2261423150002656</t>
        </is>
      </c>
      <c r="AZ2037" t="inlineStr">
        <is>
          <t>BOOK</t>
        </is>
      </c>
      <c r="BC2037" t="inlineStr">
        <is>
          <t>32285000857119</t>
        </is>
      </c>
      <c r="BD2037" t="inlineStr">
        <is>
          <t>893876612</t>
        </is>
      </c>
    </row>
    <row r="2038">
      <c r="A2038" t="inlineStr">
        <is>
          <t>No</t>
        </is>
      </c>
      <c r="B2038" t="inlineStr">
        <is>
          <t>BX4700.C2 B67 1917</t>
        </is>
      </c>
      <c r="C2038" t="inlineStr">
        <is>
          <t>0                      BX 4700000C  2                  B  67          1917</t>
        </is>
      </c>
      <c r="D2038" t="inlineStr">
        <is>
          <t>Petrus Canisius : ein Lebensbild / von Otto Braunsberger.</t>
        </is>
      </c>
      <c r="F2038" t="inlineStr">
        <is>
          <t>No</t>
        </is>
      </c>
      <c r="G2038" t="inlineStr">
        <is>
          <t>1</t>
        </is>
      </c>
      <c r="H2038" t="inlineStr">
        <is>
          <t>No</t>
        </is>
      </c>
      <c r="I2038" t="inlineStr">
        <is>
          <t>No</t>
        </is>
      </c>
      <c r="J2038" t="inlineStr">
        <is>
          <t>0</t>
        </is>
      </c>
      <c r="K2038" t="inlineStr">
        <is>
          <t>Braunsberger, Otto, 1850-1926.</t>
        </is>
      </c>
      <c r="L2038" t="inlineStr">
        <is>
          <t>Freiburg im Breisgau : Herder, 1917.</t>
        </is>
      </c>
      <c r="M2038" t="inlineStr">
        <is>
          <t>1917</t>
        </is>
      </c>
      <c r="O2038" t="inlineStr">
        <is>
          <t>ger</t>
        </is>
      </c>
      <c r="P2038" t="inlineStr">
        <is>
          <t xml:space="preserve">gw </t>
        </is>
      </c>
      <c r="R2038" t="inlineStr">
        <is>
          <t xml:space="preserve">BX </t>
        </is>
      </c>
      <c r="S2038" t="n">
        <v>2</v>
      </c>
      <c r="T2038" t="n">
        <v>2</v>
      </c>
      <c r="U2038" t="inlineStr">
        <is>
          <t>1993-01-27</t>
        </is>
      </c>
      <c r="V2038" t="inlineStr">
        <is>
          <t>1993-01-27</t>
        </is>
      </c>
      <c r="W2038" t="inlineStr">
        <is>
          <t>1991-11-22</t>
        </is>
      </c>
      <c r="X2038" t="inlineStr">
        <is>
          <t>1991-11-22</t>
        </is>
      </c>
      <c r="Y2038" t="n">
        <v>40</v>
      </c>
      <c r="Z2038" t="n">
        <v>15</v>
      </c>
      <c r="AA2038" t="n">
        <v>38</v>
      </c>
      <c r="AB2038" t="n">
        <v>1</v>
      </c>
      <c r="AC2038" t="n">
        <v>1</v>
      </c>
      <c r="AD2038" t="n">
        <v>3</v>
      </c>
      <c r="AE2038" t="n">
        <v>11</v>
      </c>
      <c r="AF2038" t="n">
        <v>1</v>
      </c>
      <c r="AG2038" t="n">
        <v>2</v>
      </c>
      <c r="AH2038" t="n">
        <v>0</v>
      </c>
      <c r="AI2038" t="n">
        <v>2</v>
      </c>
      <c r="AJ2038" t="n">
        <v>3</v>
      </c>
      <c r="AK2038" t="n">
        <v>10</v>
      </c>
      <c r="AL2038" t="n">
        <v>0</v>
      </c>
      <c r="AM2038" t="n">
        <v>0</v>
      </c>
      <c r="AN2038" t="n">
        <v>0</v>
      </c>
      <c r="AO2038" t="n">
        <v>0</v>
      </c>
      <c r="AP2038" t="inlineStr">
        <is>
          <t>Yes</t>
        </is>
      </c>
      <c r="AQ2038" t="inlineStr">
        <is>
          <t>No</t>
        </is>
      </c>
      <c r="AR2038">
        <f>HYPERLINK("http://catalog.hathitrust.org/Record/006637410","HathiTrust Record")</f>
        <v/>
      </c>
      <c r="AS2038">
        <f>HYPERLINK("https://creighton-primo.hosted.exlibrisgroup.com/primo-explore/search?tab=default_tab&amp;search_scope=EVERYTHING&amp;vid=01CRU&amp;lang=en_US&amp;offset=0&amp;query=any,contains,991001295999702656","Catalog Record")</f>
        <v/>
      </c>
      <c r="AT2038">
        <f>HYPERLINK("http://www.worldcat.org/oclc/18036697","WorldCat Record")</f>
        <v/>
      </c>
      <c r="AU2038" t="inlineStr">
        <is>
          <t>890697475:ger</t>
        </is>
      </c>
      <c r="AV2038" t="inlineStr">
        <is>
          <t>18036697</t>
        </is>
      </c>
      <c r="AW2038" t="inlineStr">
        <is>
          <t>991001295999702656</t>
        </is>
      </c>
      <c r="AX2038" t="inlineStr">
        <is>
          <t>991001295999702656</t>
        </is>
      </c>
      <c r="AY2038" t="inlineStr">
        <is>
          <t>2265800940002656</t>
        </is>
      </c>
      <c r="AZ2038" t="inlineStr">
        <is>
          <t>BOOK</t>
        </is>
      </c>
      <c r="BC2038" t="inlineStr">
        <is>
          <t>32285000857176</t>
        </is>
      </c>
      <c r="BD2038" t="inlineStr">
        <is>
          <t>893351854</t>
        </is>
      </c>
    </row>
    <row r="2039">
      <c r="A2039" t="inlineStr">
        <is>
          <t>No</t>
        </is>
      </c>
      <c r="B2039" t="inlineStr">
        <is>
          <t>BX4700.C25 O7 1943</t>
        </is>
      </c>
      <c r="C2039" t="inlineStr">
        <is>
          <t>0                      BX 4700000C  25                 O  7           1943</t>
        </is>
      </c>
      <c r="D2039" t="inlineStr">
        <is>
          <t>Life of St. Charles Borromeo / by Most Rev. Cesare Orsenigo, translated by Rev. Rudolph Kraus.</t>
        </is>
      </c>
      <c r="F2039" t="inlineStr">
        <is>
          <t>No</t>
        </is>
      </c>
      <c r="G2039" t="inlineStr">
        <is>
          <t>1</t>
        </is>
      </c>
      <c r="H2039" t="inlineStr">
        <is>
          <t>No</t>
        </is>
      </c>
      <c r="I2039" t="inlineStr">
        <is>
          <t>No</t>
        </is>
      </c>
      <c r="J2039" t="inlineStr">
        <is>
          <t>0</t>
        </is>
      </c>
      <c r="K2039" t="inlineStr">
        <is>
          <t>Orsenigo, Cesare Vincenzo, 1873-1946.</t>
        </is>
      </c>
      <c r="L2039" t="inlineStr">
        <is>
          <t>St. Louis, Mo. ; London : B. Herder Book Co., 1943.</t>
        </is>
      </c>
      <c r="M2039" t="inlineStr">
        <is>
          <t>1943</t>
        </is>
      </c>
      <c r="O2039" t="inlineStr">
        <is>
          <t>eng</t>
        </is>
      </c>
      <c r="P2039" t="inlineStr">
        <is>
          <t>mou</t>
        </is>
      </c>
      <c r="R2039" t="inlineStr">
        <is>
          <t xml:space="preserve">BX </t>
        </is>
      </c>
      <c r="S2039" t="n">
        <v>4</v>
      </c>
      <c r="T2039" t="n">
        <v>4</v>
      </c>
      <c r="U2039" t="inlineStr">
        <is>
          <t>2008-02-03</t>
        </is>
      </c>
      <c r="V2039" t="inlineStr">
        <is>
          <t>2008-02-03</t>
        </is>
      </c>
      <c r="W2039" t="inlineStr">
        <is>
          <t>1991-11-25</t>
        </is>
      </c>
      <c r="X2039" t="inlineStr">
        <is>
          <t>1991-11-25</t>
        </is>
      </c>
      <c r="Y2039" t="n">
        <v>160</v>
      </c>
      <c r="Z2039" t="n">
        <v>147</v>
      </c>
      <c r="AA2039" t="n">
        <v>165</v>
      </c>
      <c r="AB2039" t="n">
        <v>4</v>
      </c>
      <c r="AC2039" t="n">
        <v>4</v>
      </c>
      <c r="AD2039" t="n">
        <v>25</v>
      </c>
      <c r="AE2039" t="n">
        <v>26</v>
      </c>
      <c r="AF2039" t="n">
        <v>6</v>
      </c>
      <c r="AG2039" t="n">
        <v>6</v>
      </c>
      <c r="AH2039" t="n">
        <v>6</v>
      </c>
      <c r="AI2039" t="n">
        <v>7</v>
      </c>
      <c r="AJ2039" t="n">
        <v>20</v>
      </c>
      <c r="AK2039" t="n">
        <v>20</v>
      </c>
      <c r="AL2039" t="n">
        <v>1</v>
      </c>
      <c r="AM2039" t="n">
        <v>1</v>
      </c>
      <c r="AN2039" t="n">
        <v>0</v>
      </c>
      <c r="AO2039" t="n">
        <v>0</v>
      </c>
      <c r="AP2039" t="inlineStr">
        <is>
          <t>No</t>
        </is>
      </c>
      <c r="AQ2039" t="inlineStr">
        <is>
          <t>Yes</t>
        </is>
      </c>
      <c r="AR2039">
        <f>HYPERLINK("http://catalog.hathitrust.org/Record/005797654","HathiTrust Record")</f>
        <v/>
      </c>
      <c r="AS2039">
        <f>HYPERLINK("https://creighton-primo.hosted.exlibrisgroup.com/primo-explore/search?tab=default_tab&amp;search_scope=EVERYTHING&amp;vid=01CRU&amp;lang=en_US&amp;offset=0&amp;query=any,contains,991003578659702656","Catalog Record")</f>
        <v/>
      </c>
      <c r="AT2039">
        <f>HYPERLINK("http://www.worldcat.org/oclc/1159028","WorldCat Record")</f>
        <v/>
      </c>
      <c r="AU2039" t="inlineStr">
        <is>
          <t>499722745:eng</t>
        </is>
      </c>
      <c r="AV2039" t="inlineStr">
        <is>
          <t>1159028</t>
        </is>
      </c>
      <c r="AW2039" t="inlineStr">
        <is>
          <t>991003578659702656</t>
        </is>
      </c>
      <c r="AX2039" t="inlineStr">
        <is>
          <t>991003578659702656</t>
        </is>
      </c>
      <c r="AY2039" t="inlineStr">
        <is>
          <t>2262497620002656</t>
        </is>
      </c>
      <c r="AZ2039" t="inlineStr">
        <is>
          <t>BOOK</t>
        </is>
      </c>
      <c r="BC2039" t="inlineStr">
        <is>
          <t>32285000857200</t>
        </is>
      </c>
      <c r="BD2039" t="inlineStr">
        <is>
          <t>893252508</t>
        </is>
      </c>
    </row>
    <row r="2040">
      <c r="A2040" t="inlineStr">
        <is>
          <t>No</t>
        </is>
      </c>
      <c r="B2040" t="inlineStr">
        <is>
          <t>BX4700.C4 C3513 1996</t>
        </is>
      </c>
      <c r="C2040" t="inlineStr">
        <is>
          <t>0                      BX 4700000C  4                  C  3513        1996</t>
        </is>
      </c>
      <c r="D2040" t="inlineStr">
        <is>
          <t>Things visible and invisible : images in the spirituality of St. Catherine of Siena / Giuliana Cavallini ; translated by Sister Mary Jeremiah.</t>
        </is>
      </c>
      <c r="F2040" t="inlineStr">
        <is>
          <t>No</t>
        </is>
      </c>
      <c r="G2040" t="inlineStr">
        <is>
          <t>1</t>
        </is>
      </c>
      <c r="H2040" t="inlineStr">
        <is>
          <t>No</t>
        </is>
      </c>
      <c r="I2040" t="inlineStr">
        <is>
          <t>No</t>
        </is>
      </c>
      <c r="J2040" t="inlineStr">
        <is>
          <t>0</t>
        </is>
      </c>
      <c r="K2040" t="inlineStr">
        <is>
          <t>Cavallini, Giuliana.</t>
        </is>
      </c>
      <c r="L2040" t="inlineStr">
        <is>
          <t>New York : Alba House, c1996.</t>
        </is>
      </c>
      <c r="M2040" t="inlineStr">
        <is>
          <t>1996</t>
        </is>
      </c>
      <c r="O2040" t="inlineStr">
        <is>
          <t>eng</t>
        </is>
      </c>
      <c r="P2040" t="inlineStr">
        <is>
          <t>nyu</t>
        </is>
      </c>
      <c r="R2040" t="inlineStr">
        <is>
          <t xml:space="preserve">BX </t>
        </is>
      </c>
      <c r="S2040" t="n">
        <v>7</v>
      </c>
      <c r="T2040" t="n">
        <v>7</v>
      </c>
      <c r="U2040" t="inlineStr">
        <is>
          <t>2009-07-16</t>
        </is>
      </c>
      <c r="V2040" t="inlineStr">
        <is>
          <t>2009-07-16</t>
        </is>
      </c>
      <c r="W2040" t="inlineStr">
        <is>
          <t>2002-08-13</t>
        </is>
      </c>
      <c r="X2040" t="inlineStr">
        <is>
          <t>2002-08-13</t>
        </is>
      </c>
      <c r="Y2040" t="n">
        <v>65</v>
      </c>
      <c r="Z2040" t="n">
        <v>55</v>
      </c>
      <c r="AA2040" t="n">
        <v>55</v>
      </c>
      <c r="AB2040" t="n">
        <v>1</v>
      </c>
      <c r="AC2040" t="n">
        <v>1</v>
      </c>
      <c r="AD2040" t="n">
        <v>4</v>
      </c>
      <c r="AE2040" t="n">
        <v>4</v>
      </c>
      <c r="AF2040" t="n">
        <v>1</v>
      </c>
      <c r="AG2040" t="n">
        <v>1</v>
      </c>
      <c r="AH2040" t="n">
        <v>1</v>
      </c>
      <c r="AI2040" t="n">
        <v>1</v>
      </c>
      <c r="AJ2040" t="n">
        <v>3</v>
      </c>
      <c r="AK2040" t="n">
        <v>3</v>
      </c>
      <c r="AL2040" t="n">
        <v>0</v>
      </c>
      <c r="AM2040" t="n">
        <v>0</v>
      </c>
      <c r="AN2040" t="n">
        <v>0</v>
      </c>
      <c r="AO2040" t="n">
        <v>0</v>
      </c>
      <c r="AP2040" t="inlineStr">
        <is>
          <t>No</t>
        </is>
      </c>
      <c r="AQ2040" t="inlineStr">
        <is>
          <t>No</t>
        </is>
      </c>
      <c r="AS2040">
        <f>HYPERLINK("https://creighton-primo.hosted.exlibrisgroup.com/primo-explore/search?tab=default_tab&amp;search_scope=EVERYTHING&amp;vid=01CRU&amp;lang=en_US&amp;offset=0&amp;query=any,contains,991003858629702656","Catalog Record")</f>
        <v/>
      </c>
      <c r="AT2040">
        <f>HYPERLINK("http://www.worldcat.org/oclc/34029516","WorldCat Record")</f>
        <v/>
      </c>
      <c r="AU2040" t="inlineStr">
        <is>
          <t>39338293:eng</t>
        </is>
      </c>
      <c r="AV2040" t="inlineStr">
        <is>
          <t>34029516</t>
        </is>
      </c>
      <c r="AW2040" t="inlineStr">
        <is>
          <t>991003858629702656</t>
        </is>
      </c>
      <c r="AX2040" t="inlineStr">
        <is>
          <t>991003858629702656</t>
        </is>
      </c>
      <c r="AY2040" t="inlineStr">
        <is>
          <t>2271558590002656</t>
        </is>
      </c>
      <c r="AZ2040" t="inlineStr">
        <is>
          <t>BOOK</t>
        </is>
      </c>
      <c r="BB2040" t="inlineStr">
        <is>
          <t>9780818907333</t>
        </is>
      </c>
      <c r="BC2040" t="inlineStr">
        <is>
          <t>32285004642327</t>
        </is>
      </c>
      <c r="BD2040" t="inlineStr">
        <is>
          <t>893499798</t>
        </is>
      </c>
    </row>
    <row r="2041">
      <c r="A2041" t="inlineStr">
        <is>
          <t>No</t>
        </is>
      </c>
      <c r="B2041" t="inlineStr">
        <is>
          <t>BX4700.C43 C37 1900</t>
        </is>
      </c>
      <c r="C2041" t="inlineStr">
        <is>
          <t>0                      BX 4700000C  43                 C  37          1900</t>
        </is>
      </c>
      <c r="D2041" t="inlineStr">
        <is>
          <t>St Catherine de' Ricci : her life, her letters, her community / by F. M. Capes ; preceded by a Treatise on the mystical life by Bertrand Wilberforce.</t>
        </is>
      </c>
      <c r="F2041" t="inlineStr">
        <is>
          <t>No</t>
        </is>
      </c>
      <c r="G2041" t="inlineStr">
        <is>
          <t>1</t>
        </is>
      </c>
      <c r="H2041" t="inlineStr">
        <is>
          <t>No</t>
        </is>
      </c>
      <c r="I2041" t="inlineStr">
        <is>
          <t>No</t>
        </is>
      </c>
      <c r="J2041" t="inlineStr">
        <is>
          <t>0</t>
        </is>
      </c>
      <c r="K2041" t="inlineStr">
        <is>
          <t>Capes, F. M. (Florence Mary), 1845-1932.</t>
        </is>
      </c>
      <c r="L2041" t="inlineStr">
        <is>
          <t>London : Burns &amp; Oates, [19--].</t>
        </is>
      </c>
      <c r="M2041" t="inlineStr">
        <is>
          <t>1900</t>
        </is>
      </c>
      <c r="O2041" t="inlineStr">
        <is>
          <t>eng</t>
        </is>
      </c>
      <c r="P2041" t="inlineStr">
        <is>
          <t xml:space="preserve">xx </t>
        </is>
      </c>
      <c r="R2041" t="inlineStr">
        <is>
          <t xml:space="preserve">BX </t>
        </is>
      </c>
      <c r="S2041" t="n">
        <v>4</v>
      </c>
      <c r="T2041" t="n">
        <v>4</v>
      </c>
      <c r="U2041" t="inlineStr">
        <is>
          <t>2001-02-14</t>
        </is>
      </c>
      <c r="V2041" t="inlineStr">
        <is>
          <t>2001-02-14</t>
        </is>
      </c>
      <c r="W2041" t="inlineStr">
        <is>
          <t>1991-11-25</t>
        </is>
      </c>
      <c r="X2041" t="inlineStr">
        <is>
          <t>1991-11-25</t>
        </is>
      </c>
      <c r="Y2041" t="n">
        <v>48</v>
      </c>
      <c r="Z2041" t="n">
        <v>43</v>
      </c>
      <c r="AA2041" t="n">
        <v>61</v>
      </c>
      <c r="AB2041" t="n">
        <v>2</v>
      </c>
      <c r="AC2041" t="n">
        <v>3</v>
      </c>
      <c r="AD2041" t="n">
        <v>9</v>
      </c>
      <c r="AE2041" t="n">
        <v>10</v>
      </c>
      <c r="AF2041" t="n">
        <v>2</v>
      </c>
      <c r="AG2041" t="n">
        <v>2</v>
      </c>
      <c r="AH2041" t="n">
        <v>2</v>
      </c>
      <c r="AI2041" t="n">
        <v>3</v>
      </c>
      <c r="AJ2041" t="n">
        <v>6</v>
      </c>
      <c r="AK2041" t="n">
        <v>7</v>
      </c>
      <c r="AL2041" t="n">
        <v>0</v>
      </c>
      <c r="AM2041" t="n">
        <v>0</v>
      </c>
      <c r="AN2041" t="n">
        <v>0</v>
      </c>
      <c r="AO2041" t="n">
        <v>0</v>
      </c>
      <c r="AP2041" t="inlineStr">
        <is>
          <t>No</t>
        </is>
      </c>
      <c r="AQ2041" t="inlineStr">
        <is>
          <t>Yes</t>
        </is>
      </c>
      <c r="AR2041">
        <f>HYPERLINK("http://catalog.hathitrust.org/Record/007678745","HathiTrust Record")</f>
        <v/>
      </c>
      <c r="AS2041">
        <f>HYPERLINK("https://creighton-primo.hosted.exlibrisgroup.com/primo-explore/search?tab=default_tab&amp;search_scope=EVERYTHING&amp;vid=01CRU&amp;lang=en_US&amp;offset=0&amp;query=any,contains,991005372009702656","Catalog Record")</f>
        <v/>
      </c>
      <c r="AT2041">
        <f>HYPERLINK("http://www.worldcat.org/oclc/4047716","WorldCat Record")</f>
        <v/>
      </c>
      <c r="AU2041" t="inlineStr">
        <is>
          <t>998111346:eng</t>
        </is>
      </c>
      <c r="AV2041" t="inlineStr">
        <is>
          <t>4047716</t>
        </is>
      </c>
      <c r="AW2041" t="inlineStr">
        <is>
          <t>991005372009702656</t>
        </is>
      </c>
      <c r="AX2041" t="inlineStr">
        <is>
          <t>991005372009702656</t>
        </is>
      </c>
      <c r="AY2041" t="inlineStr">
        <is>
          <t>2270507780002656</t>
        </is>
      </c>
      <c r="AZ2041" t="inlineStr">
        <is>
          <t>BOOK</t>
        </is>
      </c>
      <c r="BC2041" t="inlineStr">
        <is>
          <t>32285000857325</t>
        </is>
      </c>
      <c r="BD2041" t="inlineStr">
        <is>
          <t>893871087</t>
        </is>
      </c>
    </row>
    <row r="2042">
      <c r="A2042" t="inlineStr">
        <is>
          <t>No</t>
        </is>
      </c>
      <c r="B2042" t="inlineStr">
        <is>
          <t>BX4700.C56 B6 1888</t>
        </is>
      </c>
      <c r="C2042" t="inlineStr">
        <is>
          <t>0                      BX 4700000C  56                 B  6           1888</t>
        </is>
      </c>
      <c r="D2042" t="inlineStr">
        <is>
          <t>The life of St. Jane Frances Fremyot de Chantal / by Emily Bowles.</t>
        </is>
      </c>
      <c r="F2042" t="inlineStr">
        <is>
          <t>No</t>
        </is>
      </c>
      <c r="G2042" t="inlineStr">
        <is>
          <t>1</t>
        </is>
      </c>
      <c r="H2042" t="inlineStr">
        <is>
          <t>No</t>
        </is>
      </c>
      <c r="I2042" t="inlineStr">
        <is>
          <t>No</t>
        </is>
      </c>
      <c r="J2042" t="inlineStr">
        <is>
          <t>0</t>
        </is>
      </c>
      <c r="K2042" t="inlineStr">
        <is>
          <t>Bowles, Emily.</t>
        </is>
      </c>
      <c r="L2042" t="inlineStr">
        <is>
          <t>London : Burns and Oates, 1888.</t>
        </is>
      </c>
      <c r="M2042" t="inlineStr">
        <is>
          <t>1888</t>
        </is>
      </c>
      <c r="N2042" t="inlineStr">
        <is>
          <t>3d ed.</t>
        </is>
      </c>
      <c r="O2042" t="inlineStr">
        <is>
          <t>eng</t>
        </is>
      </c>
      <c r="P2042" t="inlineStr">
        <is>
          <t>enk</t>
        </is>
      </c>
      <c r="R2042" t="inlineStr">
        <is>
          <t xml:space="preserve">BX </t>
        </is>
      </c>
      <c r="S2042" t="n">
        <v>3</v>
      </c>
      <c r="T2042" t="n">
        <v>3</v>
      </c>
      <c r="U2042" t="inlineStr">
        <is>
          <t>2003-06-16</t>
        </is>
      </c>
      <c r="V2042" t="inlineStr">
        <is>
          <t>2003-06-16</t>
        </is>
      </c>
      <c r="W2042" t="inlineStr">
        <is>
          <t>1991-11-25</t>
        </is>
      </c>
      <c r="X2042" t="inlineStr">
        <is>
          <t>1991-11-25</t>
        </is>
      </c>
      <c r="Y2042" t="n">
        <v>15</v>
      </c>
      <c r="Z2042" t="n">
        <v>13</v>
      </c>
      <c r="AA2042" t="n">
        <v>36</v>
      </c>
      <c r="AB2042" t="n">
        <v>1</v>
      </c>
      <c r="AC2042" t="n">
        <v>1</v>
      </c>
      <c r="AD2042" t="n">
        <v>2</v>
      </c>
      <c r="AE2042" t="n">
        <v>5</v>
      </c>
      <c r="AF2042" t="n">
        <v>1</v>
      </c>
      <c r="AG2042" t="n">
        <v>1</v>
      </c>
      <c r="AH2042" t="n">
        <v>0</v>
      </c>
      <c r="AI2042" t="n">
        <v>0</v>
      </c>
      <c r="AJ2042" t="n">
        <v>1</v>
      </c>
      <c r="AK2042" t="n">
        <v>4</v>
      </c>
      <c r="AL2042" t="n">
        <v>0</v>
      </c>
      <c r="AM2042" t="n">
        <v>0</v>
      </c>
      <c r="AN2042" t="n">
        <v>0</v>
      </c>
      <c r="AO2042" t="n">
        <v>0</v>
      </c>
      <c r="AP2042" t="inlineStr">
        <is>
          <t>No</t>
        </is>
      </c>
      <c r="AQ2042" t="inlineStr">
        <is>
          <t>No</t>
        </is>
      </c>
      <c r="AS2042">
        <f>HYPERLINK("https://creighton-primo.hosted.exlibrisgroup.com/primo-explore/search?tab=default_tab&amp;search_scope=EVERYTHING&amp;vid=01CRU&amp;lang=en_US&amp;offset=0&amp;query=any,contains,991000138019702656","Catalog Record")</f>
        <v/>
      </c>
      <c r="AT2042">
        <f>HYPERLINK("http://www.worldcat.org/oclc/9145238","WorldCat Record")</f>
        <v/>
      </c>
      <c r="AU2042" t="inlineStr">
        <is>
          <t>4066038302:eng</t>
        </is>
      </c>
      <c r="AV2042" t="inlineStr">
        <is>
          <t>9145238</t>
        </is>
      </c>
      <c r="AW2042" t="inlineStr">
        <is>
          <t>991000138019702656</t>
        </is>
      </c>
      <c r="AX2042" t="inlineStr">
        <is>
          <t>991000138019702656</t>
        </is>
      </c>
      <c r="AY2042" t="inlineStr">
        <is>
          <t>2270426120002656</t>
        </is>
      </c>
      <c r="AZ2042" t="inlineStr">
        <is>
          <t>BOOK</t>
        </is>
      </c>
      <c r="BC2042" t="inlineStr">
        <is>
          <t>32285000857341</t>
        </is>
      </c>
      <c r="BD2042" t="inlineStr">
        <is>
          <t>893884156</t>
        </is>
      </c>
    </row>
    <row r="2043">
      <c r="A2043" t="inlineStr">
        <is>
          <t>No</t>
        </is>
      </c>
      <c r="B2043" t="inlineStr">
        <is>
          <t>BX4700.C56 C6 1830</t>
        </is>
      </c>
      <c r="C2043" t="inlineStr">
        <is>
          <t>0                      BX 4700000C  56                 C  6           1830</t>
        </is>
      </c>
      <c r="D2043" t="inlineStr">
        <is>
          <t>The history of the life of St. Jane Frances de Chantal : foundress and first superior of the Order of the Visitation, collected from original documents and authentic records.</t>
        </is>
      </c>
      <c r="E2043" t="inlineStr">
        <is>
          <t>V.2</t>
        </is>
      </c>
      <c r="F2043" t="inlineStr">
        <is>
          <t>Yes</t>
        </is>
      </c>
      <c r="G2043" t="inlineStr">
        <is>
          <t>1</t>
        </is>
      </c>
      <c r="H2043" t="inlineStr">
        <is>
          <t>No</t>
        </is>
      </c>
      <c r="I2043" t="inlineStr">
        <is>
          <t>No</t>
        </is>
      </c>
      <c r="J2043" t="inlineStr">
        <is>
          <t>0</t>
        </is>
      </c>
      <c r="K2043" t="inlineStr">
        <is>
          <t>Coombes, William Henry, 1767-1850.</t>
        </is>
      </c>
      <c r="L2043" t="inlineStr">
        <is>
          <t>London : J. Booker, 1830.</t>
        </is>
      </c>
      <c r="M2043" t="inlineStr">
        <is>
          <t>1830</t>
        </is>
      </c>
      <c r="O2043" t="inlineStr">
        <is>
          <t>eng</t>
        </is>
      </c>
      <c r="P2043" t="inlineStr">
        <is>
          <t>enk</t>
        </is>
      </c>
      <c r="R2043" t="inlineStr">
        <is>
          <t xml:space="preserve">BX </t>
        </is>
      </c>
      <c r="S2043" t="n">
        <v>0</v>
      </c>
      <c r="T2043" t="n">
        <v>2</v>
      </c>
      <c r="V2043" t="inlineStr">
        <is>
          <t>2005-04-27</t>
        </is>
      </c>
      <c r="W2043" t="inlineStr">
        <is>
          <t>1991-11-25</t>
        </is>
      </c>
      <c r="X2043" t="inlineStr">
        <is>
          <t>1991-11-25</t>
        </is>
      </c>
      <c r="Y2043" t="n">
        <v>17</v>
      </c>
      <c r="Z2043" t="n">
        <v>10</v>
      </c>
      <c r="AA2043" t="n">
        <v>21</v>
      </c>
      <c r="AB2043" t="n">
        <v>1</v>
      </c>
      <c r="AC2043" t="n">
        <v>1</v>
      </c>
      <c r="AD2043" t="n">
        <v>1</v>
      </c>
      <c r="AE2043" t="n">
        <v>3</v>
      </c>
      <c r="AF2043" t="n">
        <v>0</v>
      </c>
      <c r="AG2043" t="n">
        <v>0</v>
      </c>
      <c r="AH2043" t="n">
        <v>0</v>
      </c>
      <c r="AI2043" t="n">
        <v>1</v>
      </c>
      <c r="AJ2043" t="n">
        <v>1</v>
      </c>
      <c r="AK2043" t="n">
        <v>2</v>
      </c>
      <c r="AL2043" t="n">
        <v>0</v>
      </c>
      <c r="AM2043" t="n">
        <v>0</v>
      </c>
      <c r="AN2043" t="n">
        <v>0</v>
      </c>
      <c r="AO2043" t="n">
        <v>0</v>
      </c>
      <c r="AP2043" t="inlineStr">
        <is>
          <t>No</t>
        </is>
      </c>
      <c r="AQ2043" t="inlineStr">
        <is>
          <t>No</t>
        </is>
      </c>
      <c r="AS2043">
        <f>HYPERLINK("https://creighton-primo.hosted.exlibrisgroup.com/primo-explore/search?tab=default_tab&amp;search_scope=EVERYTHING&amp;vid=01CRU&amp;lang=en_US&amp;offset=0&amp;query=any,contains,991000715449702656","Catalog Record")</f>
        <v/>
      </c>
      <c r="AT2043">
        <f>HYPERLINK("http://www.worldcat.org/oclc/12619647","WorldCat Record")</f>
        <v/>
      </c>
      <c r="AU2043" t="inlineStr">
        <is>
          <t>5138706:eng</t>
        </is>
      </c>
      <c r="AV2043" t="inlineStr">
        <is>
          <t>12619647</t>
        </is>
      </c>
      <c r="AW2043" t="inlineStr">
        <is>
          <t>991000715449702656</t>
        </is>
      </c>
      <c r="AX2043" t="inlineStr">
        <is>
          <t>991000715449702656</t>
        </is>
      </c>
      <c r="AY2043" t="inlineStr">
        <is>
          <t>2264479030002656</t>
        </is>
      </c>
      <c r="AZ2043" t="inlineStr">
        <is>
          <t>BOOK</t>
        </is>
      </c>
      <c r="BC2043" t="inlineStr">
        <is>
          <t>32285000857366</t>
        </is>
      </c>
      <c r="BD2043" t="inlineStr">
        <is>
          <t>893249616</t>
        </is>
      </c>
    </row>
    <row r="2044">
      <c r="A2044" t="inlineStr">
        <is>
          <t>No</t>
        </is>
      </c>
      <c r="B2044" t="inlineStr">
        <is>
          <t>BX4700.C56 C6 1830</t>
        </is>
      </c>
      <c r="C2044" t="inlineStr">
        <is>
          <t>0                      BX 4700000C  56                 C  6           1830</t>
        </is>
      </c>
      <c r="D2044" t="inlineStr">
        <is>
          <t>The history of the life of St. Jane Frances de Chantal : foundress and first superior of the Order of the Visitation, collected from original documents and authentic records.</t>
        </is>
      </c>
      <c r="E2044" t="inlineStr">
        <is>
          <t>V.1</t>
        </is>
      </c>
      <c r="F2044" t="inlineStr">
        <is>
          <t>Yes</t>
        </is>
      </c>
      <c r="G2044" t="inlineStr">
        <is>
          <t>1</t>
        </is>
      </c>
      <c r="H2044" t="inlineStr">
        <is>
          <t>No</t>
        </is>
      </c>
      <c r="I2044" t="inlineStr">
        <is>
          <t>No</t>
        </is>
      </c>
      <c r="J2044" t="inlineStr">
        <is>
          <t>0</t>
        </is>
      </c>
      <c r="K2044" t="inlineStr">
        <is>
          <t>Coombes, William Henry, 1767-1850.</t>
        </is>
      </c>
      <c r="L2044" t="inlineStr">
        <is>
          <t>London : J. Booker, 1830.</t>
        </is>
      </c>
      <c r="M2044" t="inlineStr">
        <is>
          <t>1830</t>
        </is>
      </c>
      <c r="O2044" t="inlineStr">
        <is>
          <t>eng</t>
        </is>
      </c>
      <c r="P2044" t="inlineStr">
        <is>
          <t>enk</t>
        </is>
      </c>
      <c r="R2044" t="inlineStr">
        <is>
          <t xml:space="preserve">BX </t>
        </is>
      </c>
      <c r="S2044" t="n">
        <v>2</v>
      </c>
      <c r="T2044" t="n">
        <v>2</v>
      </c>
      <c r="U2044" t="inlineStr">
        <is>
          <t>2005-04-27</t>
        </is>
      </c>
      <c r="V2044" t="inlineStr">
        <is>
          <t>2005-04-27</t>
        </is>
      </c>
      <c r="W2044" t="inlineStr">
        <is>
          <t>1991-11-25</t>
        </is>
      </c>
      <c r="X2044" t="inlineStr">
        <is>
          <t>1991-11-25</t>
        </is>
      </c>
      <c r="Y2044" t="n">
        <v>17</v>
      </c>
      <c r="Z2044" t="n">
        <v>10</v>
      </c>
      <c r="AA2044" t="n">
        <v>21</v>
      </c>
      <c r="AB2044" t="n">
        <v>1</v>
      </c>
      <c r="AC2044" t="n">
        <v>1</v>
      </c>
      <c r="AD2044" t="n">
        <v>1</v>
      </c>
      <c r="AE2044" t="n">
        <v>3</v>
      </c>
      <c r="AF2044" t="n">
        <v>0</v>
      </c>
      <c r="AG2044" t="n">
        <v>0</v>
      </c>
      <c r="AH2044" t="n">
        <v>0</v>
      </c>
      <c r="AI2044" t="n">
        <v>1</v>
      </c>
      <c r="AJ2044" t="n">
        <v>1</v>
      </c>
      <c r="AK2044" t="n">
        <v>2</v>
      </c>
      <c r="AL2044" t="n">
        <v>0</v>
      </c>
      <c r="AM2044" t="n">
        <v>0</v>
      </c>
      <c r="AN2044" t="n">
        <v>0</v>
      </c>
      <c r="AO2044" t="n">
        <v>0</v>
      </c>
      <c r="AP2044" t="inlineStr">
        <is>
          <t>No</t>
        </is>
      </c>
      <c r="AQ2044" t="inlineStr">
        <is>
          <t>No</t>
        </is>
      </c>
      <c r="AS2044">
        <f>HYPERLINK("https://creighton-primo.hosted.exlibrisgroup.com/primo-explore/search?tab=default_tab&amp;search_scope=EVERYTHING&amp;vid=01CRU&amp;lang=en_US&amp;offset=0&amp;query=any,contains,991000715449702656","Catalog Record")</f>
        <v/>
      </c>
      <c r="AT2044">
        <f>HYPERLINK("http://www.worldcat.org/oclc/12619647","WorldCat Record")</f>
        <v/>
      </c>
      <c r="AU2044" t="inlineStr">
        <is>
          <t>5138706:eng</t>
        </is>
      </c>
      <c r="AV2044" t="inlineStr">
        <is>
          <t>12619647</t>
        </is>
      </c>
      <c r="AW2044" t="inlineStr">
        <is>
          <t>991000715449702656</t>
        </is>
      </c>
      <c r="AX2044" t="inlineStr">
        <is>
          <t>991000715449702656</t>
        </is>
      </c>
      <c r="AY2044" t="inlineStr">
        <is>
          <t>2264479030002656</t>
        </is>
      </c>
      <c r="AZ2044" t="inlineStr">
        <is>
          <t>BOOK</t>
        </is>
      </c>
      <c r="BC2044" t="inlineStr">
        <is>
          <t>32285000857358</t>
        </is>
      </c>
      <c r="BD2044" t="inlineStr">
        <is>
          <t>893261583</t>
        </is>
      </c>
    </row>
    <row r="2045">
      <c r="A2045" t="inlineStr">
        <is>
          <t>No</t>
        </is>
      </c>
      <c r="B2045" t="inlineStr">
        <is>
          <t>BX4700.C56 S7 1963</t>
        </is>
      </c>
      <c r="C2045" t="inlineStr">
        <is>
          <t>0                      BX 4700000C  56                 S  7           1963</t>
        </is>
      </c>
      <c r="D2045" t="inlineStr">
        <is>
          <t>Madame de Chantal : portrait of a saint.</t>
        </is>
      </c>
      <c r="F2045" t="inlineStr">
        <is>
          <t>No</t>
        </is>
      </c>
      <c r="G2045" t="inlineStr">
        <is>
          <t>1</t>
        </is>
      </c>
      <c r="H2045" t="inlineStr">
        <is>
          <t>No</t>
        </is>
      </c>
      <c r="I2045" t="inlineStr">
        <is>
          <t>No</t>
        </is>
      </c>
      <c r="J2045" t="inlineStr">
        <is>
          <t>0</t>
        </is>
      </c>
      <c r="K2045" t="inlineStr">
        <is>
          <t>Stopp, Elisabeth.</t>
        </is>
      </c>
      <c r="L2045" t="inlineStr">
        <is>
          <t>Westminster, Md. : Newman Press, 1963 [c1962]</t>
        </is>
      </c>
      <c r="M2045" t="inlineStr">
        <is>
          <t>1963</t>
        </is>
      </c>
      <c r="O2045" t="inlineStr">
        <is>
          <t>eng</t>
        </is>
      </c>
      <c r="P2045" t="inlineStr">
        <is>
          <t xml:space="preserve">xx </t>
        </is>
      </c>
      <c r="R2045" t="inlineStr">
        <is>
          <t xml:space="preserve">BX </t>
        </is>
      </c>
      <c r="S2045" t="n">
        <v>6</v>
      </c>
      <c r="T2045" t="n">
        <v>6</v>
      </c>
      <c r="U2045" t="inlineStr">
        <is>
          <t>2008-07-11</t>
        </is>
      </c>
      <c r="V2045" t="inlineStr">
        <is>
          <t>2008-07-11</t>
        </is>
      </c>
      <c r="W2045" t="inlineStr">
        <is>
          <t>1991-11-25</t>
        </is>
      </c>
      <c r="X2045" t="inlineStr">
        <is>
          <t>1991-11-25</t>
        </is>
      </c>
      <c r="Y2045" t="n">
        <v>123</v>
      </c>
      <c r="Z2045" t="n">
        <v>117</v>
      </c>
      <c r="AA2045" t="n">
        <v>164</v>
      </c>
      <c r="AB2045" t="n">
        <v>1</v>
      </c>
      <c r="AC2045" t="n">
        <v>1</v>
      </c>
      <c r="AD2045" t="n">
        <v>20</v>
      </c>
      <c r="AE2045" t="n">
        <v>22</v>
      </c>
      <c r="AF2045" t="n">
        <v>6</v>
      </c>
      <c r="AG2045" t="n">
        <v>6</v>
      </c>
      <c r="AH2045" t="n">
        <v>4</v>
      </c>
      <c r="AI2045" t="n">
        <v>4</v>
      </c>
      <c r="AJ2045" t="n">
        <v>18</v>
      </c>
      <c r="AK2045" t="n">
        <v>20</v>
      </c>
      <c r="AL2045" t="n">
        <v>0</v>
      </c>
      <c r="AM2045" t="n">
        <v>0</v>
      </c>
      <c r="AN2045" t="n">
        <v>0</v>
      </c>
      <c r="AO2045" t="n">
        <v>0</v>
      </c>
      <c r="AP2045" t="inlineStr">
        <is>
          <t>No</t>
        </is>
      </c>
      <c r="AQ2045" t="inlineStr">
        <is>
          <t>No</t>
        </is>
      </c>
      <c r="AS2045">
        <f>HYPERLINK("https://creighton-primo.hosted.exlibrisgroup.com/primo-explore/search?tab=default_tab&amp;search_scope=EVERYTHING&amp;vid=01CRU&amp;lang=en_US&amp;offset=0&amp;query=any,contains,991004428219702656","Catalog Record")</f>
        <v/>
      </c>
      <c r="AT2045">
        <f>HYPERLINK("http://www.worldcat.org/oclc/3412410","WorldCat Record")</f>
        <v/>
      </c>
      <c r="AU2045" t="inlineStr">
        <is>
          <t>9951743:eng</t>
        </is>
      </c>
      <c r="AV2045" t="inlineStr">
        <is>
          <t>3412410</t>
        </is>
      </c>
      <c r="AW2045" t="inlineStr">
        <is>
          <t>991004428219702656</t>
        </is>
      </c>
      <c r="AX2045" t="inlineStr">
        <is>
          <t>991004428219702656</t>
        </is>
      </c>
      <c r="AY2045" t="inlineStr">
        <is>
          <t>2261107220002656</t>
        </is>
      </c>
      <c r="AZ2045" t="inlineStr">
        <is>
          <t>BOOK</t>
        </is>
      </c>
      <c r="BC2045" t="inlineStr">
        <is>
          <t>32285000857374</t>
        </is>
      </c>
      <c r="BD2045" t="inlineStr">
        <is>
          <t>893532390</t>
        </is>
      </c>
    </row>
    <row r="2046">
      <c r="A2046" t="inlineStr">
        <is>
          <t>No</t>
        </is>
      </c>
      <c r="B2046" t="inlineStr">
        <is>
          <t>BX4700.C567 L53 1987</t>
        </is>
      </c>
      <c r="C2046" t="inlineStr">
        <is>
          <t>0                      BX 4700000C  567                L  53          1987</t>
        </is>
      </c>
      <c r="D2046" t="inlineStr">
        <is>
          <t>The Life of Christina of Markyate : a twelfth century recluse / edited and translated by C. H. Talbot.</t>
        </is>
      </c>
      <c r="F2046" t="inlineStr">
        <is>
          <t>No</t>
        </is>
      </c>
      <c r="G2046" t="inlineStr">
        <is>
          <t>1</t>
        </is>
      </c>
      <c r="H2046" t="inlineStr">
        <is>
          <t>No</t>
        </is>
      </c>
      <c r="I2046" t="inlineStr">
        <is>
          <t>No</t>
        </is>
      </c>
      <c r="J2046" t="inlineStr">
        <is>
          <t>0</t>
        </is>
      </c>
      <c r="L2046" t="inlineStr">
        <is>
          <t>Oxford : Clarendon Press, 1987.</t>
        </is>
      </c>
      <c r="M2046" t="inlineStr">
        <is>
          <t>1987</t>
        </is>
      </c>
      <c r="O2046" t="inlineStr">
        <is>
          <t>eng</t>
        </is>
      </c>
      <c r="P2046" t="inlineStr">
        <is>
          <t>enk</t>
        </is>
      </c>
      <c r="Q2046" t="inlineStr">
        <is>
          <t>Oxford medieval texts</t>
        </is>
      </c>
      <c r="R2046" t="inlineStr">
        <is>
          <t xml:space="preserve">BX </t>
        </is>
      </c>
      <c r="S2046" t="n">
        <v>3</v>
      </c>
      <c r="T2046" t="n">
        <v>3</v>
      </c>
      <c r="U2046" t="inlineStr">
        <is>
          <t>1995-03-15</t>
        </is>
      </c>
      <c r="V2046" t="inlineStr">
        <is>
          <t>1995-03-15</t>
        </is>
      </c>
      <c r="W2046" t="inlineStr">
        <is>
          <t>1990-11-08</t>
        </is>
      </c>
      <c r="X2046" t="inlineStr">
        <is>
          <t>1990-11-08</t>
        </is>
      </c>
      <c r="Y2046" t="n">
        <v>187</v>
      </c>
      <c r="Z2046" t="n">
        <v>144</v>
      </c>
      <c r="AA2046" t="n">
        <v>355</v>
      </c>
      <c r="AB2046" t="n">
        <v>2</v>
      </c>
      <c r="AC2046" t="n">
        <v>2</v>
      </c>
      <c r="AD2046" t="n">
        <v>10</v>
      </c>
      <c r="AE2046" t="n">
        <v>25</v>
      </c>
      <c r="AF2046" t="n">
        <v>4</v>
      </c>
      <c r="AG2046" t="n">
        <v>8</v>
      </c>
      <c r="AH2046" t="n">
        <v>2</v>
      </c>
      <c r="AI2046" t="n">
        <v>8</v>
      </c>
      <c r="AJ2046" t="n">
        <v>7</v>
      </c>
      <c r="AK2046" t="n">
        <v>15</v>
      </c>
      <c r="AL2046" t="n">
        <v>1</v>
      </c>
      <c r="AM2046" t="n">
        <v>1</v>
      </c>
      <c r="AN2046" t="n">
        <v>0</v>
      </c>
      <c r="AO2046" t="n">
        <v>0</v>
      </c>
      <c r="AP2046" t="inlineStr">
        <is>
          <t>No</t>
        </is>
      </c>
      <c r="AQ2046" t="inlineStr">
        <is>
          <t>No</t>
        </is>
      </c>
      <c r="AS2046">
        <f>HYPERLINK("https://creighton-primo.hosted.exlibrisgroup.com/primo-explore/search?tab=default_tab&amp;search_scope=EVERYTHING&amp;vid=01CRU&amp;lang=en_US&amp;offset=0&amp;query=any,contains,991001045289702656","Catalog Record")</f>
        <v/>
      </c>
      <c r="AT2046">
        <f>HYPERLINK("http://www.worldcat.org/oclc/15617314","WorldCat Record")</f>
        <v/>
      </c>
      <c r="AU2046" t="inlineStr">
        <is>
          <t>373905158:eng</t>
        </is>
      </c>
      <c r="AV2046" t="inlineStr">
        <is>
          <t>15617314</t>
        </is>
      </c>
      <c r="AW2046" t="inlineStr">
        <is>
          <t>991001045289702656</t>
        </is>
      </c>
      <c r="AX2046" t="inlineStr">
        <is>
          <t>991001045289702656</t>
        </is>
      </c>
      <c r="AY2046" t="inlineStr">
        <is>
          <t>2270143170002656</t>
        </is>
      </c>
      <c r="AZ2046" t="inlineStr">
        <is>
          <t>BOOK</t>
        </is>
      </c>
      <c r="BB2046" t="inlineStr">
        <is>
          <t>9780198212744</t>
        </is>
      </c>
      <c r="BC2046" t="inlineStr">
        <is>
          <t>32285000314327</t>
        </is>
      </c>
      <c r="BD2046" t="inlineStr">
        <is>
          <t>893602272</t>
        </is>
      </c>
    </row>
    <row r="2047">
      <c r="A2047" t="inlineStr">
        <is>
          <t>No</t>
        </is>
      </c>
      <c r="B2047" t="inlineStr">
        <is>
          <t>BX4700.C57 D4 1994</t>
        </is>
      </c>
      <c r="C2047" t="inlineStr">
        <is>
          <t>0                      BX 4700000C  57                 D  4           1994</t>
        </is>
      </c>
      <c r="D2047" t="inlineStr">
        <is>
          <t>Christopher : the holy giant / Tomie dePaola.</t>
        </is>
      </c>
      <c r="F2047" t="inlineStr">
        <is>
          <t>No</t>
        </is>
      </c>
      <c r="G2047" t="inlineStr">
        <is>
          <t>1</t>
        </is>
      </c>
      <c r="H2047" t="inlineStr">
        <is>
          <t>No</t>
        </is>
      </c>
      <c r="I2047" t="inlineStr">
        <is>
          <t>No</t>
        </is>
      </c>
      <c r="J2047" t="inlineStr">
        <is>
          <t>0</t>
        </is>
      </c>
      <c r="K2047" t="inlineStr">
        <is>
          <t>DePaola, Tomie, 1934-2020.</t>
        </is>
      </c>
      <c r="L2047" t="inlineStr">
        <is>
          <t>New York : Holiday House, c1994.</t>
        </is>
      </c>
      <c r="M2047" t="inlineStr">
        <is>
          <t>1994</t>
        </is>
      </c>
      <c r="N2047" t="inlineStr">
        <is>
          <t>1st ed.</t>
        </is>
      </c>
      <c r="O2047" t="inlineStr">
        <is>
          <t>eng</t>
        </is>
      </c>
      <c r="P2047" t="inlineStr">
        <is>
          <t>nyu</t>
        </is>
      </c>
      <c r="R2047" t="inlineStr">
        <is>
          <t xml:space="preserve">BX </t>
        </is>
      </c>
      <c r="S2047" t="n">
        <v>6</v>
      </c>
      <c r="T2047" t="n">
        <v>6</v>
      </c>
      <c r="U2047" t="inlineStr">
        <is>
          <t>2007-10-23</t>
        </is>
      </c>
      <c r="V2047" t="inlineStr">
        <is>
          <t>2007-10-23</t>
        </is>
      </c>
      <c r="W2047" t="inlineStr">
        <is>
          <t>1997-04-17</t>
        </is>
      </c>
      <c r="X2047" t="inlineStr">
        <is>
          <t>1997-04-17</t>
        </is>
      </c>
      <c r="Y2047" t="n">
        <v>948</v>
      </c>
      <c r="Z2047" t="n">
        <v>912</v>
      </c>
      <c r="AA2047" t="n">
        <v>998</v>
      </c>
      <c r="AB2047" t="n">
        <v>6</v>
      </c>
      <c r="AC2047" t="n">
        <v>7</v>
      </c>
      <c r="AD2047" t="n">
        <v>10</v>
      </c>
      <c r="AE2047" t="n">
        <v>12</v>
      </c>
      <c r="AF2047" t="n">
        <v>5</v>
      </c>
      <c r="AG2047" t="n">
        <v>6</v>
      </c>
      <c r="AH2047" t="n">
        <v>4</v>
      </c>
      <c r="AI2047" t="n">
        <v>5</v>
      </c>
      <c r="AJ2047" t="n">
        <v>5</v>
      </c>
      <c r="AK2047" t="n">
        <v>5</v>
      </c>
      <c r="AL2047" t="n">
        <v>0</v>
      </c>
      <c r="AM2047" t="n">
        <v>1</v>
      </c>
      <c r="AN2047" t="n">
        <v>0</v>
      </c>
      <c r="AO2047" t="n">
        <v>0</v>
      </c>
      <c r="AP2047" t="inlineStr">
        <is>
          <t>No</t>
        </is>
      </c>
      <c r="AQ2047" t="inlineStr">
        <is>
          <t>No</t>
        </is>
      </c>
      <c r="AS2047">
        <f>HYPERLINK("https://creighton-primo.hosted.exlibrisgroup.com/primo-explore/search?tab=default_tab&amp;search_scope=EVERYTHING&amp;vid=01CRU&amp;lang=en_US&amp;offset=0&amp;query=any,contains,991004494229702656","Catalog Record")</f>
        <v/>
      </c>
      <c r="AT2047">
        <f>HYPERLINK("http://www.worldcat.org/oclc/22593448","WorldCat Record")</f>
        <v/>
      </c>
      <c r="AU2047" t="inlineStr">
        <is>
          <t>294351586:eng</t>
        </is>
      </c>
      <c r="AV2047" t="inlineStr">
        <is>
          <t>22593448</t>
        </is>
      </c>
      <c r="AW2047" t="inlineStr">
        <is>
          <t>991004494229702656</t>
        </is>
      </c>
      <c r="AX2047" t="inlineStr">
        <is>
          <t>991004494229702656</t>
        </is>
      </c>
      <c r="AY2047" t="inlineStr">
        <is>
          <t>2263457840002656</t>
        </is>
      </c>
      <c r="AZ2047" t="inlineStr">
        <is>
          <t>BOOK</t>
        </is>
      </c>
      <c r="BB2047" t="inlineStr">
        <is>
          <t>9780823408627</t>
        </is>
      </c>
      <c r="BC2047" t="inlineStr">
        <is>
          <t>32285002497831</t>
        </is>
      </c>
      <c r="BD2047" t="inlineStr">
        <is>
          <t>893585440</t>
        </is>
      </c>
    </row>
    <row r="2048">
      <c r="A2048" t="inlineStr">
        <is>
          <t>No</t>
        </is>
      </c>
      <c r="B2048" t="inlineStr">
        <is>
          <t>BX4700.C57 S3 1947</t>
        </is>
      </c>
      <c r="C2048" t="inlineStr">
        <is>
          <t>0                      BX 4700000C  57                 S  3           1947</t>
        </is>
      </c>
      <c r="D2048" t="inlineStr">
        <is>
          <t>Wayfarers' friend / by Courtenay Savage.</t>
        </is>
      </c>
      <c r="F2048" t="inlineStr">
        <is>
          <t>No</t>
        </is>
      </c>
      <c r="G2048" t="inlineStr">
        <is>
          <t>1</t>
        </is>
      </c>
      <c r="H2048" t="inlineStr">
        <is>
          <t>No</t>
        </is>
      </c>
      <c r="I2048" t="inlineStr">
        <is>
          <t>No</t>
        </is>
      </c>
      <c r="J2048" t="inlineStr">
        <is>
          <t>0</t>
        </is>
      </c>
      <c r="K2048" t="inlineStr">
        <is>
          <t>Savage, Courtenay, 1890-1946.</t>
        </is>
      </c>
      <c r="L2048" t="inlineStr">
        <is>
          <t>Milwaukee : The Bruce publishing company, [1947]</t>
        </is>
      </c>
      <c r="M2048" t="inlineStr">
        <is>
          <t>1947</t>
        </is>
      </c>
      <c r="O2048" t="inlineStr">
        <is>
          <t>eng</t>
        </is>
      </c>
      <c r="P2048" t="inlineStr">
        <is>
          <t>wiu</t>
        </is>
      </c>
      <c r="R2048" t="inlineStr">
        <is>
          <t xml:space="preserve">BX </t>
        </is>
      </c>
      <c r="S2048" t="n">
        <v>3</v>
      </c>
      <c r="T2048" t="n">
        <v>3</v>
      </c>
      <c r="U2048" t="inlineStr">
        <is>
          <t>1998-04-01</t>
        </is>
      </c>
      <c r="V2048" t="inlineStr">
        <is>
          <t>1998-04-01</t>
        </is>
      </c>
      <c r="W2048" t="inlineStr">
        <is>
          <t>1991-11-25</t>
        </is>
      </c>
      <c r="X2048" t="inlineStr">
        <is>
          <t>1991-11-25</t>
        </is>
      </c>
      <c r="Y2048" t="n">
        <v>109</v>
      </c>
      <c r="Z2048" t="n">
        <v>99</v>
      </c>
      <c r="AA2048" t="n">
        <v>105</v>
      </c>
      <c r="AB2048" t="n">
        <v>3</v>
      </c>
      <c r="AC2048" t="n">
        <v>3</v>
      </c>
      <c r="AD2048" t="n">
        <v>21</v>
      </c>
      <c r="AE2048" t="n">
        <v>21</v>
      </c>
      <c r="AF2048" t="n">
        <v>5</v>
      </c>
      <c r="AG2048" t="n">
        <v>5</v>
      </c>
      <c r="AH2048" t="n">
        <v>6</v>
      </c>
      <c r="AI2048" t="n">
        <v>6</v>
      </c>
      <c r="AJ2048" t="n">
        <v>16</v>
      </c>
      <c r="AK2048" t="n">
        <v>16</v>
      </c>
      <c r="AL2048" t="n">
        <v>1</v>
      </c>
      <c r="AM2048" t="n">
        <v>1</v>
      </c>
      <c r="AN2048" t="n">
        <v>0</v>
      </c>
      <c r="AO2048" t="n">
        <v>0</v>
      </c>
      <c r="AP2048" t="inlineStr">
        <is>
          <t>No</t>
        </is>
      </c>
      <c r="AQ2048" t="inlineStr">
        <is>
          <t>No</t>
        </is>
      </c>
      <c r="AS2048">
        <f>HYPERLINK("https://creighton-primo.hosted.exlibrisgroup.com/primo-explore/search?tab=default_tab&amp;search_scope=EVERYTHING&amp;vid=01CRU&amp;lang=en_US&amp;offset=0&amp;query=any,contains,991003124469702656","Catalog Record")</f>
        <v/>
      </c>
      <c r="AT2048">
        <f>HYPERLINK("http://www.worldcat.org/oclc/669432","WorldCat Record")</f>
        <v/>
      </c>
      <c r="AU2048" t="inlineStr">
        <is>
          <t>1696784:eng</t>
        </is>
      </c>
      <c r="AV2048" t="inlineStr">
        <is>
          <t>669432</t>
        </is>
      </c>
      <c r="AW2048" t="inlineStr">
        <is>
          <t>991003124469702656</t>
        </is>
      </c>
      <c r="AX2048" t="inlineStr">
        <is>
          <t>991003124469702656</t>
        </is>
      </c>
      <c r="AY2048" t="inlineStr">
        <is>
          <t>2256175680002656</t>
        </is>
      </c>
      <c r="AZ2048" t="inlineStr">
        <is>
          <t>BOOK</t>
        </is>
      </c>
      <c r="BC2048" t="inlineStr">
        <is>
          <t>32285000857382</t>
        </is>
      </c>
      <c r="BD2048" t="inlineStr">
        <is>
          <t>893227716</t>
        </is>
      </c>
    </row>
    <row r="2049">
      <c r="A2049" t="inlineStr">
        <is>
          <t>No</t>
        </is>
      </c>
      <c r="B2049" t="inlineStr">
        <is>
          <t>BX4700.C6 G5 1914</t>
        </is>
      </c>
      <c r="C2049" t="inlineStr">
        <is>
          <t>0                      BX 4700000C  6                  G  5           1914</t>
        </is>
      </c>
      <c r="D2049" t="inlineStr">
        <is>
          <t>Saint Clare of Assisi : her life and legislation / by Ernest Gilliat-Smith.</t>
        </is>
      </c>
      <c r="F2049" t="inlineStr">
        <is>
          <t>No</t>
        </is>
      </c>
      <c r="G2049" t="inlineStr">
        <is>
          <t>1</t>
        </is>
      </c>
      <c r="H2049" t="inlineStr">
        <is>
          <t>No</t>
        </is>
      </c>
      <c r="I2049" t="inlineStr">
        <is>
          <t>No</t>
        </is>
      </c>
      <c r="J2049" t="inlineStr">
        <is>
          <t>0</t>
        </is>
      </c>
      <c r="K2049" t="inlineStr">
        <is>
          <t>Gilliat-Smith, Ernest.</t>
        </is>
      </c>
      <c r="L2049" t="inlineStr">
        <is>
          <t>London &amp; Toronto : J. M. Dent &amp; sons, limited ; New York : E. P. Dutton &amp; co., 1914.</t>
        </is>
      </c>
      <c r="M2049" t="inlineStr">
        <is>
          <t>1914</t>
        </is>
      </c>
      <c r="O2049" t="inlineStr">
        <is>
          <t>eng</t>
        </is>
      </c>
      <c r="P2049" t="inlineStr">
        <is>
          <t>enk</t>
        </is>
      </c>
      <c r="R2049" t="inlineStr">
        <is>
          <t xml:space="preserve">BX </t>
        </is>
      </c>
      <c r="S2049" t="n">
        <v>9</v>
      </c>
      <c r="T2049" t="n">
        <v>9</v>
      </c>
      <c r="U2049" t="inlineStr">
        <is>
          <t>2008-04-29</t>
        </is>
      </c>
      <c r="V2049" t="inlineStr">
        <is>
          <t>2008-04-29</t>
        </is>
      </c>
      <c r="W2049" t="inlineStr">
        <is>
          <t>1991-11-25</t>
        </is>
      </c>
      <c r="X2049" t="inlineStr">
        <is>
          <t>1991-11-25</t>
        </is>
      </c>
      <c r="Y2049" t="n">
        <v>79</v>
      </c>
      <c r="Z2049" t="n">
        <v>60</v>
      </c>
      <c r="AA2049" t="n">
        <v>193</v>
      </c>
      <c r="AB2049" t="n">
        <v>1</v>
      </c>
      <c r="AC2049" t="n">
        <v>3</v>
      </c>
      <c r="AD2049" t="n">
        <v>6</v>
      </c>
      <c r="AE2049" t="n">
        <v>13</v>
      </c>
      <c r="AF2049" t="n">
        <v>1</v>
      </c>
      <c r="AG2049" t="n">
        <v>3</v>
      </c>
      <c r="AH2049" t="n">
        <v>3</v>
      </c>
      <c r="AI2049" t="n">
        <v>4</v>
      </c>
      <c r="AJ2049" t="n">
        <v>4</v>
      </c>
      <c r="AK2049" t="n">
        <v>7</v>
      </c>
      <c r="AL2049" t="n">
        <v>0</v>
      </c>
      <c r="AM2049" t="n">
        <v>2</v>
      </c>
      <c r="AN2049" t="n">
        <v>0</v>
      </c>
      <c r="AO2049" t="n">
        <v>1</v>
      </c>
      <c r="AP2049" t="inlineStr">
        <is>
          <t>Yes</t>
        </is>
      </c>
      <c r="AQ2049" t="inlineStr">
        <is>
          <t>No</t>
        </is>
      </c>
      <c r="AR2049">
        <f>HYPERLINK("http://catalog.hathitrust.org/Record/100324165","HathiTrust Record")</f>
        <v/>
      </c>
      <c r="AS2049">
        <f>HYPERLINK("https://creighton-primo.hosted.exlibrisgroup.com/primo-explore/search?tab=default_tab&amp;search_scope=EVERYTHING&amp;vid=01CRU&amp;lang=en_US&amp;offset=0&amp;query=any,contains,991005368409702656","Catalog Record")</f>
        <v/>
      </c>
      <c r="AT2049">
        <f>HYPERLINK("http://www.worldcat.org/oclc/2079114","WorldCat Record")</f>
        <v/>
      </c>
      <c r="AU2049" t="inlineStr">
        <is>
          <t>4105132:eng</t>
        </is>
      </c>
      <c r="AV2049" t="inlineStr">
        <is>
          <t>2079114</t>
        </is>
      </c>
      <c r="AW2049" t="inlineStr">
        <is>
          <t>991005368409702656</t>
        </is>
      </c>
      <c r="AX2049" t="inlineStr">
        <is>
          <t>991005368409702656</t>
        </is>
      </c>
      <c r="AY2049" t="inlineStr">
        <is>
          <t>2260183510002656</t>
        </is>
      </c>
      <c r="AZ2049" t="inlineStr">
        <is>
          <t>BOOK</t>
        </is>
      </c>
      <c r="BC2049" t="inlineStr">
        <is>
          <t>32285000857390</t>
        </is>
      </c>
      <c r="BD2049" t="inlineStr">
        <is>
          <t>893425038</t>
        </is>
      </c>
    </row>
    <row r="2050">
      <c r="A2050" t="inlineStr">
        <is>
          <t>No</t>
        </is>
      </c>
      <c r="B2050" t="inlineStr">
        <is>
          <t>BX4700.C6 L54 1910</t>
        </is>
      </c>
      <c r="C2050" t="inlineStr">
        <is>
          <t>0                      BX 4700000C  6                  L  54          1910</t>
        </is>
      </c>
      <c r="D2050" t="inlineStr">
        <is>
          <t>The life of Saint Clare, ascribed to Fr. Thomas of Celano of the order of Friars minor (A.D. 1255-1261) tr. and edited from the earliest mss. by Fr. Paschal Robinson ... with an appendix containing the rule of Saint Clare.</t>
        </is>
      </c>
      <c r="F2050" t="inlineStr">
        <is>
          <t>No</t>
        </is>
      </c>
      <c r="G2050" t="inlineStr">
        <is>
          <t>1</t>
        </is>
      </c>
      <c r="H2050" t="inlineStr">
        <is>
          <t>No</t>
        </is>
      </c>
      <c r="I2050" t="inlineStr">
        <is>
          <t>No</t>
        </is>
      </c>
      <c r="J2050" t="inlineStr">
        <is>
          <t>0</t>
        </is>
      </c>
      <c r="L2050" t="inlineStr">
        <is>
          <t>Philadelphia, The Dolphin press, 1910.</t>
        </is>
      </c>
      <c r="M2050" t="inlineStr">
        <is>
          <t>1910</t>
        </is>
      </c>
      <c r="O2050" t="inlineStr">
        <is>
          <t>ger</t>
        </is>
      </c>
      <c r="P2050" t="inlineStr">
        <is>
          <t>pau</t>
        </is>
      </c>
      <c r="R2050" t="inlineStr">
        <is>
          <t xml:space="preserve">BX </t>
        </is>
      </c>
      <c r="S2050" t="n">
        <v>11</v>
      </c>
      <c r="T2050" t="n">
        <v>11</v>
      </c>
      <c r="U2050" t="inlineStr">
        <is>
          <t>2007-11-16</t>
        </is>
      </c>
      <c r="V2050" t="inlineStr">
        <is>
          <t>2007-11-16</t>
        </is>
      </c>
      <c r="W2050" t="inlineStr">
        <is>
          <t>1991-11-25</t>
        </is>
      </c>
      <c r="X2050" t="inlineStr">
        <is>
          <t>1991-11-25</t>
        </is>
      </c>
      <c r="Y2050" t="n">
        <v>61</v>
      </c>
      <c r="Z2050" t="n">
        <v>59</v>
      </c>
      <c r="AA2050" t="n">
        <v>60</v>
      </c>
      <c r="AB2050" t="n">
        <v>3</v>
      </c>
      <c r="AC2050" t="n">
        <v>3</v>
      </c>
      <c r="AD2050" t="n">
        <v>6</v>
      </c>
      <c r="AE2050" t="n">
        <v>6</v>
      </c>
      <c r="AF2050" t="n">
        <v>0</v>
      </c>
      <c r="AG2050" t="n">
        <v>0</v>
      </c>
      <c r="AH2050" t="n">
        <v>2</v>
      </c>
      <c r="AI2050" t="n">
        <v>2</v>
      </c>
      <c r="AJ2050" t="n">
        <v>4</v>
      </c>
      <c r="AK2050" t="n">
        <v>4</v>
      </c>
      <c r="AL2050" t="n">
        <v>0</v>
      </c>
      <c r="AM2050" t="n">
        <v>0</v>
      </c>
      <c r="AN2050" t="n">
        <v>0</v>
      </c>
      <c r="AO2050" t="n">
        <v>0</v>
      </c>
      <c r="AP2050" t="inlineStr">
        <is>
          <t>Yes</t>
        </is>
      </c>
      <c r="AQ2050" t="inlineStr">
        <is>
          <t>No</t>
        </is>
      </c>
      <c r="AR2050">
        <f>HYPERLINK("http://catalog.hathitrust.org/Record/008917915","HathiTrust Record")</f>
        <v/>
      </c>
      <c r="AS2050">
        <f>HYPERLINK("https://creighton-primo.hosted.exlibrisgroup.com/primo-explore/search?tab=default_tab&amp;search_scope=EVERYTHING&amp;vid=01CRU&amp;lang=en_US&amp;offset=0&amp;query=any,contains,991004674849702656","Catalog Record")</f>
        <v/>
      </c>
      <c r="AT2050">
        <f>HYPERLINK("http://www.worldcat.org/oclc/4530211","WorldCat Record")</f>
        <v/>
      </c>
      <c r="AU2050" t="inlineStr">
        <is>
          <t>9490305998:eng</t>
        </is>
      </c>
      <c r="AV2050" t="inlineStr">
        <is>
          <t>4530211</t>
        </is>
      </c>
      <c r="AW2050" t="inlineStr">
        <is>
          <t>991004674849702656</t>
        </is>
      </c>
      <c r="AX2050" t="inlineStr">
        <is>
          <t>991004674849702656</t>
        </is>
      </c>
      <c r="AY2050" t="inlineStr">
        <is>
          <t>2257605400002656</t>
        </is>
      </c>
      <c r="AZ2050" t="inlineStr">
        <is>
          <t>BOOK</t>
        </is>
      </c>
      <c r="BC2050" t="inlineStr">
        <is>
          <t>32285000857408</t>
        </is>
      </c>
      <c r="BD2050" t="inlineStr">
        <is>
          <t>893719205</t>
        </is>
      </c>
    </row>
    <row r="2051">
      <c r="A2051" t="inlineStr">
        <is>
          <t>No</t>
        </is>
      </c>
      <c r="B2051" t="inlineStr">
        <is>
          <t>BX4700.C6 S3 1912</t>
        </is>
      </c>
      <c r="C2051" t="inlineStr">
        <is>
          <t>0                      BX 4700000C  6                  S  3           1912</t>
        </is>
      </c>
      <c r="D2051" t="inlineStr">
        <is>
          <t>St. Clare and her order : a story of seven centuries / edited by the author of "The enclosed nun".</t>
        </is>
      </c>
      <c r="F2051" t="inlineStr">
        <is>
          <t>No</t>
        </is>
      </c>
      <c r="G2051" t="inlineStr">
        <is>
          <t>1</t>
        </is>
      </c>
      <c r="H2051" t="inlineStr">
        <is>
          <t>No</t>
        </is>
      </c>
      <c r="I2051" t="inlineStr">
        <is>
          <t>No</t>
        </is>
      </c>
      <c r="J2051" t="inlineStr">
        <is>
          <t>0</t>
        </is>
      </c>
      <c r="L2051" t="inlineStr">
        <is>
          <t>London : Mills &amp; Boon, 1912.</t>
        </is>
      </c>
      <c r="M2051" t="inlineStr">
        <is>
          <t>1912</t>
        </is>
      </c>
      <c r="O2051" t="inlineStr">
        <is>
          <t>eng</t>
        </is>
      </c>
      <c r="P2051" t="inlineStr">
        <is>
          <t>enk</t>
        </is>
      </c>
      <c r="R2051" t="inlineStr">
        <is>
          <t xml:space="preserve">BX </t>
        </is>
      </c>
      <c r="S2051" t="n">
        <v>7</v>
      </c>
      <c r="T2051" t="n">
        <v>7</v>
      </c>
      <c r="U2051" t="inlineStr">
        <is>
          <t>2009-03-24</t>
        </is>
      </c>
      <c r="V2051" t="inlineStr">
        <is>
          <t>2009-03-24</t>
        </is>
      </c>
      <c r="W2051" t="inlineStr">
        <is>
          <t>1991-11-25</t>
        </is>
      </c>
      <c r="X2051" t="inlineStr">
        <is>
          <t>1991-11-25</t>
        </is>
      </c>
      <c r="Y2051" t="n">
        <v>64</v>
      </c>
      <c r="Z2051" t="n">
        <v>51</v>
      </c>
      <c r="AA2051" t="n">
        <v>67</v>
      </c>
      <c r="AB2051" t="n">
        <v>1</v>
      </c>
      <c r="AC2051" t="n">
        <v>1</v>
      </c>
      <c r="AD2051" t="n">
        <v>7</v>
      </c>
      <c r="AE2051" t="n">
        <v>7</v>
      </c>
      <c r="AF2051" t="n">
        <v>1</v>
      </c>
      <c r="AG2051" t="n">
        <v>1</v>
      </c>
      <c r="AH2051" t="n">
        <v>1</v>
      </c>
      <c r="AI2051" t="n">
        <v>1</v>
      </c>
      <c r="AJ2051" t="n">
        <v>7</v>
      </c>
      <c r="AK2051" t="n">
        <v>7</v>
      </c>
      <c r="AL2051" t="n">
        <v>0</v>
      </c>
      <c r="AM2051" t="n">
        <v>0</v>
      </c>
      <c r="AN2051" t="n">
        <v>0</v>
      </c>
      <c r="AO2051" t="n">
        <v>0</v>
      </c>
      <c r="AP2051" t="inlineStr">
        <is>
          <t>Yes</t>
        </is>
      </c>
      <c r="AQ2051" t="inlineStr">
        <is>
          <t>No</t>
        </is>
      </c>
      <c r="AR2051">
        <f>HYPERLINK("http://catalog.hathitrust.org/Record/011224399","HathiTrust Record")</f>
        <v/>
      </c>
      <c r="AS2051">
        <f>HYPERLINK("https://creighton-primo.hosted.exlibrisgroup.com/primo-explore/search?tab=default_tab&amp;search_scope=EVERYTHING&amp;vid=01CRU&amp;lang=en_US&amp;offset=0&amp;query=any,contains,991004089949702656","Catalog Record")</f>
        <v/>
      </c>
      <c r="AT2051">
        <f>HYPERLINK("http://www.worldcat.org/oclc/2343634","WorldCat Record")</f>
        <v/>
      </c>
      <c r="AU2051" t="inlineStr">
        <is>
          <t>4985226:eng</t>
        </is>
      </c>
      <c r="AV2051" t="inlineStr">
        <is>
          <t>2343634</t>
        </is>
      </c>
      <c r="AW2051" t="inlineStr">
        <is>
          <t>991004089949702656</t>
        </is>
      </c>
      <c r="AX2051" t="inlineStr">
        <is>
          <t>991004089949702656</t>
        </is>
      </c>
      <c r="AY2051" t="inlineStr">
        <is>
          <t>2261996810002656</t>
        </is>
      </c>
      <c r="AZ2051" t="inlineStr">
        <is>
          <t>BOOK</t>
        </is>
      </c>
      <c r="BC2051" t="inlineStr">
        <is>
          <t>32285000857416</t>
        </is>
      </c>
      <c r="BD2051" t="inlineStr">
        <is>
          <t>893794459</t>
        </is>
      </c>
    </row>
    <row r="2052">
      <c r="A2052" t="inlineStr">
        <is>
          <t>No</t>
        </is>
      </c>
      <c r="B2052" t="inlineStr">
        <is>
          <t>BX4700.C62 A3 1976</t>
        </is>
      </c>
      <c r="C2052" t="inlineStr">
        <is>
          <t>0                      BX 4700000C  62                 A  3           1976</t>
        </is>
      </c>
      <c r="D2052" t="inlineStr">
        <is>
          <t>Autobiography / Saint Anthony Mary Claret ; edited by José Maria Viñas ; foreword by Alfred Esposito ; [translation by Joseph Davies].</t>
        </is>
      </c>
      <c r="F2052" t="inlineStr">
        <is>
          <t>No</t>
        </is>
      </c>
      <c r="G2052" t="inlineStr">
        <is>
          <t>1</t>
        </is>
      </c>
      <c r="H2052" t="inlineStr">
        <is>
          <t>No</t>
        </is>
      </c>
      <c r="I2052" t="inlineStr">
        <is>
          <t>No</t>
        </is>
      </c>
      <c r="J2052" t="inlineStr">
        <is>
          <t>0</t>
        </is>
      </c>
      <c r="K2052" t="inlineStr">
        <is>
          <t>Claret y Clará, Antonio María, Saint, 1807-1870.</t>
        </is>
      </c>
      <c r="L2052" t="inlineStr">
        <is>
          <t>Chicago : Claretian Publications, 1976.</t>
        </is>
      </c>
      <c r="M2052" t="inlineStr">
        <is>
          <t>1976</t>
        </is>
      </c>
      <c r="O2052" t="inlineStr">
        <is>
          <t>eng</t>
        </is>
      </c>
      <c r="P2052" t="inlineStr">
        <is>
          <t>ilu</t>
        </is>
      </c>
      <c r="R2052" t="inlineStr">
        <is>
          <t xml:space="preserve">BX </t>
        </is>
      </c>
      <c r="S2052" t="n">
        <v>3</v>
      </c>
      <c r="T2052" t="n">
        <v>3</v>
      </c>
      <c r="U2052" t="inlineStr">
        <is>
          <t>2010-07-29</t>
        </is>
      </c>
      <c r="V2052" t="inlineStr">
        <is>
          <t>2010-07-29</t>
        </is>
      </c>
      <c r="W2052" t="inlineStr">
        <is>
          <t>1991-11-25</t>
        </is>
      </c>
      <c r="X2052" t="inlineStr">
        <is>
          <t>1991-11-25</t>
        </is>
      </c>
      <c r="Y2052" t="n">
        <v>88</v>
      </c>
      <c r="Z2052" t="n">
        <v>83</v>
      </c>
      <c r="AA2052" t="n">
        <v>115</v>
      </c>
      <c r="AB2052" t="n">
        <v>2</v>
      </c>
      <c r="AC2052" t="n">
        <v>2</v>
      </c>
      <c r="AD2052" t="n">
        <v>10</v>
      </c>
      <c r="AE2052" t="n">
        <v>15</v>
      </c>
      <c r="AF2052" t="n">
        <v>1</v>
      </c>
      <c r="AG2052" t="n">
        <v>4</v>
      </c>
      <c r="AH2052" t="n">
        <v>3</v>
      </c>
      <c r="AI2052" t="n">
        <v>4</v>
      </c>
      <c r="AJ2052" t="n">
        <v>7</v>
      </c>
      <c r="AK2052" t="n">
        <v>10</v>
      </c>
      <c r="AL2052" t="n">
        <v>0</v>
      </c>
      <c r="AM2052" t="n">
        <v>0</v>
      </c>
      <c r="AN2052" t="n">
        <v>0</v>
      </c>
      <c r="AO2052" t="n">
        <v>0</v>
      </c>
      <c r="AP2052" t="inlineStr">
        <is>
          <t>No</t>
        </is>
      </c>
      <c r="AQ2052" t="inlineStr">
        <is>
          <t>No</t>
        </is>
      </c>
      <c r="AS2052">
        <f>HYPERLINK("https://creighton-primo.hosted.exlibrisgroup.com/primo-explore/search?tab=default_tab&amp;search_scope=EVERYTHING&amp;vid=01CRU&amp;lang=en_US&amp;offset=0&amp;query=any,contains,991004314969702656","Catalog Record")</f>
        <v/>
      </c>
      <c r="AT2052">
        <f>HYPERLINK("http://www.worldcat.org/oclc/3003402","WorldCat Record")</f>
        <v/>
      </c>
      <c r="AU2052" t="inlineStr">
        <is>
          <t>318304745:eng</t>
        </is>
      </c>
      <c r="AV2052" t="inlineStr">
        <is>
          <t>3003402</t>
        </is>
      </c>
      <c r="AW2052" t="inlineStr">
        <is>
          <t>991004314969702656</t>
        </is>
      </c>
      <c r="AX2052" t="inlineStr">
        <is>
          <t>991004314969702656</t>
        </is>
      </c>
      <c r="AY2052" t="inlineStr">
        <is>
          <t>2270993110002656</t>
        </is>
      </c>
      <c r="AZ2052" t="inlineStr">
        <is>
          <t>BOOK</t>
        </is>
      </c>
      <c r="BC2052" t="inlineStr">
        <is>
          <t>32285000857424</t>
        </is>
      </c>
      <c r="BD2052" t="inlineStr">
        <is>
          <t>893618517</t>
        </is>
      </c>
    </row>
    <row r="2053">
      <c r="A2053" t="inlineStr">
        <is>
          <t>No</t>
        </is>
      </c>
      <c r="B2053" t="inlineStr">
        <is>
          <t>BX4700.C7 A3 1857</t>
        </is>
      </c>
      <c r="C2053" t="inlineStr">
        <is>
          <t>0                      BX 4700000C  7                  A  3           1857</t>
        </is>
      </c>
      <c r="D2053" t="inlineStr">
        <is>
          <t>The life of St. Columba, founder of Hy / written by Adamnan ; to which are added copious notes and dissertations, illustrative of the early history of the Columbian institutions in Ireland and Scotland, by William Reeves.</t>
        </is>
      </c>
      <c r="F2053" t="inlineStr">
        <is>
          <t>No</t>
        </is>
      </c>
      <c r="G2053" t="inlineStr">
        <is>
          <t>1</t>
        </is>
      </c>
      <c r="H2053" t="inlineStr">
        <is>
          <t>No</t>
        </is>
      </c>
      <c r="I2053" t="inlineStr">
        <is>
          <t>No</t>
        </is>
      </c>
      <c r="J2053" t="inlineStr">
        <is>
          <t>0</t>
        </is>
      </c>
      <c r="K2053" t="inlineStr">
        <is>
          <t>Adamnan, Saint, 625?-704.</t>
        </is>
      </c>
      <c r="L2053" t="inlineStr">
        <is>
          <t>Dublin : Printed at the University Press for the Irish Archaeological and Celtic Society, 1857.</t>
        </is>
      </c>
      <c r="M2053" t="inlineStr">
        <is>
          <t>1857</t>
        </is>
      </c>
      <c r="O2053" t="inlineStr">
        <is>
          <t>eng</t>
        </is>
      </c>
      <c r="P2053" t="inlineStr">
        <is>
          <t xml:space="preserve">ie </t>
        </is>
      </c>
      <c r="R2053" t="inlineStr">
        <is>
          <t xml:space="preserve">BX </t>
        </is>
      </c>
      <c r="S2053" t="n">
        <v>0</v>
      </c>
      <c r="T2053" t="n">
        <v>0</v>
      </c>
      <c r="U2053" t="inlineStr">
        <is>
          <t>2010-03-10</t>
        </is>
      </c>
      <c r="V2053" t="inlineStr">
        <is>
          <t>2010-03-10</t>
        </is>
      </c>
      <c r="W2053" t="inlineStr">
        <is>
          <t>1991-11-25</t>
        </is>
      </c>
      <c r="X2053" t="inlineStr">
        <is>
          <t>1991-11-25</t>
        </is>
      </c>
      <c r="Y2053" t="n">
        <v>78</v>
      </c>
      <c r="Z2053" t="n">
        <v>48</v>
      </c>
      <c r="AA2053" t="n">
        <v>61</v>
      </c>
      <c r="AB2053" t="n">
        <v>1</v>
      </c>
      <c r="AC2053" t="n">
        <v>1</v>
      </c>
      <c r="AD2053" t="n">
        <v>5</v>
      </c>
      <c r="AE2053" t="n">
        <v>5</v>
      </c>
      <c r="AF2053" t="n">
        <v>0</v>
      </c>
      <c r="AG2053" t="n">
        <v>0</v>
      </c>
      <c r="AH2053" t="n">
        <v>2</v>
      </c>
      <c r="AI2053" t="n">
        <v>2</v>
      </c>
      <c r="AJ2053" t="n">
        <v>4</v>
      </c>
      <c r="AK2053" t="n">
        <v>4</v>
      </c>
      <c r="AL2053" t="n">
        <v>0</v>
      </c>
      <c r="AM2053" t="n">
        <v>0</v>
      </c>
      <c r="AN2053" t="n">
        <v>0</v>
      </c>
      <c r="AO2053" t="n">
        <v>0</v>
      </c>
      <c r="AP2053" t="inlineStr">
        <is>
          <t>Yes</t>
        </is>
      </c>
      <c r="AQ2053" t="inlineStr">
        <is>
          <t>No</t>
        </is>
      </c>
      <c r="AR2053">
        <f>HYPERLINK("http://catalog.hathitrust.org/Record/008625778","HathiTrust Record")</f>
        <v/>
      </c>
      <c r="AS2053">
        <f>HYPERLINK("https://creighton-primo.hosted.exlibrisgroup.com/primo-explore/search?tab=default_tab&amp;search_scope=EVERYTHING&amp;vid=01CRU&amp;lang=en_US&amp;offset=0&amp;query=any,contains,991004513699702656","Catalog Record")</f>
        <v/>
      </c>
      <c r="AT2053">
        <f>HYPERLINK("http://www.worldcat.org/oclc/3775323","WorldCat Record")</f>
        <v/>
      </c>
      <c r="AU2053" t="inlineStr">
        <is>
          <t>5622743444:eng</t>
        </is>
      </c>
      <c r="AV2053" t="inlineStr">
        <is>
          <t>3775323</t>
        </is>
      </c>
      <c r="AW2053" t="inlineStr">
        <is>
          <t>991004513699702656</t>
        </is>
      </c>
      <c r="AX2053" t="inlineStr">
        <is>
          <t>991004513699702656</t>
        </is>
      </c>
      <c r="AY2053" t="inlineStr">
        <is>
          <t>2254807440002656</t>
        </is>
      </c>
      <c r="AZ2053" t="inlineStr">
        <is>
          <t>BOOK</t>
        </is>
      </c>
      <c r="BC2053" t="inlineStr">
        <is>
          <t>32285000857481</t>
        </is>
      </c>
      <c r="BD2053" t="inlineStr">
        <is>
          <t>893442701</t>
        </is>
      </c>
    </row>
    <row r="2054">
      <c r="A2054" t="inlineStr">
        <is>
          <t>No</t>
        </is>
      </c>
      <c r="B2054" t="inlineStr">
        <is>
          <t>BX4700.C7 F6 1913</t>
        </is>
      </c>
      <c r="C2054" t="inlineStr">
        <is>
          <t>0                      BX 4700000C  7                  F  6           1913</t>
        </is>
      </c>
      <c r="D2054" t="inlineStr">
        <is>
          <t>The life of Saint Columba, Apostle of Scotland. / By F.A. Forbes.</t>
        </is>
      </c>
      <c r="F2054" t="inlineStr">
        <is>
          <t>No</t>
        </is>
      </c>
      <c r="G2054" t="inlineStr">
        <is>
          <t>1</t>
        </is>
      </c>
      <c r="H2054" t="inlineStr">
        <is>
          <t>No</t>
        </is>
      </c>
      <c r="I2054" t="inlineStr">
        <is>
          <t>No</t>
        </is>
      </c>
      <c r="J2054" t="inlineStr">
        <is>
          <t>0</t>
        </is>
      </c>
      <c r="K2054" t="inlineStr">
        <is>
          <t>Forbes, F. A. (Frances Alice), 1869-1936.</t>
        </is>
      </c>
      <c r="L2054" t="inlineStr">
        <is>
          <t>London : James Brodie, [1913]</t>
        </is>
      </c>
      <c r="M2054" t="inlineStr">
        <is>
          <t>1913</t>
        </is>
      </c>
      <c r="O2054" t="inlineStr">
        <is>
          <t>eng</t>
        </is>
      </c>
      <c r="P2054" t="inlineStr">
        <is>
          <t>enk</t>
        </is>
      </c>
      <c r="Q2054" t="inlineStr">
        <is>
          <t>Standard-bearers of the faith</t>
        </is>
      </c>
      <c r="R2054" t="inlineStr">
        <is>
          <t xml:space="preserve">BX </t>
        </is>
      </c>
      <c r="S2054" t="n">
        <v>3</v>
      </c>
      <c r="T2054" t="n">
        <v>3</v>
      </c>
      <c r="U2054" t="inlineStr">
        <is>
          <t>1993-09-30</t>
        </is>
      </c>
      <c r="V2054" t="inlineStr">
        <is>
          <t>1993-09-30</t>
        </is>
      </c>
      <c r="W2054" t="inlineStr">
        <is>
          <t>1991-11-25</t>
        </is>
      </c>
      <c r="X2054" t="inlineStr">
        <is>
          <t>1991-11-25</t>
        </is>
      </c>
      <c r="Y2054" t="n">
        <v>9</v>
      </c>
      <c r="Z2054" t="n">
        <v>9</v>
      </c>
      <c r="AA2054" t="n">
        <v>69</v>
      </c>
      <c r="AB2054" t="n">
        <v>1</v>
      </c>
      <c r="AC2054" t="n">
        <v>1</v>
      </c>
      <c r="AD2054" t="n">
        <v>2</v>
      </c>
      <c r="AE2054" t="n">
        <v>7</v>
      </c>
      <c r="AF2054" t="n">
        <v>1</v>
      </c>
      <c r="AG2054" t="n">
        <v>1</v>
      </c>
      <c r="AH2054" t="n">
        <v>0</v>
      </c>
      <c r="AI2054" t="n">
        <v>2</v>
      </c>
      <c r="AJ2054" t="n">
        <v>2</v>
      </c>
      <c r="AK2054" t="n">
        <v>5</v>
      </c>
      <c r="AL2054" t="n">
        <v>0</v>
      </c>
      <c r="AM2054" t="n">
        <v>0</v>
      </c>
      <c r="AN2054" t="n">
        <v>0</v>
      </c>
      <c r="AO2054" t="n">
        <v>0</v>
      </c>
      <c r="AP2054" t="inlineStr">
        <is>
          <t>No</t>
        </is>
      </c>
      <c r="AQ2054" t="inlineStr">
        <is>
          <t>No</t>
        </is>
      </c>
      <c r="AS2054">
        <f>HYPERLINK("https://creighton-primo.hosted.exlibrisgroup.com/primo-explore/search?tab=default_tab&amp;search_scope=EVERYTHING&amp;vid=01CRU&amp;lang=en_US&amp;offset=0&amp;query=any,contains,991004337629702656","Catalog Record")</f>
        <v/>
      </c>
      <c r="AT2054">
        <f>HYPERLINK("http://www.worldcat.org/oclc/3078412","WorldCat Record")</f>
        <v/>
      </c>
      <c r="AU2054" t="inlineStr">
        <is>
          <t>7737969:eng</t>
        </is>
      </c>
      <c r="AV2054" t="inlineStr">
        <is>
          <t>3078412</t>
        </is>
      </c>
      <c r="AW2054" t="inlineStr">
        <is>
          <t>991004337629702656</t>
        </is>
      </c>
      <c r="AX2054" t="inlineStr">
        <is>
          <t>991004337629702656</t>
        </is>
      </c>
      <c r="AY2054" t="inlineStr">
        <is>
          <t>2271031740002656</t>
        </is>
      </c>
      <c r="AZ2054" t="inlineStr">
        <is>
          <t>BOOK</t>
        </is>
      </c>
      <c r="BC2054" t="inlineStr">
        <is>
          <t>32285000857499</t>
        </is>
      </c>
      <c r="BD2054" t="inlineStr">
        <is>
          <t>893700106</t>
        </is>
      </c>
    </row>
    <row r="2055">
      <c r="A2055" t="inlineStr">
        <is>
          <t>No</t>
        </is>
      </c>
      <c r="B2055" t="inlineStr">
        <is>
          <t>BX4700.C75 C6</t>
        </is>
      </c>
      <c r="C2055" t="inlineStr">
        <is>
          <t>0                      BX 4700000C  75                 C  6</t>
        </is>
      </c>
      <c r="D2055" t="inlineStr">
        <is>
          <t>Mélanges colombaniens. Actes du Congrès international de Luxeuil, 20-23 juillet 1950. Association des amis de St. Colomban, Luxeuil.</t>
        </is>
      </c>
      <c r="F2055" t="inlineStr">
        <is>
          <t>No</t>
        </is>
      </c>
      <c r="G2055" t="inlineStr">
        <is>
          <t>1</t>
        </is>
      </c>
      <c r="H2055" t="inlineStr">
        <is>
          <t>No</t>
        </is>
      </c>
      <c r="I2055" t="inlineStr">
        <is>
          <t>No</t>
        </is>
      </c>
      <c r="J2055" t="inlineStr">
        <is>
          <t>0</t>
        </is>
      </c>
      <c r="K2055" t="inlineStr">
        <is>
          <t>Congrès international de Saint Colomban (1950 : Luxeuil-les-Bains, France)</t>
        </is>
      </c>
      <c r="L2055" t="inlineStr">
        <is>
          <t>Paris, Alsatia [1951]</t>
        </is>
      </c>
      <c r="M2055" t="inlineStr">
        <is>
          <t>1951</t>
        </is>
      </c>
      <c r="O2055" t="inlineStr">
        <is>
          <t>fre</t>
        </is>
      </c>
      <c r="P2055" t="inlineStr">
        <is>
          <t xml:space="preserve">fr </t>
        </is>
      </c>
      <c r="Q2055" t="inlineStr">
        <is>
          <t>Bibliothèque de la Société d'histoire ecclésiastique de la France</t>
        </is>
      </c>
      <c r="R2055" t="inlineStr">
        <is>
          <t xml:space="preserve">BX </t>
        </is>
      </c>
      <c r="S2055" t="n">
        <v>1</v>
      </c>
      <c r="T2055" t="n">
        <v>1</v>
      </c>
      <c r="U2055" t="inlineStr">
        <is>
          <t>1995-06-21</t>
        </is>
      </c>
      <c r="V2055" t="inlineStr">
        <is>
          <t>1995-06-21</t>
        </is>
      </c>
      <c r="W2055" t="inlineStr">
        <is>
          <t>1991-11-25</t>
        </is>
      </c>
      <c r="X2055" t="inlineStr">
        <is>
          <t>1991-11-25</t>
        </is>
      </c>
      <c r="Y2055" t="n">
        <v>51</v>
      </c>
      <c r="Z2055" t="n">
        <v>32</v>
      </c>
      <c r="AA2055" t="n">
        <v>33</v>
      </c>
      <c r="AB2055" t="n">
        <v>1</v>
      </c>
      <c r="AC2055" t="n">
        <v>1</v>
      </c>
      <c r="AD2055" t="n">
        <v>6</v>
      </c>
      <c r="AE2055" t="n">
        <v>6</v>
      </c>
      <c r="AF2055" t="n">
        <v>0</v>
      </c>
      <c r="AG2055" t="n">
        <v>0</v>
      </c>
      <c r="AH2055" t="n">
        <v>2</v>
      </c>
      <c r="AI2055" t="n">
        <v>2</v>
      </c>
      <c r="AJ2055" t="n">
        <v>4</v>
      </c>
      <c r="AK2055" t="n">
        <v>4</v>
      </c>
      <c r="AL2055" t="n">
        <v>0</v>
      </c>
      <c r="AM2055" t="n">
        <v>0</v>
      </c>
      <c r="AN2055" t="n">
        <v>0</v>
      </c>
      <c r="AO2055" t="n">
        <v>0</v>
      </c>
      <c r="AP2055" t="inlineStr">
        <is>
          <t>No</t>
        </is>
      </c>
      <c r="AQ2055" t="inlineStr">
        <is>
          <t>No</t>
        </is>
      </c>
      <c r="AS2055">
        <f>HYPERLINK("https://creighton-primo.hosted.exlibrisgroup.com/primo-explore/search?tab=default_tab&amp;search_scope=EVERYTHING&amp;vid=01CRU&amp;lang=en_US&amp;offset=0&amp;query=any,contains,991004174749702656","Catalog Record")</f>
        <v/>
      </c>
      <c r="AT2055">
        <f>HYPERLINK("http://www.worldcat.org/oclc/2594737","WorldCat Record")</f>
        <v/>
      </c>
      <c r="AU2055" t="inlineStr">
        <is>
          <t>5682385:fre</t>
        </is>
      </c>
      <c r="AV2055" t="inlineStr">
        <is>
          <t>2594737</t>
        </is>
      </c>
      <c r="AW2055" t="inlineStr">
        <is>
          <t>991004174749702656</t>
        </is>
      </c>
      <c r="AX2055" t="inlineStr">
        <is>
          <t>991004174749702656</t>
        </is>
      </c>
      <c r="AY2055" t="inlineStr">
        <is>
          <t>2265389290002656</t>
        </is>
      </c>
      <c r="AZ2055" t="inlineStr">
        <is>
          <t>BOOK</t>
        </is>
      </c>
      <c r="BC2055" t="inlineStr">
        <is>
          <t>32285000857507</t>
        </is>
      </c>
      <c r="BD2055" t="inlineStr">
        <is>
          <t>893624435</t>
        </is>
      </c>
    </row>
    <row r="2056">
      <c r="A2056" t="inlineStr">
        <is>
          <t>No</t>
        </is>
      </c>
      <c r="B2056" t="inlineStr">
        <is>
          <t>BX4700.C783 H8</t>
        </is>
      </c>
      <c r="C2056" t="inlineStr">
        <is>
          <t>0                      BX 4700000C  783                H  8</t>
        </is>
      </c>
      <c r="D2056" t="inlineStr">
        <is>
          <t>Saint Joseph Cottolengo : the "good canon" / by Henry Louis Hughes.</t>
        </is>
      </c>
      <c r="F2056" t="inlineStr">
        <is>
          <t>No</t>
        </is>
      </c>
      <c r="G2056" t="inlineStr">
        <is>
          <t>1</t>
        </is>
      </c>
      <c r="H2056" t="inlineStr">
        <is>
          <t>No</t>
        </is>
      </c>
      <c r="I2056" t="inlineStr">
        <is>
          <t>No</t>
        </is>
      </c>
      <c r="J2056" t="inlineStr">
        <is>
          <t>0</t>
        </is>
      </c>
      <c r="K2056" t="inlineStr">
        <is>
          <t>Hughes, Henry Louis.</t>
        </is>
      </c>
      <c r="L2056" t="inlineStr">
        <is>
          <t>St. Louis : B. Herder, [n.d.]</t>
        </is>
      </c>
      <c r="M2056" t="inlineStr">
        <is>
          <t>1934</t>
        </is>
      </c>
      <c r="O2056" t="inlineStr">
        <is>
          <t>eng</t>
        </is>
      </c>
      <c r="P2056" t="inlineStr">
        <is>
          <t>mou</t>
        </is>
      </c>
      <c r="R2056" t="inlineStr">
        <is>
          <t xml:space="preserve">BX </t>
        </is>
      </c>
      <c r="S2056" t="n">
        <v>0</v>
      </c>
      <c r="T2056" t="n">
        <v>0</v>
      </c>
      <c r="U2056" t="inlineStr">
        <is>
          <t>2009-03-11</t>
        </is>
      </c>
      <c r="V2056" t="inlineStr">
        <is>
          <t>2009-03-11</t>
        </is>
      </c>
      <c r="W2056" t="inlineStr">
        <is>
          <t>1991-11-25</t>
        </is>
      </c>
      <c r="X2056" t="inlineStr">
        <is>
          <t>1991-11-25</t>
        </is>
      </c>
      <c r="Y2056" t="n">
        <v>19</v>
      </c>
      <c r="Z2056" t="n">
        <v>14</v>
      </c>
      <c r="AA2056" t="n">
        <v>19</v>
      </c>
      <c r="AB2056" t="n">
        <v>2</v>
      </c>
      <c r="AC2056" t="n">
        <v>2</v>
      </c>
      <c r="AD2056" t="n">
        <v>4</v>
      </c>
      <c r="AE2056" t="n">
        <v>4</v>
      </c>
      <c r="AF2056" t="n">
        <v>1</v>
      </c>
      <c r="AG2056" t="n">
        <v>1</v>
      </c>
      <c r="AH2056" t="n">
        <v>2</v>
      </c>
      <c r="AI2056" t="n">
        <v>2</v>
      </c>
      <c r="AJ2056" t="n">
        <v>3</v>
      </c>
      <c r="AK2056" t="n">
        <v>3</v>
      </c>
      <c r="AL2056" t="n">
        <v>0</v>
      </c>
      <c r="AM2056" t="n">
        <v>0</v>
      </c>
      <c r="AN2056" t="n">
        <v>0</v>
      </c>
      <c r="AO2056" t="n">
        <v>0</v>
      </c>
      <c r="AP2056" t="inlineStr">
        <is>
          <t>No</t>
        </is>
      </c>
      <c r="AQ2056" t="inlineStr">
        <is>
          <t>No</t>
        </is>
      </c>
      <c r="AS2056">
        <f>HYPERLINK("https://creighton-primo.hosted.exlibrisgroup.com/primo-explore/search?tab=default_tab&amp;search_scope=EVERYTHING&amp;vid=01CRU&amp;lang=en_US&amp;offset=0&amp;query=any,contains,991000199849702656","Catalog Record")</f>
        <v/>
      </c>
      <c r="AT2056">
        <f>HYPERLINK("http://www.worldcat.org/oclc/9463409","WorldCat Record")</f>
        <v/>
      </c>
      <c r="AU2056" t="inlineStr">
        <is>
          <t>933799293:eng</t>
        </is>
      </c>
      <c r="AV2056" t="inlineStr">
        <is>
          <t>9463409</t>
        </is>
      </c>
      <c r="AW2056" t="inlineStr">
        <is>
          <t>991000199849702656</t>
        </is>
      </c>
      <c r="AX2056" t="inlineStr">
        <is>
          <t>991000199849702656</t>
        </is>
      </c>
      <c r="AY2056" t="inlineStr">
        <is>
          <t>2265662620002656</t>
        </is>
      </c>
      <c r="AZ2056" t="inlineStr">
        <is>
          <t>BOOK</t>
        </is>
      </c>
      <c r="BC2056" t="inlineStr">
        <is>
          <t>32285000857572</t>
        </is>
      </c>
      <c r="BD2056" t="inlineStr">
        <is>
          <t>893345472</t>
        </is>
      </c>
    </row>
    <row r="2057">
      <c r="A2057" t="inlineStr">
        <is>
          <t>No</t>
        </is>
      </c>
      <c r="B2057" t="inlineStr">
        <is>
          <t>BX4700.C788 M37 1921</t>
        </is>
      </c>
      <c r="C2057" t="inlineStr">
        <is>
          <t>0                      BX 4700000C  788                M  37          1921</t>
        </is>
      </c>
      <c r="D2057" t="inlineStr">
        <is>
          <t>Marie Thérèse Couderc, foundress of the Congregation of Our Lady of the Cenacle / by C.C. Martindale.</t>
        </is>
      </c>
      <c r="F2057" t="inlineStr">
        <is>
          <t>No</t>
        </is>
      </c>
      <c r="G2057" t="inlineStr">
        <is>
          <t>1</t>
        </is>
      </c>
      <c r="H2057" t="inlineStr">
        <is>
          <t>No</t>
        </is>
      </c>
      <c r="I2057" t="inlineStr">
        <is>
          <t>No</t>
        </is>
      </c>
      <c r="J2057" t="inlineStr">
        <is>
          <t>0</t>
        </is>
      </c>
      <c r="K2057" t="inlineStr">
        <is>
          <t>Martindale, C. C. (Cyril Charlie), 1879-1963.</t>
        </is>
      </c>
      <c r="L2057" t="inlineStr">
        <is>
          <t>London : Burns, Oates &amp; Washbourne, 1921.</t>
        </is>
      </c>
      <c r="M2057" t="inlineStr">
        <is>
          <t>1921</t>
        </is>
      </c>
      <c r="O2057" t="inlineStr">
        <is>
          <t>eng</t>
        </is>
      </c>
      <c r="P2057" t="inlineStr">
        <is>
          <t>enk</t>
        </is>
      </c>
      <c r="Q2057" t="inlineStr">
        <is>
          <t>The Household of God. Kings' daughters ; 1</t>
        </is>
      </c>
      <c r="R2057" t="inlineStr">
        <is>
          <t xml:space="preserve">BX </t>
        </is>
      </c>
      <c r="S2057" t="n">
        <v>1</v>
      </c>
      <c r="T2057" t="n">
        <v>1</v>
      </c>
      <c r="U2057" t="inlineStr">
        <is>
          <t>1992-12-02</t>
        </is>
      </c>
      <c r="V2057" t="inlineStr">
        <is>
          <t>1992-12-02</t>
        </is>
      </c>
      <c r="W2057" t="inlineStr">
        <is>
          <t>1991-11-25</t>
        </is>
      </c>
      <c r="X2057" t="inlineStr">
        <is>
          <t>1991-11-25</t>
        </is>
      </c>
      <c r="Y2057" t="n">
        <v>25</v>
      </c>
      <c r="Z2057" t="n">
        <v>17</v>
      </c>
      <c r="AA2057" t="n">
        <v>27</v>
      </c>
      <c r="AB2057" t="n">
        <v>1</v>
      </c>
      <c r="AC2057" t="n">
        <v>1</v>
      </c>
      <c r="AD2057" t="n">
        <v>6</v>
      </c>
      <c r="AE2057" t="n">
        <v>6</v>
      </c>
      <c r="AF2057" t="n">
        <v>0</v>
      </c>
      <c r="AG2057" t="n">
        <v>0</v>
      </c>
      <c r="AH2057" t="n">
        <v>1</v>
      </c>
      <c r="AI2057" t="n">
        <v>1</v>
      </c>
      <c r="AJ2057" t="n">
        <v>6</v>
      </c>
      <c r="AK2057" t="n">
        <v>6</v>
      </c>
      <c r="AL2057" t="n">
        <v>0</v>
      </c>
      <c r="AM2057" t="n">
        <v>0</v>
      </c>
      <c r="AN2057" t="n">
        <v>0</v>
      </c>
      <c r="AO2057" t="n">
        <v>0</v>
      </c>
      <c r="AP2057" t="inlineStr">
        <is>
          <t>No</t>
        </is>
      </c>
      <c r="AQ2057" t="inlineStr">
        <is>
          <t>No</t>
        </is>
      </c>
      <c r="AS2057">
        <f>HYPERLINK("https://creighton-primo.hosted.exlibrisgroup.com/primo-explore/search?tab=default_tab&amp;search_scope=EVERYTHING&amp;vid=01CRU&amp;lang=en_US&amp;offset=0&amp;query=any,contains,991005201149702656","Catalog Record")</f>
        <v/>
      </c>
      <c r="AT2057">
        <f>HYPERLINK("http://www.worldcat.org/oclc/8082632","WorldCat Record")</f>
        <v/>
      </c>
      <c r="AU2057" t="inlineStr">
        <is>
          <t>499539834:eng</t>
        </is>
      </c>
      <c r="AV2057" t="inlineStr">
        <is>
          <t>8082632</t>
        </is>
      </c>
      <c r="AW2057" t="inlineStr">
        <is>
          <t>991005201149702656</t>
        </is>
      </c>
      <c r="AX2057" t="inlineStr">
        <is>
          <t>991005201149702656</t>
        </is>
      </c>
      <c r="AY2057" t="inlineStr">
        <is>
          <t>2272367500002656</t>
        </is>
      </c>
      <c r="AZ2057" t="inlineStr">
        <is>
          <t>BOOK</t>
        </is>
      </c>
      <c r="BC2057" t="inlineStr">
        <is>
          <t>32285000857580</t>
        </is>
      </c>
      <c r="BD2057" t="inlineStr">
        <is>
          <t>893707434</t>
        </is>
      </c>
    </row>
    <row r="2058">
      <c r="A2058" t="inlineStr">
        <is>
          <t>No</t>
        </is>
      </c>
      <c r="B2058" t="inlineStr">
        <is>
          <t>BX4700.C8 C6 1904</t>
        </is>
      </c>
      <c r="C2058" t="inlineStr">
        <is>
          <t>0                      BX 4700000C  8                  C  6           1904</t>
        </is>
      </c>
      <c r="D2058" t="inlineStr">
        <is>
          <t>Life of Saint Cuthbert.</t>
        </is>
      </c>
      <c r="F2058" t="inlineStr">
        <is>
          <t>No</t>
        </is>
      </c>
      <c r="G2058" t="inlineStr">
        <is>
          <t>1</t>
        </is>
      </c>
      <c r="H2058" t="inlineStr">
        <is>
          <t>No</t>
        </is>
      </c>
      <c r="I2058" t="inlineStr">
        <is>
          <t>No</t>
        </is>
      </c>
      <c r="J2058" t="inlineStr">
        <is>
          <t>0</t>
        </is>
      </c>
      <c r="K2058" t="inlineStr">
        <is>
          <t>Consitt, Edward.</t>
        </is>
      </c>
      <c r="L2058" t="inlineStr">
        <is>
          <t>London : Burns &amp; Oates, 1904.</t>
        </is>
      </c>
      <c r="M2058" t="inlineStr">
        <is>
          <t>1904</t>
        </is>
      </c>
      <c r="O2058" t="inlineStr">
        <is>
          <t>eng</t>
        </is>
      </c>
      <c r="P2058" t="inlineStr">
        <is>
          <t>enk</t>
        </is>
      </c>
      <c r="R2058" t="inlineStr">
        <is>
          <t xml:space="preserve">BX </t>
        </is>
      </c>
      <c r="S2058" t="n">
        <v>5</v>
      </c>
      <c r="T2058" t="n">
        <v>5</v>
      </c>
      <c r="U2058" t="inlineStr">
        <is>
          <t>1998-05-02</t>
        </is>
      </c>
      <c r="V2058" t="inlineStr">
        <is>
          <t>1998-05-02</t>
        </is>
      </c>
      <c r="W2058" t="inlineStr">
        <is>
          <t>1991-11-25</t>
        </is>
      </c>
      <c r="X2058" t="inlineStr">
        <is>
          <t>1991-11-25</t>
        </is>
      </c>
      <c r="Y2058" t="n">
        <v>12</v>
      </c>
      <c r="Z2058" t="n">
        <v>6</v>
      </c>
      <c r="AA2058" t="n">
        <v>27</v>
      </c>
      <c r="AB2058" t="n">
        <v>1</v>
      </c>
      <c r="AC2058" t="n">
        <v>1</v>
      </c>
      <c r="AD2058" t="n">
        <v>1</v>
      </c>
      <c r="AE2058" t="n">
        <v>6</v>
      </c>
      <c r="AF2058" t="n">
        <v>0</v>
      </c>
      <c r="AG2058" t="n">
        <v>0</v>
      </c>
      <c r="AH2058" t="n">
        <v>1</v>
      </c>
      <c r="AI2058" t="n">
        <v>3</v>
      </c>
      <c r="AJ2058" t="n">
        <v>0</v>
      </c>
      <c r="AK2058" t="n">
        <v>4</v>
      </c>
      <c r="AL2058" t="n">
        <v>0</v>
      </c>
      <c r="AM2058" t="n">
        <v>0</v>
      </c>
      <c r="AN2058" t="n">
        <v>0</v>
      </c>
      <c r="AO2058" t="n">
        <v>0</v>
      </c>
      <c r="AP2058" t="inlineStr">
        <is>
          <t>No</t>
        </is>
      </c>
      <c r="AQ2058" t="inlineStr">
        <is>
          <t>No</t>
        </is>
      </c>
      <c r="AS2058">
        <f>HYPERLINK("https://creighton-primo.hosted.exlibrisgroup.com/primo-explore/search?tab=default_tab&amp;search_scope=EVERYTHING&amp;vid=01CRU&amp;lang=en_US&amp;offset=0&amp;query=any,contains,991004327349702656","Catalog Record")</f>
        <v/>
      </c>
      <c r="AT2058">
        <f>HYPERLINK("http://www.worldcat.org/oclc/635968461","WorldCat Record")</f>
        <v/>
      </c>
      <c r="AU2058" t="inlineStr">
        <is>
          <t>8075594:eng</t>
        </is>
      </c>
      <c r="AV2058" t="inlineStr">
        <is>
          <t>635968461</t>
        </is>
      </c>
      <c r="AW2058" t="inlineStr">
        <is>
          <t>991004327349702656</t>
        </is>
      </c>
      <c r="AX2058" t="inlineStr">
        <is>
          <t>991004327349702656</t>
        </is>
      </c>
      <c r="AY2058" t="inlineStr">
        <is>
          <t>2260147280002656</t>
        </is>
      </c>
      <c r="AZ2058" t="inlineStr">
        <is>
          <t>BOOK</t>
        </is>
      </c>
      <c r="BC2058" t="inlineStr">
        <is>
          <t>32285000857606</t>
        </is>
      </c>
      <c r="BD2058" t="inlineStr">
        <is>
          <t>893525951</t>
        </is>
      </c>
    </row>
    <row r="2059">
      <c r="A2059" t="inlineStr">
        <is>
          <t>No</t>
        </is>
      </c>
      <c r="B2059" t="inlineStr">
        <is>
          <t>BX4700.D7 K6 1952</t>
        </is>
      </c>
      <c r="C2059" t="inlineStr">
        <is>
          <t>0                      BX 4700000D  7                  K  6           1952</t>
        </is>
      </c>
      <c r="D2059" t="inlineStr">
        <is>
          <t>The knighthood of truth / by Raymond Bruckberger ; translated by Richard T. Murphy and Celestine Walsh.</t>
        </is>
      </c>
      <c r="F2059" t="inlineStr">
        <is>
          <t>No</t>
        </is>
      </c>
      <c r="G2059" t="inlineStr">
        <is>
          <t>1</t>
        </is>
      </c>
      <c r="H2059" t="inlineStr">
        <is>
          <t>No</t>
        </is>
      </c>
      <c r="I2059" t="inlineStr">
        <is>
          <t>No</t>
        </is>
      </c>
      <c r="J2059" t="inlineStr">
        <is>
          <t>0</t>
        </is>
      </c>
      <c r="K2059" t="inlineStr">
        <is>
          <t>Bruckberger, R.-L. (Raymond-Léopold), 1907-1998.</t>
        </is>
      </c>
      <c r="L2059" t="inlineStr">
        <is>
          <t>Chicago : Dominican Fathers, c1952.</t>
        </is>
      </c>
      <c r="M2059" t="inlineStr">
        <is>
          <t>1952</t>
        </is>
      </c>
      <c r="O2059" t="inlineStr">
        <is>
          <t>eng</t>
        </is>
      </c>
      <c r="P2059" t="inlineStr">
        <is>
          <t>ilu</t>
        </is>
      </c>
      <c r="R2059" t="inlineStr">
        <is>
          <t xml:space="preserve">BX </t>
        </is>
      </c>
      <c r="S2059" t="n">
        <v>4</v>
      </c>
      <c r="T2059" t="n">
        <v>4</v>
      </c>
      <c r="U2059" t="inlineStr">
        <is>
          <t>1994-04-19</t>
        </is>
      </c>
      <c r="V2059" t="inlineStr">
        <is>
          <t>1994-04-19</t>
        </is>
      </c>
      <c r="W2059" t="inlineStr">
        <is>
          <t>1991-11-25</t>
        </is>
      </c>
      <c r="X2059" t="inlineStr">
        <is>
          <t>1991-11-25</t>
        </is>
      </c>
      <c r="Y2059" t="n">
        <v>9</v>
      </c>
      <c r="Z2059" t="n">
        <v>9</v>
      </c>
      <c r="AA2059" t="n">
        <v>27</v>
      </c>
      <c r="AB2059" t="n">
        <v>1</v>
      </c>
      <c r="AC2059" t="n">
        <v>1</v>
      </c>
      <c r="AD2059" t="n">
        <v>1</v>
      </c>
      <c r="AE2059" t="n">
        <v>5</v>
      </c>
      <c r="AF2059" t="n">
        <v>1</v>
      </c>
      <c r="AG2059" t="n">
        <v>2</v>
      </c>
      <c r="AH2059" t="n">
        <v>1</v>
      </c>
      <c r="AI2059" t="n">
        <v>3</v>
      </c>
      <c r="AJ2059" t="n">
        <v>0</v>
      </c>
      <c r="AK2059" t="n">
        <v>3</v>
      </c>
      <c r="AL2059" t="n">
        <v>0</v>
      </c>
      <c r="AM2059" t="n">
        <v>0</v>
      </c>
      <c r="AN2059" t="n">
        <v>0</v>
      </c>
      <c r="AO2059" t="n">
        <v>0</v>
      </c>
      <c r="AP2059" t="inlineStr">
        <is>
          <t>No</t>
        </is>
      </c>
      <c r="AQ2059" t="inlineStr">
        <is>
          <t>No</t>
        </is>
      </c>
      <c r="AS2059">
        <f>HYPERLINK("https://creighton-primo.hosted.exlibrisgroup.com/primo-explore/search?tab=default_tab&amp;search_scope=EVERYTHING&amp;vid=01CRU&amp;lang=en_US&amp;offset=0&amp;query=any,contains,991005201699702656","Catalog Record")</f>
        <v/>
      </c>
      <c r="AT2059">
        <f>HYPERLINK("http://www.worldcat.org/oclc/8089398","WorldCat Record")</f>
        <v/>
      </c>
      <c r="AU2059" t="inlineStr">
        <is>
          <t>426013754:eng</t>
        </is>
      </c>
      <c r="AV2059" t="inlineStr">
        <is>
          <t>8089398</t>
        </is>
      </c>
      <c r="AW2059" t="inlineStr">
        <is>
          <t>991005201699702656</t>
        </is>
      </c>
      <c r="AX2059" t="inlineStr">
        <is>
          <t>991005201699702656</t>
        </is>
      </c>
      <c r="AY2059" t="inlineStr">
        <is>
          <t>2256699040002656</t>
        </is>
      </c>
      <c r="AZ2059" t="inlineStr">
        <is>
          <t>BOOK</t>
        </is>
      </c>
      <c r="BC2059" t="inlineStr">
        <is>
          <t>32285000857671</t>
        </is>
      </c>
      <c r="BD2059" t="inlineStr">
        <is>
          <t>893688766</t>
        </is>
      </c>
    </row>
    <row r="2060">
      <c r="A2060" t="inlineStr">
        <is>
          <t>No</t>
        </is>
      </c>
      <c r="B2060" t="inlineStr">
        <is>
          <t>BX4700.D7 M32</t>
        </is>
      </c>
      <c r="C2060" t="inlineStr">
        <is>
          <t>0                      BX 4700000D  7                  M  32</t>
        </is>
      </c>
      <c r="D2060" t="inlineStr">
        <is>
          <t>St. Dominic and his work, by Pierre Mandonnet, O. P., translated by Sister Mary Benedicta Larkin, O. P.</t>
        </is>
      </c>
      <c r="F2060" t="inlineStr">
        <is>
          <t>No</t>
        </is>
      </c>
      <c r="G2060" t="inlineStr">
        <is>
          <t>1</t>
        </is>
      </c>
      <c r="H2060" t="inlineStr">
        <is>
          <t>No</t>
        </is>
      </c>
      <c r="I2060" t="inlineStr">
        <is>
          <t>No</t>
        </is>
      </c>
      <c r="J2060" t="inlineStr">
        <is>
          <t>0</t>
        </is>
      </c>
      <c r="K2060" t="inlineStr">
        <is>
          <t>Mandonnet, Pierre, 1858-1936.</t>
        </is>
      </c>
      <c r="L2060" t="inlineStr">
        <is>
          <t>St. Louis, Mo., and London, B. Herder book co., 1944.</t>
        </is>
      </c>
      <c r="M2060" t="inlineStr">
        <is>
          <t>1944</t>
        </is>
      </c>
      <c r="O2060" t="inlineStr">
        <is>
          <t>eng</t>
        </is>
      </c>
      <c r="P2060" t="inlineStr">
        <is>
          <t xml:space="preserve">xx </t>
        </is>
      </c>
      <c r="R2060" t="inlineStr">
        <is>
          <t xml:space="preserve">BX </t>
        </is>
      </c>
      <c r="S2060" t="n">
        <v>7</v>
      </c>
      <c r="T2060" t="n">
        <v>7</v>
      </c>
      <c r="U2060" t="inlineStr">
        <is>
          <t>1998-09-30</t>
        </is>
      </c>
      <c r="V2060" t="inlineStr">
        <is>
          <t>1998-09-30</t>
        </is>
      </c>
      <c r="W2060" t="inlineStr">
        <is>
          <t>1991-11-25</t>
        </is>
      </c>
      <c r="X2060" t="inlineStr">
        <is>
          <t>1991-11-25</t>
        </is>
      </c>
      <c r="Y2060" t="n">
        <v>214</v>
      </c>
      <c r="Z2060" t="n">
        <v>193</v>
      </c>
      <c r="AA2060" t="n">
        <v>262</v>
      </c>
      <c r="AB2060" t="n">
        <v>3</v>
      </c>
      <c r="AC2060" t="n">
        <v>4</v>
      </c>
      <c r="AD2060" t="n">
        <v>22</v>
      </c>
      <c r="AE2060" t="n">
        <v>28</v>
      </c>
      <c r="AF2060" t="n">
        <v>6</v>
      </c>
      <c r="AG2060" t="n">
        <v>9</v>
      </c>
      <c r="AH2060" t="n">
        <v>7</v>
      </c>
      <c r="AI2060" t="n">
        <v>7</v>
      </c>
      <c r="AJ2060" t="n">
        <v>17</v>
      </c>
      <c r="AK2060" t="n">
        <v>21</v>
      </c>
      <c r="AL2060" t="n">
        <v>0</v>
      </c>
      <c r="AM2060" t="n">
        <v>1</v>
      </c>
      <c r="AN2060" t="n">
        <v>0</v>
      </c>
      <c r="AO2060" t="n">
        <v>0</v>
      </c>
      <c r="AP2060" t="inlineStr">
        <is>
          <t>No</t>
        </is>
      </c>
      <c r="AQ2060" t="inlineStr">
        <is>
          <t>No</t>
        </is>
      </c>
      <c r="AR2060">
        <f>HYPERLINK("http://catalog.hathitrust.org/Record/001591595","HathiTrust Record")</f>
        <v/>
      </c>
      <c r="AS2060">
        <f>HYPERLINK("https://creighton-primo.hosted.exlibrisgroup.com/primo-explore/search?tab=default_tab&amp;search_scope=EVERYTHING&amp;vid=01CRU&amp;lang=en_US&amp;offset=0&amp;query=any,contains,991004417479702656","Catalog Record")</f>
        <v/>
      </c>
      <c r="AT2060">
        <f>HYPERLINK("http://www.worldcat.org/oclc/3369434","WorldCat Record")</f>
        <v/>
      </c>
      <c r="AU2060" t="inlineStr">
        <is>
          <t>3901034547:eng</t>
        </is>
      </c>
      <c r="AV2060" t="inlineStr">
        <is>
          <t>3369434</t>
        </is>
      </c>
      <c r="AW2060" t="inlineStr">
        <is>
          <t>991004417479702656</t>
        </is>
      </c>
      <c r="AX2060" t="inlineStr">
        <is>
          <t>991004417479702656</t>
        </is>
      </c>
      <c r="AY2060" t="inlineStr">
        <is>
          <t>2260204250002656</t>
        </is>
      </c>
      <c r="AZ2060" t="inlineStr">
        <is>
          <t>BOOK</t>
        </is>
      </c>
      <c r="BC2060" t="inlineStr">
        <is>
          <t>32285000857697</t>
        </is>
      </c>
      <c r="BD2060" t="inlineStr">
        <is>
          <t>893319197</t>
        </is>
      </c>
    </row>
    <row r="2061">
      <c r="A2061" t="inlineStr">
        <is>
          <t>No</t>
        </is>
      </c>
      <c r="B2061" t="inlineStr">
        <is>
          <t>BX4700.D7 V513 1964</t>
        </is>
      </c>
      <c r="C2061" t="inlineStr">
        <is>
          <t>0                      BX 4700000D  7                  V  513         1964</t>
        </is>
      </c>
      <c r="D2061" t="inlineStr">
        <is>
          <t>Saint Dominic and his times / by M.-H. Vicaire. Translated by Kathleen Pond.</t>
        </is>
      </c>
      <c r="F2061" t="inlineStr">
        <is>
          <t>No</t>
        </is>
      </c>
      <c r="G2061" t="inlineStr">
        <is>
          <t>1</t>
        </is>
      </c>
      <c r="H2061" t="inlineStr">
        <is>
          <t>No</t>
        </is>
      </c>
      <c r="I2061" t="inlineStr">
        <is>
          <t>No</t>
        </is>
      </c>
      <c r="J2061" t="inlineStr">
        <is>
          <t>0</t>
        </is>
      </c>
      <c r="K2061" t="inlineStr">
        <is>
          <t>Vicaire, M.-H. (Marie-Humbert), 1906-1993.</t>
        </is>
      </c>
      <c r="L2061" t="inlineStr">
        <is>
          <t>New York : McGraw-Hill, [c1964]</t>
        </is>
      </c>
      <c r="M2061" t="inlineStr">
        <is>
          <t>1964</t>
        </is>
      </c>
      <c r="O2061" t="inlineStr">
        <is>
          <t>eng</t>
        </is>
      </c>
      <c r="P2061" t="inlineStr">
        <is>
          <t>nyu</t>
        </is>
      </c>
      <c r="R2061" t="inlineStr">
        <is>
          <t xml:space="preserve">BX </t>
        </is>
      </c>
      <c r="S2061" t="n">
        <v>6</v>
      </c>
      <c r="T2061" t="n">
        <v>6</v>
      </c>
      <c r="U2061" t="inlineStr">
        <is>
          <t>2005-07-11</t>
        </is>
      </c>
      <c r="V2061" t="inlineStr">
        <is>
          <t>2005-07-11</t>
        </is>
      </c>
      <c r="W2061" t="inlineStr">
        <is>
          <t>1991-11-25</t>
        </is>
      </c>
      <c r="X2061" t="inlineStr">
        <is>
          <t>1991-11-25</t>
        </is>
      </c>
      <c r="Y2061" t="n">
        <v>487</v>
      </c>
      <c r="Z2061" t="n">
        <v>454</v>
      </c>
      <c r="AA2061" t="n">
        <v>469</v>
      </c>
      <c r="AB2061" t="n">
        <v>3</v>
      </c>
      <c r="AC2061" t="n">
        <v>3</v>
      </c>
      <c r="AD2061" t="n">
        <v>33</v>
      </c>
      <c r="AE2061" t="n">
        <v>33</v>
      </c>
      <c r="AF2061" t="n">
        <v>15</v>
      </c>
      <c r="AG2061" t="n">
        <v>15</v>
      </c>
      <c r="AH2061" t="n">
        <v>6</v>
      </c>
      <c r="AI2061" t="n">
        <v>6</v>
      </c>
      <c r="AJ2061" t="n">
        <v>20</v>
      </c>
      <c r="AK2061" t="n">
        <v>20</v>
      </c>
      <c r="AL2061" t="n">
        <v>1</v>
      </c>
      <c r="AM2061" t="n">
        <v>1</v>
      </c>
      <c r="AN2061" t="n">
        <v>0</v>
      </c>
      <c r="AO2061" t="n">
        <v>0</v>
      </c>
      <c r="AP2061" t="inlineStr">
        <is>
          <t>No</t>
        </is>
      </c>
      <c r="AQ2061" t="inlineStr">
        <is>
          <t>Yes</t>
        </is>
      </c>
      <c r="AR2061">
        <f>HYPERLINK("http://catalog.hathitrust.org/Record/001591597","HathiTrust Record")</f>
        <v/>
      </c>
      <c r="AS2061">
        <f>HYPERLINK("https://creighton-primo.hosted.exlibrisgroup.com/primo-explore/search?tab=default_tab&amp;search_scope=EVERYTHING&amp;vid=01CRU&amp;lang=en_US&amp;offset=0&amp;query=any,contains,991002158299702656","Catalog Record")</f>
        <v/>
      </c>
      <c r="AT2061">
        <f>HYPERLINK("http://www.worldcat.org/oclc/273316","WorldCat Record")</f>
        <v/>
      </c>
      <c r="AU2061" t="inlineStr">
        <is>
          <t>8908311865:eng</t>
        </is>
      </c>
      <c r="AV2061" t="inlineStr">
        <is>
          <t>273316</t>
        </is>
      </c>
      <c r="AW2061" t="inlineStr">
        <is>
          <t>991002158299702656</t>
        </is>
      </c>
      <c r="AX2061" t="inlineStr">
        <is>
          <t>991002158299702656</t>
        </is>
      </c>
      <c r="AY2061" t="inlineStr">
        <is>
          <t>2262014400002656</t>
        </is>
      </c>
      <c r="AZ2061" t="inlineStr">
        <is>
          <t>BOOK</t>
        </is>
      </c>
      <c r="BC2061" t="inlineStr">
        <is>
          <t>32285000857705</t>
        </is>
      </c>
      <c r="BD2061" t="inlineStr">
        <is>
          <t>893516948</t>
        </is>
      </c>
    </row>
    <row r="2062">
      <c r="A2062" t="inlineStr">
        <is>
          <t>No</t>
        </is>
      </c>
      <c r="B2062" t="inlineStr">
        <is>
          <t>BX4700.E4 A53 1963</t>
        </is>
      </c>
      <c r="C2062" t="inlineStr">
        <is>
          <t>0                      BX 4700000E  4                  A  53          1963</t>
        </is>
      </c>
      <c r="D2062" t="inlineStr">
        <is>
          <t>Gold tried by fire : St. Elizabeth of Hungary / Translated by Paul J. Oligny and Sister Venard O'Donnell.</t>
        </is>
      </c>
      <c r="F2062" t="inlineStr">
        <is>
          <t>No</t>
        </is>
      </c>
      <c r="G2062" t="inlineStr">
        <is>
          <t>1</t>
        </is>
      </c>
      <c r="H2062" t="inlineStr">
        <is>
          <t>No</t>
        </is>
      </c>
      <c r="I2062" t="inlineStr">
        <is>
          <t>No</t>
        </is>
      </c>
      <c r="J2062" t="inlineStr">
        <is>
          <t>0</t>
        </is>
      </c>
      <c r="K2062" t="inlineStr">
        <is>
          <t>Ancelet-Hustache, Jeanne.</t>
        </is>
      </c>
      <c r="L2062" t="inlineStr">
        <is>
          <t>Chicago : Franciscan Herald Press, [1963]</t>
        </is>
      </c>
      <c r="M2062" t="inlineStr">
        <is>
          <t>1963</t>
        </is>
      </c>
      <c r="O2062" t="inlineStr">
        <is>
          <t>eng</t>
        </is>
      </c>
      <c r="P2062" t="inlineStr">
        <is>
          <t>ilu</t>
        </is>
      </c>
      <c r="R2062" t="inlineStr">
        <is>
          <t xml:space="preserve">BX </t>
        </is>
      </c>
      <c r="S2062" t="n">
        <v>2</v>
      </c>
      <c r="T2062" t="n">
        <v>2</v>
      </c>
      <c r="U2062" t="inlineStr">
        <is>
          <t>1992-12-28</t>
        </is>
      </c>
      <c r="V2062" t="inlineStr">
        <is>
          <t>1992-12-28</t>
        </is>
      </c>
      <c r="W2062" t="inlineStr">
        <is>
          <t>1991-11-25</t>
        </is>
      </c>
      <c r="X2062" t="inlineStr">
        <is>
          <t>1991-11-25</t>
        </is>
      </c>
      <c r="Y2062" t="n">
        <v>84</v>
      </c>
      <c r="Z2062" t="n">
        <v>82</v>
      </c>
      <c r="AA2062" t="n">
        <v>84</v>
      </c>
      <c r="AB2062" t="n">
        <v>1</v>
      </c>
      <c r="AC2062" t="n">
        <v>1</v>
      </c>
      <c r="AD2062" t="n">
        <v>12</v>
      </c>
      <c r="AE2062" t="n">
        <v>12</v>
      </c>
      <c r="AF2062" t="n">
        <v>3</v>
      </c>
      <c r="AG2062" t="n">
        <v>3</v>
      </c>
      <c r="AH2062" t="n">
        <v>2</v>
      </c>
      <c r="AI2062" t="n">
        <v>2</v>
      </c>
      <c r="AJ2062" t="n">
        <v>10</v>
      </c>
      <c r="AK2062" t="n">
        <v>10</v>
      </c>
      <c r="AL2062" t="n">
        <v>0</v>
      </c>
      <c r="AM2062" t="n">
        <v>0</v>
      </c>
      <c r="AN2062" t="n">
        <v>0</v>
      </c>
      <c r="AO2062" t="n">
        <v>0</v>
      </c>
      <c r="AP2062" t="inlineStr">
        <is>
          <t>No</t>
        </is>
      </c>
      <c r="AQ2062" t="inlineStr">
        <is>
          <t>Yes</t>
        </is>
      </c>
      <c r="AR2062">
        <f>HYPERLINK("http://catalog.hathitrust.org/Record/102629204","HathiTrust Record")</f>
        <v/>
      </c>
      <c r="AS2062">
        <f>HYPERLINK("https://creighton-primo.hosted.exlibrisgroup.com/primo-explore/search?tab=default_tab&amp;search_scope=EVERYTHING&amp;vid=01CRU&amp;lang=en_US&amp;offset=0&amp;query=any,contains,991004345579702656","Catalog Record")</f>
        <v/>
      </c>
      <c r="AT2062">
        <f>HYPERLINK("http://www.worldcat.org/oclc/3102180","WorldCat Record")</f>
        <v/>
      </c>
      <c r="AU2062" t="inlineStr">
        <is>
          <t>12584248:eng</t>
        </is>
      </c>
      <c r="AV2062" t="inlineStr">
        <is>
          <t>3102180</t>
        </is>
      </c>
      <c r="AW2062" t="inlineStr">
        <is>
          <t>991004345579702656</t>
        </is>
      </c>
      <c r="AX2062" t="inlineStr">
        <is>
          <t>991004345579702656</t>
        </is>
      </c>
      <c r="AY2062" t="inlineStr">
        <is>
          <t>2265984350002656</t>
        </is>
      </c>
      <c r="AZ2062" t="inlineStr">
        <is>
          <t>BOOK</t>
        </is>
      </c>
      <c r="BC2062" t="inlineStr">
        <is>
          <t>32285000857721</t>
        </is>
      </c>
      <c r="BD2062" t="inlineStr">
        <is>
          <t>893353347</t>
        </is>
      </c>
    </row>
    <row r="2063">
      <c r="A2063" t="inlineStr">
        <is>
          <t>No</t>
        </is>
      </c>
      <c r="B2063" t="inlineStr">
        <is>
          <t>BX4700.E4 C6 1933</t>
        </is>
      </c>
      <c r="C2063" t="inlineStr">
        <is>
          <t>0                      BX 4700000E  4                  C  6           1933</t>
        </is>
      </c>
      <c r="D2063" t="inlineStr">
        <is>
          <t>The nature of sanctity : a dialogue / by Idas Friederike Coudenhove.</t>
        </is>
      </c>
      <c r="F2063" t="inlineStr">
        <is>
          <t>No</t>
        </is>
      </c>
      <c r="G2063" t="inlineStr">
        <is>
          <t>1</t>
        </is>
      </c>
      <c r="H2063" t="inlineStr">
        <is>
          <t>No</t>
        </is>
      </c>
      <c r="I2063" t="inlineStr">
        <is>
          <t>No</t>
        </is>
      </c>
      <c r="J2063" t="inlineStr">
        <is>
          <t>0</t>
        </is>
      </c>
      <c r="K2063" t="inlineStr">
        <is>
          <t>Görres, Ida Friederike, 1901-1971.</t>
        </is>
      </c>
      <c r="L2063" t="inlineStr">
        <is>
          <t>London ; New York : Sheed &amp; Ward, 1933.</t>
        </is>
      </c>
      <c r="M2063" t="inlineStr">
        <is>
          <t>1933</t>
        </is>
      </c>
      <c r="O2063" t="inlineStr">
        <is>
          <t>eng</t>
        </is>
      </c>
      <c r="P2063" t="inlineStr">
        <is>
          <t xml:space="preserve">xx </t>
        </is>
      </c>
      <c r="R2063" t="inlineStr">
        <is>
          <t xml:space="preserve">BX </t>
        </is>
      </c>
      <c r="S2063" t="n">
        <v>1</v>
      </c>
      <c r="T2063" t="n">
        <v>1</v>
      </c>
      <c r="U2063" t="inlineStr">
        <is>
          <t>1992-12-04</t>
        </is>
      </c>
      <c r="V2063" t="inlineStr">
        <is>
          <t>1992-12-04</t>
        </is>
      </c>
      <c r="W2063" t="inlineStr">
        <is>
          <t>1991-11-25</t>
        </is>
      </c>
      <c r="X2063" t="inlineStr">
        <is>
          <t>1991-11-25</t>
        </is>
      </c>
      <c r="Y2063" t="n">
        <v>28</v>
      </c>
      <c r="Z2063" t="n">
        <v>26</v>
      </c>
      <c r="AA2063" t="n">
        <v>71</v>
      </c>
      <c r="AB2063" t="n">
        <v>1</v>
      </c>
      <c r="AC2063" t="n">
        <v>1</v>
      </c>
      <c r="AD2063" t="n">
        <v>5</v>
      </c>
      <c r="AE2063" t="n">
        <v>13</v>
      </c>
      <c r="AF2063" t="n">
        <v>2</v>
      </c>
      <c r="AG2063" t="n">
        <v>5</v>
      </c>
      <c r="AH2063" t="n">
        <v>0</v>
      </c>
      <c r="AI2063" t="n">
        <v>2</v>
      </c>
      <c r="AJ2063" t="n">
        <v>4</v>
      </c>
      <c r="AK2063" t="n">
        <v>10</v>
      </c>
      <c r="AL2063" t="n">
        <v>0</v>
      </c>
      <c r="AM2063" t="n">
        <v>0</v>
      </c>
      <c r="AN2063" t="n">
        <v>0</v>
      </c>
      <c r="AO2063" t="n">
        <v>0</v>
      </c>
      <c r="AP2063" t="inlineStr">
        <is>
          <t>No</t>
        </is>
      </c>
      <c r="AQ2063" t="inlineStr">
        <is>
          <t>No</t>
        </is>
      </c>
      <c r="AS2063">
        <f>HYPERLINK("https://creighton-primo.hosted.exlibrisgroup.com/primo-explore/search?tab=default_tab&amp;search_scope=EVERYTHING&amp;vid=01CRU&amp;lang=en_US&amp;offset=0&amp;query=any,contains,991004234879702656","Catalog Record")</f>
        <v/>
      </c>
      <c r="AT2063">
        <f>HYPERLINK("http://www.worldcat.org/oclc/2762249","WorldCat Record")</f>
        <v/>
      </c>
      <c r="AU2063" t="inlineStr">
        <is>
          <t>3271523:eng</t>
        </is>
      </c>
      <c r="AV2063" t="inlineStr">
        <is>
          <t>2762249</t>
        </is>
      </c>
      <c r="AW2063" t="inlineStr">
        <is>
          <t>991004234879702656</t>
        </is>
      </c>
      <c r="AX2063" t="inlineStr">
        <is>
          <t>991004234879702656</t>
        </is>
      </c>
      <c r="AY2063" t="inlineStr">
        <is>
          <t>2272378460002656</t>
        </is>
      </c>
      <c r="AZ2063" t="inlineStr">
        <is>
          <t>BOOK</t>
        </is>
      </c>
      <c r="BC2063" t="inlineStr">
        <is>
          <t>32285000857739</t>
        </is>
      </c>
      <c r="BD2063" t="inlineStr">
        <is>
          <t>893693700</t>
        </is>
      </c>
    </row>
    <row r="2064">
      <c r="A2064" t="inlineStr">
        <is>
          <t>No</t>
        </is>
      </c>
      <c r="B2064" t="inlineStr">
        <is>
          <t>BX4700.E4 O221 1997</t>
        </is>
      </c>
      <c r="C2064" t="inlineStr">
        <is>
          <t>0                      BX 4700000E  4                  O  221         1997</t>
        </is>
      </c>
      <c r="D2064" t="inlineStr">
        <is>
          <t>Poverty, my riches : a study of St. Elizabeth of Hungary 1207-1231 / Elizabeth Ruth Obbard.</t>
        </is>
      </c>
      <c r="F2064" t="inlineStr">
        <is>
          <t>No</t>
        </is>
      </c>
      <c r="G2064" t="inlineStr">
        <is>
          <t>1</t>
        </is>
      </c>
      <c r="H2064" t="inlineStr">
        <is>
          <t>No</t>
        </is>
      </c>
      <c r="I2064" t="inlineStr">
        <is>
          <t>No</t>
        </is>
      </c>
      <c r="J2064" t="inlineStr">
        <is>
          <t>0</t>
        </is>
      </c>
      <c r="K2064" t="inlineStr">
        <is>
          <t>Obbard, Elizabeth Ruth, 1945-</t>
        </is>
      </c>
      <c r="L2064" t="inlineStr">
        <is>
          <t>Southampton, Eng. : The Saint Austin Press, 1997.</t>
        </is>
      </c>
      <c r="M2064" t="inlineStr">
        <is>
          <t>1997</t>
        </is>
      </c>
      <c r="O2064" t="inlineStr">
        <is>
          <t>eng</t>
        </is>
      </c>
      <c r="P2064" t="inlineStr">
        <is>
          <t>enk</t>
        </is>
      </c>
      <c r="R2064" t="inlineStr">
        <is>
          <t xml:space="preserve">BX </t>
        </is>
      </c>
      <c r="S2064" t="n">
        <v>3</v>
      </c>
      <c r="T2064" t="n">
        <v>3</v>
      </c>
      <c r="U2064" t="inlineStr">
        <is>
          <t>2000-08-25</t>
        </is>
      </c>
      <c r="V2064" t="inlineStr">
        <is>
          <t>2000-08-25</t>
        </is>
      </c>
      <c r="W2064" t="inlineStr">
        <is>
          <t>1998-04-22</t>
        </is>
      </c>
      <c r="X2064" t="inlineStr">
        <is>
          <t>1998-04-22</t>
        </is>
      </c>
      <c r="Y2064" t="n">
        <v>50</v>
      </c>
      <c r="Z2064" t="n">
        <v>39</v>
      </c>
      <c r="AA2064" t="n">
        <v>39</v>
      </c>
      <c r="AB2064" t="n">
        <v>2</v>
      </c>
      <c r="AC2064" t="n">
        <v>2</v>
      </c>
      <c r="AD2064" t="n">
        <v>4</v>
      </c>
      <c r="AE2064" t="n">
        <v>4</v>
      </c>
      <c r="AF2064" t="n">
        <v>1</v>
      </c>
      <c r="AG2064" t="n">
        <v>1</v>
      </c>
      <c r="AH2064" t="n">
        <v>0</v>
      </c>
      <c r="AI2064" t="n">
        <v>0</v>
      </c>
      <c r="AJ2064" t="n">
        <v>3</v>
      </c>
      <c r="AK2064" t="n">
        <v>3</v>
      </c>
      <c r="AL2064" t="n">
        <v>0</v>
      </c>
      <c r="AM2064" t="n">
        <v>0</v>
      </c>
      <c r="AN2064" t="n">
        <v>0</v>
      </c>
      <c r="AO2064" t="n">
        <v>0</v>
      </c>
      <c r="AP2064" t="inlineStr">
        <is>
          <t>No</t>
        </is>
      </c>
      <c r="AQ2064" t="inlineStr">
        <is>
          <t>No</t>
        </is>
      </c>
      <c r="AS2064">
        <f>HYPERLINK("https://creighton-primo.hosted.exlibrisgroup.com/primo-explore/search?tab=default_tab&amp;search_scope=EVERYTHING&amp;vid=01CRU&amp;lang=en_US&amp;offset=0&amp;query=any,contains,991005428219702656","Catalog Record")</f>
        <v/>
      </c>
      <c r="AT2064">
        <f>HYPERLINK("http://www.worldcat.org/oclc/38982672","WorldCat Record")</f>
        <v/>
      </c>
      <c r="AU2064" t="inlineStr">
        <is>
          <t>5398496552:eng</t>
        </is>
      </c>
      <c r="AV2064" t="inlineStr">
        <is>
          <t>38982672</t>
        </is>
      </c>
      <c r="AW2064" t="inlineStr">
        <is>
          <t>991005428219702656</t>
        </is>
      </c>
      <c r="AX2064" t="inlineStr">
        <is>
          <t>991005428219702656</t>
        </is>
      </c>
      <c r="AY2064" t="inlineStr">
        <is>
          <t>2266712870002656</t>
        </is>
      </c>
      <c r="AZ2064" t="inlineStr">
        <is>
          <t>BOOK</t>
        </is>
      </c>
      <c r="BB2064" t="inlineStr">
        <is>
          <t>9781901157802</t>
        </is>
      </c>
      <c r="BC2064" t="inlineStr">
        <is>
          <t>32285003376430</t>
        </is>
      </c>
      <c r="BD2064" t="inlineStr">
        <is>
          <t>893412882</t>
        </is>
      </c>
    </row>
    <row r="2065">
      <c r="A2065" t="inlineStr">
        <is>
          <t>No</t>
        </is>
      </c>
      <c r="B2065" t="inlineStr">
        <is>
          <t>BX4700.E7 W313 1994</t>
        </is>
      </c>
      <c r="C2065" t="inlineStr">
        <is>
          <t>0                      BX 4700000E  7                  W  313         1994</t>
        </is>
      </c>
      <c r="D2065" t="inlineStr">
        <is>
          <t>The life of Aelred of Rievaulx / by Walter Daniel ; translated from the Latin and annotated by F.M. Powicke ; introduction by Marsha Dutton.</t>
        </is>
      </c>
      <c r="F2065" t="inlineStr">
        <is>
          <t>No</t>
        </is>
      </c>
      <c r="G2065" t="inlineStr">
        <is>
          <t>1</t>
        </is>
      </c>
      <c r="H2065" t="inlineStr">
        <is>
          <t>No</t>
        </is>
      </c>
      <c r="I2065" t="inlineStr">
        <is>
          <t>No</t>
        </is>
      </c>
      <c r="J2065" t="inlineStr">
        <is>
          <t>0</t>
        </is>
      </c>
      <c r="K2065" t="inlineStr">
        <is>
          <t>Walter Daniel, active 1150-1170.</t>
        </is>
      </c>
      <c r="L2065" t="inlineStr">
        <is>
          <t>Kalamazoo, Mich. : Cistercian Publications, c1994.</t>
        </is>
      </c>
      <c r="M2065" t="inlineStr">
        <is>
          <t>1994</t>
        </is>
      </c>
      <c r="O2065" t="inlineStr">
        <is>
          <t>eng</t>
        </is>
      </c>
      <c r="P2065" t="inlineStr">
        <is>
          <t>miu</t>
        </is>
      </c>
      <c r="Q2065" t="inlineStr">
        <is>
          <t>Cistercian Fathers series ; no. 57</t>
        </is>
      </c>
      <c r="R2065" t="inlineStr">
        <is>
          <t xml:space="preserve">BX </t>
        </is>
      </c>
      <c r="S2065" t="n">
        <v>2</v>
      </c>
      <c r="T2065" t="n">
        <v>2</v>
      </c>
      <c r="U2065" t="inlineStr">
        <is>
          <t>2008-07-14</t>
        </is>
      </c>
      <c r="V2065" t="inlineStr">
        <is>
          <t>2008-07-14</t>
        </is>
      </c>
      <c r="W2065" t="inlineStr">
        <is>
          <t>1999-01-21</t>
        </is>
      </c>
      <c r="X2065" t="inlineStr">
        <is>
          <t>1999-01-21</t>
        </is>
      </c>
      <c r="Y2065" t="n">
        <v>193</v>
      </c>
      <c r="Z2065" t="n">
        <v>162</v>
      </c>
      <c r="AA2065" t="n">
        <v>164</v>
      </c>
      <c r="AB2065" t="n">
        <v>1</v>
      </c>
      <c r="AC2065" t="n">
        <v>1</v>
      </c>
      <c r="AD2065" t="n">
        <v>15</v>
      </c>
      <c r="AE2065" t="n">
        <v>15</v>
      </c>
      <c r="AF2065" t="n">
        <v>6</v>
      </c>
      <c r="AG2065" t="n">
        <v>6</v>
      </c>
      <c r="AH2065" t="n">
        <v>4</v>
      </c>
      <c r="AI2065" t="n">
        <v>4</v>
      </c>
      <c r="AJ2065" t="n">
        <v>11</v>
      </c>
      <c r="AK2065" t="n">
        <v>11</v>
      </c>
      <c r="AL2065" t="n">
        <v>0</v>
      </c>
      <c r="AM2065" t="n">
        <v>0</v>
      </c>
      <c r="AN2065" t="n">
        <v>0</v>
      </c>
      <c r="AO2065" t="n">
        <v>0</v>
      </c>
      <c r="AP2065" t="inlineStr">
        <is>
          <t>No</t>
        </is>
      </c>
      <c r="AQ2065" t="inlineStr">
        <is>
          <t>Yes</t>
        </is>
      </c>
      <c r="AR2065">
        <f>HYPERLINK("http://catalog.hathitrust.org/Record/002896868","HathiTrust Record")</f>
        <v/>
      </c>
      <c r="AS2065">
        <f>HYPERLINK("https://creighton-primo.hosted.exlibrisgroup.com/primo-explore/search?tab=default_tab&amp;search_scope=EVERYTHING&amp;vid=01CRU&amp;lang=en_US&amp;offset=0&amp;query=any,contains,991002397519702656","Catalog Record")</f>
        <v/>
      </c>
      <c r="AT2065">
        <f>HYPERLINK("http://www.worldcat.org/oclc/31144105","WorldCat Record")</f>
        <v/>
      </c>
      <c r="AU2065" t="inlineStr">
        <is>
          <t>10076381627:eng</t>
        </is>
      </c>
      <c r="AV2065" t="inlineStr">
        <is>
          <t>31144105</t>
        </is>
      </c>
      <c r="AW2065" t="inlineStr">
        <is>
          <t>991002397519702656</t>
        </is>
      </c>
      <c r="AX2065" t="inlineStr">
        <is>
          <t>991002397519702656</t>
        </is>
      </c>
      <c r="AY2065" t="inlineStr">
        <is>
          <t>2269342160002656</t>
        </is>
      </c>
      <c r="AZ2065" t="inlineStr">
        <is>
          <t>BOOK</t>
        </is>
      </c>
      <c r="BB2065" t="inlineStr">
        <is>
          <t>9780879072575</t>
        </is>
      </c>
      <c r="BC2065" t="inlineStr">
        <is>
          <t>32285003514964</t>
        </is>
      </c>
      <c r="BD2065" t="inlineStr">
        <is>
          <t>893691567</t>
        </is>
      </c>
    </row>
    <row r="2066">
      <c r="A2066" t="inlineStr">
        <is>
          <t>No</t>
        </is>
      </c>
      <c r="B2066" t="inlineStr">
        <is>
          <t>BX4700.F3 C56 1891</t>
        </is>
      </c>
      <c r="C2066" t="inlineStr">
        <is>
          <t>0                      BX 4700000F  3                  C  56          1891</t>
        </is>
      </c>
      <c r="D2066" t="inlineStr">
        <is>
          <t>The life of St. Francis di Geronimo : of the Society of Jesus / by A. M. Clarke.</t>
        </is>
      </c>
      <c r="F2066" t="inlineStr">
        <is>
          <t>No</t>
        </is>
      </c>
      <c r="G2066" t="inlineStr">
        <is>
          <t>1</t>
        </is>
      </c>
      <c r="H2066" t="inlineStr">
        <is>
          <t>No</t>
        </is>
      </c>
      <c r="I2066" t="inlineStr">
        <is>
          <t>No</t>
        </is>
      </c>
      <c r="J2066" t="inlineStr">
        <is>
          <t>0</t>
        </is>
      </c>
      <c r="K2066" t="inlineStr">
        <is>
          <t>Clarke, A. M.</t>
        </is>
      </c>
      <c r="L2066" t="inlineStr">
        <is>
          <t>New York ; Cincinnati : Benziger, 1891.</t>
        </is>
      </c>
      <c r="M2066" t="inlineStr">
        <is>
          <t>1891</t>
        </is>
      </c>
      <c r="O2066" t="inlineStr">
        <is>
          <t>eng</t>
        </is>
      </c>
      <c r="P2066" t="inlineStr">
        <is>
          <t xml:space="preserve">xx </t>
        </is>
      </c>
      <c r="R2066" t="inlineStr">
        <is>
          <t xml:space="preserve">BX </t>
        </is>
      </c>
      <c r="S2066" t="n">
        <v>1</v>
      </c>
      <c r="T2066" t="n">
        <v>1</v>
      </c>
      <c r="U2066" t="inlineStr">
        <is>
          <t>2010-05-02</t>
        </is>
      </c>
      <c r="V2066" t="inlineStr">
        <is>
          <t>2010-05-02</t>
        </is>
      </c>
      <c r="W2066" t="inlineStr">
        <is>
          <t>1991-11-26</t>
        </is>
      </c>
      <c r="X2066" t="inlineStr">
        <is>
          <t>1991-11-26</t>
        </is>
      </c>
      <c r="Y2066" t="n">
        <v>25</v>
      </c>
      <c r="Z2066" t="n">
        <v>25</v>
      </c>
      <c r="AA2066" t="n">
        <v>31</v>
      </c>
      <c r="AB2066" t="n">
        <v>1</v>
      </c>
      <c r="AC2066" t="n">
        <v>1</v>
      </c>
      <c r="AD2066" t="n">
        <v>10</v>
      </c>
      <c r="AE2066" t="n">
        <v>13</v>
      </c>
      <c r="AF2066" t="n">
        <v>2</v>
      </c>
      <c r="AG2066" t="n">
        <v>4</v>
      </c>
      <c r="AH2066" t="n">
        <v>2</v>
      </c>
      <c r="AI2066" t="n">
        <v>2</v>
      </c>
      <c r="AJ2066" t="n">
        <v>10</v>
      </c>
      <c r="AK2066" t="n">
        <v>13</v>
      </c>
      <c r="AL2066" t="n">
        <v>0</v>
      </c>
      <c r="AM2066" t="n">
        <v>0</v>
      </c>
      <c r="AN2066" t="n">
        <v>0</v>
      </c>
      <c r="AO2066" t="n">
        <v>0</v>
      </c>
      <c r="AP2066" t="inlineStr">
        <is>
          <t>No</t>
        </is>
      </c>
      <c r="AQ2066" t="inlineStr">
        <is>
          <t>No</t>
        </is>
      </c>
      <c r="AS2066">
        <f>HYPERLINK("https://creighton-primo.hosted.exlibrisgroup.com/primo-explore/search?tab=default_tab&amp;search_scope=EVERYTHING&amp;vid=01CRU&amp;lang=en_US&amp;offset=0&amp;query=any,contains,991004431929702656","Catalog Record")</f>
        <v/>
      </c>
      <c r="AT2066">
        <f>HYPERLINK("http://www.worldcat.org/oclc/3426666","WorldCat Record")</f>
        <v/>
      </c>
      <c r="AU2066" t="inlineStr">
        <is>
          <t>3857960878:eng</t>
        </is>
      </c>
      <c r="AV2066" t="inlineStr">
        <is>
          <t>3426666</t>
        </is>
      </c>
      <c r="AW2066" t="inlineStr">
        <is>
          <t>991004431929702656</t>
        </is>
      </c>
      <c r="AX2066" t="inlineStr">
        <is>
          <t>991004431929702656</t>
        </is>
      </c>
      <c r="AY2066" t="inlineStr">
        <is>
          <t>2259977480002656</t>
        </is>
      </c>
      <c r="AZ2066" t="inlineStr">
        <is>
          <t>BOOK</t>
        </is>
      </c>
      <c r="BC2066" t="inlineStr">
        <is>
          <t>32285000857895</t>
        </is>
      </c>
      <c r="BD2066" t="inlineStr">
        <is>
          <t>893888689</t>
        </is>
      </c>
    </row>
    <row r="2067">
      <c r="A2067" t="inlineStr">
        <is>
          <t>No</t>
        </is>
      </c>
      <c r="B2067" t="inlineStr">
        <is>
          <t>BX4700.F33 B32</t>
        </is>
      </c>
      <c r="C2067" t="inlineStr">
        <is>
          <t>0                      BX 4700000F  33                 B  32</t>
        </is>
      </c>
      <c r="D2067" t="inlineStr">
        <is>
          <t>The life of Saint Philip Neri : Apostle of Rome and founder of the Congregation of the Oratory / from the Italian of Father Bacci. Edited by Frederick Ignatius Antrobus.</t>
        </is>
      </c>
      <c r="E2067" t="inlineStr">
        <is>
          <t>V.1</t>
        </is>
      </c>
      <c r="F2067" t="inlineStr">
        <is>
          <t>Yes</t>
        </is>
      </c>
      <c r="G2067" t="inlineStr">
        <is>
          <t>1</t>
        </is>
      </c>
      <c r="H2067" t="inlineStr">
        <is>
          <t>No</t>
        </is>
      </c>
      <c r="I2067" t="inlineStr">
        <is>
          <t>Yes</t>
        </is>
      </c>
      <c r="J2067" t="inlineStr">
        <is>
          <t>0</t>
        </is>
      </c>
      <c r="K2067" t="inlineStr">
        <is>
          <t>Bacci, Pietro Giacomo.</t>
        </is>
      </c>
      <c r="L2067" t="inlineStr">
        <is>
          <t>London : K. Paul, Trench, Trübner, 1902-03.</t>
        </is>
      </c>
      <c r="M2067" t="inlineStr">
        <is>
          <t>1902</t>
        </is>
      </c>
      <c r="N2067" t="inlineStr">
        <is>
          <t>New and rev. ed.</t>
        </is>
      </c>
      <c r="O2067" t="inlineStr">
        <is>
          <t>eng</t>
        </is>
      </c>
      <c r="P2067" t="inlineStr">
        <is>
          <t>enk</t>
        </is>
      </c>
      <c r="R2067" t="inlineStr">
        <is>
          <t xml:space="preserve">BX </t>
        </is>
      </c>
      <c r="S2067" t="n">
        <v>4</v>
      </c>
      <c r="T2067" t="n">
        <v>8</v>
      </c>
      <c r="U2067" t="inlineStr">
        <is>
          <t>2006-06-16</t>
        </is>
      </c>
      <c r="V2067" t="inlineStr">
        <is>
          <t>2006-06-16</t>
        </is>
      </c>
      <c r="W2067" t="inlineStr">
        <is>
          <t>1991-11-26</t>
        </is>
      </c>
      <c r="X2067" t="inlineStr">
        <is>
          <t>1991-11-26</t>
        </is>
      </c>
      <c r="Y2067" t="n">
        <v>79</v>
      </c>
      <c r="Z2067" t="n">
        <v>64</v>
      </c>
      <c r="AA2067" t="n">
        <v>136</v>
      </c>
      <c r="AB2067" t="n">
        <v>1</v>
      </c>
      <c r="AC2067" t="n">
        <v>3</v>
      </c>
      <c r="AD2067" t="n">
        <v>9</v>
      </c>
      <c r="AE2067" t="n">
        <v>16</v>
      </c>
      <c r="AF2067" t="n">
        <v>1</v>
      </c>
      <c r="AG2067" t="n">
        <v>2</v>
      </c>
      <c r="AH2067" t="n">
        <v>2</v>
      </c>
      <c r="AI2067" t="n">
        <v>4</v>
      </c>
      <c r="AJ2067" t="n">
        <v>8</v>
      </c>
      <c r="AK2067" t="n">
        <v>13</v>
      </c>
      <c r="AL2067" t="n">
        <v>0</v>
      </c>
      <c r="AM2067" t="n">
        <v>1</v>
      </c>
      <c r="AN2067" t="n">
        <v>0</v>
      </c>
      <c r="AO2067" t="n">
        <v>0</v>
      </c>
      <c r="AP2067" t="inlineStr">
        <is>
          <t>Yes</t>
        </is>
      </c>
      <c r="AQ2067" t="inlineStr">
        <is>
          <t>No</t>
        </is>
      </c>
      <c r="AR2067">
        <f>HYPERLINK("http://catalog.hathitrust.org/Record/005733273","HathiTrust Record")</f>
        <v/>
      </c>
      <c r="AS2067">
        <f>HYPERLINK("https://creighton-primo.hosted.exlibrisgroup.com/primo-explore/search?tab=default_tab&amp;search_scope=EVERYTHING&amp;vid=01CRU&amp;lang=en_US&amp;offset=0&amp;query=any,contains,991004613369702656","Catalog Record")</f>
        <v/>
      </c>
      <c r="AT2067">
        <f>HYPERLINK("http://www.worldcat.org/oclc/4231452","WorldCat Record")</f>
        <v/>
      </c>
      <c r="AU2067" t="inlineStr">
        <is>
          <t>2865994475:eng</t>
        </is>
      </c>
      <c r="AV2067" t="inlineStr">
        <is>
          <t>4231452</t>
        </is>
      </c>
      <c r="AW2067" t="inlineStr">
        <is>
          <t>991004613369702656</t>
        </is>
      </c>
      <c r="AX2067" t="inlineStr">
        <is>
          <t>991004613369702656</t>
        </is>
      </c>
      <c r="AY2067" t="inlineStr">
        <is>
          <t>2260770420002656</t>
        </is>
      </c>
      <c r="AZ2067" t="inlineStr">
        <is>
          <t>BOOK</t>
        </is>
      </c>
      <c r="BC2067" t="inlineStr">
        <is>
          <t>32285000857903</t>
        </is>
      </c>
      <c r="BD2067" t="inlineStr">
        <is>
          <t>893869912</t>
        </is>
      </c>
    </row>
    <row r="2068">
      <c r="A2068" t="inlineStr">
        <is>
          <t>No</t>
        </is>
      </c>
      <c r="B2068" t="inlineStr">
        <is>
          <t>BX4700.F33 B32</t>
        </is>
      </c>
      <c r="C2068" t="inlineStr">
        <is>
          <t>0                      BX 4700000F  33                 B  32</t>
        </is>
      </c>
      <c r="D2068" t="inlineStr">
        <is>
          <t>The life of Saint Philip Neri : Apostle of Rome and founder of the Congregation of the Oratory / from the Italian of Father Bacci. Edited by Frederick Ignatius Antrobus.</t>
        </is>
      </c>
      <c r="E2068" t="inlineStr">
        <is>
          <t>V.2</t>
        </is>
      </c>
      <c r="F2068" t="inlineStr">
        <is>
          <t>Yes</t>
        </is>
      </c>
      <c r="G2068" t="inlineStr">
        <is>
          <t>1</t>
        </is>
      </c>
      <c r="H2068" t="inlineStr">
        <is>
          <t>No</t>
        </is>
      </c>
      <c r="I2068" t="inlineStr">
        <is>
          <t>Yes</t>
        </is>
      </c>
      <c r="J2068" t="inlineStr">
        <is>
          <t>0</t>
        </is>
      </c>
      <c r="K2068" t="inlineStr">
        <is>
          <t>Bacci, Pietro Giacomo.</t>
        </is>
      </c>
      <c r="L2068" t="inlineStr">
        <is>
          <t>London : K. Paul, Trench, Trübner, 1902-03.</t>
        </is>
      </c>
      <c r="M2068" t="inlineStr">
        <is>
          <t>1902</t>
        </is>
      </c>
      <c r="N2068" t="inlineStr">
        <is>
          <t>New and rev. ed.</t>
        </is>
      </c>
      <c r="O2068" t="inlineStr">
        <is>
          <t>eng</t>
        </is>
      </c>
      <c r="P2068" t="inlineStr">
        <is>
          <t>enk</t>
        </is>
      </c>
      <c r="R2068" t="inlineStr">
        <is>
          <t xml:space="preserve">BX </t>
        </is>
      </c>
      <c r="S2068" t="n">
        <v>4</v>
      </c>
      <c r="T2068" t="n">
        <v>8</v>
      </c>
      <c r="U2068" t="inlineStr">
        <is>
          <t>2006-06-16</t>
        </is>
      </c>
      <c r="V2068" t="inlineStr">
        <is>
          <t>2006-06-16</t>
        </is>
      </c>
      <c r="W2068" t="inlineStr">
        <is>
          <t>1991-11-26</t>
        </is>
      </c>
      <c r="X2068" t="inlineStr">
        <is>
          <t>1991-11-26</t>
        </is>
      </c>
      <c r="Y2068" t="n">
        <v>79</v>
      </c>
      <c r="Z2068" t="n">
        <v>64</v>
      </c>
      <c r="AA2068" t="n">
        <v>136</v>
      </c>
      <c r="AB2068" t="n">
        <v>1</v>
      </c>
      <c r="AC2068" t="n">
        <v>3</v>
      </c>
      <c r="AD2068" t="n">
        <v>9</v>
      </c>
      <c r="AE2068" t="n">
        <v>16</v>
      </c>
      <c r="AF2068" t="n">
        <v>1</v>
      </c>
      <c r="AG2068" t="n">
        <v>2</v>
      </c>
      <c r="AH2068" t="n">
        <v>2</v>
      </c>
      <c r="AI2068" t="n">
        <v>4</v>
      </c>
      <c r="AJ2068" t="n">
        <v>8</v>
      </c>
      <c r="AK2068" t="n">
        <v>13</v>
      </c>
      <c r="AL2068" t="n">
        <v>0</v>
      </c>
      <c r="AM2068" t="n">
        <v>1</v>
      </c>
      <c r="AN2068" t="n">
        <v>0</v>
      </c>
      <c r="AO2068" t="n">
        <v>0</v>
      </c>
      <c r="AP2068" t="inlineStr">
        <is>
          <t>Yes</t>
        </is>
      </c>
      <c r="AQ2068" t="inlineStr">
        <is>
          <t>No</t>
        </is>
      </c>
      <c r="AR2068">
        <f>HYPERLINK("http://catalog.hathitrust.org/Record/005733273","HathiTrust Record")</f>
        <v/>
      </c>
      <c r="AS2068">
        <f>HYPERLINK("https://creighton-primo.hosted.exlibrisgroup.com/primo-explore/search?tab=default_tab&amp;search_scope=EVERYTHING&amp;vid=01CRU&amp;lang=en_US&amp;offset=0&amp;query=any,contains,991004613369702656","Catalog Record")</f>
        <v/>
      </c>
      <c r="AT2068">
        <f>HYPERLINK("http://www.worldcat.org/oclc/4231452","WorldCat Record")</f>
        <v/>
      </c>
      <c r="AU2068" t="inlineStr">
        <is>
          <t>2865994475:eng</t>
        </is>
      </c>
      <c r="AV2068" t="inlineStr">
        <is>
          <t>4231452</t>
        </is>
      </c>
      <c r="AW2068" t="inlineStr">
        <is>
          <t>991004613369702656</t>
        </is>
      </c>
      <c r="AX2068" t="inlineStr">
        <is>
          <t>991004613369702656</t>
        </is>
      </c>
      <c r="AY2068" t="inlineStr">
        <is>
          <t>2260770420002656</t>
        </is>
      </c>
      <c r="AZ2068" t="inlineStr">
        <is>
          <t>BOOK</t>
        </is>
      </c>
      <c r="BC2068" t="inlineStr">
        <is>
          <t>32285000857911</t>
        </is>
      </c>
      <c r="BD2068" t="inlineStr">
        <is>
          <t>893888952</t>
        </is>
      </c>
    </row>
    <row r="2069">
      <c r="A2069" t="inlineStr">
        <is>
          <t>No</t>
        </is>
      </c>
      <c r="B2069" t="inlineStr">
        <is>
          <t>BX4700.F33 B32 1903</t>
        </is>
      </c>
      <c r="C2069" t="inlineStr">
        <is>
          <t>0                      BX 4700000F  33                 B  32          1903</t>
        </is>
      </c>
      <c r="D2069" t="inlineStr">
        <is>
          <t>The life of Saint Philip Neri : Apostle of Rome and founder of the Congregation of the Oratory / from the Italian of Father Bacci ; edited by Frederick Ignatius Antrobus.</t>
        </is>
      </c>
      <c r="E2069" t="inlineStr">
        <is>
          <t>V.1</t>
        </is>
      </c>
      <c r="F2069" t="inlineStr">
        <is>
          <t>Yes</t>
        </is>
      </c>
      <c r="G2069" t="inlineStr">
        <is>
          <t>1</t>
        </is>
      </c>
      <c r="H2069" t="inlineStr">
        <is>
          <t>No</t>
        </is>
      </c>
      <c r="I2069" t="inlineStr">
        <is>
          <t>Yes</t>
        </is>
      </c>
      <c r="J2069" t="inlineStr">
        <is>
          <t>0</t>
        </is>
      </c>
      <c r="K2069" t="inlineStr">
        <is>
          <t>Bacci, Pietro Giacomo.</t>
        </is>
      </c>
      <c r="L2069" t="inlineStr">
        <is>
          <t>St. Louis : B. Herder, 1903.</t>
        </is>
      </c>
      <c r="M2069" t="inlineStr">
        <is>
          <t>1903</t>
        </is>
      </c>
      <c r="N2069" t="inlineStr">
        <is>
          <t>New and rev. ed.</t>
        </is>
      </c>
      <c r="O2069" t="inlineStr">
        <is>
          <t>eng</t>
        </is>
      </c>
      <c r="P2069" t="inlineStr">
        <is>
          <t>mou</t>
        </is>
      </c>
      <c r="R2069" t="inlineStr">
        <is>
          <t xml:space="preserve">BX </t>
        </is>
      </c>
      <c r="S2069" t="n">
        <v>6</v>
      </c>
      <c r="T2069" t="n">
        <v>8</v>
      </c>
      <c r="U2069" t="inlineStr">
        <is>
          <t>2008-07-18</t>
        </is>
      </c>
      <c r="V2069" t="inlineStr">
        <is>
          <t>2008-07-18</t>
        </is>
      </c>
      <c r="W2069" t="inlineStr">
        <is>
          <t>1991-11-26</t>
        </is>
      </c>
      <c r="X2069" t="inlineStr">
        <is>
          <t>1991-11-26</t>
        </is>
      </c>
      <c r="Y2069" t="n">
        <v>23</v>
      </c>
      <c r="Z2069" t="n">
        <v>23</v>
      </c>
      <c r="AA2069" t="n">
        <v>136</v>
      </c>
      <c r="AB2069" t="n">
        <v>1</v>
      </c>
      <c r="AC2069" t="n">
        <v>3</v>
      </c>
      <c r="AD2069" t="n">
        <v>5</v>
      </c>
      <c r="AE2069" t="n">
        <v>16</v>
      </c>
      <c r="AF2069" t="n">
        <v>1</v>
      </c>
      <c r="AG2069" t="n">
        <v>2</v>
      </c>
      <c r="AH2069" t="n">
        <v>2</v>
      </c>
      <c r="AI2069" t="n">
        <v>4</v>
      </c>
      <c r="AJ2069" t="n">
        <v>4</v>
      </c>
      <c r="AK2069" t="n">
        <v>13</v>
      </c>
      <c r="AL2069" t="n">
        <v>0</v>
      </c>
      <c r="AM2069" t="n">
        <v>1</v>
      </c>
      <c r="AN2069" t="n">
        <v>0</v>
      </c>
      <c r="AO2069" t="n">
        <v>0</v>
      </c>
      <c r="AP2069" t="inlineStr">
        <is>
          <t>No</t>
        </is>
      </c>
      <c r="AQ2069" t="inlineStr">
        <is>
          <t>No</t>
        </is>
      </c>
      <c r="AS2069">
        <f>HYPERLINK("https://creighton-primo.hosted.exlibrisgroup.com/primo-explore/search?tab=default_tab&amp;search_scope=EVERYTHING&amp;vid=01CRU&amp;lang=en_US&amp;offset=0&amp;query=any,contains,991000207829702656","Catalog Record")</f>
        <v/>
      </c>
      <c r="AT2069">
        <f>HYPERLINK("http://www.worldcat.org/oclc/9515721","WorldCat Record")</f>
        <v/>
      </c>
      <c r="AU2069" t="inlineStr">
        <is>
          <t>2865994475:eng</t>
        </is>
      </c>
      <c r="AV2069" t="inlineStr">
        <is>
          <t>9515721</t>
        </is>
      </c>
      <c r="AW2069" t="inlineStr">
        <is>
          <t>991000207829702656</t>
        </is>
      </c>
      <c r="AX2069" t="inlineStr">
        <is>
          <t>991000207829702656</t>
        </is>
      </c>
      <c r="AY2069" t="inlineStr">
        <is>
          <t>2270443090002656</t>
        </is>
      </c>
      <c r="AZ2069" t="inlineStr">
        <is>
          <t>BOOK</t>
        </is>
      </c>
      <c r="BC2069" t="inlineStr">
        <is>
          <t>32285000857929</t>
        </is>
      </c>
      <c r="BD2069" t="inlineStr">
        <is>
          <t>893438100</t>
        </is>
      </c>
    </row>
    <row r="2070">
      <c r="A2070" t="inlineStr">
        <is>
          <t>No</t>
        </is>
      </c>
      <c r="B2070" t="inlineStr">
        <is>
          <t>BX4700.F33 B32 1903</t>
        </is>
      </c>
      <c r="C2070" t="inlineStr">
        <is>
          <t>0                      BX 4700000F  33                 B  32          1903</t>
        </is>
      </c>
      <c r="D2070" t="inlineStr">
        <is>
          <t>The life of Saint Philip Neri : Apostle of Rome and founder of the Congregation of the Oratory / from the Italian of Father Bacci ; edited by Frederick Ignatius Antrobus.</t>
        </is>
      </c>
      <c r="E2070" t="inlineStr">
        <is>
          <t>V.2</t>
        </is>
      </c>
      <c r="F2070" t="inlineStr">
        <is>
          <t>Yes</t>
        </is>
      </c>
      <c r="G2070" t="inlineStr">
        <is>
          <t>1</t>
        </is>
      </c>
      <c r="H2070" t="inlineStr">
        <is>
          <t>No</t>
        </is>
      </c>
      <c r="I2070" t="inlineStr">
        <is>
          <t>Yes</t>
        </is>
      </c>
      <c r="J2070" t="inlineStr">
        <is>
          <t>0</t>
        </is>
      </c>
      <c r="K2070" t="inlineStr">
        <is>
          <t>Bacci, Pietro Giacomo.</t>
        </is>
      </c>
      <c r="L2070" t="inlineStr">
        <is>
          <t>St. Louis : B. Herder, 1903.</t>
        </is>
      </c>
      <c r="M2070" t="inlineStr">
        <is>
          <t>1903</t>
        </is>
      </c>
      <c r="N2070" t="inlineStr">
        <is>
          <t>New and rev. ed.</t>
        </is>
      </c>
      <c r="O2070" t="inlineStr">
        <is>
          <t>eng</t>
        </is>
      </c>
      <c r="P2070" t="inlineStr">
        <is>
          <t>mou</t>
        </is>
      </c>
      <c r="R2070" t="inlineStr">
        <is>
          <t xml:space="preserve">BX </t>
        </is>
      </c>
      <c r="S2070" t="n">
        <v>2</v>
      </c>
      <c r="T2070" t="n">
        <v>8</v>
      </c>
      <c r="U2070" t="inlineStr">
        <is>
          <t>2003-07-07</t>
        </is>
      </c>
      <c r="V2070" t="inlineStr">
        <is>
          <t>2008-07-18</t>
        </is>
      </c>
      <c r="W2070" t="inlineStr">
        <is>
          <t>1991-11-26</t>
        </is>
      </c>
      <c r="X2070" t="inlineStr">
        <is>
          <t>1991-11-26</t>
        </is>
      </c>
      <c r="Y2070" t="n">
        <v>23</v>
      </c>
      <c r="Z2070" t="n">
        <v>23</v>
      </c>
      <c r="AA2070" t="n">
        <v>136</v>
      </c>
      <c r="AB2070" t="n">
        <v>1</v>
      </c>
      <c r="AC2070" t="n">
        <v>3</v>
      </c>
      <c r="AD2070" t="n">
        <v>5</v>
      </c>
      <c r="AE2070" t="n">
        <v>16</v>
      </c>
      <c r="AF2070" t="n">
        <v>1</v>
      </c>
      <c r="AG2070" t="n">
        <v>2</v>
      </c>
      <c r="AH2070" t="n">
        <v>2</v>
      </c>
      <c r="AI2070" t="n">
        <v>4</v>
      </c>
      <c r="AJ2070" t="n">
        <v>4</v>
      </c>
      <c r="AK2070" t="n">
        <v>13</v>
      </c>
      <c r="AL2070" t="n">
        <v>0</v>
      </c>
      <c r="AM2070" t="n">
        <v>1</v>
      </c>
      <c r="AN2070" t="n">
        <v>0</v>
      </c>
      <c r="AO2070" t="n">
        <v>0</v>
      </c>
      <c r="AP2070" t="inlineStr">
        <is>
          <t>No</t>
        </is>
      </c>
      <c r="AQ2070" t="inlineStr">
        <is>
          <t>No</t>
        </is>
      </c>
      <c r="AS2070">
        <f>HYPERLINK("https://creighton-primo.hosted.exlibrisgroup.com/primo-explore/search?tab=default_tab&amp;search_scope=EVERYTHING&amp;vid=01CRU&amp;lang=en_US&amp;offset=0&amp;query=any,contains,991000207829702656","Catalog Record")</f>
        <v/>
      </c>
      <c r="AT2070">
        <f>HYPERLINK("http://www.worldcat.org/oclc/9515721","WorldCat Record")</f>
        <v/>
      </c>
      <c r="AU2070" t="inlineStr">
        <is>
          <t>2865994475:eng</t>
        </is>
      </c>
      <c r="AV2070" t="inlineStr">
        <is>
          <t>9515721</t>
        </is>
      </c>
      <c r="AW2070" t="inlineStr">
        <is>
          <t>991000207829702656</t>
        </is>
      </c>
      <c r="AX2070" t="inlineStr">
        <is>
          <t>991000207829702656</t>
        </is>
      </c>
      <c r="AY2070" t="inlineStr">
        <is>
          <t>2270443090002656</t>
        </is>
      </c>
      <c r="AZ2070" t="inlineStr">
        <is>
          <t>BOOK</t>
        </is>
      </c>
      <c r="BC2070" t="inlineStr">
        <is>
          <t>32285000857937</t>
        </is>
      </c>
      <c r="BD2070" t="inlineStr">
        <is>
          <t>893444244</t>
        </is>
      </c>
    </row>
    <row r="2071">
      <c r="A2071" t="inlineStr">
        <is>
          <t>No</t>
        </is>
      </c>
      <c r="B2071" t="inlineStr">
        <is>
          <t>BX4700.F33 C36 1882</t>
        </is>
      </c>
      <c r="C2071" t="inlineStr">
        <is>
          <t>0                      BX 4700000F  33                 C  36          1882</t>
        </is>
      </c>
      <c r="D2071" t="inlineStr">
        <is>
          <t>The life of Saint Philip Neri : apostle of Rome / by Alfonso Capecelatro ; translated by Thomas Alder Pope.</t>
        </is>
      </c>
      <c r="E2071" t="inlineStr">
        <is>
          <t>V.1</t>
        </is>
      </c>
      <c r="F2071" t="inlineStr">
        <is>
          <t>Yes</t>
        </is>
      </c>
      <c r="G2071" t="inlineStr">
        <is>
          <t>1</t>
        </is>
      </c>
      <c r="H2071" t="inlineStr">
        <is>
          <t>No</t>
        </is>
      </c>
      <c r="I2071" t="inlineStr">
        <is>
          <t>No</t>
        </is>
      </c>
      <c r="J2071" t="inlineStr">
        <is>
          <t>0</t>
        </is>
      </c>
      <c r="K2071" t="inlineStr">
        <is>
          <t>Capecelatro, Alfonso, 1824-1912.</t>
        </is>
      </c>
      <c r="L2071" t="inlineStr">
        <is>
          <t>London : Burns &amp; Oates, 1882.</t>
        </is>
      </c>
      <c r="M2071" t="inlineStr">
        <is>
          <t>1882</t>
        </is>
      </c>
      <c r="O2071" t="inlineStr">
        <is>
          <t>eng</t>
        </is>
      </c>
      <c r="P2071" t="inlineStr">
        <is>
          <t xml:space="preserve">xx </t>
        </is>
      </c>
      <c r="R2071" t="inlineStr">
        <is>
          <t xml:space="preserve">BX </t>
        </is>
      </c>
      <c r="S2071" t="n">
        <v>4</v>
      </c>
      <c r="T2071" t="n">
        <v>7</v>
      </c>
      <c r="U2071" t="inlineStr">
        <is>
          <t>2008-07-24</t>
        </is>
      </c>
      <c r="V2071" t="inlineStr">
        <is>
          <t>2008-07-24</t>
        </is>
      </c>
      <c r="W2071" t="inlineStr">
        <is>
          <t>1991-11-26</t>
        </is>
      </c>
      <c r="X2071" t="inlineStr">
        <is>
          <t>1991-11-26</t>
        </is>
      </c>
      <c r="Y2071" t="n">
        <v>47</v>
      </c>
      <c r="Z2071" t="n">
        <v>40</v>
      </c>
      <c r="AA2071" t="n">
        <v>126</v>
      </c>
      <c r="AB2071" t="n">
        <v>1</v>
      </c>
      <c r="AC2071" t="n">
        <v>2</v>
      </c>
      <c r="AD2071" t="n">
        <v>13</v>
      </c>
      <c r="AE2071" t="n">
        <v>25</v>
      </c>
      <c r="AF2071" t="n">
        <v>3</v>
      </c>
      <c r="AG2071" t="n">
        <v>8</v>
      </c>
      <c r="AH2071" t="n">
        <v>3</v>
      </c>
      <c r="AI2071" t="n">
        <v>7</v>
      </c>
      <c r="AJ2071" t="n">
        <v>11</v>
      </c>
      <c r="AK2071" t="n">
        <v>19</v>
      </c>
      <c r="AL2071" t="n">
        <v>0</v>
      </c>
      <c r="AM2071" t="n">
        <v>0</v>
      </c>
      <c r="AN2071" t="n">
        <v>0</v>
      </c>
      <c r="AO2071" t="n">
        <v>0</v>
      </c>
      <c r="AP2071" t="inlineStr">
        <is>
          <t>Yes</t>
        </is>
      </c>
      <c r="AQ2071" t="inlineStr">
        <is>
          <t>No</t>
        </is>
      </c>
      <c r="AR2071">
        <f>HYPERLINK("http://catalog.hathitrust.org/Record/100433634","HathiTrust Record")</f>
        <v/>
      </c>
      <c r="AS2071">
        <f>HYPERLINK("https://creighton-primo.hosted.exlibrisgroup.com/primo-explore/search?tab=default_tab&amp;search_scope=EVERYTHING&amp;vid=01CRU&amp;lang=en_US&amp;offset=0&amp;query=any,contains,991004431779702656","Catalog Record")</f>
        <v/>
      </c>
      <c r="AT2071">
        <f>HYPERLINK("http://www.worldcat.org/oclc/3426024","WorldCat Record")</f>
        <v/>
      </c>
      <c r="AU2071" t="inlineStr">
        <is>
          <t>429813199:eng</t>
        </is>
      </c>
      <c r="AV2071" t="inlineStr">
        <is>
          <t>3426024</t>
        </is>
      </c>
      <c r="AW2071" t="inlineStr">
        <is>
          <t>991004431779702656</t>
        </is>
      </c>
      <c r="AX2071" t="inlineStr">
        <is>
          <t>991004431779702656</t>
        </is>
      </c>
      <c r="AY2071" t="inlineStr">
        <is>
          <t>2259905600002656</t>
        </is>
      </c>
      <c r="AZ2071" t="inlineStr">
        <is>
          <t>BOOK</t>
        </is>
      </c>
      <c r="BC2071" t="inlineStr">
        <is>
          <t>32285000857952</t>
        </is>
      </c>
      <c r="BD2071" t="inlineStr">
        <is>
          <t>893882469</t>
        </is>
      </c>
    </row>
    <row r="2072">
      <c r="A2072" t="inlineStr">
        <is>
          <t>No</t>
        </is>
      </c>
      <c r="B2072" t="inlineStr">
        <is>
          <t>BX4700.F33 C36 1882</t>
        </is>
      </c>
      <c r="C2072" t="inlineStr">
        <is>
          <t>0                      BX 4700000F  33                 C  36          1882</t>
        </is>
      </c>
      <c r="D2072" t="inlineStr">
        <is>
          <t>The life of Saint Philip Neri : apostle of Rome / by Alfonso Capecelatro ; translated by Thomas Alder Pope.</t>
        </is>
      </c>
      <c r="E2072" t="inlineStr">
        <is>
          <t>V.2</t>
        </is>
      </c>
      <c r="F2072" t="inlineStr">
        <is>
          <t>Yes</t>
        </is>
      </c>
      <c r="G2072" t="inlineStr">
        <is>
          <t>1</t>
        </is>
      </c>
      <c r="H2072" t="inlineStr">
        <is>
          <t>No</t>
        </is>
      </c>
      <c r="I2072" t="inlineStr">
        <is>
          <t>No</t>
        </is>
      </c>
      <c r="J2072" t="inlineStr">
        <is>
          <t>0</t>
        </is>
      </c>
      <c r="K2072" t="inlineStr">
        <is>
          <t>Capecelatro, Alfonso, 1824-1912.</t>
        </is>
      </c>
      <c r="L2072" t="inlineStr">
        <is>
          <t>London : Burns &amp; Oates, 1882.</t>
        </is>
      </c>
      <c r="M2072" t="inlineStr">
        <is>
          <t>1882</t>
        </is>
      </c>
      <c r="O2072" t="inlineStr">
        <is>
          <t>eng</t>
        </is>
      </c>
      <c r="P2072" t="inlineStr">
        <is>
          <t xml:space="preserve">xx </t>
        </is>
      </c>
      <c r="R2072" t="inlineStr">
        <is>
          <t xml:space="preserve">BX </t>
        </is>
      </c>
      <c r="S2072" t="n">
        <v>3</v>
      </c>
      <c r="T2072" t="n">
        <v>7</v>
      </c>
      <c r="U2072" t="inlineStr">
        <is>
          <t>2000-10-25</t>
        </is>
      </c>
      <c r="V2072" t="inlineStr">
        <is>
          <t>2008-07-24</t>
        </is>
      </c>
      <c r="W2072" t="inlineStr">
        <is>
          <t>1991-11-26</t>
        </is>
      </c>
      <c r="X2072" t="inlineStr">
        <is>
          <t>1991-11-26</t>
        </is>
      </c>
      <c r="Y2072" t="n">
        <v>47</v>
      </c>
      <c r="Z2072" t="n">
        <v>40</v>
      </c>
      <c r="AA2072" t="n">
        <v>126</v>
      </c>
      <c r="AB2072" t="n">
        <v>1</v>
      </c>
      <c r="AC2072" t="n">
        <v>2</v>
      </c>
      <c r="AD2072" t="n">
        <v>13</v>
      </c>
      <c r="AE2072" t="n">
        <v>25</v>
      </c>
      <c r="AF2072" t="n">
        <v>3</v>
      </c>
      <c r="AG2072" t="n">
        <v>8</v>
      </c>
      <c r="AH2072" t="n">
        <v>3</v>
      </c>
      <c r="AI2072" t="n">
        <v>7</v>
      </c>
      <c r="AJ2072" t="n">
        <v>11</v>
      </c>
      <c r="AK2072" t="n">
        <v>19</v>
      </c>
      <c r="AL2072" t="n">
        <v>0</v>
      </c>
      <c r="AM2072" t="n">
        <v>0</v>
      </c>
      <c r="AN2072" t="n">
        <v>0</v>
      </c>
      <c r="AO2072" t="n">
        <v>0</v>
      </c>
      <c r="AP2072" t="inlineStr">
        <is>
          <t>Yes</t>
        </is>
      </c>
      <c r="AQ2072" t="inlineStr">
        <is>
          <t>No</t>
        </is>
      </c>
      <c r="AR2072">
        <f>HYPERLINK("http://catalog.hathitrust.org/Record/100433634","HathiTrust Record")</f>
        <v/>
      </c>
      <c r="AS2072">
        <f>HYPERLINK("https://creighton-primo.hosted.exlibrisgroup.com/primo-explore/search?tab=default_tab&amp;search_scope=EVERYTHING&amp;vid=01CRU&amp;lang=en_US&amp;offset=0&amp;query=any,contains,991004431779702656","Catalog Record")</f>
        <v/>
      </c>
      <c r="AT2072">
        <f>HYPERLINK("http://www.worldcat.org/oclc/3426024","WorldCat Record")</f>
        <v/>
      </c>
      <c r="AU2072" t="inlineStr">
        <is>
          <t>429813199:eng</t>
        </is>
      </c>
      <c r="AV2072" t="inlineStr">
        <is>
          <t>3426024</t>
        </is>
      </c>
      <c r="AW2072" t="inlineStr">
        <is>
          <t>991004431779702656</t>
        </is>
      </c>
      <c r="AX2072" t="inlineStr">
        <is>
          <t>991004431779702656</t>
        </is>
      </c>
      <c r="AY2072" t="inlineStr">
        <is>
          <t>2259905600002656</t>
        </is>
      </c>
      <c r="AZ2072" t="inlineStr">
        <is>
          <t>BOOK</t>
        </is>
      </c>
      <c r="BC2072" t="inlineStr">
        <is>
          <t>32285000857960</t>
        </is>
      </c>
      <c r="BD2072" t="inlineStr">
        <is>
          <t>893869710</t>
        </is>
      </c>
    </row>
    <row r="2073">
      <c r="A2073" t="inlineStr">
        <is>
          <t>No</t>
        </is>
      </c>
      <c r="B2073" t="inlineStr">
        <is>
          <t>BX4700.F33 M3 1946</t>
        </is>
      </c>
      <c r="C2073" t="inlineStr">
        <is>
          <t>0                      BX 4700000F  33                 M  3           1946</t>
        </is>
      </c>
      <c r="D2073" t="inlineStr">
        <is>
          <t>Mystic in motley : the life of St. Philip Neri / by Theodore Maynard.</t>
        </is>
      </c>
      <c r="F2073" t="inlineStr">
        <is>
          <t>No</t>
        </is>
      </c>
      <c r="G2073" t="inlineStr">
        <is>
          <t>1</t>
        </is>
      </c>
      <c r="H2073" t="inlineStr">
        <is>
          <t>No</t>
        </is>
      </c>
      <c r="I2073" t="inlineStr">
        <is>
          <t>No</t>
        </is>
      </c>
      <c r="J2073" t="inlineStr">
        <is>
          <t>0</t>
        </is>
      </c>
      <c r="K2073" t="inlineStr">
        <is>
          <t>Maynard, Theodore, 1890-1956.</t>
        </is>
      </c>
      <c r="L2073" t="inlineStr">
        <is>
          <t>Milwaukee : Bruce Pub. Co., [1946]</t>
        </is>
      </c>
      <c r="M2073" t="inlineStr">
        <is>
          <t>1946</t>
        </is>
      </c>
      <c r="O2073" t="inlineStr">
        <is>
          <t>eng</t>
        </is>
      </c>
      <c r="P2073" t="inlineStr">
        <is>
          <t xml:space="preserve">xx </t>
        </is>
      </c>
      <c r="Q2073" t="inlineStr">
        <is>
          <t>Science and culture series</t>
        </is>
      </c>
      <c r="R2073" t="inlineStr">
        <is>
          <t xml:space="preserve">BX </t>
        </is>
      </c>
      <c r="S2073" t="n">
        <v>11</v>
      </c>
      <c r="T2073" t="n">
        <v>11</v>
      </c>
      <c r="U2073" t="inlineStr">
        <is>
          <t>2008-07-18</t>
        </is>
      </c>
      <c r="V2073" t="inlineStr">
        <is>
          <t>2008-07-18</t>
        </is>
      </c>
      <c r="W2073" t="inlineStr">
        <is>
          <t>1991-11-26</t>
        </is>
      </c>
      <c r="X2073" t="inlineStr">
        <is>
          <t>1991-11-26</t>
        </is>
      </c>
      <c r="Y2073" t="n">
        <v>287</v>
      </c>
      <c r="Z2073" t="n">
        <v>257</v>
      </c>
      <c r="AA2073" t="n">
        <v>265</v>
      </c>
      <c r="AB2073" t="n">
        <v>3</v>
      </c>
      <c r="AC2073" t="n">
        <v>3</v>
      </c>
      <c r="AD2073" t="n">
        <v>30</v>
      </c>
      <c r="AE2073" t="n">
        <v>30</v>
      </c>
      <c r="AF2073" t="n">
        <v>11</v>
      </c>
      <c r="AG2073" t="n">
        <v>11</v>
      </c>
      <c r="AH2073" t="n">
        <v>7</v>
      </c>
      <c r="AI2073" t="n">
        <v>7</v>
      </c>
      <c r="AJ2073" t="n">
        <v>24</v>
      </c>
      <c r="AK2073" t="n">
        <v>24</v>
      </c>
      <c r="AL2073" t="n">
        <v>0</v>
      </c>
      <c r="AM2073" t="n">
        <v>0</v>
      </c>
      <c r="AN2073" t="n">
        <v>0</v>
      </c>
      <c r="AO2073" t="n">
        <v>0</v>
      </c>
      <c r="AP2073" t="inlineStr">
        <is>
          <t>No</t>
        </is>
      </c>
      <c r="AQ2073" t="inlineStr">
        <is>
          <t>Yes</t>
        </is>
      </c>
      <c r="AR2073">
        <f>HYPERLINK("http://catalog.hathitrust.org/Record/005797593","HathiTrust Record")</f>
        <v/>
      </c>
      <c r="AS2073">
        <f>HYPERLINK("https://creighton-primo.hosted.exlibrisgroup.com/primo-explore/search?tab=default_tab&amp;search_scope=EVERYTHING&amp;vid=01CRU&amp;lang=en_US&amp;offset=0&amp;query=any,contains,991002725039702656","Catalog Record")</f>
        <v/>
      </c>
      <c r="AT2073">
        <f>HYPERLINK("http://www.worldcat.org/oclc/414146","WorldCat Record")</f>
        <v/>
      </c>
      <c r="AU2073" t="inlineStr">
        <is>
          <t>422786597:eng</t>
        </is>
      </c>
      <c r="AV2073" t="inlineStr">
        <is>
          <t>414146</t>
        </is>
      </c>
      <c r="AW2073" t="inlineStr">
        <is>
          <t>991002725039702656</t>
        </is>
      </c>
      <c r="AX2073" t="inlineStr">
        <is>
          <t>991002725039702656</t>
        </is>
      </c>
      <c r="AY2073" t="inlineStr">
        <is>
          <t>2267744870002656</t>
        </is>
      </c>
      <c r="AZ2073" t="inlineStr">
        <is>
          <t>BOOK</t>
        </is>
      </c>
      <c r="BC2073" t="inlineStr">
        <is>
          <t>32285000857978</t>
        </is>
      </c>
      <c r="BD2073" t="inlineStr">
        <is>
          <t>893421723</t>
        </is>
      </c>
    </row>
    <row r="2074">
      <c r="A2074" t="inlineStr">
        <is>
          <t>No</t>
        </is>
      </c>
      <c r="B2074" t="inlineStr">
        <is>
          <t>BX4700.F33 P6 1932</t>
        </is>
      </c>
      <c r="C2074" t="inlineStr">
        <is>
          <t>0                      BX 4700000F  33                 P  6           1932</t>
        </is>
      </c>
      <c r="D2074" t="inlineStr">
        <is>
          <t>St. Philip Neri and the Roman society of his times (1515-1595) / by Louis Ponnelle and Louis Bordet ; translated by Ralph Francis Kerr.</t>
        </is>
      </c>
      <c r="F2074" t="inlineStr">
        <is>
          <t>No</t>
        </is>
      </c>
      <c r="G2074" t="inlineStr">
        <is>
          <t>1</t>
        </is>
      </c>
      <c r="H2074" t="inlineStr">
        <is>
          <t>No</t>
        </is>
      </c>
      <c r="I2074" t="inlineStr">
        <is>
          <t>No</t>
        </is>
      </c>
      <c r="J2074" t="inlineStr">
        <is>
          <t>0</t>
        </is>
      </c>
      <c r="K2074" t="inlineStr">
        <is>
          <t>Ponnelle, Louis, 1879-1918.</t>
        </is>
      </c>
      <c r="L2074" t="inlineStr">
        <is>
          <t>London : Sheed &amp; Ward, 1932.</t>
        </is>
      </c>
      <c r="M2074" t="inlineStr">
        <is>
          <t>1932</t>
        </is>
      </c>
      <c r="O2074" t="inlineStr">
        <is>
          <t>eng</t>
        </is>
      </c>
      <c r="P2074" t="inlineStr">
        <is>
          <t>enk</t>
        </is>
      </c>
      <c r="R2074" t="inlineStr">
        <is>
          <t xml:space="preserve">BX </t>
        </is>
      </c>
      <c r="S2074" t="n">
        <v>3</v>
      </c>
      <c r="T2074" t="n">
        <v>3</v>
      </c>
      <c r="U2074" t="inlineStr">
        <is>
          <t>2009-05-29</t>
        </is>
      </c>
      <c r="V2074" t="inlineStr">
        <is>
          <t>2009-05-29</t>
        </is>
      </c>
      <c r="W2074" t="inlineStr">
        <is>
          <t>1991-11-26</t>
        </is>
      </c>
      <c r="X2074" t="inlineStr">
        <is>
          <t>1991-11-26</t>
        </is>
      </c>
      <c r="Y2074" t="n">
        <v>135</v>
      </c>
      <c r="Z2074" t="n">
        <v>106</v>
      </c>
      <c r="AA2074" t="n">
        <v>160</v>
      </c>
      <c r="AB2074" t="n">
        <v>2</v>
      </c>
      <c r="AC2074" t="n">
        <v>2</v>
      </c>
      <c r="AD2074" t="n">
        <v>19</v>
      </c>
      <c r="AE2074" t="n">
        <v>21</v>
      </c>
      <c r="AF2074" t="n">
        <v>5</v>
      </c>
      <c r="AG2074" t="n">
        <v>7</v>
      </c>
      <c r="AH2074" t="n">
        <v>5</v>
      </c>
      <c r="AI2074" t="n">
        <v>5</v>
      </c>
      <c r="AJ2074" t="n">
        <v>16</v>
      </c>
      <c r="AK2074" t="n">
        <v>16</v>
      </c>
      <c r="AL2074" t="n">
        <v>0</v>
      </c>
      <c r="AM2074" t="n">
        <v>0</v>
      </c>
      <c r="AN2074" t="n">
        <v>0</v>
      </c>
      <c r="AO2074" t="n">
        <v>0</v>
      </c>
      <c r="AP2074" t="inlineStr">
        <is>
          <t>No</t>
        </is>
      </c>
      <c r="AQ2074" t="inlineStr">
        <is>
          <t>No</t>
        </is>
      </c>
      <c r="AS2074">
        <f>HYPERLINK("https://creighton-primo.hosted.exlibrisgroup.com/primo-explore/search?tab=default_tab&amp;search_scope=EVERYTHING&amp;vid=01CRU&amp;lang=en_US&amp;offset=0&amp;query=any,contains,991004421199702656","Catalog Record")</f>
        <v/>
      </c>
      <c r="AT2074">
        <f>HYPERLINK("http://www.worldcat.org/oclc/3381906","WorldCat Record")</f>
        <v/>
      </c>
      <c r="AU2074" t="inlineStr">
        <is>
          <t>10627705268:eng</t>
        </is>
      </c>
      <c r="AV2074" t="inlineStr">
        <is>
          <t>3381906</t>
        </is>
      </c>
      <c r="AW2074" t="inlineStr">
        <is>
          <t>991004421199702656</t>
        </is>
      </c>
      <c r="AX2074" t="inlineStr">
        <is>
          <t>991004421199702656</t>
        </is>
      </c>
      <c r="AY2074" t="inlineStr">
        <is>
          <t>2271274330002656</t>
        </is>
      </c>
      <c r="AZ2074" t="inlineStr">
        <is>
          <t>BOOK</t>
        </is>
      </c>
      <c r="BC2074" t="inlineStr">
        <is>
          <t>32285000857986</t>
        </is>
      </c>
      <c r="BD2074" t="inlineStr">
        <is>
          <t>893337708</t>
        </is>
      </c>
    </row>
    <row r="2075">
      <c r="A2075" t="inlineStr">
        <is>
          <t>No</t>
        </is>
      </c>
      <c r="B2075" t="inlineStr">
        <is>
          <t>BX4700.F34 H85 1989</t>
        </is>
      </c>
      <c r="C2075" t="inlineStr">
        <is>
          <t>0                      BX 4700000F  34                 H  85          1989</t>
        </is>
      </c>
      <c r="D2075" t="inlineStr">
        <is>
          <t>Humanism, reform, and the Reformation : the career of Bishop John Fisher / edited by Brendan Bradshaw and Eamon Duffy.</t>
        </is>
      </c>
      <c r="F2075" t="inlineStr">
        <is>
          <t>No</t>
        </is>
      </c>
      <c r="G2075" t="inlineStr">
        <is>
          <t>1</t>
        </is>
      </c>
      <c r="H2075" t="inlineStr">
        <is>
          <t>No</t>
        </is>
      </c>
      <c r="I2075" t="inlineStr">
        <is>
          <t>No</t>
        </is>
      </c>
      <c r="J2075" t="inlineStr">
        <is>
          <t>0</t>
        </is>
      </c>
      <c r="L2075" t="inlineStr">
        <is>
          <t>Cambridge ; New York : Cambridge University Press, 1989.</t>
        </is>
      </c>
      <c r="M2075" t="inlineStr">
        <is>
          <t>1989</t>
        </is>
      </c>
      <c r="O2075" t="inlineStr">
        <is>
          <t>eng</t>
        </is>
      </c>
      <c r="P2075" t="inlineStr">
        <is>
          <t>enk</t>
        </is>
      </c>
      <c r="R2075" t="inlineStr">
        <is>
          <t xml:space="preserve">BX </t>
        </is>
      </c>
      <c r="S2075" t="n">
        <v>3</v>
      </c>
      <c r="T2075" t="n">
        <v>3</v>
      </c>
      <c r="U2075" t="inlineStr">
        <is>
          <t>2010-04-19</t>
        </is>
      </c>
      <c r="V2075" t="inlineStr">
        <is>
          <t>2010-04-19</t>
        </is>
      </c>
      <c r="W2075" t="inlineStr">
        <is>
          <t>1989-11-16</t>
        </is>
      </c>
      <c r="X2075" t="inlineStr">
        <is>
          <t>1989-11-16</t>
        </is>
      </c>
      <c r="Y2075" t="n">
        <v>505</v>
      </c>
      <c r="Z2075" t="n">
        <v>371</v>
      </c>
      <c r="AA2075" t="n">
        <v>388</v>
      </c>
      <c r="AB2075" t="n">
        <v>3</v>
      </c>
      <c r="AC2075" t="n">
        <v>3</v>
      </c>
      <c r="AD2075" t="n">
        <v>26</v>
      </c>
      <c r="AE2075" t="n">
        <v>26</v>
      </c>
      <c r="AF2075" t="n">
        <v>10</v>
      </c>
      <c r="AG2075" t="n">
        <v>10</v>
      </c>
      <c r="AH2075" t="n">
        <v>8</v>
      </c>
      <c r="AI2075" t="n">
        <v>8</v>
      </c>
      <c r="AJ2075" t="n">
        <v>17</v>
      </c>
      <c r="AK2075" t="n">
        <v>17</v>
      </c>
      <c r="AL2075" t="n">
        <v>1</v>
      </c>
      <c r="AM2075" t="n">
        <v>1</v>
      </c>
      <c r="AN2075" t="n">
        <v>0</v>
      </c>
      <c r="AO2075" t="n">
        <v>0</v>
      </c>
      <c r="AP2075" t="inlineStr">
        <is>
          <t>No</t>
        </is>
      </c>
      <c r="AQ2075" t="inlineStr">
        <is>
          <t>No</t>
        </is>
      </c>
      <c r="AS2075">
        <f>HYPERLINK("https://creighton-primo.hosted.exlibrisgroup.com/primo-explore/search?tab=default_tab&amp;search_scope=EVERYTHING&amp;vid=01CRU&amp;lang=en_US&amp;offset=0&amp;query=any,contains,991001232429702656","Catalog Record")</f>
        <v/>
      </c>
      <c r="AT2075">
        <f>HYPERLINK("http://www.worldcat.org/oclc/17548259","WorldCat Record")</f>
        <v/>
      </c>
      <c r="AU2075" t="inlineStr">
        <is>
          <t>836807534:eng</t>
        </is>
      </c>
      <c r="AV2075" t="inlineStr">
        <is>
          <t>17548259</t>
        </is>
      </c>
      <c r="AW2075" t="inlineStr">
        <is>
          <t>991001232429702656</t>
        </is>
      </c>
      <c r="AX2075" t="inlineStr">
        <is>
          <t>991001232429702656</t>
        </is>
      </c>
      <c r="AY2075" t="inlineStr">
        <is>
          <t>2269412050002656</t>
        </is>
      </c>
      <c r="AZ2075" t="inlineStr">
        <is>
          <t>BOOK</t>
        </is>
      </c>
      <c r="BB2075" t="inlineStr">
        <is>
          <t>9780521340342</t>
        </is>
      </c>
      <c r="BC2075" t="inlineStr">
        <is>
          <t>32285000013515</t>
        </is>
      </c>
      <c r="BD2075" t="inlineStr">
        <is>
          <t>893432712</t>
        </is>
      </c>
    </row>
    <row r="2076">
      <c r="A2076" t="inlineStr">
        <is>
          <t>No</t>
        </is>
      </c>
      <c r="B2076" t="inlineStr">
        <is>
          <t>BX4700.F34 R29 1991</t>
        </is>
      </c>
      <c r="C2076" t="inlineStr">
        <is>
          <t>0                      BX 4700000F  34                 R  29          1991</t>
        </is>
      </c>
      <c r="D2076" t="inlineStr">
        <is>
          <t>The theology of John Fisher / Richard Rex.</t>
        </is>
      </c>
      <c r="F2076" t="inlineStr">
        <is>
          <t>No</t>
        </is>
      </c>
      <c r="G2076" t="inlineStr">
        <is>
          <t>1</t>
        </is>
      </c>
      <c r="H2076" t="inlineStr">
        <is>
          <t>No</t>
        </is>
      </c>
      <c r="I2076" t="inlineStr">
        <is>
          <t>No</t>
        </is>
      </c>
      <c r="J2076" t="inlineStr">
        <is>
          <t>0</t>
        </is>
      </c>
      <c r="K2076" t="inlineStr">
        <is>
          <t>Rex, Richard.</t>
        </is>
      </c>
      <c r="L2076" t="inlineStr">
        <is>
          <t>Cambridge ; New York : Cambridge University Press, 1991.</t>
        </is>
      </c>
      <c r="M2076" t="inlineStr">
        <is>
          <t>1991</t>
        </is>
      </c>
      <c r="O2076" t="inlineStr">
        <is>
          <t>eng</t>
        </is>
      </c>
      <c r="P2076" t="inlineStr">
        <is>
          <t>enk</t>
        </is>
      </c>
      <c r="R2076" t="inlineStr">
        <is>
          <t xml:space="preserve">BX </t>
        </is>
      </c>
      <c r="S2076" t="n">
        <v>2</v>
      </c>
      <c r="T2076" t="n">
        <v>2</v>
      </c>
      <c r="U2076" t="inlineStr">
        <is>
          <t>1993-11-14</t>
        </is>
      </c>
      <c r="V2076" t="inlineStr">
        <is>
          <t>1993-11-14</t>
        </is>
      </c>
      <c r="W2076" t="inlineStr">
        <is>
          <t>1992-03-25</t>
        </is>
      </c>
      <c r="X2076" t="inlineStr">
        <is>
          <t>1992-03-25</t>
        </is>
      </c>
      <c r="Y2076" t="n">
        <v>318</v>
      </c>
      <c r="Z2076" t="n">
        <v>232</v>
      </c>
      <c r="AA2076" t="n">
        <v>249</v>
      </c>
      <c r="AB2076" t="n">
        <v>2</v>
      </c>
      <c r="AC2076" t="n">
        <v>2</v>
      </c>
      <c r="AD2076" t="n">
        <v>17</v>
      </c>
      <c r="AE2076" t="n">
        <v>17</v>
      </c>
      <c r="AF2076" t="n">
        <v>4</v>
      </c>
      <c r="AG2076" t="n">
        <v>4</v>
      </c>
      <c r="AH2076" t="n">
        <v>6</v>
      </c>
      <c r="AI2076" t="n">
        <v>6</v>
      </c>
      <c r="AJ2076" t="n">
        <v>12</v>
      </c>
      <c r="AK2076" t="n">
        <v>12</v>
      </c>
      <c r="AL2076" t="n">
        <v>1</v>
      </c>
      <c r="AM2076" t="n">
        <v>1</v>
      </c>
      <c r="AN2076" t="n">
        <v>0</v>
      </c>
      <c r="AO2076" t="n">
        <v>0</v>
      </c>
      <c r="AP2076" t="inlineStr">
        <is>
          <t>No</t>
        </is>
      </c>
      <c r="AQ2076" t="inlineStr">
        <is>
          <t>No</t>
        </is>
      </c>
      <c r="AS2076">
        <f>HYPERLINK("https://creighton-primo.hosted.exlibrisgroup.com/primo-explore/search?tab=default_tab&amp;search_scope=EVERYTHING&amp;vid=01CRU&amp;lang=en_US&amp;offset=0&amp;query=any,contains,991001722729702656","Catalog Record")</f>
        <v/>
      </c>
      <c r="AT2076">
        <f>HYPERLINK("http://www.worldcat.org/oclc/21870210","WorldCat Record")</f>
        <v/>
      </c>
      <c r="AU2076" t="inlineStr">
        <is>
          <t>10086188:eng</t>
        </is>
      </c>
      <c r="AV2076" t="inlineStr">
        <is>
          <t>21870210</t>
        </is>
      </c>
      <c r="AW2076" t="inlineStr">
        <is>
          <t>991001722729702656</t>
        </is>
      </c>
      <c r="AX2076" t="inlineStr">
        <is>
          <t>991001722729702656</t>
        </is>
      </c>
      <c r="AY2076" t="inlineStr">
        <is>
          <t>2272191560002656</t>
        </is>
      </c>
      <c r="AZ2076" t="inlineStr">
        <is>
          <t>BOOK</t>
        </is>
      </c>
      <c r="BB2076" t="inlineStr">
        <is>
          <t>9780521391771</t>
        </is>
      </c>
      <c r="BC2076" t="inlineStr">
        <is>
          <t>32285001005155</t>
        </is>
      </c>
      <c r="BD2076" t="inlineStr">
        <is>
          <t>893885492</t>
        </is>
      </c>
    </row>
    <row r="2077">
      <c r="A2077" t="inlineStr">
        <is>
          <t>No</t>
        </is>
      </c>
      <c r="B2077" t="inlineStr">
        <is>
          <t>BX4700.F34 S8 1967</t>
        </is>
      </c>
      <c r="C2077" t="inlineStr">
        <is>
          <t>0                      BX 4700000F  34                 S  8           1967</t>
        </is>
      </c>
      <c r="D2077" t="inlineStr">
        <is>
          <t>The works and days of John Fisher : an introduction to the position of St. John Fisher (1469-1535), Bishop of Rochester, in the English Renaissance and the Reformation / by Edward Surtz.</t>
        </is>
      </c>
      <c r="F2077" t="inlineStr">
        <is>
          <t>No</t>
        </is>
      </c>
      <c r="G2077" t="inlineStr">
        <is>
          <t>1</t>
        </is>
      </c>
      <c r="H2077" t="inlineStr">
        <is>
          <t>No</t>
        </is>
      </c>
      <c r="I2077" t="inlineStr">
        <is>
          <t>No</t>
        </is>
      </c>
      <c r="J2077" t="inlineStr">
        <is>
          <t>0</t>
        </is>
      </c>
      <c r="K2077" t="inlineStr">
        <is>
          <t>Surtz, Edward, 1909-1973.</t>
        </is>
      </c>
      <c r="L2077" t="inlineStr">
        <is>
          <t>Cambridge : Harvard University Press, 1967.</t>
        </is>
      </c>
      <c r="M2077" t="inlineStr">
        <is>
          <t>1967</t>
        </is>
      </c>
      <c r="O2077" t="inlineStr">
        <is>
          <t>eng</t>
        </is>
      </c>
      <c r="P2077" t="inlineStr">
        <is>
          <t>mau</t>
        </is>
      </c>
      <c r="R2077" t="inlineStr">
        <is>
          <t xml:space="preserve">BX </t>
        </is>
      </c>
      <c r="S2077" t="n">
        <v>3</v>
      </c>
      <c r="T2077" t="n">
        <v>3</v>
      </c>
      <c r="U2077" t="inlineStr">
        <is>
          <t>1998-07-09</t>
        </is>
      </c>
      <c r="V2077" t="inlineStr">
        <is>
          <t>1998-07-09</t>
        </is>
      </c>
      <c r="W2077" t="inlineStr">
        <is>
          <t>1990-05-01</t>
        </is>
      </c>
      <c r="X2077" t="inlineStr">
        <is>
          <t>1990-05-01</t>
        </is>
      </c>
      <c r="Y2077" t="n">
        <v>606</v>
      </c>
      <c r="Z2077" t="n">
        <v>508</v>
      </c>
      <c r="AA2077" t="n">
        <v>517</v>
      </c>
      <c r="AB2077" t="n">
        <v>4</v>
      </c>
      <c r="AC2077" t="n">
        <v>4</v>
      </c>
      <c r="AD2077" t="n">
        <v>36</v>
      </c>
      <c r="AE2077" t="n">
        <v>36</v>
      </c>
      <c r="AF2077" t="n">
        <v>14</v>
      </c>
      <c r="AG2077" t="n">
        <v>14</v>
      </c>
      <c r="AH2077" t="n">
        <v>8</v>
      </c>
      <c r="AI2077" t="n">
        <v>8</v>
      </c>
      <c r="AJ2077" t="n">
        <v>22</v>
      </c>
      <c r="AK2077" t="n">
        <v>22</v>
      </c>
      <c r="AL2077" t="n">
        <v>3</v>
      </c>
      <c r="AM2077" t="n">
        <v>3</v>
      </c>
      <c r="AN2077" t="n">
        <v>0</v>
      </c>
      <c r="AO2077" t="n">
        <v>0</v>
      </c>
      <c r="AP2077" t="inlineStr">
        <is>
          <t>No</t>
        </is>
      </c>
      <c r="AQ2077" t="inlineStr">
        <is>
          <t>Yes</t>
        </is>
      </c>
      <c r="AR2077">
        <f>HYPERLINK("http://catalog.hathitrust.org/Record/001591615","HathiTrust Record")</f>
        <v/>
      </c>
      <c r="AS2077">
        <f>HYPERLINK("https://creighton-primo.hosted.exlibrisgroup.com/primo-explore/search?tab=default_tab&amp;search_scope=EVERYTHING&amp;vid=01CRU&amp;lang=en_US&amp;offset=0&amp;query=any,contains,991003255949702656","Catalog Record")</f>
        <v/>
      </c>
      <c r="AT2077">
        <f>HYPERLINK("http://www.worldcat.org/oclc/780934","WorldCat Record")</f>
        <v/>
      </c>
      <c r="AU2077" t="inlineStr">
        <is>
          <t>234446886:eng</t>
        </is>
      </c>
      <c r="AV2077" t="inlineStr">
        <is>
          <t>780934</t>
        </is>
      </c>
      <c r="AW2077" t="inlineStr">
        <is>
          <t>991003255949702656</t>
        </is>
      </c>
      <c r="AX2077" t="inlineStr">
        <is>
          <t>991003255949702656</t>
        </is>
      </c>
      <c r="AY2077" t="inlineStr">
        <is>
          <t>2263297150002656</t>
        </is>
      </c>
      <c r="AZ2077" t="inlineStr">
        <is>
          <t>BOOK</t>
        </is>
      </c>
      <c r="BC2077" t="inlineStr">
        <is>
          <t>32285000129782</t>
        </is>
      </c>
      <c r="BD2077" t="inlineStr">
        <is>
          <t>893348491</t>
        </is>
      </c>
    </row>
    <row r="2078">
      <c r="A2078" t="inlineStr">
        <is>
          <t>No</t>
        </is>
      </c>
      <c r="B2078" t="inlineStr">
        <is>
          <t>BX4700.F4 F8</t>
        </is>
      </c>
      <c r="C2078" t="inlineStr">
        <is>
          <t>0                      BX 4700000F  4                  F  8</t>
        </is>
      </c>
      <c r="D2078" t="inlineStr">
        <is>
          <t>The life of St. Frances of Rome / by Lady Georgiana Fullerton; of Blessed Lucy of Narni, of Dominica of Paradiso, and Anne de Montmorency: with an introductory essay on The miraculous life of the saints, by J. M. Capes, esq.</t>
        </is>
      </c>
      <c r="F2078" t="inlineStr">
        <is>
          <t>No</t>
        </is>
      </c>
      <c r="G2078" t="inlineStr">
        <is>
          <t>1</t>
        </is>
      </c>
      <c r="H2078" t="inlineStr">
        <is>
          <t>No</t>
        </is>
      </c>
      <c r="I2078" t="inlineStr">
        <is>
          <t>No</t>
        </is>
      </c>
      <c r="J2078" t="inlineStr">
        <is>
          <t>0</t>
        </is>
      </c>
      <c r="K2078" t="inlineStr">
        <is>
          <t>Fullerton, Georgiana, 1812-1885.</t>
        </is>
      </c>
      <c r="L2078" t="inlineStr">
        <is>
          <t>New York ; Montreal : D. &amp; J. Sadlier &amp; Co., [c1885]</t>
        </is>
      </c>
      <c r="M2078" t="inlineStr">
        <is>
          <t>1855</t>
        </is>
      </c>
      <c r="O2078" t="inlineStr">
        <is>
          <t>eng</t>
        </is>
      </c>
      <c r="P2078" t="inlineStr">
        <is>
          <t>nyu</t>
        </is>
      </c>
      <c r="R2078" t="inlineStr">
        <is>
          <t xml:space="preserve">BX </t>
        </is>
      </c>
      <c r="S2078" t="n">
        <v>1</v>
      </c>
      <c r="T2078" t="n">
        <v>1</v>
      </c>
      <c r="U2078" t="inlineStr">
        <is>
          <t>2001-04-24</t>
        </is>
      </c>
      <c r="V2078" t="inlineStr">
        <is>
          <t>2001-04-24</t>
        </is>
      </c>
      <c r="W2078" t="inlineStr">
        <is>
          <t>1994-06-29</t>
        </is>
      </c>
      <c r="X2078" t="inlineStr">
        <is>
          <t>1994-06-29</t>
        </is>
      </c>
      <c r="Y2078" t="n">
        <v>47</v>
      </c>
      <c r="Z2078" t="n">
        <v>42</v>
      </c>
      <c r="AA2078" t="n">
        <v>89</v>
      </c>
      <c r="AB2078" t="n">
        <v>1</v>
      </c>
      <c r="AC2078" t="n">
        <v>1</v>
      </c>
      <c r="AD2078" t="n">
        <v>12</v>
      </c>
      <c r="AE2078" t="n">
        <v>18</v>
      </c>
      <c r="AF2078" t="n">
        <v>1</v>
      </c>
      <c r="AG2078" t="n">
        <v>3</v>
      </c>
      <c r="AH2078" t="n">
        <v>5</v>
      </c>
      <c r="AI2078" t="n">
        <v>7</v>
      </c>
      <c r="AJ2078" t="n">
        <v>8</v>
      </c>
      <c r="AK2078" t="n">
        <v>13</v>
      </c>
      <c r="AL2078" t="n">
        <v>0</v>
      </c>
      <c r="AM2078" t="n">
        <v>0</v>
      </c>
      <c r="AN2078" t="n">
        <v>0</v>
      </c>
      <c r="AO2078" t="n">
        <v>0</v>
      </c>
      <c r="AP2078" t="inlineStr">
        <is>
          <t>Yes</t>
        </is>
      </c>
      <c r="AQ2078" t="inlineStr">
        <is>
          <t>No</t>
        </is>
      </c>
      <c r="AR2078">
        <f>HYPERLINK("http://catalog.hathitrust.org/Record/008681954","HathiTrust Record")</f>
        <v/>
      </c>
      <c r="AS2078">
        <f>HYPERLINK("https://creighton-primo.hosted.exlibrisgroup.com/primo-explore/search?tab=default_tab&amp;search_scope=EVERYTHING&amp;vid=01CRU&amp;lang=en_US&amp;offset=0&amp;query=any,contains,991004733169702656","Catalog Record")</f>
        <v/>
      </c>
      <c r="AT2078">
        <f>HYPERLINK("http://www.worldcat.org/oclc/4838701","WorldCat Record")</f>
        <v/>
      </c>
      <c r="AU2078" t="inlineStr">
        <is>
          <t>5326648:eng</t>
        </is>
      </c>
      <c r="AV2078" t="inlineStr">
        <is>
          <t>4838701</t>
        </is>
      </c>
      <c r="AW2078" t="inlineStr">
        <is>
          <t>991004733169702656</t>
        </is>
      </c>
      <c r="AX2078" t="inlineStr">
        <is>
          <t>991004733169702656</t>
        </is>
      </c>
      <c r="AY2078" t="inlineStr">
        <is>
          <t>2260818120002656</t>
        </is>
      </c>
      <c r="AZ2078" t="inlineStr">
        <is>
          <t>BOOK</t>
        </is>
      </c>
      <c r="BC2078" t="inlineStr">
        <is>
          <t>32285001935682</t>
        </is>
      </c>
      <c r="BD2078" t="inlineStr">
        <is>
          <t>893600172</t>
        </is>
      </c>
    </row>
    <row r="2079">
      <c r="A2079" t="inlineStr">
        <is>
          <t>No</t>
        </is>
      </c>
      <c r="B2079" t="inlineStr">
        <is>
          <t>BX4700.F6 C327513</t>
        </is>
      </c>
      <c r="C2079" t="inlineStr">
        <is>
          <t>0                      BX 4700000F  6                  C  327513</t>
        </is>
      </c>
      <c r="D2079" t="inlineStr">
        <is>
          <t>I, Francis / Carlo Carretto.</t>
        </is>
      </c>
      <c r="F2079" t="inlineStr">
        <is>
          <t>No</t>
        </is>
      </c>
      <c r="G2079" t="inlineStr">
        <is>
          <t>1</t>
        </is>
      </c>
      <c r="H2079" t="inlineStr">
        <is>
          <t>No</t>
        </is>
      </c>
      <c r="I2079" t="inlineStr">
        <is>
          <t>No</t>
        </is>
      </c>
      <c r="J2079" t="inlineStr">
        <is>
          <t>0</t>
        </is>
      </c>
      <c r="K2079" t="inlineStr">
        <is>
          <t>Carretto, Carlo.</t>
        </is>
      </c>
      <c r="L2079" t="inlineStr">
        <is>
          <t>Maryknoll, N.Y. : Orbis Books, 1982.</t>
        </is>
      </c>
      <c r="M2079" t="inlineStr">
        <is>
          <t>1982</t>
        </is>
      </c>
      <c r="O2079" t="inlineStr">
        <is>
          <t>eng</t>
        </is>
      </c>
      <c r="P2079" t="inlineStr">
        <is>
          <t>nyu</t>
        </is>
      </c>
      <c r="R2079" t="inlineStr">
        <is>
          <t xml:space="preserve">BX </t>
        </is>
      </c>
      <c r="S2079" t="n">
        <v>7</v>
      </c>
      <c r="T2079" t="n">
        <v>7</v>
      </c>
      <c r="U2079" t="inlineStr">
        <is>
          <t>1999-09-19</t>
        </is>
      </c>
      <c r="V2079" t="inlineStr">
        <is>
          <t>1999-09-19</t>
        </is>
      </c>
      <c r="W2079" t="inlineStr">
        <is>
          <t>1991-11-26</t>
        </is>
      </c>
      <c r="X2079" t="inlineStr">
        <is>
          <t>1991-11-26</t>
        </is>
      </c>
      <c r="Y2079" t="n">
        <v>378</v>
      </c>
      <c r="Z2079" t="n">
        <v>350</v>
      </c>
      <c r="AA2079" t="n">
        <v>356</v>
      </c>
      <c r="AB2079" t="n">
        <v>5</v>
      </c>
      <c r="AC2079" t="n">
        <v>5</v>
      </c>
      <c r="AD2079" t="n">
        <v>17</v>
      </c>
      <c r="AE2079" t="n">
        <v>17</v>
      </c>
      <c r="AF2079" t="n">
        <v>4</v>
      </c>
      <c r="AG2079" t="n">
        <v>4</v>
      </c>
      <c r="AH2079" t="n">
        <v>5</v>
      </c>
      <c r="AI2079" t="n">
        <v>5</v>
      </c>
      <c r="AJ2079" t="n">
        <v>12</v>
      </c>
      <c r="AK2079" t="n">
        <v>12</v>
      </c>
      <c r="AL2079" t="n">
        <v>1</v>
      </c>
      <c r="AM2079" t="n">
        <v>1</v>
      </c>
      <c r="AN2079" t="n">
        <v>0</v>
      </c>
      <c r="AO2079" t="n">
        <v>0</v>
      </c>
      <c r="AP2079" t="inlineStr">
        <is>
          <t>No</t>
        </is>
      </c>
      <c r="AQ2079" t="inlineStr">
        <is>
          <t>No</t>
        </is>
      </c>
      <c r="AS2079">
        <f>HYPERLINK("https://creighton-primo.hosted.exlibrisgroup.com/primo-explore/search?tab=default_tab&amp;search_scope=EVERYTHING&amp;vid=01CRU&amp;lang=en_US&amp;offset=0&amp;query=any,contains,991005176179702656","Catalog Record")</f>
        <v/>
      </c>
      <c r="AT2079">
        <f>HYPERLINK("http://www.worldcat.org/oclc/7923309","WorldCat Record")</f>
        <v/>
      </c>
      <c r="AU2079" t="inlineStr">
        <is>
          <t>1152194227:eng</t>
        </is>
      </c>
      <c r="AV2079" t="inlineStr">
        <is>
          <t>7923309</t>
        </is>
      </c>
      <c r="AW2079" t="inlineStr">
        <is>
          <t>991005176179702656</t>
        </is>
      </c>
      <c r="AX2079" t="inlineStr">
        <is>
          <t>991005176179702656</t>
        </is>
      </c>
      <c r="AY2079" t="inlineStr">
        <is>
          <t>2269299630002656</t>
        </is>
      </c>
      <c r="AZ2079" t="inlineStr">
        <is>
          <t>BOOK</t>
        </is>
      </c>
      <c r="BB2079" t="inlineStr">
        <is>
          <t>9780883442005</t>
        </is>
      </c>
      <c r="BC2079" t="inlineStr">
        <is>
          <t>32285000858067</t>
        </is>
      </c>
      <c r="BD2079" t="inlineStr">
        <is>
          <t>893719924</t>
        </is>
      </c>
    </row>
    <row r="2080">
      <c r="A2080" t="inlineStr">
        <is>
          <t>No</t>
        </is>
      </c>
      <c r="B2080" t="inlineStr">
        <is>
          <t>BX4700.F6 D8 1906</t>
        </is>
      </c>
      <c r="C2080" t="inlineStr">
        <is>
          <t>0                      BX 4700000F  6                  D  8           1906</t>
        </is>
      </c>
      <c r="D2080" t="inlineStr">
        <is>
          <t>Saint Francis of Assisi, social reformer / by Leo L. Dubois, S.M.</t>
        </is>
      </c>
      <c r="F2080" t="inlineStr">
        <is>
          <t>No</t>
        </is>
      </c>
      <c r="G2080" t="inlineStr">
        <is>
          <t>1</t>
        </is>
      </c>
      <c r="H2080" t="inlineStr">
        <is>
          <t>No</t>
        </is>
      </c>
      <c r="I2080" t="inlineStr">
        <is>
          <t>No</t>
        </is>
      </c>
      <c r="J2080" t="inlineStr">
        <is>
          <t>0</t>
        </is>
      </c>
      <c r="K2080" t="inlineStr">
        <is>
          <t>Dubois, Leo L. (Leo Luis), 1873-</t>
        </is>
      </c>
      <c r="L2080" t="inlineStr">
        <is>
          <t>New York ; Cincinnati [etc.] : Benziger Brothers, 1906.</t>
        </is>
      </c>
      <c r="M2080" t="inlineStr">
        <is>
          <t>1906</t>
        </is>
      </c>
      <c r="O2080" t="inlineStr">
        <is>
          <t>eng</t>
        </is>
      </c>
      <c r="P2080" t="inlineStr">
        <is>
          <t>nyu</t>
        </is>
      </c>
      <c r="R2080" t="inlineStr">
        <is>
          <t xml:space="preserve">BX </t>
        </is>
      </c>
      <c r="S2080" t="n">
        <v>9</v>
      </c>
      <c r="T2080" t="n">
        <v>9</v>
      </c>
      <c r="U2080" t="inlineStr">
        <is>
          <t>2002-10-28</t>
        </is>
      </c>
      <c r="V2080" t="inlineStr">
        <is>
          <t>2002-10-28</t>
        </is>
      </c>
      <c r="W2080" t="inlineStr">
        <is>
          <t>1990-05-07</t>
        </is>
      </c>
      <c r="X2080" t="inlineStr">
        <is>
          <t>1990-05-07</t>
        </is>
      </c>
      <c r="Y2080" t="n">
        <v>105</v>
      </c>
      <c r="Z2080" t="n">
        <v>93</v>
      </c>
      <c r="AA2080" t="n">
        <v>170</v>
      </c>
      <c r="AB2080" t="n">
        <v>2</v>
      </c>
      <c r="AC2080" t="n">
        <v>3</v>
      </c>
      <c r="AD2080" t="n">
        <v>16</v>
      </c>
      <c r="AE2080" t="n">
        <v>19</v>
      </c>
      <c r="AF2080" t="n">
        <v>4</v>
      </c>
      <c r="AG2080" t="n">
        <v>5</v>
      </c>
      <c r="AH2080" t="n">
        <v>4</v>
      </c>
      <c r="AI2080" t="n">
        <v>4</v>
      </c>
      <c r="AJ2080" t="n">
        <v>11</v>
      </c>
      <c r="AK2080" t="n">
        <v>13</v>
      </c>
      <c r="AL2080" t="n">
        <v>0</v>
      </c>
      <c r="AM2080" t="n">
        <v>1</v>
      </c>
      <c r="AN2080" t="n">
        <v>0</v>
      </c>
      <c r="AO2080" t="n">
        <v>0</v>
      </c>
      <c r="AP2080" t="inlineStr">
        <is>
          <t>Yes</t>
        </is>
      </c>
      <c r="AQ2080" t="inlineStr">
        <is>
          <t>No</t>
        </is>
      </c>
      <c r="AR2080">
        <f>HYPERLINK("http://catalog.hathitrust.org/Record/008626123","HathiTrust Record")</f>
        <v/>
      </c>
      <c r="AS2080">
        <f>HYPERLINK("https://creighton-primo.hosted.exlibrisgroup.com/primo-explore/search?tab=default_tab&amp;search_scope=EVERYTHING&amp;vid=01CRU&amp;lang=en_US&amp;offset=0&amp;query=any,contains,991003557189702656","Catalog Record")</f>
        <v/>
      </c>
      <c r="AT2080">
        <f>HYPERLINK("http://www.worldcat.org/oclc/1125905","WorldCat Record")</f>
        <v/>
      </c>
      <c r="AU2080" t="inlineStr">
        <is>
          <t>2036631:eng</t>
        </is>
      </c>
      <c r="AV2080" t="inlineStr">
        <is>
          <t>1125905</t>
        </is>
      </c>
      <c r="AW2080" t="inlineStr">
        <is>
          <t>991003557189702656</t>
        </is>
      </c>
      <c r="AX2080" t="inlineStr">
        <is>
          <t>991003557189702656</t>
        </is>
      </c>
      <c r="AY2080" t="inlineStr">
        <is>
          <t>2268994870002656</t>
        </is>
      </c>
      <c r="AZ2080" t="inlineStr">
        <is>
          <t>BOOK</t>
        </is>
      </c>
      <c r="BC2080" t="inlineStr">
        <is>
          <t>32285000149509</t>
        </is>
      </c>
      <c r="BD2080" t="inlineStr">
        <is>
          <t>893330430</t>
        </is>
      </c>
    </row>
    <row r="2081">
      <c r="A2081" t="inlineStr">
        <is>
          <t>No</t>
        </is>
      </c>
      <c r="B2081" t="inlineStr">
        <is>
          <t>BX4700.F6 G42 1934</t>
        </is>
      </c>
      <c r="C2081" t="inlineStr">
        <is>
          <t>0                      BX 4700000F  6                  G  42          1934</t>
        </is>
      </c>
      <c r="D2081" t="inlineStr">
        <is>
          <t>The Franciscan message to the world / by Agostino Gemelli ; translated and adapted by Henry Louis Hughes.</t>
        </is>
      </c>
      <c r="F2081" t="inlineStr">
        <is>
          <t>No</t>
        </is>
      </c>
      <c r="G2081" t="inlineStr">
        <is>
          <t>1</t>
        </is>
      </c>
      <c r="H2081" t="inlineStr">
        <is>
          <t>No</t>
        </is>
      </c>
      <c r="I2081" t="inlineStr">
        <is>
          <t>No</t>
        </is>
      </c>
      <c r="J2081" t="inlineStr">
        <is>
          <t>0</t>
        </is>
      </c>
      <c r="K2081" t="inlineStr">
        <is>
          <t>Gemelli, Agostino, 1878-1959.</t>
        </is>
      </c>
      <c r="L2081" t="inlineStr">
        <is>
          <t>London : Burns, Oates &amp; Washburne, ltd., [1934]</t>
        </is>
      </c>
      <c r="M2081" t="inlineStr">
        <is>
          <t>1934</t>
        </is>
      </c>
      <c r="O2081" t="inlineStr">
        <is>
          <t>eng</t>
        </is>
      </c>
      <c r="P2081" t="inlineStr">
        <is>
          <t>enk</t>
        </is>
      </c>
      <c r="R2081" t="inlineStr">
        <is>
          <t xml:space="preserve">BX </t>
        </is>
      </c>
      <c r="S2081" t="n">
        <v>7</v>
      </c>
      <c r="T2081" t="n">
        <v>7</v>
      </c>
      <c r="U2081" t="inlineStr">
        <is>
          <t>2001-10-11</t>
        </is>
      </c>
      <c r="V2081" t="inlineStr">
        <is>
          <t>2001-10-11</t>
        </is>
      </c>
      <c r="W2081" t="inlineStr">
        <is>
          <t>1991-09-03</t>
        </is>
      </c>
      <c r="X2081" t="inlineStr">
        <is>
          <t>1991-09-03</t>
        </is>
      </c>
      <c r="Y2081" t="n">
        <v>95</v>
      </c>
      <c r="Z2081" t="n">
        <v>76</v>
      </c>
      <c r="AA2081" t="n">
        <v>80</v>
      </c>
      <c r="AB2081" t="n">
        <v>2</v>
      </c>
      <c r="AC2081" t="n">
        <v>2</v>
      </c>
      <c r="AD2081" t="n">
        <v>15</v>
      </c>
      <c r="AE2081" t="n">
        <v>16</v>
      </c>
      <c r="AF2081" t="n">
        <v>3</v>
      </c>
      <c r="AG2081" t="n">
        <v>4</v>
      </c>
      <c r="AH2081" t="n">
        <v>3</v>
      </c>
      <c r="AI2081" t="n">
        <v>3</v>
      </c>
      <c r="AJ2081" t="n">
        <v>13</v>
      </c>
      <c r="AK2081" t="n">
        <v>13</v>
      </c>
      <c r="AL2081" t="n">
        <v>0</v>
      </c>
      <c r="AM2081" t="n">
        <v>0</v>
      </c>
      <c r="AN2081" t="n">
        <v>0</v>
      </c>
      <c r="AO2081" t="n">
        <v>0</v>
      </c>
      <c r="AP2081" t="inlineStr">
        <is>
          <t>No</t>
        </is>
      </c>
      <c r="AQ2081" t="inlineStr">
        <is>
          <t>No</t>
        </is>
      </c>
      <c r="AS2081">
        <f>HYPERLINK("https://creighton-primo.hosted.exlibrisgroup.com/primo-explore/search?tab=default_tab&amp;search_scope=EVERYTHING&amp;vid=01CRU&amp;lang=en_US&amp;offset=0&amp;query=any,contains,991004353159702656","Catalog Record")</f>
        <v/>
      </c>
      <c r="AT2081">
        <f>HYPERLINK("http://www.worldcat.org/oclc/3123321","WorldCat Record")</f>
        <v/>
      </c>
      <c r="AU2081" t="inlineStr">
        <is>
          <t>8215193:eng</t>
        </is>
      </c>
      <c r="AV2081" t="inlineStr">
        <is>
          <t>3123321</t>
        </is>
      </c>
      <c r="AW2081" t="inlineStr">
        <is>
          <t>991004353159702656</t>
        </is>
      </c>
      <c r="AX2081" t="inlineStr">
        <is>
          <t>991004353159702656</t>
        </is>
      </c>
      <c r="AY2081" t="inlineStr">
        <is>
          <t>2264376750002656</t>
        </is>
      </c>
      <c r="AZ2081" t="inlineStr">
        <is>
          <t>BOOK</t>
        </is>
      </c>
      <c r="BC2081" t="inlineStr">
        <is>
          <t>32285000734623</t>
        </is>
      </c>
      <c r="BD2081" t="inlineStr">
        <is>
          <t>893429958</t>
        </is>
      </c>
    </row>
    <row r="2082">
      <c r="A2082" t="inlineStr">
        <is>
          <t>No</t>
        </is>
      </c>
      <c r="B2082" t="inlineStr">
        <is>
          <t>BX4700.F6 J5 1912</t>
        </is>
      </c>
      <c r="C2082" t="inlineStr">
        <is>
          <t>0                      BX 4700000F  6                  J  5           1912</t>
        </is>
      </c>
      <c r="D2082" t="inlineStr">
        <is>
          <t>Saint Francis of Assisi : a biography / by Johannes Jörgensen, tr. from the Danish with the author's sanction, by T. O'Conor Sloane, PH. D.</t>
        </is>
      </c>
      <c r="F2082" t="inlineStr">
        <is>
          <t>No</t>
        </is>
      </c>
      <c r="G2082" t="inlineStr">
        <is>
          <t>1</t>
        </is>
      </c>
      <c r="H2082" t="inlineStr">
        <is>
          <t>No</t>
        </is>
      </c>
      <c r="I2082" t="inlineStr">
        <is>
          <t>No</t>
        </is>
      </c>
      <c r="J2082" t="inlineStr">
        <is>
          <t>0</t>
        </is>
      </c>
      <c r="K2082" t="inlineStr">
        <is>
          <t>Jørgensen, Johannes, 1866-1956.</t>
        </is>
      </c>
      <c r="L2082" t="inlineStr">
        <is>
          <t>New York : Longmans, Green, and co., 1912.</t>
        </is>
      </c>
      <c r="M2082" t="inlineStr">
        <is>
          <t>1912</t>
        </is>
      </c>
      <c r="O2082" t="inlineStr">
        <is>
          <t>eng</t>
        </is>
      </c>
      <c r="P2082" t="inlineStr">
        <is>
          <t>nyu</t>
        </is>
      </c>
      <c r="R2082" t="inlineStr">
        <is>
          <t xml:space="preserve">BX </t>
        </is>
      </c>
      <c r="S2082" t="n">
        <v>7</v>
      </c>
      <c r="T2082" t="n">
        <v>7</v>
      </c>
      <c r="U2082" t="inlineStr">
        <is>
          <t>2003-02-18</t>
        </is>
      </c>
      <c r="V2082" t="inlineStr">
        <is>
          <t>2003-02-18</t>
        </is>
      </c>
      <c r="W2082" t="inlineStr">
        <is>
          <t>1991-11-26</t>
        </is>
      </c>
      <c r="X2082" t="inlineStr">
        <is>
          <t>1991-11-26</t>
        </is>
      </c>
      <c r="Y2082" t="n">
        <v>266</v>
      </c>
      <c r="Z2082" t="n">
        <v>246</v>
      </c>
      <c r="AA2082" t="n">
        <v>626</v>
      </c>
      <c r="AB2082" t="n">
        <v>1</v>
      </c>
      <c r="AC2082" t="n">
        <v>3</v>
      </c>
      <c r="AD2082" t="n">
        <v>22</v>
      </c>
      <c r="AE2082" t="n">
        <v>37</v>
      </c>
      <c r="AF2082" t="n">
        <v>7</v>
      </c>
      <c r="AG2082" t="n">
        <v>14</v>
      </c>
      <c r="AH2082" t="n">
        <v>5</v>
      </c>
      <c r="AI2082" t="n">
        <v>8</v>
      </c>
      <c r="AJ2082" t="n">
        <v>17</v>
      </c>
      <c r="AK2082" t="n">
        <v>25</v>
      </c>
      <c r="AL2082" t="n">
        <v>0</v>
      </c>
      <c r="AM2082" t="n">
        <v>1</v>
      </c>
      <c r="AN2082" t="n">
        <v>0</v>
      </c>
      <c r="AO2082" t="n">
        <v>0</v>
      </c>
      <c r="AP2082" t="inlineStr">
        <is>
          <t>Yes</t>
        </is>
      </c>
      <c r="AQ2082" t="inlineStr">
        <is>
          <t>No</t>
        </is>
      </c>
      <c r="AR2082">
        <f>HYPERLINK("http://catalog.hathitrust.org/Record/006663066","HathiTrust Record")</f>
        <v/>
      </c>
      <c r="AS2082">
        <f>HYPERLINK("https://creighton-primo.hosted.exlibrisgroup.com/primo-explore/search?tab=default_tab&amp;search_scope=EVERYTHING&amp;vid=01CRU&amp;lang=en_US&amp;offset=0&amp;query=any,contains,991001144499702656","Catalog Record")</f>
        <v/>
      </c>
      <c r="AT2082">
        <f>HYPERLINK("http://www.worldcat.org/oclc/185534","WorldCat Record")</f>
        <v/>
      </c>
      <c r="AU2082" t="inlineStr">
        <is>
          <t>4159858115:eng</t>
        </is>
      </c>
      <c r="AV2082" t="inlineStr">
        <is>
          <t>185534</t>
        </is>
      </c>
      <c r="AW2082" t="inlineStr">
        <is>
          <t>991001144499702656</t>
        </is>
      </c>
      <c r="AX2082" t="inlineStr">
        <is>
          <t>991001144499702656</t>
        </is>
      </c>
      <c r="AY2082" t="inlineStr">
        <is>
          <t>2269092000002656</t>
        </is>
      </c>
      <c r="AZ2082" t="inlineStr">
        <is>
          <t>BOOK</t>
        </is>
      </c>
      <c r="BC2082" t="inlineStr">
        <is>
          <t>32285000858083</t>
        </is>
      </c>
      <c r="BD2082" t="inlineStr">
        <is>
          <t>893590062</t>
        </is>
      </c>
    </row>
    <row r="2083">
      <c r="A2083" t="inlineStr">
        <is>
          <t>No</t>
        </is>
      </c>
      <c r="B2083" t="inlineStr">
        <is>
          <t>BX4700.F6 L413 1900</t>
        </is>
      </c>
      <c r="C2083" t="inlineStr">
        <is>
          <t>0                      BX 4700000F  6                  L  413         1900</t>
        </is>
      </c>
      <c r="D2083" t="inlineStr">
        <is>
          <t>Saint Francis of Assisi / by Léopold de Chérancé ; authorized translation from the French by R. F. O'Connor.</t>
        </is>
      </c>
      <c r="F2083" t="inlineStr">
        <is>
          <t>No</t>
        </is>
      </c>
      <c r="G2083" t="inlineStr">
        <is>
          <t>1</t>
        </is>
      </c>
      <c r="H2083" t="inlineStr">
        <is>
          <t>No</t>
        </is>
      </c>
      <c r="I2083" t="inlineStr">
        <is>
          <t>No</t>
        </is>
      </c>
      <c r="J2083" t="inlineStr">
        <is>
          <t>0</t>
        </is>
      </c>
      <c r="K2083" t="inlineStr">
        <is>
          <t>Léopold, de Chérancé, 1838-1926.</t>
        </is>
      </c>
      <c r="L2083" t="inlineStr">
        <is>
          <t>London : Burns and Oates ; New York : Benziger, [1900]</t>
        </is>
      </c>
      <c r="M2083" t="inlineStr">
        <is>
          <t>1900</t>
        </is>
      </c>
      <c r="N2083" t="inlineStr">
        <is>
          <t>3rd ed., enl. and illus.</t>
        </is>
      </c>
      <c r="O2083" t="inlineStr">
        <is>
          <t>eng</t>
        </is>
      </c>
      <c r="P2083" t="inlineStr">
        <is>
          <t>enk</t>
        </is>
      </c>
      <c r="R2083" t="inlineStr">
        <is>
          <t xml:space="preserve">BX </t>
        </is>
      </c>
      <c r="S2083" t="n">
        <v>5</v>
      </c>
      <c r="T2083" t="n">
        <v>5</v>
      </c>
      <c r="U2083" t="inlineStr">
        <is>
          <t>2001-10-31</t>
        </is>
      </c>
      <c r="V2083" t="inlineStr">
        <is>
          <t>2001-10-31</t>
        </is>
      </c>
      <c r="W2083" t="inlineStr">
        <is>
          <t>1991-11-26</t>
        </is>
      </c>
      <c r="X2083" t="inlineStr">
        <is>
          <t>1991-11-26</t>
        </is>
      </c>
      <c r="Y2083" t="n">
        <v>25</v>
      </c>
      <c r="Z2083" t="n">
        <v>22</v>
      </c>
      <c r="AA2083" t="n">
        <v>64</v>
      </c>
      <c r="AB2083" t="n">
        <v>1</v>
      </c>
      <c r="AC2083" t="n">
        <v>1</v>
      </c>
      <c r="AD2083" t="n">
        <v>3</v>
      </c>
      <c r="AE2083" t="n">
        <v>4</v>
      </c>
      <c r="AF2083" t="n">
        <v>0</v>
      </c>
      <c r="AG2083" t="n">
        <v>0</v>
      </c>
      <c r="AH2083" t="n">
        <v>1</v>
      </c>
      <c r="AI2083" t="n">
        <v>1</v>
      </c>
      <c r="AJ2083" t="n">
        <v>2</v>
      </c>
      <c r="AK2083" t="n">
        <v>3</v>
      </c>
      <c r="AL2083" t="n">
        <v>0</v>
      </c>
      <c r="AM2083" t="n">
        <v>0</v>
      </c>
      <c r="AN2083" t="n">
        <v>0</v>
      </c>
      <c r="AO2083" t="n">
        <v>0</v>
      </c>
      <c r="AP2083" t="inlineStr">
        <is>
          <t>Yes</t>
        </is>
      </c>
      <c r="AQ2083" t="inlineStr">
        <is>
          <t>No</t>
        </is>
      </c>
      <c r="AR2083">
        <f>HYPERLINK("http://catalog.hathitrust.org/Record/008730632","HathiTrust Record")</f>
        <v/>
      </c>
      <c r="AS2083">
        <f>HYPERLINK("https://creighton-primo.hosted.exlibrisgroup.com/primo-explore/search?tab=default_tab&amp;search_scope=EVERYTHING&amp;vid=01CRU&amp;lang=en_US&amp;offset=0&amp;query=any,contains,991000160979702656","Catalog Record")</f>
        <v/>
      </c>
      <c r="AT2083">
        <f>HYPERLINK("http://www.worldcat.org/oclc/9270549","WorldCat Record")</f>
        <v/>
      </c>
      <c r="AU2083" t="inlineStr">
        <is>
          <t>9586200862:eng</t>
        </is>
      </c>
      <c r="AV2083" t="inlineStr">
        <is>
          <t>9270549</t>
        </is>
      </c>
      <c r="AW2083" t="inlineStr">
        <is>
          <t>991000160979702656</t>
        </is>
      </c>
      <c r="AX2083" t="inlineStr">
        <is>
          <t>991000160979702656</t>
        </is>
      </c>
      <c r="AY2083" t="inlineStr">
        <is>
          <t>2264126960002656</t>
        </is>
      </c>
      <c r="AZ2083" t="inlineStr">
        <is>
          <t>BOOK</t>
        </is>
      </c>
      <c r="BC2083" t="inlineStr">
        <is>
          <t>32285000858109</t>
        </is>
      </c>
      <c r="BD2083" t="inlineStr">
        <is>
          <t>893327086</t>
        </is>
      </c>
    </row>
    <row r="2084">
      <c r="A2084" t="inlineStr">
        <is>
          <t>No</t>
        </is>
      </c>
      <c r="B2084" t="inlineStr">
        <is>
          <t>BX4700.F6 L6 1897</t>
        </is>
      </c>
      <c r="C2084" t="inlineStr">
        <is>
          <t>0                      BX 4700000F  6                  L  6           1897</t>
        </is>
      </c>
      <c r="D2084" t="inlineStr">
        <is>
          <t>St. Francis of Assisi : his times, life and work : lectures delivered in substance in the Ladye chapel of Worcester cathedral in the Lent of 1896 / by W. J. Knox Little.</t>
        </is>
      </c>
      <c r="F2084" t="inlineStr">
        <is>
          <t>No</t>
        </is>
      </c>
      <c r="G2084" t="inlineStr">
        <is>
          <t>1</t>
        </is>
      </c>
      <c r="H2084" t="inlineStr">
        <is>
          <t>No</t>
        </is>
      </c>
      <c r="I2084" t="inlineStr">
        <is>
          <t>No</t>
        </is>
      </c>
      <c r="J2084" t="inlineStr">
        <is>
          <t>0</t>
        </is>
      </c>
      <c r="K2084" t="inlineStr">
        <is>
          <t>Knox-Little, W. J. (William John), 1839-1918.</t>
        </is>
      </c>
      <c r="L2084" t="inlineStr">
        <is>
          <t>London : Isbister &amp; Co., ltd., 1897.</t>
        </is>
      </c>
      <c r="M2084" t="inlineStr">
        <is>
          <t>1897</t>
        </is>
      </c>
      <c r="O2084" t="inlineStr">
        <is>
          <t>eng</t>
        </is>
      </c>
      <c r="P2084" t="inlineStr">
        <is>
          <t>enk</t>
        </is>
      </c>
      <c r="R2084" t="inlineStr">
        <is>
          <t xml:space="preserve">BX </t>
        </is>
      </c>
      <c r="S2084" t="n">
        <v>10</v>
      </c>
      <c r="T2084" t="n">
        <v>10</v>
      </c>
      <c r="U2084" t="inlineStr">
        <is>
          <t>2006-04-14</t>
        </is>
      </c>
      <c r="V2084" t="inlineStr">
        <is>
          <t>2006-04-14</t>
        </is>
      </c>
      <c r="W2084" t="inlineStr">
        <is>
          <t>1990-05-02</t>
        </is>
      </c>
      <c r="X2084" t="inlineStr">
        <is>
          <t>1990-05-02</t>
        </is>
      </c>
      <c r="Y2084" t="n">
        <v>105</v>
      </c>
      <c r="Z2084" t="n">
        <v>83</v>
      </c>
      <c r="AA2084" t="n">
        <v>136</v>
      </c>
      <c r="AB2084" t="n">
        <v>1</v>
      </c>
      <c r="AC2084" t="n">
        <v>2</v>
      </c>
      <c r="AD2084" t="n">
        <v>4</v>
      </c>
      <c r="AE2084" t="n">
        <v>6</v>
      </c>
      <c r="AF2084" t="n">
        <v>0</v>
      </c>
      <c r="AG2084" t="n">
        <v>0</v>
      </c>
      <c r="AH2084" t="n">
        <v>0</v>
      </c>
      <c r="AI2084" t="n">
        <v>1</v>
      </c>
      <c r="AJ2084" t="n">
        <v>4</v>
      </c>
      <c r="AK2084" t="n">
        <v>4</v>
      </c>
      <c r="AL2084" t="n">
        <v>0</v>
      </c>
      <c r="AM2084" t="n">
        <v>1</v>
      </c>
      <c r="AN2084" t="n">
        <v>0</v>
      </c>
      <c r="AO2084" t="n">
        <v>0</v>
      </c>
      <c r="AP2084" t="inlineStr">
        <is>
          <t>Yes</t>
        </is>
      </c>
      <c r="AQ2084" t="inlineStr">
        <is>
          <t>No</t>
        </is>
      </c>
      <c r="AR2084">
        <f>HYPERLINK("http://catalog.hathitrust.org/Record/008733901","HathiTrust Record")</f>
        <v/>
      </c>
      <c r="AS2084">
        <f>HYPERLINK("https://creighton-primo.hosted.exlibrisgroup.com/primo-explore/search?tab=default_tab&amp;search_scope=EVERYTHING&amp;vid=01CRU&amp;lang=en_US&amp;offset=0&amp;query=any,contains,991004050009702656","Catalog Record")</f>
        <v/>
      </c>
      <c r="AT2084">
        <f>HYPERLINK("http://www.worldcat.org/oclc/2211501","WorldCat Record")</f>
        <v/>
      </c>
      <c r="AU2084" t="inlineStr">
        <is>
          <t>3945472:eng</t>
        </is>
      </c>
      <c r="AV2084" t="inlineStr">
        <is>
          <t>2211501</t>
        </is>
      </c>
      <c r="AW2084" t="inlineStr">
        <is>
          <t>991004050009702656</t>
        </is>
      </c>
      <c r="AX2084" t="inlineStr">
        <is>
          <t>991004050009702656</t>
        </is>
      </c>
      <c r="AY2084" t="inlineStr">
        <is>
          <t>2269708160002656</t>
        </is>
      </c>
      <c r="AZ2084" t="inlineStr">
        <is>
          <t>BOOK</t>
        </is>
      </c>
      <c r="BC2084" t="inlineStr">
        <is>
          <t>32285000146414</t>
        </is>
      </c>
      <c r="BD2084" t="inlineStr">
        <is>
          <t>893512744</t>
        </is>
      </c>
    </row>
    <row r="2085">
      <c r="A2085" t="inlineStr">
        <is>
          <t>No</t>
        </is>
      </c>
      <c r="B2085" t="inlineStr">
        <is>
          <t>BX4700.F6 M364 1948</t>
        </is>
      </c>
      <c r="C2085" t="inlineStr">
        <is>
          <t>0                      BX 4700000F  6                  M  364         1948</t>
        </is>
      </c>
      <c r="D2085" t="inlineStr">
        <is>
          <t>Richest of the poor : the life of Saint Francis of Assisi.</t>
        </is>
      </c>
      <c r="F2085" t="inlineStr">
        <is>
          <t>No</t>
        </is>
      </c>
      <c r="G2085" t="inlineStr">
        <is>
          <t>1</t>
        </is>
      </c>
      <c r="H2085" t="inlineStr">
        <is>
          <t>No</t>
        </is>
      </c>
      <c r="I2085" t="inlineStr">
        <is>
          <t>No</t>
        </is>
      </c>
      <c r="J2085" t="inlineStr">
        <is>
          <t>0</t>
        </is>
      </c>
      <c r="K2085" t="inlineStr">
        <is>
          <t>Maynard, Theodore, 1890-1956.</t>
        </is>
      </c>
      <c r="L2085" t="inlineStr">
        <is>
          <t>Garden City, N.Y. : Doubleday, 1948.</t>
        </is>
      </c>
      <c r="M2085" t="inlineStr">
        <is>
          <t>1948</t>
        </is>
      </c>
      <c r="N2085" t="inlineStr">
        <is>
          <t>[1st ed.]</t>
        </is>
      </c>
      <c r="O2085" t="inlineStr">
        <is>
          <t>eng</t>
        </is>
      </c>
      <c r="P2085" t="inlineStr">
        <is>
          <t>nyu</t>
        </is>
      </c>
      <c r="R2085" t="inlineStr">
        <is>
          <t xml:space="preserve">BX </t>
        </is>
      </c>
      <c r="S2085" t="n">
        <v>9</v>
      </c>
      <c r="T2085" t="n">
        <v>9</v>
      </c>
      <c r="U2085" t="inlineStr">
        <is>
          <t>2004-04-22</t>
        </is>
      </c>
      <c r="V2085" t="inlineStr">
        <is>
          <t>2004-04-22</t>
        </is>
      </c>
      <c r="W2085" t="inlineStr">
        <is>
          <t>1990-05-21</t>
        </is>
      </c>
      <c r="X2085" t="inlineStr">
        <is>
          <t>1990-05-21</t>
        </is>
      </c>
      <c r="Y2085" t="n">
        <v>394</v>
      </c>
      <c r="Z2085" t="n">
        <v>366</v>
      </c>
      <c r="AA2085" t="n">
        <v>414</v>
      </c>
      <c r="AB2085" t="n">
        <v>4</v>
      </c>
      <c r="AC2085" t="n">
        <v>4</v>
      </c>
      <c r="AD2085" t="n">
        <v>30</v>
      </c>
      <c r="AE2085" t="n">
        <v>31</v>
      </c>
      <c r="AF2085" t="n">
        <v>11</v>
      </c>
      <c r="AG2085" t="n">
        <v>12</v>
      </c>
      <c r="AH2085" t="n">
        <v>9</v>
      </c>
      <c r="AI2085" t="n">
        <v>9</v>
      </c>
      <c r="AJ2085" t="n">
        <v>19</v>
      </c>
      <c r="AK2085" t="n">
        <v>19</v>
      </c>
      <c r="AL2085" t="n">
        <v>1</v>
      </c>
      <c r="AM2085" t="n">
        <v>1</v>
      </c>
      <c r="AN2085" t="n">
        <v>0</v>
      </c>
      <c r="AO2085" t="n">
        <v>0</v>
      </c>
      <c r="AP2085" t="inlineStr">
        <is>
          <t>No</t>
        </is>
      </c>
      <c r="AQ2085" t="inlineStr">
        <is>
          <t>Yes</t>
        </is>
      </c>
      <c r="AR2085">
        <f>HYPERLINK("http://catalog.hathitrust.org/Record/009007507","HathiTrust Record")</f>
        <v/>
      </c>
      <c r="AS2085">
        <f>HYPERLINK("https://creighton-primo.hosted.exlibrisgroup.com/primo-explore/search?tab=default_tab&amp;search_scope=EVERYTHING&amp;vid=01CRU&amp;lang=en_US&amp;offset=0&amp;query=any,contains,991003647409702656","Catalog Record")</f>
        <v/>
      </c>
      <c r="AT2085">
        <f>HYPERLINK("http://www.worldcat.org/oclc/1249764","WorldCat Record")</f>
        <v/>
      </c>
      <c r="AU2085" t="inlineStr">
        <is>
          <t>1801918:eng</t>
        </is>
      </c>
      <c r="AV2085" t="inlineStr">
        <is>
          <t>1249764</t>
        </is>
      </c>
      <c r="AW2085" t="inlineStr">
        <is>
          <t>991003647409702656</t>
        </is>
      </c>
      <c r="AX2085" t="inlineStr">
        <is>
          <t>991003647409702656</t>
        </is>
      </c>
      <c r="AY2085" t="inlineStr">
        <is>
          <t>2262249310002656</t>
        </is>
      </c>
      <c r="AZ2085" t="inlineStr">
        <is>
          <t>BOOK</t>
        </is>
      </c>
      <c r="BC2085" t="inlineStr">
        <is>
          <t>32285000153980</t>
        </is>
      </c>
      <c r="BD2085" t="inlineStr">
        <is>
          <t>893787584</t>
        </is>
      </c>
    </row>
    <row r="2086">
      <c r="A2086" t="inlineStr">
        <is>
          <t>No</t>
        </is>
      </c>
      <c r="B2086" t="inlineStr">
        <is>
          <t>BX4700.F6 O25 1944</t>
        </is>
      </c>
      <c r="C2086" t="inlineStr">
        <is>
          <t>0                      BX 4700000F  6                  O  25          1944</t>
        </is>
      </c>
      <c r="D2086" t="inlineStr">
        <is>
          <t>Mirror of Christ : Francis of Assisi / by Isidore O'Brien.</t>
        </is>
      </c>
      <c r="F2086" t="inlineStr">
        <is>
          <t>No</t>
        </is>
      </c>
      <c r="G2086" t="inlineStr">
        <is>
          <t>1</t>
        </is>
      </c>
      <c r="H2086" t="inlineStr">
        <is>
          <t>No</t>
        </is>
      </c>
      <c r="I2086" t="inlineStr">
        <is>
          <t>No</t>
        </is>
      </c>
      <c r="J2086" t="inlineStr">
        <is>
          <t>0</t>
        </is>
      </c>
      <c r="K2086" t="inlineStr">
        <is>
          <t>O'Brien, Isidore, 1895-1953.</t>
        </is>
      </c>
      <c r="L2086" t="inlineStr">
        <is>
          <t>Paterson, N.J. : St. Anthony guild press, [1944]</t>
        </is>
      </c>
      <c r="M2086" t="inlineStr">
        <is>
          <t>1944</t>
        </is>
      </c>
      <c r="O2086" t="inlineStr">
        <is>
          <t>eng</t>
        </is>
      </c>
      <c r="P2086" t="inlineStr">
        <is>
          <t>nju</t>
        </is>
      </c>
      <c r="R2086" t="inlineStr">
        <is>
          <t xml:space="preserve">BX </t>
        </is>
      </c>
      <c r="S2086" t="n">
        <v>4</v>
      </c>
      <c r="T2086" t="n">
        <v>4</v>
      </c>
      <c r="U2086" t="inlineStr">
        <is>
          <t>2004-04-22</t>
        </is>
      </c>
      <c r="V2086" t="inlineStr">
        <is>
          <t>2004-04-22</t>
        </is>
      </c>
      <c r="W2086" t="inlineStr">
        <is>
          <t>1991-11-26</t>
        </is>
      </c>
      <c r="X2086" t="inlineStr">
        <is>
          <t>1991-11-26</t>
        </is>
      </c>
      <c r="Y2086" t="n">
        <v>183</v>
      </c>
      <c r="Z2086" t="n">
        <v>174</v>
      </c>
      <c r="AA2086" t="n">
        <v>182</v>
      </c>
      <c r="AB2086" t="n">
        <v>2</v>
      </c>
      <c r="AC2086" t="n">
        <v>2</v>
      </c>
      <c r="AD2086" t="n">
        <v>23</v>
      </c>
      <c r="AE2086" t="n">
        <v>23</v>
      </c>
      <c r="AF2086" t="n">
        <v>8</v>
      </c>
      <c r="AG2086" t="n">
        <v>8</v>
      </c>
      <c r="AH2086" t="n">
        <v>4</v>
      </c>
      <c r="AI2086" t="n">
        <v>4</v>
      </c>
      <c r="AJ2086" t="n">
        <v>18</v>
      </c>
      <c r="AK2086" t="n">
        <v>18</v>
      </c>
      <c r="AL2086" t="n">
        <v>0</v>
      </c>
      <c r="AM2086" t="n">
        <v>0</v>
      </c>
      <c r="AN2086" t="n">
        <v>0</v>
      </c>
      <c r="AO2086" t="n">
        <v>0</v>
      </c>
      <c r="AP2086" t="inlineStr">
        <is>
          <t>No</t>
        </is>
      </c>
      <c r="AQ2086" t="inlineStr">
        <is>
          <t>No</t>
        </is>
      </c>
      <c r="AR2086">
        <f>HYPERLINK("http://catalog.hathitrust.org/Record/005797568","HathiTrust Record")</f>
        <v/>
      </c>
      <c r="AS2086">
        <f>HYPERLINK("https://creighton-primo.hosted.exlibrisgroup.com/primo-explore/search?tab=default_tab&amp;search_scope=EVERYTHING&amp;vid=01CRU&amp;lang=en_US&amp;offset=0&amp;query=any,contains,991003974719702656","Catalog Record")</f>
        <v/>
      </c>
      <c r="AT2086">
        <f>HYPERLINK("http://www.worldcat.org/oclc/2000171","WorldCat Record")</f>
        <v/>
      </c>
      <c r="AU2086" t="inlineStr">
        <is>
          <t>194798722:eng</t>
        </is>
      </c>
      <c r="AV2086" t="inlineStr">
        <is>
          <t>2000171</t>
        </is>
      </c>
      <c r="AW2086" t="inlineStr">
        <is>
          <t>991003974719702656</t>
        </is>
      </c>
      <c r="AX2086" t="inlineStr">
        <is>
          <t>991003974719702656</t>
        </is>
      </c>
      <c r="AY2086" t="inlineStr">
        <is>
          <t>2258253540002656</t>
        </is>
      </c>
      <c r="AZ2086" t="inlineStr">
        <is>
          <t>BOOK</t>
        </is>
      </c>
      <c r="BC2086" t="inlineStr">
        <is>
          <t>32285000858133</t>
        </is>
      </c>
      <c r="BD2086" t="inlineStr">
        <is>
          <t>893699663</t>
        </is>
      </c>
    </row>
    <row r="2087">
      <c r="A2087" t="inlineStr">
        <is>
          <t>No</t>
        </is>
      </c>
      <c r="B2087" t="inlineStr">
        <is>
          <t>BX4700.F6 R3 1975</t>
        </is>
      </c>
      <c r="C2087" t="inlineStr">
        <is>
          <t>0                      BX 4700000F  6                  R  3           1975</t>
        </is>
      </c>
      <c r="D2087" t="inlineStr">
        <is>
          <t>In the steps of St. Francis / Illustrated with photos. by the author.</t>
        </is>
      </c>
      <c r="F2087" t="inlineStr">
        <is>
          <t>No</t>
        </is>
      </c>
      <c r="G2087" t="inlineStr">
        <is>
          <t>1</t>
        </is>
      </c>
      <c r="H2087" t="inlineStr">
        <is>
          <t>No</t>
        </is>
      </c>
      <c r="I2087" t="inlineStr">
        <is>
          <t>No</t>
        </is>
      </c>
      <c r="J2087" t="inlineStr">
        <is>
          <t>0</t>
        </is>
      </c>
      <c r="K2087" t="inlineStr">
        <is>
          <t>Raymond, Ernest, 1888-1974.</t>
        </is>
      </c>
      <c r="L2087" t="inlineStr">
        <is>
          <t>Chicago : Franciscan Herald Press, [1975]</t>
        </is>
      </c>
      <c r="M2087" t="inlineStr">
        <is>
          <t>1975</t>
        </is>
      </c>
      <c r="N2087" t="inlineStr">
        <is>
          <t>[New ed.]</t>
        </is>
      </c>
      <c r="O2087" t="inlineStr">
        <is>
          <t>eng</t>
        </is>
      </c>
      <c r="P2087" t="inlineStr">
        <is>
          <t>ilu</t>
        </is>
      </c>
      <c r="R2087" t="inlineStr">
        <is>
          <t xml:space="preserve">BX </t>
        </is>
      </c>
      <c r="S2087" t="n">
        <v>6</v>
      </c>
      <c r="T2087" t="n">
        <v>6</v>
      </c>
      <c r="U2087" t="inlineStr">
        <is>
          <t>2005-12-01</t>
        </is>
      </c>
      <c r="V2087" t="inlineStr">
        <is>
          <t>2005-12-01</t>
        </is>
      </c>
      <c r="W2087" t="inlineStr">
        <is>
          <t>1990-05-02</t>
        </is>
      </c>
      <c r="X2087" t="inlineStr">
        <is>
          <t>1990-05-02</t>
        </is>
      </c>
      <c r="Y2087" t="n">
        <v>50</v>
      </c>
      <c r="Z2087" t="n">
        <v>47</v>
      </c>
      <c r="AA2087" t="n">
        <v>314</v>
      </c>
      <c r="AB2087" t="n">
        <v>1</v>
      </c>
      <c r="AC2087" t="n">
        <v>2</v>
      </c>
      <c r="AD2087" t="n">
        <v>2</v>
      </c>
      <c r="AE2087" t="n">
        <v>20</v>
      </c>
      <c r="AF2087" t="n">
        <v>0</v>
      </c>
      <c r="AG2087" t="n">
        <v>5</v>
      </c>
      <c r="AH2087" t="n">
        <v>1</v>
      </c>
      <c r="AI2087" t="n">
        <v>5</v>
      </c>
      <c r="AJ2087" t="n">
        <v>2</v>
      </c>
      <c r="AK2087" t="n">
        <v>14</v>
      </c>
      <c r="AL2087" t="n">
        <v>0</v>
      </c>
      <c r="AM2087" t="n">
        <v>0</v>
      </c>
      <c r="AN2087" t="n">
        <v>0</v>
      </c>
      <c r="AO2087" t="n">
        <v>0</v>
      </c>
      <c r="AP2087" t="inlineStr">
        <is>
          <t>No</t>
        </is>
      </c>
      <c r="AQ2087" t="inlineStr">
        <is>
          <t>Yes</t>
        </is>
      </c>
      <c r="AR2087">
        <f>HYPERLINK("http://catalog.hathitrust.org/Record/006023054","HathiTrust Record")</f>
        <v/>
      </c>
      <c r="AS2087">
        <f>HYPERLINK("https://creighton-primo.hosted.exlibrisgroup.com/primo-explore/search?tab=default_tab&amp;search_scope=EVERYTHING&amp;vid=01CRU&amp;lang=en_US&amp;offset=0&amp;query=any,contains,991003483939702656","Catalog Record")</f>
        <v/>
      </c>
      <c r="AT2087">
        <f>HYPERLINK("http://www.worldcat.org/oclc/1031279","WorldCat Record")</f>
        <v/>
      </c>
      <c r="AU2087" t="inlineStr">
        <is>
          <t>148032721:eng</t>
        </is>
      </c>
      <c r="AV2087" t="inlineStr">
        <is>
          <t>1031279</t>
        </is>
      </c>
      <c r="AW2087" t="inlineStr">
        <is>
          <t>991003483939702656</t>
        </is>
      </c>
      <c r="AX2087" t="inlineStr">
        <is>
          <t>991003483939702656</t>
        </is>
      </c>
      <c r="AY2087" t="inlineStr">
        <is>
          <t>2267569560002656</t>
        </is>
      </c>
      <c r="AZ2087" t="inlineStr">
        <is>
          <t>BOOK</t>
        </is>
      </c>
      <c r="BB2087" t="inlineStr">
        <is>
          <t>9780819905512</t>
        </is>
      </c>
      <c r="BC2087" t="inlineStr">
        <is>
          <t>32285000146430</t>
        </is>
      </c>
      <c r="BD2087" t="inlineStr">
        <is>
          <t>893774769</t>
        </is>
      </c>
    </row>
    <row r="2088">
      <c r="A2088" t="inlineStr">
        <is>
          <t>No</t>
        </is>
      </c>
      <c r="B2088" t="inlineStr">
        <is>
          <t>BX4700.F63 E6</t>
        </is>
      </c>
      <c r="C2088" t="inlineStr">
        <is>
          <t>0                      BX 4700000F  63                 E  6</t>
        </is>
      </c>
      <c r="D2088" t="inlineStr">
        <is>
          <t>The Little flowers of Saint Francis of Assisi / with eight illustrations by Paul Woodroffe.</t>
        </is>
      </c>
      <c r="F2088" t="inlineStr">
        <is>
          <t>No</t>
        </is>
      </c>
      <c r="G2088" t="inlineStr">
        <is>
          <t>1</t>
        </is>
      </c>
      <c r="H2088" t="inlineStr">
        <is>
          <t>No</t>
        </is>
      </c>
      <c r="I2088" t="inlineStr">
        <is>
          <t>Yes</t>
        </is>
      </c>
      <c r="J2088" t="inlineStr">
        <is>
          <t>0</t>
        </is>
      </c>
      <c r="K2088" t="inlineStr">
        <is>
          <t>Francis, of Assisi, Saint, 1182-1226.</t>
        </is>
      </c>
      <c r="L2088" t="inlineStr">
        <is>
          <t>London : Burns, Oates &amp; Washbourne Ltd., [s.n.].</t>
        </is>
      </c>
      <c r="O2088" t="inlineStr">
        <is>
          <t>eng</t>
        </is>
      </c>
      <c r="P2088" t="inlineStr">
        <is>
          <t xml:space="preserve">xx </t>
        </is>
      </c>
      <c r="R2088" t="inlineStr">
        <is>
          <t xml:space="preserve">BX </t>
        </is>
      </c>
      <c r="S2088" t="n">
        <v>5</v>
      </c>
      <c r="T2088" t="n">
        <v>5</v>
      </c>
      <c r="U2088" t="inlineStr">
        <is>
          <t>2001-10-31</t>
        </is>
      </c>
      <c r="V2088" t="inlineStr">
        <is>
          <t>2001-10-31</t>
        </is>
      </c>
      <c r="W2088" t="inlineStr">
        <is>
          <t>1991-11-26</t>
        </is>
      </c>
      <c r="X2088" t="inlineStr">
        <is>
          <t>1991-11-26</t>
        </is>
      </c>
      <c r="Y2088" t="n">
        <v>8</v>
      </c>
      <c r="Z2088" t="n">
        <v>5</v>
      </c>
      <c r="AA2088" t="n">
        <v>550</v>
      </c>
      <c r="AB2088" t="n">
        <v>1</v>
      </c>
      <c r="AC2088" t="n">
        <v>3</v>
      </c>
      <c r="AD2088" t="n">
        <v>0</v>
      </c>
      <c r="AE2088" t="n">
        <v>24</v>
      </c>
      <c r="AF2088" t="n">
        <v>0</v>
      </c>
      <c r="AG2088" t="n">
        <v>12</v>
      </c>
      <c r="AH2088" t="n">
        <v>0</v>
      </c>
      <c r="AI2088" t="n">
        <v>6</v>
      </c>
      <c r="AJ2088" t="n">
        <v>0</v>
      </c>
      <c r="AK2088" t="n">
        <v>13</v>
      </c>
      <c r="AL2088" t="n">
        <v>0</v>
      </c>
      <c r="AM2088" t="n">
        <v>0</v>
      </c>
      <c r="AN2088" t="n">
        <v>0</v>
      </c>
      <c r="AO2088" t="n">
        <v>0</v>
      </c>
      <c r="AP2088" t="inlineStr">
        <is>
          <t>No</t>
        </is>
      </c>
      <c r="AQ2088" t="inlineStr">
        <is>
          <t>No</t>
        </is>
      </c>
      <c r="AS2088">
        <f>HYPERLINK("https://creighton-primo.hosted.exlibrisgroup.com/primo-explore/search?tab=default_tab&amp;search_scope=EVERYTHING&amp;vid=01CRU&amp;lang=en_US&amp;offset=0&amp;query=any,contains,991001168929702656","Catalog Record")</f>
        <v/>
      </c>
      <c r="AT2088">
        <f>HYPERLINK("http://www.worldcat.org/oclc/16943170","WorldCat Record")</f>
        <v/>
      </c>
      <c r="AU2088" t="inlineStr">
        <is>
          <t>3374319955:eng</t>
        </is>
      </c>
      <c r="AV2088" t="inlineStr">
        <is>
          <t>16943170</t>
        </is>
      </c>
      <c r="AW2088" t="inlineStr">
        <is>
          <t>991001168929702656</t>
        </is>
      </c>
      <c r="AX2088" t="inlineStr">
        <is>
          <t>991001168929702656</t>
        </is>
      </c>
      <c r="AY2088" t="inlineStr">
        <is>
          <t>2269497560002656</t>
        </is>
      </c>
      <c r="AZ2088" t="inlineStr">
        <is>
          <t>BOOK</t>
        </is>
      </c>
      <c r="BC2088" t="inlineStr">
        <is>
          <t>32285000858216</t>
        </is>
      </c>
      <c r="BD2088" t="inlineStr">
        <is>
          <t>893426382</t>
        </is>
      </c>
    </row>
    <row r="2089">
      <c r="A2089" t="inlineStr">
        <is>
          <t>No</t>
        </is>
      </c>
      <c r="B2089" t="inlineStr">
        <is>
          <t>BX4700.F67 E5 1902</t>
        </is>
      </c>
      <c r="C2089" t="inlineStr">
        <is>
          <t>0                      BX 4700000F  67                 E  5           1902</t>
        </is>
      </c>
      <c r="D2089" t="inlineStr">
        <is>
          <t>The mirror of perfection : being a record of Saint Francis of Assisi ascribed to his companion, Brother Leo of Assisi / and now translated by Constance, Countess de la Warr. With an introduction by Father Cuthbert.</t>
        </is>
      </c>
      <c r="F2089" t="inlineStr">
        <is>
          <t>No</t>
        </is>
      </c>
      <c r="G2089" t="inlineStr">
        <is>
          <t>1</t>
        </is>
      </c>
      <c r="H2089" t="inlineStr">
        <is>
          <t>No</t>
        </is>
      </c>
      <c r="I2089" t="inlineStr">
        <is>
          <t>No</t>
        </is>
      </c>
      <c r="J2089" t="inlineStr">
        <is>
          <t>0</t>
        </is>
      </c>
      <c r="K2089" t="inlineStr">
        <is>
          <t>Mirror of perfection. English.</t>
        </is>
      </c>
      <c r="L2089" t="inlineStr">
        <is>
          <t>London : Burns &amp; Oates ; New York, Cincinnati [etc.] : Benziger, 1902.</t>
        </is>
      </c>
      <c r="M2089" t="inlineStr">
        <is>
          <t>1902</t>
        </is>
      </c>
      <c r="O2089" t="inlineStr">
        <is>
          <t>eng</t>
        </is>
      </c>
      <c r="P2089" t="inlineStr">
        <is>
          <t>enk</t>
        </is>
      </c>
      <c r="R2089" t="inlineStr">
        <is>
          <t xml:space="preserve">BX </t>
        </is>
      </c>
      <c r="S2089" t="n">
        <v>5</v>
      </c>
      <c r="T2089" t="n">
        <v>5</v>
      </c>
      <c r="U2089" t="inlineStr">
        <is>
          <t>2001-10-31</t>
        </is>
      </c>
      <c r="V2089" t="inlineStr">
        <is>
          <t>2001-10-31</t>
        </is>
      </c>
      <c r="W2089" t="inlineStr">
        <is>
          <t>1991-11-26</t>
        </is>
      </c>
      <c r="X2089" t="inlineStr">
        <is>
          <t>1991-11-26</t>
        </is>
      </c>
      <c r="Y2089" t="n">
        <v>47</v>
      </c>
      <c r="Z2089" t="n">
        <v>41</v>
      </c>
      <c r="AA2089" t="n">
        <v>47</v>
      </c>
      <c r="AB2089" t="n">
        <v>1</v>
      </c>
      <c r="AC2089" t="n">
        <v>1</v>
      </c>
      <c r="AD2089" t="n">
        <v>6</v>
      </c>
      <c r="AE2089" t="n">
        <v>6</v>
      </c>
      <c r="AF2089" t="n">
        <v>1</v>
      </c>
      <c r="AG2089" t="n">
        <v>1</v>
      </c>
      <c r="AH2089" t="n">
        <v>1</v>
      </c>
      <c r="AI2089" t="n">
        <v>1</v>
      </c>
      <c r="AJ2089" t="n">
        <v>5</v>
      </c>
      <c r="AK2089" t="n">
        <v>5</v>
      </c>
      <c r="AL2089" t="n">
        <v>0</v>
      </c>
      <c r="AM2089" t="n">
        <v>0</v>
      </c>
      <c r="AN2089" t="n">
        <v>0</v>
      </c>
      <c r="AO2089" t="n">
        <v>0</v>
      </c>
      <c r="AP2089" t="inlineStr">
        <is>
          <t>Yes</t>
        </is>
      </c>
      <c r="AQ2089" t="inlineStr">
        <is>
          <t>No</t>
        </is>
      </c>
      <c r="AR2089">
        <f>HYPERLINK("http://catalog.hathitrust.org/Record/100433824","HathiTrust Record")</f>
        <v/>
      </c>
      <c r="AS2089">
        <f>HYPERLINK("https://creighton-primo.hosted.exlibrisgroup.com/primo-explore/search?tab=default_tab&amp;search_scope=EVERYTHING&amp;vid=01CRU&amp;lang=en_US&amp;offset=0&amp;query=any,contains,991004707359702656","Catalog Record")</f>
        <v/>
      </c>
      <c r="AT2089">
        <f>HYPERLINK("http://www.worldcat.org/oclc/4726907","WorldCat Record")</f>
        <v/>
      </c>
      <c r="AU2089" t="inlineStr">
        <is>
          <t>3855936962:eng</t>
        </is>
      </c>
      <c r="AV2089" t="inlineStr">
        <is>
          <t>4726907</t>
        </is>
      </c>
      <c r="AW2089" t="inlineStr">
        <is>
          <t>991004707359702656</t>
        </is>
      </c>
      <c r="AX2089" t="inlineStr">
        <is>
          <t>991004707359702656</t>
        </is>
      </c>
      <c r="AY2089" t="inlineStr">
        <is>
          <t>2255268490002656</t>
        </is>
      </c>
      <c r="AZ2089" t="inlineStr">
        <is>
          <t>BOOK</t>
        </is>
      </c>
      <c r="BC2089" t="inlineStr">
        <is>
          <t>32285000858232</t>
        </is>
      </c>
      <c r="BD2089" t="inlineStr">
        <is>
          <t>893338043</t>
        </is>
      </c>
    </row>
    <row r="2090">
      <c r="A2090" t="inlineStr">
        <is>
          <t>No</t>
        </is>
      </c>
      <c r="B2090" t="inlineStr">
        <is>
          <t>BX4700.F75 C552 1913</t>
        </is>
      </c>
      <c r="C2090" t="inlineStr">
        <is>
          <t>0                      BX 4700000F  75                 C  552         1913</t>
        </is>
      </c>
      <c r="D2090" t="inlineStr">
        <is>
          <t>The life of St. Francis Borgia of the Society of Jesus.</t>
        </is>
      </c>
      <c r="F2090" t="inlineStr">
        <is>
          <t>No</t>
        </is>
      </c>
      <c r="G2090" t="inlineStr">
        <is>
          <t>1</t>
        </is>
      </c>
      <c r="H2090" t="inlineStr">
        <is>
          <t>No</t>
        </is>
      </c>
      <c r="I2090" t="inlineStr">
        <is>
          <t>No</t>
        </is>
      </c>
      <c r="J2090" t="inlineStr">
        <is>
          <t>0</t>
        </is>
      </c>
      <c r="K2090" t="inlineStr">
        <is>
          <t>Clarke, A. M.</t>
        </is>
      </c>
      <c r="L2090" t="inlineStr">
        <is>
          <t>London : Burns and Oates ; New York : Benziger, 1913.</t>
        </is>
      </c>
      <c r="M2090" t="inlineStr">
        <is>
          <t>1913</t>
        </is>
      </c>
      <c r="N2090" t="inlineStr">
        <is>
          <t>3d. ed.</t>
        </is>
      </c>
      <c r="O2090" t="inlineStr">
        <is>
          <t>eng</t>
        </is>
      </c>
      <c r="P2090" t="inlineStr">
        <is>
          <t>enk</t>
        </is>
      </c>
      <c r="Q2090" t="inlineStr">
        <is>
          <t>Quarterly series ; v. 88</t>
        </is>
      </c>
      <c r="R2090" t="inlineStr">
        <is>
          <t xml:space="preserve">BX </t>
        </is>
      </c>
      <c r="S2090" t="n">
        <v>1</v>
      </c>
      <c r="T2090" t="n">
        <v>1</v>
      </c>
      <c r="U2090" t="inlineStr">
        <is>
          <t>2001-10-26</t>
        </is>
      </c>
      <c r="V2090" t="inlineStr">
        <is>
          <t>2001-10-26</t>
        </is>
      </c>
      <c r="W2090" t="inlineStr">
        <is>
          <t>1991-11-26</t>
        </is>
      </c>
      <c r="X2090" t="inlineStr">
        <is>
          <t>1991-11-26</t>
        </is>
      </c>
      <c r="Y2090" t="n">
        <v>17</v>
      </c>
      <c r="Z2090" t="n">
        <v>13</v>
      </c>
      <c r="AA2090" t="n">
        <v>109</v>
      </c>
      <c r="AB2090" t="n">
        <v>1</v>
      </c>
      <c r="AC2090" t="n">
        <v>3</v>
      </c>
      <c r="AD2090" t="n">
        <v>3</v>
      </c>
      <c r="AE2090" t="n">
        <v>19</v>
      </c>
      <c r="AF2090" t="n">
        <v>0</v>
      </c>
      <c r="AG2090" t="n">
        <v>5</v>
      </c>
      <c r="AH2090" t="n">
        <v>1</v>
      </c>
      <c r="AI2090" t="n">
        <v>4</v>
      </c>
      <c r="AJ2090" t="n">
        <v>2</v>
      </c>
      <c r="AK2090" t="n">
        <v>14</v>
      </c>
      <c r="AL2090" t="n">
        <v>0</v>
      </c>
      <c r="AM2090" t="n">
        <v>1</v>
      </c>
      <c r="AN2090" t="n">
        <v>0</v>
      </c>
      <c r="AO2090" t="n">
        <v>0</v>
      </c>
      <c r="AP2090" t="inlineStr">
        <is>
          <t>Yes</t>
        </is>
      </c>
      <c r="AQ2090" t="inlineStr">
        <is>
          <t>No</t>
        </is>
      </c>
      <c r="AR2090">
        <f>HYPERLINK("http://catalog.hathitrust.org/Record/102275306","HathiTrust Record")</f>
        <v/>
      </c>
      <c r="AS2090">
        <f>HYPERLINK("https://creighton-primo.hosted.exlibrisgroup.com/primo-explore/search?tab=default_tab&amp;search_scope=EVERYTHING&amp;vid=01CRU&amp;lang=en_US&amp;offset=0&amp;query=any,contains,991001425889702656","Catalog Record")</f>
        <v/>
      </c>
      <c r="AT2090">
        <f>HYPERLINK("http://www.worldcat.org/oclc/19015200","WorldCat Record")</f>
        <v/>
      </c>
      <c r="AU2090" t="inlineStr">
        <is>
          <t>2183701:eng</t>
        </is>
      </c>
      <c r="AV2090" t="inlineStr">
        <is>
          <t>19015200</t>
        </is>
      </c>
      <c r="AW2090" t="inlineStr">
        <is>
          <t>991001425889702656</t>
        </is>
      </c>
      <c r="AX2090" t="inlineStr">
        <is>
          <t>991001425889702656</t>
        </is>
      </c>
      <c r="AY2090" t="inlineStr">
        <is>
          <t>2267533970002656</t>
        </is>
      </c>
      <c r="AZ2090" t="inlineStr">
        <is>
          <t>BOOK</t>
        </is>
      </c>
      <c r="BC2090" t="inlineStr">
        <is>
          <t>32285000858257</t>
        </is>
      </c>
      <c r="BD2090" t="inlineStr">
        <is>
          <t>893328131</t>
        </is>
      </c>
    </row>
    <row r="2091">
      <c r="A2091" t="inlineStr">
        <is>
          <t>No</t>
        </is>
      </c>
      <c r="B2091" t="inlineStr">
        <is>
          <t>BX4700.F8 B37 1859</t>
        </is>
      </c>
      <c r="C2091" t="inlineStr">
        <is>
          <t>0                      BX 4700000F  8                  B  37          1859</t>
        </is>
      </c>
      <c r="D2091" t="inlineStr">
        <is>
          <t>The life of St. Francis Xavier : apostle of the Indies and Japan / from the Italian of D. Bartoli and J. P. Maffei, with a preface by the Very Rev. Dr. Faber.</t>
        </is>
      </c>
      <c r="F2091" t="inlineStr">
        <is>
          <t>No</t>
        </is>
      </c>
      <c r="G2091" t="inlineStr">
        <is>
          <t>1</t>
        </is>
      </c>
      <c r="H2091" t="inlineStr">
        <is>
          <t>No</t>
        </is>
      </c>
      <c r="I2091" t="inlineStr">
        <is>
          <t>No</t>
        </is>
      </c>
      <c r="J2091" t="inlineStr">
        <is>
          <t>0</t>
        </is>
      </c>
      <c r="K2091" t="inlineStr">
        <is>
          <t>Bartoli, Daniello, 1608-1685.</t>
        </is>
      </c>
      <c r="L2091" t="inlineStr">
        <is>
          <t>Baltimore : Published by John Murphy &amp; Co., 1859.</t>
        </is>
      </c>
      <c r="M2091" t="inlineStr">
        <is>
          <t>1859</t>
        </is>
      </c>
      <c r="N2091" t="inlineStr">
        <is>
          <t>First American from the last London edition. ...</t>
        </is>
      </c>
      <c r="O2091" t="inlineStr">
        <is>
          <t>eng</t>
        </is>
      </c>
      <c r="P2091" t="inlineStr">
        <is>
          <t>mdu</t>
        </is>
      </c>
      <c r="R2091" t="inlineStr">
        <is>
          <t xml:space="preserve">BX </t>
        </is>
      </c>
      <c r="S2091" t="n">
        <v>6</v>
      </c>
      <c r="T2091" t="n">
        <v>6</v>
      </c>
      <c r="U2091" t="inlineStr">
        <is>
          <t>2003-11-29</t>
        </is>
      </c>
      <c r="V2091" t="inlineStr">
        <is>
          <t>2003-11-29</t>
        </is>
      </c>
      <c r="W2091" t="inlineStr">
        <is>
          <t>1991-11-26</t>
        </is>
      </c>
      <c r="X2091" t="inlineStr">
        <is>
          <t>1991-11-26</t>
        </is>
      </c>
      <c r="Y2091" t="n">
        <v>25</v>
      </c>
      <c r="Z2091" t="n">
        <v>24</v>
      </c>
      <c r="AA2091" t="n">
        <v>98</v>
      </c>
      <c r="AB2091" t="n">
        <v>1</v>
      </c>
      <c r="AC2091" t="n">
        <v>1</v>
      </c>
      <c r="AD2091" t="n">
        <v>6</v>
      </c>
      <c r="AE2091" t="n">
        <v>17</v>
      </c>
      <c r="AF2091" t="n">
        <v>2</v>
      </c>
      <c r="AG2091" t="n">
        <v>3</v>
      </c>
      <c r="AH2091" t="n">
        <v>1</v>
      </c>
      <c r="AI2091" t="n">
        <v>6</v>
      </c>
      <c r="AJ2091" t="n">
        <v>5</v>
      </c>
      <c r="AK2091" t="n">
        <v>14</v>
      </c>
      <c r="AL2091" t="n">
        <v>0</v>
      </c>
      <c r="AM2091" t="n">
        <v>0</v>
      </c>
      <c r="AN2091" t="n">
        <v>0</v>
      </c>
      <c r="AO2091" t="n">
        <v>0</v>
      </c>
      <c r="AP2091" t="inlineStr">
        <is>
          <t>No</t>
        </is>
      </c>
      <c r="AQ2091" t="inlineStr">
        <is>
          <t>No</t>
        </is>
      </c>
      <c r="AS2091">
        <f>HYPERLINK("https://creighton-primo.hosted.exlibrisgroup.com/primo-explore/search?tab=default_tab&amp;search_scope=EVERYTHING&amp;vid=01CRU&amp;lang=en_US&amp;offset=0&amp;query=any,contains,991005085209702656","Catalog Record")</f>
        <v/>
      </c>
      <c r="AT2091">
        <f>HYPERLINK("http://www.worldcat.org/oclc/7189872","WorldCat Record")</f>
        <v/>
      </c>
      <c r="AU2091" t="inlineStr">
        <is>
          <t>2964779:eng</t>
        </is>
      </c>
      <c r="AV2091" t="inlineStr">
        <is>
          <t>7189872</t>
        </is>
      </c>
      <c r="AW2091" t="inlineStr">
        <is>
          <t>991005085209702656</t>
        </is>
      </c>
      <c r="AX2091" t="inlineStr">
        <is>
          <t>991005085209702656</t>
        </is>
      </c>
      <c r="AY2091" t="inlineStr">
        <is>
          <t>2269093670002656</t>
        </is>
      </c>
      <c r="AZ2091" t="inlineStr">
        <is>
          <t>BOOK</t>
        </is>
      </c>
      <c r="BC2091" t="inlineStr">
        <is>
          <t>32285000858281</t>
        </is>
      </c>
      <c r="BD2091" t="inlineStr">
        <is>
          <t>893694737</t>
        </is>
      </c>
    </row>
    <row r="2092">
      <c r="A2092" t="inlineStr">
        <is>
          <t>No</t>
        </is>
      </c>
      <c r="B2092" t="inlineStr">
        <is>
          <t>BX4700.F8 M35 1950</t>
        </is>
      </c>
      <c r="C2092" t="inlineStr">
        <is>
          <t>0                      BX 4700000F  8                  M  35          1950</t>
        </is>
      </c>
      <c r="D2092" t="inlineStr">
        <is>
          <t>The odyssey of Francis Xavier.</t>
        </is>
      </c>
      <c r="F2092" t="inlineStr">
        <is>
          <t>No</t>
        </is>
      </c>
      <c r="G2092" t="inlineStr">
        <is>
          <t>1</t>
        </is>
      </c>
      <c r="H2092" t="inlineStr">
        <is>
          <t>No</t>
        </is>
      </c>
      <c r="I2092" t="inlineStr">
        <is>
          <t>No</t>
        </is>
      </c>
      <c r="J2092" t="inlineStr">
        <is>
          <t>0</t>
        </is>
      </c>
      <c r="K2092" t="inlineStr">
        <is>
          <t>Maynard, Theodore, 1890-1956.</t>
        </is>
      </c>
      <c r="L2092" t="inlineStr">
        <is>
          <t>Westminster, Md. : Newman Press, 1950.</t>
        </is>
      </c>
      <c r="M2092" t="inlineStr">
        <is>
          <t>1950</t>
        </is>
      </c>
      <c r="N2092" t="inlineStr">
        <is>
          <t>1st ed.</t>
        </is>
      </c>
      <c r="O2092" t="inlineStr">
        <is>
          <t>eng</t>
        </is>
      </c>
      <c r="P2092" t="inlineStr">
        <is>
          <t>mdu</t>
        </is>
      </c>
      <c r="R2092" t="inlineStr">
        <is>
          <t xml:space="preserve">BX </t>
        </is>
      </c>
      <c r="S2092" t="n">
        <v>7</v>
      </c>
      <c r="T2092" t="n">
        <v>7</v>
      </c>
      <c r="U2092" t="inlineStr">
        <is>
          <t>2009-04-16</t>
        </is>
      </c>
      <c r="V2092" t="inlineStr">
        <is>
          <t>2009-04-16</t>
        </is>
      </c>
      <c r="W2092" t="inlineStr">
        <is>
          <t>1991-11-26</t>
        </is>
      </c>
      <c r="X2092" t="inlineStr">
        <is>
          <t>1991-11-26</t>
        </is>
      </c>
      <c r="Y2092" t="n">
        <v>88</v>
      </c>
      <c r="Z2092" t="n">
        <v>83</v>
      </c>
      <c r="AA2092" t="n">
        <v>222</v>
      </c>
      <c r="AB2092" t="n">
        <v>2</v>
      </c>
      <c r="AC2092" t="n">
        <v>3</v>
      </c>
      <c r="AD2092" t="n">
        <v>13</v>
      </c>
      <c r="AE2092" t="n">
        <v>26</v>
      </c>
      <c r="AF2092" t="n">
        <v>2</v>
      </c>
      <c r="AG2092" t="n">
        <v>6</v>
      </c>
      <c r="AH2092" t="n">
        <v>4</v>
      </c>
      <c r="AI2092" t="n">
        <v>7</v>
      </c>
      <c r="AJ2092" t="n">
        <v>11</v>
      </c>
      <c r="AK2092" t="n">
        <v>22</v>
      </c>
      <c r="AL2092" t="n">
        <v>0</v>
      </c>
      <c r="AM2092" t="n">
        <v>0</v>
      </c>
      <c r="AN2092" t="n">
        <v>0</v>
      </c>
      <c r="AO2092" t="n">
        <v>0</v>
      </c>
      <c r="AP2092" t="inlineStr">
        <is>
          <t>No</t>
        </is>
      </c>
      <c r="AQ2092" t="inlineStr">
        <is>
          <t>Yes</t>
        </is>
      </c>
      <c r="AR2092">
        <f>HYPERLINK("http://catalog.hathitrust.org/Record/009818891","HathiTrust Record")</f>
        <v/>
      </c>
      <c r="AS2092">
        <f>HYPERLINK("https://creighton-primo.hosted.exlibrisgroup.com/primo-explore/search?tab=default_tab&amp;search_scope=EVERYTHING&amp;vid=01CRU&amp;lang=en_US&amp;offset=0&amp;query=any,contains,991003928289702656","Catalog Record")</f>
        <v/>
      </c>
      <c r="AT2092">
        <f>HYPERLINK("http://www.worldcat.org/oclc/1889535","WorldCat Record")</f>
        <v/>
      </c>
      <c r="AU2092" t="inlineStr">
        <is>
          <t>2172890:eng</t>
        </is>
      </c>
      <c r="AV2092" t="inlineStr">
        <is>
          <t>1889535</t>
        </is>
      </c>
      <c r="AW2092" t="inlineStr">
        <is>
          <t>991003928289702656</t>
        </is>
      </c>
      <c r="AX2092" t="inlineStr">
        <is>
          <t>991003928289702656</t>
        </is>
      </c>
      <c r="AY2092" t="inlineStr">
        <is>
          <t>2264142750002656</t>
        </is>
      </c>
      <c r="AZ2092" t="inlineStr">
        <is>
          <t>BOOK</t>
        </is>
      </c>
      <c r="BC2092" t="inlineStr">
        <is>
          <t>32285000858406</t>
        </is>
      </c>
      <c r="BD2092" t="inlineStr">
        <is>
          <t>893788074</t>
        </is>
      </c>
    </row>
    <row r="2093">
      <c r="A2093" t="inlineStr">
        <is>
          <t>No</t>
        </is>
      </c>
      <c r="B2093" t="inlineStr">
        <is>
          <t>BX4700.F8 P8 1954</t>
        </is>
      </c>
      <c r="C2093" t="inlineStr">
        <is>
          <t>0                      BX 4700000F  8                  P  8           1954</t>
        </is>
      </c>
      <c r="D2093" t="inlineStr">
        <is>
          <t>Don Francisco : the story of St. Francis Xavier.</t>
        </is>
      </c>
      <c r="F2093" t="inlineStr">
        <is>
          <t>No</t>
        </is>
      </c>
      <c r="G2093" t="inlineStr">
        <is>
          <t>1</t>
        </is>
      </c>
      <c r="H2093" t="inlineStr">
        <is>
          <t>No</t>
        </is>
      </c>
      <c r="I2093" t="inlineStr">
        <is>
          <t>No</t>
        </is>
      </c>
      <c r="J2093" t="inlineStr">
        <is>
          <t>0</t>
        </is>
      </c>
      <c r="K2093" t="inlineStr">
        <is>
          <t>Purcell, Mary, 1906-1991.</t>
        </is>
      </c>
      <c r="L2093" t="inlineStr">
        <is>
          <t>Westminster, Md. : Newman Press, 1954.</t>
        </is>
      </c>
      <c r="M2093" t="inlineStr">
        <is>
          <t>1954</t>
        </is>
      </c>
      <c r="O2093" t="inlineStr">
        <is>
          <t>eng</t>
        </is>
      </c>
      <c r="P2093" t="inlineStr">
        <is>
          <t xml:space="preserve">xx </t>
        </is>
      </c>
      <c r="R2093" t="inlineStr">
        <is>
          <t xml:space="preserve">BX </t>
        </is>
      </c>
      <c r="S2093" t="n">
        <v>3</v>
      </c>
      <c r="T2093" t="n">
        <v>3</v>
      </c>
      <c r="U2093" t="inlineStr">
        <is>
          <t>2009-04-16</t>
        </is>
      </c>
      <c r="V2093" t="inlineStr">
        <is>
          <t>2009-04-16</t>
        </is>
      </c>
      <c r="W2093" t="inlineStr">
        <is>
          <t>1991-11-26</t>
        </is>
      </c>
      <c r="X2093" t="inlineStr">
        <is>
          <t>1991-11-26</t>
        </is>
      </c>
      <c r="Y2093" t="n">
        <v>98</v>
      </c>
      <c r="Z2093" t="n">
        <v>96</v>
      </c>
      <c r="AA2093" t="n">
        <v>102</v>
      </c>
      <c r="AB2093" t="n">
        <v>3</v>
      </c>
      <c r="AC2093" t="n">
        <v>3</v>
      </c>
      <c r="AD2093" t="n">
        <v>17</v>
      </c>
      <c r="AE2093" t="n">
        <v>17</v>
      </c>
      <c r="AF2093" t="n">
        <v>6</v>
      </c>
      <c r="AG2093" t="n">
        <v>6</v>
      </c>
      <c r="AH2093" t="n">
        <v>3</v>
      </c>
      <c r="AI2093" t="n">
        <v>3</v>
      </c>
      <c r="AJ2093" t="n">
        <v>14</v>
      </c>
      <c r="AK2093" t="n">
        <v>14</v>
      </c>
      <c r="AL2093" t="n">
        <v>0</v>
      </c>
      <c r="AM2093" t="n">
        <v>0</v>
      </c>
      <c r="AN2093" t="n">
        <v>0</v>
      </c>
      <c r="AO2093" t="n">
        <v>0</v>
      </c>
      <c r="AP2093" t="inlineStr">
        <is>
          <t>No</t>
        </is>
      </c>
      <c r="AQ2093" t="inlineStr">
        <is>
          <t>No</t>
        </is>
      </c>
      <c r="AS2093">
        <f>HYPERLINK("https://creighton-primo.hosted.exlibrisgroup.com/primo-explore/search?tab=default_tab&amp;search_scope=EVERYTHING&amp;vid=01CRU&amp;lang=en_US&amp;offset=0&amp;query=any,contains,991003753419702656","Catalog Record")</f>
        <v/>
      </c>
      <c r="AT2093">
        <f>HYPERLINK("http://www.worldcat.org/oclc/1432382","WorldCat Record")</f>
        <v/>
      </c>
      <c r="AU2093" t="inlineStr">
        <is>
          <t>3943314378:eng</t>
        </is>
      </c>
      <c r="AV2093" t="inlineStr">
        <is>
          <t>1432382</t>
        </is>
      </c>
      <c r="AW2093" t="inlineStr">
        <is>
          <t>991003753419702656</t>
        </is>
      </c>
      <c r="AX2093" t="inlineStr">
        <is>
          <t>991003753419702656</t>
        </is>
      </c>
      <c r="AY2093" t="inlineStr">
        <is>
          <t>2269025840002656</t>
        </is>
      </c>
      <c r="AZ2093" t="inlineStr">
        <is>
          <t>BOOK</t>
        </is>
      </c>
      <c r="BC2093" t="inlineStr">
        <is>
          <t>32285000858414</t>
        </is>
      </c>
      <c r="BD2093" t="inlineStr">
        <is>
          <t>893611398</t>
        </is>
      </c>
    </row>
    <row r="2094">
      <c r="A2094" t="inlineStr">
        <is>
          <t>No</t>
        </is>
      </c>
      <c r="B2094" t="inlineStr">
        <is>
          <t>BX4700.F8 Y46 1932</t>
        </is>
      </c>
      <c r="C2094" t="inlineStr">
        <is>
          <t>0                      BX 4700000F  8                  Y  46          1932</t>
        </is>
      </c>
      <c r="D2094" t="inlineStr">
        <is>
          <t>St. Francis Xavier : apostle of the East / by Margaret Yeo.</t>
        </is>
      </c>
      <c r="F2094" t="inlineStr">
        <is>
          <t>No</t>
        </is>
      </c>
      <c r="G2094" t="inlineStr">
        <is>
          <t>1</t>
        </is>
      </c>
      <c r="H2094" t="inlineStr">
        <is>
          <t>No</t>
        </is>
      </c>
      <c r="I2094" t="inlineStr">
        <is>
          <t>No</t>
        </is>
      </c>
      <c r="J2094" t="inlineStr">
        <is>
          <t>0</t>
        </is>
      </c>
      <c r="K2094" t="inlineStr">
        <is>
          <t>Yeo, Margaret, 1877-1941.</t>
        </is>
      </c>
      <c r="L2094" t="inlineStr">
        <is>
          <t>London : Sheed, 1932.</t>
        </is>
      </c>
      <c r="M2094" t="inlineStr">
        <is>
          <t>1932</t>
        </is>
      </c>
      <c r="O2094" t="inlineStr">
        <is>
          <t>eng</t>
        </is>
      </c>
      <c r="P2094" t="inlineStr">
        <is>
          <t>enk</t>
        </is>
      </c>
      <c r="R2094" t="inlineStr">
        <is>
          <t xml:space="preserve">BX </t>
        </is>
      </c>
      <c r="S2094" t="n">
        <v>6</v>
      </c>
      <c r="T2094" t="n">
        <v>6</v>
      </c>
      <c r="U2094" t="inlineStr">
        <is>
          <t>2009-04-16</t>
        </is>
      </c>
      <c r="V2094" t="inlineStr">
        <is>
          <t>2009-04-16</t>
        </is>
      </c>
      <c r="W2094" t="inlineStr">
        <is>
          <t>1991-11-26</t>
        </is>
      </c>
      <c r="X2094" t="inlineStr">
        <is>
          <t>1991-11-26</t>
        </is>
      </c>
      <c r="Y2094" t="n">
        <v>17</v>
      </c>
      <c r="Z2094" t="n">
        <v>10</v>
      </c>
      <c r="AA2094" t="n">
        <v>210</v>
      </c>
      <c r="AB2094" t="n">
        <v>1</v>
      </c>
      <c r="AC2094" t="n">
        <v>3</v>
      </c>
      <c r="AD2094" t="n">
        <v>0</v>
      </c>
      <c r="AE2094" t="n">
        <v>22</v>
      </c>
      <c r="AF2094" t="n">
        <v>0</v>
      </c>
      <c r="AG2094" t="n">
        <v>4</v>
      </c>
      <c r="AH2094" t="n">
        <v>0</v>
      </c>
      <c r="AI2094" t="n">
        <v>8</v>
      </c>
      <c r="AJ2094" t="n">
        <v>0</v>
      </c>
      <c r="AK2094" t="n">
        <v>18</v>
      </c>
      <c r="AL2094" t="n">
        <v>0</v>
      </c>
      <c r="AM2094" t="n">
        <v>0</v>
      </c>
      <c r="AN2094" t="n">
        <v>0</v>
      </c>
      <c r="AO2094" t="n">
        <v>0</v>
      </c>
      <c r="AP2094" t="inlineStr">
        <is>
          <t>No</t>
        </is>
      </c>
      <c r="AQ2094" t="inlineStr">
        <is>
          <t>No</t>
        </is>
      </c>
      <c r="AR2094">
        <f>HYPERLINK("http://catalog.hathitrust.org/Record/005797594","HathiTrust Record")</f>
        <v/>
      </c>
      <c r="AS2094">
        <f>HYPERLINK("https://creighton-primo.hosted.exlibrisgroup.com/primo-explore/search?tab=default_tab&amp;search_scope=EVERYTHING&amp;vid=01CRU&amp;lang=en_US&amp;offset=0&amp;query=any,contains,991001208919702656","Catalog Record")</f>
        <v/>
      </c>
      <c r="AT2094">
        <f>HYPERLINK("http://www.worldcat.org/oclc/17376593","WorldCat Record")</f>
        <v/>
      </c>
      <c r="AU2094" t="inlineStr">
        <is>
          <t>2178187:eng</t>
        </is>
      </c>
      <c r="AV2094" t="inlineStr">
        <is>
          <t>17376593</t>
        </is>
      </c>
      <c r="AW2094" t="inlineStr">
        <is>
          <t>991001208919702656</t>
        </is>
      </c>
      <c r="AX2094" t="inlineStr">
        <is>
          <t>991001208919702656</t>
        </is>
      </c>
      <c r="AY2094" t="inlineStr">
        <is>
          <t>2267594830002656</t>
        </is>
      </c>
      <c r="AZ2094" t="inlineStr">
        <is>
          <t>BOOK</t>
        </is>
      </c>
      <c r="BC2094" t="inlineStr">
        <is>
          <t>32285000858497</t>
        </is>
      </c>
      <c r="BD2094" t="inlineStr">
        <is>
          <t>893225689</t>
        </is>
      </c>
    </row>
    <row r="2095">
      <c r="A2095" t="inlineStr">
        <is>
          <t>No</t>
        </is>
      </c>
      <c r="B2095" t="inlineStr">
        <is>
          <t>BX4700.F85 B75 1958</t>
        </is>
      </c>
      <c r="C2095" t="inlineStr">
        <is>
          <t>0                      BX 4700000F  85                 B  75          1958</t>
        </is>
      </c>
      <c r="D2095" t="inlineStr">
        <is>
          <t>The story of Saint Francis de Sales : patron of Catholic writers.</t>
        </is>
      </c>
      <c r="F2095" t="inlineStr">
        <is>
          <t>No</t>
        </is>
      </c>
      <c r="G2095" t="inlineStr">
        <is>
          <t>1</t>
        </is>
      </c>
      <c r="H2095" t="inlineStr">
        <is>
          <t>No</t>
        </is>
      </c>
      <c r="I2095" t="inlineStr">
        <is>
          <t>No</t>
        </is>
      </c>
      <c r="J2095" t="inlineStr">
        <is>
          <t>0</t>
        </is>
      </c>
      <c r="K2095" t="inlineStr">
        <is>
          <t>Brégy, Katherine Marie Cornelia, 1888-1967.</t>
        </is>
      </c>
      <c r="L2095" t="inlineStr">
        <is>
          <t>Milwaukee : Bruce, [1958]</t>
        </is>
      </c>
      <c r="M2095" t="inlineStr">
        <is>
          <t>1958</t>
        </is>
      </c>
      <c r="O2095" t="inlineStr">
        <is>
          <t>eng</t>
        </is>
      </c>
      <c r="P2095" t="inlineStr">
        <is>
          <t xml:space="preserve">xx </t>
        </is>
      </c>
      <c r="R2095" t="inlineStr">
        <is>
          <t xml:space="preserve">BX </t>
        </is>
      </c>
      <c r="S2095" t="n">
        <v>1</v>
      </c>
      <c r="T2095" t="n">
        <v>1</v>
      </c>
      <c r="U2095" t="inlineStr">
        <is>
          <t>2003-03-04</t>
        </is>
      </c>
      <c r="V2095" t="inlineStr">
        <is>
          <t>2003-03-04</t>
        </is>
      </c>
      <c r="W2095" t="inlineStr">
        <is>
          <t>1991-11-26</t>
        </is>
      </c>
      <c r="X2095" t="inlineStr">
        <is>
          <t>1991-11-26</t>
        </is>
      </c>
      <c r="Y2095" t="n">
        <v>128</v>
      </c>
      <c r="Z2095" t="n">
        <v>121</v>
      </c>
      <c r="AA2095" t="n">
        <v>123</v>
      </c>
      <c r="AB2095" t="n">
        <v>3</v>
      </c>
      <c r="AC2095" t="n">
        <v>3</v>
      </c>
      <c r="AD2095" t="n">
        <v>15</v>
      </c>
      <c r="AE2095" t="n">
        <v>15</v>
      </c>
      <c r="AF2095" t="n">
        <v>4</v>
      </c>
      <c r="AG2095" t="n">
        <v>4</v>
      </c>
      <c r="AH2095" t="n">
        <v>3</v>
      </c>
      <c r="AI2095" t="n">
        <v>3</v>
      </c>
      <c r="AJ2095" t="n">
        <v>14</v>
      </c>
      <c r="AK2095" t="n">
        <v>14</v>
      </c>
      <c r="AL2095" t="n">
        <v>0</v>
      </c>
      <c r="AM2095" t="n">
        <v>0</v>
      </c>
      <c r="AN2095" t="n">
        <v>0</v>
      </c>
      <c r="AO2095" t="n">
        <v>0</v>
      </c>
      <c r="AP2095" t="inlineStr">
        <is>
          <t>No</t>
        </is>
      </c>
      <c r="AQ2095" t="inlineStr">
        <is>
          <t>No</t>
        </is>
      </c>
      <c r="AS2095">
        <f>HYPERLINK("https://creighton-primo.hosted.exlibrisgroup.com/primo-explore/search?tab=default_tab&amp;search_scope=EVERYTHING&amp;vid=01CRU&amp;lang=en_US&amp;offset=0&amp;query=any,contains,991003241769702656","Catalog Record")</f>
        <v/>
      </c>
      <c r="AT2095">
        <f>HYPERLINK("http://www.worldcat.org/oclc/764671","WorldCat Record")</f>
        <v/>
      </c>
      <c r="AU2095" t="inlineStr">
        <is>
          <t>3856189825:eng</t>
        </is>
      </c>
      <c r="AV2095" t="inlineStr">
        <is>
          <t>764671</t>
        </is>
      </c>
      <c r="AW2095" t="inlineStr">
        <is>
          <t>991003241769702656</t>
        </is>
      </c>
      <c r="AX2095" t="inlineStr">
        <is>
          <t>991003241769702656</t>
        </is>
      </c>
      <c r="AY2095" t="inlineStr">
        <is>
          <t>2268488600002656</t>
        </is>
      </c>
      <c r="AZ2095" t="inlineStr">
        <is>
          <t>BOOK</t>
        </is>
      </c>
      <c r="BC2095" t="inlineStr">
        <is>
          <t>32285000858513</t>
        </is>
      </c>
      <c r="BD2095" t="inlineStr">
        <is>
          <t>893530990</t>
        </is>
      </c>
    </row>
    <row r="2096">
      <c r="A2096" t="inlineStr">
        <is>
          <t>No</t>
        </is>
      </c>
      <c r="B2096" t="inlineStr">
        <is>
          <t>BX4700.F85 K4 1951</t>
        </is>
      </c>
      <c r="C2096" t="inlineStr">
        <is>
          <t>0                      BX 4700000F  85                 K  4           1951</t>
        </is>
      </c>
      <c r="D2096" t="inlineStr">
        <is>
          <t>The spirit of love, based on the teachings of St. Francois de Sales / by C.F. Kelley.</t>
        </is>
      </c>
      <c r="F2096" t="inlineStr">
        <is>
          <t>No</t>
        </is>
      </c>
      <c r="G2096" t="inlineStr">
        <is>
          <t>1</t>
        </is>
      </c>
      <c r="H2096" t="inlineStr">
        <is>
          <t>No</t>
        </is>
      </c>
      <c r="I2096" t="inlineStr">
        <is>
          <t>No</t>
        </is>
      </c>
      <c r="J2096" t="inlineStr">
        <is>
          <t>0</t>
        </is>
      </c>
      <c r="K2096" t="inlineStr">
        <is>
          <t>Kelley, C. F. (Carl Franklin), 1914-</t>
        </is>
      </c>
      <c r="L2096" t="inlineStr">
        <is>
          <t>New York : Harper, [1951]</t>
        </is>
      </c>
      <c r="M2096" t="inlineStr">
        <is>
          <t>1951</t>
        </is>
      </c>
      <c r="N2096" t="inlineStr">
        <is>
          <t>[lst ed.]</t>
        </is>
      </c>
      <c r="O2096" t="inlineStr">
        <is>
          <t>eng</t>
        </is>
      </c>
      <c r="P2096" t="inlineStr">
        <is>
          <t>___</t>
        </is>
      </c>
      <c r="R2096" t="inlineStr">
        <is>
          <t xml:space="preserve">BX </t>
        </is>
      </c>
      <c r="S2096" t="n">
        <v>4</v>
      </c>
      <c r="T2096" t="n">
        <v>4</v>
      </c>
      <c r="U2096" t="inlineStr">
        <is>
          <t>2006-03-03</t>
        </is>
      </c>
      <c r="V2096" t="inlineStr">
        <is>
          <t>2006-03-03</t>
        </is>
      </c>
      <c r="W2096" t="inlineStr">
        <is>
          <t>1991-12-02</t>
        </is>
      </c>
      <c r="X2096" t="inlineStr">
        <is>
          <t>1991-12-02</t>
        </is>
      </c>
      <c r="Y2096" t="n">
        <v>188</v>
      </c>
      <c r="Z2096" t="n">
        <v>176</v>
      </c>
      <c r="AA2096" t="n">
        <v>190</v>
      </c>
      <c r="AB2096" t="n">
        <v>2</v>
      </c>
      <c r="AC2096" t="n">
        <v>2</v>
      </c>
      <c r="AD2096" t="n">
        <v>22</v>
      </c>
      <c r="AE2096" t="n">
        <v>22</v>
      </c>
      <c r="AF2096" t="n">
        <v>5</v>
      </c>
      <c r="AG2096" t="n">
        <v>5</v>
      </c>
      <c r="AH2096" t="n">
        <v>5</v>
      </c>
      <c r="AI2096" t="n">
        <v>5</v>
      </c>
      <c r="AJ2096" t="n">
        <v>20</v>
      </c>
      <c r="AK2096" t="n">
        <v>20</v>
      </c>
      <c r="AL2096" t="n">
        <v>0</v>
      </c>
      <c r="AM2096" t="n">
        <v>0</v>
      </c>
      <c r="AN2096" t="n">
        <v>0</v>
      </c>
      <c r="AO2096" t="n">
        <v>0</v>
      </c>
      <c r="AP2096" t="inlineStr">
        <is>
          <t>No</t>
        </is>
      </c>
      <c r="AQ2096" t="inlineStr">
        <is>
          <t>No</t>
        </is>
      </c>
      <c r="AS2096">
        <f>HYPERLINK("https://creighton-primo.hosted.exlibrisgroup.com/primo-explore/search?tab=default_tab&amp;search_scope=EVERYTHING&amp;vid=01CRU&amp;lang=en_US&amp;offset=0&amp;query=any,contains,991003615099702656","Catalog Record")</f>
        <v/>
      </c>
      <c r="AT2096">
        <f>HYPERLINK("http://www.worldcat.org/oclc/1198516","WorldCat Record")</f>
        <v/>
      </c>
      <c r="AU2096" t="inlineStr">
        <is>
          <t>3901023006:eng</t>
        </is>
      </c>
      <c r="AV2096" t="inlineStr">
        <is>
          <t>1198516</t>
        </is>
      </c>
      <c r="AW2096" t="inlineStr">
        <is>
          <t>991003615099702656</t>
        </is>
      </c>
      <c r="AX2096" t="inlineStr">
        <is>
          <t>991003615099702656</t>
        </is>
      </c>
      <c r="AY2096" t="inlineStr">
        <is>
          <t>2266920810002656</t>
        </is>
      </c>
      <c r="AZ2096" t="inlineStr">
        <is>
          <t>BOOK</t>
        </is>
      </c>
      <c r="BC2096" t="inlineStr">
        <is>
          <t>32285000858745</t>
        </is>
      </c>
      <c r="BD2096" t="inlineStr">
        <is>
          <t>893324261</t>
        </is>
      </c>
    </row>
    <row r="2097">
      <c r="A2097" t="inlineStr">
        <is>
          <t>No</t>
        </is>
      </c>
      <c r="B2097" t="inlineStr">
        <is>
          <t>BX4700.F85 M27 1923</t>
        </is>
      </c>
      <c r="C2097" t="inlineStr">
        <is>
          <t>0                      BX 4700000F  85                 M  27          1923</t>
        </is>
      </c>
      <c r="D2097" t="inlineStr">
        <is>
          <t>Saint Francis of Sales / by A. de Margerie.</t>
        </is>
      </c>
      <c r="F2097" t="inlineStr">
        <is>
          <t>No</t>
        </is>
      </c>
      <c r="G2097" t="inlineStr">
        <is>
          <t>1</t>
        </is>
      </c>
      <c r="H2097" t="inlineStr">
        <is>
          <t>No</t>
        </is>
      </c>
      <c r="I2097" t="inlineStr">
        <is>
          <t>No</t>
        </is>
      </c>
      <c r="J2097" t="inlineStr">
        <is>
          <t>0</t>
        </is>
      </c>
      <c r="K2097" t="inlineStr">
        <is>
          <t>Margerie, Amédée de, 1825-1905.</t>
        </is>
      </c>
      <c r="L2097" t="inlineStr">
        <is>
          <t>London : Burns, Oates &amp; Washbourne, 1923.</t>
        </is>
      </c>
      <c r="M2097" t="inlineStr">
        <is>
          <t>1923</t>
        </is>
      </c>
      <c r="N2097" t="inlineStr">
        <is>
          <t>6th impression.</t>
        </is>
      </c>
      <c r="O2097" t="inlineStr">
        <is>
          <t>eng</t>
        </is>
      </c>
      <c r="P2097" t="inlineStr">
        <is>
          <t>enk</t>
        </is>
      </c>
      <c r="Q2097" t="inlineStr">
        <is>
          <t>The Saints</t>
        </is>
      </c>
      <c r="R2097" t="inlineStr">
        <is>
          <t xml:space="preserve">BX </t>
        </is>
      </c>
      <c r="S2097" t="n">
        <v>1</v>
      </c>
      <c r="T2097" t="n">
        <v>1</v>
      </c>
      <c r="U2097" t="inlineStr">
        <is>
          <t>2004-06-25</t>
        </is>
      </c>
      <c r="V2097" t="inlineStr">
        <is>
          <t>2004-06-25</t>
        </is>
      </c>
      <c r="W2097" t="inlineStr">
        <is>
          <t>1991-12-02</t>
        </is>
      </c>
      <c r="X2097" t="inlineStr">
        <is>
          <t>1991-12-02</t>
        </is>
      </c>
      <c r="Y2097" t="n">
        <v>17</v>
      </c>
      <c r="Z2097" t="n">
        <v>17</v>
      </c>
      <c r="AA2097" t="n">
        <v>85</v>
      </c>
      <c r="AB2097" t="n">
        <v>1</v>
      </c>
      <c r="AC2097" t="n">
        <v>1</v>
      </c>
      <c r="AD2097" t="n">
        <v>5</v>
      </c>
      <c r="AE2097" t="n">
        <v>21</v>
      </c>
      <c r="AF2097" t="n">
        <v>2</v>
      </c>
      <c r="AG2097" t="n">
        <v>6</v>
      </c>
      <c r="AH2097" t="n">
        <v>2</v>
      </c>
      <c r="AI2097" t="n">
        <v>4</v>
      </c>
      <c r="AJ2097" t="n">
        <v>4</v>
      </c>
      <c r="AK2097" t="n">
        <v>18</v>
      </c>
      <c r="AL2097" t="n">
        <v>0</v>
      </c>
      <c r="AM2097" t="n">
        <v>0</v>
      </c>
      <c r="AN2097" t="n">
        <v>0</v>
      </c>
      <c r="AO2097" t="n">
        <v>0</v>
      </c>
      <c r="AP2097" t="inlineStr">
        <is>
          <t>No</t>
        </is>
      </c>
      <c r="AQ2097" t="inlineStr">
        <is>
          <t>No</t>
        </is>
      </c>
      <c r="AS2097">
        <f>HYPERLINK("https://creighton-primo.hosted.exlibrisgroup.com/primo-explore/search?tab=default_tab&amp;search_scope=EVERYTHING&amp;vid=01CRU&amp;lang=en_US&amp;offset=0&amp;query=any,contains,991000682109702656","Catalog Record")</f>
        <v/>
      </c>
      <c r="AT2097">
        <f>HYPERLINK("http://www.worldcat.org/oclc/12410668","WorldCat Record")</f>
        <v/>
      </c>
      <c r="AU2097" t="inlineStr">
        <is>
          <t>12772134:eng</t>
        </is>
      </c>
      <c r="AV2097" t="inlineStr">
        <is>
          <t>12410668</t>
        </is>
      </c>
      <c r="AW2097" t="inlineStr">
        <is>
          <t>991000682109702656</t>
        </is>
      </c>
      <c r="AX2097" t="inlineStr">
        <is>
          <t>991000682109702656</t>
        </is>
      </c>
      <c r="AY2097" t="inlineStr">
        <is>
          <t>2257909800002656</t>
        </is>
      </c>
      <c r="AZ2097" t="inlineStr">
        <is>
          <t>BOOK</t>
        </is>
      </c>
      <c r="BC2097" t="inlineStr">
        <is>
          <t>32285000858760</t>
        </is>
      </c>
      <c r="BD2097" t="inlineStr">
        <is>
          <t>893432202</t>
        </is>
      </c>
    </row>
    <row r="2098">
      <c r="A2098" t="inlineStr">
        <is>
          <t>No</t>
        </is>
      </c>
      <c r="B2098" t="inlineStr">
        <is>
          <t>BX4700.F85 T72 1963</t>
        </is>
      </c>
      <c r="C2098" t="inlineStr">
        <is>
          <t>0                      BX 4700000F  85                 T  72          1963</t>
        </is>
      </c>
      <c r="D2098" t="inlineStr">
        <is>
          <t>The gentleman saint : St. François de Sales and his times, 1567-1622.</t>
        </is>
      </c>
      <c r="F2098" t="inlineStr">
        <is>
          <t>No</t>
        </is>
      </c>
      <c r="G2098" t="inlineStr">
        <is>
          <t>1</t>
        </is>
      </c>
      <c r="H2098" t="inlineStr">
        <is>
          <t>No</t>
        </is>
      </c>
      <c r="I2098" t="inlineStr">
        <is>
          <t>No</t>
        </is>
      </c>
      <c r="J2098" t="inlineStr">
        <is>
          <t>0</t>
        </is>
      </c>
      <c r="K2098" t="inlineStr">
        <is>
          <t>Trouncer, Margaret, 1906-</t>
        </is>
      </c>
      <c r="L2098" t="inlineStr">
        <is>
          <t>[London] : Hutchinson of London, [1963]</t>
        </is>
      </c>
      <c r="M2098" t="inlineStr">
        <is>
          <t>1963</t>
        </is>
      </c>
      <c r="O2098" t="inlineStr">
        <is>
          <t>eng</t>
        </is>
      </c>
      <c r="P2098" t="inlineStr">
        <is>
          <t>enk</t>
        </is>
      </c>
      <c r="R2098" t="inlineStr">
        <is>
          <t xml:space="preserve">BX </t>
        </is>
      </c>
      <c r="S2098" t="n">
        <v>2</v>
      </c>
      <c r="T2098" t="n">
        <v>2</v>
      </c>
      <c r="U2098" t="inlineStr">
        <is>
          <t>2001-06-25</t>
        </is>
      </c>
      <c r="V2098" t="inlineStr">
        <is>
          <t>2001-06-25</t>
        </is>
      </c>
      <c r="W2098" t="inlineStr">
        <is>
          <t>1991-12-02</t>
        </is>
      </c>
      <c r="X2098" t="inlineStr">
        <is>
          <t>1991-12-02</t>
        </is>
      </c>
      <c r="Y2098" t="n">
        <v>73</v>
      </c>
      <c r="Z2098" t="n">
        <v>44</v>
      </c>
      <c r="AA2098" t="n">
        <v>63</v>
      </c>
      <c r="AB2098" t="n">
        <v>1</v>
      </c>
      <c r="AC2098" t="n">
        <v>2</v>
      </c>
      <c r="AD2098" t="n">
        <v>5</v>
      </c>
      <c r="AE2098" t="n">
        <v>8</v>
      </c>
      <c r="AF2098" t="n">
        <v>1</v>
      </c>
      <c r="AG2098" t="n">
        <v>1</v>
      </c>
      <c r="AH2098" t="n">
        <v>1</v>
      </c>
      <c r="AI2098" t="n">
        <v>1</v>
      </c>
      <c r="AJ2098" t="n">
        <v>4</v>
      </c>
      <c r="AK2098" t="n">
        <v>7</v>
      </c>
      <c r="AL2098" t="n">
        <v>0</v>
      </c>
      <c r="AM2098" t="n">
        <v>0</v>
      </c>
      <c r="AN2098" t="n">
        <v>0</v>
      </c>
      <c r="AO2098" t="n">
        <v>0</v>
      </c>
      <c r="AP2098" t="inlineStr">
        <is>
          <t>No</t>
        </is>
      </c>
      <c r="AQ2098" t="inlineStr">
        <is>
          <t>Yes</t>
        </is>
      </c>
      <c r="AR2098">
        <f>HYPERLINK("http://catalog.hathitrust.org/Record/007315446","HathiTrust Record")</f>
        <v/>
      </c>
      <c r="AS2098">
        <f>HYPERLINK("https://creighton-primo.hosted.exlibrisgroup.com/primo-explore/search?tab=default_tab&amp;search_scope=EVERYTHING&amp;vid=01CRU&amp;lang=en_US&amp;offset=0&amp;query=any,contains,991005057629702656","Catalog Record")</f>
        <v/>
      </c>
      <c r="AT2098">
        <f>HYPERLINK("http://www.worldcat.org/oclc/6913256","WorldCat Record")</f>
        <v/>
      </c>
      <c r="AU2098" t="inlineStr">
        <is>
          <t>377219709:eng</t>
        </is>
      </c>
      <c r="AV2098" t="inlineStr">
        <is>
          <t>6913256</t>
        </is>
      </c>
      <c r="AW2098" t="inlineStr">
        <is>
          <t>991005057629702656</t>
        </is>
      </c>
      <c r="AX2098" t="inlineStr">
        <is>
          <t>991005057629702656</t>
        </is>
      </c>
      <c r="AY2098" t="inlineStr">
        <is>
          <t>2271591530002656</t>
        </is>
      </c>
      <c r="AZ2098" t="inlineStr">
        <is>
          <t>BOOK</t>
        </is>
      </c>
      <c r="BC2098" t="inlineStr">
        <is>
          <t>32285000858810</t>
        </is>
      </c>
      <c r="BD2098" t="inlineStr">
        <is>
          <t>893533088</t>
        </is>
      </c>
    </row>
    <row r="2099">
      <c r="A2099" t="inlineStr">
        <is>
          <t>No</t>
        </is>
      </c>
      <c r="B2099" t="inlineStr">
        <is>
          <t>BX4700.G2 P6 1962</t>
        </is>
      </c>
      <c r="C2099" t="inlineStr">
        <is>
          <t>0                      BX 4700000G  2                  P  6           1962</t>
        </is>
      </c>
      <c r="D2099" t="inlineStr">
        <is>
          <t>Son of the Passion; the story of Gabriel Francis Possenti, the new patron of Catholic youth for the universal church / Godfrey Poage.</t>
        </is>
      </c>
      <c r="F2099" t="inlineStr">
        <is>
          <t>No</t>
        </is>
      </c>
      <c r="G2099" t="inlineStr">
        <is>
          <t>1</t>
        </is>
      </c>
      <c r="H2099" t="inlineStr">
        <is>
          <t>No</t>
        </is>
      </c>
      <c r="I2099" t="inlineStr">
        <is>
          <t>No</t>
        </is>
      </c>
      <c r="J2099" t="inlineStr">
        <is>
          <t>0</t>
        </is>
      </c>
      <c r="K2099" t="inlineStr">
        <is>
          <t>Poage, Godfrey Robert, 1920-</t>
        </is>
      </c>
      <c r="L2099" t="inlineStr">
        <is>
          <t>Milwaukee : Bruce Pub. Co. , 1962.</t>
        </is>
      </c>
      <c r="M2099" t="inlineStr">
        <is>
          <t>1962</t>
        </is>
      </c>
      <c r="O2099" t="inlineStr">
        <is>
          <t>eng</t>
        </is>
      </c>
      <c r="P2099" t="inlineStr">
        <is>
          <t xml:space="preserve">xx </t>
        </is>
      </c>
      <c r="R2099" t="inlineStr">
        <is>
          <t xml:space="preserve">BX </t>
        </is>
      </c>
      <c r="S2099" t="n">
        <v>2</v>
      </c>
      <c r="T2099" t="n">
        <v>2</v>
      </c>
      <c r="U2099" t="inlineStr">
        <is>
          <t>2006-07-17</t>
        </is>
      </c>
      <c r="V2099" t="inlineStr">
        <is>
          <t>2006-07-17</t>
        </is>
      </c>
      <c r="W2099" t="inlineStr">
        <is>
          <t>1991-12-02</t>
        </is>
      </c>
      <c r="X2099" t="inlineStr">
        <is>
          <t>1991-12-02</t>
        </is>
      </c>
      <c r="Y2099" t="n">
        <v>86</v>
      </c>
      <c r="Z2099" t="n">
        <v>81</v>
      </c>
      <c r="AA2099" t="n">
        <v>89</v>
      </c>
      <c r="AB2099" t="n">
        <v>2</v>
      </c>
      <c r="AC2099" t="n">
        <v>2</v>
      </c>
      <c r="AD2099" t="n">
        <v>17</v>
      </c>
      <c r="AE2099" t="n">
        <v>17</v>
      </c>
      <c r="AF2099" t="n">
        <v>6</v>
      </c>
      <c r="AG2099" t="n">
        <v>6</v>
      </c>
      <c r="AH2099" t="n">
        <v>3</v>
      </c>
      <c r="AI2099" t="n">
        <v>3</v>
      </c>
      <c r="AJ2099" t="n">
        <v>13</v>
      </c>
      <c r="AK2099" t="n">
        <v>13</v>
      </c>
      <c r="AL2099" t="n">
        <v>0</v>
      </c>
      <c r="AM2099" t="n">
        <v>0</v>
      </c>
      <c r="AN2099" t="n">
        <v>0</v>
      </c>
      <c r="AO2099" t="n">
        <v>0</v>
      </c>
      <c r="AP2099" t="inlineStr">
        <is>
          <t>No</t>
        </is>
      </c>
      <c r="AQ2099" t="inlineStr">
        <is>
          <t>No</t>
        </is>
      </c>
      <c r="AS2099">
        <f>HYPERLINK("https://creighton-primo.hosted.exlibrisgroup.com/primo-explore/search?tab=default_tab&amp;search_scope=EVERYTHING&amp;vid=01CRU&amp;lang=en_US&amp;offset=0&amp;query=any,contains,991003943439702656","Catalog Record")</f>
        <v/>
      </c>
      <c r="AT2099">
        <f>HYPERLINK("http://www.worldcat.org/oclc/1938938","WorldCat Record")</f>
        <v/>
      </c>
      <c r="AU2099" t="inlineStr">
        <is>
          <t>2944444:eng</t>
        </is>
      </c>
      <c r="AV2099" t="inlineStr">
        <is>
          <t>1938938</t>
        </is>
      </c>
      <c r="AW2099" t="inlineStr">
        <is>
          <t>991003943439702656</t>
        </is>
      </c>
      <c r="AX2099" t="inlineStr">
        <is>
          <t>991003943439702656</t>
        </is>
      </c>
      <c r="AY2099" t="inlineStr">
        <is>
          <t>2260312100002656</t>
        </is>
      </c>
      <c r="AZ2099" t="inlineStr">
        <is>
          <t>BOOK</t>
        </is>
      </c>
      <c r="BC2099" t="inlineStr">
        <is>
          <t>32285000858836</t>
        </is>
      </c>
      <c r="BD2099" t="inlineStr">
        <is>
          <t>893429467</t>
        </is>
      </c>
    </row>
    <row r="2100">
      <c r="A2100" t="inlineStr">
        <is>
          <t>No</t>
        </is>
      </c>
      <c r="B2100" t="inlineStr">
        <is>
          <t>BX4700.G22 G4 1913</t>
        </is>
      </c>
      <c r="C2100" t="inlineStr">
        <is>
          <t>0                      BX 4700000G  22                 G  4           1913</t>
        </is>
      </c>
      <c r="D2100" t="inlineStr">
        <is>
          <t>The life of the servant of God, Gemma Galgani : an Italian maiden of Lucca / by her spiritual director Father Germanus of St. Stanislaus, Passionist; translated by the Reverend A. M. O'Sullivan; with an introduction by His Eminence Cardinal Gasquet.</t>
        </is>
      </c>
      <c r="F2100" t="inlineStr">
        <is>
          <t>No</t>
        </is>
      </c>
      <c r="G2100" t="inlineStr">
        <is>
          <t>1</t>
        </is>
      </c>
      <c r="H2100" t="inlineStr">
        <is>
          <t>No</t>
        </is>
      </c>
      <c r="I2100" t="inlineStr">
        <is>
          <t>No</t>
        </is>
      </c>
      <c r="J2100" t="inlineStr">
        <is>
          <t>0</t>
        </is>
      </c>
      <c r="K2100" t="inlineStr">
        <is>
          <t>Germano di San Stanislao, Father, 1850-1909.</t>
        </is>
      </c>
      <c r="L2100" t="inlineStr">
        <is>
          <t>St. Louis : B. Herder, [1913]</t>
        </is>
      </c>
      <c r="M2100" t="inlineStr">
        <is>
          <t>1913</t>
        </is>
      </c>
      <c r="O2100" t="inlineStr">
        <is>
          <t>eng</t>
        </is>
      </c>
      <c r="P2100" t="inlineStr">
        <is>
          <t>xxu</t>
        </is>
      </c>
      <c r="R2100" t="inlineStr">
        <is>
          <t xml:space="preserve">BX </t>
        </is>
      </c>
      <c r="S2100" t="n">
        <v>6</v>
      </c>
      <c r="T2100" t="n">
        <v>6</v>
      </c>
      <c r="U2100" t="inlineStr">
        <is>
          <t>2010-11-09</t>
        </is>
      </c>
      <c r="V2100" t="inlineStr">
        <is>
          <t>2010-11-09</t>
        </is>
      </c>
      <c r="W2100" t="inlineStr">
        <is>
          <t>1991-12-02</t>
        </is>
      </c>
      <c r="X2100" t="inlineStr">
        <is>
          <t>1991-12-02</t>
        </is>
      </c>
      <c r="Y2100" t="n">
        <v>27</v>
      </c>
      <c r="Z2100" t="n">
        <v>27</v>
      </c>
      <c r="AA2100" t="n">
        <v>55</v>
      </c>
      <c r="AB2100" t="n">
        <v>1</v>
      </c>
      <c r="AC2100" t="n">
        <v>1</v>
      </c>
      <c r="AD2100" t="n">
        <v>9</v>
      </c>
      <c r="AE2100" t="n">
        <v>15</v>
      </c>
      <c r="AF2100" t="n">
        <v>3</v>
      </c>
      <c r="AG2100" t="n">
        <v>5</v>
      </c>
      <c r="AH2100" t="n">
        <v>1</v>
      </c>
      <c r="AI2100" t="n">
        <v>3</v>
      </c>
      <c r="AJ2100" t="n">
        <v>8</v>
      </c>
      <c r="AK2100" t="n">
        <v>13</v>
      </c>
      <c r="AL2100" t="n">
        <v>0</v>
      </c>
      <c r="AM2100" t="n">
        <v>0</v>
      </c>
      <c r="AN2100" t="n">
        <v>0</v>
      </c>
      <c r="AO2100" t="n">
        <v>0</v>
      </c>
      <c r="AP2100" t="inlineStr">
        <is>
          <t>No</t>
        </is>
      </c>
      <c r="AQ2100" t="inlineStr">
        <is>
          <t>No</t>
        </is>
      </c>
      <c r="AS2100">
        <f>HYPERLINK("https://creighton-primo.hosted.exlibrisgroup.com/primo-explore/search?tab=default_tab&amp;search_scope=EVERYTHING&amp;vid=01CRU&amp;lang=en_US&amp;offset=0&amp;query=any,contains,991004537299702656","Catalog Record")</f>
        <v/>
      </c>
      <c r="AT2100">
        <f>HYPERLINK("http://www.worldcat.org/oclc/3873751","WorldCat Record")</f>
        <v/>
      </c>
      <c r="AU2100" t="inlineStr">
        <is>
          <t>1122611600:eng</t>
        </is>
      </c>
      <c r="AV2100" t="inlineStr">
        <is>
          <t>3873751</t>
        </is>
      </c>
      <c r="AW2100" t="inlineStr">
        <is>
          <t>991004537299702656</t>
        </is>
      </c>
      <c r="AX2100" t="inlineStr">
        <is>
          <t>991004537299702656</t>
        </is>
      </c>
      <c r="AY2100" t="inlineStr">
        <is>
          <t>2270043680002656</t>
        </is>
      </c>
      <c r="AZ2100" t="inlineStr">
        <is>
          <t>BOOK</t>
        </is>
      </c>
      <c r="BC2100" t="inlineStr">
        <is>
          <t>32285000858869</t>
        </is>
      </c>
      <c r="BD2100" t="inlineStr">
        <is>
          <t>893343956</t>
        </is>
      </c>
    </row>
    <row r="2101">
      <c r="A2101" t="inlineStr">
        <is>
          <t>No</t>
        </is>
      </c>
      <c r="B2101" t="inlineStr">
        <is>
          <t>BX4700.G6 M3 1962</t>
        </is>
      </c>
      <c r="C2101" t="inlineStr">
        <is>
          <t>0                      BX 4700000G  6                  M  3           1962</t>
        </is>
      </c>
      <c r="D2101" t="inlineStr">
        <is>
          <t>Scholars and mystics / Sister Mary Jeremy.</t>
        </is>
      </c>
      <c r="F2101" t="inlineStr">
        <is>
          <t>No</t>
        </is>
      </c>
      <c r="G2101" t="inlineStr">
        <is>
          <t>1</t>
        </is>
      </c>
      <c r="H2101" t="inlineStr">
        <is>
          <t>No</t>
        </is>
      </c>
      <c r="I2101" t="inlineStr">
        <is>
          <t>No</t>
        </is>
      </c>
      <c r="J2101" t="inlineStr">
        <is>
          <t>0</t>
        </is>
      </c>
      <c r="K2101" t="inlineStr">
        <is>
          <t>Finnegan, Mary Jeremy, 1907-1999.</t>
        </is>
      </c>
      <c r="L2101" t="inlineStr">
        <is>
          <t>Chicago : H. Regnery Co., 1962.</t>
        </is>
      </c>
      <c r="M2101" t="inlineStr">
        <is>
          <t>1962</t>
        </is>
      </c>
      <c r="O2101" t="inlineStr">
        <is>
          <t>eng</t>
        </is>
      </c>
      <c r="P2101" t="inlineStr">
        <is>
          <t>___</t>
        </is>
      </c>
      <c r="R2101" t="inlineStr">
        <is>
          <t xml:space="preserve">BX </t>
        </is>
      </c>
      <c r="S2101" t="n">
        <v>8</v>
      </c>
      <c r="T2101" t="n">
        <v>8</v>
      </c>
      <c r="U2101" t="inlineStr">
        <is>
          <t>2009-06-15</t>
        </is>
      </c>
      <c r="V2101" t="inlineStr">
        <is>
          <t>2009-06-15</t>
        </is>
      </c>
      <c r="W2101" t="inlineStr">
        <is>
          <t>1990-05-24</t>
        </is>
      </c>
      <c r="X2101" t="inlineStr">
        <is>
          <t>1990-05-24</t>
        </is>
      </c>
      <c r="Y2101" t="n">
        <v>228</v>
      </c>
      <c r="Z2101" t="n">
        <v>214</v>
      </c>
      <c r="AA2101" t="n">
        <v>221</v>
      </c>
      <c r="AB2101" t="n">
        <v>3</v>
      </c>
      <c r="AC2101" t="n">
        <v>3</v>
      </c>
      <c r="AD2101" t="n">
        <v>20</v>
      </c>
      <c r="AE2101" t="n">
        <v>20</v>
      </c>
      <c r="AF2101" t="n">
        <v>5</v>
      </c>
      <c r="AG2101" t="n">
        <v>5</v>
      </c>
      <c r="AH2101" t="n">
        <v>6</v>
      </c>
      <c r="AI2101" t="n">
        <v>6</v>
      </c>
      <c r="AJ2101" t="n">
        <v>16</v>
      </c>
      <c r="AK2101" t="n">
        <v>16</v>
      </c>
      <c r="AL2101" t="n">
        <v>0</v>
      </c>
      <c r="AM2101" t="n">
        <v>0</v>
      </c>
      <c r="AN2101" t="n">
        <v>0</v>
      </c>
      <c r="AO2101" t="n">
        <v>0</v>
      </c>
      <c r="AP2101" t="inlineStr">
        <is>
          <t>Yes</t>
        </is>
      </c>
      <c r="AQ2101" t="inlineStr">
        <is>
          <t>No</t>
        </is>
      </c>
      <c r="AR2101">
        <f>HYPERLINK("http://catalog.hathitrust.org/Record/001591671","HathiTrust Record")</f>
        <v/>
      </c>
      <c r="AS2101">
        <f>HYPERLINK("https://creighton-primo.hosted.exlibrisgroup.com/primo-explore/search?tab=default_tab&amp;search_scope=EVERYTHING&amp;vid=01CRU&amp;lang=en_US&amp;offset=0&amp;query=any,contains,991003708919702656","Catalog Record")</f>
        <v/>
      </c>
      <c r="AT2101">
        <f>HYPERLINK("http://www.worldcat.org/oclc/1347302","WorldCat Record")</f>
        <v/>
      </c>
      <c r="AU2101" t="inlineStr">
        <is>
          <t>2243779:eng</t>
        </is>
      </c>
      <c r="AV2101" t="inlineStr">
        <is>
          <t>1347302</t>
        </is>
      </c>
      <c r="AW2101" t="inlineStr">
        <is>
          <t>991003708919702656</t>
        </is>
      </c>
      <c r="AX2101" t="inlineStr">
        <is>
          <t>991003708919702656</t>
        </is>
      </c>
      <c r="AY2101" t="inlineStr">
        <is>
          <t>2261469400002656</t>
        </is>
      </c>
      <c r="AZ2101" t="inlineStr">
        <is>
          <t>BOOK</t>
        </is>
      </c>
      <c r="BC2101" t="inlineStr">
        <is>
          <t>32285000165646</t>
        </is>
      </c>
      <c r="BD2101" t="inlineStr">
        <is>
          <t>893711684</t>
        </is>
      </c>
    </row>
    <row r="2102">
      <c r="A2102" t="inlineStr">
        <is>
          <t>No</t>
        </is>
      </c>
      <c r="B2102" t="inlineStr">
        <is>
          <t>BX4700.G72 H62 1943</t>
        </is>
      </c>
      <c r="C2102" t="inlineStr">
        <is>
          <t>0                      BX 4700000G  72                 H  62          1943</t>
        </is>
      </c>
      <c r="D2102" t="inlineStr">
        <is>
          <t>St. John Capistran, reformer / by Rev. John Hofer, translated by Rev. Patrick Cummins.</t>
        </is>
      </c>
      <c r="F2102" t="inlineStr">
        <is>
          <t>No</t>
        </is>
      </c>
      <c r="G2102" t="inlineStr">
        <is>
          <t>1</t>
        </is>
      </c>
      <c r="H2102" t="inlineStr">
        <is>
          <t>No</t>
        </is>
      </c>
      <c r="I2102" t="inlineStr">
        <is>
          <t>No</t>
        </is>
      </c>
      <c r="J2102" t="inlineStr">
        <is>
          <t>0</t>
        </is>
      </c>
      <c r="K2102" t="inlineStr">
        <is>
          <t>Höfer, Johannes.</t>
        </is>
      </c>
      <c r="L2102" t="inlineStr">
        <is>
          <t>St. Louis, Mo. ; London : B. Herder book co., 1943.</t>
        </is>
      </c>
      <c r="M2102" t="inlineStr">
        <is>
          <t>1943</t>
        </is>
      </c>
      <c r="O2102" t="inlineStr">
        <is>
          <t>eng</t>
        </is>
      </c>
      <c r="P2102" t="inlineStr">
        <is>
          <t>mou</t>
        </is>
      </c>
      <c r="R2102" t="inlineStr">
        <is>
          <t xml:space="preserve">BX </t>
        </is>
      </c>
      <c r="S2102" t="n">
        <v>1</v>
      </c>
      <c r="T2102" t="n">
        <v>1</v>
      </c>
      <c r="U2102" t="inlineStr">
        <is>
          <t>1997-11-25</t>
        </is>
      </c>
      <c r="V2102" t="inlineStr">
        <is>
          <t>1997-11-25</t>
        </is>
      </c>
      <c r="W2102" t="inlineStr">
        <is>
          <t>1991-12-02</t>
        </is>
      </c>
      <c r="X2102" t="inlineStr">
        <is>
          <t>1991-12-02</t>
        </is>
      </c>
      <c r="Y2102" t="n">
        <v>175</v>
      </c>
      <c r="Z2102" t="n">
        <v>165</v>
      </c>
      <c r="AA2102" t="n">
        <v>178</v>
      </c>
      <c r="AB2102" t="n">
        <v>3</v>
      </c>
      <c r="AC2102" t="n">
        <v>3</v>
      </c>
      <c r="AD2102" t="n">
        <v>24</v>
      </c>
      <c r="AE2102" t="n">
        <v>25</v>
      </c>
      <c r="AF2102" t="n">
        <v>6</v>
      </c>
      <c r="AG2102" t="n">
        <v>7</v>
      </c>
      <c r="AH2102" t="n">
        <v>6</v>
      </c>
      <c r="AI2102" t="n">
        <v>6</v>
      </c>
      <c r="AJ2102" t="n">
        <v>19</v>
      </c>
      <c r="AK2102" t="n">
        <v>20</v>
      </c>
      <c r="AL2102" t="n">
        <v>0</v>
      </c>
      <c r="AM2102" t="n">
        <v>0</v>
      </c>
      <c r="AN2102" t="n">
        <v>0</v>
      </c>
      <c r="AO2102" t="n">
        <v>0</v>
      </c>
      <c r="AP2102" t="inlineStr">
        <is>
          <t>No</t>
        </is>
      </c>
      <c r="AQ2102" t="inlineStr">
        <is>
          <t>No</t>
        </is>
      </c>
      <c r="AS2102">
        <f>HYPERLINK("https://creighton-primo.hosted.exlibrisgroup.com/primo-explore/search?tab=default_tab&amp;search_scope=EVERYTHING&amp;vid=01CRU&amp;lang=en_US&amp;offset=0&amp;query=any,contains,991004345549702656","Catalog Record")</f>
        <v/>
      </c>
      <c r="AT2102">
        <f>HYPERLINK("http://www.worldcat.org/oclc/3102057","WorldCat Record")</f>
        <v/>
      </c>
      <c r="AU2102" t="inlineStr">
        <is>
          <t>60003806:eng</t>
        </is>
      </c>
      <c r="AV2102" t="inlineStr">
        <is>
          <t>3102057</t>
        </is>
      </c>
      <c r="AW2102" t="inlineStr">
        <is>
          <t>991004345549702656</t>
        </is>
      </c>
      <c r="AX2102" t="inlineStr">
        <is>
          <t>991004345549702656</t>
        </is>
      </c>
      <c r="AY2102" t="inlineStr">
        <is>
          <t>2265985640002656</t>
        </is>
      </c>
      <c r="AZ2102" t="inlineStr">
        <is>
          <t>BOOK</t>
        </is>
      </c>
      <c r="BC2102" t="inlineStr">
        <is>
          <t>32285000858935</t>
        </is>
      </c>
      <c r="BD2102" t="inlineStr">
        <is>
          <t>893429947</t>
        </is>
      </c>
    </row>
    <row r="2103">
      <c r="A2103" t="inlineStr">
        <is>
          <t>No</t>
        </is>
      </c>
      <c r="B2103" t="inlineStr">
        <is>
          <t>BX4700.G95 F413 1985</t>
        </is>
      </c>
      <c r="C2103" t="inlineStr">
        <is>
          <t>0                      BX 4700000G  95                 F  413         1985</t>
        </is>
      </c>
      <c r="D2103" t="inlineStr">
        <is>
          <t>Felix's Life of Saint Guthlac / introduction, text, translation and notes by Bertram Colgrave.</t>
        </is>
      </c>
      <c r="F2103" t="inlineStr">
        <is>
          <t>No</t>
        </is>
      </c>
      <c r="G2103" t="inlineStr">
        <is>
          <t>1</t>
        </is>
      </c>
      <c r="H2103" t="inlineStr">
        <is>
          <t>No</t>
        </is>
      </c>
      <c r="I2103" t="inlineStr">
        <is>
          <t>No</t>
        </is>
      </c>
      <c r="J2103" t="inlineStr">
        <is>
          <t>0</t>
        </is>
      </c>
      <c r="K2103" t="inlineStr">
        <is>
          <t>Felix, active 8th century.</t>
        </is>
      </c>
      <c r="L2103" t="inlineStr">
        <is>
          <t>Cambridge [Cambridgeshire] ; New York : Cambridge University Press, 1985, c1956.</t>
        </is>
      </c>
      <c r="M2103" t="inlineStr">
        <is>
          <t>1985</t>
        </is>
      </c>
      <c r="O2103" t="inlineStr">
        <is>
          <t>eng</t>
        </is>
      </c>
      <c r="P2103" t="inlineStr">
        <is>
          <t>enk</t>
        </is>
      </c>
      <c r="R2103" t="inlineStr">
        <is>
          <t xml:space="preserve">BX </t>
        </is>
      </c>
      <c r="S2103" t="n">
        <v>3</v>
      </c>
      <c r="T2103" t="n">
        <v>3</v>
      </c>
      <c r="U2103" t="inlineStr">
        <is>
          <t>1999-05-04</t>
        </is>
      </c>
      <c r="V2103" t="inlineStr">
        <is>
          <t>1999-05-04</t>
        </is>
      </c>
      <c r="W2103" t="inlineStr">
        <is>
          <t>1990-04-03</t>
        </is>
      </c>
      <c r="X2103" t="inlineStr">
        <is>
          <t>1990-04-03</t>
        </is>
      </c>
      <c r="Y2103" t="n">
        <v>213</v>
      </c>
      <c r="Z2103" t="n">
        <v>155</v>
      </c>
      <c r="AA2103" t="n">
        <v>284</v>
      </c>
      <c r="AB2103" t="n">
        <v>1</v>
      </c>
      <c r="AC2103" t="n">
        <v>2</v>
      </c>
      <c r="AD2103" t="n">
        <v>7</v>
      </c>
      <c r="AE2103" t="n">
        <v>20</v>
      </c>
      <c r="AF2103" t="n">
        <v>3</v>
      </c>
      <c r="AG2103" t="n">
        <v>6</v>
      </c>
      <c r="AH2103" t="n">
        <v>2</v>
      </c>
      <c r="AI2103" t="n">
        <v>6</v>
      </c>
      <c r="AJ2103" t="n">
        <v>3</v>
      </c>
      <c r="AK2103" t="n">
        <v>12</v>
      </c>
      <c r="AL2103" t="n">
        <v>0</v>
      </c>
      <c r="AM2103" t="n">
        <v>1</v>
      </c>
      <c r="AN2103" t="n">
        <v>0</v>
      </c>
      <c r="AO2103" t="n">
        <v>0</v>
      </c>
      <c r="AP2103" t="inlineStr">
        <is>
          <t>No</t>
        </is>
      </c>
      <c r="AQ2103" t="inlineStr">
        <is>
          <t>No</t>
        </is>
      </c>
      <c r="AS2103">
        <f>HYPERLINK("https://creighton-primo.hosted.exlibrisgroup.com/primo-explore/search?tab=default_tab&amp;search_scope=EVERYTHING&amp;vid=01CRU&amp;lang=en_US&amp;offset=0&amp;query=any,contains,991000662869702656","Catalog Record")</f>
        <v/>
      </c>
      <c r="AT2103">
        <f>HYPERLINK("http://www.worldcat.org/oclc/12262183","WorldCat Record")</f>
        <v/>
      </c>
      <c r="AU2103" t="inlineStr">
        <is>
          <t>498889762:eng</t>
        </is>
      </c>
      <c r="AV2103" t="inlineStr">
        <is>
          <t>12262183</t>
        </is>
      </c>
      <c r="AW2103" t="inlineStr">
        <is>
          <t>991000662869702656</t>
        </is>
      </c>
      <c r="AX2103" t="inlineStr">
        <is>
          <t>991000662869702656</t>
        </is>
      </c>
      <c r="AY2103" t="inlineStr">
        <is>
          <t>2270639220002656</t>
        </is>
      </c>
      <c r="AZ2103" t="inlineStr">
        <is>
          <t>BOOK</t>
        </is>
      </c>
      <c r="BB2103" t="inlineStr">
        <is>
          <t>9780521313865</t>
        </is>
      </c>
      <c r="BC2103" t="inlineStr">
        <is>
          <t>32285000093566</t>
        </is>
      </c>
      <c r="BD2103" t="inlineStr">
        <is>
          <t>893515487</t>
        </is>
      </c>
    </row>
    <row r="2104">
      <c r="A2104" t="inlineStr">
        <is>
          <t>No</t>
        </is>
      </c>
      <c r="B2104" t="inlineStr">
        <is>
          <t>BX4700.H43 A3 1971</t>
        </is>
      </c>
      <c r="C2104" t="inlineStr">
        <is>
          <t>0                      BX 4700000H  43                 A  3           1971</t>
        </is>
      </c>
      <c r="D2104" t="inlineStr">
        <is>
          <t>Not the whole truth / [by] John C. Heenan.</t>
        </is>
      </c>
      <c r="F2104" t="inlineStr">
        <is>
          <t>No</t>
        </is>
      </c>
      <c r="G2104" t="inlineStr">
        <is>
          <t>1</t>
        </is>
      </c>
      <c r="H2104" t="inlineStr">
        <is>
          <t>No</t>
        </is>
      </c>
      <c r="I2104" t="inlineStr">
        <is>
          <t>No</t>
        </is>
      </c>
      <c r="J2104" t="inlineStr">
        <is>
          <t>0</t>
        </is>
      </c>
      <c r="K2104" t="inlineStr">
        <is>
          <t>Heenan, John Carmel, 1905-1975.</t>
        </is>
      </c>
      <c r="L2104" t="inlineStr">
        <is>
          <t>London : Hodder and Stoughton, 1971.</t>
        </is>
      </c>
      <c r="M2104" t="inlineStr">
        <is>
          <t>1971</t>
        </is>
      </c>
      <c r="O2104" t="inlineStr">
        <is>
          <t>eng</t>
        </is>
      </c>
      <c r="P2104" t="inlineStr">
        <is>
          <t>enk</t>
        </is>
      </c>
      <c r="R2104" t="inlineStr">
        <is>
          <t xml:space="preserve">BX </t>
        </is>
      </c>
      <c r="S2104" t="n">
        <v>1</v>
      </c>
      <c r="T2104" t="n">
        <v>1</v>
      </c>
      <c r="U2104" t="inlineStr">
        <is>
          <t>2005-04-28</t>
        </is>
      </c>
      <c r="V2104" t="inlineStr">
        <is>
          <t>2005-04-28</t>
        </is>
      </c>
      <c r="W2104" t="inlineStr">
        <is>
          <t>1991-12-02</t>
        </is>
      </c>
      <c r="X2104" t="inlineStr">
        <is>
          <t>1991-12-02</t>
        </is>
      </c>
      <c r="Y2104" t="n">
        <v>185</v>
      </c>
      <c r="Z2104" t="n">
        <v>63</v>
      </c>
      <c r="AA2104" t="n">
        <v>71</v>
      </c>
      <c r="AB2104" t="n">
        <v>2</v>
      </c>
      <c r="AC2104" t="n">
        <v>2</v>
      </c>
      <c r="AD2104" t="n">
        <v>10</v>
      </c>
      <c r="AE2104" t="n">
        <v>10</v>
      </c>
      <c r="AF2104" t="n">
        <v>1</v>
      </c>
      <c r="AG2104" t="n">
        <v>1</v>
      </c>
      <c r="AH2104" t="n">
        <v>2</v>
      </c>
      <c r="AI2104" t="n">
        <v>2</v>
      </c>
      <c r="AJ2104" t="n">
        <v>8</v>
      </c>
      <c r="AK2104" t="n">
        <v>8</v>
      </c>
      <c r="AL2104" t="n">
        <v>0</v>
      </c>
      <c r="AM2104" t="n">
        <v>0</v>
      </c>
      <c r="AN2104" t="n">
        <v>0</v>
      </c>
      <c r="AO2104" t="n">
        <v>0</v>
      </c>
      <c r="AP2104" t="inlineStr">
        <is>
          <t>No</t>
        </is>
      </c>
      <c r="AQ2104" t="inlineStr">
        <is>
          <t>No</t>
        </is>
      </c>
      <c r="AS2104">
        <f>HYPERLINK("https://creighton-primo.hosted.exlibrisgroup.com/primo-explore/search?tab=default_tab&amp;search_scope=EVERYTHING&amp;vid=01CRU&amp;lang=en_US&amp;offset=0&amp;query=any,contains,991002228329702656","Catalog Record")</f>
        <v/>
      </c>
      <c r="AT2104">
        <f>HYPERLINK("http://www.worldcat.org/oclc/292717","WorldCat Record")</f>
        <v/>
      </c>
      <c r="AU2104" t="inlineStr">
        <is>
          <t>132138269:eng</t>
        </is>
      </c>
      <c r="AV2104" t="inlineStr">
        <is>
          <t>292717</t>
        </is>
      </c>
      <c r="AW2104" t="inlineStr">
        <is>
          <t>991002228329702656</t>
        </is>
      </c>
      <c r="AX2104" t="inlineStr">
        <is>
          <t>991002228329702656</t>
        </is>
      </c>
      <c r="AY2104" t="inlineStr">
        <is>
          <t>2265523370002656</t>
        </is>
      </c>
      <c r="AZ2104" t="inlineStr">
        <is>
          <t>BOOK</t>
        </is>
      </c>
      <c r="BB2104" t="inlineStr">
        <is>
          <t>9780340106464</t>
        </is>
      </c>
      <c r="BC2104" t="inlineStr">
        <is>
          <t>32285000858950</t>
        </is>
      </c>
      <c r="BD2104" t="inlineStr">
        <is>
          <t>893627021</t>
        </is>
      </c>
    </row>
    <row r="2105">
      <c r="A2105" t="inlineStr">
        <is>
          <t>No</t>
        </is>
      </c>
      <c r="B2105" t="inlineStr">
        <is>
          <t>BX4700.H8 F3 1985</t>
        </is>
      </c>
      <c r="C2105" t="inlineStr">
        <is>
          <t>0                      BX 4700000H  8                  F  3           1985</t>
        </is>
      </c>
      <c r="D2105" t="inlineStr">
        <is>
          <t>Saint Hugh of Lincoln / David Hugh Farmer.</t>
        </is>
      </c>
      <c r="F2105" t="inlineStr">
        <is>
          <t>No</t>
        </is>
      </c>
      <c r="G2105" t="inlineStr">
        <is>
          <t>1</t>
        </is>
      </c>
      <c r="H2105" t="inlineStr">
        <is>
          <t>No</t>
        </is>
      </c>
      <c r="I2105" t="inlineStr">
        <is>
          <t>No</t>
        </is>
      </c>
      <c r="J2105" t="inlineStr">
        <is>
          <t>0</t>
        </is>
      </c>
      <c r="K2105" t="inlineStr">
        <is>
          <t>Farmer, David Hugh.</t>
        </is>
      </c>
      <c r="L2105" t="inlineStr">
        <is>
          <t>Kalamazoo, Mich. : Cistercian Pub., c1985.</t>
        </is>
      </c>
      <c r="M2105" t="inlineStr">
        <is>
          <t>1985</t>
        </is>
      </c>
      <c r="O2105" t="inlineStr">
        <is>
          <t>eng</t>
        </is>
      </c>
      <c r="P2105" t="inlineStr">
        <is>
          <t>miu</t>
        </is>
      </c>
      <c r="Q2105" t="inlineStr">
        <is>
          <t>Cistercian studies series ; no. 87</t>
        </is>
      </c>
      <c r="R2105" t="inlineStr">
        <is>
          <t xml:space="preserve">BX </t>
        </is>
      </c>
      <c r="S2105" t="n">
        <v>2</v>
      </c>
      <c r="T2105" t="n">
        <v>2</v>
      </c>
      <c r="U2105" t="inlineStr">
        <is>
          <t>1994-07-11</t>
        </is>
      </c>
      <c r="V2105" t="inlineStr">
        <is>
          <t>1994-07-11</t>
        </is>
      </c>
      <c r="W2105" t="inlineStr">
        <is>
          <t>1991-12-02</t>
        </is>
      </c>
      <c r="X2105" t="inlineStr">
        <is>
          <t>1991-12-02</t>
        </is>
      </c>
      <c r="Y2105" t="n">
        <v>162</v>
      </c>
      <c r="Z2105" t="n">
        <v>140</v>
      </c>
      <c r="AA2105" t="n">
        <v>176</v>
      </c>
      <c r="AB2105" t="n">
        <v>2</v>
      </c>
      <c r="AC2105" t="n">
        <v>2</v>
      </c>
      <c r="AD2105" t="n">
        <v>13</v>
      </c>
      <c r="AE2105" t="n">
        <v>16</v>
      </c>
      <c r="AF2105" t="n">
        <v>2</v>
      </c>
      <c r="AG2105" t="n">
        <v>3</v>
      </c>
      <c r="AH2105" t="n">
        <v>5</v>
      </c>
      <c r="AI2105" t="n">
        <v>5</v>
      </c>
      <c r="AJ2105" t="n">
        <v>11</v>
      </c>
      <c r="AK2105" t="n">
        <v>13</v>
      </c>
      <c r="AL2105" t="n">
        <v>1</v>
      </c>
      <c r="AM2105" t="n">
        <v>1</v>
      </c>
      <c r="AN2105" t="n">
        <v>0</v>
      </c>
      <c r="AO2105" t="n">
        <v>0</v>
      </c>
      <c r="AP2105" t="inlineStr">
        <is>
          <t>No</t>
        </is>
      </c>
      <c r="AQ2105" t="inlineStr">
        <is>
          <t>Yes</t>
        </is>
      </c>
      <c r="AR2105">
        <f>HYPERLINK("http://catalog.hathitrust.org/Record/000590665","HathiTrust Record")</f>
        <v/>
      </c>
      <c r="AS2105">
        <f>HYPERLINK("https://creighton-primo.hosted.exlibrisgroup.com/primo-explore/search?tab=default_tab&amp;search_scope=EVERYTHING&amp;vid=01CRU&amp;lang=en_US&amp;offset=0&amp;query=any,contains,991000731859702656","Catalog Record")</f>
        <v/>
      </c>
      <c r="AT2105">
        <f>HYPERLINK("http://www.worldcat.org/oclc/12731487","WorldCat Record")</f>
        <v/>
      </c>
      <c r="AU2105" t="inlineStr">
        <is>
          <t>4872661:eng</t>
        </is>
      </c>
      <c r="AV2105" t="inlineStr">
        <is>
          <t>12731487</t>
        </is>
      </c>
      <c r="AW2105" t="inlineStr">
        <is>
          <t>991000731859702656</t>
        </is>
      </c>
      <c r="AX2105" t="inlineStr">
        <is>
          <t>991000731859702656</t>
        </is>
      </c>
      <c r="AY2105" t="inlineStr">
        <is>
          <t>2263197520002656</t>
        </is>
      </c>
      <c r="AZ2105" t="inlineStr">
        <is>
          <t>BOOK</t>
        </is>
      </c>
      <c r="BB2105" t="inlineStr">
        <is>
          <t>9780879078874</t>
        </is>
      </c>
      <c r="BC2105" t="inlineStr">
        <is>
          <t>32285000858968</t>
        </is>
      </c>
      <c r="BD2105" t="inlineStr">
        <is>
          <t>893502762</t>
        </is>
      </c>
    </row>
    <row r="2106">
      <c r="A2106" t="inlineStr">
        <is>
          <t>No</t>
        </is>
      </c>
      <c r="B2106" t="inlineStr">
        <is>
          <t>BX4700.J625 S3</t>
        </is>
      </c>
      <c r="C2106" t="inlineStr">
        <is>
          <t>0                      BX 4700000J  625                S  3</t>
        </is>
      </c>
      <c r="D2106" t="inlineStr">
        <is>
          <t>Saint Joan of Arc / V. Sackville-West.</t>
        </is>
      </c>
      <c r="F2106" t="inlineStr">
        <is>
          <t>No</t>
        </is>
      </c>
      <c r="G2106" t="inlineStr">
        <is>
          <t>1</t>
        </is>
      </c>
      <c r="H2106" t="inlineStr">
        <is>
          <t>No</t>
        </is>
      </c>
      <c r="I2106" t="inlineStr">
        <is>
          <t>No</t>
        </is>
      </c>
      <c r="J2106" t="inlineStr">
        <is>
          <t>0</t>
        </is>
      </c>
      <c r="K2106" t="inlineStr">
        <is>
          <t>Sackville-West, V. (Victoria), 1892-1962.</t>
        </is>
      </c>
      <c r="L2106" t="inlineStr">
        <is>
          <t>New York : The Literary guild, 1936.</t>
        </is>
      </c>
      <c r="M2106" t="inlineStr">
        <is>
          <t>1936</t>
        </is>
      </c>
      <c r="O2106" t="inlineStr">
        <is>
          <t>eng</t>
        </is>
      </c>
      <c r="P2106" t="inlineStr">
        <is>
          <t>nyu</t>
        </is>
      </c>
      <c r="R2106" t="inlineStr">
        <is>
          <t xml:space="preserve">BX </t>
        </is>
      </c>
      <c r="S2106" t="n">
        <v>1</v>
      </c>
      <c r="T2106" t="n">
        <v>1</v>
      </c>
      <c r="U2106" t="inlineStr">
        <is>
          <t>2001-09-16</t>
        </is>
      </c>
      <c r="V2106" t="inlineStr">
        <is>
          <t>2001-09-16</t>
        </is>
      </c>
      <c r="W2106" t="inlineStr">
        <is>
          <t>1991-12-02</t>
        </is>
      </c>
      <c r="X2106" t="inlineStr">
        <is>
          <t>1991-12-02</t>
        </is>
      </c>
      <c r="Y2106" t="n">
        <v>554</v>
      </c>
      <c r="Z2106" t="n">
        <v>538</v>
      </c>
      <c r="AA2106" t="n">
        <v>1514</v>
      </c>
      <c r="AB2106" t="n">
        <v>5</v>
      </c>
      <c r="AC2106" t="n">
        <v>12</v>
      </c>
      <c r="AD2106" t="n">
        <v>18</v>
      </c>
      <c r="AE2106" t="n">
        <v>51</v>
      </c>
      <c r="AF2106" t="n">
        <v>6</v>
      </c>
      <c r="AG2106" t="n">
        <v>23</v>
      </c>
      <c r="AH2106" t="n">
        <v>3</v>
      </c>
      <c r="AI2106" t="n">
        <v>9</v>
      </c>
      <c r="AJ2106" t="n">
        <v>10</v>
      </c>
      <c r="AK2106" t="n">
        <v>23</v>
      </c>
      <c r="AL2106" t="n">
        <v>2</v>
      </c>
      <c r="AM2106" t="n">
        <v>6</v>
      </c>
      <c r="AN2106" t="n">
        <v>0</v>
      </c>
      <c r="AO2106" t="n">
        <v>0</v>
      </c>
      <c r="AP2106" t="inlineStr">
        <is>
          <t>No</t>
        </is>
      </c>
      <c r="AQ2106" t="inlineStr">
        <is>
          <t>No</t>
        </is>
      </c>
      <c r="AS2106">
        <f>HYPERLINK("https://creighton-primo.hosted.exlibrisgroup.com/primo-explore/search?tab=default_tab&amp;search_scope=EVERYTHING&amp;vid=01CRU&amp;lang=en_US&amp;offset=0&amp;query=any,contains,991003896419702656","Catalog Record")</f>
        <v/>
      </c>
      <c r="AT2106">
        <f>HYPERLINK("http://www.worldcat.org/oclc/1810698","WorldCat Record")</f>
        <v/>
      </c>
      <c r="AU2106" t="inlineStr">
        <is>
          <t>764611889:eng</t>
        </is>
      </c>
      <c r="AV2106" t="inlineStr">
        <is>
          <t>1810698</t>
        </is>
      </c>
      <c r="AW2106" t="inlineStr">
        <is>
          <t>991003896419702656</t>
        </is>
      </c>
      <c r="AX2106" t="inlineStr">
        <is>
          <t>991003896419702656</t>
        </is>
      </c>
      <c r="AY2106" t="inlineStr">
        <is>
          <t>2258536550002656</t>
        </is>
      </c>
      <c r="AZ2106" t="inlineStr">
        <is>
          <t>BOOK</t>
        </is>
      </c>
      <c r="BC2106" t="inlineStr">
        <is>
          <t>32285000859065</t>
        </is>
      </c>
      <c r="BD2106" t="inlineStr">
        <is>
          <t>893259066</t>
        </is>
      </c>
    </row>
    <row r="2107">
      <c r="A2107" t="inlineStr">
        <is>
          <t>No</t>
        </is>
      </c>
      <c r="B2107" t="inlineStr">
        <is>
          <t>BX4700.J65 M2 1953</t>
        </is>
      </c>
      <c r="C2107" t="inlineStr">
        <is>
          <t>0                      BX 4700000J  65                 M  2           1953</t>
        </is>
      </c>
      <c r="D2107" t="inlineStr">
        <is>
          <t>St. John of God : heavenly patron of the sick and dying, nurses and hospitals / by Norbert McMahon.</t>
        </is>
      </c>
      <c r="F2107" t="inlineStr">
        <is>
          <t>No</t>
        </is>
      </c>
      <c r="G2107" t="inlineStr">
        <is>
          <t>1</t>
        </is>
      </c>
      <c r="H2107" t="inlineStr">
        <is>
          <t>No</t>
        </is>
      </c>
      <c r="I2107" t="inlineStr">
        <is>
          <t>No</t>
        </is>
      </c>
      <c r="J2107" t="inlineStr">
        <is>
          <t>0</t>
        </is>
      </c>
      <c r="K2107" t="inlineStr">
        <is>
          <t>McMahon, Norbert.</t>
        </is>
      </c>
      <c r="L2107" t="inlineStr">
        <is>
          <t>New York : McMullen Books, [1953?]</t>
        </is>
      </c>
      <c r="M2107" t="inlineStr">
        <is>
          <t>1953</t>
        </is>
      </c>
      <c r="O2107" t="inlineStr">
        <is>
          <t>eng</t>
        </is>
      </c>
      <c r="P2107" t="inlineStr">
        <is>
          <t>xxu</t>
        </is>
      </c>
      <c r="R2107" t="inlineStr">
        <is>
          <t xml:space="preserve">BX </t>
        </is>
      </c>
      <c r="S2107" t="n">
        <v>2</v>
      </c>
      <c r="T2107" t="n">
        <v>2</v>
      </c>
      <c r="U2107" t="inlineStr">
        <is>
          <t>2000-08-02</t>
        </is>
      </c>
      <c r="V2107" t="inlineStr">
        <is>
          <t>2000-08-02</t>
        </is>
      </c>
      <c r="W2107" t="inlineStr">
        <is>
          <t>1991-12-02</t>
        </is>
      </c>
      <c r="X2107" t="inlineStr">
        <is>
          <t>1991-12-02</t>
        </is>
      </c>
      <c r="Y2107" t="n">
        <v>91</v>
      </c>
      <c r="Z2107" t="n">
        <v>88</v>
      </c>
      <c r="AA2107" t="n">
        <v>107</v>
      </c>
      <c r="AB2107" t="n">
        <v>3</v>
      </c>
      <c r="AC2107" t="n">
        <v>3</v>
      </c>
      <c r="AD2107" t="n">
        <v>15</v>
      </c>
      <c r="AE2107" t="n">
        <v>17</v>
      </c>
      <c r="AF2107" t="n">
        <v>3</v>
      </c>
      <c r="AG2107" t="n">
        <v>4</v>
      </c>
      <c r="AH2107" t="n">
        <v>5</v>
      </c>
      <c r="AI2107" t="n">
        <v>5</v>
      </c>
      <c r="AJ2107" t="n">
        <v>11</v>
      </c>
      <c r="AK2107" t="n">
        <v>13</v>
      </c>
      <c r="AL2107" t="n">
        <v>0</v>
      </c>
      <c r="AM2107" t="n">
        <v>0</v>
      </c>
      <c r="AN2107" t="n">
        <v>0</v>
      </c>
      <c r="AO2107" t="n">
        <v>0</v>
      </c>
      <c r="AP2107" t="inlineStr">
        <is>
          <t>No</t>
        </is>
      </c>
      <c r="AQ2107" t="inlineStr">
        <is>
          <t>No</t>
        </is>
      </c>
      <c r="AS2107">
        <f>HYPERLINK("https://creighton-primo.hosted.exlibrisgroup.com/primo-explore/search?tab=default_tab&amp;search_scope=EVERYTHING&amp;vid=01CRU&amp;lang=en_US&amp;offset=0&amp;query=any,contains,991004537349702656","Catalog Record")</f>
        <v/>
      </c>
      <c r="AT2107">
        <f>HYPERLINK("http://www.worldcat.org/oclc/3874007","WorldCat Record")</f>
        <v/>
      </c>
      <c r="AU2107" t="inlineStr">
        <is>
          <t>12944009:eng</t>
        </is>
      </c>
      <c r="AV2107" t="inlineStr">
        <is>
          <t>3874007</t>
        </is>
      </c>
      <c r="AW2107" t="inlineStr">
        <is>
          <t>991004537349702656</t>
        </is>
      </c>
      <c r="AX2107" t="inlineStr">
        <is>
          <t>991004537349702656</t>
        </is>
      </c>
      <c r="AY2107" t="inlineStr">
        <is>
          <t>2269125410002656</t>
        </is>
      </c>
      <c r="AZ2107" t="inlineStr">
        <is>
          <t>BOOK</t>
        </is>
      </c>
      <c r="BC2107" t="inlineStr">
        <is>
          <t>32285000859073</t>
        </is>
      </c>
      <c r="BD2107" t="inlineStr">
        <is>
          <t>893606154</t>
        </is>
      </c>
    </row>
    <row r="2108">
      <c r="A2108" t="inlineStr">
        <is>
          <t>No</t>
        </is>
      </c>
      <c r="B2108" t="inlineStr">
        <is>
          <t>BX4700.J67 P35 1918</t>
        </is>
      </c>
      <c r="C2108" t="inlineStr">
        <is>
          <t>0                      BX 4700000J  67                 P  35          1918</t>
        </is>
      </c>
      <c r="D2108" t="inlineStr">
        <is>
          <t>St. Joseph of Copertino / by Angelo Pastrovicchi. Englished and adapted by the Rev. Francis S. Laing.</t>
        </is>
      </c>
      <c r="F2108" t="inlineStr">
        <is>
          <t>No</t>
        </is>
      </c>
      <c r="G2108" t="inlineStr">
        <is>
          <t>1</t>
        </is>
      </c>
      <c r="H2108" t="inlineStr">
        <is>
          <t>No</t>
        </is>
      </c>
      <c r="I2108" t="inlineStr">
        <is>
          <t>No</t>
        </is>
      </c>
      <c r="J2108" t="inlineStr">
        <is>
          <t>0</t>
        </is>
      </c>
      <c r="K2108" t="inlineStr">
        <is>
          <t>Pastrovich, Francesco Angelo, 1710-1783.</t>
        </is>
      </c>
      <c r="L2108" t="inlineStr">
        <is>
          <t>St. Louis : B. Herder, 1918.</t>
        </is>
      </c>
      <c r="M2108" t="inlineStr">
        <is>
          <t>1918</t>
        </is>
      </c>
      <c r="O2108" t="inlineStr">
        <is>
          <t>eng</t>
        </is>
      </c>
      <c r="P2108" t="inlineStr">
        <is>
          <t>mou</t>
        </is>
      </c>
      <c r="R2108" t="inlineStr">
        <is>
          <t xml:space="preserve">BX </t>
        </is>
      </c>
      <c r="S2108" t="n">
        <v>2</v>
      </c>
      <c r="T2108" t="n">
        <v>2</v>
      </c>
      <c r="U2108" t="inlineStr">
        <is>
          <t>2006-02-12</t>
        </is>
      </c>
      <c r="V2108" t="inlineStr">
        <is>
          <t>2006-02-12</t>
        </is>
      </c>
      <c r="W2108" t="inlineStr">
        <is>
          <t>1994-10-05</t>
        </is>
      </c>
      <c r="X2108" t="inlineStr">
        <is>
          <t>1994-10-05</t>
        </is>
      </c>
      <c r="Y2108" t="n">
        <v>34</v>
      </c>
      <c r="Z2108" t="n">
        <v>33</v>
      </c>
      <c r="AA2108" t="n">
        <v>89</v>
      </c>
      <c r="AB2108" t="n">
        <v>1</v>
      </c>
      <c r="AC2108" t="n">
        <v>2</v>
      </c>
      <c r="AD2108" t="n">
        <v>6</v>
      </c>
      <c r="AE2108" t="n">
        <v>7</v>
      </c>
      <c r="AF2108" t="n">
        <v>0</v>
      </c>
      <c r="AG2108" t="n">
        <v>1</v>
      </c>
      <c r="AH2108" t="n">
        <v>2</v>
      </c>
      <c r="AI2108" t="n">
        <v>3</v>
      </c>
      <c r="AJ2108" t="n">
        <v>5</v>
      </c>
      <c r="AK2108" t="n">
        <v>5</v>
      </c>
      <c r="AL2108" t="n">
        <v>0</v>
      </c>
      <c r="AM2108" t="n">
        <v>0</v>
      </c>
      <c r="AN2108" t="n">
        <v>0</v>
      </c>
      <c r="AO2108" t="n">
        <v>0</v>
      </c>
      <c r="AP2108" t="inlineStr">
        <is>
          <t>Yes</t>
        </is>
      </c>
      <c r="AQ2108" t="inlineStr">
        <is>
          <t>No</t>
        </is>
      </c>
      <c r="AR2108">
        <f>HYPERLINK("http://catalog.hathitrust.org/Record/008417126","HathiTrust Record")</f>
        <v/>
      </c>
      <c r="AS2108">
        <f>HYPERLINK("https://creighton-primo.hosted.exlibrisgroup.com/primo-explore/search?tab=default_tab&amp;search_scope=EVERYTHING&amp;vid=01CRU&amp;lang=en_US&amp;offset=0&amp;query=any,contains,991004602789702656","Catalog Record")</f>
        <v/>
      </c>
      <c r="AT2108">
        <f>HYPERLINK("http://www.worldcat.org/oclc/4182805","WorldCat Record")</f>
        <v/>
      </c>
      <c r="AU2108" t="inlineStr">
        <is>
          <t>14576292:eng</t>
        </is>
      </c>
      <c r="AV2108" t="inlineStr">
        <is>
          <t>4182805</t>
        </is>
      </c>
      <c r="AW2108" t="inlineStr">
        <is>
          <t>991004602789702656</t>
        </is>
      </c>
      <c r="AX2108" t="inlineStr">
        <is>
          <t>991004602789702656</t>
        </is>
      </c>
      <c r="AY2108" t="inlineStr">
        <is>
          <t>2267674860002656</t>
        </is>
      </c>
      <c r="AZ2108" t="inlineStr">
        <is>
          <t>BOOK</t>
        </is>
      </c>
      <c r="BC2108" t="inlineStr">
        <is>
          <t>32285001953990</t>
        </is>
      </c>
      <c r="BD2108" t="inlineStr">
        <is>
          <t>893869901</t>
        </is>
      </c>
    </row>
    <row r="2109">
      <c r="A2109" t="inlineStr">
        <is>
          <t>No</t>
        </is>
      </c>
      <c r="B2109" t="inlineStr">
        <is>
          <t>BX4700.J7 C68 1946</t>
        </is>
      </c>
      <c r="C2109" t="inlineStr">
        <is>
          <t>0                      BX 4700000J  7                  C  68          1946</t>
        </is>
      </c>
      <c r="D2109" t="inlineStr">
        <is>
          <t>San Juan de la Cruz : el hombre, el doctor, el poeta / por el Crisógono de Jesús Sacramentado.</t>
        </is>
      </c>
      <c r="F2109" t="inlineStr">
        <is>
          <t>No</t>
        </is>
      </c>
      <c r="G2109" t="inlineStr">
        <is>
          <t>1</t>
        </is>
      </c>
      <c r="H2109" t="inlineStr">
        <is>
          <t>No</t>
        </is>
      </c>
      <c r="I2109" t="inlineStr">
        <is>
          <t>No</t>
        </is>
      </c>
      <c r="J2109" t="inlineStr">
        <is>
          <t>0</t>
        </is>
      </c>
      <c r="K2109" t="inlineStr">
        <is>
          <t>Crisógono de Jesús Sacramentado.</t>
        </is>
      </c>
      <c r="L2109" t="inlineStr">
        <is>
          <t>Barcelona : Editorial Labor, s.a., 1946.</t>
        </is>
      </c>
      <c r="M2109" t="inlineStr">
        <is>
          <t>1946</t>
        </is>
      </c>
      <c r="N2109" t="inlineStr">
        <is>
          <t>2.ed.</t>
        </is>
      </c>
      <c r="O2109" t="inlineStr">
        <is>
          <t>spa</t>
        </is>
      </c>
      <c r="P2109" t="inlineStr">
        <is>
          <t>___</t>
        </is>
      </c>
      <c r="Q2109" t="inlineStr">
        <is>
          <t>Colección Pro ecclesia et patria ; no. 2</t>
        </is>
      </c>
      <c r="R2109" t="inlineStr">
        <is>
          <t xml:space="preserve">BX </t>
        </is>
      </c>
      <c r="S2109" t="n">
        <v>1</v>
      </c>
      <c r="T2109" t="n">
        <v>1</v>
      </c>
      <c r="U2109" t="inlineStr">
        <is>
          <t>2001-08-01</t>
        </is>
      </c>
      <c r="V2109" t="inlineStr">
        <is>
          <t>2001-08-01</t>
        </is>
      </c>
      <c r="W2109" t="inlineStr">
        <is>
          <t>1991-12-02</t>
        </is>
      </c>
      <c r="X2109" t="inlineStr">
        <is>
          <t>1991-12-02</t>
        </is>
      </c>
      <c r="Y2109" t="n">
        <v>57</v>
      </c>
      <c r="Z2109" t="n">
        <v>46</v>
      </c>
      <c r="AA2109" t="n">
        <v>69</v>
      </c>
      <c r="AB2109" t="n">
        <v>1</v>
      </c>
      <c r="AC2109" t="n">
        <v>1</v>
      </c>
      <c r="AD2109" t="n">
        <v>2</v>
      </c>
      <c r="AE2109" t="n">
        <v>4</v>
      </c>
      <c r="AF2109" t="n">
        <v>0</v>
      </c>
      <c r="AG2109" t="n">
        <v>0</v>
      </c>
      <c r="AH2109" t="n">
        <v>1</v>
      </c>
      <c r="AI2109" t="n">
        <v>1</v>
      </c>
      <c r="AJ2109" t="n">
        <v>2</v>
      </c>
      <c r="AK2109" t="n">
        <v>4</v>
      </c>
      <c r="AL2109" t="n">
        <v>0</v>
      </c>
      <c r="AM2109" t="n">
        <v>0</v>
      </c>
      <c r="AN2109" t="n">
        <v>0</v>
      </c>
      <c r="AO2109" t="n">
        <v>0</v>
      </c>
      <c r="AP2109" t="inlineStr">
        <is>
          <t>No</t>
        </is>
      </c>
      <c r="AQ2109" t="inlineStr">
        <is>
          <t>Yes</t>
        </is>
      </c>
      <c r="AR2109">
        <f>HYPERLINK("http://catalog.hathitrust.org/Record/009007540","HathiTrust Record")</f>
        <v/>
      </c>
      <c r="AS2109">
        <f>HYPERLINK("https://creighton-primo.hosted.exlibrisgroup.com/primo-explore/search?tab=default_tab&amp;search_scope=EVERYTHING&amp;vid=01CRU&amp;lang=en_US&amp;offset=0&amp;query=any,contains,991001067549702656","Catalog Record")</f>
        <v/>
      </c>
      <c r="AT2109">
        <f>HYPERLINK("http://www.worldcat.org/oclc/178413","WorldCat Record")</f>
        <v/>
      </c>
      <c r="AU2109" t="inlineStr">
        <is>
          <t>3758617355:spa</t>
        </is>
      </c>
      <c r="AV2109" t="inlineStr">
        <is>
          <t>178413</t>
        </is>
      </c>
      <c r="AW2109" t="inlineStr">
        <is>
          <t>991001067549702656</t>
        </is>
      </c>
      <c r="AX2109" t="inlineStr">
        <is>
          <t>991001067549702656</t>
        </is>
      </c>
      <c r="AY2109" t="inlineStr">
        <is>
          <t>2264332610002656</t>
        </is>
      </c>
      <c r="AZ2109" t="inlineStr">
        <is>
          <t>BOOK</t>
        </is>
      </c>
      <c r="BC2109" t="inlineStr">
        <is>
          <t>32285000859099</t>
        </is>
      </c>
      <c r="BD2109" t="inlineStr">
        <is>
          <t>893872248</t>
        </is>
      </c>
    </row>
    <row r="2110">
      <c r="A2110" t="inlineStr">
        <is>
          <t>No</t>
        </is>
      </c>
      <c r="B2110" t="inlineStr">
        <is>
          <t>BX4700.J7 J82 1991</t>
        </is>
      </c>
      <c r="C2110" t="inlineStr">
        <is>
          <t>0                      BX 4700000J  7                  J  82          1991</t>
        </is>
      </c>
      <c r="D2110" t="inlineStr">
        <is>
          <t>"Juan de la Cruz, Espiritu de Llama" : Estudios con ocasión del cuarto centenario de su muerte (1591-1991) / coordinador, Otger Steggink.</t>
        </is>
      </c>
      <c r="F2110" t="inlineStr">
        <is>
          <t>No</t>
        </is>
      </c>
      <c r="G2110" t="inlineStr">
        <is>
          <t>1</t>
        </is>
      </c>
      <c r="H2110" t="inlineStr">
        <is>
          <t>No</t>
        </is>
      </c>
      <c r="I2110" t="inlineStr">
        <is>
          <t>No</t>
        </is>
      </c>
      <c r="J2110" t="inlineStr">
        <is>
          <t>0</t>
        </is>
      </c>
      <c r="L2110" t="inlineStr">
        <is>
          <t>Roma : Institution Carmelitanum ; Kampen : Kok Pharos, 1991.</t>
        </is>
      </c>
      <c r="M2110" t="inlineStr">
        <is>
          <t>1991</t>
        </is>
      </c>
      <c r="O2110" t="inlineStr">
        <is>
          <t>spa</t>
        </is>
      </c>
      <c r="P2110" t="inlineStr">
        <is>
          <t xml:space="preserve">it </t>
        </is>
      </c>
      <c r="Q2110" t="inlineStr">
        <is>
          <t>Studies in spirituality. Supplement ; 1</t>
        </is>
      </c>
      <c r="R2110" t="inlineStr">
        <is>
          <t xml:space="preserve">BX </t>
        </is>
      </c>
      <c r="S2110" t="n">
        <v>0</v>
      </c>
      <c r="T2110" t="n">
        <v>0</v>
      </c>
      <c r="U2110" t="inlineStr">
        <is>
          <t>2000-11-02</t>
        </is>
      </c>
      <c r="V2110" t="inlineStr">
        <is>
          <t>2000-11-02</t>
        </is>
      </c>
      <c r="W2110" t="inlineStr">
        <is>
          <t>1997-06-10</t>
        </is>
      </c>
      <c r="X2110" t="inlineStr">
        <is>
          <t>1997-06-10</t>
        </is>
      </c>
      <c r="Y2110" t="n">
        <v>62</v>
      </c>
      <c r="Z2110" t="n">
        <v>45</v>
      </c>
      <c r="AA2110" t="n">
        <v>45</v>
      </c>
      <c r="AB2110" t="n">
        <v>1</v>
      </c>
      <c r="AC2110" t="n">
        <v>1</v>
      </c>
      <c r="AD2110" t="n">
        <v>4</v>
      </c>
      <c r="AE2110" t="n">
        <v>4</v>
      </c>
      <c r="AF2110" t="n">
        <v>0</v>
      </c>
      <c r="AG2110" t="n">
        <v>0</v>
      </c>
      <c r="AH2110" t="n">
        <v>2</v>
      </c>
      <c r="AI2110" t="n">
        <v>2</v>
      </c>
      <c r="AJ2110" t="n">
        <v>3</v>
      </c>
      <c r="AK2110" t="n">
        <v>3</v>
      </c>
      <c r="AL2110" t="n">
        <v>0</v>
      </c>
      <c r="AM2110" t="n">
        <v>0</v>
      </c>
      <c r="AN2110" t="n">
        <v>0</v>
      </c>
      <c r="AO2110" t="n">
        <v>0</v>
      </c>
      <c r="AP2110" t="inlineStr">
        <is>
          <t>No</t>
        </is>
      </c>
      <c r="AQ2110" t="inlineStr">
        <is>
          <t>No</t>
        </is>
      </c>
      <c r="AS2110">
        <f>HYPERLINK("https://creighton-primo.hosted.exlibrisgroup.com/primo-explore/search?tab=default_tab&amp;search_scope=EVERYTHING&amp;vid=01CRU&amp;lang=en_US&amp;offset=0&amp;query=any,contains,991002061019702656","Catalog Record")</f>
        <v/>
      </c>
      <c r="AT2110">
        <f>HYPERLINK("http://www.worldcat.org/oclc/26373685","WorldCat Record")</f>
        <v/>
      </c>
      <c r="AU2110" t="inlineStr">
        <is>
          <t>364286778:spa</t>
        </is>
      </c>
      <c r="AV2110" t="inlineStr">
        <is>
          <t>26373685</t>
        </is>
      </c>
      <c r="AW2110" t="inlineStr">
        <is>
          <t>991002061019702656</t>
        </is>
      </c>
      <c r="AX2110" t="inlineStr">
        <is>
          <t>991002061019702656</t>
        </is>
      </c>
      <c r="AY2110" t="inlineStr">
        <is>
          <t>2260176620002656</t>
        </is>
      </c>
      <c r="AZ2110" t="inlineStr">
        <is>
          <t>BOOK</t>
        </is>
      </c>
      <c r="BB2110" t="inlineStr">
        <is>
          <t>9788872880197</t>
        </is>
      </c>
      <c r="BC2110" t="inlineStr">
        <is>
          <t>32285002751021</t>
        </is>
      </c>
      <c r="BD2110" t="inlineStr">
        <is>
          <t>893703624</t>
        </is>
      </c>
    </row>
    <row r="2111">
      <c r="A2111" t="inlineStr">
        <is>
          <t>No</t>
        </is>
      </c>
      <c r="B2111" t="inlineStr">
        <is>
          <t>BX4700.J7 S38 1944</t>
        </is>
      </c>
      <c r="C2111" t="inlineStr">
        <is>
          <t>0                      BX 4700000J  7                  S  38          1944</t>
        </is>
      </c>
      <c r="D2111" t="inlineStr">
        <is>
          <t>Carmelite and poet : a framed portrait of St. John of the Cross, with his poems in Spanish / by Robert Sencourt.</t>
        </is>
      </c>
      <c r="F2111" t="inlineStr">
        <is>
          <t>No</t>
        </is>
      </c>
      <c r="G2111" t="inlineStr">
        <is>
          <t>1</t>
        </is>
      </c>
      <c r="H2111" t="inlineStr">
        <is>
          <t>No</t>
        </is>
      </c>
      <c r="I2111" t="inlineStr">
        <is>
          <t>No</t>
        </is>
      </c>
      <c r="J2111" t="inlineStr">
        <is>
          <t>0</t>
        </is>
      </c>
      <c r="K2111" t="inlineStr">
        <is>
          <t>Sencourt, Robert, 1890-1969.</t>
        </is>
      </c>
      <c r="L2111" t="inlineStr">
        <is>
          <t>New York : Macmillan, 1944.</t>
        </is>
      </c>
      <c r="M2111" t="inlineStr">
        <is>
          <t>1944</t>
        </is>
      </c>
      <c r="O2111" t="inlineStr">
        <is>
          <t>eng</t>
        </is>
      </c>
      <c r="P2111" t="inlineStr">
        <is>
          <t>___</t>
        </is>
      </c>
      <c r="R2111" t="inlineStr">
        <is>
          <t xml:space="preserve">BX </t>
        </is>
      </c>
      <c r="S2111" t="n">
        <v>4</v>
      </c>
      <c r="T2111" t="n">
        <v>4</v>
      </c>
      <c r="U2111" t="inlineStr">
        <is>
          <t>2010-10-13</t>
        </is>
      </c>
      <c r="V2111" t="inlineStr">
        <is>
          <t>2010-10-13</t>
        </is>
      </c>
      <c r="W2111" t="inlineStr">
        <is>
          <t>1991-12-02</t>
        </is>
      </c>
      <c r="X2111" t="inlineStr">
        <is>
          <t>1991-12-02</t>
        </is>
      </c>
      <c r="Y2111" t="n">
        <v>248</v>
      </c>
      <c r="Z2111" t="n">
        <v>237</v>
      </c>
      <c r="AA2111" t="n">
        <v>284</v>
      </c>
      <c r="AB2111" t="n">
        <v>2</v>
      </c>
      <c r="AC2111" t="n">
        <v>2</v>
      </c>
      <c r="AD2111" t="n">
        <v>25</v>
      </c>
      <c r="AE2111" t="n">
        <v>29</v>
      </c>
      <c r="AF2111" t="n">
        <v>8</v>
      </c>
      <c r="AG2111" t="n">
        <v>10</v>
      </c>
      <c r="AH2111" t="n">
        <v>6</v>
      </c>
      <c r="AI2111" t="n">
        <v>7</v>
      </c>
      <c r="AJ2111" t="n">
        <v>17</v>
      </c>
      <c r="AK2111" t="n">
        <v>20</v>
      </c>
      <c r="AL2111" t="n">
        <v>0</v>
      </c>
      <c r="AM2111" t="n">
        <v>0</v>
      </c>
      <c r="AN2111" t="n">
        <v>0</v>
      </c>
      <c r="AO2111" t="n">
        <v>0</v>
      </c>
      <c r="AP2111" t="inlineStr">
        <is>
          <t>No</t>
        </is>
      </c>
      <c r="AQ2111" t="inlineStr">
        <is>
          <t>No</t>
        </is>
      </c>
      <c r="AR2111">
        <f>HYPERLINK("http://catalog.hathitrust.org/Record/006575163","HathiTrust Record")</f>
        <v/>
      </c>
      <c r="AS2111">
        <f>HYPERLINK("https://creighton-primo.hosted.exlibrisgroup.com/primo-explore/search?tab=default_tab&amp;search_scope=EVERYTHING&amp;vid=01CRU&amp;lang=en_US&amp;offset=0&amp;query=any,contains,991002993239702656","Catalog Record")</f>
        <v/>
      </c>
      <c r="AT2111">
        <f>HYPERLINK("http://www.worldcat.org/oclc/561998","WorldCat Record")</f>
        <v/>
      </c>
      <c r="AU2111" t="inlineStr">
        <is>
          <t>1639253:eng</t>
        </is>
      </c>
      <c r="AV2111" t="inlineStr">
        <is>
          <t>561998</t>
        </is>
      </c>
      <c r="AW2111" t="inlineStr">
        <is>
          <t>991002993239702656</t>
        </is>
      </c>
      <c r="AX2111" t="inlineStr">
        <is>
          <t>991002993239702656</t>
        </is>
      </c>
      <c r="AY2111" t="inlineStr">
        <is>
          <t>2254983850002656</t>
        </is>
      </c>
      <c r="AZ2111" t="inlineStr">
        <is>
          <t>BOOK</t>
        </is>
      </c>
      <c r="BC2111" t="inlineStr">
        <is>
          <t>32285000859164</t>
        </is>
      </c>
      <c r="BD2111" t="inlineStr">
        <is>
          <t>893710937</t>
        </is>
      </c>
    </row>
    <row r="2112">
      <c r="A2112" t="inlineStr">
        <is>
          <t>No</t>
        </is>
      </c>
      <c r="B2112" t="inlineStr">
        <is>
          <t>BX4700.L2 D5 1958</t>
        </is>
      </c>
      <c r="C2112" t="inlineStr">
        <is>
          <t>0                      BX 4700000L  2                  D  5           1958</t>
        </is>
      </c>
      <c r="D2112" t="inlineStr">
        <is>
          <t>Saint Catherine Labouré, of the Miraculous Medal.</t>
        </is>
      </c>
      <c r="F2112" t="inlineStr">
        <is>
          <t>No</t>
        </is>
      </c>
      <c r="G2112" t="inlineStr">
        <is>
          <t>1</t>
        </is>
      </c>
      <c r="H2112" t="inlineStr">
        <is>
          <t>No</t>
        </is>
      </c>
      <c r="I2112" t="inlineStr">
        <is>
          <t>No</t>
        </is>
      </c>
      <c r="J2112" t="inlineStr">
        <is>
          <t>0</t>
        </is>
      </c>
      <c r="K2112" t="inlineStr">
        <is>
          <t>Dirvin, Joseph I.</t>
        </is>
      </c>
      <c r="L2112" t="inlineStr">
        <is>
          <t>New York : Farrar, Straus and Cudahy, [1958]</t>
        </is>
      </c>
      <c r="M2112" t="inlineStr">
        <is>
          <t>1958</t>
        </is>
      </c>
      <c r="O2112" t="inlineStr">
        <is>
          <t>eng</t>
        </is>
      </c>
      <c r="P2112" t="inlineStr">
        <is>
          <t xml:space="preserve">xx </t>
        </is>
      </c>
      <c r="R2112" t="inlineStr">
        <is>
          <t xml:space="preserve">BX </t>
        </is>
      </c>
      <c r="S2112" t="n">
        <v>5</v>
      </c>
      <c r="T2112" t="n">
        <v>5</v>
      </c>
      <c r="U2112" t="inlineStr">
        <is>
          <t>2007-07-13</t>
        </is>
      </c>
      <c r="V2112" t="inlineStr">
        <is>
          <t>2007-07-13</t>
        </is>
      </c>
      <c r="W2112" t="inlineStr">
        <is>
          <t>1991-12-02</t>
        </is>
      </c>
      <c r="X2112" t="inlineStr">
        <is>
          <t>1991-12-02</t>
        </is>
      </c>
      <c r="Y2112" t="n">
        <v>165</v>
      </c>
      <c r="Z2112" t="n">
        <v>157</v>
      </c>
      <c r="AA2112" t="n">
        <v>231</v>
      </c>
      <c r="AB2112" t="n">
        <v>3</v>
      </c>
      <c r="AC2112" t="n">
        <v>4</v>
      </c>
      <c r="AD2112" t="n">
        <v>17</v>
      </c>
      <c r="AE2112" t="n">
        <v>22</v>
      </c>
      <c r="AF2112" t="n">
        <v>3</v>
      </c>
      <c r="AG2112" t="n">
        <v>7</v>
      </c>
      <c r="AH2112" t="n">
        <v>5</v>
      </c>
      <c r="AI2112" t="n">
        <v>8</v>
      </c>
      <c r="AJ2112" t="n">
        <v>13</v>
      </c>
      <c r="AK2112" t="n">
        <v>15</v>
      </c>
      <c r="AL2112" t="n">
        <v>0</v>
      </c>
      <c r="AM2112" t="n">
        <v>0</v>
      </c>
      <c r="AN2112" t="n">
        <v>0</v>
      </c>
      <c r="AO2112" t="n">
        <v>0</v>
      </c>
      <c r="AP2112" t="inlineStr">
        <is>
          <t>No</t>
        </is>
      </c>
      <c r="AQ2112" t="inlineStr">
        <is>
          <t>Yes</t>
        </is>
      </c>
      <c r="AR2112">
        <f>HYPERLINK("http://catalog.hathitrust.org/Record/102783171","HathiTrust Record")</f>
        <v/>
      </c>
      <c r="AS2112">
        <f>HYPERLINK("https://creighton-primo.hosted.exlibrisgroup.com/primo-explore/search?tab=default_tab&amp;search_scope=EVERYTHING&amp;vid=01CRU&amp;lang=en_US&amp;offset=0&amp;query=any,contains,991003247499702656","Catalog Record")</f>
        <v/>
      </c>
      <c r="AT2112">
        <f>HYPERLINK("http://www.worldcat.org/oclc/772213","WorldCat Record")</f>
        <v/>
      </c>
      <c r="AU2112" t="inlineStr">
        <is>
          <t>1677349:eng</t>
        </is>
      </c>
      <c r="AV2112" t="inlineStr">
        <is>
          <t>772213</t>
        </is>
      </c>
      <c r="AW2112" t="inlineStr">
        <is>
          <t>991003247499702656</t>
        </is>
      </c>
      <c r="AX2112" t="inlineStr">
        <is>
          <t>991003247499702656</t>
        </is>
      </c>
      <c r="AY2112" t="inlineStr">
        <is>
          <t>2266402270002656</t>
        </is>
      </c>
      <c r="AZ2112" t="inlineStr">
        <is>
          <t>BOOK</t>
        </is>
      </c>
      <c r="BC2112" t="inlineStr">
        <is>
          <t>32285000859180</t>
        </is>
      </c>
      <c r="BD2112" t="inlineStr">
        <is>
          <t>893809893</t>
        </is>
      </c>
    </row>
    <row r="2113">
      <c r="A2113" t="inlineStr">
        <is>
          <t>No</t>
        </is>
      </c>
      <c r="B2113" t="inlineStr">
        <is>
          <t>BX4700.L2 E53 1959</t>
        </is>
      </c>
      <c r="C2113" t="inlineStr">
        <is>
          <t>0                      BX 4700000L  2                  E  53          1959</t>
        </is>
      </c>
      <c r="D2113" t="inlineStr">
        <is>
          <t>Catherine Laboure and the modern apparitions of Our Lady / Translated from the French by Alastair Guinan.</t>
        </is>
      </c>
      <c r="F2113" t="inlineStr">
        <is>
          <t>No</t>
        </is>
      </c>
      <c r="G2113" t="inlineStr">
        <is>
          <t>1</t>
        </is>
      </c>
      <c r="H2113" t="inlineStr">
        <is>
          <t>No</t>
        </is>
      </c>
      <c r="I2113" t="inlineStr">
        <is>
          <t>No</t>
        </is>
      </c>
      <c r="J2113" t="inlineStr">
        <is>
          <t>0</t>
        </is>
      </c>
      <c r="K2113" t="inlineStr">
        <is>
          <t>Englebert, Omer, 1893-1991.</t>
        </is>
      </c>
      <c r="L2113" t="inlineStr">
        <is>
          <t>New York : Kennedy, [1959]</t>
        </is>
      </c>
      <c r="M2113" t="inlineStr">
        <is>
          <t>1959</t>
        </is>
      </c>
      <c r="O2113" t="inlineStr">
        <is>
          <t>eng</t>
        </is>
      </c>
      <c r="P2113" t="inlineStr">
        <is>
          <t>nyu</t>
        </is>
      </c>
      <c r="R2113" t="inlineStr">
        <is>
          <t xml:space="preserve">BX </t>
        </is>
      </c>
      <c r="S2113" t="n">
        <v>5</v>
      </c>
      <c r="T2113" t="n">
        <v>5</v>
      </c>
      <c r="U2113" t="inlineStr">
        <is>
          <t>1995-02-20</t>
        </is>
      </c>
      <c r="V2113" t="inlineStr">
        <is>
          <t>1995-02-20</t>
        </is>
      </c>
      <c r="W2113" t="inlineStr">
        <is>
          <t>1991-12-02</t>
        </is>
      </c>
      <c r="X2113" t="inlineStr">
        <is>
          <t>1991-12-02</t>
        </is>
      </c>
      <c r="Y2113" t="n">
        <v>193</v>
      </c>
      <c r="Z2113" t="n">
        <v>188</v>
      </c>
      <c r="AA2113" t="n">
        <v>199</v>
      </c>
      <c r="AB2113" t="n">
        <v>3</v>
      </c>
      <c r="AC2113" t="n">
        <v>3</v>
      </c>
      <c r="AD2113" t="n">
        <v>22</v>
      </c>
      <c r="AE2113" t="n">
        <v>22</v>
      </c>
      <c r="AF2113" t="n">
        <v>7</v>
      </c>
      <c r="AG2113" t="n">
        <v>7</v>
      </c>
      <c r="AH2113" t="n">
        <v>5</v>
      </c>
      <c r="AI2113" t="n">
        <v>5</v>
      </c>
      <c r="AJ2113" t="n">
        <v>18</v>
      </c>
      <c r="AK2113" t="n">
        <v>18</v>
      </c>
      <c r="AL2113" t="n">
        <v>0</v>
      </c>
      <c r="AM2113" t="n">
        <v>0</v>
      </c>
      <c r="AN2113" t="n">
        <v>0</v>
      </c>
      <c r="AO2113" t="n">
        <v>0</v>
      </c>
      <c r="AP2113" t="inlineStr">
        <is>
          <t>No</t>
        </is>
      </c>
      <c r="AQ2113" t="inlineStr">
        <is>
          <t>No</t>
        </is>
      </c>
      <c r="AS2113">
        <f>HYPERLINK("https://creighton-primo.hosted.exlibrisgroup.com/primo-explore/search?tab=default_tab&amp;search_scope=EVERYTHING&amp;vid=01CRU&amp;lang=en_US&amp;offset=0&amp;query=any,contains,991003639849702656","Catalog Record")</f>
        <v/>
      </c>
      <c r="AT2113">
        <f>HYPERLINK("http://www.worldcat.org/oclc/1236332","WorldCat Record")</f>
        <v/>
      </c>
      <c r="AU2113" t="inlineStr">
        <is>
          <t>2138333:eng</t>
        </is>
      </c>
      <c r="AV2113" t="inlineStr">
        <is>
          <t>1236332</t>
        </is>
      </c>
      <c r="AW2113" t="inlineStr">
        <is>
          <t>991003639849702656</t>
        </is>
      </c>
      <c r="AX2113" t="inlineStr">
        <is>
          <t>991003639849702656</t>
        </is>
      </c>
      <c r="AY2113" t="inlineStr">
        <is>
          <t>2265777150002656</t>
        </is>
      </c>
      <c r="AZ2113" t="inlineStr">
        <is>
          <t>BOOK</t>
        </is>
      </c>
      <c r="BC2113" t="inlineStr">
        <is>
          <t>32285000859198</t>
        </is>
      </c>
      <c r="BD2113" t="inlineStr">
        <is>
          <t>893435230</t>
        </is>
      </c>
    </row>
    <row r="2114">
      <c r="A2114" t="inlineStr">
        <is>
          <t>No</t>
        </is>
      </c>
      <c r="B2114" t="inlineStr">
        <is>
          <t>BX4700.L2 P6 2000</t>
        </is>
      </c>
      <c r="C2114" t="inlineStr">
        <is>
          <t>0                      BX 4700000L  2                  P  6           2000</t>
        </is>
      </c>
      <c r="D2114" t="inlineStr">
        <is>
          <t>Saint Catherine Labouré and the miraculous medal / written by Alma Powers-Waters ; illustrated by James Fox.</t>
        </is>
      </c>
      <c r="F2114" t="inlineStr">
        <is>
          <t>No</t>
        </is>
      </c>
      <c r="G2114" t="inlineStr">
        <is>
          <t>1</t>
        </is>
      </c>
      <c r="H2114" t="inlineStr">
        <is>
          <t>No</t>
        </is>
      </c>
      <c r="I2114" t="inlineStr">
        <is>
          <t>No</t>
        </is>
      </c>
      <c r="J2114" t="inlineStr">
        <is>
          <t>0</t>
        </is>
      </c>
      <c r="K2114" t="inlineStr">
        <is>
          <t>Power-Waters, Alma, 1896-1983.</t>
        </is>
      </c>
      <c r="L2114" t="inlineStr">
        <is>
          <t>San Francisco : Ignatius Press, 2000.</t>
        </is>
      </c>
      <c r="M2114" t="inlineStr">
        <is>
          <t>2000</t>
        </is>
      </c>
      <c r="O2114" t="inlineStr">
        <is>
          <t>eng</t>
        </is>
      </c>
      <c r="P2114" t="inlineStr">
        <is>
          <t>cau</t>
        </is>
      </c>
      <c r="R2114" t="inlineStr">
        <is>
          <t xml:space="preserve">BX </t>
        </is>
      </c>
      <c r="S2114" t="n">
        <v>1</v>
      </c>
      <c r="T2114" t="n">
        <v>1</v>
      </c>
      <c r="U2114" t="inlineStr">
        <is>
          <t>2001-02-22</t>
        </is>
      </c>
      <c r="V2114" t="inlineStr">
        <is>
          <t>2001-02-22</t>
        </is>
      </c>
      <c r="W2114" t="inlineStr">
        <is>
          <t>2001-02-22</t>
        </is>
      </c>
      <c r="X2114" t="inlineStr">
        <is>
          <t>2001-02-22</t>
        </is>
      </c>
      <c r="Y2114" t="n">
        <v>33</v>
      </c>
      <c r="Z2114" t="n">
        <v>32</v>
      </c>
      <c r="AA2114" t="n">
        <v>32</v>
      </c>
      <c r="AB2114" t="n">
        <v>2</v>
      </c>
      <c r="AC2114" t="n">
        <v>2</v>
      </c>
      <c r="AD2114" t="n">
        <v>3</v>
      </c>
      <c r="AE2114" t="n">
        <v>3</v>
      </c>
      <c r="AF2114" t="n">
        <v>0</v>
      </c>
      <c r="AG2114" t="n">
        <v>0</v>
      </c>
      <c r="AH2114" t="n">
        <v>1</v>
      </c>
      <c r="AI2114" t="n">
        <v>1</v>
      </c>
      <c r="AJ2114" t="n">
        <v>2</v>
      </c>
      <c r="AK2114" t="n">
        <v>2</v>
      </c>
      <c r="AL2114" t="n">
        <v>0</v>
      </c>
      <c r="AM2114" t="n">
        <v>0</v>
      </c>
      <c r="AN2114" t="n">
        <v>0</v>
      </c>
      <c r="AO2114" t="n">
        <v>0</v>
      </c>
      <c r="AP2114" t="inlineStr">
        <is>
          <t>No</t>
        </is>
      </c>
      <c r="AQ2114" t="inlineStr">
        <is>
          <t>No</t>
        </is>
      </c>
      <c r="AS2114">
        <f>HYPERLINK("https://creighton-primo.hosted.exlibrisgroup.com/primo-explore/search?tab=default_tab&amp;search_scope=EVERYTHING&amp;vid=01CRU&amp;lang=en_US&amp;offset=0&amp;query=any,contains,991003496109702656","Catalog Record")</f>
        <v/>
      </c>
      <c r="AT2114">
        <f>HYPERLINK("http://www.worldcat.org/oclc/43766647","WorldCat Record")</f>
        <v/>
      </c>
      <c r="AU2114" t="inlineStr">
        <is>
          <t>3858323011:eng</t>
        </is>
      </c>
      <c r="AV2114" t="inlineStr">
        <is>
          <t>43766647</t>
        </is>
      </c>
      <c r="AW2114" t="inlineStr">
        <is>
          <t>991003496109702656</t>
        </is>
      </c>
      <c r="AX2114" t="inlineStr">
        <is>
          <t>991003496109702656</t>
        </is>
      </c>
      <c r="AY2114" t="inlineStr">
        <is>
          <t>2262621260002656</t>
        </is>
      </c>
      <c r="AZ2114" t="inlineStr">
        <is>
          <t>BOOK</t>
        </is>
      </c>
      <c r="BB2114" t="inlineStr">
        <is>
          <t>9780898707656</t>
        </is>
      </c>
      <c r="BC2114" t="inlineStr">
        <is>
          <t>32285004296769</t>
        </is>
      </c>
      <c r="BD2114" t="inlineStr">
        <is>
          <t>893217502</t>
        </is>
      </c>
    </row>
    <row r="2115">
      <c r="A2115" t="inlineStr">
        <is>
          <t>No</t>
        </is>
      </c>
      <c r="B2115" t="inlineStr">
        <is>
          <t>BX4700.L3 B3 1957</t>
        </is>
      </c>
      <c r="C2115" t="inlineStr">
        <is>
          <t>0                      BX 4700000L  3                  B  3           1957</t>
        </is>
      </c>
      <c r="D2115" t="inlineStr">
        <is>
          <t>St. John Baptist de la Salle / by W. J. Battersby. With a foreword by H. O. Evennett.</t>
        </is>
      </c>
      <c r="F2115" t="inlineStr">
        <is>
          <t>No</t>
        </is>
      </c>
      <c r="G2115" t="inlineStr">
        <is>
          <t>1</t>
        </is>
      </c>
      <c r="H2115" t="inlineStr">
        <is>
          <t>No</t>
        </is>
      </c>
      <c r="I2115" t="inlineStr">
        <is>
          <t>No</t>
        </is>
      </c>
      <c r="J2115" t="inlineStr">
        <is>
          <t>0</t>
        </is>
      </c>
      <c r="K2115" t="inlineStr">
        <is>
          <t>Battersby, William John.</t>
        </is>
      </c>
      <c r="L2115" t="inlineStr">
        <is>
          <t>London : Burns &amp; Oates, 1957.</t>
        </is>
      </c>
      <c r="M2115" t="inlineStr">
        <is>
          <t>1957</t>
        </is>
      </c>
      <c r="O2115" t="inlineStr">
        <is>
          <t>eng</t>
        </is>
      </c>
      <c r="P2115" t="inlineStr">
        <is>
          <t xml:space="preserve">xx </t>
        </is>
      </c>
      <c r="R2115" t="inlineStr">
        <is>
          <t xml:space="preserve">BX </t>
        </is>
      </c>
      <c r="S2115" t="n">
        <v>3</v>
      </c>
      <c r="T2115" t="n">
        <v>3</v>
      </c>
      <c r="U2115" t="inlineStr">
        <is>
          <t>1999-04-08</t>
        </is>
      </c>
      <c r="V2115" t="inlineStr">
        <is>
          <t>1999-04-08</t>
        </is>
      </c>
      <c r="W2115" t="inlineStr">
        <is>
          <t>1991-12-02</t>
        </is>
      </c>
      <c r="X2115" t="inlineStr">
        <is>
          <t>1991-12-02</t>
        </is>
      </c>
      <c r="Y2115" t="n">
        <v>80</v>
      </c>
      <c r="Z2115" t="n">
        <v>50</v>
      </c>
      <c r="AA2115" t="n">
        <v>159</v>
      </c>
      <c r="AB2115" t="n">
        <v>1</v>
      </c>
      <c r="AC2115" t="n">
        <v>2</v>
      </c>
      <c r="AD2115" t="n">
        <v>8</v>
      </c>
      <c r="AE2115" t="n">
        <v>22</v>
      </c>
      <c r="AF2115" t="n">
        <v>1</v>
      </c>
      <c r="AG2115" t="n">
        <v>8</v>
      </c>
      <c r="AH2115" t="n">
        <v>3</v>
      </c>
      <c r="AI2115" t="n">
        <v>5</v>
      </c>
      <c r="AJ2115" t="n">
        <v>7</v>
      </c>
      <c r="AK2115" t="n">
        <v>19</v>
      </c>
      <c r="AL2115" t="n">
        <v>0</v>
      </c>
      <c r="AM2115" t="n">
        <v>0</v>
      </c>
      <c r="AN2115" t="n">
        <v>0</v>
      </c>
      <c r="AO2115" t="n">
        <v>0</v>
      </c>
      <c r="AP2115" t="inlineStr">
        <is>
          <t>No</t>
        </is>
      </c>
      <c r="AQ2115" t="inlineStr">
        <is>
          <t>Yes</t>
        </is>
      </c>
      <c r="AR2115">
        <f>HYPERLINK("http://catalog.hathitrust.org/Record/006581747","HathiTrust Record")</f>
        <v/>
      </c>
      <c r="AS2115">
        <f>HYPERLINK("https://creighton-primo.hosted.exlibrisgroup.com/primo-explore/search?tab=default_tab&amp;search_scope=EVERYTHING&amp;vid=01CRU&amp;lang=en_US&amp;offset=0&amp;query=any,contains,991004417669702656","Catalog Record")</f>
        <v/>
      </c>
      <c r="AT2115">
        <f>HYPERLINK("http://www.worldcat.org/oclc/3370010","WorldCat Record")</f>
        <v/>
      </c>
      <c r="AU2115" t="inlineStr">
        <is>
          <t>2555082:eng</t>
        </is>
      </c>
      <c r="AV2115" t="inlineStr">
        <is>
          <t>3370010</t>
        </is>
      </c>
      <c r="AW2115" t="inlineStr">
        <is>
          <t>991004417669702656</t>
        </is>
      </c>
      <c r="AX2115" t="inlineStr">
        <is>
          <t>991004417669702656</t>
        </is>
      </c>
      <c r="AY2115" t="inlineStr">
        <is>
          <t>2267485960002656</t>
        </is>
      </c>
      <c r="AZ2115" t="inlineStr">
        <is>
          <t>BOOK</t>
        </is>
      </c>
      <c r="BC2115" t="inlineStr">
        <is>
          <t>32285000859206</t>
        </is>
      </c>
      <c r="BD2115" t="inlineStr">
        <is>
          <t>893869693</t>
        </is>
      </c>
    </row>
    <row r="2116">
      <c r="A2116" t="inlineStr">
        <is>
          <t>No</t>
        </is>
      </c>
      <c r="B2116" t="inlineStr">
        <is>
          <t>BX4700.L3 F5 1951b</t>
        </is>
      </c>
      <c r="C2116" t="inlineStr">
        <is>
          <t>0                      BX 4700000L  3                  F  5           1951b</t>
        </is>
      </c>
      <c r="D2116" t="inlineStr">
        <is>
          <t>La Salle, patron of all teachers / by Edward A. Fitzpatrick.</t>
        </is>
      </c>
      <c r="F2116" t="inlineStr">
        <is>
          <t>No</t>
        </is>
      </c>
      <c r="G2116" t="inlineStr">
        <is>
          <t>1</t>
        </is>
      </c>
      <c r="H2116" t="inlineStr">
        <is>
          <t>No</t>
        </is>
      </c>
      <c r="I2116" t="inlineStr">
        <is>
          <t>No</t>
        </is>
      </c>
      <c r="J2116" t="inlineStr">
        <is>
          <t>0</t>
        </is>
      </c>
      <c r="K2116" t="inlineStr">
        <is>
          <t>Fitzpatrick, Edward A. (Edward Augustus), 1884-1960.</t>
        </is>
      </c>
      <c r="L2116" t="inlineStr">
        <is>
          <t>Milwaukee : Bruce Pub. Co., c1951.</t>
        </is>
      </c>
      <c r="M2116" t="inlineStr">
        <is>
          <t>1951</t>
        </is>
      </c>
      <c r="O2116" t="inlineStr">
        <is>
          <t>eng</t>
        </is>
      </c>
      <c r="P2116" t="inlineStr">
        <is>
          <t xml:space="preserve">xx </t>
        </is>
      </c>
      <c r="R2116" t="inlineStr">
        <is>
          <t xml:space="preserve">BX </t>
        </is>
      </c>
      <c r="S2116" t="n">
        <v>4</v>
      </c>
      <c r="T2116" t="n">
        <v>4</v>
      </c>
      <c r="U2116" t="inlineStr">
        <is>
          <t>1995-07-10</t>
        </is>
      </c>
      <c r="V2116" t="inlineStr">
        <is>
          <t>1995-07-10</t>
        </is>
      </c>
      <c r="W2116" t="inlineStr">
        <is>
          <t>1991-12-02</t>
        </is>
      </c>
      <c r="X2116" t="inlineStr">
        <is>
          <t>1991-12-02</t>
        </is>
      </c>
      <c r="Y2116" t="n">
        <v>322</v>
      </c>
      <c r="Z2116" t="n">
        <v>302</v>
      </c>
      <c r="AA2116" t="n">
        <v>309</v>
      </c>
      <c r="AB2116" t="n">
        <v>4</v>
      </c>
      <c r="AC2116" t="n">
        <v>4</v>
      </c>
      <c r="AD2116" t="n">
        <v>31</v>
      </c>
      <c r="AE2116" t="n">
        <v>31</v>
      </c>
      <c r="AF2116" t="n">
        <v>11</v>
      </c>
      <c r="AG2116" t="n">
        <v>11</v>
      </c>
      <c r="AH2116" t="n">
        <v>8</v>
      </c>
      <c r="AI2116" t="n">
        <v>8</v>
      </c>
      <c r="AJ2116" t="n">
        <v>21</v>
      </c>
      <c r="AK2116" t="n">
        <v>21</v>
      </c>
      <c r="AL2116" t="n">
        <v>1</v>
      </c>
      <c r="AM2116" t="n">
        <v>1</v>
      </c>
      <c r="AN2116" t="n">
        <v>0</v>
      </c>
      <c r="AO2116" t="n">
        <v>0</v>
      </c>
      <c r="AP2116" t="inlineStr">
        <is>
          <t>No</t>
        </is>
      </c>
      <c r="AQ2116" t="inlineStr">
        <is>
          <t>No</t>
        </is>
      </c>
      <c r="AR2116">
        <f>HYPERLINK("http://catalog.hathitrust.org/Record/006662324","HathiTrust Record")</f>
        <v/>
      </c>
      <c r="AS2116">
        <f>HYPERLINK("https://creighton-primo.hosted.exlibrisgroup.com/primo-explore/search?tab=default_tab&amp;search_scope=EVERYTHING&amp;vid=01CRU&amp;lang=en_US&amp;offset=0&amp;query=any,contains,991004837269702656","Catalog Record")</f>
        <v/>
      </c>
      <c r="AT2116">
        <f>HYPERLINK("http://www.worldcat.org/oclc/5459131","WorldCat Record")</f>
        <v/>
      </c>
      <c r="AU2116" t="inlineStr">
        <is>
          <t>355368920:eng</t>
        </is>
      </c>
      <c r="AV2116" t="inlineStr">
        <is>
          <t>5459131</t>
        </is>
      </c>
      <c r="AW2116" t="inlineStr">
        <is>
          <t>991004837269702656</t>
        </is>
      </c>
      <c r="AX2116" t="inlineStr">
        <is>
          <t>991004837269702656</t>
        </is>
      </c>
      <c r="AY2116" t="inlineStr">
        <is>
          <t>2259305370002656</t>
        </is>
      </c>
      <c r="AZ2116" t="inlineStr">
        <is>
          <t>BOOK</t>
        </is>
      </c>
      <c r="BC2116" t="inlineStr">
        <is>
          <t>32285000859222</t>
        </is>
      </c>
      <c r="BD2116" t="inlineStr">
        <is>
          <t>893901815</t>
        </is>
      </c>
    </row>
    <row r="2117">
      <c r="A2117" t="inlineStr">
        <is>
          <t>No</t>
        </is>
      </c>
      <c r="B2117" t="inlineStr">
        <is>
          <t>BX4700.L6 A47 1855</t>
        </is>
      </c>
      <c r="C2117" t="inlineStr">
        <is>
          <t>0                      BX 4700000L  6                  A  47          1855</t>
        </is>
      </c>
      <c r="D2117" t="inlineStr">
        <is>
          <t>The life of St. Alphonsus Maria de Liguori : bishop of St. Agatha of the Goths, and founder of the Congregation of the Most Holy Redeemer / compiled from the published memoirs of the saint, by one of the Redemptorist Fathers.</t>
        </is>
      </c>
      <c r="F2117" t="inlineStr">
        <is>
          <t>No</t>
        </is>
      </c>
      <c r="G2117" t="inlineStr">
        <is>
          <t>1</t>
        </is>
      </c>
      <c r="H2117" t="inlineStr">
        <is>
          <t>No</t>
        </is>
      </c>
      <c r="I2117" t="inlineStr">
        <is>
          <t>No</t>
        </is>
      </c>
      <c r="J2117" t="inlineStr">
        <is>
          <t>0</t>
        </is>
      </c>
      <c r="L2117" t="inlineStr">
        <is>
          <t>Baltimore : John Murphy ; London : C. Dolman, 1855, c1854.</t>
        </is>
      </c>
      <c r="M2117" t="inlineStr">
        <is>
          <t>1855</t>
        </is>
      </c>
      <c r="O2117" t="inlineStr">
        <is>
          <t>eng</t>
        </is>
      </c>
      <c r="P2117" t="inlineStr">
        <is>
          <t xml:space="preserve">xx </t>
        </is>
      </c>
      <c r="R2117" t="inlineStr">
        <is>
          <t xml:space="preserve">BX </t>
        </is>
      </c>
      <c r="S2117" t="n">
        <v>1</v>
      </c>
      <c r="T2117" t="n">
        <v>1</v>
      </c>
      <c r="U2117" t="inlineStr">
        <is>
          <t>2004-07-12</t>
        </is>
      </c>
      <c r="V2117" t="inlineStr">
        <is>
          <t>2004-07-12</t>
        </is>
      </c>
      <c r="W2117" t="inlineStr">
        <is>
          <t>1991-12-02</t>
        </is>
      </c>
      <c r="X2117" t="inlineStr">
        <is>
          <t>1991-12-02</t>
        </is>
      </c>
      <c r="Y2117" t="n">
        <v>27</v>
      </c>
      <c r="Z2117" t="n">
        <v>27</v>
      </c>
      <c r="AA2117" t="n">
        <v>33</v>
      </c>
      <c r="AB2117" t="n">
        <v>1</v>
      </c>
      <c r="AC2117" t="n">
        <v>1</v>
      </c>
      <c r="AD2117" t="n">
        <v>7</v>
      </c>
      <c r="AE2117" t="n">
        <v>7</v>
      </c>
      <c r="AF2117" t="n">
        <v>0</v>
      </c>
      <c r="AG2117" t="n">
        <v>0</v>
      </c>
      <c r="AH2117" t="n">
        <v>2</v>
      </c>
      <c r="AI2117" t="n">
        <v>2</v>
      </c>
      <c r="AJ2117" t="n">
        <v>6</v>
      </c>
      <c r="AK2117" t="n">
        <v>6</v>
      </c>
      <c r="AL2117" t="n">
        <v>0</v>
      </c>
      <c r="AM2117" t="n">
        <v>0</v>
      </c>
      <c r="AN2117" t="n">
        <v>0</v>
      </c>
      <c r="AO2117" t="n">
        <v>0</v>
      </c>
      <c r="AP2117" t="inlineStr">
        <is>
          <t>Yes</t>
        </is>
      </c>
      <c r="AQ2117" t="inlineStr">
        <is>
          <t>No</t>
        </is>
      </c>
      <c r="AR2117">
        <f>HYPERLINK("http://catalog.hathitrust.org/Record/008407405","HathiTrust Record")</f>
        <v/>
      </c>
      <c r="AS2117">
        <f>HYPERLINK("https://creighton-primo.hosted.exlibrisgroup.com/primo-explore/search?tab=default_tab&amp;search_scope=EVERYTHING&amp;vid=01CRU&amp;lang=en_US&amp;offset=0&amp;query=any,contains,991004521289702656","Catalog Record")</f>
        <v/>
      </c>
      <c r="AT2117">
        <f>HYPERLINK("http://www.worldcat.org/oclc/3818664","WorldCat Record")</f>
        <v/>
      </c>
      <c r="AU2117" t="inlineStr">
        <is>
          <t>12767898:eng</t>
        </is>
      </c>
      <c r="AV2117" t="inlineStr">
        <is>
          <t>3818664</t>
        </is>
      </c>
      <c r="AW2117" t="inlineStr">
        <is>
          <t>991004521289702656</t>
        </is>
      </c>
      <c r="AX2117" t="inlineStr">
        <is>
          <t>991004521289702656</t>
        </is>
      </c>
      <c r="AY2117" t="inlineStr">
        <is>
          <t>2261791960002656</t>
        </is>
      </c>
      <c r="AZ2117" t="inlineStr">
        <is>
          <t>BOOK</t>
        </is>
      </c>
      <c r="BC2117" t="inlineStr">
        <is>
          <t>32285000859255</t>
        </is>
      </c>
      <c r="BD2117" t="inlineStr">
        <is>
          <t>893719029</t>
        </is>
      </c>
    </row>
    <row r="2118">
      <c r="A2118" t="inlineStr">
        <is>
          <t>No</t>
        </is>
      </c>
      <c r="B2118" t="inlineStr">
        <is>
          <t>BX4700.L6 M8</t>
        </is>
      </c>
      <c r="C2118" t="inlineStr">
        <is>
          <t>0                      BX 4700000L  6                  M  8</t>
        </is>
      </c>
      <c r="D2118" t="inlineStr">
        <is>
          <t>The life of Saint Alphonsus M. Liguori : bishop of St. Agatha, and founder of the congregation of the Most Holy Redeemer.</t>
        </is>
      </c>
      <c r="F2118" t="inlineStr">
        <is>
          <t>No</t>
        </is>
      </c>
      <c r="G2118" t="inlineStr">
        <is>
          <t>1</t>
        </is>
      </c>
      <c r="H2118" t="inlineStr">
        <is>
          <t>No</t>
        </is>
      </c>
      <c r="I2118" t="inlineStr">
        <is>
          <t>No</t>
        </is>
      </c>
      <c r="J2118" t="inlineStr">
        <is>
          <t>0</t>
        </is>
      </c>
      <c r="K2118" t="inlineStr">
        <is>
          <t>Mullock, John Thomas, 1806-1869.</t>
        </is>
      </c>
      <c r="L2118" t="inlineStr">
        <is>
          <t>New York : P. J. Kenedy, [n.d.]</t>
        </is>
      </c>
      <c r="O2118" t="inlineStr">
        <is>
          <t>eng</t>
        </is>
      </c>
      <c r="P2118" t="inlineStr">
        <is>
          <t>nyu</t>
        </is>
      </c>
      <c r="R2118" t="inlineStr">
        <is>
          <t xml:space="preserve">BX </t>
        </is>
      </c>
      <c r="S2118" t="n">
        <v>4</v>
      </c>
      <c r="T2118" t="n">
        <v>4</v>
      </c>
      <c r="U2118" t="inlineStr">
        <is>
          <t>2004-07-11</t>
        </is>
      </c>
      <c r="V2118" t="inlineStr">
        <is>
          <t>2004-07-11</t>
        </is>
      </c>
      <c r="W2118" t="inlineStr">
        <is>
          <t>1991-12-02</t>
        </is>
      </c>
      <c r="X2118" t="inlineStr">
        <is>
          <t>1991-12-02</t>
        </is>
      </c>
      <c r="Y2118" t="n">
        <v>39</v>
      </c>
      <c r="Z2118" t="n">
        <v>36</v>
      </c>
      <c r="AA2118" t="n">
        <v>54</v>
      </c>
      <c r="AB2118" t="n">
        <v>2</v>
      </c>
      <c r="AC2118" t="n">
        <v>2</v>
      </c>
      <c r="AD2118" t="n">
        <v>7</v>
      </c>
      <c r="AE2118" t="n">
        <v>9</v>
      </c>
      <c r="AF2118" t="n">
        <v>0</v>
      </c>
      <c r="AG2118" t="n">
        <v>0</v>
      </c>
      <c r="AH2118" t="n">
        <v>4</v>
      </c>
      <c r="AI2118" t="n">
        <v>5</v>
      </c>
      <c r="AJ2118" t="n">
        <v>4</v>
      </c>
      <c r="AK2118" t="n">
        <v>5</v>
      </c>
      <c r="AL2118" t="n">
        <v>0</v>
      </c>
      <c r="AM2118" t="n">
        <v>0</v>
      </c>
      <c r="AN2118" t="n">
        <v>0</v>
      </c>
      <c r="AO2118" t="n">
        <v>0</v>
      </c>
      <c r="AP2118" t="inlineStr">
        <is>
          <t>No</t>
        </is>
      </c>
      <c r="AQ2118" t="inlineStr">
        <is>
          <t>No</t>
        </is>
      </c>
      <c r="AS2118">
        <f>HYPERLINK("https://creighton-primo.hosted.exlibrisgroup.com/primo-explore/search?tab=default_tab&amp;search_scope=EVERYTHING&amp;vid=01CRU&amp;lang=en_US&amp;offset=0&amp;query=any,contains,991003110619702656","Catalog Record")</f>
        <v/>
      </c>
      <c r="AT2118">
        <f>HYPERLINK("http://www.worldcat.org/oclc/656561","WorldCat Record")</f>
        <v/>
      </c>
      <c r="AU2118" t="inlineStr">
        <is>
          <t>1621324:eng</t>
        </is>
      </c>
      <c r="AV2118" t="inlineStr">
        <is>
          <t>656561</t>
        </is>
      </c>
      <c r="AW2118" t="inlineStr">
        <is>
          <t>991003110619702656</t>
        </is>
      </c>
      <c r="AX2118" t="inlineStr">
        <is>
          <t>991003110619702656</t>
        </is>
      </c>
      <c r="AY2118" t="inlineStr">
        <is>
          <t>2263448880002656</t>
        </is>
      </c>
      <c r="AZ2118" t="inlineStr">
        <is>
          <t>BOOK</t>
        </is>
      </c>
      <c r="BC2118" t="inlineStr">
        <is>
          <t>32285000859271</t>
        </is>
      </c>
      <c r="BD2118" t="inlineStr">
        <is>
          <t>893887139</t>
        </is>
      </c>
    </row>
    <row r="2119">
      <c r="A2119" t="inlineStr">
        <is>
          <t>No</t>
        </is>
      </c>
      <c r="B2119" t="inlineStr">
        <is>
          <t>BX4700.L63 M4 1950</t>
        </is>
      </c>
      <c r="C2119" t="inlineStr">
        <is>
          <t>0                      BX 4700000L  63                 M  4           1950</t>
        </is>
      </c>
      <c r="D2119" t="inlineStr">
        <is>
          <t>What are these wounds? : the life of a Cistercian mystic, Saint Lutgarde of Aywieres.</t>
        </is>
      </c>
      <c r="F2119" t="inlineStr">
        <is>
          <t>No</t>
        </is>
      </c>
      <c r="G2119" t="inlineStr">
        <is>
          <t>1</t>
        </is>
      </c>
      <c r="H2119" t="inlineStr">
        <is>
          <t>No</t>
        </is>
      </c>
      <c r="I2119" t="inlineStr">
        <is>
          <t>No</t>
        </is>
      </c>
      <c r="J2119" t="inlineStr">
        <is>
          <t>0</t>
        </is>
      </c>
      <c r="K2119" t="inlineStr">
        <is>
          <t>Merton, Thomas, 1915-1968.</t>
        </is>
      </c>
      <c r="L2119" t="inlineStr">
        <is>
          <t>Milwaukee : Bruce, [1950]</t>
        </is>
      </c>
      <c r="M2119" t="inlineStr">
        <is>
          <t>1950</t>
        </is>
      </c>
      <c r="O2119" t="inlineStr">
        <is>
          <t>eng</t>
        </is>
      </c>
      <c r="P2119" t="inlineStr">
        <is>
          <t>wiu</t>
        </is>
      </c>
      <c r="R2119" t="inlineStr">
        <is>
          <t xml:space="preserve">BX </t>
        </is>
      </c>
      <c r="S2119" t="n">
        <v>5</v>
      </c>
      <c r="T2119" t="n">
        <v>5</v>
      </c>
      <c r="U2119" t="inlineStr">
        <is>
          <t>2009-08-11</t>
        </is>
      </c>
      <c r="V2119" t="inlineStr">
        <is>
          <t>2009-08-11</t>
        </is>
      </c>
      <c r="W2119" t="inlineStr">
        <is>
          <t>1991-12-03</t>
        </is>
      </c>
      <c r="X2119" t="inlineStr">
        <is>
          <t>1991-12-03</t>
        </is>
      </c>
      <c r="Y2119" t="n">
        <v>441</v>
      </c>
      <c r="Z2119" t="n">
        <v>402</v>
      </c>
      <c r="AA2119" t="n">
        <v>439</v>
      </c>
      <c r="AB2119" t="n">
        <v>4</v>
      </c>
      <c r="AC2119" t="n">
        <v>5</v>
      </c>
      <c r="AD2119" t="n">
        <v>33</v>
      </c>
      <c r="AE2119" t="n">
        <v>34</v>
      </c>
      <c r="AF2119" t="n">
        <v>11</v>
      </c>
      <c r="AG2119" t="n">
        <v>12</v>
      </c>
      <c r="AH2119" t="n">
        <v>8</v>
      </c>
      <c r="AI2119" t="n">
        <v>8</v>
      </c>
      <c r="AJ2119" t="n">
        <v>23</v>
      </c>
      <c r="AK2119" t="n">
        <v>24</v>
      </c>
      <c r="AL2119" t="n">
        <v>2</v>
      </c>
      <c r="AM2119" t="n">
        <v>2</v>
      </c>
      <c r="AN2119" t="n">
        <v>0</v>
      </c>
      <c r="AO2119" t="n">
        <v>0</v>
      </c>
      <c r="AP2119" t="inlineStr">
        <is>
          <t>No</t>
        </is>
      </c>
      <c r="AQ2119" t="inlineStr">
        <is>
          <t>Yes</t>
        </is>
      </c>
      <c r="AR2119">
        <f>HYPERLINK("http://catalog.hathitrust.org/Record/001591700","HathiTrust Record")</f>
        <v/>
      </c>
      <c r="AS2119">
        <f>HYPERLINK("https://creighton-primo.hosted.exlibrisgroup.com/primo-explore/search?tab=default_tab&amp;search_scope=EVERYTHING&amp;vid=01CRU&amp;lang=en_US&amp;offset=0&amp;query=any,contains,991002645429702656","Catalog Record")</f>
        <v/>
      </c>
      <c r="AT2119">
        <f>HYPERLINK("http://www.worldcat.org/oclc/385703","WorldCat Record")</f>
        <v/>
      </c>
      <c r="AU2119" t="inlineStr">
        <is>
          <t>288360271:eng</t>
        </is>
      </c>
      <c r="AV2119" t="inlineStr">
        <is>
          <t>385703</t>
        </is>
      </c>
      <c r="AW2119" t="inlineStr">
        <is>
          <t>991002645429702656</t>
        </is>
      </c>
      <c r="AX2119" t="inlineStr">
        <is>
          <t>991002645429702656</t>
        </is>
      </c>
      <c r="AY2119" t="inlineStr">
        <is>
          <t>2258840550002656</t>
        </is>
      </c>
      <c r="AZ2119" t="inlineStr">
        <is>
          <t>BOOK</t>
        </is>
      </c>
      <c r="BC2119" t="inlineStr">
        <is>
          <t>32285005537419</t>
        </is>
      </c>
      <c r="BD2119" t="inlineStr">
        <is>
          <t>893691828</t>
        </is>
      </c>
    </row>
    <row r="2120">
      <c r="A2120" t="inlineStr">
        <is>
          <t>No</t>
        </is>
      </c>
      <c r="B2120" t="inlineStr">
        <is>
          <t>BX4700.L66 D57</t>
        </is>
      </c>
      <c r="C2120" t="inlineStr">
        <is>
          <t>0                      BX 4700000L  66                 D  57</t>
        </is>
      </c>
      <c r="D2120" t="inlineStr">
        <is>
          <t>Louise de Marillac [by] Joseph I. Dirvin.</t>
        </is>
      </c>
      <c r="F2120" t="inlineStr">
        <is>
          <t>No</t>
        </is>
      </c>
      <c r="G2120" t="inlineStr">
        <is>
          <t>1</t>
        </is>
      </c>
      <c r="H2120" t="inlineStr">
        <is>
          <t>No</t>
        </is>
      </c>
      <c r="I2120" t="inlineStr">
        <is>
          <t>No</t>
        </is>
      </c>
      <c r="J2120" t="inlineStr">
        <is>
          <t>0</t>
        </is>
      </c>
      <c r="K2120" t="inlineStr">
        <is>
          <t>Dirvin, Joseph I.</t>
        </is>
      </c>
      <c r="L2120" t="inlineStr">
        <is>
          <t>New York, Farrar, Straus &amp; Giroux [1970]</t>
        </is>
      </c>
      <c r="M2120" t="inlineStr">
        <is>
          <t>1970</t>
        </is>
      </c>
      <c r="O2120" t="inlineStr">
        <is>
          <t>eng</t>
        </is>
      </c>
      <c r="P2120" t="inlineStr">
        <is>
          <t>nyu</t>
        </is>
      </c>
      <c r="R2120" t="inlineStr">
        <is>
          <t xml:space="preserve">BX </t>
        </is>
      </c>
      <c r="S2120" t="n">
        <v>3</v>
      </c>
      <c r="T2120" t="n">
        <v>3</v>
      </c>
      <c r="U2120" t="inlineStr">
        <is>
          <t>2007-04-15</t>
        </is>
      </c>
      <c r="V2120" t="inlineStr">
        <is>
          <t>2007-04-15</t>
        </is>
      </c>
      <c r="W2120" t="inlineStr">
        <is>
          <t>1991-12-03</t>
        </is>
      </c>
      <c r="X2120" t="inlineStr">
        <is>
          <t>1991-12-03</t>
        </is>
      </c>
      <c r="Y2120" t="n">
        <v>244</v>
      </c>
      <c r="Z2120" t="n">
        <v>233</v>
      </c>
      <c r="AA2120" t="n">
        <v>238</v>
      </c>
      <c r="AB2120" t="n">
        <v>4</v>
      </c>
      <c r="AC2120" t="n">
        <v>4</v>
      </c>
      <c r="AD2120" t="n">
        <v>14</v>
      </c>
      <c r="AE2120" t="n">
        <v>14</v>
      </c>
      <c r="AF2120" t="n">
        <v>4</v>
      </c>
      <c r="AG2120" t="n">
        <v>4</v>
      </c>
      <c r="AH2120" t="n">
        <v>4</v>
      </c>
      <c r="AI2120" t="n">
        <v>4</v>
      </c>
      <c r="AJ2120" t="n">
        <v>8</v>
      </c>
      <c r="AK2120" t="n">
        <v>8</v>
      </c>
      <c r="AL2120" t="n">
        <v>2</v>
      </c>
      <c r="AM2120" t="n">
        <v>2</v>
      </c>
      <c r="AN2120" t="n">
        <v>0</v>
      </c>
      <c r="AO2120" t="n">
        <v>0</v>
      </c>
      <c r="AP2120" t="inlineStr">
        <is>
          <t>No</t>
        </is>
      </c>
      <c r="AQ2120" t="inlineStr">
        <is>
          <t>No</t>
        </is>
      </c>
      <c r="AS2120">
        <f>HYPERLINK("https://creighton-primo.hosted.exlibrisgroup.com/primo-explore/search?tab=default_tab&amp;search_scope=EVERYTHING&amp;vid=01CRU&amp;lang=en_US&amp;offset=0&amp;query=any,contains,991000548419702656","Catalog Record")</f>
        <v/>
      </c>
      <c r="AT2120">
        <f>HYPERLINK("http://www.worldcat.org/oclc/92041","WorldCat Record")</f>
        <v/>
      </c>
      <c r="AU2120" t="inlineStr">
        <is>
          <t>3772039204:eng</t>
        </is>
      </c>
      <c r="AV2120" t="inlineStr">
        <is>
          <t>92041</t>
        </is>
      </c>
      <c r="AW2120" t="inlineStr">
        <is>
          <t>991000548419702656</t>
        </is>
      </c>
      <c r="AX2120" t="inlineStr">
        <is>
          <t>991000548419702656</t>
        </is>
      </c>
      <c r="AY2120" t="inlineStr">
        <is>
          <t>2265155790002656</t>
        </is>
      </c>
      <c r="AZ2120" t="inlineStr">
        <is>
          <t>BOOK</t>
        </is>
      </c>
      <c r="BB2120" t="inlineStr">
        <is>
          <t>9780374192136</t>
        </is>
      </c>
      <c r="BC2120" t="inlineStr">
        <is>
          <t>32285000870054</t>
        </is>
      </c>
      <c r="BD2120" t="inlineStr">
        <is>
          <t>893419566</t>
        </is>
      </c>
    </row>
    <row r="2121">
      <c r="A2121" t="inlineStr">
        <is>
          <t>No</t>
        </is>
      </c>
      <c r="B2121" t="inlineStr">
        <is>
          <t>BX4700.L7 B7 1956a</t>
        </is>
      </c>
      <c r="C2121" t="inlineStr">
        <is>
          <t>0                      BX 4700000L  7                  B  7           1956a</t>
        </is>
      </c>
      <c r="D2121" t="inlineStr">
        <is>
          <t>Saint Ignatius Loyola : the pilgrim years, 1491-1538 / by James Brodrick, S.J.</t>
        </is>
      </c>
      <c r="F2121" t="inlineStr">
        <is>
          <t>No</t>
        </is>
      </c>
      <c r="G2121" t="inlineStr">
        <is>
          <t>1</t>
        </is>
      </c>
      <c r="H2121" t="inlineStr">
        <is>
          <t>No</t>
        </is>
      </c>
      <c r="I2121" t="inlineStr">
        <is>
          <t>No</t>
        </is>
      </c>
      <c r="J2121" t="inlineStr">
        <is>
          <t>0</t>
        </is>
      </c>
      <c r="K2121" t="inlineStr">
        <is>
          <t>Brodrick, James, 1891-1973.</t>
        </is>
      </c>
      <c r="L2121" t="inlineStr">
        <is>
          <t>New York : Farrar, Straus and Cudahy, [1956]</t>
        </is>
      </c>
      <c r="M2121" t="inlineStr">
        <is>
          <t>1956</t>
        </is>
      </c>
      <c r="O2121" t="inlineStr">
        <is>
          <t>eng</t>
        </is>
      </c>
      <c r="P2121" t="inlineStr">
        <is>
          <t xml:space="preserve">xx </t>
        </is>
      </c>
      <c r="R2121" t="inlineStr">
        <is>
          <t xml:space="preserve">BX </t>
        </is>
      </c>
      <c r="S2121" t="n">
        <v>6</v>
      </c>
      <c r="T2121" t="n">
        <v>6</v>
      </c>
      <c r="U2121" t="inlineStr">
        <is>
          <t>2008-06-25</t>
        </is>
      </c>
      <c r="V2121" t="inlineStr">
        <is>
          <t>2008-06-25</t>
        </is>
      </c>
      <c r="W2121" t="inlineStr">
        <is>
          <t>1991-12-15</t>
        </is>
      </c>
      <c r="X2121" t="inlineStr">
        <is>
          <t>1991-12-15</t>
        </is>
      </c>
      <c r="Y2121" t="n">
        <v>195</v>
      </c>
      <c r="Z2121" t="n">
        <v>105</v>
      </c>
      <c r="AA2121" t="n">
        <v>112</v>
      </c>
      <c r="AB2121" t="n">
        <v>2</v>
      </c>
      <c r="AC2121" t="n">
        <v>2</v>
      </c>
      <c r="AD2121" t="n">
        <v>9</v>
      </c>
      <c r="AE2121" t="n">
        <v>9</v>
      </c>
      <c r="AF2121" t="n">
        <v>4</v>
      </c>
      <c r="AG2121" t="n">
        <v>4</v>
      </c>
      <c r="AH2121" t="n">
        <v>1</v>
      </c>
      <c r="AI2121" t="n">
        <v>1</v>
      </c>
      <c r="AJ2121" t="n">
        <v>9</v>
      </c>
      <c r="AK2121" t="n">
        <v>9</v>
      </c>
      <c r="AL2121" t="n">
        <v>0</v>
      </c>
      <c r="AM2121" t="n">
        <v>0</v>
      </c>
      <c r="AN2121" t="n">
        <v>0</v>
      </c>
      <c r="AO2121" t="n">
        <v>0</v>
      </c>
      <c r="AP2121" t="inlineStr">
        <is>
          <t>No</t>
        </is>
      </c>
      <c r="AQ2121" t="inlineStr">
        <is>
          <t>Yes</t>
        </is>
      </c>
      <c r="AR2121">
        <f>HYPERLINK("http://catalog.hathitrust.org/Record/004488437","HathiTrust Record")</f>
        <v/>
      </c>
      <c r="AS2121">
        <f>HYPERLINK("https://creighton-primo.hosted.exlibrisgroup.com/primo-explore/search?tab=default_tab&amp;search_scope=EVERYTHING&amp;vid=01CRU&amp;lang=en_US&amp;offset=0&amp;query=any,contains,991003647469702656","Catalog Record")</f>
        <v/>
      </c>
      <c r="AT2121">
        <f>HYPERLINK("http://www.worldcat.org/oclc/41461397","WorldCat Record")</f>
        <v/>
      </c>
      <c r="AU2121" t="inlineStr">
        <is>
          <t>3943315666:eng</t>
        </is>
      </c>
      <c r="AV2121" t="inlineStr">
        <is>
          <t>41461397</t>
        </is>
      </c>
      <c r="AW2121" t="inlineStr">
        <is>
          <t>991003647469702656</t>
        </is>
      </c>
      <c r="AX2121" t="inlineStr">
        <is>
          <t>991003647469702656</t>
        </is>
      </c>
      <c r="AY2121" t="inlineStr">
        <is>
          <t>2262230810002656</t>
        </is>
      </c>
      <c r="AZ2121" t="inlineStr">
        <is>
          <t>BOOK</t>
        </is>
      </c>
      <c r="BC2121" t="inlineStr">
        <is>
          <t>32285000860303</t>
        </is>
      </c>
      <c r="BD2121" t="inlineStr">
        <is>
          <t>893330613</t>
        </is>
      </c>
    </row>
    <row r="2122">
      <c r="A2122" t="inlineStr">
        <is>
          <t>No</t>
        </is>
      </c>
      <c r="B2122" t="inlineStr">
        <is>
          <t>BX4700.L7 D44 1978</t>
        </is>
      </c>
      <c r="C2122" t="inlineStr">
        <is>
          <t>0                      BX 4700000L  7                  D  44          1978</t>
        </is>
      </c>
      <c r="D2122" t="inlineStr">
        <is>
          <t>Lectio divina ̕e orazione Ignaziana / Francesco Rossi de Gasperis.</t>
        </is>
      </c>
      <c r="F2122" t="inlineStr">
        <is>
          <t>No</t>
        </is>
      </c>
      <c r="G2122" t="inlineStr">
        <is>
          <t>1</t>
        </is>
      </c>
      <c r="H2122" t="inlineStr">
        <is>
          <t>No</t>
        </is>
      </c>
      <c r="I2122" t="inlineStr">
        <is>
          <t>No</t>
        </is>
      </c>
      <c r="J2122" t="inlineStr">
        <is>
          <t>0</t>
        </is>
      </c>
      <c r="K2122" t="inlineStr">
        <is>
          <t>Rossi de Gasperis, Francesco.</t>
        </is>
      </c>
      <c r="L2122" t="inlineStr">
        <is>
          <t>Roma : Centrum Ignatianum Spiritualitatis, 1978.</t>
        </is>
      </c>
      <c r="M2122" t="inlineStr">
        <is>
          <t>1978</t>
        </is>
      </c>
      <c r="N2122" t="inlineStr">
        <is>
          <t>2d ed.</t>
        </is>
      </c>
      <c r="O2122" t="inlineStr">
        <is>
          <t>ita</t>
        </is>
      </c>
      <c r="P2122" t="inlineStr">
        <is>
          <t xml:space="preserve">it </t>
        </is>
      </c>
      <c r="Q2122" t="inlineStr">
        <is>
          <t>Ejercicios ; 13</t>
        </is>
      </c>
      <c r="R2122" t="inlineStr">
        <is>
          <t xml:space="preserve">BX </t>
        </is>
      </c>
      <c r="S2122" t="n">
        <v>2</v>
      </c>
      <c r="T2122" t="n">
        <v>2</v>
      </c>
      <c r="U2122" t="inlineStr">
        <is>
          <t>1994-08-02</t>
        </is>
      </c>
      <c r="V2122" t="inlineStr">
        <is>
          <t>1994-08-02</t>
        </is>
      </c>
      <c r="W2122" t="inlineStr">
        <is>
          <t>1991-12-03</t>
        </is>
      </c>
      <c r="X2122" t="inlineStr">
        <is>
          <t>1991-12-03</t>
        </is>
      </c>
      <c r="Y2122" t="n">
        <v>4</v>
      </c>
      <c r="Z2122" t="n">
        <v>3</v>
      </c>
      <c r="AA2122" t="n">
        <v>7</v>
      </c>
      <c r="AB2122" t="n">
        <v>1</v>
      </c>
      <c r="AC2122" t="n">
        <v>1</v>
      </c>
      <c r="AD2122" t="n">
        <v>1</v>
      </c>
      <c r="AE2122" t="n">
        <v>3</v>
      </c>
      <c r="AF2122" t="n">
        <v>0</v>
      </c>
      <c r="AG2122" t="n">
        <v>0</v>
      </c>
      <c r="AH2122" t="n">
        <v>0</v>
      </c>
      <c r="AI2122" t="n">
        <v>1</v>
      </c>
      <c r="AJ2122" t="n">
        <v>1</v>
      </c>
      <c r="AK2122" t="n">
        <v>3</v>
      </c>
      <c r="AL2122" t="n">
        <v>0</v>
      </c>
      <c r="AM2122" t="n">
        <v>0</v>
      </c>
      <c r="AN2122" t="n">
        <v>0</v>
      </c>
      <c r="AO2122" t="n">
        <v>0</v>
      </c>
      <c r="AP2122" t="inlineStr">
        <is>
          <t>No</t>
        </is>
      </c>
      <c r="AQ2122" t="inlineStr">
        <is>
          <t>No</t>
        </is>
      </c>
      <c r="AS2122">
        <f>HYPERLINK("https://creighton-primo.hosted.exlibrisgroup.com/primo-explore/search?tab=default_tab&amp;search_scope=EVERYTHING&amp;vid=01CRU&amp;lang=en_US&amp;offset=0&amp;query=any,contains,991004892179702656","Catalog Record")</f>
        <v/>
      </c>
      <c r="AT2122">
        <f>HYPERLINK("http://www.worldcat.org/oclc/5882806","WorldCat Record")</f>
        <v/>
      </c>
      <c r="AU2122" t="inlineStr">
        <is>
          <t>6850104:ita</t>
        </is>
      </c>
      <c r="AV2122" t="inlineStr">
        <is>
          <t>5882806</t>
        </is>
      </c>
      <c r="AW2122" t="inlineStr">
        <is>
          <t>991004892179702656</t>
        </is>
      </c>
      <c r="AX2122" t="inlineStr">
        <is>
          <t>991004892179702656</t>
        </is>
      </c>
      <c r="AY2122" t="inlineStr">
        <is>
          <t>2268766670002656</t>
        </is>
      </c>
      <c r="AZ2122" t="inlineStr">
        <is>
          <t>BOOK</t>
        </is>
      </c>
      <c r="BC2122" t="inlineStr">
        <is>
          <t>32285000870179</t>
        </is>
      </c>
      <c r="BD2122" t="inlineStr">
        <is>
          <t>893713176</t>
        </is>
      </c>
    </row>
    <row r="2123">
      <c r="A2123" t="inlineStr">
        <is>
          <t>No</t>
        </is>
      </c>
      <c r="B2123" t="inlineStr">
        <is>
          <t>BX4700.L7 D8 1934</t>
        </is>
      </c>
      <c r="C2123" t="inlineStr">
        <is>
          <t>0                      BX 4700000L  7                  D  8           1934</t>
        </is>
      </c>
      <c r="D2123" t="inlineStr">
        <is>
          <t>Saint Ignace de Loyola.</t>
        </is>
      </c>
      <c r="F2123" t="inlineStr">
        <is>
          <t>No</t>
        </is>
      </c>
      <c r="G2123" t="inlineStr">
        <is>
          <t>1</t>
        </is>
      </c>
      <c r="H2123" t="inlineStr">
        <is>
          <t>No</t>
        </is>
      </c>
      <c r="I2123" t="inlineStr">
        <is>
          <t>No</t>
        </is>
      </c>
      <c r="J2123" t="inlineStr">
        <is>
          <t>0</t>
        </is>
      </c>
      <c r="K2123" t="inlineStr">
        <is>
          <t>Dudon, Paul, 1859-1941.</t>
        </is>
      </c>
      <c r="L2123" t="inlineStr">
        <is>
          <t>Paris : G. Beauchesne et ses fils, 1934.</t>
        </is>
      </c>
      <c r="M2123" t="inlineStr">
        <is>
          <t>1934</t>
        </is>
      </c>
      <c r="O2123" t="inlineStr">
        <is>
          <t>fre</t>
        </is>
      </c>
      <c r="P2123" t="inlineStr">
        <is>
          <t xml:space="preserve">xx </t>
        </is>
      </c>
      <c r="R2123" t="inlineStr">
        <is>
          <t xml:space="preserve">BX </t>
        </is>
      </c>
      <c r="S2123" t="n">
        <v>1</v>
      </c>
      <c r="T2123" t="n">
        <v>1</v>
      </c>
      <c r="U2123" t="inlineStr">
        <is>
          <t>2005-08-01</t>
        </is>
      </c>
      <c r="V2123" t="inlineStr">
        <is>
          <t>2005-08-01</t>
        </is>
      </c>
      <c r="W2123" t="inlineStr">
        <is>
          <t>1991-12-03</t>
        </is>
      </c>
      <c r="X2123" t="inlineStr">
        <is>
          <t>1991-12-03</t>
        </is>
      </c>
      <c r="Y2123" t="n">
        <v>44</v>
      </c>
      <c r="Z2123" t="n">
        <v>30</v>
      </c>
      <c r="AA2123" t="n">
        <v>30</v>
      </c>
      <c r="AB2123" t="n">
        <v>1</v>
      </c>
      <c r="AC2123" t="n">
        <v>1</v>
      </c>
      <c r="AD2123" t="n">
        <v>9</v>
      </c>
      <c r="AE2123" t="n">
        <v>9</v>
      </c>
      <c r="AF2123" t="n">
        <v>0</v>
      </c>
      <c r="AG2123" t="n">
        <v>0</v>
      </c>
      <c r="AH2123" t="n">
        <v>1</v>
      </c>
      <c r="AI2123" t="n">
        <v>1</v>
      </c>
      <c r="AJ2123" t="n">
        <v>9</v>
      </c>
      <c r="AK2123" t="n">
        <v>9</v>
      </c>
      <c r="AL2123" t="n">
        <v>0</v>
      </c>
      <c r="AM2123" t="n">
        <v>0</v>
      </c>
      <c r="AN2123" t="n">
        <v>0</v>
      </c>
      <c r="AO2123" t="n">
        <v>0</v>
      </c>
      <c r="AP2123" t="inlineStr">
        <is>
          <t>No</t>
        </is>
      </c>
      <c r="AQ2123" t="inlineStr">
        <is>
          <t>No</t>
        </is>
      </c>
      <c r="AS2123">
        <f>HYPERLINK("https://creighton-primo.hosted.exlibrisgroup.com/primo-explore/search?tab=default_tab&amp;search_scope=EVERYTHING&amp;vid=01CRU&amp;lang=en_US&amp;offset=0&amp;query=any,contains,991003714579702656","Catalog Record")</f>
        <v/>
      </c>
      <c r="AT2123">
        <f>HYPERLINK("http://www.worldcat.org/oclc/1358032","WorldCat Record")</f>
        <v/>
      </c>
      <c r="AU2123" t="inlineStr">
        <is>
          <t>2257640:fre</t>
        </is>
      </c>
      <c r="AV2123" t="inlineStr">
        <is>
          <t>1358032</t>
        </is>
      </c>
      <c r="AW2123" t="inlineStr">
        <is>
          <t>991003714579702656</t>
        </is>
      </c>
      <c r="AX2123" t="inlineStr">
        <is>
          <t>991003714579702656</t>
        </is>
      </c>
      <c r="AY2123" t="inlineStr">
        <is>
          <t>2269501960002656</t>
        </is>
      </c>
      <c r="AZ2123" t="inlineStr">
        <is>
          <t>BOOK</t>
        </is>
      </c>
      <c r="BC2123" t="inlineStr">
        <is>
          <t>32285000870195</t>
        </is>
      </c>
      <c r="BD2123" t="inlineStr">
        <is>
          <t>893228367</t>
        </is>
      </c>
    </row>
    <row r="2124">
      <c r="A2124" t="inlineStr">
        <is>
          <t>No</t>
        </is>
      </c>
      <c r="B2124" t="inlineStr">
        <is>
          <t>BX4700.L7 H6 1931a</t>
        </is>
      </c>
      <c r="C2124" t="inlineStr">
        <is>
          <t>0                      BX 4700000L  7                  H  6           1931a</t>
        </is>
      </c>
      <c r="D2124" t="inlineStr">
        <is>
          <t>Saint Ignatius / by Christopher Hollis.</t>
        </is>
      </c>
      <c r="F2124" t="inlineStr">
        <is>
          <t>No</t>
        </is>
      </c>
      <c r="G2124" t="inlineStr">
        <is>
          <t>1</t>
        </is>
      </c>
      <c r="H2124" t="inlineStr">
        <is>
          <t>No</t>
        </is>
      </c>
      <c r="I2124" t="inlineStr">
        <is>
          <t>No</t>
        </is>
      </c>
      <c r="J2124" t="inlineStr">
        <is>
          <t>0</t>
        </is>
      </c>
      <c r="K2124" t="inlineStr">
        <is>
          <t>Hollis, Christopher, 1902-1977.</t>
        </is>
      </c>
      <c r="L2124" t="inlineStr">
        <is>
          <t>New York ; London : Harper &amp; brothers, 1931.</t>
        </is>
      </c>
      <c r="M2124" t="inlineStr">
        <is>
          <t>1931</t>
        </is>
      </c>
      <c r="O2124" t="inlineStr">
        <is>
          <t>eng</t>
        </is>
      </c>
      <c r="P2124" t="inlineStr">
        <is>
          <t xml:space="preserve">xx </t>
        </is>
      </c>
      <c r="R2124" t="inlineStr">
        <is>
          <t xml:space="preserve">BX </t>
        </is>
      </c>
      <c r="S2124" t="n">
        <v>3</v>
      </c>
      <c r="T2124" t="n">
        <v>3</v>
      </c>
      <c r="U2124" t="inlineStr">
        <is>
          <t>2002-10-10</t>
        </is>
      </c>
      <c r="V2124" t="inlineStr">
        <is>
          <t>2002-10-10</t>
        </is>
      </c>
      <c r="W2124" t="inlineStr">
        <is>
          <t>1991-12-03</t>
        </is>
      </c>
      <c r="X2124" t="inlineStr">
        <is>
          <t>1991-12-03</t>
        </is>
      </c>
      <c r="Y2124" t="n">
        <v>176</v>
      </c>
      <c r="Z2124" t="n">
        <v>154</v>
      </c>
      <c r="AA2124" t="n">
        <v>321</v>
      </c>
      <c r="AB2124" t="n">
        <v>2</v>
      </c>
      <c r="AC2124" t="n">
        <v>3</v>
      </c>
      <c r="AD2124" t="n">
        <v>16</v>
      </c>
      <c r="AE2124" t="n">
        <v>27</v>
      </c>
      <c r="AF2124" t="n">
        <v>3</v>
      </c>
      <c r="AG2124" t="n">
        <v>9</v>
      </c>
      <c r="AH2124" t="n">
        <v>3</v>
      </c>
      <c r="AI2124" t="n">
        <v>5</v>
      </c>
      <c r="AJ2124" t="n">
        <v>15</v>
      </c>
      <c r="AK2124" t="n">
        <v>23</v>
      </c>
      <c r="AL2124" t="n">
        <v>0</v>
      </c>
      <c r="AM2124" t="n">
        <v>0</v>
      </c>
      <c r="AN2124" t="n">
        <v>0</v>
      </c>
      <c r="AO2124" t="n">
        <v>0</v>
      </c>
      <c r="AP2124" t="inlineStr">
        <is>
          <t>No</t>
        </is>
      </c>
      <c r="AQ2124" t="inlineStr">
        <is>
          <t>No</t>
        </is>
      </c>
      <c r="AS2124">
        <f>HYPERLINK("https://creighton-primo.hosted.exlibrisgroup.com/primo-explore/search?tab=default_tab&amp;search_scope=EVERYTHING&amp;vid=01CRU&amp;lang=en_US&amp;offset=0&amp;query=any,contains,991002989689702656","Catalog Record")</f>
        <v/>
      </c>
      <c r="AT2124">
        <f>HYPERLINK("http://www.worldcat.org/oclc/559859","WorldCat Record")</f>
        <v/>
      </c>
      <c r="AU2124" t="inlineStr">
        <is>
          <t>1631195:eng</t>
        </is>
      </c>
      <c r="AV2124" t="inlineStr">
        <is>
          <t>559859</t>
        </is>
      </c>
      <c r="AW2124" t="inlineStr">
        <is>
          <t>991002989689702656</t>
        </is>
      </c>
      <c r="AX2124" t="inlineStr">
        <is>
          <t>991002989689702656</t>
        </is>
      </c>
      <c r="AY2124" t="inlineStr">
        <is>
          <t>2261976460002656</t>
        </is>
      </c>
      <c r="AZ2124" t="inlineStr">
        <is>
          <t>BOOK</t>
        </is>
      </c>
      <c r="BC2124" t="inlineStr">
        <is>
          <t>32285000870260</t>
        </is>
      </c>
      <c r="BD2124" t="inlineStr">
        <is>
          <t>893698547</t>
        </is>
      </c>
    </row>
    <row r="2125">
      <c r="A2125" t="inlineStr">
        <is>
          <t>No</t>
        </is>
      </c>
      <c r="B2125" t="inlineStr">
        <is>
          <t>BX4700.L7 P313 1959</t>
        </is>
      </c>
      <c r="C2125" t="inlineStr">
        <is>
          <t>0                      BX 4700000L  7                  P  313         1959</t>
        </is>
      </c>
      <c r="D2125" t="inlineStr">
        <is>
          <t>Saint Ignatius of Loyola / Translated from the Italian by Paul Garvin.</t>
        </is>
      </c>
      <c r="F2125" t="inlineStr">
        <is>
          <t>No</t>
        </is>
      </c>
      <c r="G2125" t="inlineStr">
        <is>
          <t>1</t>
        </is>
      </c>
      <c r="H2125" t="inlineStr">
        <is>
          <t>No</t>
        </is>
      </c>
      <c r="I2125" t="inlineStr">
        <is>
          <t>No</t>
        </is>
      </c>
      <c r="J2125" t="inlineStr">
        <is>
          <t>0</t>
        </is>
      </c>
      <c r="K2125" t="inlineStr">
        <is>
          <t>Papàsogli, Giorgio.</t>
        </is>
      </c>
      <c r="L2125" t="inlineStr">
        <is>
          <t>New York : Society of St. Paul, [c1959]</t>
        </is>
      </c>
      <c r="M2125" t="inlineStr">
        <is>
          <t>1959</t>
        </is>
      </c>
      <c r="O2125" t="inlineStr">
        <is>
          <t>eng</t>
        </is>
      </c>
      <c r="P2125" t="inlineStr">
        <is>
          <t xml:space="preserve">xx </t>
        </is>
      </c>
      <c r="R2125" t="inlineStr">
        <is>
          <t xml:space="preserve">BX </t>
        </is>
      </c>
      <c r="S2125" t="n">
        <v>5</v>
      </c>
      <c r="T2125" t="n">
        <v>5</v>
      </c>
      <c r="U2125" t="inlineStr">
        <is>
          <t>2004-10-18</t>
        </is>
      </c>
      <c r="V2125" t="inlineStr">
        <is>
          <t>2004-10-18</t>
        </is>
      </c>
      <c r="W2125" t="inlineStr">
        <is>
          <t>1990-05-07</t>
        </is>
      </c>
      <c r="X2125" t="inlineStr">
        <is>
          <t>1990-05-07</t>
        </is>
      </c>
      <c r="Y2125" t="n">
        <v>129</v>
      </c>
      <c r="Z2125" t="n">
        <v>118</v>
      </c>
      <c r="AA2125" t="n">
        <v>118</v>
      </c>
      <c r="AB2125" t="n">
        <v>2</v>
      </c>
      <c r="AC2125" t="n">
        <v>2</v>
      </c>
      <c r="AD2125" t="n">
        <v>26</v>
      </c>
      <c r="AE2125" t="n">
        <v>26</v>
      </c>
      <c r="AF2125" t="n">
        <v>6</v>
      </c>
      <c r="AG2125" t="n">
        <v>6</v>
      </c>
      <c r="AH2125" t="n">
        <v>6</v>
      </c>
      <c r="AI2125" t="n">
        <v>6</v>
      </c>
      <c r="AJ2125" t="n">
        <v>23</v>
      </c>
      <c r="AK2125" t="n">
        <v>23</v>
      </c>
      <c r="AL2125" t="n">
        <v>0</v>
      </c>
      <c r="AM2125" t="n">
        <v>0</v>
      </c>
      <c r="AN2125" t="n">
        <v>0</v>
      </c>
      <c r="AO2125" t="n">
        <v>0</v>
      </c>
      <c r="AP2125" t="inlineStr">
        <is>
          <t>No</t>
        </is>
      </c>
      <c r="AQ2125" t="inlineStr">
        <is>
          <t>No</t>
        </is>
      </c>
      <c r="AS2125">
        <f>HYPERLINK("https://creighton-primo.hosted.exlibrisgroup.com/primo-explore/search?tab=default_tab&amp;search_scope=EVERYTHING&amp;vid=01CRU&amp;lang=en_US&amp;offset=0&amp;query=any,contains,991003688879702656","Catalog Record")</f>
        <v/>
      </c>
      <c r="AT2125">
        <f>HYPERLINK("http://www.worldcat.org/oclc/1318171","WorldCat Record")</f>
        <v/>
      </c>
      <c r="AU2125" t="inlineStr">
        <is>
          <t>2194388:eng</t>
        </is>
      </c>
      <c r="AV2125" t="inlineStr">
        <is>
          <t>1318171</t>
        </is>
      </c>
      <c r="AW2125" t="inlineStr">
        <is>
          <t>991003688879702656</t>
        </is>
      </c>
      <c r="AX2125" t="inlineStr">
        <is>
          <t>991003688879702656</t>
        </is>
      </c>
      <c r="AY2125" t="inlineStr">
        <is>
          <t>2268878650002656</t>
        </is>
      </c>
      <c r="AZ2125" t="inlineStr">
        <is>
          <t>BOOK</t>
        </is>
      </c>
      <c r="BC2125" t="inlineStr">
        <is>
          <t>32285000149517</t>
        </is>
      </c>
      <c r="BD2125" t="inlineStr">
        <is>
          <t>893505870</t>
        </is>
      </c>
    </row>
    <row r="2126">
      <c r="A2126" t="inlineStr">
        <is>
          <t>No</t>
        </is>
      </c>
      <c r="B2126" t="inlineStr">
        <is>
          <t>BX4700.L7 R348 1973</t>
        </is>
      </c>
      <c r="C2126" t="inlineStr">
        <is>
          <t>0                      BX 4700000L  7                  R  348         1973</t>
        </is>
      </c>
      <c r="D2126" t="inlineStr">
        <is>
          <t>Les chroniques Saint Ignace de Loyola / par André Ravier.</t>
        </is>
      </c>
      <c r="F2126" t="inlineStr">
        <is>
          <t>No</t>
        </is>
      </c>
      <c r="G2126" t="inlineStr">
        <is>
          <t>1</t>
        </is>
      </c>
      <c r="H2126" t="inlineStr">
        <is>
          <t>No</t>
        </is>
      </c>
      <c r="I2126" t="inlineStr">
        <is>
          <t>No</t>
        </is>
      </c>
      <c r="J2126" t="inlineStr">
        <is>
          <t>0</t>
        </is>
      </c>
      <c r="K2126" t="inlineStr">
        <is>
          <t>Ravier, André.</t>
        </is>
      </c>
      <c r="L2126" t="inlineStr">
        <is>
          <t>[s.l.] : Nouvelle Librairie de France, 1973.</t>
        </is>
      </c>
      <c r="M2126" t="inlineStr">
        <is>
          <t>1973</t>
        </is>
      </c>
      <c r="O2126" t="inlineStr">
        <is>
          <t>fre</t>
        </is>
      </c>
      <c r="P2126" t="inlineStr">
        <is>
          <t xml:space="preserve">xx </t>
        </is>
      </c>
      <c r="R2126" t="inlineStr">
        <is>
          <t xml:space="preserve">BX </t>
        </is>
      </c>
      <c r="S2126" t="n">
        <v>5</v>
      </c>
      <c r="T2126" t="n">
        <v>5</v>
      </c>
      <c r="U2126" t="inlineStr">
        <is>
          <t>1999-10-28</t>
        </is>
      </c>
      <c r="V2126" t="inlineStr">
        <is>
          <t>1999-10-28</t>
        </is>
      </c>
      <c r="W2126" t="inlineStr">
        <is>
          <t>1991-12-03</t>
        </is>
      </c>
      <c r="X2126" t="inlineStr">
        <is>
          <t>1991-12-03</t>
        </is>
      </c>
      <c r="Y2126" t="n">
        <v>20</v>
      </c>
      <c r="Z2126" t="n">
        <v>10</v>
      </c>
      <c r="AA2126" t="n">
        <v>10</v>
      </c>
      <c r="AB2126" t="n">
        <v>1</v>
      </c>
      <c r="AC2126" t="n">
        <v>1</v>
      </c>
      <c r="AD2126" t="n">
        <v>6</v>
      </c>
      <c r="AE2126" t="n">
        <v>6</v>
      </c>
      <c r="AF2126" t="n">
        <v>1</v>
      </c>
      <c r="AG2126" t="n">
        <v>1</v>
      </c>
      <c r="AH2126" t="n">
        <v>1</v>
      </c>
      <c r="AI2126" t="n">
        <v>1</v>
      </c>
      <c r="AJ2126" t="n">
        <v>6</v>
      </c>
      <c r="AK2126" t="n">
        <v>6</v>
      </c>
      <c r="AL2126" t="n">
        <v>0</v>
      </c>
      <c r="AM2126" t="n">
        <v>0</v>
      </c>
      <c r="AN2126" t="n">
        <v>0</v>
      </c>
      <c r="AO2126" t="n">
        <v>0</v>
      </c>
      <c r="AP2126" t="inlineStr">
        <is>
          <t>No</t>
        </is>
      </c>
      <c r="AQ2126" t="inlineStr">
        <is>
          <t>No</t>
        </is>
      </c>
      <c r="AS2126">
        <f>HYPERLINK("https://creighton-primo.hosted.exlibrisgroup.com/primo-explore/search?tab=default_tab&amp;search_scope=EVERYTHING&amp;vid=01CRU&amp;lang=en_US&amp;offset=0&amp;query=any,contains,991003673049702656","Catalog Record")</f>
        <v/>
      </c>
      <c r="AT2126">
        <f>HYPERLINK("http://www.worldcat.org/oclc/1291096","WorldCat Record")</f>
        <v/>
      </c>
      <c r="AU2126" t="inlineStr">
        <is>
          <t>367551713:fre</t>
        </is>
      </c>
      <c r="AV2126" t="inlineStr">
        <is>
          <t>1291096</t>
        </is>
      </c>
      <c r="AW2126" t="inlineStr">
        <is>
          <t>991003673049702656</t>
        </is>
      </c>
      <c r="AX2126" t="inlineStr">
        <is>
          <t>991003673049702656</t>
        </is>
      </c>
      <c r="AY2126" t="inlineStr">
        <is>
          <t>2256486530002656</t>
        </is>
      </c>
      <c r="AZ2126" t="inlineStr">
        <is>
          <t>BOOK</t>
        </is>
      </c>
      <c r="BC2126" t="inlineStr">
        <is>
          <t>32285000870344</t>
        </is>
      </c>
      <c r="BD2126" t="inlineStr">
        <is>
          <t>893429066</t>
        </is>
      </c>
    </row>
    <row r="2127">
      <c r="A2127" t="inlineStr">
        <is>
          <t>No</t>
        </is>
      </c>
      <c r="B2127" t="inlineStr">
        <is>
          <t>BX4700.L7 V3 1926</t>
        </is>
      </c>
      <c r="C2127" t="inlineStr">
        <is>
          <t>0                      BX 4700000L  7                  V  3           1926</t>
        </is>
      </c>
      <c r="D2127" t="inlineStr">
        <is>
          <t>Ignatius Loyola, the founder of the Jesuits / by Paul Van Dyke.</t>
        </is>
      </c>
      <c r="F2127" t="inlineStr">
        <is>
          <t>No</t>
        </is>
      </c>
      <c r="G2127" t="inlineStr">
        <is>
          <t>1</t>
        </is>
      </c>
      <c r="H2127" t="inlineStr">
        <is>
          <t>No</t>
        </is>
      </c>
      <c r="I2127" t="inlineStr">
        <is>
          <t>No</t>
        </is>
      </c>
      <c r="J2127" t="inlineStr">
        <is>
          <t>0</t>
        </is>
      </c>
      <c r="K2127" t="inlineStr">
        <is>
          <t>Van Dyke, Paul, 1859-1933.</t>
        </is>
      </c>
      <c r="L2127" t="inlineStr">
        <is>
          <t>New York ; London : C. Scribner's Sons, 1926.</t>
        </is>
      </c>
      <c r="M2127" t="inlineStr">
        <is>
          <t>1926</t>
        </is>
      </c>
      <c r="O2127" t="inlineStr">
        <is>
          <t>eng</t>
        </is>
      </c>
      <c r="P2127" t="inlineStr">
        <is>
          <t>nyu</t>
        </is>
      </c>
      <c r="R2127" t="inlineStr">
        <is>
          <t xml:space="preserve">BX </t>
        </is>
      </c>
      <c r="S2127" t="n">
        <v>2</v>
      </c>
      <c r="T2127" t="n">
        <v>2</v>
      </c>
      <c r="U2127" t="inlineStr">
        <is>
          <t>1999-02-25</t>
        </is>
      </c>
      <c r="V2127" t="inlineStr">
        <is>
          <t>1999-02-25</t>
        </is>
      </c>
      <c r="W2127" t="inlineStr">
        <is>
          <t>1990-05-07</t>
        </is>
      </c>
      <c r="X2127" t="inlineStr">
        <is>
          <t>1990-05-07</t>
        </is>
      </c>
      <c r="Y2127" t="n">
        <v>486</v>
      </c>
      <c r="Z2127" t="n">
        <v>433</v>
      </c>
      <c r="AA2127" t="n">
        <v>699</v>
      </c>
      <c r="AB2127" t="n">
        <v>3</v>
      </c>
      <c r="AC2127" t="n">
        <v>4</v>
      </c>
      <c r="AD2127" t="n">
        <v>30</v>
      </c>
      <c r="AE2127" t="n">
        <v>35</v>
      </c>
      <c r="AF2127" t="n">
        <v>9</v>
      </c>
      <c r="AG2127" t="n">
        <v>12</v>
      </c>
      <c r="AH2127" t="n">
        <v>7</v>
      </c>
      <c r="AI2127" t="n">
        <v>9</v>
      </c>
      <c r="AJ2127" t="n">
        <v>26</v>
      </c>
      <c r="AK2127" t="n">
        <v>26</v>
      </c>
      <c r="AL2127" t="n">
        <v>1</v>
      </c>
      <c r="AM2127" t="n">
        <v>1</v>
      </c>
      <c r="AN2127" t="n">
        <v>0</v>
      </c>
      <c r="AO2127" t="n">
        <v>0</v>
      </c>
      <c r="AP2127" t="inlineStr">
        <is>
          <t>No</t>
        </is>
      </c>
      <c r="AQ2127" t="inlineStr">
        <is>
          <t>Yes</t>
        </is>
      </c>
      <c r="AR2127">
        <f>HYPERLINK("http://catalog.hathitrust.org/Record/001591715","HathiTrust Record")</f>
        <v/>
      </c>
      <c r="AS2127">
        <f>HYPERLINK("https://creighton-primo.hosted.exlibrisgroup.com/primo-explore/search?tab=default_tab&amp;search_scope=EVERYTHING&amp;vid=01CRU&amp;lang=en_US&amp;offset=0&amp;query=any,contains,991003223339702656","Catalog Record")</f>
        <v/>
      </c>
      <c r="AT2127">
        <f>HYPERLINK("http://www.worldcat.org/oclc/748632","WorldCat Record")</f>
        <v/>
      </c>
      <c r="AU2127" t="inlineStr">
        <is>
          <t>1830578:eng</t>
        </is>
      </c>
      <c r="AV2127" t="inlineStr">
        <is>
          <t>748632</t>
        </is>
      </c>
      <c r="AW2127" t="inlineStr">
        <is>
          <t>991003223339702656</t>
        </is>
      </c>
      <c r="AX2127" t="inlineStr">
        <is>
          <t>991003223339702656</t>
        </is>
      </c>
      <c r="AY2127" t="inlineStr">
        <is>
          <t>2254985820002656</t>
        </is>
      </c>
      <c r="AZ2127" t="inlineStr">
        <is>
          <t>BOOK</t>
        </is>
      </c>
      <c r="BC2127" t="inlineStr">
        <is>
          <t>32285000149525</t>
        </is>
      </c>
      <c r="BD2127" t="inlineStr">
        <is>
          <t>893623264</t>
        </is>
      </c>
    </row>
    <row r="2128">
      <c r="A2128" t="inlineStr">
        <is>
          <t>No</t>
        </is>
      </c>
      <c r="B2128" t="inlineStr">
        <is>
          <t>BX4700.L75 K613 1928</t>
        </is>
      </c>
      <c r="C2128" t="inlineStr">
        <is>
          <t>0                      BX 4700000L  75                 K  613         1928</t>
        </is>
      </c>
      <c r="D2128" t="inlineStr">
        <is>
          <t>A nobleman of Italy : the story of Aloysius Gonzaga / by Rev. A Koch, S.J. Translated from the German by Rev. D. Donnelly, S.J.</t>
        </is>
      </c>
      <c r="F2128" t="inlineStr">
        <is>
          <t>No</t>
        </is>
      </c>
      <c r="G2128" t="inlineStr">
        <is>
          <t>1</t>
        </is>
      </c>
      <c r="H2128" t="inlineStr">
        <is>
          <t>No</t>
        </is>
      </c>
      <c r="I2128" t="inlineStr">
        <is>
          <t>No</t>
        </is>
      </c>
      <c r="J2128" t="inlineStr">
        <is>
          <t>0</t>
        </is>
      </c>
      <c r="K2128" t="inlineStr">
        <is>
          <t>Koch, Anton, 1859-1915.</t>
        </is>
      </c>
      <c r="L2128" t="inlineStr">
        <is>
          <t>London : Sands &amp; Co., 1928.</t>
        </is>
      </c>
      <c r="M2128" t="inlineStr">
        <is>
          <t>1928</t>
        </is>
      </c>
      <c r="O2128" t="inlineStr">
        <is>
          <t>eng</t>
        </is>
      </c>
      <c r="P2128" t="inlineStr">
        <is>
          <t>enk</t>
        </is>
      </c>
      <c r="R2128" t="inlineStr">
        <is>
          <t xml:space="preserve">BX </t>
        </is>
      </c>
      <c r="S2128" t="n">
        <v>1</v>
      </c>
      <c r="T2128" t="n">
        <v>1</v>
      </c>
      <c r="U2128" t="inlineStr">
        <is>
          <t>2008-03-03</t>
        </is>
      </c>
      <c r="V2128" t="inlineStr">
        <is>
          <t>2008-03-03</t>
        </is>
      </c>
      <c r="W2128" t="inlineStr">
        <is>
          <t>1991-12-03</t>
        </is>
      </c>
      <c r="X2128" t="inlineStr">
        <is>
          <t>1991-12-03</t>
        </is>
      </c>
      <c r="Y2128" t="n">
        <v>15</v>
      </c>
      <c r="Z2128" t="n">
        <v>7</v>
      </c>
      <c r="AA2128" t="n">
        <v>13</v>
      </c>
      <c r="AB2128" t="n">
        <v>1</v>
      </c>
      <c r="AC2128" t="n">
        <v>1</v>
      </c>
      <c r="AD2128" t="n">
        <v>3</v>
      </c>
      <c r="AE2128" t="n">
        <v>6</v>
      </c>
      <c r="AF2128" t="n">
        <v>0</v>
      </c>
      <c r="AG2128" t="n">
        <v>1</v>
      </c>
      <c r="AH2128" t="n">
        <v>1</v>
      </c>
      <c r="AI2128" t="n">
        <v>1</v>
      </c>
      <c r="AJ2128" t="n">
        <v>3</v>
      </c>
      <c r="AK2128" t="n">
        <v>6</v>
      </c>
      <c r="AL2128" t="n">
        <v>0</v>
      </c>
      <c r="AM2128" t="n">
        <v>0</v>
      </c>
      <c r="AN2128" t="n">
        <v>0</v>
      </c>
      <c r="AO2128" t="n">
        <v>0</v>
      </c>
      <c r="AP2128" t="inlineStr">
        <is>
          <t>No</t>
        </is>
      </c>
      <c r="AQ2128" t="inlineStr">
        <is>
          <t>No</t>
        </is>
      </c>
      <c r="AS2128">
        <f>HYPERLINK("https://creighton-primo.hosted.exlibrisgroup.com/primo-explore/search?tab=default_tab&amp;search_scope=EVERYTHING&amp;vid=01CRU&amp;lang=en_US&amp;offset=0&amp;query=any,contains,991001118269702656","Catalog Record")</f>
        <v/>
      </c>
      <c r="AT2128">
        <f>HYPERLINK("http://www.worldcat.org/oclc/16566448","WorldCat Record")</f>
        <v/>
      </c>
      <c r="AU2128" t="inlineStr">
        <is>
          <t>3490521:eng</t>
        </is>
      </c>
      <c r="AV2128" t="inlineStr">
        <is>
          <t>16566448</t>
        </is>
      </c>
      <c r="AW2128" t="inlineStr">
        <is>
          <t>991001118269702656</t>
        </is>
      </c>
      <c r="AX2128" t="inlineStr">
        <is>
          <t>991001118269702656</t>
        </is>
      </c>
      <c r="AY2128" t="inlineStr">
        <is>
          <t>2270348200002656</t>
        </is>
      </c>
      <c r="AZ2128" t="inlineStr">
        <is>
          <t>BOOK</t>
        </is>
      </c>
      <c r="BC2128" t="inlineStr">
        <is>
          <t>32285000870682</t>
        </is>
      </c>
      <c r="BD2128" t="inlineStr">
        <is>
          <t>893256028</t>
        </is>
      </c>
    </row>
    <row r="2129">
      <c r="A2129" t="inlineStr">
        <is>
          <t>No</t>
        </is>
      </c>
      <c r="B2129" t="inlineStr">
        <is>
          <t>BX4700.M2 B3 1900</t>
        </is>
      </c>
      <c r="C2129" t="inlineStr">
        <is>
          <t>0                      BX 4700000M  2                  B  3           1900</t>
        </is>
      </c>
      <c r="D2129" t="inlineStr">
        <is>
          <t>Histoire du la vénérable mère Madeleine-Sophie Barat, fondatrice de la Société du Sacré Coeur de Jésus.</t>
        </is>
      </c>
      <c r="E2129" t="inlineStr">
        <is>
          <t>V.2</t>
        </is>
      </c>
      <c r="F2129" t="inlineStr">
        <is>
          <t>Yes</t>
        </is>
      </c>
      <c r="G2129" t="inlineStr">
        <is>
          <t>1</t>
        </is>
      </c>
      <c r="H2129" t="inlineStr">
        <is>
          <t>No</t>
        </is>
      </c>
      <c r="I2129" t="inlineStr">
        <is>
          <t>No</t>
        </is>
      </c>
      <c r="J2129" t="inlineStr">
        <is>
          <t>0</t>
        </is>
      </c>
      <c r="K2129" t="inlineStr">
        <is>
          <t>Baunard, Mgr., 1826-1919.</t>
        </is>
      </c>
      <c r="L2129" t="inlineStr">
        <is>
          <t>Paris : Libraire Ch. Poussielgue, 1900.</t>
        </is>
      </c>
      <c r="M2129" t="inlineStr">
        <is>
          <t>1900</t>
        </is>
      </c>
      <c r="N2129" t="inlineStr">
        <is>
          <t>Souvenir centenaire.</t>
        </is>
      </c>
      <c r="O2129" t="inlineStr">
        <is>
          <t>fre</t>
        </is>
      </c>
      <c r="P2129" t="inlineStr">
        <is>
          <t xml:space="preserve">xx </t>
        </is>
      </c>
      <c r="R2129" t="inlineStr">
        <is>
          <t xml:space="preserve">BX </t>
        </is>
      </c>
      <c r="S2129" t="n">
        <v>1</v>
      </c>
      <c r="T2129" t="n">
        <v>2</v>
      </c>
      <c r="U2129" t="inlineStr">
        <is>
          <t>2008-04-24</t>
        </is>
      </c>
      <c r="V2129" t="inlineStr">
        <is>
          <t>2008-04-24</t>
        </is>
      </c>
      <c r="W2129" t="inlineStr">
        <is>
          <t>1991-12-03</t>
        </is>
      </c>
      <c r="X2129" t="inlineStr">
        <is>
          <t>1991-12-03</t>
        </is>
      </c>
      <c r="Y2129" t="n">
        <v>22</v>
      </c>
      <c r="Z2129" t="n">
        <v>20</v>
      </c>
      <c r="AA2129" t="n">
        <v>52</v>
      </c>
      <c r="AB2129" t="n">
        <v>1</v>
      </c>
      <c r="AC2129" t="n">
        <v>2</v>
      </c>
      <c r="AD2129" t="n">
        <v>5</v>
      </c>
      <c r="AE2129" t="n">
        <v>11</v>
      </c>
      <c r="AF2129" t="n">
        <v>0</v>
      </c>
      <c r="AG2129" t="n">
        <v>2</v>
      </c>
      <c r="AH2129" t="n">
        <v>0</v>
      </c>
      <c r="AI2129" t="n">
        <v>3</v>
      </c>
      <c r="AJ2129" t="n">
        <v>5</v>
      </c>
      <c r="AK2129" t="n">
        <v>8</v>
      </c>
      <c r="AL2129" t="n">
        <v>0</v>
      </c>
      <c r="AM2129" t="n">
        <v>1</v>
      </c>
      <c r="AN2129" t="n">
        <v>0</v>
      </c>
      <c r="AO2129" t="n">
        <v>0</v>
      </c>
      <c r="AP2129" t="inlineStr">
        <is>
          <t>No</t>
        </is>
      </c>
      <c r="AQ2129" t="inlineStr">
        <is>
          <t>No</t>
        </is>
      </c>
      <c r="AS2129">
        <f>HYPERLINK("https://creighton-primo.hosted.exlibrisgroup.com/primo-explore/search?tab=default_tab&amp;search_scope=EVERYTHING&amp;vid=01CRU&amp;lang=en_US&amp;offset=0&amp;query=any,contains,991003218389702656","Catalog Record")</f>
        <v/>
      </c>
      <c r="AT2129">
        <f>HYPERLINK("http://www.worldcat.org/oclc/744504","WorldCat Record")</f>
        <v/>
      </c>
      <c r="AU2129" t="inlineStr">
        <is>
          <t>3769685210:fre</t>
        </is>
      </c>
      <c r="AV2129" t="inlineStr">
        <is>
          <t>744504</t>
        </is>
      </c>
      <c r="AW2129" t="inlineStr">
        <is>
          <t>991003218389702656</t>
        </is>
      </c>
      <c r="AX2129" t="inlineStr">
        <is>
          <t>991003218389702656</t>
        </is>
      </c>
      <c r="AY2129" t="inlineStr">
        <is>
          <t>2269399550002656</t>
        </is>
      </c>
      <c r="AZ2129" t="inlineStr">
        <is>
          <t>BOOK</t>
        </is>
      </c>
      <c r="BC2129" t="inlineStr">
        <is>
          <t>32285000870708</t>
        </is>
      </c>
      <c r="BD2129" t="inlineStr">
        <is>
          <t>893246135</t>
        </is>
      </c>
    </row>
    <row r="2130">
      <c r="A2130" t="inlineStr">
        <is>
          <t>No</t>
        </is>
      </c>
      <c r="B2130" t="inlineStr">
        <is>
          <t>BX4700.M2 B3 1900</t>
        </is>
      </c>
      <c r="C2130" t="inlineStr">
        <is>
          <t>0                      BX 4700000M  2                  B  3           1900</t>
        </is>
      </c>
      <c r="D2130" t="inlineStr">
        <is>
          <t>Histoire du la vénérable mère Madeleine-Sophie Barat, fondatrice de la Société du Sacré Coeur de Jésus.</t>
        </is>
      </c>
      <c r="E2130" t="inlineStr">
        <is>
          <t>V.1</t>
        </is>
      </c>
      <c r="F2130" t="inlineStr">
        <is>
          <t>Yes</t>
        </is>
      </c>
      <c r="G2130" t="inlineStr">
        <is>
          <t>1</t>
        </is>
      </c>
      <c r="H2130" t="inlineStr">
        <is>
          <t>No</t>
        </is>
      </c>
      <c r="I2130" t="inlineStr">
        <is>
          <t>No</t>
        </is>
      </c>
      <c r="J2130" t="inlineStr">
        <is>
          <t>0</t>
        </is>
      </c>
      <c r="K2130" t="inlineStr">
        <is>
          <t>Baunard, Mgr., 1826-1919.</t>
        </is>
      </c>
      <c r="L2130" t="inlineStr">
        <is>
          <t>Paris : Libraire Ch. Poussielgue, 1900.</t>
        </is>
      </c>
      <c r="M2130" t="inlineStr">
        <is>
          <t>1900</t>
        </is>
      </c>
      <c r="N2130" t="inlineStr">
        <is>
          <t>Souvenir centenaire.</t>
        </is>
      </c>
      <c r="O2130" t="inlineStr">
        <is>
          <t>fre</t>
        </is>
      </c>
      <c r="P2130" t="inlineStr">
        <is>
          <t xml:space="preserve">xx </t>
        </is>
      </c>
      <c r="R2130" t="inlineStr">
        <is>
          <t xml:space="preserve">BX </t>
        </is>
      </c>
      <c r="S2130" t="n">
        <v>1</v>
      </c>
      <c r="T2130" t="n">
        <v>2</v>
      </c>
      <c r="U2130" t="inlineStr">
        <is>
          <t>2008-04-24</t>
        </is>
      </c>
      <c r="V2130" t="inlineStr">
        <is>
          <t>2008-04-24</t>
        </is>
      </c>
      <c r="W2130" t="inlineStr">
        <is>
          <t>1991-12-03</t>
        </is>
      </c>
      <c r="X2130" t="inlineStr">
        <is>
          <t>1991-12-03</t>
        </is>
      </c>
      <c r="Y2130" t="n">
        <v>22</v>
      </c>
      <c r="Z2130" t="n">
        <v>20</v>
      </c>
      <c r="AA2130" t="n">
        <v>52</v>
      </c>
      <c r="AB2130" t="n">
        <v>1</v>
      </c>
      <c r="AC2130" t="n">
        <v>2</v>
      </c>
      <c r="AD2130" t="n">
        <v>5</v>
      </c>
      <c r="AE2130" t="n">
        <v>11</v>
      </c>
      <c r="AF2130" t="n">
        <v>0</v>
      </c>
      <c r="AG2130" t="n">
        <v>2</v>
      </c>
      <c r="AH2130" t="n">
        <v>0</v>
      </c>
      <c r="AI2130" t="n">
        <v>3</v>
      </c>
      <c r="AJ2130" t="n">
        <v>5</v>
      </c>
      <c r="AK2130" t="n">
        <v>8</v>
      </c>
      <c r="AL2130" t="n">
        <v>0</v>
      </c>
      <c r="AM2130" t="n">
        <v>1</v>
      </c>
      <c r="AN2130" t="n">
        <v>0</v>
      </c>
      <c r="AO2130" t="n">
        <v>0</v>
      </c>
      <c r="AP2130" t="inlineStr">
        <is>
          <t>No</t>
        </is>
      </c>
      <c r="AQ2130" t="inlineStr">
        <is>
          <t>No</t>
        </is>
      </c>
      <c r="AS2130">
        <f>HYPERLINK("https://creighton-primo.hosted.exlibrisgroup.com/primo-explore/search?tab=default_tab&amp;search_scope=EVERYTHING&amp;vid=01CRU&amp;lang=en_US&amp;offset=0&amp;query=any,contains,991003218389702656","Catalog Record")</f>
        <v/>
      </c>
      <c r="AT2130">
        <f>HYPERLINK("http://www.worldcat.org/oclc/744504","WorldCat Record")</f>
        <v/>
      </c>
      <c r="AU2130" t="inlineStr">
        <is>
          <t>3769685210:fre</t>
        </is>
      </c>
      <c r="AV2130" t="inlineStr">
        <is>
          <t>744504</t>
        </is>
      </c>
      <c r="AW2130" t="inlineStr">
        <is>
          <t>991003218389702656</t>
        </is>
      </c>
      <c r="AX2130" t="inlineStr">
        <is>
          <t>991003218389702656</t>
        </is>
      </c>
      <c r="AY2130" t="inlineStr">
        <is>
          <t>2269399550002656</t>
        </is>
      </c>
      <c r="AZ2130" t="inlineStr">
        <is>
          <t>BOOK</t>
        </is>
      </c>
      <c r="BC2130" t="inlineStr">
        <is>
          <t>32285000870690</t>
        </is>
      </c>
      <c r="BD2130" t="inlineStr">
        <is>
          <t>893227809</t>
        </is>
      </c>
    </row>
    <row r="2131">
      <c r="A2131" t="inlineStr">
        <is>
          <t>No</t>
        </is>
      </c>
      <c r="B2131" t="inlineStr">
        <is>
          <t>BX4700.M2 B33 1891</t>
        </is>
      </c>
      <c r="C2131" t="inlineStr">
        <is>
          <t>0                      BX 4700000M  2                  B  33          1891</t>
        </is>
      </c>
      <c r="D2131" t="inlineStr">
        <is>
          <t>The life of the Venerable Madeleine Barat : foundress of the Society of the Sacred Heart of Jesus / [Louis Baunard] ; drawn and abridged from the French by Lady Georgiana Fullerton.</t>
        </is>
      </c>
      <c r="F2131" t="inlineStr">
        <is>
          <t>No</t>
        </is>
      </c>
      <c r="G2131" t="inlineStr">
        <is>
          <t>1</t>
        </is>
      </c>
      <c r="H2131" t="inlineStr">
        <is>
          <t>No</t>
        </is>
      </c>
      <c r="I2131" t="inlineStr">
        <is>
          <t>No</t>
        </is>
      </c>
      <c r="J2131" t="inlineStr">
        <is>
          <t>0</t>
        </is>
      </c>
      <c r="K2131" t="inlineStr">
        <is>
          <t>Baunard, Mgr., 1826-1919.</t>
        </is>
      </c>
      <c r="L2131" t="inlineStr">
        <is>
          <t>New York : O'Shea, 1891.</t>
        </is>
      </c>
      <c r="M2131" t="inlineStr">
        <is>
          <t>1891</t>
        </is>
      </c>
      <c r="O2131" t="inlineStr">
        <is>
          <t>eng</t>
        </is>
      </c>
      <c r="P2131" t="inlineStr">
        <is>
          <t xml:space="preserve">ny </t>
        </is>
      </c>
      <c r="R2131" t="inlineStr">
        <is>
          <t xml:space="preserve">BX </t>
        </is>
      </c>
      <c r="S2131" t="n">
        <v>4</v>
      </c>
      <c r="T2131" t="n">
        <v>4</v>
      </c>
      <c r="U2131" t="inlineStr">
        <is>
          <t>1999-02-08</t>
        </is>
      </c>
      <c r="V2131" t="inlineStr">
        <is>
          <t>1999-02-08</t>
        </is>
      </c>
      <c r="W2131" t="inlineStr">
        <is>
          <t>1991-12-03</t>
        </is>
      </c>
      <c r="X2131" t="inlineStr">
        <is>
          <t>1991-12-03</t>
        </is>
      </c>
      <c r="Y2131" t="n">
        <v>120</v>
      </c>
      <c r="Z2131" t="n">
        <v>99</v>
      </c>
      <c r="AA2131" t="n">
        <v>177</v>
      </c>
      <c r="AB2131" t="n">
        <v>3</v>
      </c>
      <c r="AC2131" t="n">
        <v>4</v>
      </c>
      <c r="AD2131" t="n">
        <v>11</v>
      </c>
      <c r="AE2131" t="n">
        <v>19</v>
      </c>
      <c r="AF2131" t="n">
        <v>3</v>
      </c>
      <c r="AG2131" t="n">
        <v>3</v>
      </c>
      <c r="AH2131" t="n">
        <v>1</v>
      </c>
      <c r="AI2131" t="n">
        <v>5</v>
      </c>
      <c r="AJ2131" t="n">
        <v>7</v>
      </c>
      <c r="AK2131" t="n">
        <v>12</v>
      </c>
      <c r="AL2131" t="n">
        <v>2</v>
      </c>
      <c r="AM2131" t="n">
        <v>2</v>
      </c>
      <c r="AN2131" t="n">
        <v>1</v>
      </c>
      <c r="AO2131" t="n">
        <v>1</v>
      </c>
      <c r="AP2131" t="inlineStr">
        <is>
          <t>No</t>
        </is>
      </c>
      <c r="AQ2131" t="inlineStr">
        <is>
          <t>No</t>
        </is>
      </c>
      <c r="AS2131">
        <f>HYPERLINK("https://creighton-primo.hosted.exlibrisgroup.com/primo-explore/search?tab=default_tab&amp;search_scope=EVERYTHING&amp;vid=01CRU&amp;lang=en_US&amp;offset=0&amp;query=any,contains,991004133509702656","Catalog Record")</f>
        <v/>
      </c>
      <c r="AT2131">
        <f>HYPERLINK("http://www.worldcat.org/oclc/2479195","WorldCat Record")</f>
        <v/>
      </c>
      <c r="AU2131" t="inlineStr">
        <is>
          <t>1680923:eng</t>
        </is>
      </c>
      <c r="AV2131" t="inlineStr">
        <is>
          <t>2479195</t>
        </is>
      </c>
      <c r="AW2131" t="inlineStr">
        <is>
          <t>991004133509702656</t>
        </is>
      </c>
      <c r="AX2131" t="inlineStr">
        <is>
          <t>991004133509702656</t>
        </is>
      </c>
      <c r="AY2131" t="inlineStr">
        <is>
          <t>2267030460002656</t>
        </is>
      </c>
      <c r="AZ2131" t="inlineStr">
        <is>
          <t>BOOK</t>
        </is>
      </c>
      <c r="BC2131" t="inlineStr">
        <is>
          <t>32285000870716</t>
        </is>
      </c>
      <c r="BD2131" t="inlineStr">
        <is>
          <t>893781888</t>
        </is>
      </c>
    </row>
    <row r="2132">
      <c r="A2132" t="inlineStr">
        <is>
          <t>No</t>
        </is>
      </c>
      <c r="B2132" t="inlineStr">
        <is>
          <t>BX4700.M2 M6 1925</t>
        </is>
      </c>
      <c r="C2132" t="inlineStr">
        <is>
          <t>0                      BX 4700000M  2                  M  6           1925</t>
        </is>
      </c>
      <c r="D2132" t="inlineStr">
        <is>
          <t>Saint Madeleine Sophie : foundress of the Society of the sacred heart, 1779 to 1865 / by Maud Monahan ; with a preface by His Eminence Cardinal Bourne.</t>
        </is>
      </c>
      <c r="F2132" t="inlineStr">
        <is>
          <t>No</t>
        </is>
      </c>
      <c r="G2132" t="inlineStr">
        <is>
          <t>1</t>
        </is>
      </c>
      <c r="H2132" t="inlineStr">
        <is>
          <t>No</t>
        </is>
      </c>
      <c r="I2132" t="inlineStr">
        <is>
          <t>No</t>
        </is>
      </c>
      <c r="J2132" t="inlineStr">
        <is>
          <t>0</t>
        </is>
      </c>
      <c r="K2132" t="inlineStr">
        <is>
          <t>Monahan, Maud.</t>
        </is>
      </c>
      <c r="L2132" t="inlineStr">
        <is>
          <t>London ; New York [etc.] : Longmans, Green and co., 1925.</t>
        </is>
      </c>
      <c r="M2132" t="inlineStr">
        <is>
          <t>1925</t>
        </is>
      </c>
      <c r="O2132" t="inlineStr">
        <is>
          <t>eng</t>
        </is>
      </c>
      <c r="P2132" t="inlineStr">
        <is>
          <t xml:space="preserve">xx </t>
        </is>
      </c>
      <c r="R2132" t="inlineStr">
        <is>
          <t xml:space="preserve">BX </t>
        </is>
      </c>
      <c r="S2132" t="n">
        <v>5</v>
      </c>
      <c r="T2132" t="n">
        <v>5</v>
      </c>
      <c r="U2132" t="inlineStr">
        <is>
          <t>2002-02-20</t>
        </is>
      </c>
      <c r="V2132" t="inlineStr">
        <is>
          <t>2002-02-20</t>
        </is>
      </c>
      <c r="W2132" t="inlineStr">
        <is>
          <t>1991-12-03</t>
        </is>
      </c>
      <c r="X2132" t="inlineStr">
        <is>
          <t>1991-12-03</t>
        </is>
      </c>
      <c r="Y2132" t="n">
        <v>143</v>
      </c>
      <c r="Z2132" t="n">
        <v>119</v>
      </c>
      <c r="AA2132" t="n">
        <v>120</v>
      </c>
      <c r="AB2132" t="n">
        <v>6</v>
      </c>
      <c r="AC2132" t="n">
        <v>6</v>
      </c>
      <c r="AD2132" t="n">
        <v>25</v>
      </c>
      <c r="AE2132" t="n">
        <v>25</v>
      </c>
      <c r="AF2132" t="n">
        <v>5</v>
      </c>
      <c r="AG2132" t="n">
        <v>5</v>
      </c>
      <c r="AH2132" t="n">
        <v>7</v>
      </c>
      <c r="AI2132" t="n">
        <v>7</v>
      </c>
      <c r="AJ2132" t="n">
        <v>19</v>
      </c>
      <c r="AK2132" t="n">
        <v>19</v>
      </c>
      <c r="AL2132" t="n">
        <v>2</v>
      </c>
      <c r="AM2132" t="n">
        <v>2</v>
      </c>
      <c r="AN2132" t="n">
        <v>0</v>
      </c>
      <c r="AO2132" t="n">
        <v>0</v>
      </c>
      <c r="AP2132" t="inlineStr">
        <is>
          <t>No</t>
        </is>
      </c>
      <c r="AQ2132" t="inlineStr">
        <is>
          <t>No</t>
        </is>
      </c>
      <c r="AR2132">
        <f>HYPERLINK("http://catalog.hathitrust.org/Record/005789833","HathiTrust Record")</f>
        <v/>
      </c>
      <c r="AS2132">
        <f>HYPERLINK("https://creighton-primo.hosted.exlibrisgroup.com/primo-explore/search?tab=default_tab&amp;search_scope=EVERYTHING&amp;vid=01CRU&amp;lang=en_US&amp;offset=0&amp;query=any,contains,991002844819702656","Catalog Record")</f>
        <v/>
      </c>
      <c r="AT2132">
        <f>HYPERLINK("http://www.worldcat.org/oclc/484204","WorldCat Record")</f>
        <v/>
      </c>
      <c r="AU2132" t="inlineStr">
        <is>
          <t>1567009:eng</t>
        </is>
      </c>
      <c r="AV2132" t="inlineStr">
        <is>
          <t>484204</t>
        </is>
      </c>
      <c r="AW2132" t="inlineStr">
        <is>
          <t>991002844819702656</t>
        </is>
      </c>
      <c r="AX2132" t="inlineStr">
        <is>
          <t>991002844819702656</t>
        </is>
      </c>
      <c r="AY2132" t="inlineStr">
        <is>
          <t>2258174620002656</t>
        </is>
      </c>
      <c r="AZ2132" t="inlineStr">
        <is>
          <t>BOOK</t>
        </is>
      </c>
      <c r="BC2132" t="inlineStr">
        <is>
          <t>32285000870724</t>
        </is>
      </c>
      <c r="BD2132" t="inlineStr">
        <is>
          <t>893622814</t>
        </is>
      </c>
    </row>
    <row r="2133">
      <c r="A2133" t="inlineStr">
        <is>
          <t>No</t>
        </is>
      </c>
      <c r="B2133" t="inlineStr">
        <is>
          <t>BX4700.M23 B4613 1978</t>
        </is>
      </c>
      <c r="C2133" t="inlineStr">
        <is>
          <t>0                      BX 4700000M  23                 B  4613        1978</t>
        </is>
      </c>
      <c r="D2133" t="inlineStr">
        <is>
          <t>The life and death of Saint Malachy, the Irishman / Bernard of Clairvaux ; translated and annotated by Robert T. Meyer.</t>
        </is>
      </c>
      <c r="F2133" t="inlineStr">
        <is>
          <t>No</t>
        </is>
      </c>
      <c r="G2133" t="inlineStr">
        <is>
          <t>1</t>
        </is>
      </c>
      <c r="H2133" t="inlineStr">
        <is>
          <t>No</t>
        </is>
      </c>
      <c r="I2133" t="inlineStr">
        <is>
          <t>No</t>
        </is>
      </c>
      <c r="J2133" t="inlineStr">
        <is>
          <t>0</t>
        </is>
      </c>
      <c r="K2133" t="inlineStr">
        <is>
          <t>Bernard, of Clairvaux, Saint, 1090 or 1091-1153.</t>
        </is>
      </c>
      <c r="L2133" t="inlineStr">
        <is>
          <t>Kalamazoo, Mich. : Cistercian Publications, 1978.</t>
        </is>
      </c>
      <c r="M2133" t="inlineStr">
        <is>
          <t>1978</t>
        </is>
      </c>
      <c r="O2133" t="inlineStr">
        <is>
          <t>eng</t>
        </is>
      </c>
      <c r="P2133" t="inlineStr">
        <is>
          <t>miu</t>
        </is>
      </c>
      <c r="Q2133" t="inlineStr">
        <is>
          <t>Cistercian Fathers series ; no. 10</t>
        </is>
      </c>
      <c r="R2133" t="inlineStr">
        <is>
          <t xml:space="preserve">BX </t>
        </is>
      </c>
      <c r="S2133" t="n">
        <v>5</v>
      </c>
      <c r="T2133" t="n">
        <v>5</v>
      </c>
      <c r="U2133" t="inlineStr">
        <is>
          <t>2001-05-11</t>
        </is>
      </c>
      <c r="V2133" t="inlineStr">
        <is>
          <t>2001-05-11</t>
        </is>
      </c>
      <c r="W2133" t="inlineStr">
        <is>
          <t>1991-12-03</t>
        </is>
      </c>
      <c r="X2133" t="inlineStr">
        <is>
          <t>1991-12-03</t>
        </is>
      </c>
      <c r="Y2133" t="n">
        <v>353</v>
      </c>
      <c r="Z2133" t="n">
        <v>289</v>
      </c>
      <c r="AA2133" t="n">
        <v>298</v>
      </c>
      <c r="AB2133" t="n">
        <v>2</v>
      </c>
      <c r="AC2133" t="n">
        <v>2</v>
      </c>
      <c r="AD2133" t="n">
        <v>20</v>
      </c>
      <c r="AE2133" t="n">
        <v>20</v>
      </c>
      <c r="AF2133" t="n">
        <v>6</v>
      </c>
      <c r="AG2133" t="n">
        <v>6</v>
      </c>
      <c r="AH2133" t="n">
        <v>6</v>
      </c>
      <c r="AI2133" t="n">
        <v>6</v>
      </c>
      <c r="AJ2133" t="n">
        <v>15</v>
      </c>
      <c r="AK2133" t="n">
        <v>15</v>
      </c>
      <c r="AL2133" t="n">
        <v>0</v>
      </c>
      <c r="AM2133" t="n">
        <v>0</v>
      </c>
      <c r="AN2133" t="n">
        <v>0</v>
      </c>
      <c r="AO2133" t="n">
        <v>0</v>
      </c>
      <c r="AP2133" t="inlineStr">
        <is>
          <t>No</t>
        </is>
      </c>
      <c r="AQ2133" t="inlineStr">
        <is>
          <t>Yes</t>
        </is>
      </c>
      <c r="AR2133">
        <f>HYPERLINK("http://catalog.hathitrust.org/Record/002709569","HathiTrust Record")</f>
        <v/>
      </c>
      <c r="AS2133">
        <f>HYPERLINK("https://creighton-primo.hosted.exlibrisgroup.com/primo-explore/search?tab=default_tab&amp;search_scope=EVERYTHING&amp;vid=01CRU&amp;lang=en_US&amp;offset=0&amp;query=any,contains,991004481129702656","Catalog Record")</f>
        <v/>
      </c>
      <c r="AT2133">
        <f>HYPERLINK("http://www.worldcat.org/oclc/3627530","WorldCat Record")</f>
        <v/>
      </c>
      <c r="AU2133" t="inlineStr">
        <is>
          <t>2908848333:eng</t>
        </is>
      </c>
      <c r="AV2133" t="inlineStr">
        <is>
          <t>3627530</t>
        </is>
      </c>
      <c r="AW2133" t="inlineStr">
        <is>
          <t>991004481129702656</t>
        </is>
      </c>
      <c r="AX2133" t="inlineStr">
        <is>
          <t>991004481129702656</t>
        </is>
      </c>
      <c r="AY2133" t="inlineStr">
        <is>
          <t>2269304890002656</t>
        </is>
      </c>
      <c r="AZ2133" t="inlineStr">
        <is>
          <t>BOOK</t>
        </is>
      </c>
      <c r="BB2133" t="inlineStr">
        <is>
          <t>9780879071103</t>
        </is>
      </c>
      <c r="BC2133" t="inlineStr">
        <is>
          <t>32285000870740</t>
        </is>
      </c>
      <c r="BD2133" t="inlineStr">
        <is>
          <t>893628184</t>
        </is>
      </c>
    </row>
    <row r="2134">
      <c r="A2134" t="inlineStr">
        <is>
          <t>No</t>
        </is>
      </c>
      <c r="B2134" t="inlineStr">
        <is>
          <t>BX4700.M36 G5</t>
        </is>
      </c>
      <c r="C2134" t="inlineStr">
        <is>
          <t>0                      BX 4700000M  36                 G  5</t>
        </is>
      </c>
      <c r="D2134" t="inlineStr">
        <is>
          <t>The life of Saint Margaret of Cortona / by Anthony Francis Giovagnoli ; with the approbation of John N. Neumann.</t>
        </is>
      </c>
      <c r="F2134" t="inlineStr">
        <is>
          <t>No</t>
        </is>
      </c>
      <c r="G2134" t="inlineStr">
        <is>
          <t>1</t>
        </is>
      </c>
      <c r="H2134" t="inlineStr">
        <is>
          <t>No</t>
        </is>
      </c>
      <c r="I2134" t="inlineStr">
        <is>
          <t>No</t>
        </is>
      </c>
      <c r="J2134" t="inlineStr">
        <is>
          <t>0</t>
        </is>
      </c>
      <c r="K2134" t="inlineStr">
        <is>
          <t>Giovagnoli, Antonio Francesco.</t>
        </is>
      </c>
      <c r="L2134" t="inlineStr">
        <is>
          <t>New York : P. F. Kenedy, [18--]</t>
        </is>
      </c>
      <c r="M2134" t="inlineStr">
        <is>
          <t>1800</t>
        </is>
      </c>
      <c r="O2134" t="inlineStr">
        <is>
          <t>eng</t>
        </is>
      </c>
      <c r="P2134" t="inlineStr">
        <is>
          <t>nyu</t>
        </is>
      </c>
      <c r="R2134" t="inlineStr">
        <is>
          <t xml:space="preserve">BX </t>
        </is>
      </c>
      <c r="S2134" t="n">
        <v>5</v>
      </c>
      <c r="T2134" t="n">
        <v>5</v>
      </c>
      <c r="U2134" t="inlineStr">
        <is>
          <t>1996-02-27</t>
        </is>
      </c>
      <c r="V2134" t="inlineStr">
        <is>
          <t>1996-02-27</t>
        </is>
      </c>
      <c r="W2134" t="inlineStr">
        <is>
          <t>1991-12-03</t>
        </is>
      </c>
      <c r="X2134" t="inlineStr">
        <is>
          <t>1991-12-03</t>
        </is>
      </c>
      <c r="Y2134" t="n">
        <v>14</v>
      </c>
      <c r="Z2134" t="n">
        <v>12</v>
      </c>
      <c r="AA2134" t="n">
        <v>100</v>
      </c>
      <c r="AB2134" t="n">
        <v>1</v>
      </c>
      <c r="AC2134" t="n">
        <v>2</v>
      </c>
      <c r="AD2134" t="n">
        <v>1</v>
      </c>
      <c r="AE2134" t="n">
        <v>9</v>
      </c>
      <c r="AF2134" t="n">
        <v>0</v>
      </c>
      <c r="AG2134" t="n">
        <v>2</v>
      </c>
      <c r="AH2134" t="n">
        <v>0</v>
      </c>
      <c r="AI2134" t="n">
        <v>2</v>
      </c>
      <c r="AJ2134" t="n">
        <v>1</v>
      </c>
      <c r="AK2134" t="n">
        <v>5</v>
      </c>
      <c r="AL2134" t="n">
        <v>0</v>
      </c>
      <c r="AM2134" t="n">
        <v>1</v>
      </c>
      <c r="AN2134" t="n">
        <v>0</v>
      </c>
      <c r="AO2134" t="n">
        <v>0</v>
      </c>
      <c r="AP2134" t="inlineStr">
        <is>
          <t>No</t>
        </is>
      </c>
      <c r="AQ2134" t="inlineStr">
        <is>
          <t>No</t>
        </is>
      </c>
      <c r="AS2134">
        <f>HYPERLINK("https://creighton-primo.hosted.exlibrisgroup.com/primo-explore/search?tab=default_tab&amp;search_scope=EVERYTHING&amp;vid=01CRU&amp;lang=en_US&amp;offset=0&amp;query=any,contains,991005222919702656","Catalog Record")</f>
        <v/>
      </c>
      <c r="AT2134">
        <f>HYPERLINK("http://www.worldcat.org/oclc/8245359","WorldCat Record")</f>
        <v/>
      </c>
      <c r="AU2134" t="inlineStr">
        <is>
          <t>4974434:eng</t>
        </is>
      </c>
      <c r="AV2134" t="inlineStr">
        <is>
          <t>8245359</t>
        </is>
      </c>
      <c r="AW2134" t="inlineStr">
        <is>
          <t>991005222919702656</t>
        </is>
      </c>
      <c r="AX2134" t="inlineStr">
        <is>
          <t>991005222919702656</t>
        </is>
      </c>
      <c r="AY2134" t="inlineStr">
        <is>
          <t>2263573040002656</t>
        </is>
      </c>
      <c r="AZ2134" t="inlineStr">
        <is>
          <t>BOOK</t>
        </is>
      </c>
      <c r="BC2134" t="inlineStr">
        <is>
          <t>32285000870757</t>
        </is>
      </c>
      <c r="BD2134" t="inlineStr">
        <is>
          <t>893338751</t>
        </is>
      </c>
    </row>
    <row r="2135">
      <c r="A2135" t="inlineStr">
        <is>
          <t>No</t>
        </is>
      </c>
      <c r="B2135" t="inlineStr">
        <is>
          <t>BX4700.M368 B8 1950</t>
        </is>
      </c>
      <c r="C2135" t="inlineStr">
        <is>
          <t>0                      BX 4700000M  368                B  8           1950</t>
        </is>
      </c>
      <c r="D2135" t="inlineStr">
        <is>
          <t>Saint Maria Goretti / by Marie Cecilia Buehrle.</t>
        </is>
      </c>
      <c r="F2135" t="inlineStr">
        <is>
          <t>No</t>
        </is>
      </c>
      <c r="G2135" t="inlineStr">
        <is>
          <t>1</t>
        </is>
      </c>
      <c r="H2135" t="inlineStr">
        <is>
          <t>No</t>
        </is>
      </c>
      <c r="I2135" t="inlineStr">
        <is>
          <t>No</t>
        </is>
      </c>
      <c r="J2135" t="inlineStr">
        <is>
          <t>0</t>
        </is>
      </c>
      <c r="K2135" t="inlineStr">
        <is>
          <t>Buehrle, Marie Cecilia, 1887-</t>
        </is>
      </c>
      <c r="L2135" t="inlineStr">
        <is>
          <t>Milwaukee : Bruce Pub. Co., [1950]</t>
        </is>
      </c>
      <c r="M2135" t="inlineStr">
        <is>
          <t>1950</t>
        </is>
      </c>
      <c r="O2135" t="inlineStr">
        <is>
          <t>eng</t>
        </is>
      </c>
      <c r="P2135" t="inlineStr">
        <is>
          <t>wiu</t>
        </is>
      </c>
      <c r="R2135" t="inlineStr">
        <is>
          <t xml:space="preserve">BX </t>
        </is>
      </c>
      <c r="S2135" t="n">
        <v>2</v>
      </c>
      <c r="T2135" t="n">
        <v>2</v>
      </c>
      <c r="U2135" t="inlineStr">
        <is>
          <t>2008-10-30</t>
        </is>
      </c>
      <c r="V2135" t="inlineStr">
        <is>
          <t>2008-10-30</t>
        </is>
      </c>
      <c r="W2135" t="inlineStr">
        <is>
          <t>1991-12-04</t>
        </is>
      </c>
      <c r="X2135" t="inlineStr">
        <is>
          <t>1991-12-04</t>
        </is>
      </c>
      <c r="Y2135" t="n">
        <v>191</v>
      </c>
      <c r="Z2135" t="n">
        <v>181</v>
      </c>
      <c r="AA2135" t="n">
        <v>206</v>
      </c>
      <c r="AB2135" t="n">
        <v>4</v>
      </c>
      <c r="AC2135" t="n">
        <v>5</v>
      </c>
      <c r="AD2135" t="n">
        <v>25</v>
      </c>
      <c r="AE2135" t="n">
        <v>27</v>
      </c>
      <c r="AF2135" t="n">
        <v>5</v>
      </c>
      <c r="AG2135" t="n">
        <v>6</v>
      </c>
      <c r="AH2135" t="n">
        <v>7</v>
      </c>
      <c r="AI2135" t="n">
        <v>8</v>
      </c>
      <c r="AJ2135" t="n">
        <v>20</v>
      </c>
      <c r="AK2135" t="n">
        <v>20</v>
      </c>
      <c r="AL2135" t="n">
        <v>1</v>
      </c>
      <c r="AM2135" t="n">
        <v>2</v>
      </c>
      <c r="AN2135" t="n">
        <v>0</v>
      </c>
      <c r="AO2135" t="n">
        <v>0</v>
      </c>
      <c r="AP2135" t="inlineStr">
        <is>
          <t>Yes</t>
        </is>
      </c>
      <c r="AQ2135" t="inlineStr">
        <is>
          <t>No</t>
        </is>
      </c>
      <c r="AR2135">
        <f>HYPERLINK("http://catalog.hathitrust.org/Record/005797635","HathiTrust Record")</f>
        <v/>
      </c>
      <c r="AS2135">
        <f>HYPERLINK("https://creighton-primo.hosted.exlibrisgroup.com/primo-explore/search?tab=default_tab&amp;search_scope=EVERYTHING&amp;vid=01CRU&amp;lang=en_US&amp;offset=0&amp;query=any,contains,991003725009702656","Catalog Record")</f>
        <v/>
      </c>
      <c r="AT2135">
        <f>HYPERLINK("http://www.worldcat.org/oclc/1371333","WorldCat Record")</f>
        <v/>
      </c>
      <c r="AU2135" t="inlineStr">
        <is>
          <t>2283793:eng</t>
        </is>
      </c>
      <c r="AV2135" t="inlineStr">
        <is>
          <t>1371333</t>
        </is>
      </c>
      <c r="AW2135" t="inlineStr">
        <is>
          <t>991003725009702656</t>
        </is>
      </c>
      <c r="AX2135" t="inlineStr">
        <is>
          <t>991003725009702656</t>
        </is>
      </c>
      <c r="AY2135" t="inlineStr">
        <is>
          <t>2260186100002656</t>
        </is>
      </c>
      <c r="AZ2135" t="inlineStr">
        <is>
          <t>BOOK</t>
        </is>
      </c>
      <c r="BC2135" t="inlineStr">
        <is>
          <t>32285000870773</t>
        </is>
      </c>
      <c r="BD2135" t="inlineStr">
        <is>
          <t>893718007</t>
        </is>
      </c>
    </row>
    <row r="2136">
      <c r="A2136" t="inlineStr">
        <is>
          <t>No</t>
        </is>
      </c>
      <c r="B2136" t="inlineStr">
        <is>
          <t>BX4700.M368 D5 1962</t>
        </is>
      </c>
      <c r="C2136" t="inlineStr">
        <is>
          <t>0                      BX 4700000M  368                D  5           1962</t>
        </is>
      </c>
      <c r="D2136" t="inlineStr">
        <is>
          <t>The penitent / by Pietro Di Donato.</t>
        </is>
      </c>
      <c r="F2136" t="inlineStr">
        <is>
          <t>No</t>
        </is>
      </c>
      <c r="G2136" t="inlineStr">
        <is>
          <t>1</t>
        </is>
      </c>
      <c r="H2136" t="inlineStr">
        <is>
          <t>No</t>
        </is>
      </c>
      <c r="I2136" t="inlineStr">
        <is>
          <t>No</t>
        </is>
      </c>
      <c r="J2136" t="inlineStr">
        <is>
          <t>0</t>
        </is>
      </c>
      <c r="K2136" t="inlineStr">
        <is>
          <t>Di Donato, Pietro, 1911-1992.</t>
        </is>
      </c>
      <c r="L2136" t="inlineStr">
        <is>
          <t>New York : Hawthorn Books [1962]</t>
        </is>
      </c>
      <c r="M2136" t="inlineStr">
        <is>
          <t>1962</t>
        </is>
      </c>
      <c r="N2136" t="inlineStr">
        <is>
          <t>[1st ed.]</t>
        </is>
      </c>
      <c r="O2136" t="inlineStr">
        <is>
          <t>eng</t>
        </is>
      </c>
      <c r="P2136" t="inlineStr">
        <is>
          <t>nyu</t>
        </is>
      </c>
      <c r="R2136" t="inlineStr">
        <is>
          <t xml:space="preserve">BX </t>
        </is>
      </c>
      <c r="S2136" t="n">
        <v>2</v>
      </c>
      <c r="T2136" t="n">
        <v>2</v>
      </c>
      <c r="U2136" t="inlineStr">
        <is>
          <t>2008-10-30</t>
        </is>
      </c>
      <c r="V2136" t="inlineStr">
        <is>
          <t>2008-10-30</t>
        </is>
      </c>
      <c r="W2136" t="inlineStr">
        <is>
          <t>1991-12-04</t>
        </is>
      </c>
      <c r="X2136" t="inlineStr">
        <is>
          <t>1991-12-04</t>
        </is>
      </c>
      <c r="Y2136" t="n">
        <v>182</v>
      </c>
      <c r="Z2136" t="n">
        <v>171</v>
      </c>
      <c r="AA2136" t="n">
        <v>173</v>
      </c>
      <c r="AB2136" t="n">
        <v>3</v>
      </c>
      <c r="AC2136" t="n">
        <v>3</v>
      </c>
      <c r="AD2136" t="n">
        <v>13</v>
      </c>
      <c r="AE2136" t="n">
        <v>13</v>
      </c>
      <c r="AF2136" t="n">
        <v>3</v>
      </c>
      <c r="AG2136" t="n">
        <v>3</v>
      </c>
      <c r="AH2136" t="n">
        <v>1</v>
      </c>
      <c r="AI2136" t="n">
        <v>1</v>
      </c>
      <c r="AJ2136" t="n">
        <v>10</v>
      </c>
      <c r="AK2136" t="n">
        <v>10</v>
      </c>
      <c r="AL2136" t="n">
        <v>2</v>
      </c>
      <c r="AM2136" t="n">
        <v>2</v>
      </c>
      <c r="AN2136" t="n">
        <v>0</v>
      </c>
      <c r="AO2136" t="n">
        <v>0</v>
      </c>
      <c r="AP2136" t="inlineStr">
        <is>
          <t>No</t>
        </is>
      </c>
      <c r="AQ2136" t="inlineStr">
        <is>
          <t>Yes</t>
        </is>
      </c>
      <c r="AR2136">
        <f>HYPERLINK("http://catalog.hathitrust.org/Record/101873693","HathiTrust Record")</f>
        <v/>
      </c>
      <c r="AS2136">
        <f>HYPERLINK("https://creighton-primo.hosted.exlibrisgroup.com/primo-explore/search?tab=default_tab&amp;search_scope=EVERYTHING&amp;vid=01CRU&amp;lang=en_US&amp;offset=0&amp;query=any,contains,991003639699702656","Catalog Record")</f>
        <v/>
      </c>
      <c r="AT2136">
        <f>HYPERLINK("http://www.worldcat.org/oclc/1235748","WorldCat Record")</f>
        <v/>
      </c>
      <c r="AU2136" t="inlineStr">
        <is>
          <t>149568318:eng</t>
        </is>
      </c>
      <c r="AV2136" t="inlineStr">
        <is>
          <t>1235748</t>
        </is>
      </c>
      <c r="AW2136" t="inlineStr">
        <is>
          <t>991003639699702656</t>
        </is>
      </c>
      <c r="AX2136" t="inlineStr">
        <is>
          <t>991003639699702656</t>
        </is>
      </c>
      <c r="AY2136" t="inlineStr">
        <is>
          <t>2263414370002656</t>
        </is>
      </c>
      <c r="AZ2136" t="inlineStr">
        <is>
          <t>BOOK</t>
        </is>
      </c>
      <c r="BC2136" t="inlineStr">
        <is>
          <t>32285000870781</t>
        </is>
      </c>
      <c r="BD2136" t="inlineStr">
        <is>
          <t>893525042</t>
        </is>
      </c>
    </row>
    <row r="2137">
      <c r="A2137" t="inlineStr">
        <is>
          <t>No</t>
        </is>
      </c>
      <c r="B2137" t="inlineStr">
        <is>
          <t>BX4700.M368 M3 1950</t>
        </is>
      </c>
      <c r="C2137" t="inlineStr">
        <is>
          <t>0                      BX 4700000M  368                M  3           1950</t>
        </is>
      </c>
      <c r="D2137" t="inlineStr">
        <is>
          <t>Saint Maria Goretti, martyr of purity, 1890-1902 / by C.E. Maguire. Foreword by Isadore L. Smith.</t>
        </is>
      </c>
      <c r="F2137" t="inlineStr">
        <is>
          <t>No</t>
        </is>
      </c>
      <c r="G2137" t="inlineStr">
        <is>
          <t>1</t>
        </is>
      </c>
      <c r="H2137" t="inlineStr">
        <is>
          <t>No</t>
        </is>
      </c>
      <c r="I2137" t="inlineStr">
        <is>
          <t>No</t>
        </is>
      </c>
      <c r="J2137" t="inlineStr">
        <is>
          <t>0</t>
        </is>
      </c>
      <c r="K2137" t="inlineStr">
        <is>
          <t>Maguire, C. E.</t>
        </is>
      </c>
      <c r="L2137" t="inlineStr">
        <is>
          <t>New York : Catholic Book Pub.Co., [c1950]</t>
        </is>
      </c>
      <c r="M2137" t="inlineStr">
        <is>
          <t>1950</t>
        </is>
      </c>
      <c r="O2137" t="inlineStr">
        <is>
          <t>eng</t>
        </is>
      </c>
      <c r="P2137" t="inlineStr">
        <is>
          <t xml:space="preserve">xx </t>
        </is>
      </c>
      <c r="R2137" t="inlineStr">
        <is>
          <t xml:space="preserve">BX </t>
        </is>
      </c>
      <c r="S2137" t="n">
        <v>1</v>
      </c>
      <c r="T2137" t="n">
        <v>1</v>
      </c>
      <c r="U2137" t="inlineStr">
        <is>
          <t>2001-09-12</t>
        </is>
      </c>
      <c r="V2137" t="inlineStr">
        <is>
          <t>2001-09-12</t>
        </is>
      </c>
      <c r="W2137" t="inlineStr">
        <is>
          <t>1991-12-04</t>
        </is>
      </c>
      <c r="X2137" t="inlineStr">
        <is>
          <t>1991-12-04</t>
        </is>
      </c>
      <c r="Y2137" t="n">
        <v>60</v>
      </c>
      <c r="Z2137" t="n">
        <v>56</v>
      </c>
      <c r="AA2137" t="n">
        <v>61</v>
      </c>
      <c r="AB2137" t="n">
        <v>2</v>
      </c>
      <c r="AC2137" t="n">
        <v>2</v>
      </c>
      <c r="AD2137" t="n">
        <v>12</v>
      </c>
      <c r="AE2137" t="n">
        <v>12</v>
      </c>
      <c r="AF2137" t="n">
        <v>3</v>
      </c>
      <c r="AG2137" t="n">
        <v>3</v>
      </c>
      <c r="AH2137" t="n">
        <v>4</v>
      </c>
      <c r="AI2137" t="n">
        <v>4</v>
      </c>
      <c r="AJ2137" t="n">
        <v>10</v>
      </c>
      <c r="AK2137" t="n">
        <v>10</v>
      </c>
      <c r="AL2137" t="n">
        <v>0</v>
      </c>
      <c r="AM2137" t="n">
        <v>0</v>
      </c>
      <c r="AN2137" t="n">
        <v>0</v>
      </c>
      <c r="AO2137" t="n">
        <v>0</v>
      </c>
      <c r="AP2137" t="inlineStr">
        <is>
          <t>No</t>
        </is>
      </c>
      <c r="AQ2137" t="inlineStr">
        <is>
          <t>No</t>
        </is>
      </c>
      <c r="AS2137">
        <f>HYPERLINK("https://creighton-primo.hosted.exlibrisgroup.com/primo-explore/search?tab=default_tab&amp;search_scope=EVERYTHING&amp;vid=01CRU&amp;lang=en_US&amp;offset=0&amp;query=any,contains,991003699079702656","Catalog Record")</f>
        <v/>
      </c>
      <c r="AT2137">
        <f>HYPERLINK("http://www.worldcat.org/oclc/1333843","WorldCat Record")</f>
        <v/>
      </c>
      <c r="AU2137" t="inlineStr">
        <is>
          <t>1807519318:eng</t>
        </is>
      </c>
      <c r="AV2137" t="inlineStr">
        <is>
          <t>1333843</t>
        </is>
      </c>
      <c r="AW2137" t="inlineStr">
        <is>
          <t>991003699079702656</t>
        </is>
      </c>
      <c r="AX2137" t="inlineStr">
        <is>
          <t>991003699079702656</t>
        </is>
      </c>
      <c r="AY2137" t="inlineStr">
        <is>
          <t>2260558260002656</t>
        </is>
      </c>
      <c r="AZ2137" t="inlineStr">
        <is>
          <t>BOOK</t>
        </is>
      </c>
      <c r="BC2137" t="inlineStr">
        <is>
          <t>32285000870799</t>
        </is>
      </c>
      <c r="BD2137" t="inlineStr">
        <is>
          <t>893318290</t>
        </is>
      </c>
    </row>
    <row r="2138">
      <c r="A2138" t="inlineStr">
        <is>
          <t>No</t>
        </is>
      </c>
      <c r="B2138" t="inlineStr">
        <is>
          <t>BX4700.M39 G472 1946</t>
        </is>
      </c>
      <c r="C2138" t="inlineStr">
        <is>
          <t>0                      BX 4700000M  39                 G  472         1946</t>
        </is>
      </c>
      <c r="D2138" t="inlineStr">
        <is>
          <t>St. Martin of Tours / by Henri Ghéon : translated by F.J. Sheed.</t>
        </is>
      </c>
      <c r="F2138" t="inlineStr">
        <is>
          <t>No</t>
        </is>
      </c>
      <c r="G2138" t="inlineStr">
        <is>
          <t>1</t>
        </is>
      </c>
      <c r="H2138" t="inlineStr">
        <is>
          <t>No</t>
        </is>
      </c>
      <c r="I2138" t="inlineStr">
        <is>
          <t>No</t>
        </is>
      </c>
      <c r="J2138" t="inlineStr">
        <is>
          <t>0</t>
        </is>
      </c>
      <c r="K2138" t="inlineStr">
        <is>
          <t>Ghéon, Henri, 1875-1944.</t>
        </is>
      </c>
      <c r="L2138" t="inlineStr">
        <is>
          <t>New York : Sheed and Ward, 1946.</t>
        </is>
      </c>
      <c r="M2138" t="inlineStr">
        <is>
          <t>1946</t>
        </is>
      </c>
      <c r="O2138" t="inlineStr">
        <is>
          <t>eng</t>
        </is>
      </c>
      <c r="P2138" t="inlineStr">
        <is>
          <t>nyu</t>
        </is>
      </c>
      <c r="R2138" t="inlineStr">
        <is>
          <t xml:space="preserve">BX </t>
        </is>
      </c>
      <c r="S2138" t="n">
        <v>1</v>
      </c>
      <c r="T2138" t="n">
        <v>1</v>
      </c>
      <c r="U2138" t="inlineStr">
        <is>
          <t>2005-06-10</t>
        </is>
      </c>
      <c r="V2138" t="inlineStr">
        <is>
          <t>2005-06-10</t>
        </is>
      </c>
      <c r="W2138" t="inlineStr">
        <is>
          <t>1991-12-04</t>
        </is>
      </c>
      <c r="X2138" t="inlineStr">
        <is>
          <t>1991-12-04</t>
        </is>
      </c>
      <c r="Y2138" t="n">
        <v>209</v>
      </c>
      <c r="Z2138" t="n">
        <v>203</v>
      </c>
      <c r="AA2138" t="n">
        <v>210</v>
      </c>
      <c r="AB2138" t="n">
        <v>3</v>
      </c>
      <c r="AC2138" t="n">
        <v>3</v>
      </c>
      <c r="AD2138" t="n">
        <v>30</v>
      </c>
      <c r="AE2138" t="n">
        <v>30</v>
      </c>
      <c r="AF2138" t="n">
        <v>9</v>
      </c>
      <c r="AG2138" t="n">
        <v>9</v>
      </c>
      <c r="AH2138" t="n">
        <v>9</v>
      </c>
      <c r="AI2138" t="n">
        <v>9</v>
      </c>
      <c r="AJ2138" t="n">
        <v>25</v>
      </c>
      <c r="AK2138" t="n">
        <v>25</v>
      </c>
      <c r="AL2138" t="n">
        <v>0</v>
      </c>
      <c r="AM2138" t="n">
        <v>0</v>
      </c>
      <c r="AN2138" t="n">
        <v>0</v>
      </c>
      <c r="AO2138" t="n">
        <v>0</v>
      </c>
      <c r="AP2138" t="inlineStr">
        <is>
          <t>No</t>
        </is>
      </c>
      <c r="AQ2138" t="inlineStr">
        <is>
          <t>Yes</t>
        </is>
      </c>
      <c r="AR2138">
        <f>HYPERLINK("http://catalog.hathitrust.org/Record/005797603","HathiTrust Record")</f>
        <v/>
      </c>
      <c r="AS2138">
        <f>HYPERLINK("https://creighton-primo.hosted.exlibrisgroup.com/primo-explore/search?tab=default_tab&amp;search_scope=EVERYTHING&amp;vid=01CRU&amp;lang=en_US&amp;offset=0&amp;query=any,contains,991004034609702656","Catalog Record")</f>
        <v/>
      </c>
      <c r="AT2138">
        <f>HYPERLINK("http://www.worldcat.org/oclc/2166526","WorldCat Record")</f>
        <v/>
      </c>
      <c r="AU2138" t="inlineStr">
        <is>
          <t>2908584573:eng</t>
        </is>
      </c>
      <c r="AV2138" t="inlineStr">
        <is>
          <t>2166526</t>
        </is>
      </c>
      <c r="AW2138" t="inlineStr">
        <is>
          <t>991004034609702656</t>
        </is>
      </c>
      <c r="AX2138" t="inlineStr">
        <is>
          <t>991004034609702656</t>
        </is>
      </c>
      <c r="AY2138" t="inlineStr">
        <is>
          <t>2268111310002656</t>
        </is>
      </c>
      <c r="AZ2138" t="inlineStr">
        <is>
          <t>BOOK</t>
        </is>
      </c>
      <c r="BC2138" t="inlineStr">
        <is>
          <t>32285000870807</t>
        </is>
      </c>
      <c r="BD2138" t="inlineStr">
        <is>
          <t>893611834</t>
        </is>
      </c>
    </row>
    <row r="2139">
      <c r="A2139" t="inlineStr">
        <is>
          <t>No</t>
        </is>
      </c>
      <c r="B2139" t="inlineStr">
        <is>
          <t>BX4700.M39 S444 1969</t>
        </is>
      </c>
      <c r="C2139" t="inlineStr">
        <is>
          <t>0                      BX 4700000M  39                 S  444         1969</t>
        </is>
      </c>
      <c r="D2139" t="inlineStr">
        <is>
          <t>Vie de Saint Martin / [par] Sulpice Sévère. Introduction, texte et traduction par Jacques Fontaine.</t>
        </is>
      </c>
      <c r="E2139" t="inlineStr">
        <is>
          <t>V.3</t>
        </is>
      </c>
      <c r="F2139" t="inlineStr">
        <is>
          <t>Yes</t>
        </is>
      </c>
      <c r="G2139" t="inlineStr">
        <is>
          <t>1</t>
        </is>
      </c>
      <c r="H2139" t="inlineStr">
        <is>
          <t>No</t>
        </is>
      </c>
      <c r="I2139" t="inlineStr">
        <is>
          <t>No</t>
        </is>
      </c>
      <c r="J2139" t="inlineStr">
        <is>
          <t>0</t>
        </is>
      </c>
      <c r="K2139" t="inlineStr">
        <is>
          <t>Severus, Sulpicius.</t>
        </is>
      </c>
      <c r="L2139" t="inlineStr">
        <is>
          <t>Paris : Éditions du Cerf, 1967-69.</t>
        </is>
      </c>
      <c r="M2139" t="inlineStr">
        <is>
          <t>1967</t>
        </is>
      </c>
      <c r="O2139" t="inlineStr">
        <is>
          <t>lat</t>
        </is>
      </c>
      <c r="P2139" t="inlineStr">
        <is>
          <t xml:space="preserve">fr </t>
        </is>
      </c>
      <c r="Q2139" t="inlineStr">
        <is>
          <t>Série des textes monastiques d'Occident ; 22-24</t>
        </is>
      </c>
      <c r="R2139" t="inlineStr">
        <is>
          <t xml:space="preserve">BX </t>
        </is>
      </c>
      <c r="S2139" t="n">
        <v>1</v>
      </c>
      <c r="T2139" t="n">
        <v>5</v>
      </c>
      <c r="V2139" t="inlineStr">
        <is>
          <t>2006-02-10</t>
        </is>
      </c>
      <c r="W2139" t="inlineStr">
        <is>
          <t>1991-12-04</t>
        </is>
      </c>
      <c r="X2139" t="inlineStr">
        <is>
          <t>1991-12-04</t>
        </is>
      </c>
      <c r="Y2139" t="n">
        <v>197</v>
      </c>
      <c r="Z2139" t="n">
        <v>133</v>
      </c>
      <c r="AA2139" t="n">
        <v>135</v>
      </c>
      <c r="AB2139" t="n">
        <v>2</v>
      </c>
      <c r="AC2139" t="n">
        <v>2</v>
      </c>
      <c r="AD2139" t="n">
        <v>16</v>
      </c>
      <c r="AE2139" t="n">
        <v>16</v>
      </c>
      <c r="AF2139" t="n">
        <v>4</v>
      </c>
      <c r="AG2139" t="n">
        <v>4</v>
      </c>
      <c r="AH2139" t="n">
        <v>4</v>
      </c>
      <c r="AI2139" t="n">
        <v>4</v>
      </c>
      <c r="AJ2139" t="n">
        <v>12</v>
      </c>
      <c r="AK2139" t="n">
        <v>12</v>
      </c>
      <c r="AL2139" t="n">
        <v>1</v>
      </c>
      <c r="AM2139" t="n">
        <v>1</v>
      </c>
      <c r="AN2139" t="n">
        <v>0</v>
      </c>
      <c r="AO2139" t="n">
        <v>0</v>
      </c>
      <c r="AP2139" t="inlineStr">
        <is>
          <t>No</t>
        </is>
      </c>
      <c r="AQ2139" t="inlineStr">
        <is>
          <t>Yes</t>
        </is>
      </c>
      <c r="AR2139">
        <f>HYPERLINK("http://catalog.hathitrust.org/Record/001591718","HathiTrust Record")</f>
        <v/>
      </c>
      <c r="AS2139">
        <f>HYPERLINK("https://creighton-primo.hosted.exlibrisgroup.com/primo-explore/search?tab=default_tab&amp;search_scope=EVERYTHING&amp;vid=01CRU&amp;lang=en_US&amp;offset=0&amp;query=any,contains,991005104129702656","Catalog Record")</f>
        <v/>
      </c>
      <c r="AT2139">
        <f>HYPERLINK("http://www.worldcat.org/oclc/7316199","WorldCat Record")</f>
        <v/>
      </c>
      <c r="AU2139" t="inlineStr">
        <is>
          <t>10177446318:lat</t>
        </is>
      </c>
      <c r="AV2139" t="inlineStr">
        <is>
          <t>7316199</t>
        </is>
      </c>
      <c r="AW2139" t="inlineStr">
        <is>
          <t>991005104129702656</t>
        </is>
      </c>
      <c r="AX2139" t="inlineStr">
        <is>
          <t>991005104129702656</t>
        </is>
      </c>
      <c r="AY2139" t="inlineStr">
        <is>
          <t>2270822960002656</t>
        </is>
      </c>
      <c r="AZ2139" t="inlineStr">
        <is>
          <t>BOOK</t>
        </is>
      </c>
      <c r="BC2139" t="inlineStr">
        <is>
          <t>32285000870831</t>
        </is>
      </c>
      <c r="BD2139" t="inlineStr">
        <is>
          <t>893533174</t>
        </is>
      </c>
    </row>
    <row r="2140">
      <c r="A2140" t="inlineStr">
        <is>
          <t>No</t>
        </is>
      </c>
      <c r="B2140" t="inlineStr">
        <is>
          <t>BX4700.M39 S444 1969</t>
        </is>
      </c>
      <c r="C2140" t="inlineStr">
        <is>
          <t>0                      BX 4700000M  39                 S  444         1969</t>
        </is>
      </c>
      <c r="D2140" t="inlineStr">
        <is>
          <t>Vie de Saint Martin / [par] Sulpice Sévère. Introduction, texte et traduction par Jacques Fontaine.</t>
        </is>
      </c>
      <c r="E2140" t="inlineStr">
        <is>
          <t>V.1</t>
        </is>
      </c>
      <c r="F2140" t="inlineStr">
        <is>
          <t>Yes</t>
        </is>
      </c>
      <c r="G2140" t="inlineStr">
        <is>
          <t>1</t>
        </is>
      </c>
      <c r="H2140" t="inlineStr">
        <is>
          <t>No</t>
        </is>
      </c>
      <c r="I2140" t="inlineStr">
        <is>
          <t>No</t>
        </is>
      </c>
      <c r="J2140" t="inlineStr">
        <is>
          <t>0</t>
        </is>
      </c>
      <c r="K2140" t="inlineStr">
        <is>
          <t>Severus, Sulpicius.</t>
        </is>
      </c>
      <c r="L2140" t="inlineStr">
        <is>
          <t>Paris : Éditions du Cerf, 1967-69.</t>
        </is>
      </c>
      <c r="M2140" t="inlineStr">
        <is>
          <t>1967</t>
        </is>
      </c>
      <c r="O2140" t="inlineStr">
        <is>
          <t>lat</t>
        </is>
      </c>
      <c r="P2140" t="inlineStr">
        <is>
          <t xml:space="preserve">fr </t>
        </is>
      </c>
      <c r="Q2140" t="inlineStr">
        <is>
          <t>Série des textes monastiques d'Occident ; 22-24</t>
        </is>
      </c>
      <c r="R2140" t="inlineStr">
        <is>
          <t xml:space="preserve">BX </t>
        </is>
      </c>
      <c r="S2140" t="n">
        <v>3</v>
      </c>
      <c r="T2140" t="n">
        <v>5</v>
      </c>
      <c r="U2140" t="inlineStr">
        <is>
          <t>2006-02-10</t>
        </is>
      </c>
      <c r="V2140" t="inlineStr">
        <is>
          <t>2006-02-10</t>
        </is>
      </c>
      <c r="W2140" t="inlineStr">
        <is>
          <t>1991-12-04</t>
        </is>
      </c>
      <c r="X2140" t="inlineStr">
        <is>
          <t>1991-12-04</t>
        </is>
      </c>
      <c r="Y2140" t="n">
        <v>197</v>
      </c>
      <c r="Z2140" t="n">
        <v>133</v>
      </c>
      <c r="AA2140" t="n">
        <v>135</v>
      </c>
      <c r="AB2140" t="n">
        <v>2</v>
      </c>
      <c r="AC2140" t="n">
        <v>2</v>
      </c>
      <c r="AD2140" t="n">
        <v>16</v>
      </c>
      <c r="AE2140" t="n">
        <v>16</v>
      </c>
      <c r="AF2140" t="n">
        <v>4</v>
      </c>
      <c r="AG2140" t="n">
        <v>4</v>
      </c>
      <c r="AH2140" t="n">
        <v>4</v>
      </c>
      <c r="AI2140" t="n">
        <v>4</v>
      </c>
      <c r="AJ2140" t="n">
        <v>12</v>
      </c>
      <c r="AK2140" t="n">
        <v>12</v>
      </c>
      <c r="AL2140" t="n">
        <v>1</v>
      </c>
      <c r="AM2140" t="n">
        <v>1</v>
      </c>
      <c r="AN2140" t="n">
        <v>0</v>
      </c>
      <c r="AO2140" t="n">
        <v>0</v>
      </c>
      <c r="AP2140" t="inlineStr">
        <is>
          <t>No</t>
        </is>
      </c>
      <c r="AQ2140" t="inlineStr">
        <is>
          <t>Yes</t>
        </is>
      </c>
      <c r="AR2140">
        <f>HYPERLINK("http://catalog.hathitrust.org/Record/001591718","HathiTrust Record")</f>
        <v/>
      </c>
      <c r="AS2140">
        <f>HYPERLINK("https://creighton-primo.hosted.exlibrisgroup.com/primo-explore/search?tab=default_tab&amp;search_scope=EVERYTHING&amp;vid=01CRU&amp;lang=en_US&amp;offset=0&amp;query=any,contains,991005104129702656","Catalog Record")</f>
        <v/>
      </c>
      <c r="AT2140">
        <f>HYPERLINK("http://www.worldcat.org/oclc/7316199","WorldCat Record")</f>
        <v/>
      </c>
      <c r="AU2140" t="inlineStr">
        <is>
          <t>10177446318:lat</t>
        </is>
      </c>
      <c r="AV2140" t="inlineStr">
        <is>
          <t>7316199</t>
        </is>
      </c>
      <c r="AW2140" t="inlineStr">
        <is>
          <t>991005104129702656</t>
        </is>
      </c>
      <c r="AX2140" t="inlineStr">
        <is>
          <t>991005104129702656</t>
        </is>
      </c>
      <c r="AY2140" t="inlineStr">
        <is>
          <t>2270822960002656</t>
        </is>
      </c>
      <c r="AZ2140" t="inlineStr">
        <is>
          <t>BOOK</t>
        </is>
      </c>
      <c r="BC2140" t="inlineStr">
        <is>
          <t>32285000870815</t>
        </is>
      </c>
      <c r="BD2140" t="inlineStr">
        <is>
          <t>893526904</t>
        </is>
      </c>
    </row>
    <row r="2141">
      <c r="A2141" t="inlineStr">
        <is>
          <t>No</t>
        </is>
      </c>
      <c r="B2141" t="inlineStr">
        <is>
          <t>BX4700.M39 S444 1969</t>
        </is>
      </c>
      <c r="C2141" t="inlineStr">
        <is>
          <t>0                      BX 4700000M  39                 S  444         1969</t>
        </is>
      </c>
      <c r="D2141" t="inlineStr">
        <is>
          <t>Vie de Saint Martin / [par] Sulpice Sévère. Introduction, texte et traduction par Jacques Fontaine.</t>
        </is>
      </c>
      <c r="E2141" t="inlineStr">
        <is>
          <t>V.2</t>
        </is>
      </c>
      <c r="F2141" t="inlineStr">
        <is>
          <t>Yes</t>
        </is>
      </c>
      <c r="G2141" t="inlineStr">
        <is>
          <t>1</t>
        </is>
      </c>
      <c r="H2141" t="inlineStr">
        <is>
          <t>No</t>
        </is>
      </c>
      <c r="I2141" t="inlineStr">
        <is>
          <t>No</t>
        </is>
      </c>
      <c r="J2141" t="inlineStr">
        <is>
          <t>0</t>
        </is>
      </c>
      <c r="K2141" t="inlineStr">
        <is>
          <t>Severus, Sulpicius.</t>
        </is>
      </c>
      <c r="L2141" t="inlineStr">
        <is>
          <t>Paris : Éditions du Cerf, 1967-69.</t>
        </is>
      </c>
      <c r="M2141" t="inlineStr">
        <is>
          <t>1967</t>
        </is>
      </c>
      <c r="O2141" t="inlineStr">
        <is>
          <t>lat</t>
        </is>
      </c>
      <c r="P2141" t="inlineStr">
        <is>
          <t xml:space="preserve">fr </t>
        </is>
      </c>
      <c r="Q2141" t="inlineStr">
        <is>
          <t>Série des textes monastiques d'Occident ; 22-24</t>
        </is>
      </c>
      <c r="R2141" t="inlineStr">
        <is>
          <t xml:space="preserve">BX </t>
        </is>
      </c>
      <c r="S2141" t="n">
        <v>1</v>
      </c>
      <c r="T2141" t="n">
        <v>5</v>
      </c>
      <c r="V2141" t="inlineStr">
        <is>
          <t>2006-02-10</t>
        </is>
      </c>
      <c r="W2141" t="inlineStr">
        <is>
          <t>1991-12-04</t>
        </is>
      </c>
      <c r="X2141" t="inlineStr">
        <is>
          <t>1991-12-04</t>
        </is>
      </c>
      <c r="Y2141" t="n">
        <v>197</v>
      </c>
      <c r="Z2141" t="n">
        <v>133</v>
      </c>
      <c r="AA2141" t="n">
        <v>135</v>
      </c>
      <c r="AB2141" t="n">
        <v>2</v>
      </c>
      <c r="AC2141" t="n">
        <v>2</v>
      </c>
      <c r="AD2141" t="n">
        <v>16</v>
      </c>
      <c r="AE2141" t="n">
        <v>16</v>
      </c>
      <c r="AF2141" t="n">
        <v>4</v>
      </c>
      <c r="AG2141" t="n">
        <v>4</v>
      </c>
      <c r="AH2141" t="n">
        <v>4</v>
      </c>
      <c r="AI2141" t="n">
        <v>4</v>
      </c>
      <c r="AJ2141" t="n">
        <v>12</v>
      </c>
      <c r="AK2141" t="n">
        <v>12</v>
      </c>
      <c r="AL2141" t="n">
        <v>1</v>
      </c>
      <c r="AM2141" t="n">
        <v>1</v>
      </c>
      <c r="AN2141" t="n">
        <v>0</v>
      </c>
      <c r="AO2141" t="n">
        <v>0</v>
      </c>
      <c r="AP2141" t="inlineStr">
        <is>
          <t>No</t>
        </is>
      </c>
      <c r="AQ2141" t="inlineStr">
        <is>
          <t>Yes</t>
        </is>
      </c>
      <c r="AR2141">
        <f>HYPERLINK("http://catalog.hathitrust.org/Record/001591718","HathiTrust Record")</f>
        <v/>
      </c>
      <c r="AS2141">
        <f>HYPERLINK("https://creighton-primo.hosted.exlibrisgroup.com/primo-explore/search?tab=default_tab&amp;search_scope=EVERYTHING&amp;vid=01CRU&amp;lang=en_US&amp;offset=0&amp;query=any,contains,991005104129702656","Catalog Record")</f>
        <v/>
      </c>
      <c r="AT2141">
        <f>HYPERLINK("http://www.worldcat.org/oclc/7316199","WorldCat Record")</f>
        <v/>
      </c>
      <c r="AU2141" t="inlineStr">
        <is>
          <t>10177446318:lat</t>
        </is>
      </c>
      <c r="AV2141" t="inlineStr">
        <is>
          <t>7316199</t>
        </is>
      </c>
      <c r="AW2141" t="inlineStr">
        <is>
          <t>991005104129702656</t>
        </is>
      </c>
      <c r="AX2141" t="inlineStr">
        <is>
          <t>991005104129702656</t>
        </is>
      </c>
      <c r="AY2141" t="inlineStr">
        <is>
          <t>2270822960002656</t>
        </is>
      </c>
      <c r="AZ2141" t="inlineStr">
        <is>
          <t>BOOK</t>
        </is>
      </c>
      <c r="BC2141" t="inlineStr">
        <is>
          <t>32285000870823</t>
        </is>
      </c>
      <c r="BD2141" t="inlineStr">
        <is>
          <t>893514043</t>
        </is>
      </c>
    </row>
    <row r="2142">
      <c r="A2142" t="inlineStr">
        <is>
          <t>No</t>
        </is>
      </c>
      <c r="B2142" t="inlineStr">
        <is>
          <t>BX4700.M3973 V57 2002</t>
        </is>
      </c>
      <c r="C2142" t="inlineStr">
        <is>
          <t>0                      BX 4700000M  3973               V  57          2002</t>
        </is>
      </c>
      <c r="D2142" t="inlineStr">
        <is>
          <t>The Old English life of St Mary of Egypt : an edition of the Old English text with modern English parallel-text translation / [edited by] Hugh Magennis.</t>
        </is>
      </c>
      <c r="F2142" t="inlineStr">
        <is>
          <t>No</t>
        </is>
      </c>
      <c r="G2142" t="inlineStr">
        <is>
          <t>1</t>
        </is>
      </c>
      <c r="H2142" t="inlineStr">
        <is>
          <t>No</t>
        </is>
      </c>
      <c r="I2142" t="inlineStr">
        <is>
          <t>No</t>
        </is>
      </c>
      <c r="J2142" t="inlineStr">
        <is>
          <t>0</t>
        </is>
      </c>
      <c r="K2142" t="inlineStr">
        <is>
          <t>Vita Sanctae Mariae Aegyptiacae. Polyglot.</t>
        </is>
      </c>
      <c r="L2142" t="inlineStr">
        <is>
          <t>Exeter : University of Exeter Press, 2002.</t>
        </is>
      </c>
      <c r="M2142" t="inlineStr">
        <is>
          <t>2002</t>
        </is>
      </c>
      <c r="O2142" t="inlineStr">
        <is>
          <t>eng</t>
        </is>
      </c>
      <c r="P2142" t="inlineStr">
        <is>
          <t>enk</t>
        </is>
      </c>
      <c r="Q2142" t="inlineStr">
        <is>
          <t>Exeter medieval texts and studies</t>
        </is>
      </c>
      <c r="R2142" t="inlineStr">
        <is>
          <t xml:space="preserve">BX </t>
        </is>
      </c>
      <c r="S2142" t="n">
        <v>1</v>
      </c>
      <c r="T2142" t="n">
        <v>1</v>
      </c>
      <c r="U2142" t="inlineStr">
        <is>
          <t>2004-01-08</t>
        </is>
      </c>
      <c r="V2142" t="inlineStr">
        <is>
          <t>2004-01-08</t>
        </is>
      </c>
      <c r="W2142" t="inlineStr">
        <is>
          <t>2004-01-08</t>
        </is>
      </c>
      <c r="X2142" t="inlineStr">
        <is>
          <t>2004-01-08</t>
        </is>
      </c>
      <c r="Y2142" t="n">
        <v>170</v>
      </c>
      <c r="Z2142" t="n">
        <v>125</v>
      </c>
      <c r="AA2142" t="n">
        <v>127</v>
      </c>
      <c r="AB2142" t="n">
        <v>3</v>
      </c>
      <c r="AC2142" t="n">
        <v>3</v>
      </c>
      <c r="AD2142" t="n">
        <v>13</v>
      </c>
      <c r="AE2142" t="n">
        <v>13</v>
      </c>
      <c r="AF2142" t="n">
        <v>4</v>
      </c>
      <c r="AG2142" t="n">
        <v>4</v>
      </c>
      <c r="AH2142" t="n">
        <v>5</v>
      </c>
      <c r="AI2142" t="n">
        <v>5</v>
      </c>
      <c r="AJ2142" t="n">
        <v>7</v>
      </c>
      <c r="AK2142" t="n">
        <v>7</v>
      </c>
      <c r="AL2142" t="n">
        <v>2</v>
      </c>
      <c r="AM2142" t="n">
        <v>2</v>
      </c>
      <c r="AN2142" t="n">
        <v>0</v>
      </c>
      <c r="AO2142" t="n">
        <v>0</v>
      </c>
      <c r="AP2142" t="inlineStr">
        <is>
          <t>No</t>
        </is>
      </c>
      <c r="AQ2142" t="inlineStr">
        <is>
          <t>Yes</t>
        </is>
      </c>
      <c r="AR2142">
        <f>HYPERLINK("http://catalog.hathitrust.org/Record/004252074","HathiTrust Record")</f>
        <v/>
      </c>
      <c r="AS2142">
        <f>HYPERLINK("https://creighton-primo.hosted.exlibrisgroup.com/primo-explore/search?tab=default_tab&amp;search_scope=EVERYTHING&amp;vid=01CRU&amp;lang=en_US&amp;offset=0&amp;query=any,contains,991004152189702656","Catalog Record")</f>
        <v/>
      </c>
      <c r="AT2142">
        <f>HYPERLINK("http://www.worldcat.org/oclc/48932432","WorldCat Record")</f>
        <v/>
      </c>
      <c r="AU2142" t="inlineStr">
        <is>
          <t>56778691:eng</t>
        </is>
      </c>
      <c r="AV2142" t="inlineStr">
        <is>
          <t>48932432</t>
        </is>
      </c>
      <c r="AW2142" t="inlineStr">
        <is>
          <t>991004152189702656</t>
        </is>
      </c>
      <c r="AX2142" t="inlineStr">
        <is>
          <t>991004152189702656</t>
        </is>
      </c>
      <c r="AY2142" t="inlineStr">
        <is>
          <t>2264504610002656</t>
        </is>
      </c>
      <c r="AZ2142" t="inlineStr">
        <is>
          <t>BOOK</t>
        </is>
      </c>
      <c r="BB2142" t="inlineStr">
        <is>
          <t>9780859896726</t>
        </is>
      </c>
      <c r="BC2142" t="inlineStr">
        <is>
          <t>32285004633151</t>
        </is>
      </c>
      <c r="BD2142" t="inlineStr">
        <is>
          <t>893628006</t>
        </is>
      </c>
    </row>
    <row r="2143">
      <c r="A2143" t="inlineStr">
        <is>
          <t>No</t>
        </is>
      </c>
      <c r="B2143" t="inlineStr">
        <is>
          <t>BX4700.M48 L5</t>
        </is>
      </c>
      <c r="C2143" t="inlineStr">
        <is>
          <t>0                      BX 4700000M  48                 L  5</t>
        </is>
      </c>
      <c r="D2143" t="inlineStr">
        <is>
          <t>The Life of St. Mechtildis.</t>
        </is>
      </c>
      <c r="F2143" t="inlineStr">
        <is>
          <t>No</t>
        </is>
      </c>
      <c r="G2143" t="inlineStr">
        <is>
          <t>1</t>
        </is>
      </c>
      <c r="H2143" t="inlineStr">
        <is>
          <t>No</t>
        </is>
      </c>
      <c r="I2143" t="inlineStr">
        <is>
          <t>No</t>
        </is>
      </c>
      <c r="J2143" t="inlineStr">
        <is>
          <t>0</t>
        </is>
      </c>
      <c r="L2143" t="inlineStr">
        <is>
          <t>Rome : Vatican Press, 1899.</t>
        </is>
      </c>
      <c r="M2143" t="inlineStr">
        <is>
          <t>1899</t>
        </is>
      </c>
      <c r="O2143" t="inlineStr">
        <is>
          <t>eng</t>
        </is>
      </c>
      <c r="P2143" t="inlineStr">
        <is>
          <t xml:space="preserve">it </t>
        </is>
      </c>
      <c r="Q2143" t="inlineStr">
        <is>
          <t>St. Benedict's series</t>
        </is>
      </c>
      <c r="R2143" t="inlineStr">
        <is>
          <t xml:space="preserve">BX </t>
        </is>
      </c>
      <c r="S2143" t="n">
        <v>3</v>
      </c>
      <c r="T2143" t="n">
        <v>3</v>
      </c>
      <c r="U2143" t="inlineStr">
        <is>
          <t>2001-12-19</t>
        </is>
      </c>
      <c r="V2143" t="inlineStr">
        <is>
          <t>2001-12-19</t>
        </is>
      </c>
      <c r="W2143" t="inlineStr">
        <is>
          <t>1991-12-04</t>
        </is>
      </c>
      <c r="X2143" t="inlineStr">
        <is>
          <t>1991-12-04</t>
        </is>
      </c>
      <c r="Y2143" t="n">
        <v>19</v>
      </c>
      <c r="Z2143" t="n">
        <v>12</v>
      </c>
      <c r="AA2143" t="n">
        <v>33</v>
      </c>
      <c r="AB2143" t="n">
        <v>1</v>
      </c>
      <c r="AC2143" t="n">
        <v>1</v>
      </c>
      <c r="AD2143" t="n">
        <v>2</v>
      </c>
      <c r="AE2143" t="n">
        <v>4</v>
      </c>
      <c r="AF2143" t="n">
        <v>0</v>
      </c>
      <c r="AG2143" t="n">
        <v>0</v>
      </c>
      <c r="AH2143" t="n">
        <v>1</v>
      </c>
      <c r="AI2143" t="n">
        <v>1</v>
      </c>
      <c r="AJ2143" t="n">
        <v>1</v>
      </c>
      <c r="AK2143" t="n">
        <v>3</v>
      </c>
      <c r="AL2143" t="n">
        <v>0</v>
      </c>
      <c r="AM2143" t="n">
        <v>0</v>
      </c>
      <c r="AN2143" t="n">
        <v>0</v>
      </c>
      <c r="AO2143" t="n">
        <v>0</v>
      </c>
      <c r="AP2143" t="inlineStr">
        <is>
          <t>No</t>
        </is>
      </c>
      <c r="AQ2143" t="inlineStr">
        <is>
          <t>No</t>
        </is>
      </c>
      <c r="AS2143">
        <f>HYPERLINK("https://creighton-primo.hosted.exlibrisgroup.com/primo-explore/search?tab=default_tab&amp;search_scope=EVERYTHING&amp;vid=01CRU&amp;lang=en_US&amp;offset=0&amp;query=any,contains,991000175279702656","Catalog Record")</f>
        <v/>
      </c>
      <c r="AT2143">
        <f>HYPERLINK("http://www.worldcat.org/oclc/9342361","WorldCat Record")</f>
        <v/>
      </c>
      <c r="AU2143" t="inlineStr">
        <is>
          <t>113118909:eng</t>
        </is>
      </c>
      <c r="AV2143" t="inlineStr">
        <is>
          <t>9342361</t>
        </is>
      </c>
      <c r="AW2143" t="inlineStr">
        <is>
          <t>991000175279702656</t>
        </is>
      </c>
      <c r="AX2143" t="inlineStr">
        <is>
          <t>991000175279702656</t>
        </is>
      </c>
      <c r="AY2143" t="inlineStr">
        <is>
          <t>2260721240002656</t>
        </is>
      </c>
      <c r="AZ2143" t="inlineStr">
        <is>
          <t>BOOK</t>
        </is>
      </c>
      <c r="BC2143" t="inlineStr">
        <is>
          <t>32285000870872</t>
        </is>
      </c>
      <c r="BD2143" t="inlineStr">
        <is>
          <t>893508577</t>
        </is>
      </c>
    </row>
    <row r="2144">
      <c r="A2144" t="inlineStr">
        <is>
          <t>No</t>
        </is>
      </c>
      <c r="B2144" t="inlineStr">
        <is>
          <t>BX4700.M717 P3 1970</t>
        </is>
      </c>
      <c r="C2144" t="inlineStr">
        <is>
          <t>0                      BX 4700000M  717                P  3           1970</t>
        </is>
      </c>
      <c r="D2144" t="inlineStr">
        <is>
          <t>Sir Thomas More [by] Leslie Paul.</t>
        </is>
      </c>
      <c r="F2144" t="inlineStr">
        <is>
          <t>No</t>
        </is>
      </c>
      <c r="G2144" t="inlineStr">
        <is>
          <t>1</t>
        </is>
      </c>
      <c r="H2144" t="inlineStr">
        <is>
          <t>No</t>
        </is>
      </c>
      <c r="I2144" t="inlineStr">
        <is>
          <t>No</t>
        </is>
      </c>
      <c r="J2144" t="inlineStr">
        <is>
          <t>0</t>
        </is>
      </c>
      <c r="K2144" t="inlineStr">
        <is>
          <t>Paul, Leslie, 1905-1985.</t>
        </is>
      </c>
      <c r="L2144" t="inlineStr">
        <is>
          <t>Freeport, N.Y., Books for Libraries Press [1970]</t>
        </is>
      </c>
      <c r="M2144" t="inlineStr">
        <is>
          <t>1970</t>
        </is>
      </c>
      <c r="O2144" t="inlineStr">
        <is>
          <t>eng</t>
        </is>
      </c>
      <c r="P2144" t="inlineStr">
        <is>
          <t>nyu</t>
        </is>
      </c>
      <c r="Q2144" t="inlineStr">
        <is>
          <t>Library of English Renaissance literature</t>
        </is>
      </c>
      <c r="R2144" t="inlineStr">
        <is>
          <t xml:space="preserve">BX </t>
        </is>
      </c>
      <c r="S2144" t="n">
        <v>3</v>
      </c>
      <c r="T2144" t="n">
        <v>3</v>
      </c>
      <c r="U2144" t="inlineStr">
        <is>
          <t>2009-10-07</t>
        </is>
      </c>
      <c r="V2144" t="inlineStr">
        <is>
          <t>2009-10-07</t>
        </is>
      </c>
      <c r="W2144" t="inlineStr">
        <is>
          <t>1991-12-04</t>
        </is>
      </c>
      <c r="X2144" t="inlineStr">
        <is>
          <t>1991-12-04</t>
        </is>
      </c>
      <c r="Y2144" t="n">
        <v>191</v>
      </c>
      <c r="Z2144" t="n">
        <v>174</v>
      </c>
      <c r="AA2144" t="n">
        <v>404</v>
      </c>
      <c r="AB2144" t="n">
        <v>2</v>
      </c>
      <c r="AC2144" t="n">
        <v>3</v>
      </c>
      <c r="AD2144" t="n">
        <v>9</v>
      </c>
      <c r="AE2144" t="n">
        <v>29</v>
      </c>
      <c r="AF2144" t="n">
        <v>5</v>
      </c>
      <c r="AG2144" t="n">
        <v>8</v>
      </c>
      <c r="AH2144" t="n">
        <v>1</v>
      </c>
      <c r="AI2144" t="n">
        <v>6</v>
      </c>
      <c r="AJ2144" t="n">
        <v>3</v>
      </c>
      <c r="AK2144" t="n">
        <v>19</v>
      </c>
      <c r="AL2144" t="n">
        <v>1</v>
      </c>
      <c r="AM2144" t="n">
        <v>2</v>
      </c>
      <c r="AN2144" t="n">
        <v>0</v>
      </c>
      <c r="AO2144" t="n">
        <v>1</v>
      </c>
      <c r="AP2144" t="inlineStr">
        <is>
          <t>No</t>
        </is>
      </c>
      <c r="AQ2144" t="inlineStr">
        <is>
          <t>Yes</t>
        </is>
      </c>
      <c r="AR2144">
        <f>HYPERLINK("http://catalog.hathitrust.org/Record/009818890","HathiTrust Record")</f>
        <v/>
      </c>
      <c r="AS2144">
        <f>HYPERLINK("https://creighton-primo.hosted.exlibrisgroup.com/primo-explore/search?tab=default_tab&amp;search_scope=EVERYTHING&amp;vid=01CRU&amp;lang=en_US&amp;offset=0&amp;query=any,contains,991000591539702656","Catalog Record")</f>
        <v/>
      </c>
      <c r="AT2144">
        <f>HYPERLINK("http://www.worldcat.org/oclc/96746","WorldCat Record")</f>
        <v/>
      </c>
      <c r="AU2144" t="inlineStr">
        <is>
          <t>2044444178:eng</t>
        </is>
      </c>
      <c r="AV2144" t="inlineStr">
        <is>
          <t>96746</t>
        </is>
      </c>
      <c r="AW2144" t="inlineStr">
        <is>
          <t>991000591539702656</t>
        </is>
      </c>
      <c r="AX2144" t="inlineStr">
        <is>
          <t>991000591539702656</t>
        </is>
      </c>
      <c r="AY2144" t="inlineStr">
        <is>
          <t>2271095320002656</t>
        </is>
      </c>
      <c r="AZ2144" t="inlineStr">
        <is>
          <t>BOOK</t>
        </is>
      </c>
      <c r="BB2144" t="inlineStr">
        <is>
          <t>9780836955026</t>
        </is>
      </c>
      <c r="BC2144" t="inlineStr">
        <is>
          <t>32285000870922</t>
        </is>
      </c>
      <c r="BD2144" t="inlineStr">
        <is>
          <t>893708512</t>
        </is>
      </c>
    </row>
    <row r="2145">
      <c r="A2145" t="inlineStr">
        <is>
          <t>No</t>
        </is>
      </c>
      <c r="B2145" t="inlineStr">
        <is>
          <t>BX4700.N4 A33</t>
        </is>
      </c>
      <c r="C2145" t="inlineStr">
        <is>
          <t>0                      BX 4700000N  4                  A  33</t>
        </is>
      </c>
      <c r="D2145" t="inlineStr">
        <is>
          <t>The autobiography of Saint John Neumann, C.SS.R., fourth bishop of Philadelphia / introd., translation, commentary, and epilogue by Alfred C. Rush ; foreword by John Cardinal Krol.</t>
        </is>
      </c>
      <c r="F2145" t="inlineStr">
        <is>
          <t>No</t>
        </is>
      </c>
      <c r="G2145" t="inlineStr">
        <is>
          <t>1</t>
        </is>
      </c>
      <c r="H2145" t="inlineStr">
        <is>
          <t>No</t>
        </is>
      </c>
      <c r="I2145" t="inlineStr">
        <is>
          <t>No</t>
        </is>
      </c>
      <c r="J2145" t="inlineStr">
        <is>
          <t>0</t>
        </is>
      </c>
      <c r="K2145" t="inlineStr">
        <is>
          <t>Neumann, John, Saint, 1811-1860.</t>
        </is>
      </c>
      <c r="L2145" t="inlineStr">
        <is>
          <t>Boston : St. Paul Editions, c1977.</t>
        </is>
      </c>
      <c r="M2145" t="inlineStr">
        <is>
          <t>1977</t>
        </is>
      </c>
      <c r="O2145" t="inlineStr">
        <is>
          <t>eng</t>
        </is>
      </c>
      <c r="P2145" t="inlineStr">
        <is>
          <t>mau</t>
        </is>
      </c>
      <c r="R2145" t="inlineStr">
        <is>
          <t xml:space="preserve">BX </t>
        </is>
      </c>
      <c r="S2145" t="n">
        <v>8</v>
      </c>
      <c r="T2145" t="n">
        <v>8</v>
      </c>
      <c r="U2145" t="inlineStr">
        <is>
          <t>1999-02-05</t>
        </is>
      </c>
      <c r="V2145" t="inlineStr">
        <is>
          <t>1999-02-05</t>
        </is>
      </c>
      <c r="W2145" t="inlineStr">
        <is>
          <t>1991-12-04</t>
        </is>
      </c>
      <c r="X2145" t="inlineStr">
        <is>
          <t>1991-12-04</t>
        </is>
      </c>
      <c r="Y2145" t="n">
        <v>113</v>
      </c>
      <c r="Z2145" t="n">
        <v>109</v>
      </c>
      <c r="AA2145" t="n">
        <v>115</v>
      </c>
      <c r="AB2145" t="n">
        <v>3</v>
      </c>
      <c r="AC2145" t="n">
        <v>3</v>
      </c>
      <c r="AD2145" t="n">
        <v>12</v>
      </c>
      <c r="AE2145" t="n">
        <v>12</v>
      </c>
      <c r="AF2145" t="n">
        <v>3</v>
      </c>
      <c r="AG2145" t="n">
        <v>3</v>
      </c>
      <c r="AH2145" t="n">
        <v>3</v>
      </c>
      <c r="AI2145" t="n">
        <v>3</v>
      </c>
      <c r="AJ2145" t="n">
        <v>9</v>
      </c>
      <c r="AK2145" t="n">
        <v>9</v>
      </c>
      <c r="AL2145" t="n">
        <v>0</v>
      </c>
      <c r="AM2145" t="n">
        <v>0</v>
      </c>
      <c r="AN2145" t="n">
        <v>0</v>
      </c>
      <c r="AO2145" t="n">
        <v>0</v>
      </c>
      <c r="AP2145" t="inlineStr">
        <is>
          <t>No</t>
        </is>
      </c>
      <c r="AQ2145" t="inlineStr">
        <is>
          <t>Yes</t>
        </is>
      </c>
      <c r="AR2145">
        <f>HYPERLINK("http://catalog.hathitrust.org/Record/006922879","HathiTrust Record")</f>
        <v/>
      </c>
      <c r="AS2145">
        <f>HYPERLINK("https://creighton-primo.hosted.exlibrisgroup.com/primo-explore/search?tab=default_tab&amp;search_scope=EVERYTHING&amp;vid=01CRU&amp;lang=en_US&amp;offset=0&amp;query=any,contains,991004268029702656","Catalog Record")</f>
        <v/>
      </c>
      <c r="AT2145">
        <f>HYPERLINK("http://www.worldcat.org/oclc/2873501","WorldCat Record")</f>
        <v/>
      </c>
      <c r="AU2145" t="inlineStr">
        <is>
          <t>4812417660:eng</t>
        </is>
      </c>
      <c r="AV2145" t="inlineStr">
        <is>
          <t>2873501</t>
        </is>
      </c>
      <c r="AW2145" t="inlineStr">
        <is>
          <t>991004268029702656</t>
        </is>
      </c>
      <c r="AX2145" t="inlineStr">
        <is>
          <t>991004268029702656</t>
        </is>
      </c>
      <c r="AY2145" t="inlineStr">
        <is>
          <t>2259464180002656</t>
        </is>
      </c>
      <c r="AZ2145" t="inlineStr">
        <is>
          <t>BOOK</t>
        </is>
      </c>
      <c r="BC2145" t="inlineStr">
        <is>
          <t>32285000870930</t>
        </is>
      </c>
      <c r="BD2145" t="inlineStr">
        <is>
          <t>893624530</t>
        </is>
      </c>
    </row>
    <row r="2146">
      <c r="A2146" t="inlineStr">
        <is>
          <t>No</t>
        </is>
      </c>
      <c r="B2146" t="inlineStr">
        <is>
          <t>BX4700.N4 G3 1964</t>
        </is>
      </c>
      <c r="C2146" t="inlineStr">
        <is>
          <t>0                      BX 4700000N  4                  G  3           1964</t>
        </is>
      </c>
      <c r="D2146" t="inlineStr">
        <is>
          <t>Blessed John Neumann, bishop of Philadelphia.</t>
        </is>
      </c>
      <c r="F2146" t="inlineStr">
        <is>
          <t>No</t>
        </is>
      </c>
      <c r="G2146" t="inlineStr">
        <is>
          <t>1</t>
        </is>
      </c>
      <c r="H2146" t="inlineStr">
        <is>
          <t>No</t>
        </is>
      </c>
      <c r="I2146" t="inlineStr">
        <is>
          <t>No</t>
        </is>
      </c>
      <c r="J2146" t="inlineStr">
        <is>
          <t>0</t>
        </is>
      </c>
      <c r="K2146" t="inlineStr">
        <is>
          <t>Galvin, James J., 1911-</t>
        </is>
      </c>
      <c r="L2146" t="inlineStr">
        <is>
          <t>Baltimore : Helicon [1964]</t>
        </is>
      </c>
      <c r="M2146" t="inlineStr">
        <is>
          <t>1964</t>
        </is>
      </c>
      <c r="O2146" t="inlineStr">
        <is>
          <t>eng</t>
        </is>
      </c>
      <c r="P2146" t="inlineStr">
        <is>
          <t xml:space="preserve">xx </t>
        </is>
      </c>
      <c r="R2146" t="inlineStr">
        <is>
          <t xml:space="preserve">BX </t>
        </is>
      </c>
      <c r="S2146" t="n">
        <v>6</v>
      </c>
      <c r="T2146" t="n">
        <v>6</v>
      </c>
      <c r="U2146" t="inlineStr">
        <is>
          <t>1999-02-05</t>
        </is>
      </c>
      <c r="V2146" t="inlineStr">
        <is>
          <t>1999-02-05</t>
        </is>
      </c>
      <c r="W2146" t="inlineStr">
        <is>
          <t>1991-12-04</t>
        </is>
      </c>
      <c r="X2146" t="inlineStr">
        <is>
          <t>1991-12-04</t>
        </is>
      </c>
      <c r="Y2146" t="n">
        <v>117</v>
      </c>
      <c r="Z2146" t="n">
        <v>112</v>
      </c>
      <c r="AA2146" t="n">
        <v>117</v>
      </c>
      <c r="AB2146" t="n">
        <v>4</v>
      </c>
      <c r="AC2146" t="n">
        <v>4</v>
      </c>
      <c r="AD2146" t="n">
        <v>15</v>
      </c>
      <c r="AE2146" t="n">
        <v>15</v>
      </c>
      <c r="AF2146" t="n">
        <v>6</v>
      </c>
      <c r="AG2146" t="n">
        <v>6</v>
      </c>
      <c r="AH2146" t="n">
        <v>2</v>
      </c>
      <c r="AI2146" t="n">
        <v>2</v>
      </c>
      <c r="AJ2146" t="n">
        <v>13</v>
      </c>
      <c r="AK2146" t="n">
        <v>13</v>
      </c>
      <c r="AL2146" t="n">
        <v>0</v>
      </c>
      <c r="AM2146" t="n">
        <v>0</v>
      </c>
      <c r="AN2146" t="n">
        <v>0</v>
      </c>
      <c r="AO2146" t="n">
        <v>0</v>
      </c>
      <c r="AP2146" t="inlineStr">
        <is>
          <t>No</t>
        </is>
      </c>
      <c r="AQ2146" t="inlineStr">
        <is>
          <t>No</t>
        </is>
      </c>
      <c r="AS2146">
        <f>HYPERLINK("https://creighton-primo.hosted.exlibrisgroup.com/primo-explore/search?tab=default_tab&amp;search_scope=EVERYTHING&amp;vid=01CRU&amp;lang=en_US&amp;offset=0&amp;query=any,contains,991004317609702656","Catalog Record")</f>
        <v/>
      </c>
      <c r="AT2146">
        <f>HYPERLINK("http://www.worldcat.org/oclc/3010622","WorldCat Record")</f>
        <v/>
      </c>
      <c r="AU2146" t="inlineStr">
        <is>
          <t>348520523:eng</t>
        </is>
      </c>
      <c r="AV2146" t="inlineStr">
        <is>
          <t>3010622</t>
        </is>
      </c>
      <c r="AW2146" t="inlineStr">
        <is>
          <t>991004317609702656</t>
        </is>
      </c>
      <c r="AX2146" t="inlineStr">
        <is>
          <t>991004317609702656</t>
        </is>
      </c>
      <c r="AY2146" t="inlineStr">
        <is>
          <t>2270797760002656</t>
        </is>
      </c>
      <c r="AZ2146" t="inlineStr">
        <is>
          <t>BOOK</t>
        </is>
      </c>
      <c r="BC2146" t="inlineStr">
        <is>
          <t>32285000870948</t>
        </is>
      </c>
      <c r="BD2146" t="inlineStr">
        <is>
          <t>893506698</t>
        </is>
      </c>
    </row>
    <row r="2147">
      <c r="A2147" t="inlineStr">
        <is>
          <t>No</t>
        </is>
      </c>
      <c r="B2147" t="inlineStr">
        <is>
          <t>BX4700.N55 J63</t>
        </is>
      </c>
      <c r="C2147" t="inlineStr">
        <is>
          <t>0                      BX 4700000N  55                 J  63</t>
        </is>
      </c>
      <c r="D2147" t="inlineStr">
        <is>
          <t>Saint Nicholas of Myra, Bari, and Manhattan : biography of a legend / Charles W. Jones.</t>
        </is>
      </c>
      <c r="F2147" t="inlineStr">
        <is>
          <t>No</t>
        </is>
      </c>
      <c r="G2147" t="inlineStr">
        <is>
          <t>1</t>
        </is>
      </c>
      <c r="H2147" t="inlineStr">
        <is>
          <t>No</t>
        </is>
      </c>
      <c r="I2147" t="inlineStr">
        <is>
          <t>No</t>
        </is>
      </c>
      <c r="J2147" t="inlineStr">
        <is>
          <t>0</t>
        </is>
      </c>
      <c r="K2147" t="inlineStr">
        <is>
          <t>Jones, Charles Williams, 1905-1989.</t>
        </is>
      </c>
      <c r="L2147" t="inlineStr">
        <is>
          <t>Chicago : University of Chicago Press, c1978.</t>
        </is>
      </c>
      <c r="M2147" t="inlineStr">
        <is>
          <t>1978</t>
        </is>
      </c>
      <c r="O2147" t="inlineStr">
        <is>
          <t>eng</t>
        </is>
      </c>
      <c r="P2147" t="inlineStr">
        <is>
          <t>ilu</t>
        </is>
      </c>
      <c r="R2147" t="inlineStr">
        <is>
          <t xml:space="preserve">BX </t>
        </is>
      </c>
      <c r="S2147" t="n">
        <v>4</v>
      </c>
      <c r="T2147" t="n">
        <v>4</v>
      </c>
      <c r="U2147" t="inlineStr">
        <is>
          <t>2007-11-12</t>
        </is>
      </c>
      <c r="V2147" t="inlineStr">
        <is>
          <t>2007-11-12</t>
        </is>
      </c>
      <c r="W2147" t="inlineStr">
        <is>
          <t>1991-12-04</t>
        </is>
      </c>
      <c r="X2147" t="inlineStr">
        <is>
          <t>1991-12-04</t>
        </is>
      </c>
      <c r="Y2147" t="n">
        <v>656</v>
      </c>
      <c r="Z2147" t="n">
        <v>567</v>
      </c>
      <c r="AA2147" t="n">
        <v>589</v>
      </c>
      <c r="AB2147" t="n">
        <v>3</v>
      </c>
      <c r="AC2147" t="n">
        <v>3</v>
      </c>
      <c r="AD2147" t="n">
        <v>28</v>
      </c>
      <c r="AE2147" t="n">
        <v>28</v>
      </c>
      <c r="AF2147" t="n">
        <v>10</v>
      </c>
      <c r="AG2147" t="n">
        <v>10</v>
      </c>
      <c r="AH2147" t="n">
        <v>9</v>
      </c>
      <c r="AI2147" t="n">
        <v>9</v>
      </c>
      <c r="AJ2147" t="n">
        <v>14</v>
      </c>
      <c r="AK2147" t="n">
        <v>14</v>
      </c>
      <c r="AL2147" t="n">
        <v>2</v>
      </c>
      <c r="AM2147" t="n">
        <v>2</v>
      </c>
      <c r="AN2147" t="n">
        <v>0</v>
      </c>
      <c r="AO2147" t="n">
        <v>0</v>
      </c>
      <c r="AP2147" t="inlineStr">
        <is>
          <t>No</t>
        </is>
      </c>
      <c r="AQ2147" t="inlineStr">
        <is>
          <t>No</t>
        </is>
      </c>
      <c r="AS2147">
        <f>HYPERLINK("https://creighton-primo.hosted.exlibrisgroup.com/primo-explore/search?tab=default_tab&amp;search_scope=EVERYTHING&amp;vid=01CRU&amp;lang=en_US&amp;offset=0&amp;query=any,contains,991004416189702656","Catalog Record")</f>
        <v/>
      </c>
      <c r="AT2147">
        <f>HYPERLINK("http://www.worldcat.org/oclc/4593777","WorldCat Record")</f>
        <v/>
      </c>
      <c r="AU2147" t="inlineStr">
        <is>
          <t>890082133:eng</t>
        </is>
      </c>
      <c r="AV2147" t="inlineStr">
        <is>
          <t>4593777</t>
        </is>
      </c>
      <c r="AW2147" t="inlineStr">
        <is>
          <t>991004416189702656</t>
        </is>
      </c>
      <c r="AX2147" t="inlineStr">
        <is>
          <t>991004416189702656</t>
        </is>
      </c>
      <c r="AY2147" t="inlineStr">
        <is>
          <t>2256996110002656</t>
        </is>
      </c>
      <c r="AZ2147" t="inlineStr">
        <is>
          <t>BOOK</t>
        </is>
      </c>
      <c r="BB2147" t="inlineStr">
        <is>
          <t>9780226406992</t>
        </is>
      </c>
      <c r="BC2147" t="inlineStr">
        <is>
          <t>32285000870955</t>
        </is>
      </c>
      <c r="BD2147" t="inlineStr">
        <is>
          <t>893712560</t>
        </is>
      </c>
    </row>
    <row r="2148">
      <c r="A2148" t="inlineStr">
        <is>
          <t>No</t>
        </is>
      </c>
      <c r="B2148" t="inlineStr">
        <is>
          <t>BX4700.N57 F67 1920</t>
        </is>
      </c>
      <c r="C2148" t="inlineStr">
        <is>
          <t>0                      BX 4700000N  57                 F  67          1920</t>
        </is>
      </c>
      <c r="D2148" t="inlineStr">
        <is>
          <t>The life of St. Nicholas of Tolentino.</t>
        </is>
      </c>
      <c r="F2148" t="inlineStr">
        <is>
          <t>No</t>
        </is>
      </c>
      <c r="G2148" t="inlineStr">
        <is>
          <t>1</t>
        </is>
      </c>
      <c r="H2148" t="inlineStr">
        <is>
          <t>No</t>
        </is>
      </c>
      <c r="I2148" t="inlineStr">
        <is>
          <t>No</t>
        </is>
      </c>
      <c r="J2148" t="inlineStr">
        <is>
          <t>0</t>
        </is>
      </c>
      <c r="K2148" t="inlineStr">
        <is>
          <t>Foran, Edward A. (Edward A.), 1864-1938.</t>
        </is>
      </c>
      <c r="L2148" t="inlineStr">
        <is>
          <t>London : Burns, Oates &amp; Washbourne, 1920.</t>
        </is>
      </c>
      <c r="M2148" t="inlineStr">
        <is>
          <t>1920</t>
        </is>
      </c>
      <c r="O2148" t="inlineStr">
        <is>
          <t>eng</t>
        </is>
      </c>
      <c r="P2148" t="inlineStr">
        <is>
          <t>enk</t>
        </is>
      </c>
      <c r="R2148" t="inlineStr">
        <is>
          <t xml:space="preserve">BX </t>
        </is>
      </c>
      <c r="S2148" t="n">
        <v>1</v>
      </c>
      <c r="T2148" t="n">
        <v>1</v>
      </c>
      <c r="U2148" t="inlineStr">
        <is>
          <t>2007-11-12</t>
        </is>
      </c>
      <c r="V2148" t="inlineStr">
        <is>
          <t>2007-11-12</t>
        </is>
      </c>
      <c r="W2148" t="inlineStr">
        <is>
          <t>1994-10-05</t>
        </is>
      </c>
      <c r="X2148" t="inlineStr">
        <is>
          <t>1994-10-05</t>
        </is>
      </c>
      <c r="Y2148" t="n">
        <v>21</v>
      </c>
      <c r="Z2148" t="n">
        <v>16</v>
      </c>
      <c r="AA2148" t="n">
        <v>19</v>
      </c>
      <c r="AB2148" t="n">
        <v>2</v>
      </c>
      <c r="AC2148" t="n">
        <v>2</v>
      </c>
      <c r="AD2148" t="n">
        <v>4</v>
      </c>
      <c r="AE2148" t="n">
        <v>5</v>
      </c>
      <c r="AF2148" t="n">
        <v>0</v>
      </c>
      <c r="AG2148" t="n">
        <v>0</v>
      </c>
      <c r="AH2148" t="n">
        <v>2</v>
      </c>
      <c r="AI2148" t="n">
        <v>2</v>
      </c>
      <c r="AJ2148" t="n">
        <v>2</v>
      </c>
      <c r="AK2148" t="n">
        <v>3</v>
      </c>
      <c r="AL2148" t="n">
        <v>0</v>
      </c>
      <c r="AM2148" t="n">
        <v>0</v>
      </c>
      <c r="AN2148" t="n">
        <v>0</v>
      </c>
      <c r="AO2148" t="n">
        <v>0</v>
      </c>
      <c r="AP2148" t="inlineStr">
        <is>
          <t>No</t>
        </is>
      </c>
      <c r="AQ2148" t="inlineStr">
        <is>
          <t>No</t>
        </is>
      </c>
      <c r="AS2148">
        <f>HYPERLINK("https://creighton-primo.hosted.exlibrisgroup.com/primo-explore/search?tab=default_tab&amp;search_scope=EVERYTHING&amp;vid=01CRU&amp;lang=en_US&amp;offset=0&amp;query=any,contains,991001868219702656","Catalog Record")</f>
        <v/>
      </c>
      <c r="AT2148">
        <f>HYPERLINK("http://www.worldcat.org/oclc/23535311","WorldCat Record")</f>
        <v/>
      </c>
      <c r="AU2148" t="inlineStr">
        <is>
          <t>25199930:eng</t>
        </is>
      </c>
      <c r="AV2148" t="inlineStr">
        <is>
          <t>23535311</t>
        </is>
      </c>
      <c r="AW2148" t="inlineStr">
        <is>
          <t>991001868219702656</t>
        </is>
      </c>
      <c r="AX2148" t="inlineStr">
        <is>
          <t>991001868219702656</t>
        </is>
      </c>
      <c r="AY2148" t="inlineStr">
        <is>
          <t>2259032860002656</t>
        </is>
      </c>
      <c r="AZ2148" t="inlineStr">
        <is>
          <t>BOOK</t>
        </is>
      </c>
      <c r="BC2148" t="inlineStr">
        <is>
          <t>32285001954006</t>
        </is>
      </c>
      <c r="BD2148" t="inlineStr">
        <is>
          <t>893684713</t>
        </is>
      </c>
    </row>
    <row r="2149">
      <c r="A2149" t="inlineStr">
        <is>
          <t>No</t>
        </is>
      </c>
      <c r="B2149" t="inlineStr">
        <is>
          <t>BX4700.O4 C62 1915</t>
        </is>
      </c>
      <c r="C2149" t="inlineStr">
        <is>
          <t>0                      BX 4700000O  4                  C  62          1915</t>
        </is>
      </c>
      <c r="D2149" t="inlineStr">
        <is>
          <t>The Venerable John Ogilvie, S.J. : a sketch of his life / by Daniel Conway ; edited by Archibald Campbell.</t>
        </is>
      </c>
      <c r="F2149" t="inlineStr">
        <is>
          <t>No</t>
        </is>
      </c>
      <c r="G2149" t="inlineStr">
        <is>
          <t>1</t>
        </is>
      </c>
      <c r="H2149" t="inlineStr">
        <is>
          <t>No</t>
        </is>
      </c>
      <c r="I2149" t="inlineStr">
        <is>
          <t>No</t>
        </is>
      </c>
      <c r="J2149" t="inlineStr">
        <is>
          <t>0</t>
        </is>
      </c>
      <c r="K2149" t="inlineStr">
        <is>
          <t>Conway, Daniel.</t>
        </is>
      </c>
      <c r="L2149" t="inlineStr">
        <is>
          <t>Edinburgh : Sands, [1915].</t>
        </is>
      </c>
      <c r="M2149" t="inlineStr">
        <is>
          <t>1915</t>
        </is>
      </c>
      <c r="O2149" t="inlineStr">
        <is>
          <t>eng</t>
        </is>
      </c>
      <c r="P2149" t="inlineStr">
        <is>
          <t>stk</t>
        </is>
      </c>
      <c r="R2149" t="inlineStr">
        <is>
          <t xml:space="preserve">BX </t>
        </is>
      </c>
      <c r="S2149" t="n">
        <v>4</v>
      </c>
      <c r="T2149" t="n">
        <v>4</v>
      </c>
      <c r="U2149" t="inlineStr">
        <is>
          <t>2010-03-04</t>
        </is>
      </c>
      <c r="V2149" t="inlineStr">
        <is>
          <t>2010-03-04</t>
        </is>
      </c>
      <c r="W2149" t="inlineStr">
        <is>
          <t>1991-12-04</t>
        </is>
      </c>
      <c r="X2149" t="inlineStr">
        <is>
          <t>1991-12-04</t>
        </is>
      </c>
      <c r="Y2149" t="n">
        <v>24</v>
      </c>
      <c r="Z2149" t="n">
        <v>15</v>
      </c>
      <c r="AA2149" t="n">
        <v>17</v>
      </c>
      <c r="AB2149" t="n">
        <v>1</v>
      </c>
      <c r="AC2149" t="n">
        <v>1</v>
      </c>
      <c r="AD2149" t="n">
        <v>9</v>
      </c>
      <c r="AE2149" t="n">
        <v>9</v>
      </c>
      <c r="AF2149" t="n">
        <v>2</v>
      </c>
      <c r="AG2149" t="n">
        <v>2</v>
      </c>
      <c r="AH2149" t="n">
        <v>2</v>
      </c>
      <c r="AI2149" t="n">
        <v>2</v>
      </c>
      <c r="AJ2149" t="n">
        <v>9</v>
      </c>
      <c r="AK2149" t="n">
        <v>9</v>
      </c>
      <c r="AL2149" t="n">
        <v>0</v>
      </c>
      <c r="AM2149" t="n">
        <v>0</v>
      </c>
      <c r="AN2149" t="n">
        <v>0</v>
      </c>
      <c r="AO2149" t="n">
        <v>0</v>
      </c>
      <c r="AP2149" t="inlineStr">
        <is>
          <t>No</t>
        </is>
      </c>
      <c r="AQ2149" t="inlineStr">
        <is>
          <t>No</t>
        </is>
      </c>
      <c r="AS2149">
        <f>HYPERLINK("https://creighton-primo.hosted.exlibrisgroup.com/primo-explore/search?tab=default_tab&amp;search_scope=EVERYTHING&amp;vid=01CRU&amp;lang=en_US&amp;offset=0&amp;query=any,contains,991001134489702656","Catalog Record")</f>
        <v/>
      </c>
      <c r="AT2149">
        <f>HYPERLINK("http://www.worldcat.org/oclc/16701894","WorldCat Record")</f>
        <v/>
      </c>
      <c r="AU2149" t="inlineStr">
        <is>
          <t>3855934478:eng</t>
        </is>
      </c>
      <c r="AV2149" t="inlineStr">
        <is>
          <t>16701894</t>
        </is>
      </c>
      <c r="AW2149" t="inlineStr">
        <is>
          <t>991001134489702656</t>
        </is>
      </c>
      <c r="AX2149" t="inlineStr">
        <is>
          <t>991001134489702656</t>
        </is>
      </c>
      <c r="AY2149" t="inlineStr">
        <is>
          <t>2255304470002656</t>
        </is>
      </c>
      <c r="AZ2149" t="inlineStr">
        <is>
          <t>BOOK</t>
        </is>
      </c>
      <c r="BC2149" t="inlineStr">
        <is>
          <t>32285000870997</t>
        </is>
      </c>
      <c r="BD2149" t="inlineStr">
        <is>
          <t>893534445</t>
        </is>
      </c>
    </row>
    <row r="2150">
      <c r="A2150" t="inlineStr">
        <is>
          <t>No</t>
        </is>
      </c>
      <c r="B2150" t="inlineStr">
        <is>
          <t>BX4700.P25 S8 1983</t>
        </is>
      </c>
      <c r="C2150" t="inlineStr">
        <is>
          <t>0                      BX 4700000P  25                 S  8           1983</t>
        </is>
      </c>
      <c r="D2150" t="inlineStr">
        <is>
          <t>St. Paul of the Cross : a source/workbook for Paulacrucian studies / text and general editor, Jude Mead.</t>
        </is>
      </c>
      <c r="F2150" t="inlineStr">
        <is>
          <t>No</t>
        </is>
      </c>
      <c r="G2150" t="inlineStr">
        <is>
          <t>1</t>
        </is>
      </c>
      <c r="H2150" t="inlineStr">
        <is>
          <t>No</t>
        </is>
      </c>
      <c r="I2150" t="inlineStr">
        <is>
          <t>No</t>
        </is>
      </c>
      <c r="J2150" t="inlineStr">
        <is>
          <t>0</t>
        </is>
      </c>
      <c r="L2150" t="inlineStr">
        <is>
          <t>New Rochelle, N.Y. : Published for the Congregation of the Passion by Don Bosco Publications, c1983.</t>
        </is>
      </c>
      <c r="M2150" t="inlineStr">
        <is>
          <t>1983</t>
        </is>
      </c>
      <c r="O2150" t="inlineStr">
        <is>
          <t>eng</t>
        </is>
      </c>
      <c r="P2150" t="inlineStr">
        <is>
          <t>nyu</t>
        </is>
      </c>
      <c r="R2150" t="inlineStr">
        <is>
          <t xml:space="preserve">BX </t>
        </is>
      </c>
      <c r="S2150" t="n">
        <v>4</v>
      </c>
      <c r="T2150" t="n">
        <v>4</v>
      </c>
      <c r="U2150" t="inlineStr">
        <is>
          <t>1996-07-15</t>
        </is>
      </c>
      <c r="V2150" t="inlineStr">
        <is>
          <t>1996-07-15</t>
        </is>
      </c>
      <c r="W2150" t="inlineStr">
        <is>
          <t>1991-12-04</t>
        </is>
      </c>
      <c r="X2150" t="inlineStr">
        <is>
          <t>1991-12-04</t>
        </is>
      </c>
      <c r="Y2150" t="n">
        <v>36</v>
      </c>
      <c r="Z2150" t="n">
        <v>33</v>
      </c>
      <c r="AA2150" t="n">
        <v>34</v>
      </c>
      <c r="AB2150" t="n">
        <v>1</v>
      </c>
      <c r="AC2150" t="n">
        <v>1</v>
      </c>
      <c r="AD2150" t="n">
        <v>3</v>
      </c>
      <c r="AE2150" t="n">
        <v>3</v>
      </c>
      <c r="AF2150" t="n">
        <v>0</v>
      </c>
      <c r="AG2150" t="n">
        <v>0</v>
      </c>
      <c r="AH2150" t="n">
        <v>1</v>
      </c>
      <c r="AI2150" t="n">
        <v>1</v>
      </c>
      <c r="AJ2150" t="n">
        <v>2</v>
      </c>
      <c r="AK2150" t="n">
        <v>2</v>
      </c>
      <c r="AL2150" t="n">
        <v>0</v>
      </c>
      <c r="AM2150" t="n">
        <v>0</v>
      </c>
      <c r="AN2150" t="n">
        <v>0</v>
      </c>
      <c r="AO2150" t="n">
        <v>0</v>
      </c>
      <c r="AP2150" t="inlineStr">
        <is>
          <t>No</t>
        </is>
      </c>
      <c r="AQ2150" t="inlineStr">
        <is>
          <t>Yes</t>
        </is>
      </c>
      <c r="AR2150">
        <f>HYPERLINK("http://catalog.hathitrust.org/Record/000407743","HathiTrust Record")</f>
        <v/>
      </c>
      <c r="AS2150">
        <f>HYPERLINK("https://creighton-primo.hosted.exlibrisgroup.com/primo-explore/search?tab=default_tab&amp;search_scope=EVERYTHING&amp;vid=01CRU&amp;lang=en_US&amp;offset=0&amp;query=any,contains,991000401049702656","Catalog Record")</f>
        <v/>
      </c>
      <c r="AT2150">
        <f>HYPERLINK("http://www.worldcat.org/oclc/10606578","WorldCat Record")</f>
        <v/>
      </c>
      <c r="AU2150" t="inlineStr">
        <is>
          <t>2901625:eng</t>
        </is>
      </c>
      <c r="AV2150" t="inlineStr">
        <is>
          <t>10606578</t>
        </is>
      </c>
      <c r="AW2150" t="inlineStr">
        <is>
          <t>991000401049702656</t>
        </is>
      </c>
      <c r="AX2150" t="inlineStr">
        <is>
          <t>991000401049702656</t>
        </is>
      </c>
      <c r="AY2150" t="inlineStr">
        <is>
          <t>2260284630002656</t>
        </is>
      </c>
      <c r="AZ2150" t="inlineStr">
        <is>
          <t>BOOK</t>
        </is>
      </c>
      <c r="BB2150" t="inlineStr">
        <is>
          <t>9780899440705</t>
        </is>
      </c>
      <c r="BC2150" t="inlineStr">
        <is>
          <t>32285000871037</t>
        </is>
      </c>
      <c r="BD2150" t="inlineStr">
        <is>
          <t>893515242</t>
        </is>
      </c>
    </row>
    <row r="2151">
      <c r="A2151" t="inlineStr">
        <is>
          <t>No</t>
        </is>
      </c>
      <c r="B2151" t="inlineStr">
        <is>
          <t>BX4700.P3 G6 1938a</t>
        </is>
      </c>
      <c r="C2151" t="inlineStr">
        <is>
          <t>0                      BX 4700000P  3                  G  6           1938a</t>
        </is>
      </c>
      <c r="D2151" t="inlineStr">
        <is>
          <t>I follow Saint Patrick / [by] Oliver St. John Gogarty.</t>
        </is>
      </c>
      <c r="F2151" t="inlineStr">
        <is>
          <t>No</t>
        </is>
      </c>
      <c r="G2151" t="inlineStr">
        <is>
          <t>1</t>
        </is>
      </c>
      <c r="H2151" t="inlineStr">
        <is>
          <t>No</t>
        </is>
      </c>
      <c r="I2151" t="inlineStr">
        <is>
          <t>No</t>
        </is>
      </c>
      <c r="J2151" t="inlineStr">
        <is>
          <t>0</t>
        </is>
      </c>
      <c r="K2151" t="inlineStr">
        <is>
          <t>Gogarty, Oliver St. John, 1878-1957.</t>
        </is>
      </c>
      <c r="L2151" t="inlineStr">
        <is>
          <t>New York : Reynal &amp; Hitchcock, [c1938]</t>
        </is>
      </c>
      <c r="M2151" t="inlineStr">
        <is>
          <t>1938</t>
        </is>
      </c>
      <c r="O2151" t="inlineStr">
        <is>
          <t>eng</t>
        </is>
      </c>
      <c r="P2151" t="inlineStr">
        <is>
          <t>nyu</t>
        </is>
      </c>
      <c r="R2151" t="inlineStr">
        <is>
          <t xml:space="preserve">BX </t>
        </is>
      </c>
      <c r="S2151" t="n">
        <v>4</v>
      </c>
      <c r="T2151" t="n">
        <v>4</v>
      </c>
      <c r="U2151" t="inlineStr">
        <is>
          <t>2009-06-17</t>
        </is>
      </c>
      <c r="V2151" t="inlineStr">
        <is>
          <t>2009-06-17</t>
        </is>
      </c>
      <c r="W2151" t="inlineStr">
        <is>
          <t>1991-12-04</t>
        </is>
      </c>
      <c r="X2151" t="inlineStr">
        <is>
          <t>1991-12-04</t>
        </is>
      </c>
      <c r="Y2151" t="n">
        <v>222</v>
      </c>
      <c r="Z2151" t="n">
        <v>204</v>
      </c>
      <c r="AA2151" t="n">
        <v>324</v>
      </c>
      <c r="AB2151" t="n">
        <v>1</v>
      </c>
      <c r="AC2151" t="n">
        <v>2</v>
      </c>
      <c r="AD2151" t="n">
        <v>14</v>
      </c>
      <c r="AE2151" t="n">
        <v>25</v>
      </c>
      <c r="AF2151" t="n">
        <v>5</v>
      </c>
      <c r="AG2151" t="n">
        <v>9</v>
      </c>
      <c r="AH2151" t="n">
        <v>4</v>
      </c>
      <c r="AI2151" t="n">
        <v>6</v>
      </c>
      <c r="AJ2151" t="n">
        <v>10</v>
      </c>
      <c r="AK2151" t="n">
        <v>19</v>
      </c>
      <c r="AL2151" t="n">
        <v>0</v>
      </c>
      <c r="AM2151" t="n">
        <v>1</v>
      </c>
      <c r="AN2151" t="n">
        <v>0</v>
      </c>
      <c r="AO2151" t="n">
        <v>0</v>
      </c>
      <c r="AP2151" t="inlineStr">
        <is>
          <t>No</t>
        </is>
      </c>
      <c r="AQ2151" t="inlineStr">
        <is>
          <t>No</t>
        </is>
      </c>
      <c r="AS2151">
        <f>HYPERLINK("https://creighton-primo.hosted.exlibrisgroup.com/primo-explore/search?tab=default_tab&amp;search_scope=EVERYTHING&amp;vid=01CRU&amp;lang=en_US&amp;offset=0&amp;query=any,contains,991004095549702656","Catalog Record")</f>
        <v/>
      </c>
      <c r="AT2151">
        <f>HYPERLINK("http://www.worldcat.org/oclc/2358532","WorldCat Record")</f>
        <v/>
      </c>
      <c r="AU2151" t="inlineStr">
        <is>
          <t>1531770:eng</t>
        </is>
      </c>
      <c r="AV2151" t="inlineStr">
        <is>
          <t>2358532</t>
        </is>
      </c>
      <c r="AW2151" t="inlineStr">
        <is>
          <t>991004095549702656</t>
        </is>
      </c>
      <c r="AX2151" t="inlineStr">
        <is>
          <t>991004095549702656</t>
        </is>
      </c>
      <c r="AY2151" t="inlineStr">
        <is>
          <t>2260972990002656</t>
        </is>
      </c>
      <c r="AZ2151" t="inlineStr">
        <is>
          <t>BOOK</t>
        </is>
      </c>
      <c r="BC2151" t="inlineStr">
        <is>
          <t>32285000871094</t>
        </is>
      </c>
      <c r="BD2151" t="inlineStr">
        <is>
          <t>893699840</t>
        </is>
      </c>
    </row>
    <row r="2152">
      <c r="A2152" t="inlineStr">
        <is>
          <t>No</t>
        </is>
      </c>
      <c r="B2152" t="inlineStr">
        <is>
          <t>BX4700.P31 L5 1917</t>
        </is>
      </c>
      <c r="C2152" t="inlineStr">
        <is>
          <t>0                      BX 4700000P  31                 L  5           1917</t>
        </is>
      </c>
      <c r="D2152" t="inlineStr">
        <is>
          <t>The story of St. Patrick's purgatory / by Shane Leslie.</t>
        </is>
      </c>
      <c r="F2152" t="inlineStr">
        <is>
          <t>No</t>
        </is>
      </c>
      <c r="G2152" t="inlineStr">
        <is>
          <t>1</t>
        </is>
      </c>
      <c r="H2152" t="inlineStr">
        <is>
          <t>No</t>
        </is>
      </c>
      <c r="I2152" t="inlineStr">
        <is>
          <t>No</t>
        </is>
      </c>
      <c r="J2152" t="inlineStr">
        <is>
          <t>0</t>
        </is>
      </c>
      <c r="K2152" t="inlineStr">
        <is>
          <t>Leslie, Shane, 1885-1971.</t>
        </is>
      </c>
      <c r="L2152" t="inlineStr">
        <is>
          <t>St. Louis, Mo., and London : B. Herder book co., 1917.</t>
        </is>
      </c>
      <c r="M2152" t="inlineStr">
        <is>
          <t>1917</t>
        </is>
      </c>
      <c r="O2152" t="inlineStr">
        <is>
          <t>eng</t>
        </is>
      </c>
      <c r="P2152" t="inlineStr">
        <is>
          <t>mou</t>
        </is>
      </c>
      <c r="R2152" t="inlineStr">
        <is>
          <t xml:space="preserve">BX </t>
        </is>
      </c>
      <c r="S2152" t="n">
        <v>4</v>
      </c>
      <c r="T2152" t="n">
        <v>4</v>
      </c>
      <c r="U2152" t="inlineStr">
        <is>
          <t>2002-04-19</t>
        </is>
      </c>
      <c r="V2152" t="inlineStr">
        <is>
          <t>2002-04-19</t>
        </is>
      </c>
      <c r="W2152" t="inlineStr">
        <is>
          <t>1991-12-04</t>
        </is>
      </c>
      <c r="X2152" t="inlineStr">
        <is>
          <t>1991-12-04</t>
        </is>
      </c>
      <c r="Y2152" t="n">
        <v>75</v>
      </c>
      <c r="Z2152" t="n">
        <v>55</v>
      </c>
      <c r="AA2152" t="n">
        <v>69</v>
      </c>
      <c r="AB2152" t="n">
        <v>1</v>
      </c>
      <c r="AC2152" t="n">
        <v>1</v>
      </c>
      <c r="AD2152" t="n">
        <v>11</v>
      </c>
      <c r="AE2152" t="n">
        <v>11</v>
      </c>
      <c r="AF2152" t="n">
        <v>4</v>
      </c>
      <c r="AG2152" t="n">
        <v>4</v>
      </c>
      <c r="AH2152" t="n">
        <v>2</v>
      </c>
      <c r="AI2152" t="n">
        <v>2</v>
      </c>
      <c r="AJ2152" t="n">
        <v>9</v>
      </c>
      <c r="AK2152" t="n">
        <v>9</v>
      </c>
      <c r="AL2152" t="n">
        <v>0</v>
      </c>
      <c r="AM2152" t="n">
        <v>0</v>
      </c>
      <c r="AN2152" t="n">
        <v>0</v>
      </c>
      <c r="AO2152" t="n">
        <v>0</v>
      </c>
      <c r="AP2152" t="inlineStr">
        <is>
          <t>Yes</t>
        </is>
      </c>
      <c r="AQ2152" t="inlineStr">
        <is>
          <t>No</t>
        </is>
      </c>
      <c r="AR2152">
        <f>HYPERLINK("http://catalog.hathitrust.org/Record/100325111","HathiTrust Record")</f>
        <v/>
      </c>
      <c r="AS2152">
        <f>HYPERLINK("https://creighton-primo.hosted.exlibrisgroup.com/primo-explore/search?tab=default_tab&amp;search_scope=EVERYTHING&amp;vid=01CRU&amp;lang=en_US&amp;offset=0&amp;query=any,contains,991004465469702656","Catalog Record")</f>
        <v/>
      </c>
      <c r="AT2152">
        <f>HYPERLINK("http://www.worldcat.org/oclc/3566505","WorldCat Record")</f>
        <v/>
      </c>
      <c r="AU2152" t="inlineStr">
        <is>
          <t>3858001698:eng</t>
        </is>
      </c>
      <c r="AV2152" t="inlineStr">
        <is>
          <t>3566505</t>
        </is>
      </c>
      <c r="AW2152" t="inlineStr">
        <is>
          <t>991004465469702656</t>
        </is>
      </c>
      <c r="AX2152" t="inlineStr">
        <is>
          <t>991004465469702656</t>
        </is>
      </c>
      <c r="AY2152" t="inlineStr">
        <is>
          <t>2268803710002656</t>
        </is>
      </c>
      <c r="AZ2152" t="inlineStr">
        <is>
          <t>BOOK</t>
        </is>
      </c>
      <c r="BC2152" t="inlineStr">
        <is>
          <t>32285000871128</t>
        </is>
      </c>
      <c r="BD2152" t="inlineStr">
        <is>
          <t>893526119</t>
        </is>
      </c>
    </row>
    <row r="2153">
      <c r="A2153" t="inlineStr">
        <is>
          <t>No</t>
        </is>
      </c>
      <c r="B2153" t="inlineStr">
        <is>
          <t>BX4700.P38 B353 1959</t>
        </is>
      </c>
      <c r="C2153" t="inlineStr">
        <is>
          <t>0                      BX 4700000P  38                 B  353         1959</t>
        </is>
      </c>
      <c r="D2153" t="inlineStr">
        <is>
          <t>Saint Mary Euphrasia Pelletier : foundress of the Good Shepherd Sisters / [Translation from the French]</t>
        </is>
      </c>
      <c r="F2153" t="inlineStr">
        <is>
          <t>No</t>
        </is>
      </c>
      <c r="G2153" t="inlineStr">
        <is>
          <t>1</t>
        </is>
      </c>
      <c r="H2153" t="inlineStr">
        <is>
          <t>No</t>
        </is>
      </c>
      <c r="I2153" t="inlineStr">
        <is>
          <t>No</t>
        </is>
      </c>
      <c r="J2153" t="inlineStr">
        <is>
          <t>0</t>
        </is>
      </c>
      <c r="K2153" t="inlineStr">
        <is>
          <t>Bernoville, Gaëtan, 1889-1960.</t>
        </is>
      </c>
      <c r="L2153" t="inlineStr">
        <is>
          <t>Westminster, Md. : Newman Press, [1959]</t>
        </is>
      </c>
      <c r="M2153" t="inlineStr">
        <is>
          <t>1959</t>
        </is>
      </c>
      <c r="O2153" t="inlineStr">
        <is>
          <t>eng</t>
        </is>
      </c>
      <c r="P2153" t="inlineStr">
        <is>
          <t>mdu</t>
        </is>
      </c>
      <c r="R2153" t="inlineStr">
        <is>
          <t xml:space="preserve">BX </t>
        </is>
      </c>
      <c r="S2153" t="n">
        <v>9</v>
      </c>
      <c r="T2153" t="n">
        <v>9</v>
      </c>
      <c r="U2153" t="inlineStr">
        <is>
          <t>2002-09-26</t>
        </is>
      </c>
      <c r="V2153" t="inlineStr">
        <is>
          <t>2002-09-26</t>
        </is>
      </c>
      <c r="W2153" t="inlineStr">
        <is>
          <t>1991-12-04</t>
        </is>
      </c>
      <c r="X2153" t="inlineStr">
        <is>
          <t>1991-12-04</t>
        </is>
      </c>
      <c r="Y2153" t="n">
        <v>53</v>
      </c>
      <c r="Z2153" t="n">
        <v>46</v>
      </c>
      <c r="AA2153" t="n">
        <v>58</v>
      </c>
      <c r="AB2153" t="n">
        <v>1</v>
      </c>
      <c r="AC2153" t="n">
        <v>1</v>
      </c>
      <c r="AD2153" t="n">
        <v>7</v>
      </c>
      <c r="AE2153" t="n">
        <v>11</v>
      </c>
      <c r="AF2153" t="n">
        <v>1</v>
      </c>
      <c r="AG2153" t="n">
        <v>1</v>
      </c>
      <c r="AH2153" t="n">
        <v>1</v>
      </c>
      <c r="AI2153" t="n">
        <v>3</v>
      </c>
      <c r="AJ2153" t="n">
        <v>7</v>
      </c>
      <c r="AK2153" t="n">
        <v>9</v>
      </c>
      <c r="AL2153" t="n">
        <v>0</v>
      </c>
      <c r="AM2153" t="n">
        <v>0</v>
      </c>
      <c r="AN2153" t="n">
        <v>0</v>
      </c>
      <c r="AO2153" t="n">
        <v>0</v>
      </c>
      <c r="AP2153" t="inlineStr">
        <is>
          <t>No</t>
        </is>
      </c>
      <c r="AQ2153" t="inlineStr">
        <is>
          <t>No</t>
        </is>
      </c>
      <c r="AS2153">
        <f>HYPERLINK("https://creighton-primo.hosted.exlibrisgroup.com/primo-explore/search?tab=default_tab&amp;search_scope=EVERYTHING&amp;vid=01CRU&amp;lang=en_US&amp;offset=0&amp;query=any,contains,991004734539702656","Catalog Record")</f>
        <v/>
      </c>
      <c r="AT2153">
        <f>HYPERLINK("http://www.worldcat.org/oclc/4848453","WorldCat Record")</f>
        <v/>
      </c>
      <c r="AU2153" t="inlineStr">
        <is>
          <t>7844834:eng</t>
        </is>
      </c>
      <c r="AV2153" t="inlineStr">
        <is>
          <t>4848453</t>
        </is>
      </c>
      <c r="AW2153" t="inlineStr">
        <is>
          <t>991004734539702656</t>
        </is>
      </c>
      <c r="AX2153" t="inlineStr">
        <is>
          <t>991004734539702656</t>
        </is>
      </c>
      <c r="AY2153" t="inlineStr">
        <is>
          <t>2266102950002656</t>
        </is>
      </c>
      <c r="AZ2153" t="inlineStr">
        <is>
          <t>BOOK</t>
        </is>
      </c>
      <c r="BC2153" t="inlineStr">
        <is>
          <t>32285000871136</t>
        </is>
      </c>
      <c r="BD2153" t="inlineStr">
        <is>
          <t>893507172</t>
        </is>
      </c>
    </row>
    <row r="2154">
      <c r="A2154" t="inlineStr">
        <is>
          <t>No</t>
        </is>
      </c>
      <c r="B2154" t="inlineStr">
        <is>
          <t>BX4700.P38 B6 1955</t>
        </is>
      </c>
      <c r="C2154" t="inlineStr">
        <is>
          <t>0                      BX 4700000P  38                 B  6           1955</t>
        </is>
      </c>
      <c r="D2154" t="inlineStr">
        <is>
          <t>Good Shepherd's fold : a biography of St. Mary Euphrasia Pelletier, R.G.S., foundress of the Congregatin of Our Lady of Charity of the Good Shepherd of Angers.</t>
        </is>
      </c>
      <c r="F2154" t="inlineStr">
        <is>
          <t>No</t>
        </is>
      </c>
      <c r="G2154" t="inlineStr">
        <is>
          <t>1</t>
        </is>
      </c>
      <c r="H2154" t="inlineStr">
        <is>
          <t>No</t>
        </is>
      </c>
      <c r="I2154" t="inlineStr">
        <is>
          <t>No</t>
        </is>
      </c>
      <c r="J2154" t="inlineStr">
        <is>
          <t>0</t>
        </is>
      </c>
      <c r="K2154" t="inlineStr">
        <is>
          <t>Boardman, Anne Cawley.</t>
        </is>
      </c>
      <c r="L2154" t="inlineStr">
        <is>
          <t>New York : Harper, [1955]</t>
        </is>
      </c>
      <c r="M2154" t="inlineStr">
        <is>
          <t>1955</t>
        </is>
      </c>
      <c r="N2154" t="inlineStr">
        <is>
          <t>[1st ed.]</t>
        </is>
      </c>
      <c r="O2154" t="inlineStr">
        <is>
          <t>eng</t>
        </is>
      </c>
      <c r="P2154" t="inlineStr">
        <is>
          <t xml:space="preserve">ny </t>
        </is>
      </c>
      <c r="R2154" t="inlineStr">
        <is>
          <t xml:space="preserve">BX </t>
        </is>
      </c>
      <c r="S2154" t="n">
        <v>8</v>
      </c>
      <c r="T2154" t="n">
        <v>8</v>
      </c>
      <c r="U2154" t="inlineStr">
        <is>
          <t>2002-09-26</t>
        </is>
      </c>
      <c r="V2154" t="inlineStr">
        <is>
          <t>2002-09-26</t>
        </is>
      </c>
      <c r="W2154" t="inlineStr">
        <is>
          <t>1991-12-04</t>
        </is>
      </c>
      <c r="X2154" t="inlineStr">
        <is>
          <t>1991-12-04</t>
        </is>
      </c>
      <c r="Y2154" t="n">
        <v>146</v>
      </c>
      <c r="Z2154" t="n">
        <v>135</v>
      </c>
      <c r="AA2154" t="n">
        <v>135</v>
      </c>
      <c r="AB2154" t="n">
        <v>3</v>
      </c>
      <c r="AC2154" t="n">
        <v>3</v>
      </c>
      <c r="AD2154" t="n">
        <v>21</v>
      </c>
      <c r="AE2154" t="n">
        <v>21</v>
      </c>
      <c r="AF2154" t="n">
        <v>7</v>
      </c>
      <c r="AG2154" t="n">
        <v>7</v>
      </c>
      <c r="AH2154" t="n">
        <v>6</v>
      </c>
      <c r="AI2154" t="n">
        <v>6</v>
      </c>
      <c r="AJ2154" t="n">
        <v>15</v>
      </c>
      <c r="AK2154" t="n">
        <v>15</v>
      </c>
      <c r="AL2154" t="n">
        <v>0</v>
      </c>
      <c r="AM2154" t="n">
        <v>0</v>
      </c>
      <c r="AN2154" t="n">
        <v>0</v>
      </c>
      <c r="AO2154" t="n">
        <v>0</v>
      </c>
      <c r="AP2154" t="inlineStr">
        <is>
          <t>No</t>
        </is>
      </c>
      <c r="AQ2154" t="inlineStr">
        <is>
          <t>No</t>
        </is>
      </c>
      <c r="AS2154">
        <f>HYPERLINK("https://creighton-primo.hosted.exlibrisgroup.com/primo-explore/search?tab=default_tab&amp;search_scope=EVERYTHING&amp;vid=01CRU&amp;lang=en_US&amp;offset=0&amp;query=any,contains,991004090379702656","Catalog Record")</f>
        <v/>
      </c>
      <c r="AT2154">
        <f>HYPERLINK("http://www.worldcat.org/oclc/2344857","WorldCat Record")</f>
        <v/>
      </c>
      <c r="AU2154" t="inlineStr">
        <is>
          <t>10624575931:eng</t>
        </is>
      </c>
      <c r="AV2154" t="inlineStr">
        <is>
          <t>2344857</t>
        </is>
      </c>
      <c r="AW2154" t="inlineStr">
        <is>
          <t>991004090379702656</t>
        </is>
      </c>
      <c r="AX2154" t="inlineStr">
        <is>
          <t>991004090379702656</t>
        </is>
      </c>
      <c r="AY2154" t="inlineStr">
        <is>
          <t>2262371390002656</t>
        </is>
      </c>
      <c r="AZ2154" t="inlineStr">
        <is>
          <t>BOOK</t>
        </is>
      </c>
      <c r="BC2154" t="inlineStr">
        <is>
          <t>32285000871144</t>
        </is>
      </c>
      <c r="BD2154" t="inlineStr">
        <is>
          <t>893693502</t>
        </is>
      </c>
    </row>
    <row r="2155">
      <c r="A2155" t="inlineStr">
        <is>
          <t>No</t>
        </is>
      </c>
      <c r="B2155" t="inlineStr">
        <is>
          <t>BX4700.P77 A4 1989</t>
        </is>
      </c>
      <c r="C2155" t="inlineStr">
        <is>
          <t>0                      BX 4700000P  77                 A  4           1989</t>
        </is>
      </c>
      <c r="D2155" t="inlineStr">
        <is>
          <t>Letters / Peter Damian ; translated by Owen J. Blum.</t>
        </is>
      </c>
      <c r="E2155" t="inlineStr">
        <is>
          <t>V. 4</t>
        </is>
      </c>
      <c r="F2155" t="inlineStr">
        <is>
          <t>Yes</t>
        </is>
      </c>
      <c r="G2155" t="inlineStr">
        <is>
          <t>1</t>
        </is>
      </c>
      <c r="H2155" t="inlineStr">
        <is>
          <t>No</t>
        </is>
      </c>
      <c r="I2155" t="inlineStr">
        <is>
          <t>No</t>
        </is>
      </c>
      <c r="J2155" t="inlineStr">
        <is>
          <t>0</t>
        </is>
      </c>
      <c r="K2155" t="inlineStr">
        <is>
          <t>Peter Damian, Saint, 1007?-1072.</t>
        </is>
      </c>
      <c r="L2155" t="inlineStr">
        <is>
          <t>Washington, D.C. : Catholic University of America Press, c1989-</t>
        </is>
      </c>
      <c r="M2155" t="inlineStr">
        <is>
          <t>1989</t>
        </is>
      </c>
      <c r="O2155" t="inlineStr">
        <is>
          <t>eng</t>
        </is>
      </c>
      <c r="P2155" t="inlineStr">
        <is>
          <t>dcu</t>
        </is>
      </c>
      <c r="Q2155" t="inlineStr">
        <is>
          <t>The Fathers of the church. Mediaeval continuation ; v. 1-3, 5-6</t>
        </is>
      </c>
      <c r="R2155" t="inlineStr">
        <is>
          <t xml:space="preserve">BX </t>
        </is>
      </c>
      <c r="S2155" t="n">
        <v>3</v>
      </c>
      <c r="T2155" t="n">
        <v>14</v>
      </c>
      <c r="U2155" t="inlineStr">
        <is>
          <t>2009-11-13</t>
        </is>
      </c>
      <c r="V2155" t="inlineStr">
        <is>
          <t>2009-11-13</t>
        </is>
      </c>
      <c r="W2155" t="inlineStr">
        <is>
          <t>2004-09-09</t>
        </is>
      </c>
      <c r="X2155" t="inlineStr">
        <is>
          <t>2005-08-09</t>
        </is>
      </c>
      <c r="Y2155" t="n">
        <v>445</v>
      </c>
      <c r="Z2155" t="n">
        <v>370</v>
      </c>
      <c r="AA2155" t="n">
        <v>377</v>
      </c>
      <c r="AB2155" t="n">
        <v>4</v>
      </c>
      <c r="AC2155" t="n">
        <v>4</v>
      </c>
      <c r="AD2155" t="n">
        <v>27</v>
      </c>
      <c r="AE2155" t="n">
        <v>27</v>
      </c>
      <c r="AF2155" t="n">
        <v>11</v>
      </c>
      <c r="AG2155" t="n">
        <v>11</v>
      </c>
      <c r="AH2155" t="n">
        <v>6</v>
      </c>
      <c r="AI2155" t="n">
        <v>6</v>
      </c>
      <c r="AJ2155" t="n">
        <v>18</v>
      </c>
      <c r="AK2155" t="n">
        <v>18</v>
      </c>
      <c r="AL2155" t="n">
        <v>2</v>
      </c>
      <c r="AM2155" t="n">
        <v>2</v>
      </c>
      <c r="AN2155" t="n">
        <v>0</v>
      </c>
      <c r="AO2155" t="n">
        <v>0</v>
      </c>
      <c r="AP2155" t="inlineStr">
        <is>
          <t>No</t>
        </is>
      </c>
      <c r="AQ2155" t="inlineStr">
        <is>
          <t>Yes</t>
        </is>
      </c>
      <c r="AR2155">
        <f>HYPERLINK("http://catalog.hathitrust.org/Record/001953375","HathiTrust Record")</f>
        <v/>
      </c>
      <c r="AS2155">
        <f>HYPERLINK("https://creighton-primo.hosted.exlibrisgroup.com/primo-explore/search?tab=default_tab&amp;search_scope=EVERYTHING&amp;vid=01CRU&amp;lang=en_US&amp;offset=0&amp;query=any,contains,991004327629702656","Catalog Record")</f>
        <v/>
      </c>
      <c r="AT2155">
        <f>HYPERLINK("http://www.worldcat.org/oclc/18442102","WorldCat Record")</f>
        <v/>
      </c>
      <c r="AU2155" t="inlineStr">
        <is>
          <t>4020673164:eng</t>
        </is>
      </c>
      <c r="AV2155" t="inlineStr">
        <is>
          <t>18442102</t>
        </is>
      </c>
      <c r="AW2155" t="inlineStr">
        <is>
          <t>991004327629702656</t>
        </is>
      </c>
      <c r="AX2155" t="inlineStr">
        <is>
          <t>991004327629702656</t>
        </is>
      </c>
      <c r="AY2155" t="inlineStr">
        <is>
          <t>2269500580002656</t>
        </is>
      </c>
      <c r="AZ2155" t="inlineStr">
        <is>
          <t>BOOK</t>
        </is>
      </c>
      <c r="BB2155" t="inlineStr">
        <is>
          <t>9780813207025</t>
        </is>
      </c>
      <c r="BC2155" t="inlineStr">
        <is>
          <t>32285004985908</t>
        </is>
      </c>
      <c r="BD2155" t="inlineStr">
        <is>
          <t>893712452</t>
        </is>
      </c>
    </row>
    <row r="2156">
      <c r="A2156" t="inlineStr">
        <is>
          <t>No</t>
        </is>
      </c>
      <c r="B2156" t="inlineStr">
        <is>
          <t>BX4700.P77 A4 1989</t>
        </is>
      </c>
      <c r="C2156" t="inlineStr">
        <is>
          <t>0                      BX 4700000P  77                 A  4           1989</t>
        </is>
      </c>
      <c r="D2156" t="inlineStr">
        <is>
          <t>Letters / Peter Damian ; translated by Owen J. Blum.</t>
        </is>
      </c>
      <c r="E2156" t="inlineStr">
        <is>
          <t>V. 3</t>
        </is>
      </c>
      <c r="F2156" t="inlineStr">
        <is>
          <t>Yes</t>
        </is>
      </c>
      <c r="G2156" t="inlineStr">
        <is>
          <t>1</t>
        </is>
      </c>
      <c r="H2156" t="inlineStr">
        <is>
          <t>No</t>
        </is>
      </c>
      <c r="I2156" t="inlineStr">
        <is>
          <t>No</t>
        </is>
      </c>
      <c r="J2156" t="inlineStr">
        <is>
          <t>0</t>
        </is>
      </c>
      <c r="K2156" t="inlineStr">
        <is>
          <t>Peter Damian, Saint, 1007?-1072.</t>
        </is>
      </c>
      <c r="L2156" t="inlineStr">
        <is>
          <t>Washington, D.C. : Catholic University of America Press, c1989-</t>
        </is>
      </c>
      <c r="M2156" t="inlineStr">
        <is>
          <t>1989</t>
        </is>
      </c>
      <c r="O2156" t="inlineStr">
        <is>
          <t>eng</t>
        </is>
      </c>
      <c r="P2156" t="inlineStr">
        <is>
          <t>dcu</t>
        </is>
      </c>
      <c r="Q2156" t="inlineStr">
        <is>
          <t>The Fathers of the church. Mediaeval continuation ; v. 1-3, 5-6</t>
        </is>
      </c>
      <c r="R2156" t="inlineStr">
        <is>
          <t xml:space="preserve">BX </t>
        </is>
      </c>
      <c r="S2156" t="n">
        <v>3</v>
      </c>
      <c r="T2156" t="n">
        <v>14</v>
      </c>
      <c r="U2156" t="inlineStr">
        <is>
          <t>2009-11-13</t>
        </is>
      </c>
      <c r="V2156" t="inlineStr">
        <is>
          <t>2009-11-13</t>
        </is>
      </c>
      <c r="W2156" t="inlineStr">
        <is>
          <t>2004-09-09</t>
        </is>
      </c>
      <c r="X2156" t="inlineStr">
        <is>
          <t>2005-08-09</t>
        </is>
      </c>
      <c r="Y2156" t="n">
        <v>445</v>
      </c>
      <c r="Z2156" t="n">
        <v>370</v>
      </c>
      <c r="AA2156" t="n">
        <v>377</v>
      </c>
      <c r="AB2156" t="n">
        <v>4</v>
      </c>
      <c r="AC2156" t="n">
        <v>4</v>
      </c>
      <c r="AD2156" t="n">
        <v>27</v>
      </c>
      <c r="AE2156" t="n">
        <v>27</v>
      </c>
      <c r="AF2156" t="n">
        <v>11</v>
      </c>
      <c r="AG2156" t="n">
        <v>11</v>
      </c>
      <c r="AH2156" t="n">
        <v>6</v>
      </c>
      <c r="AI2156" t="n">
        <v>6</v>
      </c>
      <c r="AJ2156" t="n">
        <v>18</v>
      </c>
      <c r="AK2156" t="n">
        <v>18</v>
      </c>
      <c r="AL2156" t="n">
        <v>2</v>
      </c>
      <c r="AM2156" t="n">
        <v>2</v>
      </c>
      <c r="AN2156" t="n">
        <v>0</v>
      </c>
      <c r="AO2156" t="n">
        <v>0</v>
      </c>
      <c r="AP2156" t="inlineStr">
        <is>
          <t>No</t>
        </is>
      </c>
      <c r="AQ2156" t="inlineStr">
        <is>
          <t>Yes</t>
        </is>
      </c>
      <c r="AR2156">
        <f>HYPERLINK("http://catalog.hathitrust.org/Record/001953375","HathiTrust Record")</f>
        <v/>
      </c>
      <c r="AS2156">
        <f>HYPERLINK("https://creighton-primo.hosted.exlibrisgroup.com/primo-explore/search?tab=default_tab&amp;search_scope=EVERYTHING&amp;vid=01CRU&amp;lang=en_US&amp;offset=0&amp;query=any,contains,991004327629702656","Catalog Record")</f>
        <v/>
      </c>
      <c r="AT2156">
        <f>HYPERLINK("http://www.worldcat.org/oclc/18442102","WorldCat Record")</f>
        <v/>
      </c>
      <c r="AU2156" t="inlineStr">
        <is>
          <t>4020673164:eng</t>
        </is>
      </c>
      <c r="AV2156" t="inlineStr">
        <is>
          <t>18442102</t>
        </is>
      </c>
      <c r="AW2156" t="inlineStr">
        <is>
          <t>991004327629702656</t>
        </is>
      </c>
      <c r="AX2156" t="inlineStr">
        <is>
          <t>991004327629702656</t>
        </is>
      </c>
      <c r="AY2156" t="inlineStr">
        <is>
          <t>2269500580002656</t>
        </is>
      </c>
      <c r="AZ2156" t="inlineStr">
        <is>
          <t>BOOK</t>
        </is>
      </c>
      <c r="BB2156" t="inlineStr">
        <is>
          <t>9780813207025</t>
        </is>
      </c>
      <c r="BC2156" t="inlineStr">
        <is>
          <t>32285004985890</t>
        </is>
      </c>
      <c r="BD2156" t="inlineStr">
        <is>
          <t>893687610</t>
        </is>
      </c>
    </row>
    <row r="2157">
      <c r="A2157" t="inlineStr">
        <is>
          <t>No</t>
        </is>
      </c>
      <c r="B2157" t="inlineStr">
        <is>
          <t>BX4700.P77 A4 1989</t>
        </is>
      </c>
      <c r="C2157" t="inlineStr">
        <is>
          <t>0                      BX 4700000P  77                 A  4           1989</t>
        </is>
      </c>
      <c r="D2157" t="inlineStr">
        <is>
          <t>Letters / Peter Damian ; translated by Owen J. Blum.</t>
        </is>
      </c>
      <c r="E2157" t="inlineStr">
        <is>
          <t>V. 5</t>
        </is>
      </c>
      <c r="F2157" t="inlineStr">
        <is>
          <t>Yes</t>
        </is>
      </c>
      <c r="G2157" t="inlineStr">
        <is>
          <t>1</t>
        </is>
      </c>
      <c r="H2157" t="inlineStr">
        <is>
          <t>No</t>
        </is>
      </c>
      <c r="I2157" t="inlineStr">
        <is>
          <t>No</t>
        </is>
      </c>
      <c r="J2157" t="inlineStr">
        <is>
          <t>0</t>
        </is>
      </c>
      <c r="K2157" t="inlineStr">
        <is>
          <t>Peter Damian, Saint, 1007?-1072.</t>
        </is>
      </c>
      <c r="L2157" t="inlineStr">
        <is>
          <t>Washington, D.C. : Catholic University of America Press, c1989-</t>
        </is>
      </c>
      <c r="M2157" t="inlineStr">
        <is>
          <t>1989</t>
        </is>
      </c>
      <c r="O2157" t="inlineStr">
        <is>
          <t>eng</t>
        </is>
      </c>
      <c r="P2157" t="inlineStr">
        <is>
          <t>dcu</t>
        </is>
      </c>
      <c r="Q2157" t="inlineStr">
        <is>
          <t>The Fathers of the church. Mediaeval continuation ; v. 1-3, 5-6</t>
        </is>
      </c>
      <c r="R2157" t="inlineStr">
        <is>
          <t xml:space="preserve">BX </t>
        </is>
      </c>
      <c r="S2157" t="n">
        <v>3</v>
      </c>
      <c r="T2157" t="n">
        <v>14</v>
      </c>
      <c r="U2157" t="inlineStr">
        <is>
          <t>2008-02-10</t>
        </is>
      </c>
      <c r="V2157" t="inlineStr">
        <is>
          <t>2009-11-13</t>
        </is>
      </c>
      <c r="W2157" t="inlineStr">
        <is>
          <t>2005-08-09</t>
        </is>
      </c>
      <c r="X2157" t="inlineStr">
        <is>
          <t>2005-08-09</t>
        </is>
      </c>
      <c r="Y2157" t="n">
        <v>445</v>
      </c>
      <c r="Z2157" t="n">
        <v>370</v>
      </c>
      <c r="AA2157" t="n">
        <v>377</v>
      </c>
      <c r="AB2157" t="n">
        <v>4</v>
      </c>
      <c r="AC2157" t="n">
        <v>4</v>
      </c>
      <c r="AD2157" t="n">
        <v>27</v>
      </c>
      <c r="AE2157" t="n">
        <v>27</v>
      </c>
      <c r="AF2157" t="n">
        <v>11</v>
      </c>
      <c r="AG2157" t="n">
        <v>11</v>
      </c>
      <c r="AH2157" t="n">
        <v>6</v>
      </c>
      <c r="AI2157" t="n">
        <v>6</v>
      </c>
      <c r="AJ2157" t="n">
        <v>18</v>
      </c>
      <c r="AK2157" t="n">
        <v>18</v>
      </c>
      <c r="AL2157" t="n">
        <v>2</v>
      </c>
      <c r="AM2157" t="n">
        <v>2</v>
      </c>
      <c r="AN2157" t="n">
        <v>0</v>
      </c>
      <c r="AO2157" t="n">
        <v>0</v>
      </c>
      <c r="AP2157" t="inlineStr">
        <is>
          <t>No</t>
        </is>
      </c>
      <c r="AQ2157" t="inlineStr">
        <is>
          <t>Yes</t>
        </is>
      </c>
      <c r="AR2157">
        <f>HYPERLINK("http://catalog.hathitrust.org/Record/001953375","HathiTrust Record")</f>
        <v/>
      </c>
      <c r="AS2157">
        <f>HYPERLINK("https://creighton-primo.hosted.exlibrisgroup.com/primo-explore/search?tab=default_tab&amp;search_scope=EVERYTHING&amp;vid=01CRU&amp;lang=en_US&amp;offset=0&amp;query=any,contains,991004327629702656","Catalog Record")</f>
        <v/>
      </c>
      <c r="AT2157">
        <f>HYPERLINK("http://www.worldcat.org/oclc/18442102","WorldCat Record")</f>
        <v/>
      </c>
      <c r="AU2157" t="inlineStr">
        <is>
          <t>4020673164:eng</t>
        </is>
      </c>
      <c r="AV2157" t="inlineStr">
        <is>
          <t>18442102</t>
        </is>
      </c>
      <c r="AW2157" t="inlineStr">
        <is>
          <t>991004327629702656</t>
        </is>
      </c>
      <c r="AX2157" t="inlineStr">
        <is>
          <t>991004327629702656</t>
        </is>
      </c>
      <c r="AY2157" t="inlineStr">
        <is>
          <t>2269500580002656</t>
        </is>
      </c>
      <c r="AZ2157" t="inlineStr">
        <is>
          <t>BOOK</t>
        </is>
      </c>
      <c r="BB2157" t="inlineStr">
        <is>
          <t>9780813207025</t>
        </is>
      </c>
      <c r="BC2157" t="inlineStr">
        <is>
          <t>32285005099899</t>
        </is>
      </c>
      <c r="BD2157" t="inlineStr">
        <is>
          <t>893706261</t>
        </is>
      </c>
    </row>
    <row r="2158">
      <c r="A2158" t="inlineStr">
        <is>
          <t>No</t>
        </is>
      </c>
      <c r="B2158" t="inlineStr">
        <is>
          <t>BX4700.P77 A4 1989</t>
        </is>
      </c>
      <c r="C2158" t="inlineStr">
        <is>
          <t>0                      BX 4700000P  77                 A  4           1989</t>
        </is>
      </c>
      <c r="D2158" t="inlineStr">
        <is>
          <t>Letters / Peter Damian ; translated by Owen J. Blum.</t>
        </is>
      </c>
      <c r="E2158" t="inlineStr">
        <is>
          <t>V. 1</t>
        </is>
      </c>
      <c r="F2158" t="inlineStr">
        <is>
          <t>Yes</t>
        </is>
      </c>
      <c r="G2158" t="inlineStr">
        <is>
          <t>1</t>
        </is>
      </c>
      <c r="H2158" t="inlineStr">
        <is>
          <t>No</t>
        </is>
      </c>
      <c r="I2158" t="inlineStr">
        <is>
          <t>No</t>
        </is>
      </c>
      <c r="J2158" t="inlineStr">
        <is>
          <t>0</t>
        </is>
      </c>
      <c r="K2158" t="inlineStr">
        <is>
          <t>Peter Damian, Saint, 1007?-1072.</t>
        </is>
      </c>
      <c r="L2158" t="inlineStr">
        <is>
          <t>Washington, D.C. : Catholic University of America Press, c1989-</t>
        </is>
      </c>
      <c r="M2158" t="inlineStr">
        <is>
          <t>1989</t>
        </is>
      </c>
      <c r="O2158" t="inlineStr">
        <is>
          <t>eng</t>
        </is>
      </c>
      <c r="P2158" t="inlineStr">
        <is>
          <t>dcu</t>
        </is>
      </c>
      <c r="Q2158" t="inlineStr">
        <is>
          <t>The Fathers of the church. Mediaeval continuation ; v. 1-3, 5-6</t>
        </is>
      </c>
      <c r="R2158" t="inlineStr">
        <is>
          <t xml:space="preserve">BX </t>
        </is>
      </c>
      <c r="S2158" t="n">
        <v>3</v>
      </c>
      <c r="T2158" t="n">
        <v>14</v>
      </c>
      <c r="U2158" t="inlineStr">
        <is>
          <t>2008-02-10</t>
        </is>
      </c>
      <c r="V2158" t="inlineStr">
        <is>
          <t>2009-11-13</t>
        </is>
      </c>
      <c r="W2158" t="inlineStr">
        <is>
          <t>2004-07-20</t>
        </is>
      </c>
      <c r="X2158" t="inlineStr">
        <is>
          <t>2005-08-09</t>
        </is>
      </c>
      <c r="Y2158" t="n">
        <v>445</v>
      </c>
      <c r="Z2158" t="n">
        <v>370</v>
      </c>
      <c r="AA2158" t="n">
        <v>377</v>
      </c>
      <c r="AB2158" t="n">
        <v>4</v>
      </c>
      <c r="AC2158" t="n">
        <v>4</v>
      </c>
      <c r="AD2158" t="n">
        <v>27</v>
      </c>
      <c r="AE2158" t="n">
        <v>27</v>
      </c>
      <c r="AF2158" t="n">
        <v>11</v>
      </c>
      <c r="AG2158" t="n">
        <v>11</v>
      </c>
      <c r="AH2158" t="n">
        <v>6</v>
      </c>
      <c r="AI2158" t="n">
        <v>6</v>
      </c>
      <c r="AJ2158" t="n">
        <v>18</v>
      </c>
      <c r="AK2158" t="n">
        <v>18</v>
      </c>
      <c r="AL2158" t="n">
        <v>2</v>
      </c>
      <c r="AM2158" t="n">
        <v>2</v>
      </c>
      <c r="AN2158" t="n">
        <v>0</v>
      </c>
      <c r="AO2158" t="n">
        <v>0</v>
      </c>
      <c r="AP2158" t="inlineStr">
        <is>
          <t>No</t>
        </is>
      </c>
      <c r="AQ2158" t="inlineStr">
        <is>
          <t>Yes</t>
        </is>
      </c>
      <c r="AR2158">
        <f>HYPERLINK("http://catalog.hathitrust.org/Record/001953375","HathiTrust Record")</f>
        <v/>
      </c>
      <c r="AS2158">
        <f>HYPERLINK("https://creighton-primo.hosted.exlibrisgroup.com/primo-explore/search?tab=default_tab&amp;search_scope=EVERYTHING&amp;vid=01CRU&amp;lang=en_US&amp;offset=0&amp;query=any,contains,991004327629702656","Catalog Record")</f>
        <v/>
      </c>
      <c r="AT2158">
        <f>HYPERLINK("http://www.worldcat.org/oclc/18442102","WorldCat Record")</f>
        <v/>
      </c>
      <c r="AU2158" t="inlineStr">
        <is>
          <t>4020673164:eng</t>
        </is>
      </c>
      <c r="AV2158" t="inlineStr">
        <is>
          <t>18442102</t>
        </is>
      </c>
      <c r="AW2158" t="inlineStr">
        <is>
          <t>991004327629702656</t>
        </is>
      </c>
      <c r="AX2158" t="inlineStr">
        <is>
          <t>991004327629702656</t>
        </is>
      </c>
      <c r="AY2158" t="inlineStr">
        <is>
          <t>2269500580002656</t>
        </is>
      </c>
      <c r="AZ2158" t="inlineStr">
        <is>
          <t>BOOK</t>
        </is>
      </c>
      <c r="BB2158" t="inlineStr">
        <is>
          <t>9780813207025</t>
        </is>
      </c>
      <c r="BC2158" t="inlineStr">
        <is>
          <t>32285004985874</t>
        </is>
      </c>
      <c r="BD2158" t="inlineStr">
        <is>
          <t>893718775</t>
        </is>
      </c>
    </row>
    <row r="2159">
      <c r="A2159" t="inlineStr">
        <is>
          <t>No</t>
        </is>
      </c>
      <c r="B2159" t="inlineStr">
        <is>
          <t>BX4700.P77 A4 1989</t>
        </is>
      </c>
      <c r="C2159" t="inlineStr">
        <is>
          <t>0                      BX 4700000P  77                 A  4           1989</t>
        </is>
      </c>
      <c r="D2159" t="inlineStr">
        <is>
          <t>Letters / Peter Damian ; translated by Owen J. Blum.</t>
        </is>
      </c>
      <c r="E2159" t="inlineStr">
        <is>
          <t>V. 2</t>
        </is>
      </c>
      <c r="F2159" t="inlineStr">
        <is>
          <t>Yes</t>
        </is>
      </c>
      <c r="G2159" t="inlineStr">
        <is>
          <t>1</t>
        </is>
      </c>
      <c r="H2159" t="inlineStr">
        <is>
          <t>No</t>
        </is>
      </c>
      <c r="I2159" t="inlineStr">
        <is>
          <t>No</t>
        </is>
      </c>
      <c r="J2159" t="inlineStr">
        <is>
          <t>0</t>
        </is>
      </c>
      <c r="K2159" t="inlineStr">
        <is>
          <t>Peter Damian, Saint, 1007?-1072.</t>
        </is>
      </c>
      <c r="L2159" t="inlineStr">
        <is>
          <t>Washington, D.C. : Catholic University of America Press, c1989-</t>
        </is>
      </c>
      <c r="M2159" t="inlineStr">
        <is>
          <t>1989</t>
        </is>
      </c>
      <c r="O2159" t="inlineStr">
        <is>
          <t>eng</t>
        </is>
      </c>
      <c r="P2159" t="inlineStr">
        <is>
          <t>dcu</t>
        </is>
      </c>
      <c r="Q2159" t="inlineStr">
        <is>
          <t>The Fathers of the church. Mediaeval continuation ; v. 1-3, 5-6</t>
        </is>
      </c>
      <c r="R2159" t="inlineStr">
        <is>
          <t xml:space="preserve">BX </t>
        </is>
      </c>
      <c r="S2159" t="n">
        <v>2</v>
      </c>
      <c r="T2159" t="n">
        <v>14</v>
      </c>
      <c r="U2159" t="inlineStr">
        <is>
          <t>2008-02-10</t>
        </is>
      </c>
      <c r="V2159" t="inlineStr">
        <is>
          <t>2009-11-13</t>
        </is>
      </c>
      <c r="W2159" t="inlineStr">
        <is>
          <t>2004-09-09</t>
        </is>
      </c>
      <c r="X2159" t="inlineStr">
        <is>
          <t>2005-08-09</t>
        </is>
      </c>
      <c r="Y2159" t="n">
        <v>445</v>
      </c>
      <c r="Z2159" t="n">
        <v>370</v>
      </c>
      <c r="AA2159" t="n">
        <v>377</v>
      </c>
      <c r="AB2159" t="n">
        <v>4</v>
      </c>
      <c r="AC2159" t="n">
        <v>4</v>
      </c>
      <c r="AD2159" t="n">
        <v>27</v>
      </c>
      <c r="AE2159" t="n">
        <v>27</v>
      </c>
      <c r="AF2159" t="n">
        <v>11</v>
      </c>
      <c r="AG2159" t="n">
        <v>11</v>
      </c>
      <c r="AH2159" t="n">
        <v>6</v>
      </c>
      <c r="AI2159" t="n">
        <v>6</v>
      </c>
      <c r="AJ2159" t="n">
        <v>18</v>
      </c>
      <c r="AK2159" t="n">
        <v>18</v>
      </c>
      <c r="AL2159" t="n">
        <v>2</v>
      </c>
      <c r="AM2159" t="n">
        <v>2</v>
      </c>
      <c r="AN2159" t="n">
        <v>0</v>
      </c>
      <c r="AO2159" t="n">
        <v>0</v>
      </c>
      <c r="AP2159" t="inlineStr">
        <is>
          <t>No</t>
        </is>
      </c>
      <c r="AQ2159" t="inlineStr">
        <is>
          <t>Yes</t>
        </is>
      </c>
      <c r="AR2159">
        <f>HYPERLINK("http://catalog.hathitrust.org/Record/001953375","HathiTrust Record")</f>
        <v/>
      </c>
      <c r="AS2159">
        <f>HYPERLINK("https://creighton-primo.hosted.exlibrisgroup.com/primo-explore/search?tab=default_tab&amp;search_scope=EVERYTHING&amp;vid=01CRU&amp;lang=en_US&amp;offset=0&amp;query=any,contains,991004327629702656","Catalog Record")</f>
        <v/>
      </c>
      <c r="AT2159">
        <f>HYPERLINK("http://www.worldcat.org/oclc/18442102","WorldCat Record")</f>
        <v/>
      </c>
      <c r="AU2159" t="inlineStr">
        <is>
          <t>4020673164:eng</t>
        </is>
      </c>
      <c r="AV2159" t="inlineStr">
        <is>
          <t>18442102</t>
        </is>
      </c>
      <c r="AW2159" t="inlineStr">
        <is>
          <t>991004327629702656</t>
        </is>
      </c>
      <c r="AX2159" t="inlineStr">
        <is>
          <t>991004327629702656</t>
        </is>
      </c>
      <c r="AY2159" t="inlineStr">
        <is>
          <t>2269500580002656</t>
        </is>
      </c>
      <c r="AZ2159" t="inlineStr">
        <is>
          <t>BOOK</t>
        </is>
      </c>
      <c r="BB2159" t="inlineStr">
        <is>
          <t>9780813207025</t>
        </is>
      </c>
      <c r="BC2159" t="inlineStr">
        <is>
          <t>32285004985882</t>
        </is>
      </c>
      <c r="BD2159" t="inlineStr">
        <is>
          <t>893718774</t>
        </is>
      </c>
    </row>
    <row r="2160">
      <c r="A2160" t="inlineStr">
        <is>
          <t>No</t>
        </is>
      </c>
      <c r="B2160" t="inlineStr">
        <is>
          <t>BX4700.R36 S8 1951</t>
        </is>
      </c>
      <c r="C2160" t="inlineStr">
        <is>
          <t>0                      BX 4700000R  36                 S  8           1951</t>
        </is>
      </c>
      <c r="D2160" t="inlineStr">
        <is>
          <t>Bernardine Realino : Renaissance man.</t>
        </is>
      </c>
      <c r="F2160" t="inlineStr">
        <is>
          <t>No</t>
        </is>
      </c>
      <c r="G2160" t="inlineStr">
        <is>
          <t>1</t>
        </is>
      </c>
      <c r="H2160" t="inlineStr">
        <is>
          <t>No</t>
        </is>
      </c>
      <c r="I2160" t="inlineStr">
        <is>
          <t>No</t>
        </is>
      </c>
      <c r="J2160" t="inlineStr">
        <is>
          <t>0</t>
        </is>
      </c>
      <c r="K2160" t="inlineStr">
        <is>
          <t>Sweeney, Francis, 1916-2002.</t>
        </is>
      </c>
      <c r="L2160" t="inlineStr">
        <is>
          <t>New York : Macmillan, 1951.</t>
        </is>
      </c>
      <c r="M2160" t="inlineStr">
        <is>
          <t>1951</t>
        </is>
      </c>
      <c r="O2160" t="inlineStr">
        <is>
          <t>eng</t>
        </is>
      </c>
      <c r="P2160" t="inlineStr">
        <is>
          <t xml:space="preserve">xx </t>
        </is>
      </c>
      <c r="R2160" t="inlineStr">
        <is>
          <t xml:space="preserve">BX </t>
        </is>
      </c>
      <c r="S2160" t="n">
        <v>2</v>
      </c>
      <c r="T2160" t="n">
        <v>2</v>
      </c>
      <c r="U2160" t="inlineStr">
        <is>
          <t>1994-09-08</t>
        </is>
      </c>
      <c r="V2160" t="inlineStr">
        <is>
          <t>1994-09-08</t>
        </is>
      </c>
      <c r="W2160" t="inlineStr">
        <is>
          <t>1991-12-04</t>
        </is>
      </c>
      <c r="X2160" t="inlineStr">
        <is>
          <t>1991-12-04</t>
        </is>
      </c>
      <c r="Y2160" t="n">
        <v>226</v>
      </c>
      <c r="Z2160" t="n">
        <v>206</v>
      </c>
      <c r="AA2160" t="n">
        <v>216</v>
      </c>
      <c r="AB2160" t="n">
        <v>2</v>
      </c>
      <c r="AC2160" t="n">
        <v>2</v>
      </c>
      <c r="AD2160" t="n">
        <v>30</v>
      </c>
      <c r="AE2160" t="n">
        <v>30</v>
      </c>
      <c r="AF2160" t="n">
        <v>12</v>
      </c>
      <c r="AG2160" t="n">
        <v>12</v>
      </c>
      <c r="AH2160" t="n">
        <v>7</v>
      </c>
      <c r="AI2160" t="n">
        <v>7</v>
      </c>
      <c r="AJ2160" t="n">
        <v>24</v>
      </c>
      <c r="AK2160" t="n">
        <v>24</v>
      </c>
      <c r="AL2160" t="n">
        <v>0</v>
      </c>
      <c r="AM2160" t="n">
        <v>0</v>
      </c>
      <c r="AN2160" t="n">
        <v>0</v>
      </c>
      <c r="AO2160" t="n">
        <v>0</v>
      </c>
      <c r="AP2160" t="inlineStr">
        <is>
          <t>Yes</t>
        </is>
      </c>
      <c r="AQ2160" t="inlineStr">
        <is>
          <t>No</t>
        </is>
      </c>
      <c r="AR2160">
        <f>HYPERLINK("http://catalog.hathitrust.org/Record/005797613","HathiTrust Record")</f>
        <v/>
      </c>
      <c r="AS2160">
        <f>HYPERLINK("https://creighton-primo.hosted.exlibrisgroup.com/primo-explore/search?tab=default_tab&amp;search_scope=EVERYTHING&amp;vid=01CRU&amp;lang=en_US&amp;offset=0&amp;query=any,contains,991003772029702656","Catalog Record")</f>
        <v/>
      </c>
      <c r="AT2160">
        <f>HYPERLINK("http://www.worldcat.org/oclc/1473645","WorldCat Record")</f>
        <v/>
      </c>
      <c r="AU2160" t="inlineStr">
        <is>
          <t>2357696:eng</t>
        </is>
      </c>
      <c r="AV2160" t="inlineStr">
        <is>
          <t>1473645</t>
        </is>
      </c>
      <c r="AW2160" t="inlineStr">
        <is>
          <t>991003772029702656</t>
        </is>
      </c>
      <c r="AX2160" t="inlineStr">
        <is>
          <t>991003772029702656</t>
        </is>
      </c>
      <c r="AY2160" t="inlineStr">
        <is>
          <t>2255648330002656</t>
        </is>
      </c>
      <c r="AZ2160" t="inlineStr">
        <is>
          <t>BOOK</t>
        </is>
      </c>
      <c r="BC2160" t="inlineStr">
        <is>
          <t>32285000871185</t>
        </is>
      </c>
      <c r="BD2160" t="inlineStr">
        <is>
          <t>893499686</t>
        </is>
      </c>
    </row>
    <row r="2161">
      <c r="A2161" t="inlineStr">
        <is>
          <t>No</t>
        </is>
      </c>
      <c r="B2161" t="inlineStr">
        <is>
          <t>BX4700.R4 H6 1922</t>
        </is>
      </c>
      <c r="C2161" t="inlineStr">
        <is>
          <t>0                      BX 4700000R  4                  H  6           1922</t>
        </is>
      </c>
      <c r="D2161" t="inlineStr">
        <is>
          <t>The life of Saint John Francis Regis of the Society of Jesus / by Robert E.Holland,S.J.</t>
        </is>
      </c>
      <c r="F2161" t="inlineStr">
        <is>
          <t>No</t>
        </is>
      </c>
      <c r="G2161" t="inlineStr">
        <is>
          <t>1</t>
        </is>
      </c>
      <c r="H2161" t="inlineStr">
        <is>
          <t>No</t>
        </is>
      </c>
      <c r="I2161" t="inlineStr">
        <is>
          <t>No</t>
        </is>
      </c>
      <c r="J2161" t="inlineStr">
        <is>
          <t>0</t>
        </is>
      </c>
      <c r="K2161" t="inlineStr">
        <is>
          <t>Holland, Robert E. (Robert Emmett), 1892-1946.</t>
        </is>
      </c>
      <c r="L2161" t="inlineStr">
        <is>
          <t>Chicago, Ill. : Loyola University press, 1922.</t>
        </is>
      </c>
      <c r="M2161" t="inlineStr">
        <is>
          <t>1922</t>
        </is>
      </c>
      <c r="O2161" t="inlineStr">
        <is>
          <t>eng</t>
        </is>
      </c>
      <c r="P2161" t="inlineStr">
        <is>
          <t xml:space="preserve">xx </t>
        </is>
      </c>
      <c r="R2161" t="inlineStr">
        <is>
          <t xml:space="preserve">BX </t>
        </is>
      </c>
      <c r="S2161" t="n">
        <v>5</v>
      </c>
      <c r="T2161" t="n">
        <v>5</v>
      </c>
      <c r="U2161" t="inlineStr">
        <is>
          <t>2010-09-30</t>
        </is>
      </c>
      <c r="V2161" t="inlineStr">
        <is>
          <t>2010-09-30</t>
        </is>
      </c>
      <c r="W2161" t="inlineStr">
        <is>
          <t>1991-12-04</t>
        </is>
      </c>
      <c r="X2161" t="inlineStr">
        <is>
          <t>1991-12-04</t>
        </is>
      </c>
      <c r="Y2161" t="n">
        <v>39</v>
      </c>
      <c r="Z2161" t="n">
        <v>31</v>
      </c>
      <c r="AA2161" t="n">
        <v>32</v>
      </c>
      <c r="AB2161" t="n">
        <v>2</v>
      </c>
      <c r="AC2161" t="n">
        <v>2</v>
      </c>
      <c r="AD2161" t="n">
        <v>14</v>
      </c>
      <c r="AE2161" t="n">
        <v>14</v>
      </c>
      <c r="AF2161" t="n">
        <v>4</v>
      </c>
      <c r="AG2161" t="n">
        <v>4</v>
      </c>
      <c r="AH2161" t="n">
        <v>2</v>
      </c>
      <c r="AI2161" t="n">
        <v>2</v>
      </c>
      <c r="AJ2161" t="n">
        <v>13</v>
      </c>
      <c r="AK2161" t="n">
        <v>13</v>
      </c>
      <c r="AL2161" t="n">
        <v>0</v>
      </c>
      <c r="AM2161" t="n">
        <v>0</v>
      </c>
      <c r="AN2161" t="n">
        <v>0</v>
      </c>
      <c r="AO2161" t="n">
        <v>0</v>
      </c>
      <c r="AP2161" t="inlineStr">
        <is>
          <t>No</t>
        </is>
      </c>
      <c r="AQ2161" t="inlineStr">
        <is>
          <t>No</t>
        </is>
      </c>
      <c r="AS2161">
        <f>HYPERLINK("https://creighton-primo.hosted.exlibrisgroup.com/primo-explore/search?tab=default_tab&amp;search_scope=EVERYTHING&amp;vid=01CRU&amp;lang=en_US&amp;offset=0&amp;query=any,contains,991003705899702656","Catalog Record")</f>
        <v/>
      </c>
      <c r="AT2161">
        <f>HYPERLINK("http://www.worldcat.org/oclc/1343407","WorldCat Record")</f>
        <v/>
      </c>
      <c r="AU2161" t="inlineStr">
        <is>
          <t>2236773:eng</t>
        </is>
      </c>
      <c r="AV2161" t="inlineStr">
        <is>
          <t>1343407</t>
        </is>
      </c>
      <c r="AW2161" t="inlineStr">
        <is>
          <t>991003705899702656</t>
        </is>
      </c>
      <c r="AX2161" t="inlineStr">
        <is>
          <t>991003705899702656</t>
        </is>
      </c>
      <c r="AY2161" t="inlineStr">
        <is>
          <t>2263735030002656</t>
        </is>
      </c>
      <c r="AZ2161" t="inlineStr">
        <is>
          <t>BOOK</t>
        </is>
      </c>
      <c r="BC2161" t="inlineStr">
        <is>
          <t>32285000871219</t>
        </is>
      </c>
      <c r="BD2161" t="inlineStr">
        <is>
          <t>893505898</t>
        </is>
      </c>
    </row>
    <row r="2162">
      <c r="A2162" t="inlineStr">
        <is>
          <t>No</t>
        </is>
      </c>
      <c r="B2162" t="inlineStr">
        <is>
          <t>BX4700.R56 F3 1945</t>
        </is>
      </c>
      <c r="C2162" t="inlineStr">
        <is>
          <t>0                      BX 4700000R  56                 F  3           1945</t>
        </is>
      </c>
      <c r="D2162" t="inlineStr">
        <is>
          <t>The wool merchant of Segovia : (St. Alphonsus Rodriguez) / [by] Mabel Farnum.</t>
        </is>
      </c>
      <c r="F2162" t="inlineStr">
        <is>
          <t>No</t>
        </is>
      </c>
      <c r="G2162" t="inlineStr">
        <is>
          <t>1</t>
        </is>
      </c>
      <c r="H2162" t="inlineStr">
        <is>
          <t>No</t>
        </is>
      </c>
      <c r="I2162" t="inlineStr">
        <is>
          <t>No</t>
        </is>
      </c>
      <c r="J2162" t="inlineStr">
        <is>
          <t>0</t>
        </is>
      </c>
      <c r="K2162" t="inlineStr">
        <is>
          <t>Farnum, Mabel, 1887-</t>
        </is>
      </c>
      <c r="L2162" t="inlineStr">
        <is>
          <t>Milwaukee : Bruce, [1945]</t>
        </is>
      </c>
      <c r="M2162" t="inlineStr">
        <is>
          <t>1945</t>
        </is>
      </c>
      <c r="O2162" t="inlineStr">
        <is>
          <t>eng</t>
        </is>
      </c>
      <c r="P2162" t="inlineStr">
        <is>
          <t xml:space="preserve">xx </t>
        </is>
      </c>
      <c r="R2162" t="inlineStr">
        <is>
          <t xml:space="preserve">BX </t>
        </is>
      </c>
      <c r="S2162" t="n">
        <v>2</v>
      </c>
      <c r="T2162" t="n">
        <v>2</v>
      </c>
      <c r="U2162" t="inlineStr">
        <is>
          <t>1994-04-26</t>
        </is>
      </c>
      <c r="V2162" t="inlineStr">
        <is>
          <t>1994-04-26</t>
        </is>
      </c>
      <c r="W2162" t="inlineStr">
        <is>
          <t>1991-12-04</t>
        </is>
      </c>
      <c r="X2162" t="inlineStr">
        <is>
          <t>1991-12-04</t>
        </is>
      </c>
      <c r="Y2162" t="n">
        <v>151</v>
      </c>
      <c r="Z2162" t="n">
        <v>136</v>
      </c>
      <c r="AA2162" t="n">
        <v>142</v>
      </c>
      <c r="AB2162" t="n">
        <v>3</v>
      </c>
      <c r="AC2162" t="n">
        <v>3</v>
      </c>
      <c r="AD2162" t="n">
        <v>22</v>
      </c>
      <c r="AE2162" t="n">
        <v>22</v>
      </c>
      <c r="AF2162" t="n">
        <v>7</v>
      </c>
      <c r="AG2162" t="n">
        <v>7</v>
      </c>
      <c r="AH2162" t="n">
        <v>5</v>
      </c>
      <c r="AI2162" t="n">
        <v>5</v>
      </c>
      <c r="AJ2162" t="n">
        <v>19</v>
      </c>
      <c r="AK2162" t="n">
        <v>19</v>
      </c>
      <c r="AL2162" t="n">
        <v>0</v>
      </c>
      <c r="AM2162" t="n">
        <v>0</v>
      </c>
      <c r="AN2162" t="n">
        <v>0</v>
      </c>
      <c r="AO2162" t="n">
        <v>0</v>
      </c>
      <c r="AP2162" t="inlineStr">
        <is>
          <t>Yes</t>
        </is>
      </c>
      <c r="AQ2162" t="inlineStr">
        <is>
          <t>No</t>
        </is>
      </c>
      <c r="AR2162">
        <f>HYPERLINK("http://catalog.hathitrust.org/Record/007854100","HathiTrust Record")</f>
        <v/>
      </c>
      <c r="AS2162">
        <f>HYPERLINK("https://creighton-primo.hosted.exlibrisgroup.com/primo-explore/search?tab=default_tab&amp;search_scope=EVERYTHING&amp;vid=01CRU&amp;lang=en_US&amp;offset=0&amp;query=any,contains,991003679019702656","Catalog Record")</f>
        <v/>
      </c>
      <c r="AT2162">
        <f>HYPERLINK("http://www.worldcat.org/oclc/1303052","WorldCat Record")</f>
        <v/>
      </c>
      <c r="AU2162" t="inlineStr">
        <is>
          <t>2171111:eng</t>
        </is>
      </c>
      <c r="AV2162" t="inlineStr">
        <is>
          <t>1303052</t>
        </is>
      </c>
      <c r="AW2162" t="inlineStr">
        <is>
          <t>991003679019702656</t>
        </is>
      </c>
      <c r="AX2162" t="inlineStr">
        <is>
          <t>991003679019702656</t>
        </is>
      </c>
      <c r="AY2162" t="inlineStr">
        <is>
          <t>2265485370002656</t>
        </is>
      </c>
      <c r="AZ2162" t="inlineStr">
        <is>
          <t>BOOK</t>
        </is>
      </c>
      <c r="BC2162" t="inlineStr">
        <is>
          <t>32285000871243</t>
        </is>
      </c>
      <c r="BD2162" t="inlineStr">
        <is>
          <t>893881424</t>
        </is>
      </c>
    </row>
    <row r="2163">
      <c r="A2163" t="inlineStr">
        <is>
          <t>No</t>
        </is>
      </c>
      <c r="B2163" t="inlineStr">
        <is>
          <t>BX4700.R6 F34 1855</t>
        </is>
      </c>
      <c r="C2163" t="inlineStr">
        <is>
          <t>0                      BX 4700000R  6                  F  34          1855</t>
        </is>
      </c>
      <c r="D2163" t="inlineStr">
        <is>
          <t>The life of Saint Rose of Lima / editd by F.W. Faber.</t>
        </is>
      </c>
      <c r="F2163" t="inlineStr">
        <is>
          <t>No</t>
        </is>
      </c>
      <c r="G2163" t="inlineStr">
        <is>
          <t>1</t>
        </is>
      </c>
      <c r="H2163" t="inlineStr">
        <is>
          <t>No</t>
        </is>
      </c>
      <c r="I2163" t="inlineStr">
        <is>
          <t>No</t>
        </is>
      </c>
      <c r="J2163" t="inlineStr">
        <is>
          <t>0</t>
        </is>
      </c>
      <c r="K2163" t="inlineStr">
        <is>
          <t>Feuillet, Jean Baptiste.</t>
        </is>
      </c>
      <c r="L2163" t="inlineStr">
        <is>
          <t>Philadelphia : P.F. Cunningham, 1855.</t>
        </is>
      </c>
      <c r="M2163" t="inlineStr">
        <is>
          <t>1855</t>
        </is>
      </c>
      <c r="N2163" t="inlineStr">
        <is>
          <t>American ed.</t>
        </is>
      </c>
      <c r="O2163" t="inlineStr">
        <is>
          <t>eng</t>
        </is>
      </c>
      <c r="P2163" t="inlineStr">
        <is>
          <t xml:space="preserve">xx </t>
        </is>
      </c>
      <c r="Q2163" t="inlineStr">
        <is>
          <t>The saints and servants of God</t>
        </is>
      </c>
      <c r="R2163" t="inlineStr">
        <is>
          <t xml:space="preserve">BX </t>
        </is>
      </c>
      <c r="S2163" t="n">
        <v>5</v>
      </c>
      <c r="T2163" t="n">
        <v>5</v>
      </c>
      <c r="U2163" t="inlineStr">
        <is>
          <t>1994-07-11</t>
        </is>
      </c>
      <c r="V2163" t="inlineStr">
        <is>
          <t>1994-07-11</t>
        </is>
      </c>
      <c r="W2163" t="inlineStr">
        <is>
          <t>1991-12-04</t>
        </is>
      </c>
      <c r="X2163" t="inlineStr">
        <is>
          <t>1991-12-04</t>
        </is>
      </c>
      <c r="Y2163" t="n">
        <v>36</v>
      </c>
      <c r="Z2163" t="n">
        <v>34</v>
      </c>
      <c r="AA2163" t="n">
        <v>90</v>
      </c>
      <c r="AB2163" t="n">
        <v>3</v>
      </c>
      <c r="AC2163" t="n">
        <v>3</v>
      </c>
      <c r="AD2163" t="n">
        <v>5</v>
      </c>
      <c r="AE2163" t="n">
        <v>14</v>
      </c>
      <c r="AF2163" t="n">
        <v>2</v>
      </c>
      <c r="AG2163" t="n">
        <v>3</v>
      </c>
      <c r="AH2163" t="n">
        <v>1</v>
      </c>
      <c r="AI2163" t="n">
        <v>4</v>
      </c>
      <c r="AJ2163" t="n">
        <v>3</v>
      </c>
      <c r="AK2163" t="n">
        <v>10</v>
      </c>
      <c r="AL2163" t="n">
        <v>0</v>
      </c>
      <c r="AM2163" t="n">
        <v>0</v>
      </c>
      <c r="AN2163" t="n">
        <v>0</v>
      </c>
      <c r="AO2163" t="n">
        <v>0</v>
      </c>
      <c r="AP2163" t="inlineStr">
        <is>
          <t>Yes</t>
        </is>
      </c>
      <c r="AQ2163" t="inlineStr">
        <is>
          <t>No</t>
        </is>
      </c>
      <c r="AR2163">
        <f>HYPERLINK("http://catalog.hathitrust.org/Record/011602326","HathiTrust Record")</f>
        <v/>
      </c>
      <c r="AS2163">
        <f>HYPERLINK("https://creighton-primo.hosted.exlibrisgroup.com/primo-explore/search?tab=default_tab&amp;search_scope=EVERYTHING&amp;vid=01CRU&amp;lang=en_US&amp;offset=0&amp;query=any,contains,991003119229702656","Catalog Record")</f>
        <v/>
      </c>
      <c r="AT2163">
        <f>HYPERLINK("http://www.worldcat.org/oclc/665026","WorldCat Record")</f>
        <v/>
      </c>
      <c r="AU2163" t="inlineStr">
        <is>
          <t>1670453:eng</t>
        </is>
      </c>
      <c r="AV2163" t="inlineStr">
        <is>
          <t>665026</t>
        </is>
      </c>
      <c r="AW2163" t="inlineStr">
        <is>
          <t>991003119229702656</t>
        </is>
      </c>
      <c r="AX2163" t="inlineStr">
        <is>
          <t>991003119229702656</t>
        </is>
      </c>
      <c r="AY2163" t="inlineStr">
        <is>
          <t>2272670950002656</t>
        </is>
      </c>
      <c r="AZ2163" t="inlineStr">
        <is>
          <t>BOOK</t>
        </is>
      </c>
      <c r="BC2163" t="inlineStr">
        <is>
          <t>32285000871268</t>
        </is>
      </c>
      <c r="BD2163" t="inlineStr">
        <is>
          <t>893505228</t>
        </is>
      </c>
    </row>
    <row r="2164">
      <c r="A2164" t="inlineStr">
        <is>
          <t>No</t>
        </is>
      </c>
      <c r="B2164" t="inlineStr">
        <is>
          <t>BX4700.R6 G73 2004</t>
        </is>
      </c>
      <c r="C2164" t="inlineStr">
        <is>
          <t>0                      BX 4700000R  6                  G  73          2004</t>
        </is>
      </c>
      <c r="D2164" t="inlineStr">
        <is>
          <t>Wounds of love : the mystical marriage of Saint Rose of Lima / Frank Graziano.</t>
        </is>
      </c>
      <c r="F2164" t="inlineStr">
        <is>
          <t>No</t>
        </is>
      </c>
      <c r="G2164" t="inlineStr">
        <is>
          <t>1</t>
        </is>
      </c>
      <c r="H2164" t="inlineStr">
        <is>
          <t>No</t>
        </is>
      </c>
      <c r="I2164" t="inlineStr">
        <is>
          <t>No</t>
        </is>
      </c>
      <c r="J2164" t="inlineStr">
        <is>
          <t>0</t>
        </is>
      </c>
      <c r="K2164" t="inlineStr">
        <is>
          <t>Graziano, Frank, 1955-</t>
        </is>
      </c>
      <c r="L2164" t="inlineStr">
        <is>
          <t>Oxford ; New York : Oxford University Press, 2004.</t>
        </is>
      </c>
      <c r="M2164" t="inlineStr">
        <is>
          <t>2004</t>
        </is>
      </c>
      <c r="O2164" t="inlineStr">
        <is>
          <t>eng</t>
        </is>
      </c>
      <c r="P2164" t="inlineStr">
        <is>
          <t>enk</t>
        </is>
      </c>
      <c r="R2164" t="inlineStr">
        <is>
          <t xml:space="preserve">BX </t>
        </is>
      </c>
      <c r="S2164" t="n">
        <v>1</v>
      </c>
      <c r="T2164" t="n">
        <v>1</v>
      </c>
      <c r="U2164" t="inlineStr">
        <is>
          <t>2005-08-17</t>
        </is>
      </c>
      <c r="V2164" t="inlineStr">
        <is>
          <t>2005-08-17</t>
        </is>
      </c>
      <c r="W2164" t="inlineStr">
        <is>
          <t>2005-08-17</t>
        </is>
      </c>
      <c r="X2164" t="inlineStr">
        <is>
          <t>2005-08-17</t>
        </is>
      </c>
      <c r="Y2164" t="n">
        <v>269</v>
      </c>
      <c r="Z2164" t="n">
        <v>241</v>
      </c>
      <c r="AA2164" t="n">
        <v>833</v>
      </c>
      <c r="AB2164" t="n">
        <v>2</v>
      </c>
      <c r="AC2164" t="n">
        <v>19</v>
      </c>
      <c r="AD2164" t="n">
        <v>20</v>
      </c>
      <c r="AE2164" t="n">
        <v>43</v>
      </c>
      <c r="AF2164" t="n">
        <v>7</v>
      </c>
      <c r="AG2164" t="n">
        <v>15</v>
      </c>
      <c r="AH2164" t="n">
        <v>7</v>
      </c>
      <c r="AI2164" t="n">
        <v>10</v>
      </c>
      <c r="AJ2164" t="n">
        <v>11</v>
      </c>
      <c r="AK2164" t="n">
        <v>15</v>
      </c>
      <c r="AL2164" t="n">
        <v>1</v>
      </c>
      <c r="AM2164" t="n">
        <v>11</v>
      </c>
      <c r="AN2164" t="n">
        <v>0</v>
      </c>
      <c r="AO2164" t="n">
        <v>1</v>
      </c>
      <c r="AP2164" t="inlineStr">
        <is>
          <t>No</t>
        </is>
      </c>
      <c r="AQ2164" t="inlineStr">
        <is>
          <t>No</t>
        </is>
      </c>
      <c r="AS2164">
        <f>HYPERLINK("https://creighton-primo.hosted.exlibrisgroup.com/primo-explore/search?tab=default_tab&amp;search_scope=EVERYTHING&amp;vid=01CRU&amp;lang=en_US&amp;offset=0&amp;query=any,contains,991004606199702656","Catalog Record")</f>
        <v/>
      </c>
      <c r="AT2164">
        <f>HYPERLINK("http://www.worldcat.org/oclc/51305642","WorldCat Record")</f>
        <v/>
      </c>
      <c r="AU2164" t="inlineStr">
        <is>
          <t>661399:eng</t>
        </is>
      </c>
      <c r="AV2164" t="inlineStr">
        <is>
          <t>51305642</t>
        </is>
      </c>
      <c r="AW2164" t="inlineStr">
        <is>
          <t>991004606199702656</t>
        </is>
      </c>
      <c r="AX2164" t="inlineStr">
        <is>
          <t>991004606199702656</t>
        </is>
      </c>
      <c r="AY2164" t="inlineStr">
        <is>
          <t>2267470060002656</t>
        </is>
      </c>
      <c r="AZ2164" t="inlineStr">
        <is>
          <t>BOOK</t>
        </is>
      </c>
      <c r="BB2164" t="inlineStr">
        <is>
          <t>9780195136401</t>
        </is>
      </c>
      <c r="BC2164" t="inlineStr">
        <is>
          <t>32285005081269</t>
        </is>
      </c>
      <c r="BD2164" t="inlineStr">
        <is>
          <t>893882664</t>
        </is>
      </c>
    </row>
    <row r="2165">
      <c r="A2165" t="inlineStr">
        <is>
          <t>No</t>
        </is>
      </c>
      <c r="B2165" t="inlineStr">
        <is>
          <t>BX4700.R6 M38 1982</t>
        </is>
      </c>
      <c r="C2165" t="inlineStr">
        <is>
          <t>0                      BX 4700000R  6                  M  38          1982</t>
        </is>
      </c>
      <c r="D2165" t="inlineStr">
        <is>
          <t>St. Rose of Lima, patroness of the Americas / Sister Mary Alphonsus, O.SS.R.</t>
        </is>
      </c>
      <c r="F2165" t="inlineStr">
        <is>
          <t>No</t>
        </is>
      </c>
      <c r="G2165" t="inlineStr">
        <is>
          <t>1</t>
        </is>
      </c>
      <c r="H2165" t="inlineStr">
        <is>
          <t>No</t>
        </is>
      </c>
      <c r="I2165" t="inlineStr">
        <is>
          <t>No</t>
        </is>
      </c>
      <c r="J2165" t="inlineStr">
        <is>
          <t>0</t>
        </is>
      </c>
      <c r="K2165" t="inlineStr">
        <is>
          <t>Mary Alphonsus, Sister, O.SS.R.</t>
        </is>
      </c>
      <c r="M2165" t="inlineStr">
        <is>
          <t>1982</t>
        </is>
      </c>
      <c r="O2165" t="inlineStr">
        <is>
          <t>eng</t>
        </is>
      </c>
      <c r="P2165" t="inlineStr">
        <is>
          <t>ilu</t>
        </is>
      </c>
      <c r="Q2165" t="inlineStr">
        <is>
          <t>Cross and crown series of spirituality ; no. 36</t>
        </is>
      </c>
      <c r="R2165" t="inlineStr">
        <is>
          <t xml:space="preserve">BX </t>
        </is>
      </c>
      <c r="S2165" t="n">
        <v>2</v>
      </c>
      <c r="T2165" t="n">
        <v>2</v>
      </c>
      <c r="U2165" t="inlineStr">
        <is>
          <t>2010-07-08</t>
        </is>
      </c>
      <c r="V2165" t="inlineStr">
        <is>
          <t>2010-07-08</t>
        </is>
      </c>
      <c r="W2165" t="inlineStr">
        <is>
          <t>1998-01-07</t>
        </is>
      </c>
      <c r="X2165" t="inlineStr">
        <is>
          <t>1998-01-07</t>
        </is>
      </c>
      <c r="Y2165" t="n">
        <v>51</v>
      </c>
      <c r="Z2165" t="n">
        <v>44</v>
      </c>
      <c r="AA2165" t="n">
        <v>139</v>
      </c>
      <c r="AB2165" t="n">
        <v>3</v>
      </c>
      <c r="AC2165" t="n">
        <v>4</v>
      </c>
      <c r="AD2165" t="n">
        <v>4</v>
      </c>
      <c r="AE2165" t="n">
        <v>19</v>
      </c>
      <c r="AF2165" t="n">
        <v>2</v>
      </c>
      <c r="AG2165" t="n">
        <v>8</v>
      </c>
      <c r="AH2165" t="n">
        <v>1</v>
      </c>
      <c r="AI2165" t="n">
        <v>6</v>
      </c>
      <c r="AJ2165" t="n">
        <v>4</v>
      </c>
      <c r="AK2165" t="n">
        <v>12</v>
      </c>
      <c r="AL2165" t="n">
        <v>0</v>
      </c>
      <c r="AM2165" t="n">
        <v>0</v>
      </c>
      <c r="AN2165" t="n">
        <v>0</v>
      </c>
      <c r="AO2165" t="n">
        <v>0</v>
      </c>
      <c r="AP2165" t="inlineStr">
        <is>
          <t>No</t>
        </is>
      </c>
      <c r="AQ2165" t="inlineStr">
        <is>
          <t>No</t>
        </is>
      </c>
      <c r="AS2165">
        <f>HYPERLINK("https://creighton-primo.hosted.exlibrisgroup.com/primo-explore/search?tab=default_tab&amp;search_scope=EVERYTHING&amp;vid=01CRU&amp;lang=en_US&amp;offset=0&amp;query=any,contains,991000271489702656","Catalog Record")</f>
        <v/>
      </c>
      <c r="AT2165">
        <f>HYPERLINK("http://www.worldcat.org/oclc/9863494","WorldCat Record")</f>
        <v/>
      </c>
      <c r="AU2165" t="inlineStr">
        <is>
          <t>1553199:eng</t>
        </is>
      </c>
      <c r="AV2165" t="inlineStr">
        <is>
          <t>9863494</t>
        </is>
      </c>
      <c r="AW2165" t="inlineStr">
        <is>
          <t>991000271489702656</t>
        </is>
      </c>
      <c r="AX2165" t="inlineStr">
        <is>
          <t>991000271489702656</t>
        </is>
      </c>
      <c r="AY2165" t="inlineStr">
        <is>
          <t>2257028110002656</t>
        </is>
      </c>
      <c r="AZ2165" t="inlineStr">
        <is>
          <t>BOOK</t>
        </is>
      </c>
      <c r="BB2165" t="inlineStr">
        <is>
          <t>9780895551726</t>
        </is>
      </c>
      <c r="BC2165" t="inlineStr">
        <is>
          <t>32285003301651</t>
        </is>
      </c>
      <c r="BD2165" t="inlineStr">
        <is>
          <t>893877932</t>
        </is>
      </c>
    </row>
    <row r="2166">
      <c r="A2166" t="inlineStr">
        <is>
          <t>No</t>
        </is>
      </c>
      <c r="B2166" t="inlineStr">
        <is>
          <t>BX4700.S6 W53 1946</t>
        </is>
      </c>
      <c r="C2166" t="inlineStr">
        <is>
          <t>0                      BX 4700000S  6                  W  53          1946</t>
        </is>
      </c>
      <c r="D2166" t="inlineStr">
        <is>
          <t>Song in the south : the story of Saint Francis Solano, apostle of Argentina and Peru / by Mary Fabyan Windeatt, illustrated by Gedge Harmon.</t>
        </is>
      </c>
      <c r="F2166" t="inlineStr">
        <is>
          <t>No</t>
        </is>
      </c>
      <c r="G2166" t="inlineStr">
        <is>
          <t>1</t>
        </is>
      </c>
      <c r="H2166" t="inlineStr">
        <is>
          <t>No</t>
        </is>
      </c>
      <c r="I2166" t="inlineStr">
        <is>
          <t>No</t>
        </is>
      </c>
      <c r="J2166" t="inlineStr">
        <is>
          <t>0</t>
        </is>
      </c>
      <c r="K2166" t="inlineStr">
        <is>
          <t>Windeatt, Mary Fabyan, 1910-1979.</t>
        </is>
      </c>
      <c r="L2166" t="inlineStr">
        <is>
          <t>New York : Sheed &amp; Ward, 1946.</t>
        </is>
      </c>
      <c r="M2166" t="inlineStr">
        <is>
          <t>1946</t>
        </is>
      </c>
      <c r="O2166" t="inlineStr">
        <is>
          <t>eng</t>
        </is>
      </c>
      <c r="P2166" t="inlineStr">
        <is>
          <t>nyu</t>
        </is>
      </c>
      <c r="R2166" t="inlineStr">
        <is>
          <t xml:space="preserve">BX </t>
        </is>
      </c>
      <c r="S2166" t="n">
        <v>4</v>
      </c>
      <c r="T2166" t="n">
        <v>4</v>
      </c>
      <c r="U2166" t="inlineStr">
        <is>
          <t>2008-04-14</t>
        </is>
      </c>
      <c r="V2166" t="inlineStr">
        <is>
          <t>2008-04-14</t>
        </is>
      </c>
      <c r="W2166" t="inlineStr">
        <is>
          <t>1991-12-04</t>
        </is>
      </c>
      <c r="X2166" t="inlineStr">
        <is>
          <t>1991-12-04</t>
        </is>
      </c>
      <c r="Y2166" t="n">
        <v>51</v>
      </c>
      <c r="Z2166" t="n">
        <v>51</v>
      </c>
      <c r="AA2166" t="n">
        <v>52</v>
      </c>
      <c r="AB2166" t="n">
        <v>2</v>
      </c>
      <c r="AC2166" t="n">
        <v>2</v>
      </c>
      <c r="AD2166" t="n">
        <v>9</v>
      </c>
      <c r="AE2166" t="n">
        <v>9</v>
      </c>
      <c r="AF2166" t="n">
        <v>1</v>
      </c>
      <c r="AG2166" t="n">
        <v>1</v>
      </c>
      <c r="AH2166" t="n">
        <v>3</v>
      </c>
      <c r="AI2166" t="n">
        <v>3</v>
      </c>
      <c r="AJ2166" t="n">
        <v>6</v>
      </c>
      <c r="AK2166" t="n">
        <v>6</v>
      </c>
      <c r="AL2166" t="n">
        <v>0</v>
      </c>
      <c r="AM2166" t="n">
        <v>0</v>
      </c>
      <c r="AN2166" t="n">
        <v>0</v>
      </c>
      <c r="AO2166" t="n">
        <v>0</v>
      </c>
      <c r="AP2166" t="inlineStr">
        <is>
          <t>No</t>
        </is>
      </c>
      <c r="AQ2166" t="inlineStr">
        <is>
          <t>No</t>
        </is>
      </c>
      <c r="AS2166">
        <f>HYPERLINK("https://creighton-primo.hosted.exlibrisgroup.com/primo-explore/search?tab=default_tab&amp;search_scope=EVERYTHING&amp;vid=01CRU&amp;lang=en_US&amp;offset=0&amp;query=any,contains,991004987029702656","Catalog Record")</f>
        <v/>
      </c>
      <c r="AT2166">
        <f>HYPERLINK("http://www.worldcat.org/oclc/6460165","WorldCat Record")</f>
        <v/>
      </c>
      <c r="AU2166" t="inlineStr">
        <is>
          <t>323481817:eng</t>
        </is>
      </c>
      <c r="AV2166" t="inlineStr">
        <is>
          <t>6460165</t>
        </is>
      </c>
      <c r="AW2166" t="inlineStr">
        <is>
          <t>991004987029702656</t>
        </is>
      </c>
      <c r="AX2166" t="inlineStr">
        <is>
          <t>991004987029702656</t>
        </is>
      </c>
      <c r="AY2166" t="inlineStr">
        <is>
          <t>2256652910002656</t>
        </is>
      </c>
      <c r="AZ2166" t="inlineStr">
        <is>
          <t>BOOK</t>
        </is>
      </c>
      <c r="BC2166" t="inlineStr">
        <is>
          <t>32285000871292</t>
        </is>
      </c>
      <c r="BD2166" t="inlineStr">
        <is>
          <t>893895715</t>
        </is>
      </c>
    </row>
    <row r="2167">
      <c r="A2167" t="inlineStr">
        <is>
          <t>No</t>
        </is>
      </c>
      <c r="B2167" t="inlineStr">
        <is>
          <t>BX4700.S65 B5 1939</t>
        </is>
      </c>
      <c r="C2167" t="inlineStr">
        <is>
          <t>0                      BX 4700000S  65                 B  5           1939</t>
        </is>
      </c>
      <c r="D2167" t="inlineStr">
        <is>
          <t>Bernadette of Lourdes / by Margaret Gray Blanton.</t>
        </is>
      </c>
      <c r="F2167" t="inlineStr">
        <is>
          <t>No</t>
        </is>
      </c>
      <c r="G2167" t="inlineStr">
        <is>
          <t>1</t>
        </is>
      </c>
      <c r="H2167" t="inlineStr">
        <is>
          <t>No</t>
        </is>
      </c>
      <c r="I2167" t="inlineStr">
        <is>
          <t>No</t>
        </is>
      </c>
      <c r="J2167" t="inlineStr">
        <is>
          <t>0</t>
        </is>
      </c>
      <c r="K2167" t="inlineStr">
        <is>
          <t>Blanton, Margaret Gray.</t>
        </is>
      </c>
      <c r="L2167" t="inlineStr">
        <is>
          <t>London ; New York [etc.] : Longmans, Green and co., 1939.</t>
        </is>
      </c>
      <c r="M2167" t="inlineStr">
        <is>
          <t>1939</t>
        </is>
      </c>
      <c r="O2167" t="inlineStr">
        <is>
          <t>eng</t>
        </is>
      </c>
      <c r="P2167" t="inlineStr">
        <is>
          <t>___</t>
        </is>
      </c>
      <c r="R2167" t="inlineStr">
        <is>
          <t xml:space="preserve">BX </t>
        </is>
      </c>
      <c r="S2167" t="n">
        <v>5</v>
      </c>
      <c r="T2167" t="n">
        <v>5</v>
      </c>
      <c r="U2167" t="inlineStr">
        <is>
          <t>2001-09-14</t>
        </is>
      </c>
      <c r="V2167" t="inlineStr">
        <is>
          <t>2001-09-14</t>
        </is>
      </c>
      <c r="W2167" t="inlineStr">
        <is>
          <t>1990-03-23</t>
        </is>
      </c>
      <c r="X2167" t="inlineStr">
        <is>
          <t>1990-03-23</t>
        </is>
      </c>
      <c r="Y2167" t="n">
        <v>214</v>
      </c>
      <c r="Z2167" t="n">
        <v>202</v>
      </c>
      <c r="AA2167" t="n">
        <v>210</v>
      </c>
      <c r="AB2167" t="n">
        <v>2</v>
      </c>
      <c r="AC2167" t="n">
        <v>2</v>
      </c>
      <c r="AD2167" t="n">
        <v>21</v>
      </c>
      <c r="AE2167" t="n">
        <v>21</v>
      </c>
      <c r="AF2167" t="n">
        <v>6</v>
      </c>
      <c r="AG2167" t="n">
        <v>6</v>
      </c>
      <c r="AH2167" t="n">
        <v>6</v>
      </c>
      <c r="AI2167" t="n">
        <v>6</v>
      </c>
      <c r="AJ2167" t="n">
        <v>16</v>
      </c>
      <c r="AK2167" t="n">
        <v>16</v>
      </c>
      <c r="AL2167" t="n">
        <v>0</v>
      </c>
      <c r="AM2167" t="n">
        <v>0</v>
      </c>
      <c r="AN2167" t="n">
        <v>0</v>
      </c>
      <c r="AO2167" t="n">
        <v>0</v>
      </c>
      <c r="AP2167" t="inlineStr">
        <is>
          <t>No</t>
        </is>
      </c>
      <c r="AQ2167" t="inlineStr">
        <is>
          <t>Yes</t>
        </is>
      </c>
      <c r="AR2167">
        <f>HYPERLINK("http://catalog.hathitrust.org/Record/005797616","HathiTrust Record")</f>
        <v/>
      </c>
      <c r="AS2167">
        <f>HYPERLINK("https://creighton-primo.hosted.exlibrisgroup.com/primo-explore/search?tab=default_tab&amp;search_scope=EVERYTHING&amp;vid=01CRU&amp;lang=en_US&amp;offset=0&amp;query=any,contains,991002493589702656","Catalog Record")</f>
        <v/>
      </c>
      <c r="AT2167">
        <f>HYPERLINK("http://www.worldcat.org/oclc/363191","WorldCat Record")</f>
        <v/>
      </c>
      <c r="AU2167" t="inlineStr">
        <is>
          <t>10952878:eng</t>
        </is>
      </c>
      <c r="AV2167" t="inlineStr">
        <is>
          <t>363191</t>
        </is>
      </c>
      <c r="AW2167" t="inlineStr">
        <is>
          <t>991002493589702656</t>
        </is>
      </c>
      <c r="AX2167" t="inlineStr">
        <is>
          <t>991002493589702656</t>
        </is>
      </c>
      <c r="AY2167" t="inlineStr">
        <is>
          <t>2264092680002656</t>
        </is>
      </c>
      <c r="AZ2167" t="inlineStr">
        <is>
          <t>BOOK</t>
        </is>
      </c>
      <c r="BC2167" t="inlineStr">
        <is>
          <t>32285000096411</t>
        </is>
      </c>
      <c r="BD2167" t="inlineStr">
        <is>
          <t>893616202</t>
        </is>
      </c>
    </row>
    <row r="2168">
      <c r="A2168" t="inlineStr">
        <is>
          <t>No</t>
        </is>
      </c>
      <c r="B2168" t="inlineStr">
        <is>
          <t>BX4700.S65 G7 1953</t>
        </is>
      </c>
      <c r="C2168" t="inlineStr">
        <is>
          <t>0                      BX 4700000S  65                 G  7           1953</t>
        </is>
      </c>
      <c r="D2168" t="inlineStr">
        <is>
          <t>We saw her / translated and arr. by B. G. Sandhurst [pseud.] ; with an introd. by C. C. Martindale.</t>
        </is>
      </c>
      <c r="F2168" t="inlineStr">
        <is>
          <t>No</t>
        </is>
      </c>
      <c r="G2168" t="inlineStr">
        <is>
          <t>1</t>
        </is>
      </c>
      <c r="H2168" t="inlineStr">
        <is>
          <t>No</t>
        </is>
      </c>
      <c r="I2168" t="inlineStr">
        <is>
          <t>No</t>
        </is>
      </c>
      <c r="J2168" t="inlineStr">
        <is>
          <t>0</t>
        </is>
      </c>
      <c r="K2168" t="inlineStr">
        <is>
          <t>Green, Charles Henry, translator.</t>
        </is>
      </c>
      <c r="L2168" t="inlineStr">
        <is>
          <t>London : Longmans, Green, [1953]</t>
        </is>
      </c>
      <c r="M2168" t="inlineStr">
        <is>
          <t>1953</t>
        </is>
      </c>
      <c r="O2168" t="inlineStr">
        <is>
          <t>eng</t>
        </is>
      </c>
      <c r="P2168" t="inlineStr">
        <is>
          <t>___</t>
        </is>
      </c>
      <c r="R2168" t="inlineStr">
        <is>
          <t xml:space="preserve">BX </t>
        </is>
      </c>
      <c r="S2168" t="n">
        <v>6</v>
      </c>
      <c r="T2168" t="n">
        <v>6</v>
      </c>
      <c r="U2168" t="inlineStr">
        <is>
          <t>1999-09-03</t>
        </is>
      </c>
      <c r="V2168" t="inlineStr">
        <is>
          <t>1999-09-03</t>
        </is>
      </c>
      <c r="W2168" t="inlineStr">
        <is>
          <t>1990-03-23</t>
        </is>
      </c>
      <c r="X2168" t="inlineStr">
        <is>
          <t>1990-03-23</t>
        </is>
      </c>
      <c r="Y2168" t="n">
        <v>104</v>
      </c>
      <c r="Z2168" t="n">
        <v>94</v>
      </c>
      <c r="AA2168" t="n">
        <v>111</v>
      </c>
      <c r="AB2168" t="n">
        <v>1</v>
      </c>
      <c r="AC2168" t="n">
        <v>1</v>
      </c>
      <c r="AD2168" t="n">
        <v>19</v>
      </c>
      <c r="AE2168" t="n">
        <v>24</v>
      </c>
      <c r="AF2168" t="n">
        <v>4</v>
      </c>
      <c r="AG2168" t="n">
        <v>6</v>
      </c>
      <c r="AH2168" t="n">
        <v>3</v>
      </c>
      <c r="AI2168" t="n">
        <v>6</v>
      </c>
      <c r="AJ2168" t="n">
        <v>17</v>
      </c>
      <c r="AK2168" t="n">
        <v>21</v>
      </c>
      <c r="AL2168" t="n">
        <v>0</v>
      </c>
      <c r="AM2168" t="n">
        <v>0</v>
      </c>
      <c r="AN2168" t="n">
        <v>0</v>
      </c>
      <c r="AO2168" t="n">
        <v>0</v>
      </c>
      <c r="AP2168" t="inlineStr">
        <is>
          <t>No</t>
        </is>
      </c>
      <c r="AQ2168" t="inlineStr">
        <is>
          <t>No</t>
        </is>
      </c>
      <c r="AS2168">
        <f>HYPERLINK("https://creighton-primo.hosted.exlibrisgroup.com/primo-explore/search?tab=default_tab&amp;search_scope=EVERYTHING&amp;vid=01CRU&amp;lang=en_US&amp;offset=0&amp;query=any,contains,991003548019702656","Catalog Record")</f>
        <v/>
      </c>
      <c r="AT2168">
        <f>HYPERLINK("http://www.worldcat.org/oclc/1115326","WorldCat Record")</f>
        <v/>
      </c>
      <c r="AU2168" t="inlineStr">
        <is>
          <t>5481383065:eng</t>
        </is>
      </c>
      <c r="AV2168" t="inlineStr">
        <is>
          <t>1115326</t>
        </is>
      </c>
      <c r="AW2168" t="inlineStr">
        <is>
          <t>991003548019702656</t>
        </is>
      </c>
      <c r="AX2168" t="inlineStr">
        <is>
          <t>991003548019702656</t>
        </is>
      </c>
      <c r="AY2168" t="inlineStr">
        <is>
          <t>2269911440002656</t>
        </is>
      </c>
      <c r="AZ2168" t="inlineStr">
        <is>
          <t>BOOK</t>
        </is>
      </c>
      <c r="BC2168" t="inlineStr">
        <is>
          <t>32285000096429</t>
        </is>
      </c>
      <c r="BD2168" t="inlineStr">
        <is>
          <t>893505685</t>
        </is>
      </c>
    </row>
    <row r="2169">
      <c r="A2169" t="inlineStr">
        <is>
          <t>No</t>
        </is>
      </c>
      <c r="B2169" t="inlineStr">
        <is>
          <t>BX4700.S65 K4 1940</t>
        </is>
      </c>
      <c r="C2169" t="inlineStr">
        <is>
          <t>0                      BX 4700000S  65                 K  4           1940</t>
        </is>
      </c>
      <c r="D2169" t="inlineStr">
        <is>
          <t>The sublime shepherdess : the life of Saint Bernadette of Lourdes / by Frances Parkinson Keyes.</t>
        </is>
      </c>
      <c r="F2169" t="inlineStr">
        <is>
          <t>No</t>
        </is>
      </c>
      <c r="G2169" t="inlineStr">
        <is>
          <t>1</t>
        </is>
      </c>
      <c r="H2169" t="inlineStr">
        <is>
          <t>No</t>
        </is>
      </c>
      <c r="I2169" t="inlineStr">
        <is>
          <t>No</t>
        </is>
      </c>
      <c r="J2169" t="inlineStr">
        <is>
          <t>0</t>
        </is>
      </c>
      <c r="K2169" t="inlineStr">
        <is>
          <t>Keyes, Frances Parkinson, 1885-1970.</t>
        </is>
      </c>
      <c r="L2169" t="inlineStr">
        <is>
          <t>[New York] : J. Messsner, inc., 1940.</t>
        </is>
      </c>
      <c r="M2169" t="inlineStr">
        <is>
          <t>1940</t>
        </is>
      </c>
      <c r="O2169" t="inlineStr">
        <is>
          <t>eng</t>
        </is>
      </c>
      <c r="P2169" t="inlineStr">
        <is>
          <t>nyu</t>
        </is>
      </c>
      <c r="R2169" t="inlineStr">
        <is>
          <t xml:space="preserve">BX </t>
        </is>
      </c>
      <c r="S2169" t="n">
        <v>1</v>
      </c>
      <c r="T2169" t="n">
        <v>1</v>
      </c>
      <c r="U2169" t="inlineStr">
        <is>
          <t>2001-09-12</t>
        </is>
      </c>
      <c r="V2169" t="inlineStr">
        <is>
          <t>2001-09-12</t>
        </is>
      </c>
      <c r="W2169" t="inlineStr">
        <is>
          <t>1990-03-23</t>
        </is>
      </c>
      <c r="X2169" t="inlineStr">
        <is>
          <t>1990-03-23</t>
        </is>
      </c>
      <c r="Y2169" t="n">
        <v>171</v>
      </c>
      <c r="Z2169" t="n">
        <v>164</v>
      </c>
      <c r="AA2169" t="n">
        <v>183</v>
      </c>
      <c r="AB2169" t="n">
        <v>2</v>
      </c>
      <c r="AC2169" t="n">
        <v>2</v>
      </c>
      <c r="AD2169" t="n">
        <v>21</v>
      </c>
      <c r="AE2169" t="n">
        <v>23</v>
      </c>
      <c r="AF2169" t="n">
        <v>3</v>
      </c>
      <c r="AG2169" t="n">
        <v>3</v>
      </c>
      <c r="AH2169" t="n">
        <v>6</v>
      </c>
      <c r="AI2169" t="n">
        <v>7</v>
      </c>
      <c r="AJ2169" t="n">
        <v>17</v>
      </c>
      <c r="AK2169" t="n">
        <v>18</v>
      </c>
      <c r="AL2169" t="n">
        <v>1</v>
      </c>
      <c r="AM2169" t="n">
        <v>1</v>
      </c>
      <c r="AN2169" t="n">
        <v>0</v>
      </c>
      <c r="AO2169" t="n">
        <v>0</v>
      </c>
      <c r="AP2169" t="inlineStr">
        <is>
          <t>No</t>
        </is>
      </c>
      <c r="AQ2169" t="inlineStr">
        <is>
          <t>Yes</t>
        </is>
      </c>
      <c r="AR2169">
        <f>HYPERLINK("http://catalog.hathitrust.org/Record/006575214","HathiTrust Record")</f>
        <v/>
      </c>
      <c r="AS2169">
        <f>HYPERLINK("https://creighton-primo.hosted.exlibrisgroup.com/primo-explore/search?tab=default_tab&amp;search_scope=EVERYTHING&amp;vid=01CRU&amp;lang=en_US&amp;offset=0&amp;query=any,contains,991004748129702656","Catalog Record")</f>
        <v/>
      </c>
      <c r="AT2169">
        <f>HYPERLINK("http://www.worldcat.org/oclc/4922490","WorldCat Record")</f>
        <v/>
      </c>
      <c r="AU2169" t="inlineStr">
        <is>
          <t>1948944:eng</t>
        </is>
      </c>
      <c r="AV2169" t="inlineStr">
        <is>
          <t>4922490</t>
        </is>
      </c>
      <c r="AW2169" t="inlineStr">
        <is>
          <t>991004748129702656</t>
        </is>
      </c>
      <c r="AX2169" t="inlineStr">
        <is>
          <t>991004748129702656</t>
        </is>
      </c>
      <c r="AY2169" t="inlineStr">
        <is>
          <t>2266695410002656</t>
        </is>
      </c>
      <c r="AZ2169" t="inlineStr">
        <is>
          <t>BOOK</t>
        </is>
      </c>
      <c r="BC2169" t="inlineStr">
        <is>
          <t>32285000096437</t>
        </is>
      </c>
      <c r="BD2169" t="inlineStr">
        <is>
          <t>893235883</t>
        </is>
      </c>
    </row>
    <row r="2170">
      <c r="A2170" t="inlineStr">
        <is>
          <t>No</t>
        </is>
      </c>
      <c r="B2170" t="inlineStr">
        <is>
          <t>BX4700.S65 S33</t>
        </is>
      </c>
      <c r="C2170" t="inlineStr">
        <is>
          <t>0                      BX 4700000S  65                 S  33</t>
        </is>
      </c>
      <c r="D2170" t="inlineStr">
        <is>
          <t>Bernadette and Lourdes / by Michel de Saint-Pierre ; translated from the French by Edward Fitzgerald.</t>
        </is>
      </c>
      <c r="F2170" t="inlineStr">
        <is>
          <t>No</t>
        </is>
      </c>
      <c r="G2170" t="inlineStr">
        <is>
          <t>1</t>
        </is>
      </c>
      <c r="H2170" t="inlineStr">
        <is>
          <t>No</t>
        </is>
      </c>
      <c r="I2170" t="inlineStr">
        <is>
          <t>No</t>
        </is>
      </c>
      <c r="J2170" t="inlineStr">
        <is>
          <t>0</t>
        </is>
      </c>
      <c r="K2170" t="inlineStr">
        <is>
          <t>Saint Pierre, Michel de, 1916-1987.</t>
        </is>
      </c>
      <c r="L2170" t="inlineStr">
        <is>
          <t>New York, Farrar, Straus and Young [1954]</t>
        </is>
      </c>
      <c r="M2170" t="inlineStr">
        <is>
          <t>1954</t>
        </is>
      </c>
      <c r="O2170" t="inlineStr">
        <is>
          <t>eng</t>
        </is>
      </c>
      <c r="P2170" t="inlineStr">
        <is>
          <t>nyu</t>
        </is>
      </c>
      <c r="R2170" t="inlineStr">
        <is>
          <t xml:space="preserve">BX </t>
        </is>
      </c>
      <c r="S2170" t="n">
        <v>6</v>
      </c>
      <c r="T2170" t="n">
        <v>6</v>
      </c>
      <c r="U2170" t="inlineStr">
        <is>
          <t>1999-09-03</t>
        </is>
      </c>
      <c r="V2170" t="inlineStr">
        <is>
          <t>1999-09-03</t>
        </is>
      </c>
      <c r="W2170" t="inlineStr">
        <is>
          <t>1990-03-23</t>
        </is>
      </c>
      <c r="X2170" t="inlineStr">
        <is>
          <t>1990-03-23</t>
        </is>
      </c>
      <c r="Y2170" t="n">
        <v>149</v>
      </c>
      <c r="Z2170" t="n">
        <v>138</v>
      </c>
      <c r="AA2170" t="n">
        <v>219</v>
      </c>
      <c r="AB2170" t="n">
        <v>3</v>
      </c>
      <c r="AC2170" t="n">
        <v>3</v>
      </c>
      <c r="AD2170" t="n">
        <v>14</v>
      </c>
      <c r="AE2170" t="n">
        <v>20</v>
      </c>
      <c r="AF2170" t="n">
        <v>5</v>
      </c>
      <c r="AG2170" t="n">
        <v>5</v>
      </c>
      <c r="AH2170" t="n">
        <v>1</v>
      </c>
      <c r="AI2170" t="n">
        <v>4</v>
      </c>
      <c r="AJ2170" t="n">
        <v>14</v>
      </c>
      <c r="AK2170" t="n">
        <v>18</v>
      </c>
      <c r="AL2170" t="n">
        <v>0</v>
      </c>
      <c r="AM2170" t="n">
        <v>0</v>
      </c>
      <c r="AN2170" t="n">
        <v>0</v>
      </c>
      <c r="AO2170" t="n">
        <v>0</v>
      </c>
      <c r="AP2170" t="inlineStr">
        <is>
          <t>No</t>
        </is>
      </c>
      <c r="AQ2170" t="inlineStr">
        <is>
          <t>No</t>
        </is>
      </c>
      <c r="AS2170">
        <f>HYPERLINK("https://creighton-primo.hosted.exlibrisgroup.com/primo-explore/search?tab=default_tab&amp;search_scope=EVERYTHING&amp;vid=01CRU&amp;lang=en_US&amp;offset=0&amp;query=any,contains,991003974219702656","Catalog Record")</f>
        <v/>
      </c>
      <c r="AT2170">
        <f>HYPERLINK("http://www.worldcat.org/oclc/1997681","WorldCat Record")</f>
        <v/>
      </c>
      <c r="AU2170" t="inlineStr">
        <is>
          <t>3855339909:eng</t>
        </is>
      </c>
      <c r="AV2170" t="inlineStr">
        <is>
          <t>1997681</t>
        </is>
      </c>
      <c r="AW2170" t="inlineStr">
        <is>
          <t>991003974219702656</t>
        </is>
      </c>
      <c r="AX2170" t="inlineStr">
        <is>
          <t>991003974219702656</t>
        </is>
      </c>
      <c r="AY2170" t="inlineStr">
        <is>
          <t>2261255630002656</t>
        </is>
      </c>
      <c r="AZ2170" t="inlineStr">
        <is>
          <t>BOOK</t>
        </is>
      </c>
      <c r="BC2170" t="inlineStr">
        <is>
          <t>32285000096445</t>
        </is>
      </c>
      <c r="BD2170" t="inlineStr">
        <is>
          <t>893349450</t>
        </is>
      </c>
    </row>
    <row r="2171">
      <c r="A2171" t="inlineStr">
        <is>
          <t>No</t>
        </is>
      </c>
      <c r="B2171" t="inlineStr">
        <is>
          <t>BX4700.S65 T683 1958</t>
        </is>
      </c>
      <c r="C2171" t="inlineStr">
        <is>
          <t>0                      BX 4700000S  65                 T  683         1958</t>
        </is>
      </c>
      <c r="D2171" t="inlineStr">
        <is>
          <t>Saint Bernadette Soubirous, 1844-1879 / Francis Trochu. Tr. and adapt. by John Joyce.</t>
        </is>
      </c>
      <c r="F2171" t="inlineStr">
        <is>
          <t>No</t>
        </is>
      </c>
      <c r="G2171" t="inlineStr">
        <is>
          <t>1</t>
        </is>
      </c>
      <c r="H2171" t="inlineStr">
        <is>
          <t>No</t>
        </is>
      </c>
      <c r="I2171" t="inlineStr">
        <is>
          <t>No</t>
        </is>
      </c>
      <c r="J2171" t="inlineStr">
        <is>
          <t>0</t>
        </is>
      </c>
      <c r="K2171" t="inlineStr">
        <is>
          <t>Trochu, Francis, 1877-1967.</t>
        </is>
      </c>
      <c r="L2171" t="inlineStr">
        <is>
          <t>[New York] : Pantheon, 1958, c1957.</t>
        </is>
      </c>
      <c r="M2171" t="inlineStr">
        <is>
          <t>1957</t>
        </is>
      </c>
      <c r="O2171" t="inlineStr">
        <is>
          <t>eng</t>
        </is>
      </c>
      <c r="P2171" t="inlineStr">
        <is>
          <t>___</t>
        </is>
      </c>
      <c r="R2171" t="inlineStr">
        <is>
          <t xml:space="preserve">BX </t>
        </is>
      </c>
      <c r="S2171" t="n">
        <v>7</v>
      </c>
      <c r="T2171" t="n">
        <v>7</v>
      </c>
      <c r="U2171" t="inlineStr">
        <is>
          <t>2001-09-14</t>
        </is>
      </c>
      <c r="V2171" t="inlineStr">
        <is>
          <t>2001-09-14</t>
        </is>
      </c>
      <c r="W2171" t="inlineStr">
        <is>
          <t>1990-03-23</t>
        </is>
      </c>
      <c r="X2171" t="inlineStr">
        <is>
          <t>1990-03-23</t>
        </is>
      </c>
      <c r="Y2171" t="n">
        <v>271</v>
      </c>
      <c r="Z2171" t="n">
        <v>258</v>
      </c>
      <c r="AA2171" t="n">
        <v>350</v>
      </c>
      <c r="AB2171" t="n">
        <v>3</v>
      </c>
      <c r="AC2171" t="n">
        <v>3</v>
      </c>
      <c r="AD2171" t="n">
        <v>22</v>
      </c>
      <c r="AE2171" t="n">
        <v>26</v>
      </c>
      <c r="AF2171" t="n">
        <v>5</v>
      </c>
      <c r="AG2171" t="n">
        <v>7</v>
      </c>
      <c r="AH2171" t="n">
        <v>5</v>
      </c>
      <c r="AI2171" t="n">
        <v>7</v>
      </c>
      <c r="AJ2171" t="n">
        <v>19</v>
      </c>
      <c r="AK2171" t="n">
        <v>22</v>
      </c>
      <c r="AL2171" t="n">
        <v>0</v>
      </c>
      <c r="AM2171" t="n">
        <v>0</v>
      </c>
      <c r="AN2171" t="n">
        <v>0</v>
      </c>
      <c r="AO2171" t="n">
        <v>0</v>
      </c>
      <c r="AP2171" t="inlineStr">
        <is>
          <t>No</t>
        </is>
      </c>
      <c r="AQ2171" t="inlineStr">
        <is>
          <t>Yes</t>
        </is>
      </c>
      <c r="AR2171">
        <f>HYPERLINK("http://catalog.hathitrust.org/Record/101882845","HathiTrust Record")</f>
        <v/>
      </c>
      <c r="AS2171">
        <f>HYPERLINK("https://creighton-primo.hosted.exlibrisgroup.com/primo-explore/search?tab=default_tab&amp;search_scope=EVERYTHING&amp;vid=01CRU&amp;lang=en_US&amp;offset=0&amp;query=any,contains,991003707559702656","Catalog Record")</f>
        <v/>
      </c>
      <c r="AT2171">
        <f>HYPERLINK("http://www.worldcat.org/oclc/1345575","WorldCat Record")</f>
        <v/>
      </c>
      <c r="AU2171" t="inlineStr">
        <is>
          <t>2240428:eng</t>
        </is>
      </c>
      <c r="AV2171" t="inlineStr">
        <is>
          <t>1345575</t>
        </is>
      </c>
      <c r="AW2171" t="inlineStr">
        <is>
          <t>991003707559702656</t>
        </is>
      </c>
      <c r="AX2171" t="inlineStr">
        <is>
          <t>991003707559702656</t>
        </is>
      </c>
      <c r="AY2171" t="inlineStr">
        <is>
          <t>2260347260002656</t>
        </is>
      </c>
      <c r="AZ2171" t="inlineStr">
        <is>
          <t>BOOK</t>
        </is>
      </c>
      <c r="BC2171" t="inlineStr">
        <is>
          <t>32285000096452</t>
        </is>
      </c>
      <c r="BD2171" t="inlineStr">
        <is>
          <t>893499604</t>
        </is>
      </c>
    </row>
    <row r="2172">
      <c r="A2172" t="inlineStr">
        <is>
          <t>No</t>
        </is>
      </c>
      <c r="B2172" t="inlineStr">
        <is>
          <t>BX4700.S7 K3 1924</t>
        </is>
      </c>
      <c r="C2172" t="inlineStr">
        <is>
          <t>0                      BX 4700000S  7                  K  3           1924</t>
        </is>
      </c>
      <c r="D2172" t="inlineStr">
        <is>
          <t>For greater things : the story of Saint Stanislaus Kostka / by William T. Kane, with a preface by James J. Daly.</t>
        </is>
      </c>
      <c r="F2172" t="inlineStr">
        <is>
          <t>No</t>
        </is>
      </c>
      <c r="G2172" t="inlineStr">
        <is>
          <t>1</t>
        </is>
      </c>
      <c r="H2172" t="inlineStr">
        <is>
          <t>No</t>
        </is>
      </c>
      <c r="I2172" t="inlineStr">
        <is>
          <t>No</t>
        </is>
      </c>
      <c r="J2172" t="inlineStr">
        <is>
          <t>0</t>
        </is>
      </c>
      <c r="K2172" t="inlineStr">
        <is>
          <t>Kane, William T. (William Terence), 1880-1946.</t>
        </is>
      </c>
      <c r="L2172" t="inlineStr">
        <is>
          <t>St. Louis ; London : B. Herder, 1924.</t>
        </is>
      </c>
      <c r="M2172" t="inlineStr">
        <is>
          <t>1924</t>
        </is>
      </c>
      <c r="O2172" t="inlineStr">
        <is>
          <t>eng</t>
        </is>
      </c>
      <c r="P2172" t="inlineStr">
        <is>
          <t>mou</t>
        </is>
      </c>
      <c r="R2172" t="inlineStr">
        <is>
          <t xml:space="preserve">BX </t>
        </is>
      </c>
      <c r="S2172" t="n">
        <v>8</v>
      </c>
      <c r="T2172" t="n">
        <v>8</v>
      </c>
      <c r="U2172" t="inlineStr">
        <is>
          <t>1997-10-14</t>
        </is>
      </c>
      <c r="V2172" t="inlineStr">
        <is>
          <t>1997-10-14</t>
        </is>
      </c>
      <c r="W2172" t="inlineStr">
        <is>
          <t>1991-12-04</t>
        </is>
      </c>
      <c r="X2172" t="inlineStr">
        <is>
          <t>1991-12-04</t>
        </is>
      </c>
      <c r="Y2172" t="n">
        <v>10</v>
      </c>
      <c r="Z2172" t="n">
        <v>8</v>
      </c>
      <c r="AA2172" t="n">
        <v>304</v>
      </c>
      <c r="AB2172" t="n">
        <v>1</v>
      </c>
      <c r="AC2172" t="n">
        <v>1</v>
      </c>
      <c r="AD2172" t="n">
        <v>3</v>
      </c>
      <c r="AE2172" t="n">
        <v>26</v>
      </c>
      <c r="AF2172" t="n">
        <v>1</v>
      </c>
      <c r="AG2172" t="n">
        <v>11</v>
      </c>
      <c r="AH2172" t="n">
        <v>2</v>
      </c>
      <c r="AI2172" t="n">
        <v>7</v>
      </c>
      <c r="AJ2172" t="n">
        <v>1</v>
      </c>
      <c r="AK2172" t="n">
        <v>14</v>
      </c>
      <c r="AL2172" t="n">
        <v>0</v>
      </c>
      <c r="AM2172" t="n">
        <v>0</v>
      </c>
      <c r="AN2172" t="n">
        <v>0</v>
      </c>
      <c r="AO2172" t="n">
        <v>0</v>
      </c>
      <c r="AP2172" t="inlineStr">
        <is>
          <t>No</t>
        </is>
      </c>
      <c r="AQ2172" t="inlineStr">
        <is>
          <t>No</t>
        </is>
      </c>
      <c r="AS2172">
        <f>HYPERLINK("https://creighton-primo.hosted.exlibrisgroup.com/primo-explore/search?tab=default_tab&amp;search_scope=EVERYTHING&amp;vid=01CRU&amp;lang=en_US&amp;offset=0&amp;query=any,contains,991005065229702656","Catalog Record")</f>
        <v/>
      </c>
      <c r="AT2172">
        <f>HYPERLINK("http://www.worldcat.org/oclc/6946926","WorldCat Record")</f>
        <v/>
      </c>
      <c r="AU2172" t="inlineStr">
        <is>
          <t>38877921:eng</t>
        </is>
      </c>
      <c r="AV2172" t="inlineStr">
        <is>
          <t>6946926</t>
        </is>
      </c>
      <c r="AW2172" t="inlineStr">
        <is>
          <t>991005065229702656</t>
        </is>
      </c>
      <c r="AX2172" t="inlineStr">
        <is>
          <t>991005065229702656</t>
        </is>
      </c>
      <c r="AY2172" t="inlineStr">
        <is>
          <t>2255689010002656</t>
        </is>
      </c>
      <c r="AZ2172" t="inlineStr">
        <is>
          <t>BOOK</t>
        </is>
      </c>
      <c r="BC2172" t="inlineStr">
        <is>
          <t>32285000871300</t>
        </is>
      </c>
      <c r="BD2172" t="inlineStr">
        <is>
          <t>893789382</t>
        </is>
      </c>
    </row>
    <row r="2173">
      <c r="A2173" t="inlineStr">
        <is>
          <t>No</t>
        </is>
      </c>
      <c r="B2173" t="inlineStr">
        <is>
          <t>BX4700.S7 T5</t>
        </is>
      </c>
      <c r="C2173" t="inlineStr">
        <is>
          <t>0                      BX 4700000S  7                  T  5</t>
        </is>
      </c>
      <c r="D2173" t="inlineStr">
        <is>
          <t>The life of St. Stanislas Kostka : of the company of Jesus / edited by Edward Healey Thompson.</t>
        </is>
      </c>
      <c r="F2173" t="inlineStr">
        <is>
          <t>No</t>
        </is>
      </c>
      <c r="G2173" t="inlineStr">
        <is>
          <t>1</t>
        </is>
      </c>
      <c r="H2173" t="inlineStr">
        <is>
          <t>No</t>
        </is>
      </c>
      <c r="I2173" t="inlineStr">
        <is>
          <t>No</t>
        </is>
      </c>
      <c r="J2173" t="inlineStr">
        <is>
          <t>0</t>
        </is>
      </c>
      <c r="K2173" t="inlineStr">
        <is>
          <t>Thompson, Edward Healy, 1813-1891, editor.</t>
        </is>
      </c>
      <c r="L2173" t="inlineStr">
        <is>
          <t>Philadelphia : Cunningham, 1870.</t>
        </is>
      </c>
      <c r="M2173" t="inlineStr">
        <is>
          <t>1870</t>
        </is>
      </c>
      <c r="O2173" t="inlineStr">
        <is>
          <t>eng</t>
        </is>
      </c>
      <c r="P2173" t="inlineStr">
        <is>
          <t>pau</t>
        </is>
      </c>
      <c r="R2173" t="inlineStr">
        <is>
          <t xml:space="preserve">BX </t>
        </is>
      </c>
      <c r="S2173" t="n">
        <v>4</v>
      </c>
      <c r="T2173" t="n">
        <v>4</v>
      </c>
      <c r="U2173" t="inlineStr">
        <is>
          <t>2005-07-29</t>
        </is>
      </c>
      <c r="V2173" t="inlineStr">
        <is>
          <t>2005-07-29</t>
        </is>
      </c>
      <c r="W2173" t="inlineStr">
        <is>
          <t>1991-12-04</t>
        </is>
      </c>
      <c r="X2173" t="inlineStr">
        <is>
          <t>1991-12-04</t>
        </is>
      </c>
      <c r="Y2173" t="n">
        <v>24</v>
      </c>
      <c r="Z2173" t="n">
        <v>24</v>
      </c>
      <c r="AA2173" t="n">
        <v>89</v>
      </c>
      <c r="AB2173" t="n">
        <v>1</v>
      </c>
      <c r="AC2173" t="n">
        <v>2</v>
      </c>
      <c r="AD2173" t="n">
        <v>2</v>
      </c>
      <c r="AE2173" t="n">
        <v>12</v>
      </c>
      <c r="AF2173" t="n">
        <v>0</v>
      </c>
      <c r="AG2173" t="n">
        <v>3</v>
      </c>
      <c r="AH2173" t="n">
        <v>0</v>
      </c>
      <c r="AI2173" t="n">
        <v>1</v>
      </c>
      <c r="AJ2173" t="n">
        <v>2</v>
      </c>
      <c r="AK2173" t="n">
        <v>11</v>
      </c>
      <c r="AL2173" t="n">
        <v>0</v>
      </c>
      <c r="AM2173" t="n">
        <v>0</v>
      </c>
      <c r="AN2173" t="n">
        <v>0</v>
      </c>
      <c r="AO2173" t="n">
        <v>0</v>
      </c>
      <c r="AP2173" t="inlineStr">
        <is>
          <t>No</t>
        </is>
      </c>
      <c r="AQ2173" t="inlineStr">
        <is>
          <t>No</t>
        </is>
      </c>
      <c r="AS2173">
        <f>HYPERLINK("https://creighton-primo.hosted.exlibrisgroup.com/primo-explore/search?tab=default_tab&amp;search_scope=EVERYTHING&amp;vid=01CRU&amp;lang=en_US&amp;offset=0&amp;query=any,contains,991004950059702656","Catalog Record")</f>
        <v/>
      </c>
      <c r="AT2173">
        <f>HYPERLINK("http://www.worldcat.org/oclc/6235856","WorldCat Record")</f>
        <v/>
      </c>
      <c r="AU2173" t="inlineStr">
        <is>
          <t>21654000:eng</t>
        </is>
      </c>
      <c r="AV2173" t="inlineStr">
        <is>
          <t>6235856</t>
        </is>
      </c>
      <c r="AW2173" t="inlineStr">
        <is>
          <t>991004950059702656</t>
        </is>
      </c>
      <c r="AX2173" t="inlineStr">
        <is>
          <t>991004950059702656</t>
        </is>
      </c>
      <c r="AY2173" t="inlineStr">
        <is>
          <t>2264326220002656</t>
        </is>
      </c>
      <c r="AZ2173" t="inlineStr">
        <is>
          <t>BOOK</t>
        </is>
      </c>
      <c r="BC2173" t="inlineStr">
        <is>
          <t>32285000871318</t>
        </is>
      </c>
      <c r="BD2173" t="inlineStr">
        <is>
          <t>893807657</t>
        </is>
      </c>
    </row>
    <row r="2174">
      <c r="A2174" t="inlineStr">
        <is>
          <t>No</t>
        </is>
      </c>
      <c r="B2174" t="inlineStr">
        <is>
          <t>BX4700.S75 S74 2008</t>
        </is>
      </c>
      <c r="C2174" t="inlineStr">
        <is>
          <t>0                      BX 4700000S  75                 S  74          2008</t>
        </is>
      </c>
      <c r="D2174" t="inlineStr">
        <is>
          <t>Stephen Harding : a biographical sketch and texts / by Claudio Stercal ; translated by Martha F. Krieg.</t>
        </is>
      </c>
      <c r="F2174" t="inlineStr">
        <is>
          <t>No</t>
        </is>
      </c>
      <c r="G2174" t="inlineStr">
        <is>
          <t>1</t>
        </is>
      </c>
      <c r="H2174" t="inlineStr">
        <is>
          <t>No</t>
        </is>
      </c>
      <c r="I2174" t="inlineStr">
        <is>
          <t>No</t>
        </is>
      </c>
      <c r="J2174" t="inlineStr">
        <is>
          <t>0</t>
        </is>
      </c>
      <c r="K2174" t="inlineStr">
        <is>
          <t>Stercal, Claudio, 1954-</t>
        </is>
      </c>
      <c r="L2174" t="inlineStr">
        <is>
          <t>Trappist, Ky. : Cistercian Publications ; Collegeville, Minn. : Liturgical Press, c2008.</t>
        </is>
      </c>
      <c r="M2174" t="inlineStr">
        <is>
          <t>2008</t>
        </is>
      </c>
      <c r="O2174" t="inlineStr">
        <is>
          <t>eng</t>
        </is>
      </c>
      <c r="P2174" t="inlineStr">
        <is>
          <t>kyu</t>
        </is>
      </c>
      <c r="Q2174" t="inlineStr">
        <is>
          <t>Cistercian studies series ; no. 226</t>
        </is>
      </c>
      <c r="R2174" t="inlineStr">
        <is>
          <t xml:space="preserve">BX </t>
        </is>
      </c>
      <c r="S2174" t="n">
        <v>1</v>
      </c>
      <c r="T2174" t="n">
        <v>1</v>
      </c>
      <c r="U2174" t="inlineStr">
        <is>
          <t>2009-01-20</t>
        </is>
      </c>
      <c r="V2174" t="inlineStr">
        <is>
          <t>2009-01-20</t>
        </is>
      </c>
      <c r="W2174" t="inlineStr">
        <is>
          <t>2009-01-20</t>
        </is>
      </c>
      <c r="X2174" t="inlineStr">
        <is>
          <t>2009-01-20</t>
        </is>
      </c>
      <c r="Y2174" t="n">
        <v>138</v>
      </c>
      <c r="Z2174" t="n">
        <v>122</v>
      </c>
      <c r="AA2174" t="n">
        <v>124</v>
      </c>
      <c r="AB2174" t="n">
        <v>1</v>
      </c>
      <c r="AC2174" t="n">
        <v>1</v>
      </c>
      <c r="AD2174" t="n">
        <v>12</v>
      </c>
      <c r="AE2174" t="n">
        <v>12</v>
      </c>
      <c r="AF2174" t="n">
        <v>3</v>
      </c>
      <c r="AG2174" t="n">
        <v>3</v>
      </c>
      <c r="AH2174" t="n">
        <v>3</v>
      </c>
      <c r="AI2174" t="n">
        <v>3</v>
      </c>
      <c r="AJ2174" t="n">
        <v>9</v>
      </c>
      <c r="AK2174" t="n">
        <v>9</v>
      </c>
      <c r="AL2174" t="n">
        <v>0</v>
      </c>
      <c r="AM2174" t="n">
        <v>0</v>
      </c>
      <c r="AN2174" t="n">
        <v>0</v>
      </c>
      <c r="AO2174" t="n">
        <v>0</v>
      </c>
      <c r="AP2174" t="inlineStr">
        <is>
          <t>No</t>
        </is>
      </c>
      <c r="AQ2174" t="inlineStr">
        <is>
          <t>Yes</t>
        </is>
      </c>
      <c r="AR2174">
        <f>HYPERLINK("http://catalog.hathitrust.org/Record/005924755","HathiTrust Record")</f>
        <v/>
      </c>
      <c r="AS2174">
        <f>HYPERLINK("https://creighton-primo.hosted.exlibrisgroup.com/primo-explore/search?tab=default_tab&amp;search_scope=EVERYTHING&amp;vid=01CRU&amp;lang=en_US&amp;offset=0&amp;query=any,contains,991005286769702656","Catalog Record")</f>
        <v/>
      </c>
      <c r="AT2174">
        <f>HYPERLINK("http://www.worldcat.org/oclc/229432597","WorldCat Record")</f>
        <v/>
      </c>
      <c r="AU2174" t="inlineStr">
        <is>
          <t>9464322:eng</t>
        </is>
      </c>
      <c r="AV2174" t="inlineStr">
        <is>
          <t>229432597</t>
        </is>
      </c>
      <c r="AW2174" t="inlineStr">
        <is>
          <t>991005286769702656</t>
        </is>
      </c>
      <c r="AX2174" t="inlineStr">
        <is>
          <t>991005286769702656</t>
        </is>
      </c>
      <c r="AY2174" t="inlineStr">
        <is>
          <t>2267090970002656</t>
        </is>
      </c>
      <c r="AZ2174" t="inlineStr">
        <is>
          <t>BOOK</t>
        </is>
      </c>
      <c r="BB2174" t="inlineStr">
        <is>
          <t>9780879073268</t>
        </is>
      </c>
      <c r="BC2174" t="inlineStr">
        <is>
          <t>32285005479620</t>
        </is>
      </c>
      <c r="BD2174" t="inlineStr">
        <is>
          <t>893625775</t>
        </is>
      </c>
    </row>
    <row r="2175">
      <c r="A2175" t="inlineStr">
        <is>
          <t>No</t>
        </is>
      </c>
      <c r="B2175" t="inlineStr">
        <is>
          <t>BX4700.S76 B7 1868</t>
        </is>
      </c>
      <c r="C2175" t="inlineStr">
        <is>
          <t>0                      BX 4700000S  76                 B  7           1868</t>
        </is>
      </c>
      <c r="D2175" t="inlineStr">
        <is>
          <t>Life of the Blessed Charles Spinola, of the Society of Jesus : with a sketch of the other Japanese martyrs, beatified on the 7th of July, 1867 / by Joseph Broeckaert.</t>
        </is>
      </c>
      <c r="F2175" t="inlineStr">
        <is>
          <t>No</t>
        </is>
      </c>
      <c r="G2175" t="inlineStr">
        <is>
          <t>1</t>
        </is>
      </c>
      <c r="H2175" t="inlineStr">
        <is>
          <t>No</t>
        </is>
      </c>
      <c r="I2175" t="inlineStr">
        <is>
          <t>No</t>
        </is>
      </c>
      <c r="J2175" t="inlineStr">
        <is>
          <t>0</t>
        </is>
      </c>
      <c r="K2175" t="inlineStr">
        <is>
          <t>Broeckaert, Joseph, 1807-1880.</t>
        </is>
      </c>
      <c r="L2175" t="inlineStr">
        <is>
          <t>New York : P.J. Kenedy, 1868.</t>
        </is>
      </c>
      <c r="M2175" t="inlineStr">
        <is>
          <t>1868</t>
        </is>
      </c>
      <c r="O2175" t="inlineStr">
        <is>
          <t>eng</t>
        </is>
      </c>
      <c r="P2175" t="inlineStr">
        <is>
          <t>nyu</t>
        </is>
      </c>
      <c r="R2175" t="inlineStr">
        <is>
          <t xml:space="preserve">BX </t>
        </is>
      </c>
      <c r="S2175" t="n">
        <v>5</v>
      </c>
      <c r="T2175" t="n">
        <v>5</v>
      </c>
      <c r="U2175" t="inlineStr">
        <is>
          <t>1995-03-20</t>
        </is>
      </c>
      <c r="V2175" t="inlineStr">
        <is>
          <t>1995-03-20</t>
        </is>
      </c>
      <c r="W2175" t="inlineStr">
        <is>
          <t>1991-12-04</t>
        </is>
      </c>
      <c r="X2175" t="inlineStr">
        <is>
          <t>1991-12-04</t>
        </is>
      </c>
      <c r="Y2175" t="n">
        <v>10</v>
      </c>
      <c r="Z2175" t="n">
        <v>10</v>
      </c>
      <c r="AA2175" t="n">
        <v>78</v>
      </c>
      <c r="AB2175" t="n">
        <v>1</v>
      </c>
      <c r="AC2175" t="n">
        <v>2</v>
      </c>
      <c r="AD2175" t="n">
        <v>4</v>
      </c>
      <c r="AE2175" t="n">
        <v>17</v>
      </c>
      <c r="AF2175" t="n">
        <v>1</v>
      </c>
      <c r="AG2175" t="n">
        <v>4</v>
      </c>
      <c r="AH2175" t="n">
        <v>1</v>
      </c>
      <c r="AI2175" t="n">
        <v>3</v>
      </c>
      <c r="AJ2175" t="n">
        <v>3</v>
      </c>
      <c r="AK2175" t="n">
        <v>14</v>
      </c>
      <c r="AL2175" t="n">
        <v>0</v>
      </c>
      <c r="AM2175" t="n">
        <v>1</v>
      </c>
      <c r="AN2175" t="n">
        <v>0</v>
      </c>
      <c r="AO2175" t="n">
        <v>0</v>
      </c>
      <c r="AP2175" t="inlineStr">
        <is>
          <t>No</t>
        </is>
      </c>
      <c r="AQ2175" t="inlineStr">
        <is>
          <t>No</t>
        </is>
      </c>
      <c r="AS2175">
        <f>HYPERLINK("https://creighton-primo.hosted.exlibrisgroup.com/primo-explore/search?tab=default_tab&amp;search_scope=EVERYTHING&amp;vid=01CRU&amp;lang=en_US&amp;offset=0&amp;query=any,contains,991001155829702656","Catalog Record")</f>
        <v/>
      </c>
      <c r="AT2175">
        <f>HYPERLINK("http://www.worldcat.org/oclc/16854283","WorldCat Record")</f>
        <v/>
      </c>
      <c r="AU2175" t="inlineStr">
        <is>
          <t>13155423:eng</t>
        </is>
      </c>
      <c r="AV2175" t="inlineStr">
        <is>
          <t>16854283</t>
        </is>
      </c>
      <c r="AW2175" t="inlineStr">
        <is>
          <t>991001155829702656</t>
        </is>
      </c>
      <c r="AX2175" t="inlineStr">
        <is>
          <t>991001155829702656</t>
        </is>
      </c>
      <c r="AY2175" t="inlineStr">
        <is>
          <t>2254869560002656</t>
        </is>
      </c>
      <c r="AZ2175" t="inlineStr">
        <is>
          <t>BOOK</t>
        </is>
      </c>
      <c r="BC2175" t="inlineStr">
        <is>
          <t>32285000871342</t>
        </is>
      </c>
      <c r="BD2175" t="inlineStr">
        <is>
          <t>893503144</t>
        </is>
      </c>
    </row>
    <row r="2176">
      <c r="A2176" t="inlineStr">
        <is>
          <t>No</t>
        </is>
      </c>
      <c r="B2176" t="inlineStr">
        <is>
          <t>BX4700.T4 A2 1855</t>
        </is>
      </c>
      <c r="C2176" t="inlineStr">
        <is>
          <t>0                      BX 4700000T  4                  A  2           1855</t>
        </is>
      </c>
      <c r="D2176" t="inlineStr">
        <is>
          <t>The life of Saint Teresa / written by herself ; translated from the Spanish by the Rev. John Dalton.</t>
        </is>
      </c>
      <c r="F2176" t="inlineStr">
        <is>
          <t>No</t>
        </is>
      </c>
      <c r="G2176" t="inlineStr">
        <is>
          <t>1</t>
        </is>
      </c>
      <c r="H2176" t="inlineStr">
        <is>
          <t>No</t>
        </is>
      </c>
      <c r="I2176" t="inlineStr">
        <is>
          <t>No</t>
        </is>
      </c>
      <c r="J2176" t="inlineStr">
        <is>
          <t>0</t>
        </is>
      </c>
      <c r="K2176" t="inlineStr">
        <is>
          <t>Teresa, of Avila, Saint, 1515-1582.</t>
        </is>
      </c>
      <c r="L2176" t="inlineStr">
        <is>
          <t>London : C. Dolman, 1855.</t>
        </is>
      </c>
      <c r="M2176" t="inlineStr">
        <is>
          <t>1855</t>
        </is>
      </c>
      <c r="N2176" t="inlineStr">
        <is>
          <t>2nd ed.</t>
        </is>
      </c>
      <c r="O2176" t="inlineStr">
        <is>
          <t>eng</t>
        </is>
      </c>
      <c r="P2176" t="inlineStr">
        <is>
          <t>enk</t>
        </is>
      </c>
      <c r="R2176" t="inlineStr">
        <is>
          <t xml:space="preserve">BX </t>
        </is>
      </c>
      <c r="S2176" t="n">
        <v>5</v>
      </c>
      <c r="T2176" t="n">
        <v>5</v>
      </c>
      <c r="U2176" t="inlineStr">
        <is>
          <t>2004-03-28</t>
        </is>
      </c>
      <c r="V2176" t="inlineStr">
        <is>
          <t>2004-03-28</t>
        </is>
      </c>
      <c r="W2176" t="inlineStr">
        <is>
          <t>1990-02-28</t>
        </is>
      </c>
      <c r="X2176" t="inlineStr">
        <is>
          <t>1990-02-28</t>
        </is>
      </c>
      <c r="Y2176" t="n">
        <v>3</v>
      </c>
      <c r="Z2176" t="n">
        <v>2</v>
      </c>
      <c r="AA2176" t="n">
        <v>232</v>
      </c>
      <c r="AB2176" t="n">
        <v>1</v>
      </c>
      <c r="AC2176" t="n">
        <v>2</v>
      </c>
      <c r="AD2176" t="n">
        <v>1</v>
      </c>
      <c r="AE2176" t="n">
        <v>27</v>
      </c>
      <c r="AF2176" t="n">
        <v>0</v>
      </c>
      <c r="AG2176" t="n">
        <v>10</v>
      </c>
      <c r="AH2176" t="n">
        <v>0</v>
      </c>
      <c r="AI2176" t="n">
        <v>6</v>
      </c>
      <c r="AJ2176" t="n">
        <v>1</v>
      </c>
      <c r="AK2176" t="n">
        <v>19</v>
      </c>
      <c r="AL2176" t="n">
        <v>0</v>
      </c>
      <c r="AM2176" t="n">
        <v>1</v>
      </c>
      <c r="AN2176" t="n">
        <v>0</v>
      </c>
      <c r="AO2176" t="n">
        <v>0</v>
      </c>
      <c r="AP2176" t="inlineStr">
        <is>
          <t>No</t>
        </is>
      </c>
      <c r="AQ2176" t="inlineStr">
        <is>
          <t>No</t>
        </is>
      </c>
      <c r="AS2176">
        <f>HYPERLINK("https://creighton-primo.hosted.exlibrisgroup.com/primo-explore/search?tab=default_tab&amp;search_scope=EVERYTHING&amp;vid=01CRU&amp;lang=en_US&amp;offset=0&amp;query=any,contains,991005066879702656","Catalog Record")</f>
        <v/>
      </c>
      <c r="AT2176">
        <f>HYPERLINK("http://www.worldcat.org/oclc/6975478","WorldCat Record")</f>
        <v/>
      </c>
      <c r="AU2176" t="inlineStr">
        <is>
          <t>3943311561:eng</t>
        </is>
      </c>
      <c r="AV2176" t="inlineStr">
        <is>
          <t>6975478</t>
        </is>
      </c>
      <c r="AW2176" t="inlineStr">
        <is>
          <t>991005066879702656</t>
        </is>
      </c>
      <c r="AX2176" t="inlineStr">
        <is>
          <t>991005066879702656</t>
        </is>
      </c>
      <c r="AY2176" t="inlineStr">
        <is>
          <t>2254871720002656</t>
        </is>
      </c>
      <c r="AZ2176" t="inlineStr">
        <is>
          <t>BOOK</t>
        </is>
      </c>
      <c r="BC2176" t="inlineStr">
        <is>
          <t>32285000070663</t>
        </is>
      </c>
      <c r="BD2176" t="inlineStr">
        <is>
          <t>893507550</t>
        </is>
      </c>
    </row>
    <row r="2177">
      <c r="A2177" t="inlineStr">
        <is>
          <t>No</t>
        </is>
      </c>
      <c r="B2177" t="inlineStr">
        <is>
          <t>BX4700.T4 A2 1911</t>
        </is>
      </c>
      <c r="C2177" t="inlineStr">
        <is>
          <t>0                      BX 4700000T  4                  A  2           1911</t>
        </is>
      </c>
      <c r="D2177" t="inlineStr">
        <is>
          <t>St. Teresa of Jesus of the Order of Our Lady of Carmel; embracing the Life, Relations, Maxims and Foundations written by the saint, also, a history of St. Teresa's journeys and foundations, with map and illustrations. Introduction by Walter Elliott. Edited by John J. Burke.</t>
        </is>
      </c>
      <c r="F2177" t="inlineStr">
        <is>
          <t>No</t>
        </is>
      </c>
      <c r="G2177" t="inlineStr">
        <is>
          <t>1</t>
        </is>
      </c>
      <c r="H2177" t="inlineStr">
        <is>
          <t>No</t>
        </is>
      </c>
      <c r="I2177" t="inlineStr">
        <is>
          <t>No</t>
        </is>
      </c>
      <c r="J2177" t="inlineStr">
        <is>
          <t>0</t>
        </is>
      </c>
      <c r="K2177" t="inlineStr">
        <is>
          <t>Teresa, of Avila, Saint, 1515-1582.</t>
        </is>
      </c>
      <c r="L2177" t="inlineStr">
        <is>
          <t>New York, Columbus Press, 1911.</t>
        </is>
      </c>
      <c r="M2177" t="inlineStr">
        <is>
          <t>1911</t>
        </is>
      </c>
      <c r="O2177" t="inlineStr">
        <is>
          <t>eng</t>
        </is>
      </c>
      <c r="P2177" t="inlineStr">
        <is>
          <t>___</t>
        </is>
      </c>
      <c r="R2177" t="inlineStr">
        <is>
          <t xml:space="preserve">BX </t>
        </is>
      </c>
      <c r="S2177" t="n">
        <v>19</v>
      </c>
      <c r="T2177" t="n">
        <v>19</v>
      </c>
      <c r="U2177" t="inlineStr">
        <is>
          <t>2010-12-02</t>
        </is>
      </c>
      <c r="V2177" t="inlineStr">
        <is>
          <t>2010-12-02</t>
        </is>
      </c>
      <c r="W2177" t="inlineStr">
        <is>
          <t>1990-03-27</t>
        </is>
      </c>
      <c r="X2177" t="inlineStr">
        <is>
          <t>1990-03-27</t>
        </is>
      </c>
      <c r="Y2177" t="n">
        <v>108</v>
      </c>
      <c r="Z2177" t="n">
        <v>98</v>
      </c>
      <c r="AA2177" t="n">
        <v>110</v>
      </c>
      <c r="AB2177" t="n">
        <v>2</v>
      </c>
      <c r="AC2177" t="n">
        <v>3</v>
      </c>
      <c r="AD2177" t="n">
        <v>15</v>
      </c>
      <c r="AE2177" t="n">
        <v>16</v>
      </c>
      <c r="AF2177" t="n">
        <v>3</v>
      </c>
      <c r="AG2177" t="n">
        <v>3</v>
      </c>
      <c r="AH2177" t="n">
        <v>3</v>
      </c>
      <c r="AI2177" t="n">
        <v>3</v>
      </c>
      <c r="AJ2177" t="n">
        <v>11</v>
      </c>
      <c r="AK2177" t="n">
        <v>11</v>
      </c>
      <c r="AL2177" t="n">
        <v>1</v>
      </c>
      <c r="AM2177" t="n">
        <v>2</v>
      </c>
      <c r="AN2177" t="n">
        <v>0</v>
      </c>
      <c r="AO2177" t="n">
        <v>0</v>
      </c>
      <c r="AP2177" t="inlineStr">
        <is>
          <t>Yes</t>
        </is>
      </c>
      <c r="AQ2177" t="inlineStr">
        <is>
          <t>No</t>
        </is>
      </c>
      <c r="AR2177">
        <f>HYPERLINK("http://catalog.hathitrust.org/Record/008417131","HathiTrust Record")</f>
        <v/>
      </c>
      <c r="AS2177">
        <f>HYPERLINK("https://creighton-primo.hosted.exlibrisgroup.com/primo-explore/search?tab=default_tab&amp;search_scope=EVERYTHING&amp;vid=01CRU&amp;lang=en_US&amp;offset=0&amp;query=any,contains,991003638009702656","Catalog Record")</f>
        <v/>
      </c>
      <c r="AT2177">
        <f>HYPERLINK("http://www.worldcat.org/oclc/1232334","WorldCat Record")</f>
        <v/>
      </c>
      <c r="AU2177" t="inlineStr">
        <is>
          <t>4020042391:eng</t>
        </is>
      </c>
      <c r="AV2177" t="inlineStr">
        <is>
          <t>1232334</t>
        </is>
      </c>
      <c r="AW2177" t="inlineStr">
        <is>
          <t>991003638009702656</t>
        </is>
      </c>
      <c r="AX2177" t="inlineStr">
        <is>
          <t>991003638009702656</t>
        </is>
      </c>
      <c r="AY2177" t="inlineStr">
        <is>
          <t>2263990550002656</t>
        </is>
      </c>
      <c r="AZ2177" t="inlineStr">
        <is>
          <t>BOOK</t>
        </is>
      </c>
      <c r="BC2177" t="inlineStr">
        <is>
          <t>32285000098524</t>
        </is>
      </c>
      <c r="BD2177" t="inlineStr">
        <is>
          <t>893435227</t>
        </is>
      </c>
    </row>
    <row r="2178">
      <c r="A2178" t="inlineStr">
        <is>
          <t>No</t>
        </is>
      </c>
      <c r="B2178" t="inlineStr">
        <is>
          <t>BX4700.T4 C28</t>
        </is>
      </c>
      <c r="C2178" t="inlineStr">
        <is>
          <t>0                      BX 4700000T  4                  C  28</t>
        </is>
      </c>
      <c r="D2178" t="inlineStr">
        <is>
          <t>The dust of her sandals / by A. De Castro Albarrán, translated by Sister Mary Bernarda.</t>
        </is>
      </c>
      <c r="F2178" t="inlineStr">
        <is>
          <t>No</t>
        </is>
      </c>
      <c r="G2178" t="inlineStr">
        <is>
          <t>1</t>
        </is>
      </c>
      <c r="H2178" t="inlineStr">
        <is>
          <t>No</t>
        </is>
      </c>
      <c r="I2178" t="inlineStr">
        <is>
          <t>No</t>
        </is>
      </c>
      <c r="J2178" t="inlineStr">
        <is>
          <t>0</t>
        </is>
      </c>
      <c r="K2178" t="inlineStr">
        <is>
          <t>Castro Albarrán, A. de.</t>
        </is>
      </c>
      <c r="L2178" t="inlineStr">
        <is>
          <t>New York [etc.] Benziger brothers, 1936.</t>
        </is>
      </c>
      <c r="M2178" t="inlineStr">
        <is>
          <t>1936</t>
        </is>
      </c>
      <c r="O2178" t="inlineStr">
        <is>
          <t>eng</t>
        </is>
      </c>
      <c r="P2178" t="inlineStr">
        <is>
          <t>nyu</t>
        </is>
      </c>
      <c r="R2178" t="inlineStr">
        <is>
          <t xml:space="preserve">BX </t>
        </is>
      </c>
      <c r="S2178" t="n">
        <v>1</v>
      </c>
      <c r="T2178" t="n">
        <v>1</v>
      </c>
      <c r="U2178" t="inlineStr">
        <is>
          <t>2003-06-16</t>
        </is>
      </c>
      <c r="V2178" t="inlineStr">
        <is>
          <t>2003-06-16</t>
        </is>
      </c>
      <c r="W2178" t="inlineStr">
        <is>
          <t>1990-03-27</t>
        </is>
      </c>
      <c r="X2178" t="inlineStr">
        <is>
          <t>1990-03-27</t>
        </is>
      </c>
      <c r="Y2178" t="n">
        <v>58</v>
      </c>
      <c r="Z2178" t="n">
        <v>56</v>
      </c>
      <c r="AA2178" t="n">
        <v>61</v>
      </c>
      <c r="AB2178" t="n">
        <v>2</v>
      </c>
      <c r="AC2178" t="n">
        <v>2</v>
      </c>
      <c r="AD2178" t="n">
        <v>13</v>
      </c>
      <c r="AE2178" t="n">
        <v>13</v>
      </c>
      <c r="AF2178" t="n">
        <v>1</v>
      </c>
      <c r="AG2178" t="n">
        <v>1</v>
      </c>
      <c r="AH2178" t="n">
        <v>4</v>
      </c>
      <c r="AI2178" t="n">
        <v>4</v>
      </c>
      <c r="AJ2178" t="n">
        <v>12</v>
      </c>
      <c r="AK2178" t="n">
        <v>12</v>
      </c>
      <c r="AL2178" t="n">
        <v>0</v>
      </c>
      <c r="AM2178" t="n">
        <v>0</v>
      </c>
      <c r="AN2178" t="n">
        <v>0</v>
      </c>
      <c r="AO2178" t="n">
        <v>0</v>
      </c>
      <c r="AP2178" t="inlineStr">
        <is>
          <t>No</t>
        </is>
      </c>
      <c r="AQ2178" t="inlineStr">
        <is>
          <t>No</t>
        </is>
      </c>
      <c r="AS2178">
        <f>HYPERLINK("https://creighton-primo.hosted.exlibrisgroup.com/primo-explore/search?tab=default_tab&amp;search_scope=EVERYTHING&amp;vid=01CRU&amp;lang=en_US&amp;offset=0&amp;query=any,contains,991003948369702656","Catalog Record")</f>
        <v/>
      </c>
      <c r="AT2178">
        <f>HYPERLINK("http://www.worldcat.org/oclc/1950970","WorldCat Record")</f>
        <v/>
      </c>
      <c r="AU2178" t="inlineStr">
        <is>
          <t>10198017258:eng</t>
        </is>
      </c>
      <c r="AV2178" t="inlineStr">
        <is>
          <t>1950970</t>
        </is>
      </c>
      <c r="AW2178" t="inlineStr">
        <is>
          <t>991003948369702656</t>
        </is>
      </c>
      <c r="AX2178" t="inlineStr">
        <is>
          <t>991003948369702656</t>
        </is>
      </c>
      <c r="AY2178" t="inlineStr">
        <is>
          <t>2270109530002656</t>
        </is>
      </c>
      <c r="AZ2178" t="inlineStr">
        <is>
          <t>BOOK</t>
        </is>
      </c>
      <c r="BC2178" t="inlineStr">
        <is>
          <t>32285000098532</t>
        </is>
      </c>
      <c r="BD2178" t="inlineStr">
        <is>
          <t>893441988</t>
        </is>
      </c>
    </row>
    <row r="2179">
      <c r="A2179" t="inlineStr">
        <is>
          <t>No</t>
        </is>
      </c>
      <c r="B2179" t="inlineStr">
        <is>
          <t>BX4700.T4 F73 1880</t>
        </is>
      </c>
      <c r="C2179" t="inlineStr">
        <is>
          <t>0                      BX 4700000T  4                  F  73          1880</t>
        </is>
      </c>
      <c r="D2179" t="inlineStr">
        <is>
          <t>Saint Teresa's Pater Noster : a treatise on prayer / by Joseph Frassinetti ; translated from the Italian by William Hutch.</t>
        </is>
      </c>
      <c r="F2179" t="inlineStr">
        <is>
          <t>No</t>
        </is>
      </c>
      <c r="G2179" t="inlineStr">
        <is>
          <t>1</t>
        </is>
      </c>
      <c r="H2179" t="inlineStr">
        <is>
          <t>No</t>
        </is>
      </c>
      <c r="I2179" t="inlineStr">
        <is>
          <t>No</t>
        </is>
      </c>
      <c r="J2179" t="inlineStr">
        <is>
          <t>0</t>
        </is>
      </c>
      <c r="K2179" t="inlineStr">
        <is>
          <t>Frassinetti, Joseph, Father.</t>
        </is>
      </c>
      <c r="L2179" t="inlineStr">
        <is>
          <t>London : Burns &amp; Oates, [188-].</t>
        </is>
      </c>
      <c r="M2179" t="inlineStr">
        <is>
          <t>1880</t>
        </is>
      </c>
      <c r="N2179" t="inlineStr">
        <is>
          <t>9th ed.</t>
        </is>
      </c>
      <c r="O2179" t="inlineStr">
        <is>
          <t>eng</t>
        </is>
      </c>
      <c r="P2179" t="inlineStr">
        <is>
          <t>enk</t>
        </is>
      </c>
      <c r="R2179" t="inlineStr">
        <is>
          <t xml:space="preserve">BX </t>
        </is>
      </c>
      <c r="S2179" t="n">
        <v>2</v>
      </c>
      <c r="T2179" t="n">
        <v>2</v>
      </c>
      <c r="U2179" t="inlineStr">
        <is>
          <t>2001-03-05</t>
        </is>
      </c>
      <c r="V2179" t="inlineStr">
        <is>
          <t>2001-03-05</t>
        </is>
      </c>
      <c r="W2179" t="inlineStr">
        <is>
          <t>1991-12-05</t>
        </is>
      </c>
      <c r="X2179" t="inlineStr">
        <is>
          <t>1991-12-05</t>
        </is>
      </c>
      <c r="Y2179" t="n">
        <v>4</v>
      </c>
      <c r="Z2179" t="n">
        <v>4</v>
      </c>
      <c r="AA2179" t="n">
        <v>41</v>
      </c>
      <c r="AB2179" t="n">
        <v>1</v>
      </c>
      <c r="AC2179" t="n">
        <v>2</v>
      </c>
      <c r="AD2179" t="n">
        <v>1</v>
      </c>
      <c r="AE2179" t="n">
        <v>6</v>
      </c>
      <c r="AF2179" t="n">
        <v>0</v>
      </c>
      <c r="AG2179" t="n">
        <v>1</v>
      </c>
      <c r="AH2179" t="n">
        <v>0</v>
      </c>
      <c r="AI2179" t="n">
        <v>2</v>
      </c>
      <c r="AJ2179" t="n">
        <v>1</v>
      </c>
      <c r="AK2179" t="n">
        <v>5</v>
      </c>
      <c r="AL2179" t="n">
        <v>0</v>
      </c>
      <c r="AM2179" t="n">
        <v>0</v>
      </c>
      <c r="AN2179" t="n">
        <v>0</v>
      </c>
      <c r="AO2179" t="n">
        <v>0</v>
      </c>
      <c r="AP2179" t="inlineStr">
        <is>
          <t>No</t>
        </is>
      </c>
      <c r="AQ2179" t="inlineStr">
        <is>
          <t>No</t>
        </is>
      </c>
      <c r="AS2179">
        <f>HYPERLINK("https://creighton-primo.hosted.exlibrisgroup.com/primo-explore/search?tab=default_tab&amp;search_scope=EVERYTHING&amp;vid=01CRU&amp;lang=en_US&amp;offset=0&amp;query=any,contains,991001008859702656","Catalog Record")</f>
        <v/>
      </c>
      <c r="AT2179">
        <f>HYPERLINK("http://www.worldcat.org/oclc/15263134","WorldCat Record")</f>
        <v/>
      </c>
      <c r="AU2179" t="inlineStr">
        <is>
          <t>1348461500:eng</t>
        </is>
      </c>
      <c r="AV2179" t="inlineStr">
        <is>
          <t>15263134</t>
        </is>
      </c>
      <c r="AW2179" t="inlineStr">
        <is>
          <t>991001008859702656</t>
        </is>
      </c>
      <c r="AX2179" t="inlineStr">
        <is>
          <t>991001008859702656</t>
        </is>
      </c>
      <c r="AY2179" t="inlineStr">
        <is>
          <t>2263627460002656</t>
        </is>
      </c>
      <c r="AZ2179" t="inlineStr">
        <is>
          <t>BOOK</t>
        </is>
      </c>
      <c r="BC2179" t="inlineStr">
        <is>
          <t>32285000871466</t>
        </is>
      </c>
      <c r="BD2179" t="inlineStr">
        <is>
          <t>893438796</t>
        </is>
      </c>
    </row>
    <row r="2180">
      <c r="A2180" t="inlineStr">
        <is>
          <t>No</t>
        </is>
      </c>
      <c r="B2180" t="inlineStr">
        <is>
          <t>BX4700.T4 G23</t>
        </is>
      </c>
      <c r="C2180" t="inlineStr">
        <is>
          <t>0                      BX 4700000T  4                  G  23</t>
        </is>
      </c>
      <c r="D2180" t="inlineStr">
        <is>
          <t>St. Teresa of Jesus. Translated from the Italian by a Benedictine of Stanbrook Abbey.</t>
        </is>
      </c>
      <c r="F2180" t="inlineStr">
        <is>
          <t>No</t>
        </is>
      </c>
      <c r="G2180" t="inlineStr">
        <is>
          <t>1</t>
        </is>
      </c>
      <c r="H2180" t="inlineStr">
        <is>
          <t>No</t>
        </is>
      </c>
      <c r="I2180" t="inlineStr">
        <is>
          <t>No</t>
        </is>
      </c>
      <c r="J2180" t="inlineStr">
        <is>
          <t>0</t>
        </is>
      </c>
      <c r="K2180" t="inlineStr">
        <is>
          <t>Gabriele di Santa Maria Maddalena, Father.</t>
        </is>
      </c>
      <c r="L2180" t="inlineStr">
        <is>
          <t>Westminster, Md., Newman Press, 1949.</t>
        </is>
      </c>
      <c r="M2180" t="inlineStr">
        <is>
          <t>1949</t>
        </is>
      </c>
      <c r="O2180" t="inlineStr">
        <is>
          <t>eng</t>
        </is>
      </c>
      <c r="P2180" t="inlineStr">
        <is>
          <t>mdu</t>
        </is>
      </c>
      <c r="R2180" t="inlineStr">
        <is>
          <t xml:space="preserve">BX </t>
        </is>
      </c>
      <c r="S2180" t="n">
        <v>2</v>
      </c>
      <c r="T2180" t="n">
        <v>2</v>
      </c>
      <c r="U2180" t="inlineStr">
        <is>
          <t>2003-10-13</t>
        </is>
      </c>
      <c r="V2180" t="inlineStr">
        <is>
          <t>2003-10-13</t>
        </is>
      </c>
      <c r="W2180" t="inlineStr">
        <is>
          <t>1991-12-05</t>
        </is>
      </c>
      <c r="X2180" t="inlineStr">
        <is>
          <t>1991-12-05</t>
        </is>
      </c>
      <c r="Y2180" t="n">
        <v>101</v>
      </c>
      <c r="Z2180" t="n">
        <v>92</v>
      </c>
      <c r="AA2180" t="n">
        <v>108</v>
      </c>
      <c r="AB2180" t="n">
        <v>1</v>
      </c>
      <c r="AC2180" t="n">
        <v>1</v>
      </c>
      <c r="AD2180" t="n">
        <v>20</v>
      </c>
      <c r="AE2180" t="n">
        <v>20</v>
      </c>
      <c r="AF2180" t="n">
        <v>4</v>
      </c>
      <c r="AG2180" t="n">
        <v>4</v>
      </c>
      <c r="AH2180" t="n">
        <v>6</v>
      </c>
      <c r="AI2180" t="n">
        <v>6</v>
      </c>
      <c r="AJ2180" t="n">
        <v>16</v>
      </c>
      <c r="AK2180" t="n">
        <v>16</v>
      </c>
      <c r="AL2180" t="n">
        <v>0</v>
      </c>
      <c r="AM2180" t="n">
        <v>0</v>
      </c>
      <c r="AN2180" t="n">
        <v>0</v>
      </c>
      <c r="AO2180" t="n">
        <v>0</v>
      </c>
      <c r="AP2180" t="inlineStr">
        <is>
          <t>No</t>
        </is>
      </c>
      <c r="AQ2180" t="inlineStr">
        <is>
          <t>No</t>
        </is>
      </c>
      <c r="AS2180">
        <f>HYPERLINK("https://creighton-primo.hosted.exlibrisgroup.com/primo-explore/search?tab=default_tab&amp;search_scope=EVERYTHING&amp;vid=01CRU&amp;lang=en_US&amp;offset=0&amp;query=any,contains,991004166389702656","Catalog Record")</f>
        <v/>
      </c>
      <c r="AT2180">
        <f>HYPERLINK("http://www.worldcat.org/oclc/2567861","WorldCat Record")</f>
        <v/>
      </c>
      <c r="AU2180" t="inlineStr">
        <is>
          <t>5339989:eng</t>
        </is>
      </c>
      <c r="AV2180" t="inlineStr">
        <is>
          <t>2567861</t>
        </is>
      </c>
      <c r="AW2180" t="inlineStr">
        <is>
          <t>991004166389702656</t>
        </is>
      </c>
      <c r="AX2180" t="inlineStr">
        <is>
          <t>991004166389702656</t>
        </is>
      </c>
      <c r="AY2180" t="inlineStr">
        <is>
          <t>2255789820002656</t>
        </is>
      </c>
      <c r="AZ2180" t="inlineStr">
        <is>
          <t>BOOK</t>
        </is>
      </c>
      <c r="BC2180" t="inlineStr">
        <is>
          <t>32285000871474</t>
        </is>
      </c>
      <c r="BD2180" t="inlineStr">
        <is>
          <t>893229012</t>
        </is>
      </c>
    </row>
    <row r="2181">
      <c r="A2181" t="inlineStr">
        <is>
          <t>No</t>
        </is>
      </c>
      <c r="B2181" t="inlineStr">
        <is>
          <t>BX4700.T4 H3 1959</t>
        </is>
      </c>
      <c r="C2181" t="inlineStr">
        <is>
          <t>0                      BX 4700000T  4                  H  3           1959</t>
        </is>
      </c>
      <c r="D2181" t="inlineStr">
        <is>
          <t>Saint Teresa : a journey in Spain / by Elizabeth Hamilton.</t>
        </is>
      </c>
      <c r="F2181" t="inlineStr">
        <is>
          <t>No</t>
        </is>
      </c>
      <c r="G2181" t="inlineStr">
        <is>
          <t>1</t>
        </is>
      </c>
      <c r="H2181" t="inlineStr">
        <is>
          <t>No</t>
        </is>
      </c>
      <c r="I2181" t="inlineStr">
        <is>
          <t>No</t>
        </is>
      </c>
      <c r="J2181" t="inlineStr">
        <is>
          <t>0</t>
        </is>
      </c>
      <c r="K2181" t="inlineStr">
        <is>
          <t>Hamilton, Elizabeth, 1906-</t>
        </is>
      </c>
      <c r="L2181" t="inlineStr">
        <is>
          <t>New York : Scribner, [1959]</t>
        </is>
      </c>
      <c r="M2181" t="inlineStr">
        <is>
          <t>1959</t>
        </is>
      </c>
      <c r="O2181" t="inlineStr">
        <is>
          <t>eng</t>
        </is>
      </c>
      <c r="P2181" t="inlineStr">
        <is>
          <t>___</t>
        </is>
      </c>
      <c r="R2181" t="inlineStr">
        <is>
          <t xml:space="preserve">BX </t>
        </is>
      </c>
      <c r="S2181" t="n">
        <v>1</v>
      </c>
      <c r="T2181" t="n">
        <v>1</v>
      </c>
      <c r="U2181" t="inlineStr">
        <is>
          <t>1992-12-02</t>
        </is>
      </c>
      <c r="V2181" t="inlineStr">
        <is>
          <t>1992-12-02</t>
        </is>
      </c>
      <c r="W2181" t="inlineStr">
        <is>
          <t>1991-12-05</t>
        </is>
      </c>
      <c r="X2181" t="inlineStr">
        <is>
          <t>1991-12-05</t>
        </is>
      </c>
      <c r="Y2181" t="n">
        <v>388</v>
      </c>
      <c r="Z2181" t="n">
        <v>370</v>
      </c>
      <c r="AA2181" t="n">
        <v>377</v>
      </c>
      <c r="AB2181" t="n">
        <v>3</v>
      </c>
      <c r="AC2181" t="n">
        <v>3</v>
      </c>
      <c r="AD2181" t="n">
        <v>22</v>
      </c>
      <c r="AE2181" t="n">
        <v>22</v>
      </c>
      <c r="AF2181" t="n">
        <v>4</v>
      </c>
      <c r="AG2181" t="n">
        <v>4</v>
      </c>
      <c r="AH2181" t="n">
        <v>8</v>
      </c>
      <c r="AI2181" t="n">
        <v>8</v>
      </c>
      <c r="AJ2181" t="n">
        <v>14</v>
      </c>
      <c r="AK2181" t="n">
        <v>14</v>
      </c>
      <c r="AL2181" t="n">
        <v>0</v>
      </c>
      <c r="AM2181" t="n">
        <v>0</v>
      </c>
      <c r="AN2181" t="n">
        <v>0</v>
      </c>
      <c r="AO2181" t="n">
        <v>0</v>
      </c>
      <c r="AP2181" t="inlineStr">
        <is>
          <t>No</t>
        </is>
      </c>
      <c r="AQ2181" t="inlineStr">
        <is>
          <t>Yes</t>
        </is>
      </c>
      <c r="AR2181">
        <f>HYPERLINK("http://catalog.hathitrust.org/Record/001591747","HathiTrust Record")</f>
        <v/>
      </c>
      <c r="AS2181">
        <f>HYPERLINK("https://creighton-primo.hosted.exlibrisgroup.com/primo-explore/search?tab=default_tab&amp;search_scope=EVERYTHING&amp;vid=01CRU&amp;lang=en_US&amp;offset=0&amp;query=any,contains,991003707769702656","Catalog Record")</f>
        <v/>
      </c>
      <c r="AT2181">
        <f>HYPERLINK("http://www.worldcat.org/oclc/1345745","WorldCat Record")</f>
        <v/>
      </c>
      <c r="AU2181" t="inlineStr">
        <is>
          <t>3901122361:eng</t>
        </is>
      </c>
      <c r="AV2181" t="inlineStr">
        <is>
          <t>1345745</t>
        </is>
      </c>
      <c r="AW2181" t="inlineStr">
        <is>
          <t>991003707769702656</t>
        </is>
      </c>
      <c r="AX2181" t="inlineStr">
        <is>
          <t>991003707769702656</t>
        </is>
      </c>
      <c r="AY2181" t="inlineStr">
        <is>
          <t>2260259690002656</t>
        </is>
      </c>
      <c r="AZ2181" t="inlineStr">
        <is>
          <t>BOOK</t>
        </is>
      </c>
      <c r="BC2181" t="inlineStr">
        <is>
          <t>32285000871482</t>
        </is>
      </c>
      <c r="BD2181" t="inlineStr">
        <is>
          <t>893904480</t>
        </is>
      </c>
    </row>
    <row r="2182">
      <c r="A2182" t="inlineStr">
        <is>
          <t>No</t>
        </is>
      </c>
      <c r="B2182" t="inlineStr">
        <is>
          <t>BX4700.T4 J6 1903</t>
        </is>
      </c>
      <c r="C2182" t="inlineStr">
        <is>
          <t>0                      BX 4700000T  4                  J  6           1903</t>
        </is>
      </c>
      <c r="D2182" t="inlineStr">
        <is>
          <t>Saint Teresa (1515-1582) / by Henri Joly ; translated by Emily M. Waller.</t>
        </is>
      </c>
      <c r="F2182" t="inlineStr">
        <is>
          <t>No</t>
        </is>
      </c>
      <c r="G2182" t="inlineStr">
        <is>
          <t>1</t>
        </is>
      </c>
      <c r="H2182" t="inlineStr">
        <is>
          <t>No</t>
        </is>
      </c>
      <c r="I2182" t="inlineStr">
        <is>
          <t>No</t>
        </is>
      </c>
      <c r="J2182" t="inlineStr">
        <is>
          <t>0</t>
        </is>
      </c>
      <c r="K2182" t="inlineStr">
        <is>
          <t>Joly, Henri, 1839-1925.</t>
        </is>
      </c>
      <c r="L2182" t="inlineStr">
        <is>
          <t>London : Duckworth, 1903.</t>
        </is>
      </c>
      <c r="M2182" t="inlineStr">
        <is>
          <t>1903</t>
        </is>
      </c>
      <c r="O2182" t="inlineStr">
        <is>
          <t>eng</t>
        </is>
      </c>
      <c r="P2182" t="inlineStr">
        <is>
          <t>enk</t>
        </is>
      </c>
      <c r="Q2182" t="inlineStr">
        <is>
          <t>The saints</t>
        </is>
      </c>
      <c r="R2182" t="inlineStr">
        <is>
          <t xml:space="preserve">BX </t>
        </is>
      </c>
      <c r="S2182" t="n">
        <v>1</v>
      </c>
      <c r="T2182" t="n">
        <v>1</v>
      </c>
      <c r="U2182" t="inlineStr">
        <is>
          <t>2002-11-04</t>
        </is>
      </c>
      <c r="V2182" t="inlineStr">
        <is>
          <t>2002-11-04</t>
        </is>
      </c>
      <c r="W2182" t="inlineStr">
        <is>
          <t>1991-07-11</t>
        </is>
      </c>
      <c r="X2182" t="inlineStr">
        <is>
          <t>1991-07-11</t>
        </is>
      </c>
      <c r="Y2182" t="n">
        <v>43</v>
      </c>
      <c r="Z2182" t="n">
        <v>34</v>
      </c>
      <c r="AA2182" t="n">
        <v>105</v>
      </c>
      <c r="AB2182" t="n">
        <v>1</v>
      </c>
      <c r="AC2182" t="n">
        <v>2</v>
      </c>
      <c r="AD2182" t="n">
        <v>8</v>
      </c>
      <c r="AE2182" t="n">
        <v>14</v>
      </c>
      <c r="AF2182" t="n">
        <v>1</v>
      </c>
      <c r="AG2182" t="n">
        <v>2</v>
      </c>
      <c r="AH2182" t="n">
        <v>3</v>
      </c>
      <c r="AI2182" t="n">
        <v>4</v>
      </c>
      <c r="AJ2182" t="n">
        <v>7</v>
      </c>
      <c r="AK2182" t="n">
        <v>11</v>
      </c>
      <c r="AL2182" t="n">
        <v>0</v>
      </c>
      <c r="AM2182" t="n">
        <v>0</v>
      </c>
      <c r="AN2182" t="n">
        <v>0</v>
      </c>
      <c r="AO2182" t="n">
        <v>0</v>
      </c>
      <c r="AP2182" t="inlineStr">
        <is>
          <t>Yes</t>
        </is>
      </c>
      <c r="AQ2182" t="inlineStr">
        <is>
          <t>No</t>
        </is>
      </c>
      <c r="AR2182">
        <f>HYPERLINK("http://catalog.hathitrust.org/Record/100245666","HathiTrust Record")</f>
        <v/>
      </c>
      <c r="AS2182">
        <f>HYPERLINK("https://creighton-primo.hosted.exlibrisgroup.com/primo-explore/search?tab=default_tab&amp;search_scope=EVERYTHING&amp;vid=01CRU&amp;lang=en_US&amp;offset=0&amp;query=any,contains,991004182909702656","Catalog Record")</f>
        <v/>
      </c>
      <c r="AT2182">
        <f>HYPERLINK("http://www.worldcat.org/oclc/2610004","WorldCat Record")</f>
        <v/>
      </c>
      <c r="AU2182" t="inlineStr">
        <is>
          <t>9715597:eng</t>
        </is>
      </c>
      <c r="AV2182" t="inlineStr">
        <is>
          <t>2610004</t>
        </is>
      </c>
      <c r="AW2182" t="inlineStr">
        <is>
          <t>991004182909702656</t>
        </is>
      </c>
      <c r="AX2182" t="inlineStr">
        <is>
          <t>991004182909702656</t>
        </is>
      </c>
      <c r="AY2182" t="inlineStr">
        <is>
          <t>2272239760002656</t>
        </is>
      </c>
      <c r="AZ2182" t="inlineStr">
        <is>
          <t>BOOK</t>
        </is>
      </c>
      <c r="BC2182" t="inlineStr">
        <is>
          <t>32285000637503</t>
        </is>
      </c>
      <c r="BD2182" t="inlineStr">
        <is>
          <t>893353269</t>
        </is>
      </c>
    </row>
    <row r="2183">
      <c r="A2183" t="inlineStr">
        <is>
          <t>No</t>
        </is>
      </c>
      <c r="B2183" t="inlineStr">
        <is>
          <t>BX4700.T4 L52 1912</t>
        </is>
      </c>
      <c r="C2183" t="inlineStr">
        <is>
          <t>0                      BX 4700000T  4                  L  52          1912</t>
        </is>
      </c>
      <c r="D2183" t="inlineStr">
        <is>
          <t>The life of Saint Teresa / taken from the French of "A Carmelite nun" by Alice Lady Lovat ; with a preface by Robert Hugh Benson.</t>
        </is>
      </c>
      <c r="F2183" t="inlineStr">
        <is>
          <t>No</t>
        </is>
      </c>
      <c r="G2183" t="inlineStr">
        <is>
          <t>1</t>
        </is>
      </c>
      <c r="H2183" t="inlineStr">
        <is>
          <t>No</t>
        </is>
      </c>
      <c r="I2183" t="inlineStr">
        <is>
          <t>No</t>
        </is>
      </c>
      <c r="J2183" t="inlineStr">
        <is>
          <t>0</t>
        </is>
      </c>
      <c r="L2183" t="inlineStr">
        <is>
          <t>London : Herbert &amp; Daniel ; St. Louis : B. Herder, 1912.</t>
        </is>
      </c>
      <c r="M2183" t="inlineStr">
        <is>
          <t>1912</t>
        </is>
      </c>
      <c r="O2183" t="inlineStr">
        <is>
          <t>eng</t>
        </is>
      </c>
      <c r="P2183" t="inlineStr">
        <is>
          <t>enk</t>
        </is>
      </c>
      <c r="R2183" t="inlineStr">
        <is>
          <t xml:space="preserve">BX </t>
        </is>
      </c>
      <c r="S2183" t="n">
        <v>7</v>
      </c>
      <c r="T2183" t="n">
        <v>7</v>
      </c>
      <c r="U2183" t="inlineStr">
        <is>
          <t>2003-12-02</t>
        </is>
      </c>
      <c r="V2183" t="inlineStr">
        <is>
          <t>2003-12-02</t>
        </is>
      </c>
      <c r="W2183" t="inlineStr">
        <is>
          <t>1990-03-27</t>
        </is>
      </c>
      <c r="X2183" t="inlineStr">
        <is>
          <t>1990-03-27</t>
        </is>
      </c>
      <c r="Y2183" t="n">
        <v>32</v>
      </c>
      <c r="Z2183" t="n">
        <v>28</v>
      </c>
      <c r="AA2183" t="n">
        <v>89</v>
      </c>
      <c r="AB2183" t="n">
        <v>1</v>
      </c>
      <c r="AC2183" t="n">
        <v>1</v>
      </c>
      <c r="AD2183" t="n">
        <v>4</v>
      </c>
      <c r="AE2183" t="n">
        <v>9</v>
      </c>
      <c r="AF2183" t="n">
        <v>1</v>
      </c>
      <c r="AG2183" t="n">
        <v>1</v>
      </c>
      <c r="AH2183" t="n">
        <v>1</v>
      </c>
      <c r="AI2183" t="n">
        <v>2</v>
      </c>
      <c r="AJ2183" t="n">
        <v>4</v>
      </c>
      <c r="AK2183" t="n">
        <v>8</v>
      </c>
      <c r="AL2183" t="n">
        <v>0</v>
      </c>
      <c r="AM2183" t="n">
        <v>0</v>
      </c>
      <c r="AN2183" t="n">
        <v>0</v>
      </c>
      <c r="AO2183" t="n">
        <v>0</v>
      </c>
      <c r="AP2183" t="inlineStr">
        <is>
          <t>Yes</t>
        </is>
      </c>
      <c r="AQ2183" t="inlineStr">
        <is>
          <t>No</t>
        </is>
      </c>
      <c r="AR2183">
        <f>HYPERLINK("http://catalog.hathitrust.org/Record/006575218","HathiTrust Record")</f>
        <v/>
      </c>
      <c r="AS2183">
        <f>HYPERLINK("https://creighton-primo.hosted.exlibrisgroup.com/primo-explore/search?tab=default_tab&amp;search_scope=EVERYTHING&amp;vid=01CRU&amp;lang=en_US&amp;offset=0&amp;query=any,contains,991004442949702656","Catalog Record")</f>
        <v/>
      </c>
      <c r="AT2183">
        <f>HYPERLINK("http://www.worldcat.org/oclc/3473285","WorldCat Record")</f>
        <v/>
      </c>
      <c r="AU2183" t="inlineStr">
        <is>
          <t>3769678857:eng</t>
        </is>
      </c>
      <c r="AV2183" t="inlineStr">
        <is>
          <t>3473285</t>
        </is>
      </c>
      <c r="AW2183" t="inlineStr">
        <is>
          <t>991004442949702656</t>
        </is>
      </c>
      <c r="AX2183" t="inlineStr">
        <is>
          <t>991004442949702656</t>
        </is>
      </c>
      <c r="AY2183" t="inlineStr">
        <is>
          <t>2269159570002656</t>
        </is>
      </c>
      <c r="AZ2183" t="inlineStr">
        <is>
          <t>BOOK</t>
        </is>
      </c>
      <c r="BC2183" t="inlineStr">
        <is>
          <t>32285000098540</t>
        </is>
      </c>
      <c r="BD2183" t="inlineStr">
        <is>
          <t>893319231</t>
        </is>
      </c>
    </row>
    <row r="2184">
      <c r="A2184" t="inlineStr">
        <is>
          <t>No</t>
        </is>
      </c>
      <c r="B2184" t="inlineStr">
        <is>
          <t>BX4700.T4 L56 1972</t>
        </is>
      </c>
      <c r="C2184" t="inlineStr">
        <is>
          <t>0                      BX 4700000T  4                  L  56          1972</t>
        </is>
      </c>
      <c r="D2184" t="inlineStr">
        <is>
          <t>Santa Teresa de Jesús : y la Inquisición española / por Enrique Llamas Martinez.</t>
        </is>
      </c>
      <c r="F2184" t="inlineStr">
        <is>
          <t>No</t>
        </is>
      </c>
      <c r="G2184" t="inlineStr">
        <is>
          <t>1</t>
        </is>
      </c>
      <c r="H2184" t="inlineStr">
        <is>
          <t>No</t>
        </is>
      </c>
      <c r="I2184" t="inlineStr">
        <is>
          <t>No</t>
        </is>
      </c>
      <c r="J2184" t="inlineStr">
        <is>
          <t>0</t>
        </is>
      </c>
      <c r="K2184" t="inlineStr">
        <is>
          <t>Llamas Martínez, Enrique, 1926-</t>
        </is>
      </c>
      <c r="L2184" t="inlineStr">
        <is>
          <t>Madrid : Consejo Superior de Investigaciones Científicas, Instituto "Francisco Suárez," 1972.</t>
        </is>
      </c>
      <c r="M2184" t="inlineStr">
        <is>
          <t>1972</t>
        </is>
      </c>
      <c r="O2184" t="inlineStr">
        <is>
          <t>spa</t>
        </is>
      </c>
      <c r="P2184" t="inlineStr">
        <is>
          <t xml:space="preserve">sp </t>
        </is>
      </c>
      <c r="Q2184" t="inlineStr">
        <is>
          <t>Bibliotheca theologica hispana, ser. 1., t.6</t>
        </is>
      </c>
      <c r="R2184" t="inlineStr">
        <is>
          <t xml:space="preserve">BX </t>
        </is>
      </c>
      <c r="S2184" t="n">
        <v>0</v>
      </c>
      <c r="T2184" t="n">
        <v>0</v>
      </c>
      <c r="U2184" t="inlineStr">
        <is>
          <t>2004-09-21</t>
        </is>
      </c>
      <c r="V2184" t="inlineStr">
        <is>
          <t>2004-09-21</t>
        </is>
      </c>
      <c r="W2184" t="inlineStr">
        <is>
          <t>1991-12-05</t>
        </is>
      </c>
      <c r="X2184" t="inlineStr">
        <is>
          <t>1991-12-05</t>
        </is>
      </c>
      <c r="Y2184" t="n">
        <v>126</v>
      </c>
      <c r="Z2184" t="n">
        <v>83</v>
      </c>
      <c r="AA2184" t="n">
        <v>84</v>
      </c>
      <c r="AB2184" t="n">
        <v>2</v>
      </c>
      <c r="AC2184" t="n">
        <v>2</v>
      </c>
      <c r="AD2184" t="n">
        <v>7</v>
      </c>
      <c r="AE2184" t="n">
        <v>7</v>
      </c>
      <c r="AF2184" t="n">
        <v>0</v>
      </c>
      <c r="AG2184" t="n">
        <v>0</v>
      </c>
      <c r="AH2184" t="n">
        <v>3</v>
      </c>
      <c r="AI2184" t="n">
        <v>3</v>
      </c>
      <c r="AJ2184" t="n">
        <v>4</v>
      </c>
      <c r="AK2184" t="n">
        <v>4</v>
      </c>
      <c r="AL2184" t="n">
        <v>1</v>
      </c>
      <c r="AM2184" t="n">
        <v>1</v>
      </c>
      <c r="AN2184" t="n">
        <v>0</v>
      </c>
      <c r="AO2184" t="n">
        <v>0</v>
      </c>
      <c r="AP2184" t="inlineStr">
        <is>
          <t>No</t>
        </is>
      </c>
      <c r="AQ2184" t="inlineStr">
        <is>
          <t>Yes</t>
        </is>
      </c>
      <c r="AR2184">
        <f>HYPERLINK("http://catalog.hathitrust.org/Record/001591748","HathiTrust Record")</f>
        <v/>
      </c>
      <c r="AS2184">
        <f>HYPERLINK("https://creighton-primo.hosted.exlibrisgroup.com/primo-explore/search?tab=default_tab&amp;search_scope=EVERYTHING&amp;vid=01CRU&amp;lang=en_US&amp;offset=0&amp;query=any,contains,991003152019702656","Catalog Record")</f>
        <v/>
      </c>
      <c r="AT2184">
        <f>HYPERLINK("http://www.worldcat.org/oclc/691234","WorldCat Record")</f>
        <v/>
      </c>
      <c r="AU2184" t="inlineStr">
        <is>
          <t>1786074:spa</t>
        </is>
      </c>
      <c r="AV2184" t="inlineStr">
        <is>
          <t>691234</t>
        </is>
      </c>
      <c r="AW2184" t="inlineStr">
        <is>
          <t>991003152019702656</t>
        </is>
      </c>
      <c r="AX2184" t="inlineStr">
        <is>
          <t>991003152019702656</t>
        </is>
      </c>
      <c r="AY2184" t="inlineStr">
        <is>
          <t>2260012380002656</t>
        </is>
      </c>
      <c r="AZ2184" t="inlineStr">
        <is>
          <t>BOOK</t>
        </is>
      </c>
      <c r="BC2184" t="inlineStr">
        <is>
          <t>32285000871490</t>
        </is>
      </c>
      <c r="BD2184" t="inlineStr">
        <is>
          <t>893799429</t>
        </is>
      </c>
    </row>
    <row r="2185">
      <c r="A2185" t="inlineStr">
        <is>
          <t>No</t>
        </is>
      </c>
      <c r="B2185" t="inlineStr">
        <is>
          <t>BX4700.T4 P313</t>
        </is>
      </c>
      <c r="C2185" t="inlineStr">
        <is>
          <t>0                      BX 4700000T  4                  P  313</t>
        </is>
      </c>
      <c r="D2185" t="inlineStr">
        <is>
          <t>St. Teresa of Avila. Translated from the Italian by G. Anzilotto.</t>
        </is>
      </c>
      <c r="F2185" t="inlineStr">
        <is>
          <t>No</t>
        </is>
      </c>
      <c r="G2185" t="inlineStr">
        <is>
          <t>1</t>
        </is>
      </c>
      <c r="H2185" t="inlineStr">
        <is>
          <t>No</t>
        </is>
      </c>
      <c r="I2185" t="inlineStr">
        <is>
          <t>No</t>
        </is>
      </c>
      <c r="J2185" t="inlineStr">
        <is>
          <t>0</t>
        </is>
      </c>
      <c r="K2185" t="inlineStr">
        <is>
          <t>Papàsogli, Giorgio.</t>
        </is>
      </c>
      <c r="L2185" t="inlineStr">
        <is>
          <t>New York, Society of St. Paul [1959]</t>
        </is>
      </c>
      <c r="M2185" t="inlineStr">
        <is>
          <t>1959</t>
        </is>
      </c>
      <c r="O2185" t="inlineStr">
        <is>
          <t>eng</t>
        </is>
      </c>
      <c r="P2185" t="inlineStr">
        <is>
          <t xml:space="preserve">xx </t>
        </is>
      </c>
      <c r="R2185" t="inlineStr">
        <is>
          <t xml:space="preserve">BX </t>
        </is>
      </c>
      <c r="S2185" t="n">
        <v>4</v>
      </c>
      <c r="T2185" t="n">
        <v>4</v>
      </c>
      <c r="U2185" t="inlineStr">
        <is>
          <t>2003-04-02</t>
        </is>
      </c>
      <c r="V2185" t="inlineStr">
        <is>
          <t>2003-04-02</t>
        </is>
      </c>
      <c r="W2185" t="inlineStr">
        <is>
          <t>1991-12-05</t>
        </is>
      </c>
      <c r="X2185" t="inlineStr">
        <is>
          <t>1991-12-05</t>
        </is>
      </c>
      <c r="Y2185" t="n">
        <v>133</v>
      </c>
      <c r="Z2185" t="n">
        <v>118</v>
      </c>
      <c r="AA2185" t="n">
        <v>146</v>
      </c>
      <c r="AB2185" t="n">
        <v>1</v>
      </c>
      <c r="AC2185" t="n">
        <v>1</v>
      </c>
      <c r="AD2185" t="n">
        <v>19</v>
      </c>
      <c r="AE2185" t="n">
        <v>19</v>
      </c>
      <c r="AF2185" t="n">
        <v>6</v>
      </c>
      <c r="AG2185" t="n">
        <v>6</v>
      </c>
      <c r="AH2185" t="n">
        <v>3</v>
      </c>
      <c r="AI2185" t="n">
        <v>3</v>
      </c>
      <c r="AJ2185" t="n">
        <v>15</v>
      </c>
      <c r="AK2185" t="n">
        <v>15</v>
      </c>
      <c r="AL2185" t="n">
        <v>0</v>
      </c>
      <c r="AM2185" t="n">
        <v>0</v>
      </c>
      <c r="AN2185" t="n">
        <v>0</v>
      </c>
      <c r="AO2185" t="n">
        <v>0</v>
      </c>
      <c r="AP2185" t="inlineStr">
        <is>
          <t>No</t>
        </is>
      </c>
      <c r="AQ2185" t="inlineStr">
        <is>
          <t>No</t>
        </is>
      </c>
      <c r="AS2185">
        <f>HYPERLINK("https://creighton-primo.hosted.exlibrisgroup.com/primo-explore/search?tab=default_tab&amp;search_scope=EVERYTHING&amp;vid=01CRU&amp;lang=en_US&amp;offset=0&amp;query=any,contains,991004344579702656","Catalog Record")</f>
        <v/>
      </c>
      <c r="AT2185">
        <f>HYPERLINK("http://www.worldcat.org/oclc/2483422","WorldCat Record")</f>
        <v/>
      </c>
      <c r="AU2185" t="inlineStr">
        <is>
          <t>293638810:eng</t>
        </is>
      </c>
      <c r="AV2185" t="inlineStr">
        <is>
          <t>2483422</t>
        </is>
      </c>
      <c r="AW2185" t="inlineStr">
        <is>
          <t>991004344579702656</t>
        </is>
      </c>
      <c r="AX2185" t="inlineStr">
        <is>
          <t>991004344579702656</t>
        </is>
      </c>
      <c r="AY2185" t="inlineStr">
        <is>
          <t>2263568530002656</t>
        </is>
      </c>
      <c r="AZ2185" t="inlineStr">
        <is>
          <t>BOOK</t>
        </is>
      </c>
      <c r="BC2185" t="inlineStr">
        <is>
          <t>32285000871516</t>
        </is>
      </c>
      <c r="BD2185" t="inlineStr">
        <is>
          <t>893229243</t>
        </is>
      </c>
    </row>
    <row r="2186">
      <c r="A2186" t="inlineStr">
        <is>
          <t>No</t>
        </is>
      </c>
      <c r="B2186" t="inlineStr">
        <is>
          <t>BX4700.T4 P43</t>
        </is>
      </c>
      <c r="C2186" t="inlineStr">
        <is>
          <t>0                      BX 4700000T  4                  P  43</t>
        </is>
      </c>
      <c r="D2186" t="inlineStr">
        <is>
          <t>Saint Teresa of Jesus, and other essays and addresses.</t>
        </is>
      </c>
      <c r="F2186" t="inlineStr">
        <is>
          <t>No</t>
        </is>
      </c>
      <c r="G2186" t="inlineStr">
        <is>
          <t>1</t>
        </is>
      </c>
      <c r="H2186" t="inlineStr">
        <is>
          <t>No</t>
        </is>
      </c>
      <c r="I2186" t="inlineStr">
        <is>
          <t>No</t>
        </is>
      </c>
      <c r="J2186" t="inlineStr">
        <is>
          <t>0</t>
        </is>
      </c>
      <c r="K2186" t="inlineStr">
        <is>
          <t>Peers, E. Allison (Edgar Allison), 1891-1952.</t>
        </is>
      </c>
      <c r="L2186" t="inlineStr">
        <is>
          <t>London, Faber and Faber [1953]</t>
        </is>
      </c>
      <c r="M2186" t="inlineStr">
        <is>
          <t>1953</t>
        </is>
      </c>
      <c r="O2186" t="inlineStr">
        <is>
          <t>eng</t>
        </is>
      </c>
      <c r="P2186" t="inlineStr">
        <is>
          <t>___</t>
        </is>
      </c>
      <c r="R2186" t="inlineStr">
        <is>
          <t xml:space="preserve">BX </t>
        </is>
      </c>
      <c r="S2186" t="n">
        <v>4</v>
      </c>
      <c r="T2186" t="n">
        <v>4</v>
      </c>
      <c r="U2186" t="inlineStr">
        <is>
          <t>2003-11-19</t>
        </is>
      </c>
      <c r="V2186" t="inlineStr">
        <is>
          <t>2003-11-19</t>
        </is>
      </c>
      <c r="W2186" t="inlineStr">
        <is>
          <t>1991-07-11</t>
        </is>
      </c>
      <c r="X2186" t="inlineStr">
        <is>
          <t>1991-07-11</t>
        </is>
      </c>
      <c r="Y2186" t="n">
        <v>410</v>
      </c>
      <c r="Z2186" t="n">
        <v>339</v>
      </c>
      <c r="AA2186" t="n">
        <v>344</v>
      </c>
      <c r="AB2186" t="n">
        <v>2</v>
      </c>
      <c r="AC2186" t="n">
        <v>2</v>
      </c>
      <c r="AD2186" t="n">
        <v>26</v>
      </c>
      <c r="AE2186" t="n">
        <v>26</v>
      </c>
      <c r="AF2186" t="n">
        <v>11</v>
      </c>
      <c r="AG2186" t="n">
        <v>11</v>
      </c>
      <c r="AH2186" t="n">
        <v>5</v>
      </c>
      <c r="AI2186" t="n">
        <v>5</v>
      </c>
      <c r="AJ2186" t="n">
        <v>16</v>
      </c>
      <c r="AK2186" t="n">
        <v>16</v>
      </c>
      <c r="AL2186" t="n">
        <v>1</v>
      </c>
      <c r="AM2186" t="n">
        <v>1</v>
      </c>
      <c r="AN2186" t="n">
        <v>0</v>
      </c>
      <c r="AO2186" t="n">
        <v>0</v>
      </c>
      <c r="AP2186" t="inlineStr">
        <is>
          <t>No</t>
        </is>
      </c>
      <c r="AQ2186" t="inlineStr">
        <is>
          <t>No</t>
        </is>
      </c>
      <c r="AS2186">
        <f>HYPERLINK("https://creighton-primo.hosted.exlibrisgroup.com/primo-explore/search?tab=default_tab&amp;search_scope=EVERYTHING&amp;vid=01CRU&amp;lang=en_US&amp;offset=0&amp;query=any,contains,991003000199702656","Catalog Record")</f>
        <v/>
      </c>
      <c r="AT2186">
        <f>HYPERLINK("http://www.worldcat.org/oclc/568183","WorldCat Record")</f>
        <v/>
      </c>
      <c r="AU2186" t="inlineStr">
        <is>
          <t>148018498:eng</t>
        </is>
      </c>
      <c r="AV2186" t="inlineStr">
        <is>
          <t>568183</t>
        </is>
      </c>
      <c r="AW2186" t="inlineStr">
        <is>
          <t>991003000199702656</t>
        </is>
      </c>
      <c r="AX2186" t="inlineStr">
        <is>
          <t>991003000199702656</t>
        </is>
      </c>
      <c r="AY2186" t="inlineStr">
        <is>
          <t>2257462700002656</t>
        </is>
      </c>
      <c r="AZ2186" t="inlineStr">
        <is>
          <t>BOOK</t>
        </is>
      </c>
      <c r="BC2186" t="inlineStr">
        <is>
          <t>32285000637487</t>
        </is>
      </c>
      <c r="BD2186" t="inlineStr">
        <is>
          <t>893604323</t>
        </is>
      </c>
    </row>
    <row r="2187">
      <c r="A2187" t="inlineStr">
        <is>
          <t>No</t>
        </is>
      </c>
      <c r="B2187" t="inlineStr">
        <is>
          <t>BX4700.T4 P47 1970</t>
        </is>
      </c>
      <c r="C2187" t="inlineStr">
        <is>
          <t>0                      BX 4700000T  4                  P  47          1970</t>
        </is>
      </c>
      <c r="D2187" t="inlineStr">
        <is>
          <t>The art of ecstasy : Teresa, Bernini, and Crashaw / [by] Robert T. Petersson.</t>
        </is>
      </c>
      <c r="F2187" t="inlineStr">
        <is>
          <t>No</t>
        </is>
      </c>
      <c r="G2187" t="inlineStr">
        <is>
          <t>1</t>
        </is>
      </c>
      <c r="H2187" t="inlineStr">
        <is>
          <t>No</t>
        </is>
      </c>
      <c r="I2187" t="inlineStr">
        <is>
          <t>No</t>
        </is>
      </c>
      <c r="J2187" t="inlineStr">
        <is>
          <t>0</t>
        </is>
      </c>
      <c r="K2187" t="inlineStr">
        <is>
          <t>Petersson, Robert T. (Robert Torsten)</t>
        </is>
      </c>
      <c r="L2187" t="inlineStr">
        <is>
          <t>New York : Atheneum, 1970.</t>
        </is>
      </c>
      <c r="M2187" t="inlineStr">
        <is>
          <t>1970</t>
        </is>
      </c>
      <c r="N2187" t="inlineStr">
        <is>
          <t>[1st American ed.]</t>
        </is>
      </c>
      <c r="O2187" t="inlineStr">
        <is>
          <t>eng</t>
        </is>
      </c>
      <c r="P2187" t="inlineStr">
        <is>
          <t>nyu</t>
        </is>
      </c>
      <c r="R2187" t="inlineStr">
        <is>
          <t xml:space="preserve">BX </t>
        </is>
      </c>
      <c r="S2187" t="n">
        <v>7</v>
      </c>
      <c r="T2187" t="n">
        <v>7</v>
      </c>
      <c r="U2187" t="inlineStr">
        <is>
          <t>2008-10-24</t>
        </is>
      </c>
      <c r="V2187" t="inlineStr">
        <is>
          <t>2008-10-24</t>
        </is>
      </c>
      <c r="W2187" t="inlineStr">
        <is>
          <t>1991-12-05</t>
        </is>
      </c>
      <c r="X2187" t="inlineStr">
        <is>
          <t>1991-12-05</t>
        </is>
      </c>
      <c r="Y2187" t="n">
        <v>579</v>
      </c>
      <c r="Z2187" t="n">
        <v>527</v>
      </c>
      <c r="AA2187" t="n">
        <v>611</v>
      </c>
      <c r="AB2187" t="n">
        <v>3</v>
      </c>
      <c r="AC2187" t="n">
        <v>5</v>
      </c>
      <c r="AD2187" t="n">
        <v>28</v>
      </c>
      <c r="AE2187" t="n">
        <v>34</v>
      </c>
      <c r="AF2187" t="n">
        <v>9</v>
      </c>
      <c r="AG2187" t="n">
        <v>12</v>
      </c>
      <c r="AH2187" t="n">
        <v>8</v>
      </c>
      <c r="AI2187" t="n">
        <v>9</v>
      </c>
      <c r="AJ2187" t="n">
        <v>17</v>
      </c>
      <c r="AK2187" t="n">
        <v>21</v>
      </c>
      <c r="AL2187" t="n">
        <v>2</v>
      </c>
      <c r="AM2187" t="n">
        <v>3</v>
      </c>
      <c r="AN2187" t="n">
        <v>0</v>
      </c>
      <c r="AO2187" t="n">
        <v>0</v>
      </c>
      <c r="AP2187" t="inlineStr">
        <is>
          <t>No</t>
        </is>
      </c>
      <c r="AQ2187" t="inlineStr">
        <is>
          <t>Yes</t>
        </is>
      </c>
      <c r="AR2187">
        <f>HYPERLINK("http://catalog.hathitrust.org/Record/102000290","HathiTrust Record")</f>
        <v/>
      </c>
      <c r="AS2187">
        <f>HYPERLINK("https://creighton-primo.hosted.exlibrisgroup.com/primo-explore/search?tab=default_tab&amp;search_scope=EVERYTHING&amp;vid=01CRU&amp;lang=en_US&amp;offset=0&amp;query=any,contains,991000600119702656","Catalog Record")</f>
        <v/>
      </c>
      <c r="AT2187">
        <f>HYPERLINK("http://www.worldcat.org/oclc/98365","WorldCat Record")</f>
        <v/>
      </c>
      <c r="AU2187" t="inlineStr">
        <is>
          <t>14809379:eng</t>
        </is>
      </c>
      <c r="AV2187" t="inlineStr">
        <is>
          <t>98365</t>
        </is>
      </c>
      <c r="AW2187" t="inlineStr">
        <is>
          <t>991000600119702656</t>
        </is>
      </c>
      <c r="AX2187" t="inlineStr">
        <is>
          <t>991000600119702656</t>
        </is>
      </c>
      <c r="AY2187" t="inlineStr">
        <is>
          <t>2272143500002656</t>
        </is>
      </c>
      <c r="AZ2187" t="inlineStr">
        <is>
          <t>BOOK</t>
        </is>
      </c>
      <c r="BC2187" t="inlineStr">
        <is>
          <t>32285000871532</t>
        </is>
      </c>
      <c r="BD2187" t="inlineStr">
        <is>
          <t>893243409</t>
        </is>
      </c>
    </row>
    <row r="2188">
      <c r="A2188" t="inlineStr">
        <is>
          <t>No</t>
        </is>
      </c>
      <c r="B2188" t="inlineStr">
        <is>
          <t>BX4700.T4 R35</t>
        </is>
      </c>
      <c r="C2188" t="inlineStr">
        <is>
          <t>0                      BX 4700000T  4                  R  35</t>
        </is>
      </c>
      <c r="D2188" t="inlineStr">
        <is>
          <t>Ste Thérèse d'Avila et l'expérience mystique.</t>
        </is>
      </c>
      <c r="F2188" t="inlineStr">
        <is>
          <t>No</t>
        </is>
      </c>
      <c r="G2188" t="inlineStr">
        <is>
          <t>1</t>
        </is>
      </c>
      <c r="H2188" t="inlineStr">
        <is>
          <t>No</t>
        </is>
      </c>
      <c r="I2188" t="inlineStr">
        <is>
          <t>No</t>
        </is>
      </c>
      <c r="J2188" t="inlineStr">
        <is>
          <t>0</t>
        </is>
      </c>
      <c r="K2188" t="inlineStr">
        <is>
          <t>Renault, Emmanuel.</t>
        </is>
      </c>
      <c r="L2188" t="inlineStr">
        <is>
          <t>[Paris] Éditions du Seuil [1970]</t>
        </is>
      </c>
      <c r="M2188" t="inlineStr">
        <is>
          <t>1970</t>
        </is>
      </c>
      <c r="O2188" t="inlineStr">
        <is>
          <t>fre</t>
        </is>
      </c>
      <c r="P2188" t="inlineStr">
        <is>
          <t>___</t>
        </is>
      </c>
      <c r="Q2188" t="inlineStr">
        <is>
          <t>Collections microcosme. Maitres spirituels.</t>
        </is>
      </c>
      <c r="R2188" t="inlineStr">
        <is>
          <t xml:space="preserve">BX </t>
        </is>
      </c>
      <c r="S2188" t="n">
        <v>0</v>
      </c>
      <c r="T2188" t="n">
        <v>0</v>
      </c>
      <c r="U2188" t="inlineStr">
        <is>
          <t>2001-10-04</t>
        </is>
      </c>
      <c r="V2188" t="inlineStr">
        <is>
          <t>2001-10-04</t>
        </is>
      </c>
      <c r="W2188" t="inlineStr">
        <is>
          <t>1991-12-05</t>
        </is>
      </c>
      <c r="X2188" t="inlineStr">
        <is>
          <t>1991-12-05</t>
        </is>
      </c>
      <c r="Y2188" t="n">
        <v>26</v>
      </c>
      <c r="Z2188" t="n">
        <v>24</v>
      </c>
      <c r="AA2188" t="n">
        <v>42</v>
      </c>
      <c r="AB2188" t="n">
        <v>2</v>
      </c>
      <c r="AC2188" t="n">
        <v>2</v>
      </c>
      <c r="AD2188" t="n">
        <v>2</v>
      </c>
      <c r="AE2188" t="n">
        <v>4</v>
      </c>
      <c r="AF2188" t="n">
        <v>0</v>
      </c>
      <c r="AG2188" t="n">
        <v>0</v>
      </c>
      <c r="AH2188" t="n">
        <v>1</v>
      </c>
      <c r="AI2188" t="n">
        <v>2</v>
      </c>
      <c r="AJ2188" t="n">
        <v>1</v>
      </c>
      <c r="AK2188" t="n">
        <v>2</v>
      </c>
      <c r="AL2188" t="n">
        <v>1</v>
      </c>
      <c r="AM2188" t="n">
        <v>1</v>
      </c>
      <c r="AN2188" t="n">
        <v>0</v>
      </c>
      <c r="AO2188" t="n">
        <v>0</v>
      </c>
      <c r="AP2188" t="inlineStr">
        <is>
          <t>No</t>
        </is>
      </c>
      <c r="AQ2188" t="inlineStr">
        <is>
          <t>Yes</t>
        </is>
      </c>
      <c r="AR2188">
        <f>HYPERLINK("http://catalog.hathitrust.org/Record/102284707","HathiTrust Record")</f>
        <v/>
      </c>
      <c r="AS2188">
        <f>HYPERLINK("https://creighton-primo.hosted.exlibrisgroup.com/primo-explore/search?tab=default_tab&amp;search_scope=EVERYTHING&amp;vid=01CRU&amp;lang=en_US&amp;offset=0&amp;query=any,contains,991003470639702656","Catalog Record")</f>
        <v/>
      </c>
      <c r="AT2188">
        <f>HYPERLINK("http://www.worldcat.org/oclc/11334887","WorldCat Record")</f>
        <v/>
      </c>
      <c r="AU2188" t="inlineStr">
        <is>
          <t>4052896:fre</t>
        </is>
      </c>
      <c r="AV2188" t="inlineStr">
        <is>
          <t>11334887</t>
        </is>
      </c>
      <c r="AW2188" t="inlineStr">
        <is>
          <t>991003470639702656</t>
        </is>
      </c>
      <c r="AX2188" t="inlineStr">
        <is>
          <t>991003470639702656</t>
        </is>
      </c>
      <c r="AY2188" t="inlineStr">
        <is>
          <t>2256827860002656</t>
        </is>
      </c>
      <c r="AZ2188" t="inlineStr">
        <is>
          <t>BOOK</t>
        </is>
      </c>
      <c r="BC2188" t="inlineStr">
        <is>
          <t>32285000871540</t>
        </is>
      </c>
      <c r="BD2188" t="inlineStr">
        <is>
          <t>893604820</t>
        </is>
      </c>
    </row>
    <row r="2189">
      <c r="A2189" t="inlineStr">
        <is>
          <t>No</t>
        </is>
      </c>
      <c r="B2189" t="inlineStr">
        <is>
          <t>BX4700.T4 T29 1982</t>
        </is>
      </c>
      <c r="C2189" t="inlineStr">
        <is>
          <t>0                      BX 4700000T  4                  T  29          1982</t>
        </is>
      </c>
      <c r="D2189" t="inlineStr">
        <is>
          <t>Thérèse d'Avila : actes du colloque pour le quatrième centenaire de sa mort / organisé en collaboration avec la Faculté de théologie (Louvain-la-Neuve, 10 mars 1982) ; édités par A. Vermeylen.</t>
        </is>
      </c>
      <c r="F2189" t="inlineStr">
        <is>
          <t>No</t>
        </is>
      </c>
      <c r="G2189" t="inlineStr">
        <is>
          <t>1</t>
        </is>
      </c>
      <c r="H2189" t="inlineStr">
        <is>
          <t>No</t>
        </is>
      </c>
      <c r="I2189" t="inlineStr">
        <is>
          <t>No</t>
        </is>
      </c>
      <c r="J2189" t="inlineStr">
        <is>
          <t>0</t>
        </is>
      </c>
      <c r="L2189" t="inlineStr">
        <is>
          <t>Louvain-la-Neuve : Presses Universitaires de Louvain, 1982.</t>
        </is>
      </c>
      <c r="M2189" t="inlineStr">
        <is>
          <t>1982</t>
        </is>
      </c>
      <c r="O2189" t="inlineStr">
        <is>
          <t>fre</t>
        </is>
      </c>
      <c r="P2189" t="inlineStr">
        <is>
          <t xml:space="preserve">be </t>
        </is>
      </c>
      <c r="Q2189" t="inlineStr">
        <is>
          <t>Travaux de la Faculté de philosophie et lettres de l'Université catholique de Louvain ; 29. Section de philologie romane ; 10</t>
        </is>
      </c>
      <c r="R2189" t="inlineStr">
        <is>
          <t xml:space="preserve">BX </t>
        </is>
      </c>
      <c r="S2189" t="n">
        <v>1</v>
      </c>
      <c r="T2189" t="n">
        <v>1</v>
      </c>
      <c r="U2189" t="inlineStr">
        <is>
          <t>2004-02-23</t>
        </is>
      </c>
      <c r="V2189" t="inlineStr">
        <is>
          <t>2004-02-23</t>
        </is>
      </c>
      <c r="W2189" t="inlineStr">
        <is>
          <t>1991-12-05</t>
        </is>
      </c>
      <c r="X2189" t="inlineStr">
        <is>
          <t>1991-12-05</t>
        </is>
      </c>
      <c r="Y2189" t="n">
        <v>36</v>
      </c>
      <c r="Z2189" t="n">
        <v>31</v>
      </c>
      <c r="AA2189" t="n">
        <v>31</v>
      </c>
      <c r="AB2189" t="n">
        <v>1</v>
      </c>
      <c r="AC2189" t="n">
        <v>1</v>
      </c>
      <c r="AD2189" t="n">
        <v>5</v>
      </c>
      <c r="AE2189" t="n">
        <v>5</v>
      </c>
      <c r="AF2189" t="n">
        <v>0</v>
      </c>
      <c r="AG2189" t="n">
        <v>0</v>
      </c>
      <c r="AH2189" t="n">
        <v>2</v>
      </c>
      <c r="AI2189" t="n">
        <v>2</v>
      </c>
      <c r="AJ2189" t="n">
        <v>5</v>
      </c>
      <c r="AK2189" t="n">
        <v>5</v>
      </c>
      <c r="AL2189" t="n">
        <v>0</v>
      </c>
      <c r="AM2189" t="n">
        <v>0</v>
      </c>
      <c r="AN2189" t="n">
        <v>0</v>
      </c>
      <c r="AO2189" t="n">
        <v>0</v>
      </c>
      <c r="AP2189" t="inlineStr">
        <is>
          <t>No</t>
        </is>
      </c>
      <c r="AQ2189" t="inlineStr">
        <is>
          <t>No</t>
        </is>
      </c>
      <c r="AS2189">
        <f>HYPERLINK("https://creighton-primo.hosted.exlibrisgroup.com/primo-explore/search?tab=default_tab&amp;search_scope=EVERYTHING&amp;vid=01CRU&amp;lang=en_US&amp;offset=0&amp;query=any,contains,991000167809702656","Catalog Record")</f>
        <v/>
      </c>
      <c r="AT2189">
        <f>HYPERLINK("http://www.worldcat.org/oclc/10474030","WorldCat Record")</f>
        <v/>
      </c>
      <c r="AU2189" t="inlineStr">
        <is>
          <t>3204529:fre</t>
        </is>
      </c>
      <c r="AV2189" t="inlineStr">
        <is>
          <t>10474030</t>
        </is>
      </c>
      <c r="AW2189" t="inlineStr">
        <is>
          <t>991000167809702656</t>
        </is>
      </c>
      <c r="AX2189" t="inlineStr">
        <is>
          <t>991000167809702656</t>
        </is>
      </c>
      <c r="AY2189" t="inlineStr">
        <is>
          <t>2258971010002656</t>
        </is>
      </c>
      <c r="AZ2189" t="inlineStr">
        <is>
          <t>BOOK</t>
        </is>
      </c>
      <c r="BC2189" t="inlineStr">
        <is>
          <t>32285000871565</t>
        </is>
      </c>
      <c r="BD2189" t="inlineStr">
        <is>
          <t>893871476</t>
        </is>
      </c>
    </row>
    <row r="2190">
      <c r="A2190" t="inlineStr">
        <is>
          <t>No</t>
        </is>
      </c>
      <c r="B2190" t="inlineStr">
        <is>
          <t>BX4700.T5 A4 1925</t>
        </is>
      </c>
      <c r="C2190" t="inlineStr">
        <is>
          <t>0                      BX 4700000T  5                  A  4           1925</t>
        </is>
      </c>
      <c r="D2190" t="inlineStr">
        <is>
          <t>"A little white flower" : the story of Soeur Thérèse of Lisieux.</t>
        </is>
      </c>
      <c r="F2190" t="inlineStr">
        <is>
          <t>No</t>
        </is>
      </c>
      <c r="G2190" t="inlineStr">
        <is>
          <t>1</t>
        </is>
      </c>
      <c r="H2190" t="inlineStr">
        <is>
          <t>No</t>
        </is>
      </c>
      <c r="I2190" t="inlineStr">
        <is>
          <t>Yes</t>
        </is>
      </c>
      <c r="J2190" t="inlineStr">
        <is>
          <t>0</t>
        </is>
      </c>
      <c r="K2190" t="inlineStr">
        <is>
          <t>Thérèse, de Lisieux, Saint, 1873-1897.</t>
        </is>
      </c>
      <c r="L2190" t="inlineStr">
        <is>
          <t>New York : P. J. Kennedy, 1925.</t>
        </is>
      </c>
      <c r="M2190" t="inlineStr">
        <is>
          <t>1916</t>
        </is>
      </c>
      <c r="O2190" t="inlineStr">
        <is>
          <t>eng</t>
        </is>
      </c>
      <c r="P2190" t="inlineStr">
        <is>
          <t>nyu</t>
        </is>
      </c>
      <c r="R2190" t="inlineStr">
        <is>
          <t xml:space="preserve">BX </t>
        </is>
      </c>
      <c r="S2190" t="n">
        <v>4</v>
      </c>
      <c r="T2190" t="n">
        <v>4</v>
      </c>
      <c r="U2190" t="inlineStr">
        <is>
          <t>2008-06-03</t>
        </is>
      </c>
      <c r="V2190" t="inlineStr">
        <is>
          <t>2008-06-03</t>
        </is>
      </c>
      <c r="W2190" t="inlineStr">
        <is>
          <t>1991-12-05</t>
        </is>
      </c>
      <c r="X2190" t="inlineStr">
        <is>
          <t>1991-12-05</t>
        </is>
      </c>
      <c r="Y2190" t="n">
        <v>23</v>
      </c>
      <c r="Z2190" t="n">
        <v>21</v>
      </c>
      <c r="AA2190" t="n">
        <v>1299</v>
      </c>
      <c r="AB2190" t="n">
        <v>1</v>
      </c>
      <c r="AC2190" t="n">
        <v>10</v>
      </c>
      <c r="AD2190" t="n">
        <v>2</v>
      </c>
      <c r="AE2190" t="n">
        <v>51</v>
      </c>
      <c r="AF2190" t="n">
        <v>0</v>
      </c>
      <c r="AG2190" t="n">
        <v>22</v>
      </c>
      <c r="AH2190" t="n">
        <v>0</v>
      </c>
      <c r="AI2190" t="n">
        <v>11</v>
      </c>
      <c r="AJ2190" t="n">
        <v>2</v>
      </c>
      <c r="AK2190" t="n">
        <v>28</v>
      </c>
      <c r="AL2190" t="n">
        <v>0</v>
      </c>
      <c r="AM2190" t="n">
        <v>4</v>
      </c>
      <c r="AN2190" t="n">
        <v>0</v>
      </c>
      <c r="AO2190" t="n">
        <v>0</v>
      </c>
      <c r="AP2190" t="inlineStr">
        <is>
          <t>No</t>
        </is>
      </c>
      <c r="AQ2190" t="inlineStr">
        <is>
          <t>No</t>
        </is>
      </c>
      <c r="AS2190">
        <f>HYPERLINK("https://creighton-primo.hosted.exlibrisgroup.com/primo-explore/search?tab=default_tab&amp;search_scope=EVERYTHING&amp;vid=01CRU&amp;lang=en_US&amp;offset=0&amp;query=any,contains,991004616009702656","Catalog Record")</f>
        <v/>
      </c>
      <c r="AT2190">
        <f>HYPERLINK("http://www.worldcat.org/oclc/4255541","WorldCat Record")</f>
        <v/>
      </c>
      <c r="AU2190" t="inlineStr">
        <is>
          <t>3372598554:eng</t>
        </is>
      </c>
      <c r="AV2190" t="inlineStr">
        <is>
          <t>4255541</t>
        </is>
      </c>
      <c r="AW2190" t="inlineStr">
        <is>
          <t>991004616009702656</t>
        </is>
      </c>
      <c r="AX2190" t="inlineStr">
        <is>
          <t>991004616009702656</t>
        </is>
      </c>
      <c r="AY2190" t="inlineStr">
        <is>
          <t>2264979960002656</t>
        </is>
      </c>
      <c r="AZ2190" t="inlineStr">
        <is>
          <t>BOOK</t>
        </is>
      </c>
      <c r="BC2190" t="inlineStr">
        <is>
          <t>32285000871649</t>
        </is>
      </c>
      <c r="BD2190" t="inlineStr">
        <is>
          <t>893706633</t>
        </is>
      </c>
    </row>
    <row r="2191">
      <c r="A2191" t="inlineStr">
        <is>
          <t>No</t>
        </is>
      </c>
      <c r="B2191" t="inlineStr">
        <is>
          <t>BX4700.T5 A53 1949</t>
        </is>
      </c>
      <c r="C2191" t="inlineStr">
        <is>
          <t>0                      BX 4700000T  5                  A  53          1949</t>
        </is>
      </c>
      <c r="D2191" t="inlineStr">
        <is>
          <t>Collected letters of Saint Theŕèse of Lisieux / edited by the Abbé Combes; translated by F.J. Sheed. With a foreword by Father Vernon Johnson.</t>
        </is>
      </c>
      <c r="F2191" t="inlineStr">
        <is>
          <t>No</t>
        </is>
      </c>
      <c r="G2191" t="inlineStr">
        <is>
          <t>1</t>
        </is>
      </c>
      <c r="H2191" t="inlineStr">
        <is>
          <t>No</t>
        </is>
      </c>
      <c r="I2191" t="inlineStr">
        <is>
          <t>No</t>
        </is>
      </c>
      <c r="J2191" t="inlineStr">
        <is>
          <t>0</t>
        </is>
      </c>
      <c r="K2191" t="inlineStr">
        <is>
          <t>Thérèse, de Lisieux, Saint, 1873-1897.</t>
        </is>
      </c>
      <c r="L2191" t="inlineStr">
        <is>
          <t>New York : Sheed &amp; Ward, 1949.</t>
        </is>
      </c>
      <c r="M2191" t="inlineStr">
        <is>
          <t>1949</t>
        </is>
      </c>
      <c r="O2191" t="inlineStr">
        <is>
          <t>eng</t>
        </is>
      </c>
      <c r="P2191" t="inlineStr">
        <is>
          <t>___</t>
        </is>
      </c>
      <c r="R2191" t="inlineStr">
        <is>
          <t xml:space="preserve">BX </t>
        </is>
      </c>
      <c r="S2191" t="n">
        <v>4</v>
      </c>
      <c r="T2191" t="n">
        <v>4</v>
      </c>
      <c r="U2191" t="inlineStr">
        <is>
          <t>2008-06-22</t>
        </is>
      </c>
      <c r="V2191" t="inlineStr">
        <is>
          <t>2008-06-22</t>
        </is>
      </c>
      <c r="W2191" t="inlineStr">
        <is>
          <t>1991-12-05</t>
        </is>
      </c>
      <c r="X2191" t="inlineStr">
        <is>
          <t>1991-12-05</t>
        </is>
      </c>
      <c r="Y2191" t="n">
        <v>266</v>
      </c>
      <c r="Z2191" t="n">
        <v>247</v>
      </c>
      <c r="AA2191" t="n">
        <v>262</v>
      </c>
      <c r="AB2191" t="n">
        <v>3</v>
      </c>
      <c r="AC2191" t="n">
        <v>4</v>
      </c>
      <c r="AD2191" t="n">
        <v>32</v>
      </c>
      <c r="AE2191" t="n">
        <v>33</v>
      </c>
      <c r="AF2191" t="n">
        <v>12</v>
      </c>
      <c r="AG2191" t="n">
        <v>12</v>
      </c>
      <c r="AH2191" t="n">
        <v>8</v>
      </c>
      <c r="AI2191" t="n">
        <v>8</v>
      </c>
      <c r="AJ2191" t="n">
        <v>23</v>
      </c>
      <c r="AK2191" t="n">
        <v>24</v>
      </c>
      <c r="AL2191" t="n">
        <v>1</v>
      </c>
      <c r="AM2191" t="n">
        <v>1</v>
      </c>
      <c r="AN2191" t="n">
        <v>0</v>
      </c>
      <c r="AO2191" t="n">
        <v>0</v>
      </c>
      <c r="AP2191" t="inlineStr">
        <is>
          <t>No</t>
        </is>
      </c>
      <c r="AQ2191" t="inlineStr">
        <is>
          <t>No</t>
        </is>
      </c>
      <c r="AS2191">
        <f>HYPERLINK("https://creighton-primo.hosted.exlibrisgroup.com/primo-explore/search?tab=default_tab&amp;search_scope=EVERYTHING&amp;vid=01CRU&amp;lang=en_US&amp;offset=0&amp;query=any,contains,991002905189702656","Catalog Record")</f>
        <v/>
      </c>
      <c r="AT2191">
        <f>HYPERLINK("http://www.worldcat.org/oclc/519163","WorldCat Record")</f>
        <v/>
      </c>
      <c r="AU2191" t="inlineStr">
        <is>
          <t>2260915251:eng</t>
        </is>
      </c>
      <c r="AV2191" t="inlineStr">
        <is>
          <t>519163</t>
        </is>
      </c>
      <c r="AW2191" t="inlineStr">
        <is>
          <t>991002905189702656</t>
        </is>
      </c>
      <c r="AX2191" t="inlineStr">
        <is>
          <t>991002905189702656</t>
        </is>
      </c>
      <c r="AY2191" t="inlineStr">
        <is>
          <t>2257028520002656</t>
        </is>
      </c>
      <c r="AZ2191" t="inlineStr">
        <is>
          <t>BOOK</t>
        </is>
      </c>
      <c r="BC2191" t="inlineStr">
        <is>
          <t>32285000871672</t>
        </is>
      </c>
      <c r="BD2191" t="inlineStr">
        <is>
          <t>893335878</t>
        </is>
      </c>
    </row>
    <row r="2192">
      <c r="A2192" t="inlineStr">
        <is>
          <t>No</t>
        </is>
      </c>
      <c r="B2192" t="inlineStr">
        <is>
          <t>BX4700.T5 A74 1953</t>
        </is>
      </c>
      <c r="C2192" t="inlineStr">
        <is>
          <t>0                      BX 4700000T  5                  A  74          1953</t>
        </is>
      </c>
      <c r="D2192" t="inlineStr">
        <is>
          <t>To love and to suffer : the gifts of the Holy Ghost in St. Thérèse of the Child Jesus / by Amabel du Coeur de Jésus. Translated by a Discalced Carmelite.</t>
        </is>
      </c>
      <c r="F2192" t="inlineStr">
        <is>
          <t>No</t>
        </is>
      </c>
      <c r="G2192" t="inlineStr">
        <is>
          <t>1</t>
        </is>
      </c>
      <c r="H2192" t="inlineStr">
        <is>
          <t>No</t>
        </is>
      </c>
      <c r="I2192" t="inlineStr">
        <is>
          <t>No</t>
        </is>
      </c>
      <c r="J2192" t="inlineStr">
        <is>
          <t>0</t>
        </is>
      </c>
      <c r="K2192" t="inlineStr">
        <is>
          <t>Amabel du Coeur de Jésus.</t>
        </is>
      </c>
      <c r="L2192" t="inlineStr">
        <is>
          <t>Westminster, Md. : Newman Press, 1953.</t>
        </is>
      </c>
      <c r="M2192" t="inlineStr">
        <is>
          <t>1953</t>
        </is>
      </c>
      <c r="O2192" t="inlineStr">
        <is>
          <t>eng</t>
        </is>
      </c>
      <c r="P2192" t="inlineStr">
        <is>
          <t>mdu</t>
        </is>
      </c>
      <c r="R2192" t="inlineStr">
        <is>
          <t xml:space="preserve">BX </t>
        </is>
      </c>
      <c r="S2192" t="n">
        <v>5</v>
      </c>
      <c r="T2192" t="n">
        <v>5</v>
      </c>
      <c r="U2192" t="inlineStr">
        <is>
          <t>1996-05-05</t>
        </is>
      </c>
      <c r="V2192" t="inlineStr">
        <is>
          <t>1996-05-05</t>
        </is>
      </c>
      <c r="W2192" t="inlineStr">
        <is>
          <t>1991-12-05</t>
        </is>
      </c>
      <c r="X2192" t="inlineStr">
        <is>
          <t>1991-12-05</t>
        </is>
      </c>
      <c r="Y2192" t="n">
        <v>43</v>
      </c>
      <c r="Z2192" t="n">
        <v>43</v>
      </c>
      <c r="AA2192" t="n">
        <v>43</v>
      </c>
      <c r="AB2192" t="n">
        <v>2</v>
      </c>
      <c r="AC2192" t="n">
        <v>2</v>
      </c>
      <c r="AD2192" t="n">
        <v>11</v>
      </c>
      <c r="AE2192" t="n">
        <v>11</v>
      </c>
      <c r="AF2192" t="n">
        <v>1</v>
      </c>
      <c r="AG2192" t="n">
        <v>1</v>
      </c>
      <c r="AH2192" t="n">
        <v>2</v>
      </c>
      <c r="AI2192" t="n">
        <v>2</v>
      </c>
      <c r="AJ2192" t="n">
        <v>10</v>
      </c>
      <c r="AK2192" t="n">
        <v>10</v>
      </c>
      <c r="AL2192" t="n">
        <v>0</v>
      </c>
      <c r="AM2192" t="n">
        <v>0</v>
      </c>
      <c r="AN2192" t="n">
        <v>0</v>
      </c>
      <c r="AO2192" t="n">
        <v>0</v>
      </c>
      <c r="AP2192" t="inlineStr">
        <is>
          <t>No</t>
        </is>
      </c>
      <c r="AQ2192" t="inlineStr">
        <is>
          <t>No</t>
        </is>
      </c>
      <c r="AS2192">
        <f>HYPERLINK("https://creighton-primo.hosted.exlibrisgroup.com/primo-explore/search?tab=default_tab&amp;search_scope=EVERYTHING&amp;vid=01CRU&amp;lang=en_US&amp;offset=0&amp;query=any,contains,991005066969702656","Catalog Record")</f>
        <v/>
      </c>
      <c r="AT2192">
        <f>HYPERLINK("http://www.worldcat.org/oclc/6977580","WorldCat Record")</f>
        <v/>
      </c>
      <c r="AU2192" t="inlineStr">
        <is>
          <t>5400008837:eng</t>
        </is>
      </c>
      <c r="AV2192" t="inlineStr">
        <is>
          <t>6977580</t>
        </is>
      </c>
      <c r="AW2192" t="inlineStr">
        <is>
          <t>991005066969702656</t>
        </is>
      </c>
      <c r="AX2192" t="inlineStr">
        <is>
          <t>991005066969702656</t>
        </is>
      </c>
      <c r="AY2192" t="inlineStr">
        <is>
          <t>2257514720002656</t>
        </is>
      </c>
      <c r="AZ2192" t="inlineStr">
        <is>
          <t>BOOK</t>
        </is>
      </c>
      <c r="BC2192" t="inlineStr">
        <is>
          <t>32285000871680</t>
        </is>
      </c>
      <c r="BD2192" t="inlineStr">
        <is>
          <t>893437083</t>
        </is>
      </c>
    </row>
    <row r="2193">
      <c r="A2193" t="inlineStr">
        <is>
          <t>No</t>
        </is>
      </c>
      <c r="B2193" t="inlineStr">
        <is>
          <t>BX4700.T5 B313 1954</t>
        </is>
      </c>
      <c r="C2193" t="inlineStr">
        <is>
          <t>0                      BX 4700000T  5                  B  313         1954</t>
        </is>
      </c>
      <c r="D2193" t="inlineStr">
        <is>
          <t>Thérèse of Lisieux : the story of a mission / by Hans Urs von Balthasar. Translated by Donald Nicholl.</t>
        </is>
      </c>
      <c r="F2193" t="inlineStr">
        <is>
          <t>No</t>
        </is>
      </c>
      <c r="G2193" t="inlineStr">
        <is>
          <t>1</t>
        </is>
      </c>
      <c r="H2193" t="inlineStr">
        <is>
          <t>No</t>
        </is>
      </c>
      <c r="I2193" t="inlineStr">
        <is>
          <t>No</t>
        </is>
      </c>
      <c r="J2193" t="inlineStr">
        <is>
          <t>0</t>
        </is>
      </c>
      <c r="K2193" t="inlineStr">
        <is>
          <t>Balthasar, Hans Urs von, 1905-1988.</t>
        </is>
      </c>
      <c r="L2193" t="inlineStr">
        <is>
          <t>New York : Sheed and Ward, 1954.</t>
        </is>
      </c>
      <c r="M2193" t="inlineStr">
        <is>
          <t>1954</t>
        </is>
      </c>
      <c r="O2193" t="inlineStr">
        <is>
          <t>eng</t>
        </is>
      </c>
      <c r="P2193" t="inlineStr">
        <is>
          <t>nyu</t>
        </is>
      </c>
      <c r="R2193" t="inlineStr">
        <is>
          <t xml:space="preserve">BX </t>
        </is>
      </c>
      <c r="S2193" t="n">
        <v>3</v>
      </c>
      <c r="T2193" t="n">
        <v>3</v>
      </c>
      <c r="U2193" t="inlineStr">
        <is>
          <t>2009-04-14</t>
        </is>
      </c>
      <c r="V2193" t="inlineStr">
        <is>
          <t>2009-04-14</t>
        </is>
      </c>
      <c r="W2193" t="inlineStr">
        <is>
          <t>1991-12-05</t>
        </is>
      </c>
      <c r="X2193" t="inlineStr">
        <is>
          <t>1991-12-05</t>
        </is>
      </c>
      <c r="Y2193" t="n">
        <v>212</v>
      </c>
      <c r="Z2193" t="n">
        <v>195</v>
      </c>
      <c r="AA2193" t="n">
        <v>211</v>
      </c>
      <c r="AB2193" t="n">
        <v>1</v>
      </c>
      <c r="AC2193" t="n">
        <v>1</v>
      </c>
      <c r="AD2193" t="n">
        <v>23</v>
      </c>
      <c r="AE2193" t="n">
        <v>23</v>
      </c>
      <c r="AF2193" t="n">
        <v>7</v>
      </c>
      <c r="AG2193" t="n">
        <v>7</v>
      </c>
      <c r="AH2193" t="n">
        <v>7</v>
      </c>
      <c r="AI2193" t="n">
        <v>7</v>
      </c>
      <c r="AJ2193" t="n">
        <v>17</v>
      </c>
      <c r="AK2193" t="n">
        <v>17</v>
      </c>
      <c r="AL2193" t="n">
        <v>0</v>
      </c>
      <c r="AM2193" t="n">
        <v>0</v>
      </c>
      <c r="AN2193" t="n">
        <v>0</v>
      </c>
      <c r="AO2193" t="n">
        <v>0</v>
      </c>
      <c r="AP2193" t="inlineStr">
        <is>
          <t>No</t>
        </is>
      </c>
      <c r="AQ2193" t="inlineStr">
        <is>
          <t>No</t>
        </is>
      </c>
      <c r="AS2193">
        <f>HYPERLINK("https://creighton-primo.hosted.exlibrisgroup.com/primo-explore/search?tab=default_tab&amp;search_scope=EVERYTHING&amp;vid=01CRU&amp;lang=en_US&amp;offset=0&amp;query=any,contains,991003906619702656","Catalog Record")</f>
        <v/>
      </c>
      <c r="AT2193">
        <f>HYPERLINK("http://www.worldcat.org/oclc/1840007","WorldCat Record")</f>
        <v/>
      </c>
      <c r="AU2193" t="inlineStr">
        <is>
          <t>2908558275:eng</t>
        </is>
      </c>
      <c r="AV2193" t="inlineStr">
        <is>
          <t>1840007</t>
        </is>
      </c>
      <c r="AW2193" t="inlineStr">
        <is>
          <t>991003906619702656</t>
        </is>
      </c>
      <c r="AX2193" t="inlineStr">
        <is>
          <t>991003906619702656</t>
        </is>
      </c>
      <c r="AY2193" t="inlineStr">
        <is>
          <t>2262284930002656</t>
        </is>
      </c>
      <c r="AZ2193" t="inlineStr">
        <is>
          <t>BOOK</t>
        </is>
      </c>
      <c r="BC2193" t="inlineStr">
        <is>
          <t>32285000871698</t>
        </is>
      </c>
      <c r="BD2193" t="inlineStr">
        <is>
          <t>893435645</t>
        </is>
      </c>
    </row>
    <row r="2194">
      <c r="A2194" t="inlineStr">
        <is>
          <t>No</t>
        </is>
      </c>
      <c r="B2194" t="inlineStr">
        <is>
          <t>BX4700.T5 B37 1950</t>
        </is>
      </c>
      <c r="C2194" t="inlineStr">
        <is>
          <t>0                      BX 4700000T  5                  B  37          1950</t>
        </is>
      </c>
      <c r="D2194" t="inlineStr">
        <is>
          <t>Storm of glory : St. Thérèse of Lisieux / by John Beevers.</t>
        </is>
      </c>
      <c r="F2194" t="inlineStr">
        <is>
          <t>No</t>
        </is>
      </c>
      <c r="G2194" t="inlineStr">
        <is>
          <t>1</t>
        </is>
      </c>
      <c r="H2194" t="inlineStr">
        <is>
          <t>No</t>
        </is>
      </c>
      <c r="I2194" t="inlineStr">
        <is>
          <t>No</t>
        </is>
      </c>
      <c r="J2194" t="inlineStr">
        <is>
          <t>0</t>
        </is>
      </c>
      <c r="K2194" t="inlineStr">
        <is>
          <t>Beevers, John, 1911-1975.</t>
        </is>
      </c>
      <c r="L2194" t="inlineStr">
        <is>
          <t>New York : Sheed &amp; Ward, 1950.</t>
        </is>
      </c>
      <c r="M2194" t="inlineStr">
        <is>
          <t>1950</t>
        </is>
      </c>
      <c r="O2194" t="inlineStr">
        <is>
          <t>eng</t>
        </is>
      </c>
      <c r="P2194" t="inlineStr">
        <is>
          <t xml:space="preserve">xx </t>
        </is>
      </c>
      <c r="R2194" t="inlineStr">
        <is>
          <t xml:space="preserve">BX </t>
        </is>
      </c>
      <c r="S2194" t="n">
        <v>2</v>
      </c>
      <c r="T2194" t="n">
        <v>2</v>
      </c>
      <c r="U2194" t="inlineStr">
        <is>
          <t>1993-07-14</t>
        </is>
      </c>
      <c r="V2194" t="inlineStr">
        <is>
          <t>1993-07-14</t>
        </is>
      </c>
      <c r="W2194" t="inlineStr">
        <is>
          <t>1991-12-05</t>
        </is>
      </c>
      <c r="X2194" t="inlineStr">
        <is>
          <t>1991-12-05</t>
        </is>
      </c>
      <c r="Y2194" t="n">
        <v>121</v>
      </c>
      <c r="Z2194" t="n">
        <v>110</v>
      </c>
      <c r="AA2194" t="n">
        <v>245</v>
      </c>
      <c r="AB2194" t="n">
        <v>2</v>
      </c>
      <c r="AC2194" t="n">
        <v>3</v>
      </c>
      <c r="AD2194" t="n">
        <v>17</v>
      </c>
      <c r="AE2194" t="n">
        <v>29</v>
      </c>
      <c r="AF2194" t="n">
        <v>3</v>
      </c>
      <c r="AG2194" t="n">
        <v>8</v>
      </c>
      <c r="AH2194" t="n">
        <v>5</v>
      </c>
      <c r="AI2194" t="n">
        <v>6</v>
      </c>
      <c r="AJ2194" t="n">
        <v>14</v>
      </c>
      <c r="AK2194" t="n">
        <v>23</v>
      </c>
      <c r="AL2194" t="n">
        <v>1</v>
      </c>
      <c r="AM2194" t="n">
        <v>1</v>
      </c>
      <c r="AN2194" t="n">
        <v>0</v>
      </c>
      <c r="AO2194" t="n">
        <v>0</v>
      </c>
      <c r="AP2194" t="inlineStr">
        <is>
          <t>No</t>
        </is>
      </c>
      <c r="AQ2194" t="inlineStr">
        <is>
          <t>No</t>
        </is>
      </c>
      <c r="AS2194">
        <f>HYPERLINK("https://creighton-primo.hosted.exlibrisgroup.com/primo-explore/search?tab=default_tab&amp;search_scope=EVERYTHING&amp;vid=01CRU&amp;lang=en_US&amp;offset=0&amp;query=any,contains,991004387799702656","Catalog Record")</f>
        <v/>
      </c>
      <c r="AT2194">
        <f>HYPERLINK("http://www.worldcat.org/oclc/3247593","WorldCat Record")</f>
        <v/>
      </c>
      <c r="AU2194" t="inlineStr">
        <is>
          <t>255594730:eng</t>
        </is>
      </c>
      <c r="AV2194" t="inlineStr">
        <is>
          <t>3247593</t>
        </is>
      </c>
      <c r="AW2194" t="inlineStr">
        <is>
          <t>991004387799702656</t>
        </is>
      </c>
      <c r="AX2194" t="inlineStr">
        <is>
          <t>991004387799702656</t>
        </is>
      </c>
      <c r="AY2194" t="inlineStr">
        <is>
          <t>2270830750002656</t>
        </is>
      </c>
      <c r="AZ2194" t="inlineStr">
        <is>
          <t>BOOK</t>
        </is>
      </c>
      <c r="BC2194" t="inlineStr">
        <is>
          <t>32285000871706</t>
        </is>
      </c>
      <c r="BD2194" t="inlineStr">
        <is>
          <t>893700172</t>
        </is>
      </c>
    </row>
    <row r="2195">
      <c r="A2195" t="inlineStr">
        <is>
          <t>No</t>
        </is>
      </c>
      <c r="B2195" t="inlineStr">
        <is>
          <t>BX4700.T5 B8 1952</t>
        </is>
      </c>
      <c r="C2195" t="inlineStr">
        <is>
          <t>0                      BX 4700000T  5                  B  8           1952</t>
        </is>
      </c>
      <c r="D2195" t="inlineStr">
        <is>
          <t>Louis Martin's daughter / James E. Bulger.</t>
        </is>
      </c>
      <c r="F2195" t="inlineStr">
        <is>
          <t>No</t>
        </is>
      </c>
      <c r="G2195" t="inlineStr">
        <is>
          <t>1</t>
        </is>
      </c>
      <c r="H2195" t="inlineStr">
        <is>
          <t>No</t>
        </is>
      </c>
      <c r="I2195" t="inlineStr">
        <is>
          <t>No</t>
        </is>
      </c>
      <c r="J2195" t="inlineStr">
        <is>
          <t>0</t>
        </is>
      </c>
      <c r="K2195" t="inlineStr">
        <is>
          <t>Bulger, James E., 1889-</t>
        </is>
      </c>
      <c r="L2195" t="inlineStr">
        <is>
          <t>Milwaukee : Bruce Pub. Co., [1952]</t>
        </is>
      </c>
      <c r="M2195" t="inlineStr">
        <is>
          <t>1952</t>
        </is>
      </c>
      <c r="O2195" t="inlineStr">
        <is>
          <t>eng</t>
        </is>
      </c>
      <c r="P2195" t="inlineStr">
        <is>
          <t xml:space="preserve">xx </t>
        </is>
      </c>
      <c r="R2195" t="inlineStr">
        <is>
          <t xml:space="preserve">BX </t>
        </is>
      </c>
      <c r="S2195" t="n">
        <v>3</v>
      </c>
      <c r="T2195" t="n">
        <v>3</v>
      </c>
      <c r="U2195" t="inlineStr">
        <is>
          <t>1997-06-17</t>
        </is>
      </c>
      <c r="V2195" t="inlineStr">
        <is>
          <t>1997-06-17</t>
        </is>
      </c>
      <c r="W2195" t="inlineStr">
        <is>
          <t>1991-12-05</t>
        </is>
      </c>
      <c r="X2195" t="inlineStr">
        <is>
          <t>1991-12-05</t>
        </is>
      </c>
      <c r="Y2195" t="n">
        <v>52</v>
      </c>
      <c r="Z2195" t="n">
        <v>50</v>
      </c>
      <c r="AA2195" t="n">
        <v>50</v>
      </c>
      <c r="AB2195" t="n">
        <v>2</v>
      </c>
      <c r="AC2195" t="n">
        <v>2</v>
      </c>
      <c r="AD2195" t="n">
        <v>13</v>
      </c>
      <c r="AE2195" t="n">
        <v>13</v>
      </c>
      <c r="AF2195" t="n">
        <v>4</v>
      </c>
      <c r="AG2195" t="n">
        <v>4</v>
      </c>
      <c r="AH2195" t="n">
        <v>4</v>
      </c>
      <c r="AI2195" t="n">
        <v>4</v>
      </c>
      <c r="AJ2195" t="n">
        <v>8</v>
      </c>
      <c r="AK2195" t="n">
        <v>8</v>
      </c>
      <c r="AL2195" t="n">
        <v>0</v>
      </c>
      <c r="AM2195" t="n">
        <v>0</v>
      </c>
      <c r="AN2195" t="n">
        <v>0</v>
      </c>
      <c r="AO2195" t="n">
        <v>0</v>
      </c>
      <c r="AP2195" t="inlineStr">
        <is>
          <t>No</t>
        </is>
      </c>
      <c r="AQ2195" t="inlineStr">
        <is>
          <t>No</t>
        </is>
      </c>
      <c r="AS2195">
        <f>HYPERLINK("https://creighton-primo.hosted.exlibrisgroup.com/primo-explore/search?tab=default_tab&amp;search_scope=EVERYTHING&amp;vid=01CRU&amp;lang=en_US&amp;offset=0&amp;query=any,contains,991004387779702656","Catalog Record")</f>
        <v/>
      </c>
      <c r="AT2195">
        <f>HYPERLINK("http://www.worldcat.org/oclc/3247560","WorldCat Record")</f>
        <v/>
      </c>
      <c r="AU2195" t="inlineStr">
        <is>
          <t>9628258:eng</t>
        </is>
      </c>
      <c r="AV2195" t="inlineStr">
        <is>
          <t>3247560</t>
        </is>
      </c>
      <c r="AW2195" t="inlineStr">
        <is>
          <t>991004387779702656</t>
        </is>
      </c>
      <c r="AX2195" t="inlineStr">
        <is>
          <t>991004387779702656</t>
        </is>
      </c>
      <c r="AY2195" t="inlineStr">
        <is>
          <t>2270835990002656</t>
        </is>
      </c>
      <c r="AZ2195" t="inlineStr">
        <is>
          <t>BOOK</t>
        </is>
      </c>
      <c r="BC2195" t="inlineStr">
        <is>
          <t>32285000871714</t>
        </is>
      </c>
      <c r="BD2195" t="inlineStr">
        <is>
          <t>893417557</t>
        </is>
      </c>
    </row>
    <row r="2196">
      <c r="A2196" t="inlineStr">
        <is>
          <t>No</t>
        </is>
      </c>
      <c r="B2196" t="inlineStr">
        <is>
          <t>BX4700.T5 C65 1955</t>
        </is>
      </c>
      <c r="C2196" t="inlineStr">
        <is>
          <t>0                      BX 4700000T  5                  C  65          1955</t>
        </is>
      </c>
      <c r="D2196" t="inlineStr">
        <is>
          <t>Saint Thérèse and her mission : the basic principles of Theresian spirituality / by Abbé André Combes. Translated by Alastair Guinan.</t>
        </is>
      </c>
      <c r="F2196" t="inlineStr">
        <is>
          <t>No</t>
        </is>
      </c>
      <c r="G2196" t="inlineStr">
        <is>
          <t>1</t>
        </is>
      </c>
      <c r="H2196" t="inlineStr">
        <is>
          <t>No</t>
        </is>
      </c>
      <c r="I2196" t="inlineStr">
        <is>
          <t>No</t>
        </is>
      </c>
      <c r="J2196" t="inlineStr">
        <is>
          <t>0</t>
        </is>
      </c>
      <c r="K2196" t="inlineStr">
        <is>
          <t>Combes, André, 1899-1969.</t>
        </is>
      </c>
      <c r="L2196" t="inlineStr">
        <is>
          <t>New York : P. J. Kennedy &amp; Sons, [c.1955]</t>
        </is>
      </c>
      <c r="M2196" t="inlineStr">
        <is>
          <t>1955</t>
        </is>
      </c>
      <c r="O2196" t="inlineStr">
        <is>
          <t>eng</t>
        </is>
      </c>
      <c r="P2196" t="inlineStr">
        <is>
          <t>___</t>
        </is>
      </c>
      <c r="R2196" t="inlineStr">
        <is>
          <t xml:space="preserve">BX </t>
        </is>
      </c>
      <c r="S2196" t="n">
        <v>8</v>
      </c>
      <c r="T2196" t="n">
        <v>8</v>
      </c>
      <c r="U2196" t="inlineStr">
        <is>
          <t>1999-07-12</t>
        </is>
      </c>
      <c r="V2196" t="inlineStr">
        <is>
          <t>1999-07-12</t>
        </is>
      </c>
      <c r="W2196" t="inlineStr">
        <is>
          <t>1991-12-05</t>
        </is>
      </c>
      <c r="X2196" t="inlineStr">
        <is>
          <t>1991-12-05</t>
        </is>
      </c>
      <c r="Y2196" t="n">
        <v>136</v>
      </c>
      <c r="Z2196" t="n">
        <v>131</v>
      </c>
      <c r="AA2196" t="n">
        <v>145</v>
      </c>
      <c r="AB2196" t="n">
        <v>3</v>
      </c>
      <c r="AC2196" t="n">
        <v>3</v>
      </c>
      <c r="AD2196" t="n">
        <v>16</v>
      </c>
      <c r="AE2196" t="n">
        <v>18</v>
      </c>
      <c r="AF2196" t="n">
        <v>3</v>
      </c>
      <c r="AG2196" t="n">
        <v>4</v>
      </c>
      <c r="AH2196" t="n">
        <v>2</v>
      </c>
      <c r="AI2196" t="n">
        <v>2</v>
      </c>
      <c r="AJ2196" t="n">
        <v>14</v>
      </c>
      <c r="AK2196" t="n">
        <v>16</v>
      </c>
      <c r="AL2196" t="n">
        <v>0</v>
      </c>
      <c r="AM2196" t="n">
        <v>0</v>
      </c>
      <c r="AN2196" t="n">
        <v>0</v>
      </c>
      <c r="AO2196" t="n">
        <v>0</v>
      </c>
      <c r="AP2196" t="inlineStr">
        <is>
          <t>No</t>
        </is>
      </c>
      <c r="AQ2196" t="inlineStr">
        <is>
          <t>No</t>
        </is>
      </c>
      <c r="AS2196">
        <f>HYPERLINK("https://creighton-primo.hosted.exlibrisgroup.com/primo-explore/search?tab=default_tab&amp;search_scope=EVERYTHING&amp;vid=01CRU&amp;lang=en_US&amp;offset=0&amp;query=any,contains,991003173419702656","Catalog Record")</f>
        <v/>
      </c>
      <c r="AT2196">
        <f>HYPERLINK("http://www.worldcat.org/oclc/29303318","WorldCat Record")</f>
        <v/>
      </c>
      <c r="AU2196" t="inlineStr">
        <is>
          <t>429597650:eng</t>
        </is>
      </c>
      <c r="AV2196" t="inlineStr">
        <is>
          <t>29303318</t>
        </is>
      </c>
      <c r="AW2196" t="inlineStr">
        <is>
          <t>991003173419702656</t>
        </is>
      </c>
      <c r="AX2196" t="inlineStr">
        <is>
          <t>991003173419702656</t>
        </is>
      </c>
      <c r="AY2196" t="inlineStr">
        <is>
          <t>2269281450002656</t>
        </is>
      </c>
      <c r="AZ2196" t="inlineStr">
        <is>
          <t>BOOK</t>
        </is>
      </c>
      <c r="BC2196" t="inlineStr">
        <is>
          <t>32285000871722</t>
        </is>
      </c>
      <c r="BD2196" t="inlineStr">
        <is>
          <t>893233890</t>
        </is>
      </c>
    </row>
    <row r="2197">
      <c r="A2197" t="inlineStr">
        <is>
          <t>No</t>
        </is>
      </c>
      <c r="B2197" t="inlineStr">
        <is>
          <t>BX4700.T5 C9 1914</t>
        </is>
      </c>
      <c r="C2197" t="inlineStr">
        <is>
          <t>0                      BX 4700000T  5                  C  9           1914</t>
        </is>
      </c>
      <c r="D2197" t="inlineStr">
        <is>
          <t>The unfolding of the Little Flower ; a study of the life and spiritual development of the servant of God, sister Theresa of the Child Jesus, professed religious of the Carmel of Lisieux / William M. Cunningham ; with a preface by His Eminence Frances Aidan Cardinal Gasquet.</t>
        </is>
      </c>
      <c r="F2197" t="inlineStr">
        <is>
          <t>No</t>
        </is>
      </c>
      <c r="G2197" t="inlineStr">
        <is>
          <t>1</t>
        </is>
      </c>
      <c r="H2197" t="inlineStr">
        <is>
          <t>No</t>
        </is>
      </c>
      <c r="I2197" t="inlineStr">
        <is>
          <t>No</t>
        </is>
      </c>
      <c r="J2197" t="inlineStr">
        <is>
          <t>0</t>
        </is>
      </c>
      <c r="K2197" t="inlineStr">
        <is>
          <t>Cunningham, William M., 1862-</t>
        </is>
      </c>
      <c r="L2197" t="inlineStr">
        <is>
          <t>London : Kingscote Press ; New York : Kenedy, 1914.</t>
        </is>
      </c>
      <c r="M2197" t="inlineStr">
        <is>
          <t>1914</t>
        </is>
      </c>
      <c r="N2197" t="inlineStr">
        <is>
          <t>2d ed.</t>
        </is>
      </c>
      <c r="O2197" t="inlineStr">
        <is>
          <t>eng</t>
        </is>
      </c>
      <c r="P2197" t="inlineStr">
        <is>
          <t>xxk</t>
        </is>
      </c>
      <c r="Q2197" t="inlineStr">
        <is>
          <t>Sanctity in our own days series</t>
        </is>
      </c>
      <c r="R2197" t="inlineStr">
        <is>
          <t xml:space="preserve">BX </t>
        </is>
      </c>
      <c r="S2197" t="n">
        <v>4</v>
      </c>
      <c r="T2197" t="n">
        <v>4</v>
      </c>
      <c r="U2197" t="inlineStr">
        <is>
          <t>1997-06-25</t>
        </is>
      </c>
      <c r="V2197" t="inlineStr">
        <is>
          <t>1997-06-25</t>
        </is>
      </c>
      <c r="W2197" t="inlineStr">
        <is>
          <t>1990-02-22</t>
        </is>
      </c>
      <c r="X2197" t="inlineStr">
        <is>
          <t>1990-02-22</t>
        </is>
      </c>
      <c r="Y2197" t="n">
        <v>32</v>
      </c>
      <c r="Z2197" t="n">
        <v>30</v>
      </c>
      <c r="AA2197" t="n">
        <v>35</v>
      </c>
      <c r="AB2197" t="n">
        <v>1</v>
      </c>
      <c r="AC2197" t="n">
        <v>1</v>
      </c>
      <c r="AD2197" t="n">
        <v>6</v>
      </c>
      <c r="AE2197" t="n">
        <v>7</v>
      </c>
      <c r="AF2197" t="n">
        <v>1</v>
      </c>
      <c r="AG2197" t="n">
        <v>1</v>
      </c>
      <c r="AH2197" t="n">
        <v>0</v>
      </c>
      <c r="AI2197" t="n">
        <v>0</v>
      </c>
      <c r="AJ2197" t="n">
        <v>5</v>
      </c>
      <c r="AK2197" t="n">
        <v>6</v>
      </c>
      <c r="AL2197" t="n">
        <v>0</v>
      </c>
      <c r="AM2197" t="n">
        <v>0</v>
      </c>
      <c r="AN2197" t="n">
        <v>0</v>
      </c>
      <c r="AO2197" t="n">
        <v>0</v>
      </c>
      <c r="AP2197" t="inlineStr">
        <is>
          <t>No</t>
        </is>
      </c>
      <c r="AQ2197" t="inlineStr">
        <is>
          <t>No</t>
        </is>
      </c>
      <c r="AS2197">
        <f>HYPERLINK("https://creighton-primo.hosted.exlibrisgroup.com/primo-explore/search?tab=default_tab&amp;search_scope=EVERYTHING&amp;vid=01CRU&amp;lang=en_US&amp;offset=0&amp;query=any,contains,991004537709702656","Catalog Record")</f>
        <v/>
      </c>
      <c r="AT2197">
        <f>HYPERLINK("http://www.worldcat.org/oclc/3875806","WorldCat Record")</f>
        <v/>
      </c>
      <c r="AU2197" t="inlineStr">
        <is>
          <t>12973719:eng</t>
        </is>
      </c>
      <c r="AV2197" t="inlineStr">
        <is>
          <t>3875806</t>
        </is>
      </c>
      <c r="AW2197" t="inlineStr">
        <is>
          <t>991004537709702656</t>
        </is>
      </c>
      <c r="AX2197" t="inlineStr">
        <is>
          <t>991004537709702656</t>
        </is>
      </c>
      <c r="AY2197" t="inlineStr">
        <is>
          <t>2269480530002656</t>
        </is>
      </c>
      <c r="AZ2197" t="inlineStr">
        <is>
          <t>BOOK</t>
        </is>
      </c>
      <c r="BC2197" t="inlineStr">
        <is>
          <t>32285000058809</t>
        </is>
      </c>
      <c r="BD2197" t="inlineStr">
        <is>
          <t>893901342</t>
        </is>
      </c>
    </row>
    <row r="2198">
      <c r="A2198" t="inlineStr">
        <is>
          <t>No</t>
        </is>
      </c>
      <c r="B2198" t="inlineStr">
        <is>
          <t>BX4700.T5 D27 1936</t>
        </is>
      </c>
      <c r="C2198" t="inlineStr">
        <is>
          <t>0                      BX 4700000T  5                  D  27          1936</t>
        </is>
      </c>
      <c r="D2198" t="inlineStr">
        <is>
          <t>A saint of today : Teresian pastels / by Joseph J. Daley.</t>
        </is>
      </c>
      <c r="F2198" t="inlineStr">
        <is>
          <t>No</t>
        </is>
      </c>
      <c r="G2198" t="inlineStr">
        <is>
          <t>1</t>
        </is>
      </c>
      <c r="H2198" t="inlineStr">
        <is>
          <t>No</t>
        </is>
      </c>
      <c r="I2198" t="inlineStr">
        <is>
          <t>No</t>
        </is>
      </c>
      <c r="J2198" t="inlineStr">
        <is>
          <t>0</t>
        </is>
      </c>
      <c r="K2198" t="inlineStr">
        <is>
          <t>Daley, Joseph J. (Joseph John), 1875-</t>
        </is>
      </c>
      <c r="L2198" t="inlineStr">
        <is>
          <t>New York : The Devin-Adair Company, [c1936]</t>
        </is>
      </c>
      <c r="M2198" t="inlineStr">
        <is>
          <t>1936</t>
        </is>
      </c>
      <c r="O2198" t="inlineStr">
        <is>
          <t>eng</t>
        </is>
      </c>
      <c r="P2198" t="inlineStr">
        <is>
          <t>nyu</t>
        </is>
      </c>
      <c r="R2198" t="inlineStr">
        <is>
          <t xml:space="preserve">BX </t>
        </is>
      </c>
      <c r="S2198" t="n">
        <v>4</v>
      </c>
      <c r="T2198" t="n">
        <v>4</v>
      </c>
      <c r="U2198" t="inlineStr">
        <is>
          <t>1997-06-25</t>
        </is>
      </c>
      <c r="V2198" t="inlineStr">
        <is>
          <t>1997-06-25</t>
        </is>
      </c>
      <c r="W2198" t="inlineStr">
        <is>
          <t>1991-12-05</t>
        </is>
      </c>
      <c r="X2198" t="inlineStr">
        <is>
          <t>1991-12-05</t>
        </is>
      </c>
      <c r="Y2198" t="n">
        <v>66</v>
      </c>
      <c r="Z2198" t="n">
        <v>59</v>
      </c>
      <c r="AA2198" t="n">
        <v>64</v>
      </c>
      <c r="AB2198" t="n">
        <v>1</v>
      </c>
      <c r="AC2198" t="n">
        <v>1</v>
      </c>
      <c r="AD2198" t="n">
        <v>14</v>
      </c>
      <c r="AE2198" t="n">
        <v>14</v>
      </c>
      <c r="AF2198" t="n">
        <v>1</v>
      </c>
      <c r="AG2198" t="n">
        <v>1</v>
      </c>
      <c r="AH2198" t="n">
        <v>5</v>
      </c>
      <c r="AI2198" t="n">
        <v>5</v>
      </c>
      <c r="AJ2198" t="n">
        <v>11</v>
      </c>
      <c r="AK2198" t="n">
        <v>11</v>
      </c>
      <c r="AL2198" t="n">
        <v>0</v>
      </c>
      <c r="AM2198" t="n">
        <v>0</v>
      </c>
      <c r="AN2198" t="n">
        <v>0</v>
      </c>
      <c r="AO2198" t="n">
        <v>0</v>
      </c>
      <c r="AP2198" t="inlineStr">
        <is>
          <t>No</t>
        </is>
      </c>
      <c r="AQ2198" t="inlineStr">
        <is>
          <t>No</t>
        </is>
      </c>
      <c r="AS2198">
        <f>HYPERLINK("https://creighton-primo.hosted.exlibrisgroup.com/primo-explore/search?tab=default_tab&amp;search_scope=EVERYTHING&amp;vid=01CRU&amp;lang=en_US&amp;offset=0&amp;query=any,contains,991004164559702656","Catalog Record")</f>
        <v/>
      </c>
      <c r="AT2198">
        <f>HYPERLINK("http://www.worldcat.org/oclc/2562653","WorldCat Record")</f>
        <v/>
      </c>
      <c r="AU2198" t="inlineStr">
        <is>
          <t>5273173:eng</t>
        </is>
      </c>
      <c r="AV2198" t="inlineStr">
        <is>
          <t>2562653</t>
        </is>
      </c>
      <c r="AW2198" t="inlineStr">
        <is>
          <t>991004164559702656</t>
        </is>
      </c>
      <c r="AX2198" t="inlineStr">
        <is>
          <t>991004164559702656</t>
        </is>
      </c>
      <c r="AY2198" t="inlineStr">
        <is>
          <t>2259488250002656</t>
        </is>
      </c>
      <c r="AZ2198" t="inlineStr">
        <is>
          <t>BOOK</t>
        </is>
      </c>
      <c r="BC2198" t="inlineStr">
        <is>
          <t>32285000871748</t>
        </is>
      </c>
      <c r="BD2198" t="inlineStr">
        <is>
          <t>893247232</t>
        </is>
      </c>
    </row>
    <row r="2199">
      <c r="A2199" t="inlineStr">
        <is>
          <t>No</t>
        </is>
      </c>
      <c r="B2199" t="inlineStr">
        <is>
          <t>BX4700.T5 D32 1953</t>
        </is>
      </c>
      <c r="C2199" t="inlineStr">
        <is>
          <t>0                      BX 4700000T  5                  D  32          1953</t>
        </is>
      </c>
      <c r="D2199" t="inlineStr">
        <is>
          <t>Christian simplicity in St. Thérèse : the place of St. Thérèse of Lisieux in Christian spirituality / edited by Michael Day. With a foreword by Vernon Johnson.</t>
        </is>
      </c>
      <c r="F2199" t="inlineStr">
        <is>
          <t>No</t>
        </is>
      </c>
      <c r="G2199" t="inlineStr">
        <is>
          <t>1</t>
        </is>
      </c>
      <c r="H2199" t="inlineStr">
        <is>
          <t>No</t>
        </is>
      </c>
      <c r="I2199" t="inlineStr">
        <is>
          <t>No</t>
        </is>
      </c>
      <c r="J2199" t="inlineStr">
        <is>
          <t>0</t>
        </is>
      </c>
      <c r="K2199" t="inlineStr">
        <is>
          <t>Day, Michael, 1956- editor.</t>
        </is>
      </c>
      <c r="L2199" t="inlineStr">
        <is>
          <t>Westminster, Md. : Newman Press, 1953.</t>
        </is>
      </c>
      <c r="M2199" t="inlineStr">
        <is>
          <t>1953</t>
        </is>
      </c>
      <c r="O2199" t="inlineStr">
        <is>
          <t>eng</t>
        </is>
      </c>
      <c r="P2199" t="inlineStr">
        <is>
          <t>mdu</t>
        </is>
      </c>
      <c r="R2199" t="inlineStr">
        <is>
          <t xml:space="preserve">BX </t>
        </is>
      </c>
      <c r="S2199" t="n">
        <v>7</v>
      </c>
      <c r="T2199" t="n">
        <v>7</v>
      </c>
      <c r="U2199" t="inlineStr">
        <is>
          <t>2007-06-19</t>
        </is>
      </c>
      <c r="V2199" t="inlineStr">
        <is>
          <t>2007-06-19</t>
        </is>
      </c>
      <c r="W2199" t="inlineStr">
        <is>
          <t>1991-12-05</t>
        </is>
      </c>
      <c r="X2199" t="inlineStr">
        <is>
          <t>1991-12-05</t>
        </is>
      </c>
      <c r="Y2199" t="n">
        <v>60</v>
      </c>
      <c r="Z2199" t="n">
        <v>57</v>
      </c>
      <c r="AA2199" t="n">
        <v>78</v>
      </c>
      <c r="AB2199" t="n">
        <v>3</v>
      </c>
      <c r="AC2199" t="n">
        <v>3</v>
      </c>
      <c r="AD2199" t="n">
        <v>14</v>
      </c>
      <c r="AE2199" t="n">
        <v>17</v>
      </c>
      <c r="AF2199" t="n">
        <v>4</v>
      </c>
      <c r="AG2199" t="n">
        <v>6</v>
      </c>
      <c r="AH2199" t="n">
        <v>4</v>
      </c>
      <c r="AI2199" t="n">
        <v>4</v>
      </c>
      <c r="AJ2199" t="n">
        <v>9</v>
      </c>
      <c r="AK2199" t="n">
        <v>12</v>
      </c>
      <c r="AL2199" t="n">
        <v>1</v>
      </c>
      <c r="AM2199" t="n">
        <v>1</v>
      </c>
      <c r="AN2199" t="n">
        <v>0</v>
      </c>
      <c r="AO2199" t="n">
        <v>0</v>
      </c>
      <c r="AP2199" t="inlineStr">
        <is>
          <t>No</t>
        </is>
      </c>
      <c r="AQ2199" t="inlineStr">
        <is>
          <t>No</t>
        </is>
      </c>
      <c r="AS2199">
        <f>HYPERLINK("https://creighton-primo.hosted.exlibrisgroup.com/primo-explore/search?tab=default_tab&amp;search_scope=EVERYTHING&amp;vid=01CRU&amp;lang=en_US&amp;offset=0&amp;query=any,contains,991004171569702656","Catalog Record")</f>
        <v/>
      </c>
      <c r="AT2199">
        <f>HYPERLINK("http://www.worldcat.org/oclc/2582533","WorldCat Record")</f>
        <v/>
      </c>
      <c r="AU2199" t="inlineStr">
        <is>
          <t>430691562:eng</t>
        </is>
      </c>
      <c r="AV2199" t="inlineStr">
        <is>
          <t>2582533</t>
        </is>
      </c>
      <c r="AW2199" t="inlineStr">
        <is>
          <t>991004171569702656</t>
        </is>
      </c>
      <c r="AX2199" t="inlineStr">
        <is>
          <t>991004171569702656</t>
        </is>
      </c>
      <c r="AY2199" t="inlineStr">
        <is>
          <t>2260526310002656</t>
        </is>
      </c>
      <c r="AZ2199" t="inlineStr">
        <is>
          <t>BOOK</t>
        </is>
      </c>
      <c r="BC2199" t="inlineStr">
        <is>
          <t>32285000871755</t>
        </is>
      </c>
      <c r="BD2199" t="inlineStr">
        <is>
          <t>893612006</t>
        </is>
      </c>
    </row>
    <row r="2200">
      <c r="A2200" t="inlineStr">
        <is>
          <t>No</t>
        </is>
      </c>
      <c r="B2200" t="inlineStr">
        <is>
          <t>BX4700.T5 G643 1959</t>
        </is>
      </c>
      <c r="C2200" t="inlineStr">
        <is>
          <t>0                      BX 4700000T  5                  G  643         1959</t>
        </is>
      </c>
      <c r="D2200" t="inlineStr">
        <is>
          <t>The hidden face : a study of St. Thérèse of Lisieux / by Ida Friederike Görres. [Translation by Richard and Clara Winston.</t>
        </is>
      </c>
      <c r="F2200" t="inlineStr">
        <is>
          <t>No</t>
        </is>
      </c>
      <c r="G2200" t="inlineStr">
        <is>
          <t>1</t>
        </is>
      </c>
      <c r="H2200" t="inlineStr">
        <is>
          <t>No</t>
        </is>
      </c>
      <c r="I2200" t="inlineStr">
        <is>
          <t>No</t>
        </is>
      </c>
      <c r="J2200" t="inlineStr">
        <is>
          <t>0</t>
        </is>
      </c>
      <c r="K2200" t="inlineStr">
        <is>
          <t>Görres, Ida Friederike, 1901-1971.</t>
        </is>
      </c>
      <c r="L2200" t="inlineStr">
        <is>
          <t>New York] : Pantheon, [1959]</t>
        </is>
      </c>
      <c r="M2200" t="inlineStr">
        <is>
          <t>1959</t>
        </is>
      </c>
      <c r="O2200" t="inlineStr">
        <is>
          <t>eng</t>
        </is>
      </c>
      <c r="P2200" t="inlineStr">
        <is>
          <t>nyu</t>
        </is>
      </c>
      <c r="R2200" t="inlineStr">
        <is>
          <t xml:space="preserve">BX </t>
        </is>
      </c>
      <c r="S2200" t="n">
        <v>5</v>
      </c>
      <c r="T2200" t="n">
        <v>5</v>
      </c>
      <c r="U2200" t="inlineStr">
        <is>
          <t>2006-07-22</t>
        </is>
      </c>
      <c r="V2200" t="inlineStr">
        <is>
          <t>2006-07-22</t>
        </is>
      </c>
      <c r="W2200" t="inlineStr">
        <is>
          <t>1991-12-05</t>
        </is>
      </c>
      <c r="X2200" t="inlineStr">
        <is>
          <t>1991-12-05</t>
        </is>
      </c>
      <c r="Y2200" t="n">
        <v>326</v>
      </c>
      <c r="Z2200" t="n">
        <v>307</v>
      </c>
      <c r="AA2200" t="n">
        <v>376</v>
      </c>
      <c r="AB2200" t="n">
        <v>4</v>
      </c>
      <c r="AC2200" t="n">
        <v>5</v>
      </c>
      <c r="AD2200" t="n">
        <v>27</v>
      </c>
      <c r="AE2200" t="n">
        <v>31</v>
      </c>
      <c r="AF2200" t="n">
        <v>7</v>
      </c>
      <c r="AG2200" t="n">
        <v>9</v>
      </c>
      <c r="AH2200" t="n">
        <v>6</v>
      </c>
      <c r="AI2200" t="n">
        <v>7</v>
      </c>
      <c r="AJ2200" t="n">
        <v>21</v>
      </c>
      <c r="AK2200" t="n">
        <v>24</v>
      </c>
      <c r="AL2200" t="n">
        <v>1</v>
      </c>
      <c r="AM2200" t="n">
        <v>1</v>
      </c>
      <c r="AN2200" t="n">
        <v>0</v>
      </c>
      <c r="AO2200" t="n">
        <v>0</v>
      </c>
      <c r="AP2200" t="inlineStr">
        <is>
          <t>No</t>
        </is>
      </c>
      <c r="AQ2200" t="inlineStr">
        <is>
          <t>No</t>
        </is>
      </c>
      <c r="AR2200">
        <f>HYPERLINK("http://catalog.hathitrust.org/Record/101873698","HathiTrust Record")</f>
        <v/>
      </c>
      <c r="AS2200">
        <f>HYPERLINK("https://creighton-primo.hosted.exlibrisgroup.com/primo-explore/search?tab=default_tab&amp;search_scope=EVERYTHING&amp;vid=01CRU&amp;lang=en_US&amp;offset=0&amp;query=any,contains,991003705849702656","Catalog Record")</f>
        <v/>
      </c>
      <c r="AT2200">
        <f>HYPERLINK("http://www.worldcat.org/oclc/1343377","WorldCat Record")</f>
        <v/>
      </c>
      <c r="AU2200" t="inlineStr">
        <is>
          <t>3901044368:eng</t>
        </is>
      </c>
      <c r="AV2200" t="inlineStr">
        <is>
          <t>1343377</t>
        </is>
      </c>
      <c r="AW2200" t="inlineStr">
        <is>
          <t>991003705849702656</t>
        </is>
      </c>
      <c r="AX2200" t="inlineStr">
        <is>
          <t>991003705849702656</t>
        </is>
      </c>
      <c r="AY2200" t="inlineStr">
        <is>
          <t>2263738310002656</t>
        </is>
      </c>
      <c r="AZ2200" t="inlineStr">
        <is>
          <t>BOOK</t>
        </is>
      </c>
      <c r="BC2200" t="inlineStr">
        <is>
          <t>32285000871805</t>
        </is>
      </c>
      <c r="BD2200" t="inlineStr">
        <is>
          <t>893800044</t>
        </is>
      </c>
    </row>
    <row r="2201">
      <c r="A2201" t="inlineStr">
        <is>
          <t>No</t>
        </is>
      </c>
      <c r="B2201" t="inlineStr">
        <is>
          <t>BX4700.T5 K4 1950</t>
        </is>
      </c>
      <c r="C2201" t="inlineStr">
        <is>
          <t>0                      BX 4700000T  5                  K  4           1950</t>
        </is>
      </c>
      <c r="D2201" t="inlineStr">
        <is>
          <t>Therese, saint of a little way / by Francis Parkinson Keyes.</t>
        </is>
      </c>
      <c r="F2201" t="inlineStr">
        <is>
          <t>No</t>
        </is>
      </c>
      <c r="G2201" t="inlineStr">
        <is>
          <t>1</t>
        </is>
      </c>
      <c r="H2201" t="inlineStr">
        <is>
          <t>No</t>
        </is>
      </c>
      <c r="I2201" t="inlineStr">
        <is>
          <t>No</t>
        </is>
      </c>
      <c r="J2201" t="inlineStr">
        <is>
          <t>0</t>
        </is>
      </c>
      <c r="K2201" t="inlineStr">
        <is>
          <t>Keyes, Frances Parkinson, 1885-1970.</t>
        </is>
      </c>
      <c r="L2201" t="inlineStr">
        <is>
          <t>New York : Messner, [1950]</t>
        </is>
      </c>
      <c r="M2201" t="inlineStr">
        <is>
          <t>1950</t>
        </is>
      </c>
      <c r="O2201" t="inlineStr">
        <is>
          <t>eng</t>
        </is>
      </c>
      <c r="P2201" t="inlineStr">
        <is>
          <t>nyu</t>
        </is>
      </c>
      <c r="R2201" t="inlineStr">
        <is>
          <t xml:space="preserve">BX </t>
        </is>
      </c>
      <c r="S2201" t="n">
        <v>6</v>
      </c>
      <c r="T2201" t="n">
        <v>6</v>
      </c>
      <c r="U2201" t="inlineStr">
        <is>
          <t>2004-06-28</t>
        </is>
      </c>
      <c r="V2201" t="inlineStr">
        <is>
          <t>2004-06-28</t>
        </is>
      </c>
      <c r="W2201" t="inlineStr">
        <is>
          <t>1991-12-05</t>
        </is>
      </c>
      <c r="X2201" t="inlineStr">
        <is>
          <t>1991-12-05</t>
        </is>
      </c>
      <c r="Y2201" t="n">
        <v>432</v>
      </c>
      <c r="Z2201" t="n">
        <v>417</v>
      </c>
      <c r="AA2201" t="n">
        <v>496</v>
      </c>
      <c r="AB2201" t="n">
        <v>5</v>
      </c>
      <c r="AC2201" t="n">
        <v>5</v>
      </c>
      <c r="AD2201" t="n">
        <v>25</v>
      </c>
      <c r="AE2201" t="n">
        <v>25</v>
      </c>
      <c r="AF2201" t="n">
        <v>7</v>
      </c>
      <c r="AG2201" t="n">
        <v>7</v>
      </c>
      <c r="AH2201" t="n">
        <v>8</v>
      </c>
      <c r="AI2201" t="n">
        <v>8</v>
      </c>
      <c r="AJ2201" t="n">
        <v>18</v>
      </c>
      <c r="AK2201" t="n">
        <v>18</v>
      </c>
      <c r="AL2201" t="n">
        <v>0</v>
      </c>
      <c r="AM2201" t="n">
        <v>0</v>
      </c>
      <c r="AN2201" t="n">
        <v>0</v>
      </c>
      <c r="AO2201" t="n">
        <v>0</v>
      </c>
      <c r="AP2201" t="inlineStr">
        <is>
          <t>No</t>
        </is>
      </c>
      <c r="AQ2201" t="inlineStr">
        <is>
          <t>Yes</t>
        </is>
      </c>
      <c r="AR2201">
        <f>HYPERLINK("http://catalog.hathitrust.org/Record/001591760","HathiTrust Record")</f>
        <v/>
      </c>
      <c r="AS2201">
        <f>HYPERLINK("https://creighton-primo.hosted.exlibrisgroup.com/primo-explore/search?tab=default_tab&amp;search_scope=EVERYTHING&amp;vid=01CRU&amp;lang=en_US&amp;offset=0&amp;query=any,contains,991003707229702656","Catalog Record")</f>
        <v/>
      </c>
      <c r="AT2201">
        <f>HYPERLINK("http://www.worldcat.org/oclc/1345068","WorldCat Record")</f>
        <v/>
      </c>
      <c r="AU2201" t="inlineStr">
        <is>
          <t>2239508:eng</t>
        </is>
      </c>
      <c r="AV2201" t="inlineStr">
        <is>
          <t>1345068</t>
        </is>
      </c>
      <c r="AW2201" t="inlineStr">
        <is>
          <t>991003707229702656</t>
        </is>
      </c>
      <c r="AX2201" t="inlineStr">
        <is>
          <t>991003707229702656</t>
        </is>
      </c>
      <c r="AY2201" t="inlineStr">
        <is>
          <t>2260179100002656</t>
        </is>
      </c>
      <c r="AZ2201" t="inlineStr">
        <is>
          <t>BOOK</t>
        </is>
      </c>
      <c r="BC2201" t="inlineStr">
        <is>
          <t>32285000871821</t>
        </is>
      </c>
      <c r="BD2201" t="inlineStr">
        <is>
          <t>893416694</t>
        </is>
      </c>
    </row>
    <row r="2202">
      <c r="A2202" t="inlineStr">
        <is>
          <t>No</t>
        </is>
      </c>
      <c r="B2202" t="inlineStr">
        <is>
          <t>BX4700.T5 L3 1928</t>
        </is>
      </c>
      <c r="C2202" t="inlineStr">
        <is>
          <t>0                      BX 4700000T  5                  L  3           1928</t>
        </is>
      </c>
      <c r="D2202" t="inlineStr">
        <is>
          <t>St. Thérèse de l'Enfant Jésus, 1873-1897 / according to the official documents of the Carmel of Lisieux, by Mgr. Laveille, trans. by Rev. M. Fitzsimons.</t>
        </is>
      </c>
      <c r="F2202" t="inlineStr">
        <is>
          <t>No</t>
        </is>
      </c>
      <c r="G2202" t="inlineStr">
        <is>
          <t>1</t>
        </is>
      </c>
      <c r="H2202" t="inlineStr">
        <is>
          <t>No</t>
        </is>
      </c>
      <c r="I2202" t="inlineStr">
        <is>
          <t>No</t>
        </is>
      </c>
      <c r="J2202" t="inlineStr">
        <is>
          <t>0</t>
        </is>
      </c>
      <c r="K2202" t="inlineStr">
        <is>
          <t>Laveille, Mgr.</t>
        </is>
      </c>
      <c r="L2202" t="inlineStr">
        <is>
          <t>New York : Benziger Brothers, 1928.</t>
        </is>
      </c>
      <c r="M2202" t="inlineStr">
        <is>
          <t>1928</t>
        </is>
      </c>
      <c r="O2202" t="inlineStr">
        <is>
          <t>eng</t>
        </is>
      </c>
      <c r="P2202" t="inlineStr">
        <is>
          <t xml:space="preserve">xx </t>
        </is>
      </c>
      <c r="R2202" t="inlineStr">
        <is>
          <t xml:space="preserve">BX </t>
        </is>
      </c>
      <c r="S2202" t="n">
        <v>2</v>
      </c>
      <c r="T2202" t="n">
        <v>2</v>
      </c>
      <c r="U2202" t="inlineStr">
        <is>
          <t>2001-08-27</t>
        </is>
      </c>
      <c r="V2202" t="inlineStr">
        <is>
          <t>2001-08-27</t>
        </is>
      </c>
      <c r="W2202" t="inlineStr">
        <is>
          <t>1991-12-05</t>
        </is>
      </c>
      <c r="X2202" t="inlineStr">
        <is>
          <t>1991-12-05</t>
        </is>
      </c>
      <c r="Y2202" t="n">
        <v>17</v>
      </c>
      <c r="Z2202" t="n">
        <v>17</v>
      </c>
      <c r="AA2202" t="n">
        <v>58</v>
      </c>
      <c r="AB2202" t="n">
        <v>1</v>
      </c>
      <c r="AC2202" t="n">
        <v>1</v>
      </c>
      <c r="AD2202" t="n">
        <v>4</v>
      </c>
      <c r="AE2202" t="n">
        <v>11</v>
      </c>
      <c r="AF2202" t="n">
        <v>0</v>
      </c>
      <c r="AG2202" t="n">
        <v>3</v>
      </c>
      <c r="AH2202" t="n">
        <v>2</v>
      </c>
      <c r="AI2202" t="n">
        <v>3</v>
      </c>
      <c r="AJ2202" t="n">
        <v>2</v>
      </c>
      <c r="AK2202" t="n">
        <v>6</v>
      </c>
      <c r="AL2202" t="n">
        <v>0</v>
      </c>
      <c r="AM2202" t="n">
        <v>0</v>
      </c>
      <c r="AN2202" t="n">
        <v>0</v>
      </c>
      <c r="AO2202" t="n">
        <v>0</v>
      </c>
      <c r="AP2202" t="inlineStr">
        <is>
          <t>No</t>
        </is>
      </c>
      <c r="AQ2202" t="inlineStr">
        <is>
          <t>No</t>
        </is>
      </c>
      <c r="AS2202">
        <f>HYPERLINK("https://creighton-primo.hosted.exlibrisgroup.com/primo-explore/search?tab=default_tab&amp;search_scope=EVERYTHING&amp;vid=01CRU&amp;lang=en_US&amp;offset=0&amp;query=any,contains,991004440839702656","Catalog Record")</f>
        <v/>
      </c>
      <c r="AT2202">
        <f>HYPERLINK("http://www.worldcat.org/oclc/3461096","WorldCat Record")</f>
        <v/>
      </c>
      <c r="AU2202" t="inlineStr">
        <is>
          <t>13465026:eng</t>
        </is>
      </c>
      <c r="AV2202" t="inlineStr">
        <is>
          <t>3461096</t>
        </is>
      </c>
      <c r="AW2202" t="inlineStr">
        <is>
          <t>991004440839702656</t>
        </is>
      </c>
      <c r="AX2202" t="inlineStr">
        <is>
          <t>991004440839702656</t>
        </is>
      </c>
      <c r="AY2202" t="inlineStr">
        <is>
          <t>2271155070002656</t>
        </is>
      </c>
      <c r="AZ2202" t="inlineStr">
        <is>
          <t>BOOK</t>
        </is>
      </c>
      <c r="BC2202" t="inlineStr">
        <is>
          <t>32285000871839</t>
        </is>
      </c>
      <c r="BD2202" t="inlineStr">
        <is>
          <t>893712602</t>
        </is>
      </c>
    </row>
    <row r="2203">
      <c r="A2203" t="inlineStr">
        <is>
          <t>No</t>
        </is>
      </c>
      <c r="B2203" t="inlineStr">
        <is>
          <t>BX4700.T5 R63 1961</t>
        </is>
      </c>
      <c r="C2203" t="inlineStr">
        <is>
          <t>0                      BX 4700000T  5                  R  63          1961</t>
        </is>
      </c>
      <c r="D2203" t="inlineStr">
        <is>
          <t>The search for Saint Thérèse / Peter-Thomas Rohrbach.</t>
        </is>
      </c>
      <c r="F2203" t="inlineStr">
        <is>
          <t>No</t>
        </is>
      </c>
      <c r="G2203" t="inlineStr">
        <is>
          <t>1</t>
        </is>
      </c>
      <c r="H2203" t="inlineStr">
        <is>
          <t>No</t>
        </is>
      </c>
      <c r="I2203" t="inlineStr">
        <is>
          <t>No</t>
        </is>
      </c>
      <c r="J2203" t="inlineStr">
        <is>
          <t>0</t>
        </is>
      </c>
      <c r="K2203" t="inlineStr">
        <is>
          <t>Rohrbach, Peter-Thomas.</t>
        </is>
      </c>
      <c r="L2203" t="inlineStr">
        <is>
          <t>Garden City, N.Y. : Hanover House, [1961]</t>
        </is>
      </c>
      <c r="M2203" t="inlineStr">
        <is>
          <t>1961</t>
        </is>
      </c>
      <c r="N2203" t="inlineStr">
        <is>
          <t>[1st ed.]</t>
        </is>
      </c>
      <c r="O2203" t="inlineStr">
        <is>
          <t>eng</t>
        </is>
      </c>
      <c r="P2203" t="inlineStr">
        <is>
          <t>___</t>
        </is>
      </c>
      <c r="R2203" t="inlineStr">
        <is>
          <t xml:space="preserve">BX </t>
        </is>
      </c>
      <c r="S2203" t="n">
        <v>2</v>
      </c>
      <c r="T2203" t="n">
        <v>2</v>
      </c>
      <c r="U2203" t="inlineStr">
        <is>
          <t>1993-04-16</t>
        </is>
      </c>
      <c r="V2203" t="inlineStr">
        <is>
          <t>1993-04-16</t>
        </is>
      </c>
      <c r="W2203" t="inlineStr">
        <is>
          <t>1991-12-05</t>
        </is>
      </c>
      <c r="X2203" t="inlineStr">
        <is>
          <t>1991-12-05</t>
        </is>
      </c>
      <c r="Y2203" t="n">
        <v>241</v>
      </c>
      <c r="Z2203" t="n">
        <v>221</v>
      </c>
      <c r="AA2203" t="n">
        <v>224</v>
      </c>
      <c r="AB2203" t="n">
        <v>4</v>
      </c>
      <c r="AC2203" t="n">
        <v>4</v>
      </c>
      <c r="AD2203" t="n">
        <v>22</v>
      </c>
      <c r="AE2203" t="n">
        <v>22</v>
      </c>
      <c r="AF2203" t="n">
        <v>5</v>
      </c>
      <c r="AG2203" t="n">
        <v>5</v>
      </c>
      <c r="AH2203" t="n">
        <v>3</v>
      </c>
      <c r="AI2203" t="n">
        <v>3</v>
      </c>
      <c r="AJ2203" t="n">
        <v>17</v>
      </c>
      <c r="AK2203" t="n">
        <v>17</v>
      </c>
      <c r="AL2203" t="n">
        <v>1</v>
      </c>
      <c r="AM2203" t="n">
        <v>1</v>
      </c>
      <c r="AN2203" t="n">
        <v>0</v>
      </c>
      <c r="AO2203" t="n">
        <v>0</v>
      </c>
      <c r="AP2203" t="inlineStr">
        <is>
          <t>No</t>
        </is>
      </c>
      <c r="AQ2203" t="inlineStr">
        <is>
          <t>Yes</t>
        </is>
      </c>
      <c r="AR2203">
        <f>HYPERLINK("http://catalog.hathitrust.org/Record/102785248","HathiTrust Record")</f>
        <v/>
      </c>
      <c r="AS2203">
        <f>HYPERLINK("https://creighton-primo.hosted.exlibrisgroup.com/primo-explore/search?tab=default_tab&amp;search_scope=EVERYTHING&amp;vid=01CRU&amp;lang=en_US&amp;offset=0&amp;query=any,contains,991002645579702656","Catalog Record")</f>
        <v/>
      </c>
      <c r="AT2203">
        <f>HYPERLINK("http://www.worldcat.org/oclc/385733","WorldCat Record")</f>
        <v/>
      </c>
      <c r="AU2203" t="inlineStr">
        <is>
          <t>34688954:eng</t>
        </is>
      </c>
      <c r="AV2203" t="inlineStr">
        <is>
          <t>385733</t>
        </is>
      </c>
      <c r="AW2203" t="inlineStr">
        <is>
          <t>991002645579702656</t>
        </is>
      </c>
      <c r="AX2203" t="inlineStr">
        <is>
          <t>991002645579702656</t>
        </is>
      </c>
      <c r="AY2203" t="inlineStr">
        <is>
          <t>2258856780002656</t>
        </is>
      </c>
      <c r="AZ2203" t="inlineStr">
        <is>
          <t>BOOK</t>
        </is>
      </c>
      <c r="BC2203" t="inlineStr">
        <is>
          <t>32285000871862</t>
        </is>
      </c>
      <c r="BD2203" t="inlineStr">
        <is>
          <t>893716713</t>
        </is>
      </c>
    </row>
    <row r="2204">
      <c r="A2204" t="inlineStr">
        <is>
          <t>No</t>
        </is>
      </c>
      <c r="B2204" t="inlineStr">
        <is>
          <t>BX4700.T5 S5 1921</t>
        </is>
      </c>
      <c r="C2204" t="inlineStr">
        <is>
          <t>0                      BX 4700000T  5                  S  5           1921</t>
        </is>
      </c>
      <c r="D2204" t="inlineStr">
        <is>
          <t>Shower of roses, 1914-1919 : conversions and spiritual favours. Cures.--Miscellaneous. Interventions of Sr. Thérèse of the Child Jesus during the war.</t>
        </is>
      </c>
      <c r="F2204" t="inlineStr">
        <is>
          <t>No</t>
        </is>
      </c>
      <c r="G2204" t="inlineStr">
        <is>
          <t>1</t>
        </is>
      </c>
      <c r="H2204" t="inlineStr">
        <is>
          <t>No</t>
        </is>
      </c>
      <c r="I2204" t="inlineStr">
        <is>
          <t>No</t>
        </is>
      </c>
      <c r="J2204" t="inlineStr">
        <is>
          <t>0</t>
        </is>
      </c>
      <c r="K2204" t="inlineStr">
        <is>
          <t>Thérèse, de Lisieux, Saint, 1873-1897.</t>
        </is>
      </c>
      <c r="L2204" t="inlineStr">
        <is>
          <t>New York, P. J. Kenedy, 1921.</t>
        </is>
      </c>
      <c r="M2204" t="inlineStr">
        <is>
          <t>1921</t>
        </is>
      </c>
      <c r="O2204" t="inlineStr">
        <is>
          <t>eng</t>
        </is>
      </c>
      <c r="P2204" t="inlineStr">
        <is>
          <t>___</t>
        </is>
      </c>
      <c r="R2204" t="inlineStr">
        <is>
          <t xml:space="preserve">BX </t>
        </is>
      </c>
      <c r="S2204" t="n">
        <v>4</v>
      </c>
      <c r="T2204" t="n">
        <v>4</v>
      </c>
      <c r="U2204" t="inlineStr">
        <is>
          <t>2005-02-14</t>
        </is>
      </c>
      <c r="V2204" t="inlineStr">
        <is>
          <t>2005-02-14</t>
        </is>
      </c>
      <c r="W2204" t="inlineStr">
        <is>
          <t>1991-12-05</t>
        </is>
      </c>
      <c r="X2204" t="inlineStr">
        <is>
          <t>1991-12-05</t>
        </is>
      </c>
      <c r="Y2204" t="n">
        <v>14</v>
      </c>
      <c r="Z2204" t="n">
        <v>11</v>
      </c>
      <c r="AA2204" t="n">
        <v>11</v>
      </c>
      <c r="AB2204" t="n">
        <v>1</v>
      </c>
      <c r="AC2204" t="n">
        <v>1</v>
      </c>
      <c r="AD2204" t="n">
        <v>5</v>
      </c>
      <c r="AE2204" t="n">
        <v>5</v>
      </c>
      <c r="AF2204" t="n">
        <v>0</v>
      </c>
      <c r="AG2204" t="n">
        <v>0</v>
      </c>
      <c r="AH2204" t="n">
        <v>1</v>
      </c>
      <c r="AI2204" t="n">
        <v>1</v>
      </c>
      <c r="AJ2204" t="n">
        <v>5</v>
      </c>
      <c r="AK2204" t="n">
        <v>5</v>
      </c>
      <c r="AL2204" t="n">
        <v>0</v>
      </c>
      <c r="AM2204" t="n">
        <v>0</v>
      </c>
      <c r="AN2204" t="n">
        <v>0</v>
      </c>
      <c r="AO2204" t="n">
        <v>0</v>
      </c>
      <c r="AP2204" t="inlineStr">
        <is>
          <t>No</t>
        </is>
      </c>
      <c r="AQ2204" t="inlineStr">
        <is>
          <t>No</t>
        </is>
      </c>
      <c r="AS2204">
        <f>HYPERLINK("https://creighton-primo.hosted.exlibrisgroup.com/primo-explore/search?tab=default_tab&amp;search_scope=EVERYTHING&amp;vid=01CRU&amp;lang=en_US&amp;offset=0&amp;query=any,contains,991003108039702656","Catalog Record")</f>
        <v/>
      </c>
      <c r="AT2204">
        <f>HYPERLINK("http://www.worldcat.org/oclc/655262","WorldCat Record")</f>
        <v/>
      </c>
      <c r="AU2204" t="inlineStr">
        <is>
          <t>53994077:eng</t>
        </is>
      </c>
      <c r="AV2204" t="inlineStr">
        <is>
          <t>655262</t>
        </is>
      </c>
      <c r="AW2204" t="inlineStr">
        <is>
          <t>991003108039702656</t>
        </is>
      </c>
      <c r="AX2204" t="inlineStr">
        <is>
          <t>991003108039702656</t>
        </is>
      </c>
      <c r="AY2204" t="inlineStr">
        <is>
          <t>2260767270002656</t>
        </is>
      </c>
      <c r="AZ2204" t="inlineStr">
        <is>
          <t>BOOK</t>
        </is>
      </c>
      <c r="BC2204" t="inlineStr">
        <is>
          <t>32285000871888</t>
        </is>
      </c>
      <c r="BD2204" t="inlineStr">
        <is>
          <t>893598276</t>
        </is>
      </c>
    </row>
    <row r="2205">
      <c r="A2205" t="inlineStr">
        <is>
          <t>No</t>
        </is>
      </c>
      <c r="B2205" t="inlineStr">
        <is>
          <t>BX4700.T5 T4 1964</t>
        </is>
      </c>
      <c r="C2205" t="inlineStr">
        <is>
          <t>0                      BX 4700000T  5                  T  4           1964</t>
        </is>
      </c>
      <c r="D2205" t="inlineStr">
        <is>
          <t>I choose all : a study of St. Thérèse of Lisieux and her spiritual doctrine / by Sister Teresa Margaret.</t>
        </is>
      </c>
      <c r="F2205" t="inlineStr">
        <is>
          <t>No</t>
        </is>
      </c>
      <c r="G2205" t="inlineStr">
        <is>
          <t>1</t>
        </is>
      </c>
      <c r="H2205" t="inlineStr">
        <is>
          <t>No</t>
        </is>
      </c>
      <c r="I2205" t="inlineStr">
        <is>
          <t>No</t>
        </is>
      </c>
      <c r="J2205" t="inlineStr">
        <is>
          <t>0</t>
        </is>
      </c>
      <c r="K2205" t="inlineStr">
        <is>
          <t>Teresa Margaret, Sister.</t>
        </is>
      </c>
      <c r="L2205" t="inlineStr">
        <is>
          <t>Westminster, Md. : Newman Press, 1964.</t>
        </is>
      </c>
      <c r="M2205" t="inlineStr">
        <is>
          <t>1964</t>
        </is>
      </c>
      <c r="O2205" t="inlineStr">
        <is>
          <t>eng</t>
        </is>
      </c>
      <c r="P2205" t="inlineStr">
        <is>
          <t>mdu</t>
        </is>
      </c>
      <c r="R2205" t="inlineStr">
        <is>
          <t xml:space="preserve">BX </t>
        </is>
      </c>
      <c r="S2205" t="n">
        <v>3</v>
      </c>
      <c r="T2205" t="n">
        <v>3</v>
      </c>
      <c r="U2205" t="inlineStr">
        <is>
          <t>1999-09-24</t>
        </is>
      </c>
      <c r="V2205" t="inlineStr">
        <is>
          <t>1999-09-24</t>
        </is>
      </c>
      <c r="W2205" t="inlineStr">
        <is>
          <t>1991-12-05</t>
        </is>
      </c>
      <c r="X2205" t="inlineStr">
        <is>
          <t>1991-12-05</t>
        </is>
      </c>
      <c r="Y2205" t="n">
        <v>65</v>
      </c>
      <c r="Z2205" t="n">
        <v>54</v>
      </c>
      <c r="AA2205" t="n">
        <v>58</v>
      </c>
      <c r="AB2205" t="n">
        <v>3</v>
      </c>
      <c r="AC2205" t="n">
        <v>3</v>
      </c>
      <c r="AD2205" t="n">
        <v>10</v>
      </c>
      <c r="AE2205" t="n">
        <v>11</v>
      </c>
      <c r="AF2205" t="n">
        <v>3</v>
      </c>
      <c r="AG2205" t="n">
        <v>3</v>
      </c>
      <c r="AH2205" t="n">
        <v>2</v>
      </c>
      <c r="AI2205" t="n">
        <v>2</v>
      </c>
      <c r="AJ2205" t="n">
        <v>7</v>
      </c>
      <c r="AK2205" t="n">
        <v>8</v>
      </c>
      <c r="AL2205" t="n">
        <v>1</v>
      </c>
      <c r="AM2205" t="n">
        <v>1</v>
      </c>
      <c r="AN2205" t="n">
        <v>0</v>
      </c>
      <c r="AO2205" t="n">
        <v>0</v>
      </c>
      <c r="AP2205" t="inlineStr">
        <is>
          <t>No</t>
        </is>
      </c>
      <c r="AQ2205" t="inlineStr">
        <is>
          <t>No</t>
        </is>
      </c>
      <c r="AS2205">
        <f>HYPERLINK("https://creighton-primo.hosted.exlibrisgroup.com/primo-explore/search?tab=default_tab&amp;search_scope=EVERYTHING&amp;vid=01CRU&amp;lang=en_US&amp;offset=0&amp;query=any,contains,991004169669702656","Catalog Record")</f>
        <v/>
      </c>
      <c r="AT2205">
        <f>HYPERLINK("http://www.worldcat.org/oclc/2577531","WorldCat Record")</f>
        <v/>
      </c>
      <c r="AU2205" t="inlineStr">
        <is>
          <t>5463325:eng</t>
        </is>
      </c>
      <c r="AV2205" t="inlineStr">
        <is>
          <t>2577531</t>
        </is>
      </c>
      <c r="AW2205" t="inlineStr">
        <is>
          <t>991004169669702656</t>
        </is>
      </c>
      <c r="AX2205" t="inlineStr">
        <is>
          <t>991004169669702656</t>
        </is>
      </c>
      <c r="AY2205" t="inlineStr">
        <is>
          <t>2256557300002656</t>
        </is>
      </c>
      <c r="AZ2205" t="inlineStr">
        <is>
          <t>BOOK</t>
        </is>
      </c>
      <c r="BC2205" t="inlineStr">
        <is>
          <t>32285000871896</t>
        </is>
      </c>
      <c r="BD2205" t="inlineStr">
        <is>
          <t>893349696</t>
        </is>
      </c>
    </row>
    <row r="2206">
      <c r="A2206" t="inlineStr">
        <is>
          <t>No</t>
        </is>
      </c>
      <c r="B2206" t="inlineStr">
        <is>
          <t>BX4700.T5 T5 1912</t>
        </is>
      </c>
      <c r="C2206" t="inlineStr">
        <is>
          <t>0                      BX 4700000T  5                  T  5           1912</t>
        </is>
      </c>
      <c r="D2206" t="inlineStr">
        <is>
          <t>Soeur Thérèse of Lisieux : the little flower of Jesus / a new and complete translation of L'histoire d'une âme, with an account of some favours attributed to the intercession of Soeur Thérèse; ed. by T. N. Taylor.</t>
        </is>
      </c>
      <c r="F2206" t="inlineStr">
        <is>
          <t>No</t>
        </is>
      </c>
      <c r="G2206" t="inlineStr">
        <is>
          <t>1</t>
        </is>
      </c>
      <c r="H2206" t="inlineStr">
        <is>
          <t>No</t>
        </is>
      </c>
      <c r="I2206" t="inlineStr">
        <is>
          <t>No</t>
        </is>
      </c>
      <c r="J2206" t="inlineStr">
        <is>
          <t>0</t>
        </is>
      </c>
      <c r="K2206" t="inlineStr">
        <is>
          <t>Thérèse, de Lisieux, Saint, 1873-1897.</t>
        </is>
      </c>
      <c r="L2206" t="inlineStr">
        <is>
          <t>New York : Kennedy, pref. 1912.</t>
        </is>
      </c>
      <c r="M2206" t="inlineStr">
        <is>
          <t>1912</t>
        </is>
      </c>
      <c r="O2206" t="inlineStr">
        <is>
          <t>eng</t>
        </is>
      </c>
      <c r="P2206" t="inlineStr">
        <is>
          <t>nyu</t>
        </is>
      </c>
      <c r="R2206" t="inlineStr">
        <is>
          <t xml:space="preserve">BX </t>
        </is>
      </c>
      <c r="S2206" t="n">
        <v>2</v>
      </c>
      <c r="T2206" t="n">
        <v>2</v>
      </c>
      <c r="U2206" t="inlineStr">
        <is>
          <t>2010-07-15</t>
        </is>
      </c>
      <c r="V2206" t="inlineStr">
        <is>
          <t>2010-07-15</t>
        </is>
      </c>
      <c r="W2206" t="inlineStr">
        <is>
          <t>1991-12-05</t>
        </is>
      </c>
      <c r="X2206" t="inlineStr">
        <is>
          <t>1991-12-05</t>
        </is>
      </c>
      <c r="Y2206" t="n">
        <v>79</v>
      </c>
      <c r="Z2206" t="n">
        <v>78</v>
      </c>
      <c r="AA2206" t="n">
        <v>128</v>
      </c>
      <c r="AB2206" t="n">
        <v>1</v>
      </c>
      <c r="AC2206" t="n">
        <v>2</v>
      </c>
      <c r="AD2206" t="n">
        <v>12</v>
      </c>
      <c r="AE2206" t="n">
        <v>15</v>
      </c>
      <c r="AF2206" t="n">
        <v>3</v>
      </c>
      <c r="AG2206" t="n">
        <v>4</v>
      </c>
      <c r="AH2206" t="n">
        <v>2</v>
      </c>
      <c r="AI2206" t="n">
        <v>3</v>
      </c>
      <c r="AJ2206" t="n">
        <v>11</v>
      </c>
      <c r="AK2206" t="n">
        <v>12</v>
      </c>
      <c r="AL2206" t="n">
        <v>0</v>
      </c>
      <c r="AM2206" t="n">
        <v>0</v>
      </c>
      <c r="AN2206" t="n">
        <v>0</v>
      </c>
      <c r="AO2206" t="n">
        <v>0</v>
      </c>
      <c r="AP2206" t="inlineStr">
        <is>
          <t>Yes</t>
        </is>
      </c>
      <c r="AQ2206" t="inlineStr">
        <is>
          <t>No</t>
        </is>
      </c>
      <c r="AR2206">
        <f>HYPERLINK("http://catalog.hathitrust.org/Record/011223820","HathiTrust Record")</f>
        <v/>
      </c>
      <c r="AS2206">
        <f>HYPERLINK("https://creighton-primo.hosted.exlibrisgroup.com/primo-explore/search?tab=default_tab&amp;search_scope=EVERYTHING&amp;vid=01CRU&amp;lang=en_US&amp;offset=0&amp;query=any,contains,991004931989702656","Catalog Record")</f>
        <v/>
      </c>
      <c r="AT2206">
        <f>HYPERLINK("http://www.worldcat.org/oclc/6103324","WorldCat Record")</f>
        <v/>
      </c>
      <c r="AU2206" t="inlineStr">
        <is>
          <t>10792275705:eng</t>
        </is>
      </c>
      <c r="AV2206" t="inlineStr">
        <is>
          <t>6103324</t>
        </is>
      </c>
      <c r="AW2206" t="inlineStr">
        <is>
          <t>991004931989702656</t>
        </is>
      </c>
      <c r="AX2206" t="inlineStr">
        <is>
          <t>991004931989702656</t>
        </is>
      </c>
      <c r="AY2206" t="inlineStr">
        <is>
          <t>2258004000002656</t>
        </is>
      </c>
      <c r="AZ2206" t="inlineStr">
        <is>
          <t>BOOK</t>
        </is>
      </c>
      <c r="BC2206" t="inlineStr">
        <is>
          <t>32285000871904</t>
        </is>
      </c>
      <c r="BD2206" t="inlineStr">
        <is>
          <t>893412096</t>
        </is>
      </c>
    </row>
    <row r="2207">
      <c r="A2207" t="inlineStr">
        <is>
          <t>No</t>
        </is>
      </c>
      <c r="B2207" t="inlineStr">
        <is>
          <t>BX4700.T5 V473 1961</t>
        </is>
      </c>
      <c r="C2207" t="inlineStr">
        <is>
          <t>0                      BX 4700000T  5                  V  473         1961</t>
        </is>
      </c>
      <c r="D2207" t="inlineStr">
        <is>
          <t>Spiritual realism of Saint Thérèse of Lisieux : from the original manuscripts / by Victor de la Vierge. Translated by the Discalced Carmelite Nuns.</t>
        </is>
      </c>
      <c r="F2207" t="inlineStr">
        <is>
          <t>No</t>
        </is>
      </c>
      <c r="G2207" t="inlineStr">
        <is>
          <t>1</t>
        </is>
      </c>
      <c r="H2207" t="inlineStr">
        <is>
          <t>No</t>
        </is>
      </c>
      <c r="I2207" t="inlineStr">
        <is>
          <t>No</t>
        </is>
      </c>
      <c r="J2207" t="inlineStr">
        <is>
          <t>0</t>
        </is>
      </c>
      <c r="K2207" t="inlineStr">
        <is>
          <t>Victor de la Vierge.</t>
        </is>
      </c>
      <c r="L2207" t="inlineStr">
        <is>
          <t>Milwaukee : Bruce Pub. Co., [1961]</t>
        </is>
      </c>
      <c r="M2207" t="inlineStr">
        <is>
          <t>1961</t>
        </is>
      </c>
      <c r="O2207" t="inlineStr">
        <is>
          <t>eng</t>
        </is>
      </c>
      <c r="P2207" t="inlineStr">
        <is>
          <t>wiu</t>
        </is>
      </c>
      <c r="R2207" t="inlineStr">
        <is>
          <t xml:space="preserve">BX </t>
        </is>
      </c>
      <c r="S2207" t="n">
        <v>1</v>
      </c>
      <c r="T2207" t="n">
        <v>1</v>
      </c>
      <c r="U2207" t="inlineStr">
        <is>
          <t>1993-04-05</t>
        </is>
      </c>
      <c r="V2207" t="inlineStr">
        <is>
          <t>1993-04-05</t>
        </is>
      </c>
      <c r="W2207" t="inlineStr">
        <is>
          <t>1991-12-05</t>
        </is>
      </c>
      <c r="X2207" t="inlineStr">
        <is>
          <t>1991-12-05</t>
        </is>
      </c>
      <c r="Y2207" t="n">
        <v>181</v>
      </c>
      <c r="Z2207" t="n">
        <v>164</v>
      </c>
      <c r="AA2207" t="n">
        <v>172</v>
      </c>
      <c r="AB2207" t="n">
        <v>4</v>
      </c>
      <c r="AC2207" t="n">
        <v>4</v>
      </c>
      <c r="AD2207" t="n">
        <v>20</v>
      </c>
      <c r="AE2207" t="n">
        <v>20</v>
      </c>
      <c r="AF2207" t="n">
        <v>6</v>
      </c>
      <c r="AG2207" t="n">
        <v>6</v>
      </c>
      <c r="AH2207" t="n">
        <v>5</v>
      </c>
      <c r="AI2207" t="n">
        <v>5</v>
      </c>
      <c r="AJ2207" t="n">
        <v>15</v>
      </c>
      <c r="AK2207" t="n">
        <v>15</v>
      </c>
      <c r="AL2207" t="n">
        <v>1</v>
      </c>
      <c r="AM2207" t="n">
        <v>1</v>
      </c>
      <c r="AN2207" t="n">
        <v>0</v>
      </c>
      <c r="AO2207" t="n">
        <v>0</v>
      </c>
      <c r="AP2207" t="inlineStr">
        <is>
          <t>No</t>
        </is>
      </c>
      <c r="AQ2207" t="inlineStr">
        <is>
          <t>No</t>
        </is>
      </c>
      <c r="AS2207">
        <f>HYPERLINK("https://creighton-primo.hosted.exlibrisgroup.com/primo-explore/search?tab=default_tab&amp;search_scope=EVERYTHING&amp;vid=01CRU&amp;lang=en_US&amp;offset=0&amp;query=any,contains,991004166549702656","Catalog Record")</f>
        <v/>
      </c>
      <c r="AT2207">
        <f>HYPERLINK("http://www.worldcat.org/oclc/2568447","WorldCat Record")</f>
        <v/>
      </c>
      <c r="AU2207" t="inlineStr">
        <is>
          <t>346657864:eng</t>
        </is>
      </c>
      <c r="AV2207" t="inlineStr">
        <is>
          <t>2568447</t>
        </is>
      </c>
      <c r="AW2207" t="inlineStr">
        <is>
          <t>991004166549702656</t>
        </is>
      </c>
      <c r="AX2207" t="inlineStr">
        <is>
          <t>991004166549702656</t>
        </is>
      </c>
      <c r="AY2207" t="inlineStr">
        <is>
          <t>2269457890002656</t>
        </is>
      </c>
      <c r="AZ2207" t="inlineStr">
        <is>
          <t>BOOK</t>
        </is>
      </c>
      <c r="BC2207" t="inlineStr">
        <is>
          <t>32285000871912</t>
        </is>
      </c>
      <c r="BD2207" t="inlineStr">
        <is>
          <t>893417320</t>
        </is>
      </c>
    </row>
    <row r="2208">
      <c r="A2208" t="inlineStr">
        <is>
          <t>No</t>
        </is>
      </c>
      <c r="B2208" t="inlineStr">
        <is>
          <t>BX4700.T6 C47 1963</t>
        </is>
      </c>
      <c r="C2208" t="inlineStr">
        <is>
          <t>0                      BX 4700000T  6                  C  47          1963</t>
        </is>
      </c>
      <c r="D2208" t="inlineStr">
        <is>
          <t>St. Thomas d'Aquin et la théologie.</t>
        </is>
      </c>
      <c r="F2208" t="inlineStr">
        <is>
          <t>No</t>
        </is>
      </c>
      <c r="G2208" t="inlineStr">
        <is>
          <t>1</t>
        </is>
      </c>
      <c r="H2208" t="inlineStr">
        <is>
          <t>No</t>
        </is>
      </c>
      <c r="I2208" t="inlineStr">
        <is>
          <t>No</t>
        </is>
      </c>
      <c r="J2208" t="inlineStr">
        <is>
          <t>0</t>
        </is>
      </c>
      <c r="K2208" t="inlineStr">
        <is>
          <t>Chenu, Marie-Dominique, 1895-1990.</t>
        </is>
      </c>
      <c r="L2208" t="inlineStr">
        <is>
          <t>[Paris] Éditions du Seuil [1963].</t>
        </is>
      </c>
      <c r="M2208" t="inlineStr">
        <is>
          <t>1963</t>
        </is>
      </c>
      <c r="O2208" t="inlineStr">
        <is>
          <t>fre</t>
        </is>
      </c>
      <c r="P2208" t="inlineStr">
        <is>
          <t xml:space="preserve">fr </t>
        </is>
      </c>
      <c r="Q2208" t="inlineStr">
        <is>
          <t>Collections Microcosme. Maîtres spirituels, 17</t>
        </is>
      </c>
      <c r="R2208" t="inlineStr">
        <is>
          <t xml:space="preserve">BX </t>
        </is>
      </c>
      <c r="S2208" t="n">
        <v>1</v>
      </c>
      <c r="T2208" t="n">
        <v>1</v>
      </c>
      <c r="U2208" t="inlineStr">
        <is>
          <t>1993-06-07</t>
        </is>
      </c>
      <c r="V2208" t="inlineStr">
        <is>
          <t>1993-06-07</t>
        </is>
      </c>
      <c r="W2208" t="inlineStr">
        <is>
          <t>1991-12-05</t>
        </is>
      </c>
      <c r="X2208" t="inlineStr">
        <is>
          <t>1991-12-05</t>
        </is>
      </c>
      <c r="Y2208" t="n">
        <v>9</v>
      </c>
      <c r="Z2208" t="n">
        <v>5</v>
      </c>
      <c r="AA2208" t="n">
        <v>81</v>
      </c>
      <c r="AB2208" t="n">
        <v>1</v>
      </c>
      <c r="AC2208" t="n">
        <v>2</v>
      </c>
      <c r="AD2208" t="n">
        <v>1</v>
      </c>
      <c r="AE2208" t="n">
        <v>11</v>
      </c>
      <c r="AF2208" t="n">
        <v>0</v>
      </c>
      <c r="AG2208" t="n">
        <v>2</v>
      </c>
      <c r="AH2208" t="n">
        <v>1</v>
      </c>
      <c r="AI2208" t="n">
        <v>4</v>
      </c>
      <c r="AJ2208" t="n">
        <v>0</v>
      </c>
      <c r="AK2208" t="n">
        <v>9</v>
      </c>
      <c r="AL2208" t="n">
        <v>0</v>
      </c>
      <c r="AM2208" t="n">
        <v>0</v>
      </c>
      <c r="AN2208" t="n">
        <v>0</v>
      </c>
      <c r="AO2208" t="n">
        <v>0</v>
      </c>
      <c r="AP2208" t="inlineStr">
        <is>
          <t>No</t>
        </is>
      </c>
      <c r="AQ2208" t="inlineStr">
        <is>
          <t>No</t>
        </is>
      </c>
      <c r="AS2208">
        <f>HYPERLINK("https://creighton-primo.hosted.exlibrisgroup.com/primo-explore/search?tab=default_tab&amp;search_scope=EVERYTHING&amp;vid=01CRU&amp;lang=en_US&amp;offset=0&amp;query=any,contains,991004880449702656","Catalog Record")</f>
        <v/>
      </c>
      <c r="AT2208">
        <f>HYPERLINK("http://www.worldcat.org/oclc/5814916","WorldCat Record")</f>
        <v/>
      </c>
      <c r="AU2208" t="inlineStr">
        <is>
          <t>1150952190:fre</t>
        </is>
      </c>
      <c r="AV2208" t="inlineStr">
        <is>
          <t>5814916</t>
        </is>
      </c>
      <c r="AW2208" t="inlineStr">
        <is>
          <t>991004880449702656</t>
        </is>
      </c>
      <c r="AX2208" t="inlineStr">
        <is>
          <t>991004880449702656</t>
        </is>
      </c>
      <c r="AY2208" t="inlineStr">
        <is>
          <t>2260629860002656</t>
        </is>
      </c>
      <c r="AZ2208" t="inlineStr">
        <is>
          <t>BOOK</t>
        </is>
      </c>
      <c r="BC2208" t="inlineStr">
        <is>
          <t>32285000871953</t>
        </is>
      </c>
      <c r="BD2208" t="inlineStr">
        <is>
          <t>893883063</t>
        </is>
      </c>
    </row>
    <row r="2209">
      <c r="A2209" t="inlineStr">
        <is>
          <t>No</t>
        </is>
      </c>
      <c r="B2209" t="inlineStr">
        <is>
          <t>BX4700.V5 G55 1929</t>
        </is>
      </c>
      <c r="C2209" t="inlineStr">
        <is>
          <t>0                      BX 4700000V  5                  G  55          1929</t>
        </is>
      </c>
      <c r="D2209" t="inlineStr">
        <is>
          <t>The secret of the Curé d'Ars / with a note on the Saint by G. K. Chesterton.</t>
        </is>
      </c>
      <c r="F2209" t="inlineStr">
        <is>
          <t>No</t>
        </is>
      </c>
      <c r="G2209" t="inlineStr">
        <is>
          <t>1</t>
        </is>
      </c>
      <c r="H2209" t="inlineStr">
        <is>
          <t>No</t>
        </is>
      </c>
      <c r="I2209" t="inlineStr">
        <is>
          <t>No</t>
        </is>
      </c>
      <c r="J2209" t="inlineStr">
        <is>
          <t>0</t>
        </is>
      </c>
      <c r="K2209" t="inlineStr">
        <is>
          <t>Ghéon, Henri, 1875-1944.</t>
        </is>
      </c>
      <c r="L2209" t="inlineStr">
        <is>
          <t>New York ; London [etc.] : Longmans, Green and co., 1929.</t>
        </is>
      </c>
      <c r="M2209" t="inlineStr">
        <is>
          <t>1929</t>
        </is>
      </c>
      <c r="O2209" t="inlineStr">
        <is>
          <t>eng</t>
        </is>
      </c>
      <c r="P2209" t="inlineStr">
        <is>
          <t xml:space="preserve">xx </t>
        </is>
      </c>
      <c r="R2209" t="inlineStr">
        <is>
          <t xml:space="preserve">BX </t>
        </is>
      </c>
      <c r="S2209" t="n">
        <v>4</v>
      </c>
      <c r="T2209" t="n">
        <v>4</v>
      </c>
      <c r="U2209" t="inlineStr">
        <is>
          <t>2005-06-06</t>
        </is>
      </c>
      <c r="V2209" t="inlineStr">
        <is>
          <t>2005-06-06</t>
        </is>
      </c>
      <c r="W2209" t="inlineStr">
        <is>
          <t>1990-08-20</t>
        </is>
      </c>
      <c r="X2209" t="inlineStr">
        <is>
          <t>1990-08-20</t>
        </is>
      </c>
      <c r="Y2209" t="n">
        <v>142</v>
      </c>
      <c r="Z2209" t="n">
        <v>127</v>
      </c>
      <c r="AA2209" t="n">
        <v>250</v>
      </c>
      <c r="AB2209" t="n">
        <v>1</v>
      </c>
      <c r="AC2209" t="n">
        <v>3</v>
      </c>
      <c r="AD2209" t="n">
        <v>23</v>
      </c>
      <c r="AE2209" t="n">
        <v>31</v>
      </c>
      <c r="AF2209" t="n">
        <v>4</v>
      </c>
      <c r="AG2209" t="n">
        <v>10</v>
      </c>
      <c r="AH2209" t="n">
        <v>7</v>
      </c>
      <c r="AI2209" t="n">
        <v>8</v>
      </c>
      <c r="AJ2209" t="n">
        <v>19</v>
      </c>
      <c r="AK2209" t="n">
        <v>24</v>
      </c>
      <c r="AL2209" t="n">
        <v>0</v>
      </c>
      <c r="AM2209" t="n">
        <v>0</v>
      </c>
      <c r="AN2209" t="n">
        <v>0</v>
      </c>
      <c r="AO2209" t="n">
        <v>0</v>
      </c>
      <c r="AP2209" t="inlineStr">
        <is>
          <t>No</t>
        </is>
      </c>
      <c r="AQ2209" t="inlineStr">
        <is>
          <t>No</t>
        </is>
      </c>
      <c r="AS2209">
        <f>HYPERLINK("https://creighton-primo.hosted.exlibrisgroup.com/primo-explore/search?tab=default_tab&amp;search_scope=EVERYTHING&amp;vid=01CRU&amp;lang=en_US&amp;offset=0&amp;query=any,contains,991004450659702656","Catalog Record")</f>
        <v/>
      </c>
      <c r="AT2209">
        <f>HYPERLINK("http://www.worldcat.org/oclc/3508798","WorldCat Record")</f>
        <v/>
      </c>
      <c r="AU2209" t="inlineStr">
        <is>
          <t>1647858:eng</t>
        </is>
      </c>
      <c r="AV2209" t="inlineStr">
        <is>
          <t>3508798</t>
        </is>
      </c>
      <c r="AW2209" t="inlineStr">
        <is>
          <t>991004450659702656</t>
        </is>
      </c>
      <c r="AX2209" t="inlineStr">
        <is>
          <t>991004450659702656</t>
        </is>
      </c>
      <c r="AY2209" t="inlineStr">
        <is>
          <t>2256754970002656</t>
        </is>
      </c>
      <c r="AZ2209" t="inlineStr">
        <is>
          <t>BOOK</t>
        </is>
      </c>
      <c r="BC2209" t="inlineStr">
        <is>
          <t>32285000283860</t>
        </is>
      </c>
      <c r="BD2209" t="inlineStr">
        <is>
          <t>893259743</t>
        </is>
      </c>
    </row>
    <row r="2210">
      <c r="A2210" t="inlineStr">
        <is>
          <t>No</t>
        </is>
      </c>
      <c r="B2210" t="inlineStr">
        <is>
          <t>BX4700.V5 M63 1870</t>
        </is>
      </c>
      <c r="C2210" t="inlineStr">
        <is>
          <t>0                      BX 4700000V  5                  M  63          1870</t>
        </is>
      </c>
      <c r="D2210" t="inlineStr">
        <is>
          <t>Life of the curé d'Ars / from the French of the Abbé Alfred Monnin ; with an introd. by Archbishop Manning.</t>
        </is>
      </c>
      <c r="F2210" t="inlineStr">
        <is>
          <t>No</t>
        </is>
      </c>
      <c r="G2210" t="inlineStr">
        <is>
          <t>1</t>
        </is>
      </c>
      <c r="H2210" t="inlineStr">
        <is>
          <t>No</t>
        </is>
      </c>
      <c r="I2210" t="inlineStr">
        <is>
          <t>No</t>
        </is>
      </c>
      <c r="J2210" t="inlineStr">
        <is>
          <t>0</t>
        </is>
      </c>
      <c r="K2210" t="inlineStr">
        <is>
          <t>Monnin, Alfred, 1823-1886.</t>
        </is>
      </c>
      <c r="L2210" t="inlineStr">
        <is>
          <t>New York : P. O'Shea, [c1870]</t>
        </is>
      </c>
      <c r="M2210" t="inlineStr">
        <is>
          <t>1870</t>
        </is>
      </c>
      <c r="O2210" t="inlineStr">
        <is>
          <t>eng</t>
        </is>
      </c>
      <c r="P2210" t="inlineStr">
        <is>
          <t>nyu</t>
        </is>
      </c>
      <c r="R2210" t="inlineStr">
        <is>
          <t xml:space="preserve">BX </t>
        </is>
      </c>
      <c r="S2210" t="n">
        <v>4</v>
      </c>
      <c r="T2210" t="n">
        <v>4</v>
      </c>
      <c r="U2210" t="inlineStr">
        <is>
          <t>2003-07-13</t>
        </is>
      </c>
      <c r="V2210" t="inlineStr">
        <is>
          <t>2003-07-13</t>
        </is>
      </c>
      <c r="W2210" t="inlineStr">
        <is>
          <t>1991-12-09</t>
        </is>
      </c>
      <c r="X2210" t="inlineStr">
        <is>
          <t>1991-12-09</t>
        </is>
      </c>
      <c r="Y2210" t="n">
        <v>13</v>
      </c>
      <c r="Z2210" t="n">
        <v>13</v>
      </c>
      <c r="AA2210" t="n">
        <v>60</v>
      </c>
      <c r="AB2210" t="n">
        <v>2</v>
      </c>
      <c r="AC2210" t="n">
        <v>3</v>
      </c>
      <c r="AD2210" t="n">
        <v>3</v>
      </c>
      <c r="AE2210" t="n">
        <v>10</v>
      </c>
      <c r="AF2210" t="n">
        <v>1</v>
      </c>
      <c r="AG2210" t="n">
        <v>2</v>
      </c>
      <c r="AH2210" t="n">
        <v>1</v>
      </c>
      <c r="AI2210" t="n">
        <v>3</v>
      </c>
      <c r="AJ2210" t="n">
        <v>3</v>
      </c>
      <c r="AK2210" t="n">
        <v>9</v>
      </c>
      <c r="AL2210" t="n">
        <v>0</v>
      </c>
      <c r="AM2210" t="n">
        <v>0</v>
      </c>
      <c r="AN2210" t="n">
        <v>0</v>
      </c>
      <c r="AO2210" t="n">
        <v>0</v>
      </c>
      <c r="AP2210" t="inlineStr">
        <is>
          <t>No</t>
        </is>
      </c>
      <c r="AQ2210" t="inlineStr">
        <is>
          <t>No</t>
        </is>
      </c>
      <c r="AS2210">
        <f>HYPERLINK("https://creighton-primo.hosted.exlibrisgroup.com/primo-explore/search?tab=default_tab&amp;search_scope=EVERYTHING&amp;vid=01CRU&amp;lang=en_US&amp;offset=0&amp;query=any,contains,991000524199702656","Catalog Record")</f>
        <v/>
      </c>
      <c r="AT2210">
        <f>HYPERLINK("http://www.worldcat.org/oclc/11362330","WorldCat Record")</f>
        <v/>
      </c>
      <c r="AU2210" t="inlineStr">
        <is>
          <t>5575963821:eng</t>
        </is>
      </c>
      <c r="AV2210" t="inlineStr">
        <is>
          <t>11362330</t>
        </is>
      </c>
      <c r="AW2210" t="inlineStr">
        <is>
          <t>991000524199702656</t>
        </is>
      </c>
      <c r="AX2210" t="inlineStr">
        <is>
          <t>991000524199702656</t>
        </is>
      </c>
      <c r="AY2210" t="inlineStr">
        <is>
          <t>2255596350002656</t>
        </is>
      </c>
      <c r="AZ2210" t="inlineStr">
        <is>
          <t>BOOK</t>
        </is>
      </c>
      <c r="BC2210" t="inlineStr">
        <is>
          <t>32285000872159</t>
        </is>
      </c>
      <c r="BD2210" t="inlineStr">
        <is>
          <t>893896958</t>
        </is>
      </c>
    </row>
    <row r="2211">
      <c r="A2211" t="inlineStr">
        <is>
          <t>No</t>
        </is>
      </c>
      <c r="B2211" t="inlineStr">
        <is>
          <t>BX4700.V5 S5 1958</t>
        </is>
      </c>
      <c r="C2211" t="inlineStr">
        <is>
          <t>0                      BX 4700000V  5                  S  5           1958</t>
        </is>
      </c>
      <c r="D2211" t="inlineStr">
        <is>
          <t>Portrait of a parish priest : St. John Vianney, the curé d'Ars.</t>
        </is>
      </c>
      <c r="F2211" t="inlineStr">
        <is>
          <t>No</t>
        </is>
      </c>
      <c r="G2211" t="inlineStr">
        <is>
          <t>1</t>
        </is>
      </c>
      <c r="H2211" t="inlineStr">
        <is>
          <t>No</t>
        </is>
      </c>
      <c r="I2211" t="inlineStr">
        <is>
          <t>No</t>
        </is>
      </c>
      <c r="J2211" t="inlineStr">
        <is>
          <t>0</t>
        </is>
      </c>
      <c r="K2211" t="inlineStr">
        <is>
          <t>Sheppard, Lancelot C. (Lancelot Capel), 1906-</t>
        </is>
      </c>
      <c r="L2211" t="inlineStr">
        <is>
          <t>Westminster, Md. : Newman Press, [1958]</t>
        </is>
      </c>
      <c r="M2211" t="inlineStr">
        <is>
          <t>1958</t>
        </is>
      </c>
      <c r="O2211" t="inlineStr">
        <is>
          <t>eng</t>
        </is>
      </c>
      <c r="P2211" t="inlineStr">
        <is>
          <t>mdu</t>
        </is>
      </c>
      <c r="R2211" t="inlineStr">
        <is>
          <t xml:space="preserve">BX </t>
        </is>
      </c>
      <c r="S2211" t="n">
        <v>8</v>
      </c>
      <c r="T2211" t="n">
        <v>8</v>
      </c>
      <c r="U2211" t="inlineStr">
        <is>
          <t>2005-06-06</t>
        </is>
      </c>
      <c r="V2211" t="inlineStr">
        <is>
          <t>2005-06-06</t>
        </is>
      </c>
      <c r="W2211" t="inlineStr">
        <is>
          <t>1991-12-09</t>
        </is>
      </c>
      <c r="X2211" t="inlineStr">
        <is>
          <t>1991-12-09</t>
        </is>
      </c>
      <c r="Y2211" t="n">
        <v>103</v>
      </c>
      <c r="Z2211" t="n">
        <v>94</v>
      </c>
      <c r="AA2211" t="n">
        <v>130</v>
      </c>
      <c r="AB2211" t="n">
        <v>3</v>
      </c>
      <c r="AC2211" t="n">
        <v>3</v>
      </c>
      <c r="AD2211" t="n">
        <v>18</v>
      </c>
      <c r="AE2211" t="n">
        <v>23</v>
      </c>
      <c r="AF2211" t="n">
        <v>8</v>
      </c>
      <c r="AG2211" t="n">
        <v>10</v>
      </c>
      <c r="AH2211" t="n">
        <v>4</v>
      </c>
      <c r="AI2211" t="n">
        <v>4</v>
      </c>
      <c r="AJ2211" t="n">
        <v>15</v>
      </c>
      <c r="AK2211" t="n">
        <v>19</v>
      </c>
      <c r="AL2211" t="n">
        <v>0</v>
      </c>
      <c r="AM2211" t="n">
        <v>0</v>
      </c>
      <c r="AN2211" t="n">
        <v>0</v>
      </c>
      <c r="AO2211" t="n">
        <v>0</v>
      </c>
      <c r="AP2211" t="inlineStr">
        <is>
          <t>No</t>
        </is>
      </c>
      <c r="AQ2211" t="inlineStr">
        <is>
          <t>No</t>
        </is>
      </c>
      <c r="AS2211">
        <f>HYPERLINK("https://creighton-primo.hosted.exlibrisgroup.com/primo-explore/search?tab=default_tab&amp;search_scope=EVERYTHING&amp;vid=01CRU&amp;lang=en_US&amp;offset=0&amp;query=any,contains,991004294299702656","Catalog Record")</f>
        <v/>
      </c>
      <c r="AT2211">
        <f>HYPERLINK("http://www.worldcat.org/oclc/2960071","WorldCat Record")</f>
        <v/>
      </c>
      <c r="AU2211" t="inlineStr">
        <is>
          <t>205204977:eng</t>
        </is>
      </c>
      <c r="AV2211" t="inlineStr">
        <is>
          <t>2960071</t>
        </is>
      </c>
      <c r="AW2211" t="inlineStr">
        <is>
          <t>991004294299702656</t>
        </is>
      </c>
      <c r="AX2211" t="inlineStr">
        <is>
          <t>991004294299702656</t>
        </is>
      </c>
      <c r="AY2211" t="inlineStr">
        <is>
          <t>2256709690002656</t>
        </is>
      </c>
      <c r="AZ2211" t="inlineStr">
        <is>
          <t>BOOK</t>
        </is>
      </c>
      <c r="BC2211" t="inlineStr">
        <is>
          <t>32285000872175</t>
        </is>
      </c>
      <c r="BD2211" t="inlineStr">
        <is>
          <t>893775865</t>
        </is>
      </c>
    </row>
    <row r="2212">
      <c r="A2212" t="inlineStr">
        <is>
          <t>No</t>
        </is>
      </c>
      <c r="B2212" t="inlineStr">
        <is>
          <t>BX4700.V6 A42 1952</t>
        </is>
      </c>
      <c r="C2212" t="inlineStr">
        <is>
          <t>0                      BX 4700000V  6                  A  42          1952</t>
        </is>
      </c>
      <c r="D2212" t="inlineStr">
        <is>
          <t>The conferences of St. Vincent de Paul to the Sisters of Charity / translated from the French by Joseph Leonard.</t>
        </is>
      </c>
      <c r="E2212" t="inlineStr">
        <is>
          <t>V.3</t>
        </is>
      </c>
      <c r="F2212" t="inlineStr">
        <is>
          <t>Yes</t>
        </is>
      </c>
      <c r="G2212" t="inlineStr">
        <is>
          <t>1</t>
        </is>
      </c>
      <c r="H2212" t="inlineStr">
        <is>
          <t>No</t>
        </is>
      </c>
      <c r="I2212" t="inlineStr">
        <is>
          <t>No</t>
        </is>
      </c>
      <c r="J2212" t="inlineStr">
        <is>
          <t>0</t>
        </is>
      </c>
      <c r="K2212" t="inlineStr">
        <is>
          <t>Vincent de Paul, Saint, 1581-1660.</t>
        </is>
      </c>
      <c r="L2212" t="inlineStr">
        <is>
          <t>Westminster, MD : Newman Press, 1952.</t>
        </is>
      </c>
      <c r="M2212" t="inlineStr">
        <is>
          <t>1952</t>
        </is>
      </c>
      <c r="O2212" t="inlineStr">
        <is>
          <t>eng</t>
        </is>
      </c>
      <c r="P2212" t="inlineStr">
        <is>
          <t>mdu</t>
        </is>
      </c>
      <c r="R2212" t="inlineStr">
        <is>
          <t xml:space="preserve">BX </t>
        </is>
      </c>
      <c r="S2212" t="n">
        <v>2</v>
      </c>
      <c r="T2212" t="n">
        <v>8</v>
      </c>
      <c r="U2212" t="inlineStr">
        <is>
          <t>1995-10-03</t>
        </is>
      </c>
      <c r="V2212" t="inlineStr">
        <is>
          <t>1995-10-03</t>
        </is>
      </c>
      <c r="W2212" t="inlineStr">
        <is>
          <t>1991-12-09</t>
        </is>
      </c>
      <c r="X2212" t="inlineStr">
        <is>
          <t>1991-12-09</t>
        </is>
      </c>
      <c r="Y2212" t="n">
        <v>82</v>
      </c>
      <c r="Z2212" t="n">
        <v>73</v>
      </c>
      <c r="AA2212" t="n">
        <v>73</v>
      </c>
      <c r="AB2212" t="n">
        <v>3</v>
      </c>
      <c r="AC2212" t="n">
        <v>3</v>
      </c>
      <c r="AD2212" t="n">
        <v>13</v>
      </c>
      <c r="AE2212" t="n">
        <v>13</v>
      </c>
      <c r="AF2212" t="n">
        <v>0</v>
      </c>
      <c r="AG2212" t="n">
        <v>0</v>
      </c>
      <c r="AH2212" t="n">
        <v>5</v>
      </c>
      <c r="AI2212" t="n">
        <v>5</v>
      </c>
      <c r="AJ2212" t="n">
        <v>10</v>
      </c>
      <c r="AK2212" t="n">
        <v>10</v>
      </c>
      <c r="AL2212" t="n">
        <v>0</v>
      </c>
      <c r="AM2212" t="n">
        <v>0</v>
      </c>
      <c r="AN2212" t="n">
        <v>0</v>
      </c>
      <c r="AO2212" t="n">
        <v>0</v>
      </c>
      <c r="AP2212" t="inlineStr">
        <is>
          <t>No</t>
        </is>
      </c>
      <c r="AQ2212" t="inlineStr">
        <is>
          <t>No</t>
        </is>
      </c>
      <c r="AS2212">
        <f>HYPERLINK("https://creighton-primo.hosted.exlibrisgroup.com/primo-explore/search?tab=default_tab&amp;search_scope=EVERYTHING&amp;vid=01CRU&amp;lang=en_US&amp;offset=0&amp;query=any,contains,991005013269702656","Catalog Record")</f>
        <v/>
      </c>
      <c r="AT2212">
        <f>HYPERLINK("http://www.worldcat.org/oclc/6606249","WorldCat Record")</f>
        <v/>
      </c>
      <c r="AU2212" t="inlineStr">
        <is>
          <t>3374761550:eng</t>
        </is>
      </c>
      <c r="AV2212" t="inlineStr">
        <is>
          <t>6606249</t>
        </is>
      </c>
      <c r="AW2212" t="inlineStr">
        <is>
          <t>991005013269702656</t>
        </is>
      </c>
      <c r="AX2212" t="inlineStr">
        <is>
          <t>991005013269702656</t>
        </is>
      </c>
      <c r="AY2212" t="inlineStr">
        <is>
          <t>2271285970002656</t>
        </is>
      </c>
      <c r="AZ2212" t="inlineStr">
        <is>
          <t>BOOK</t>
        </is>
      </c>
      <c r="BC2212" t="inlineStr">
        <is>
          <t>32285000872225</t>
        </is>
      </c>
      <c r="BD2212" t="inlineStr">
        <is>
          <t>893319887</t>
        </is>
      </c>
    </row>
    <row r="2213">
      <c r="A2213" t="inlineStr">
        <is>
          <t>No</t>
        </is>
      </c>
      <c r="B2213" t="inlineStr">
        <is>
          <t>BX4700.V6 A42 1952</t>
        </is>
      </c>
      <c r="C2213" t="inlineStr">
        <is>
          <t>0                      BX 4700000V  6                  A  42          1952</t>
        </is>
      </c>
      <c r="D2213" t="inlineStr">
        <is>
          <t>The conferences of St. Vincent de Paul to the Sisters of Charity / translated from the French by Joseph Leonard.</t>
        </is>
      </c>
      <c r="E2213" t="inlineStr">
        <is>
          <t>V.1</t>
        </is>
      </c>
      <c r="F2213" t="inlineStr">
        <is>
          <t>Yes</t>
        </is>
      </c>
      <c r="G2213" t="inlineStr">
        <is>
          <t>1</t>
        </is>
      </c>
      <c r="H2213" t="inlineStr">
        <is>
          <t>No</t>
        </is>
      </c>
      <c r="I2213" t="inlineStr">
        <is>
          <t>No</t>
        </is>
      </c>
      <c r="J2213" t="inlineStr">
        <is>
          <t>0</t>
        </is>
      </c>
      <c r="K2213" t="inlineStr">
        <is>
          <t>Vincent de Paul, Saint, 1581-1660.</t>
        </is>
      </c>
      <c r="L2213" t="inlineStr">
        <is>
          <t>Westminster, MD : Newman Press, 1952.</t>
        </is>
      </c>
      <c r="M2213" t="inlineStr">
        <is>
          <t>1952</t>
        </is>
      </c>
      <c r="O2213" t="inlineStr">
        <is>
          <t>eng</t>
        </is>
      </c>
      <c r="P2213" t="inlineStr">
        <is>
          <t>mdu</t>
        </is>
      </c>
      <c r="R2213" t="inlineStr">
        <is>
          <t xml:space="preserve">BX </t>
        </is>
      </c>
      <c r="S2213" t="n">
        <v>2</v>
      </c>
      <c r="T2213" t="n">
        <v>8</v>
      </c>
      <c r="U2213" t="inlineStr">
        <is>
          <t>1995-10-03</t>
        </is>
      </c>
      <c r="V2213" t="inlineStr">
        <is>
          <t>1995-10-03</t>
        </is>
      </c>
      <c r="W2213" t="inlineStr">
        <is>
          <t>1991-12-09</t>
        </is>
      </c>
      <c r="X2213" t="inlineStr">
        <is>
          <t>1991-12-09</t>
        </is>
      </c>
      <c r="Y2213" t="n">
        <v>82</v>
      </c>
      <c r="Z2213" t="n">
        <v>73</v>
      </c>
      <c r="AA2213" t="n">
        <v>73</v>
      </c>
      <c r="AB2213" t="n">
        <v>3</v>
      </c>
      <c r="AC2213" t="n">
        <v>3</v>
      </c>
      <c r="AD2213" t="n">
        <v>13</v>
      </c>
      <c r="AE2213" t="n">
        <v>13</v>
      </c>
      <c r="AF2213" t="n">
        <v>0</v>
      </c>
      <c r="AG2213" t="n">
        <v>0</v>
      </c>
      <c r="AH2213" t="n">
        <v>5</v>
      </c>
      <c r="AI2213" t="n">
        <v>5</v>
      </c>
      <c r="AJ2213" t="n">
        <v>10</v>
      </c>
      <c r="AK2213" t="n">
        <v>10</v>
      </c>
      <c r="AL2213" t="n">
        <v>0</v>
      </c>
      <c r="AM2213" t="n">
        <v>0</v>
      </c>
      <c r="AN2213" t="n">
        <v>0</v>
      </c>
      <c r="AO2213" t="n">
        <v>0</v>
      </c>
      <c r="AP2213" t="inlineStr">
        <is>
          <t>No</t>
        </is>
      </c>
      <c r="AQ2213" t="inlineStr">
        <is>
          <t>No</t>
        </is>
      </c>
      <c r="AS2213">
        <f>HYPERLINK("https://creighton-primo.hosted.exlibrisgroup.com/primo-explore/search?tab=default_tab&amp;search_scope=EVERYTHING&amp;vid=01CRU&amp;lang=en_US&amp;offset=0&amp;query=any,contains,991005013269702656","Catalog Record")</f>
        <v/>
      </c>
      <c r="AT2213">
        <f>HYPERLINK("http://www.worldcat.org/oclc/6606249","WorldCat Record")</f>
        <v/>
      </c>
      <c r="AU2213" t="inlineStr">
        <is>
          <t>3374761550:eng</t>
        </is>
      </c>
      <c r="AV2213" t="inlineStr">
        <is>
          <t>6606249</t>
        </is>
      </c>
      <c r="AW2213" t="inlineStr">
        <is>
          <t>991005013269702656</t>
        </is>
      </c>
      <c r="AX2213" t="inlineStr">
        <is>
          <t>991005013269702656</t>
        </is>
      </c>
      <c r="AY2213" t="inlineStr">
        <is>
          <t>2271285970002656</t>
        </is>
      </c>
      <c r="AZ2213" t="inlineStr">
        <is>
          <t>BOOK</t>
        </is>
      </c>
      <c r="BC2213" t="inlineStr">
        <is>
          <t>32285000872209</t>
        </is>
      </c>
      <c r="BD2213" t="inlineStr">
        <is>
          <t>893338375</t>
        </is>
      </c>
    </row>
    <row r="2214">
      <c r="A2214" t="inlineStr">
        <is>
          <t>No</t>
        </is>
      </c>
      <c r="B2214" t="inlineStr">
        <is>
          <t>BX4700.V6 A42 1952</t>
        </is>
      </c>
      <c r="C2214" t="inlineStr">
        <is>
          <t>0                      BX 4700000V  6                  A  42          1952</t>
        </is>
      </c>
      <c r="D2214" t="inlineStr">
        <is>
          <t>The conferences of St. Vincent de Paul to the Sisters of Charity / translated from the French by Joseph Leonard.</t>
        </is>
      </c>
      <c r="E2214" t="inlineStr">
        <is>
          <t>V.2</t>
        </is>
      </c>
      <c r="F2214" t="inlineStr">
        <is>
          <t>Yes</t>
        </is>
      </c>
      <c r="G2214" t="inlineStr">
        <is>
          <t>1</t>
        </is>
      </c>
      <c r="H2214" t="inlineStr">
        <is>
          <t>No</t>
        </is>
      </c>
      <c r="I2214" t="inlineStr">
        <is>
          <t>No</t>
        </is>
      </c>
      <c r="J2214" t="inlineStr">
        <is>
          <t>0</t>
        </is>
      </c>
      <c r="K2214" t="inlineStr">
        <is>
          <t>Vincent de Paul, Saint, 1581-1660.</t>
        </is>
      </c>
      <c r="L2214" t="inlineStr">
        <is>
          <t>Westminster, MD : Newman Press, 1952.</t>
        </is>
      </c>
      <c r="M2214" t="inlineStr">
        <is>
          <t>1952</t>
        </is>
      </c>
      <c r="O2214" t="inlineStr">
        <is>
          <t>eng</t>
        </is>
      </c>
      <c r="P2214" t="inlineStr">
        <is>
          <t>mdu</t>
        </is>
      </c>
      <c r="R2214" t="inlineStr">
        <is>
          <t xml:space="preserve">BX </t>
        </is>
      </c>
      <c r="S2214" t="n">
        <v>2</v>
      </c>
      <c r="T2214" t="n">
        <v>8</v>
      </c>
      <c r="U2214" t="inlineStr">
        <is>
          <t>1995-10-03</t>
        </is>
      </c>
      <c r="V2214" t="inlineStr">
        <is>
          <t>1995-10-03</t>
        </is>
      </c>
      <c r="W2214" t="inlineStr">
        <is>
          <t>1991-12-09</t>
        </is>
      </c>
      <c r="X2214" t="inlineStr">
        <is>
          <t>1991-12-09</t>
        </is>
      </c>
      <c r="Y2214" t="n">
        <v>82</v>
      </c>
      <c r="Z2214" t="n">
        <v>73</v>
      </c>
      <c r="AA2214" t="n">
        <v>73</v>
      </c>
      <c r="AB2214" t="n">
        <v>3</v>
      </c>
      <c r="AC2214" t="n">
        <v>3</v>
      </c>
      <c r="AD2214" t="n">
        <v>13</v>
      </c>
      <c r="AE2214" t="n">
        <v>13</v>
      </c>
      <c r="AF2214" t="n">
        <v>0</v>
      </c>
      <c r="AG2214" t="n">
        <v>0</v>
      </c>
      <c r="AH2214" t="n">
        <v>5</v>
      </c>
      <c r="AI2214" t="n">
        <v>5</v>
      </c>
      <c r="AJ2214" t="n">
        <v>10</v>
      </c>
      <c r="AK2214" t="n">
        <v>10</v>
      </c>
      <c r="AL2214" t="n">
        <v>0</v>
      </c>
      <c r="AM2214" t="n">
        <v>0</v>
      </c>
      <c r="AN2214" t="n">
        <v>0</v>
      </c>
      <c r="AO2214" t="n">
        <v>0</v>
      </c>
      <c r="AP2214" t="inlineStr">
        <is>
          <t>No</t>
        </is>
      </c>
      <c r="AQ2214" t="inlineStr">
        <is>
          <t>No</t>
        </is>
      </c>
      <c r="AS2214">
        <f>HYPERLINK("https://creighton-primo.hosted.exlibrisgroup.com/primo-explore/search?tab=default_tab&amp;search_scope=EVERYTHING&amp;vid=01CRU&amp;lang=en_US&amp;offset=0&amp;query=any,contains,991005013269702656","Catalog Record")</f>
        <v/>
      </c>
      <c r="AT2214">
        <f>HYPERLINK("http://www.worldcat.org/oclc/6606249","WorldCat Record")</f>
        <v/>
      </c>
      <c r="AU2214" t="inlineStr">
        <is>
          <t>3374761550:eng</t>
        </is>
      </c>
      <c r="AV2214" t="inlineStr">
        <is>
          <t>6606249</t>
        </is>
      </c>
      <c r="AW2214" t="inlineStr">
        <is>
          <t>991005013269702656</t>
        </is>
      </c>
      <c r="AX2214" t="inlineStr">
        <is>
          <t>991005013269702656</t>
        </is>
      </c>
      <c r="AY2214" t="inlineStr">
        <is>
          <t>2271285970002656</t>
        </is>
      </c>
      <c r="AZ2214" t="inlineStr">
        <is>
          <t>BOOK</t>
        </is>
      </c>
      <c r="BC2214" t="inlineStr">
        <is>
          <t>32285000872217</t>
        </is>
      </c>
      <c r="BD2214" t="inlineStr">
        <is>
          <t>893353643</t>
        </is>
      </c>
    </row>
    <row r="2215">
      <c r="A2215" t="inlineStr">
        <is>
          <t>No</t>
        </is>
      </c>
      <c r="B2215" t="inlineStr">
        <is>
          <t>BX4700.V6 A42 1952</t>
        </is>
      </c>
      <c r="C2215" t="inlineStr">
        <is>
          <t>0                      BX 4700000V  6                  A  42          1952</t>
        </is>
      </c>
      <c r="D2215" t="inlineStr">
        <is>
          <t>The conferences of St. Vincent de Paul to the Sisters of Charity / translated from the French by Joseph Leonard.</t>
        </is>
      </c>
      <c r="E2215" t="inlineStr">
        <is>
          <t>V.4</t>
        </is>
      </c>
      <c r="F2215" t="inlineStr">
        <is>
          <t>Yes</t>
        </is>
      </c>
      <c r="G2215" t="inlineStr">
        <is>
          <t>1</t>
        </is>
      </c>
      <c r="H2215" t="inlineStr">
        <is>
          <t>No</t>
        </is>
      </c>
      <c r="I2215" t="inlineStr">
        <is>
          <t>No</t>
        </is>
      </c>
      <c r="J2215" t="inlineStr">
        <is>
          <t>0</t>
        </is>
      </c>
      <c r="K2215" t="inlineStr">
        <is>
          <t>Vincent de Paul, Saint, 1581-1660.</t>
        </is>
      </c>
      <c r="L2215" t="inlineStr">
        <is>
          <t>Westminster, MD : Newman Press, 1952.</t>
        </is>
      </c>
      <c r="M2215" t="inlineStr">
        <is>
          <t>1952</t>
        </is>
      </c>
      <c r="O2215" t="inlineStr">
        <is>
          <t>eng</t>
        </is>
      </c>
      <c r="P2215" t="inlineStr">
        <is>
          <t>mdu</t>
        </is>
      </c>
      <c r="R2215" t="inlineStr">
        <is>
          <t xml:space="preserve">BX </t>
        </is>
      </c>
      <c r="S2215" t="n">
        <v>2</v>
      </c>
      <c r="T2215" t="n">
        <v>8</v>
      </c>
      <c r="U2215" t="inlineStr">
        <is>
          <t>1995-10-03</t>
        </is>
      </c>
      <c r="V2215" t="inlineStr">
        <is>
          <t>1995-10-03</t>
        </is>
      </c>
      <c r="W2215" t="inlineStr">
        <is>
          <t>1991-12-09</t>
        </is>
      </c>
      <c r="X2215" t="inlineStr">
        <is>
          <t>1991-12-09</t>
        </is>
      </c>
      <c r="Y2215" t="n">
        <v>82</v>
      </c>
      <c r="Z2215" t="n">
        <v>73</v>
      </c>
      <c r="AA2215" t="n">
        <v>73</v>
      </c>
      <c r="AB2215" t="n">
        <v>3</v>
      </c>
      <c r="AC2215" t="n">
        <v>3</v>
      </c>
      <c r="AD2215" t="n">
        <v>13</v>
      </c>
      <c r="AE2215" t="n">
        <v>13</v>
      </c>
      <c r="AF2215" t="n">
        <v>0</v>
      </c>
      <c r="AG2215" t="n">
        <v>0</v>
      </c>
      <c r="AH2215" t="n">
        <v>5</v>
      </c>
      <c r="AI2215" t="n">
        <v>5</v>
      </c>
      <c r="AJ2215" t="n">
        <v>10</v>
      </c>
      <c r="AK2215" t="n">
        <v>10</v>
      </c>
      <c r="AL2215" t="n">
        <v>0</v>
      </c>
      <c r="AM2215" t="n">
        <v>0</v>
      </c>
      <c r="AN2215" t="n">
        <v>0</v>
      </c>
      <c r="AO2215" t="n">
        <v>0</v>
      </c>
      <c r="AP2215" t="inlineStr">
        <is>
          <t>No</t>
        </is>
      </c>
      <c r="AQ2215" t="inlineStr">
        <is>
          <t>No</t>
        </is>
      </c>
      <c r="AS2215">
        <f>HYPERLINK("https://creighton-primo.hosted.exlibrisgroup.com/primo-explore/search?tab=default_tab&amp;search_scope=EVERYTHING&amp;vid=01CRU&amp;lang=en_US&amp;offset=0&amp;query=any,contains,991005013269702656","Catalog Record")</f>
        <v/>
      </c>
      <c r="AT2215">
        <f>HYPERLINK("http://www.worldcat.org/oclc/6606249","WorldCat Record")</f>
        <v/>
      </c>
      <c r="AU2215" t="inlineStr">
        <is>
          <t>3374761550:eng</t>
        </is>
      </c>
      <c r="AV2215" t="inlineStr">
        <is>
          <t>6606249</t>
        </is>
      </c>
      <c r="AW2215" t="inlineStr">
        <is>
          <t>991005013269702656</t>
        </is>
      </c>
      <c r="AX2215" t="inlineStr">
        <is>
          <t>991005013269702656</t>
        </is>
      </c>
      <c r="AY2215" t="inlineStr">
        <is>
          <t>2271285970002656</t>
        </is>
      </c>
      <c r="AZ2215" t="inlineStr">
        <is>
          <t>BOOK</t>
        </is>
      </c>
      <c r="BC2215" t="inlineStr">
        <is>
          <t>32285000872233</t>
        </is>
      </c>
      <c r="BD2215" t="inlineStr">
        <is>
          <t>893338374</t>
        </is>
      </c>
    </row>
    <row r="2216">
      <c r="A2216" t="inlineStr">
        <is>
          <t>No</t>
        </is>
      </c>
      <c r="B2216" t="inlineStr">
        <is>
          <t>BX4700.V6 A48 1993</t>
        </is>
      </c>
      <c r="C2216" t="inlineStr">
        <is>
          <t>0                      BX 4700000V  6                  A  48          1993</t>
        </is>
      </c>
      <c r="D2216" t="inlineStr">
        <is>
          <t>The life of the venerable servant of God Vincent de Paul : founder and first superior general of the Congregation of the Mission : (divided into three books) / by Louis Abelly ; [edited by John E. Rybolt].</t>
        </is>
      </c>
      <c r="E2216" t="inlineStr">
        <is>
          <t>V.3</t>
        </is>
      </c>
      <c r="F2216" t="inlineStr">
        <is>
          <t>Yes</t>
        </is>
      </c>
      <c r="G2216" t="inlineStr">
        <is>
          <t>1</t>
        </is>
      </c>
      <c r="H2216" t="inlineStr">
        <is>
          <t>No</t>
        </is>
      </c>
      <c r="I2216" t="inlineStr">
        <is>
          <t>No</t>
        </is>
      </c>
      <c r="J2216" t="inlineStr">
        <is>
          <t>0</t>
        </is>
      </c>
      <c r="K2216" t="inlineStr">
        <is>
          <t>Abelly, Louis, 1604-1691.</t>
        </is>
      </c>
      <c r="L2216" t="inlineStr">
        <is>
          <t>New Rochelle, N.Y. : New City Press, c1993.</t>
        </is>
      </c>
      <c r="M2216" t="inlineStr">
        <is>
          <t>1993</t>
        </is>
      </c>
      <c r="O2216" t="inlineStr">
        <is>
          <t>eng</t>
        </is>
      </c>
      <c r="P2216" t="inlineStr">
        <is>
          <t>nyu</t>
        </is>
      </c>
      <c r="R2216" t="inlineStr">
        <is>
          <t xml:space="preserve">BX </t>
        </is>
      </c>
      <c r="S2216" t="n">
        <v>2</v>
      </c>
      <c r="T2216" t="n">
        <v>6</v>
      </c>
      <c r="U2216" t="inlineStr">
        <is>
          <t>2010-06-30</t>
        </is>
      </c>
      <c r="V2216" t="inlineStr">
        <is>
          <t>2010-06-30</t>
        </is>
      </c>
      <c r="W2216" t="inlineStr">
        <is>
          <t>1994-09-16</t>
        </is>
      </c>
      <c r="X2216" t="inlineStr">
        <is>
          <t>1994-09-16</t>
        </is>
      </c>
      <c r="Y2216" t="n">
        <v>43</v>
      </c>
      <c r="Z2216" t="n">
        <v>41</v>
      </c>
      <c r="AA2216" t="n">
        <v>41</v>
      </c>
      <c r="AB2216" t="n">
        <v>1</v>
      </c>
      <c r="AC2216" t="n">
        <v>1</v>
      </c>
      <c r="AD2216" t="n">
        <v>5</v>
      </c>
      <c r="AE2216" t="n">
        <v>5</v>
      </c>
      <c r="AF2216" t="n">
        <v>1</v>
      </c>
      <c r="AG2216" t="n">
        <v>1</v>
      </c>
      <c r="AH2216" t="n">
        <v>2</v>
      </c>
      <c r="AI2216" t="n">
        <v>2</v>
      </c>
      <c r="AJ2216" t="n">
        <v>3</v>
      </c>
      <c r="AK2216" t="n">
        <v>3</v>
      </c>
      <c r="AL2216" t="n">
        <v>0</v>
      </c>
      <c r="AM2216" t="n">
        <v>0</v>
      </c>
      <c r="AN2216" t="n">
        <v>0</v>
      </c>
      <c r="AO2216" t="n">
        <v>0</v>
      </c>
      <c r="AP2216" t="inlineStr">
        <is>
          <t>No</t>
        </is>
      </c>
      <c r="AQ2216" t="inlineStr">
        <is>
          <t>No</t>
        </is>
      </c>
      <c r="AS2216">
        <f>HYPERLINK("https://creighton-primo.hosted.exlibrisgroup.com/primo-explore/search?tab=default_tab&amp;search_scope=EVERYTHING&amp;vid=01CRU&amp;lang=en_US&amp;offset=0&amp;query=any,contains,991002141959702656","Catalog Record")</f>
        <v/>
      </c>
      <c r="AT2216">
        <f>HYPERLINK("http://www.worldcat.org/oclc/27432975","WorldCat Record")</f>
        <v/>
      </c>
      <c r="AU2216" t="inlineStr">
        <is>
          <t>2908781394:eng</t>
        </is>
      </c>
      <c r="AV2216" t="inlineStr">
        <is>
          <t>27432975</t>
        </is>
      </c>
      <c r="AW2216" t="inlineStr">
        <is>
          <t>991002141959702656</t>
        </is>
      </c>
      <c r="AX2216" t="inlineStr">
        <is>
          <t>991002141959702656</t>
        </is>
      </c>
      <c r="AY2216" t="inlineStr">
        <is>
          <t>2265103230002656</t>
        </is>
      </c>
      <c r="AZ2216" t="inlineStr">
        <is>
          <t>BOOK</t>
        </is>
      </c>
      <c r="BB2216" t="inlineStr">
        <is>
          <t>9781565480520</t>
        </is>
      </c>
      <c r="BC2216" t="inlineStr">
        <is>
          <t>32285001945905</t>
        </is>
      </c>
      <c r="BD2216" t="inlineStr">
        <is>
          <t>893414862</t>
        </is>
      </c>
    </row>
    <row r="2217">
      <c r="A2217" t="inlineStr">
        <is>
          <t>No</t>
        </is>
      </c>
      <c r="B2217" t="inlineStr">
        <is>
          <t>BX4700.V6 A48 1993</t>
        </is>
      </c>
      <c r="C2217" t="inlineStr">
        <is>
          <t>0                      BX 4700000V  6                  A  48          1993</t>
        </is>
      </c>
      <c r="D2217" t="inlineStr">
        <is>
          <t>The life of the venerable servant of God Vincent de Paul : founder and first superior general of the Congregation of the Mission : (divided into three books) / by Louis Abelly ; [edited by John E. Rybolt].</t>
        </is>
      </c>
      <c r="E2217" t="inlineStr">
        <is>
          <t>V.2</t>
        </is>
      </c>
      <c r="F2217" t="inlineStr">
        <is>
          <t>Yes</t>
        </is>
      </c>
      <c r="G2217" t="inlineStr">
        <is>
          <t>1</t>
        </is>
      </c>
      <c r="H2217" t="inlineStr">
        <is>
          <t>No</t>
        </is>
      </c>
      <c r="I2217" t="inlineStr">
        <is>
          <t>No</t>
        </is>
      </c>
      <c r="J2217" t="inlineStr">
        <is>
          <t>0</t>
        </is>
      </c>
      <c r="K2217" t="inlineStr">
        <is>
          <t>Abelly, Louis, 1604-1691.</t>
        </is>
      </c>
      <c r="L2217" t="inlineStr">
        <is>
          <t>New Rochelle, N.Y. : New City Press, c1993.</t>
        </is>
      </c>
      <c r="M2217" t="inlineStr">
        <is>
          <t>1993</t>
        </is>
      </c>
      <c r="O2217" t="inlineStr">
        <is>
          <t>eng</t>
        </is>
      </c>
      <c r="P2217" t="inlineStr">
        <is>
          <t>nyu</t>
        </is>
      </c>
      <c r="R2217" t="inlineStr">
        <is>
          <t xml:space="preserve">BX </t>
        </is>
      </c>
      <c r="S2217" t="n">
        <v>2</v>
      </c>
      <c r="T2217" t="n">
        <v>6</v>
      </c>
      <c r="U2217" t="inlineStr">
        <is>
          <t>2010-06-30</t>
        </is>
      </c>
      <c r="V2217" t="inlineStr">
        <is>
          <t>2010-06-30</t>
        </is>
      </c>
      <c r="W2217" t="inlineStr">
        <is>
          <t>1994-09-16</t>
        </is>
      </c>
      <c r="X2217" t="inlineStr">
        <is>
          <t>1994-09-16</t>
        </is>
      </c>
      <c r="Y2217" t="n">
        <v>43</v>
      </c>
      <c r="Z2217" t="n">
        <v>41</v>
      </c>
      <c r="AA2217" t="n">
        <v>41</v>
      </c>
      <c r="AB2217" t="n">
        <v>1</v>
      </c>
      <c r="AC2217" t="n">
        <v>1</v>
      </c>
      <c r="AD2217" t="n">
        <v>5</v>
      </c>
      <c r="AE2217" t="n">
        <v>5</v>
      </c>
      <c r="AF2217" t="n">
        <v>1</v>
      </c>
      <c r="AG2217" t="n">
        <v>1</v>
      </c>
      <c r="AH2217" t="n">
        <v>2</v>
      </c>
      <c r="AI2217" t="n">
        <v>2</v>
      </c>
      <c r="AJ2217" t="n">
        <v>3</v>
      </c>
      <c r="AK2217" t="n">
        <v>3</v>
      </c>
      <c r="AL2217" t="n">
        <v>0</v>
      </c>
      <c r="AM2217" t="n">
        <v>0</v>
      </c>
      <c r="AN2217" t="n">
        <v>0</v>
      </c>
      <c r="AO2217" t="n">
        <v>0</v>
      </c>
      <c r="AP2217" t="inlineStr">
        <is>
          <t>No</t>
        </is>
      </c>
      <c r="AQ2217" t="inlineStr">
        <is>
          <t>No</t>
        </is>
      </c>
      <c r="AS2217">
        <f>HYPERLINK("https://creighton-primo.hosted.exlibrisgroup.com/primo-explore/search?tab=default_tab&amp;search_scope=EVERYTHING&amp;vid=01CRU&amp;lang=en_US&amp;offset=0&amp;query=any,contains,991002141959702656","Catalog Record")</f>
        <v/>
      </c>
      <c r="AT2217">
        <f>HYPERLINK("http://www.worldcat.org/oclc/27432975","WorldCat Record")</f>
        <v/>
      </c>
      <c r="AU2217" t="inlineStr">
        <is>
          <t>2908781394:eng</t>
        </is>
      </c>
      <c r="AV2217" t="inlineStr">
        <is>
          <t>27432975</t>
        </is>
      </c>
      <c r="AW2217" t="inlineStr">
        <is>
          <t>991002141959702656</t>
        </is>
      </c>
      <c r="AX2217" t="inlineStr">
        <is>
          <t>991002141959702656</t>
        </is>
      </c>
      <c r="AY2217" t="inlineStr">
        <is>
          <t>2265103230002656</t>
        </is>
      </c>
      <c r="AZ2217" t="inlineStr">
        <is>
          <t>BOOK</t>
        </is>
      </c>
      <c r="BB2217" t="inlineStr">
        <is>
          <t>9781565480520</t>
        </is>
      </c>
      <c r="BC2217" t="inlineStr">
        <is>
          <t>32285001945897</t>
        </is>
      </c>
      <c r="BD2217" t="inlineStr">
        <is>
          <t>893420982</t>
        </is>
      </c>
    </row>
    <row r="2218">
      <c r="A2218" t="inlineStr">
        <is>
          <t>No</t>
        </is>
      </c>
      <c r="B2218" t="inlineStr">
        <is>
          <t>BX4700.V6 A48 1993</t>
        </is>
      </c>
      <c r="C2218" t="inlineStr">
        <is>
          <t>0                      BX 4700000V  6                  A  48          1993</t>
        </is>
      </c>
      <c r="D2218" t="inlineStr">
        <is>
          <t>The life of the venerable servant of God Vincent de Paul : founder and first superior general of the Congregation of the Mission : (divided into three books) / by Louis Abelly ; [edited by John E. Rybolt].</t>
        </is>
      </c>
      <c r="E2218" t="inlineStr">
        <is>
          <t>V.1</t>
        </is>
      </c>
      <c r="F2218" t="inlineStr">
        <is>
          <t>Yes</t>
        </is>
      </c>
      <c r="G2218" t="inlineStr">
        <is>
          <t>1</t>
        </is>
      </c>
      <c r="H2218" t="inlineStr">
        <is>
          <t>No</t>
        </is>
      </c>
      <c r="I2218" t="inlineStr">
        <is>
          <t>No</t>
        </is>
      </c>
      <c r="J2218" t="inlineStr">
        <is>
          <t>0</t>
        </is>
      </c>
      <c r="K2218" t="inlineStr">
        <is>
          <t>Abelly, Louis, 1604-1691.</t>
        </is>
      </c>
      <c r="L2218" t="inlineStr">
        <is>
          <t>New Rochelle, N.Y. : New City Press, c1993.</t>
        </is>
      </c>
      <c r="M2218" t="inlineStr">
        <is>
          <t>1993</t>
        </is>
      </c>
      <c r="O2218" t="inlineStr">
        <is>
          <t>eng</t>
        </is>
      </c>
      <c r="P2218" t="inlineStr">
        <is>
          <t>nyu</t>
        </is>
      </c>
      <c r="R2218" t="inlineStr">
        <is>
          <t xml:space="preserve">BX </t>
        </is>
      </c>
      <c r="S2218" t="n">
        <v>2</v>
      </c>
      <c r="T2218" t="n">
        <v>6</v>
      </c>
      <c r="U2218" t="inlineStr">
        <is>
          <t>2010-06-30</t>
        </is>
      </c>
      <c r="V2218" t="inlineStr">
        <is>
          <t>2010-06-30</t>
        </is>
      </c>
      <c r="W2218" t="inlineStr">
        <is>
          <t>1994-09-16</t>
        </is>
      </c>
      <c r="X2218" t="inlineStr">
        <is>
          <t>1994-09-16</t>
        </is>
      </c>
      <c r="Y2218" t="n">
        <v>43</v>
      </c>
      <c r="Z2218" t="n">
        <v>41</v>
      </c>
      <c r="AA2218" t="n">
        <v>41</v>
      </c>
      <c r="AB2218" t="n">
        <v>1</v>
      </c>
      <c r="AC2218" t="n">
        <v>1</v>
      </c>
      <c r="AD2218" t="n">
        <v>5</v>
      </c>
      <c r="AE2218" t="n">
        <v>5</v>
      </c>
      <c r="AF2218" t="n">
        <v>1</v>
      </c>
      <c r="AG2218" t="n">
        <v>1</v>
      </c>
      <c r="AH2218" t="n">
        <v>2</v>
      </c>
      <c r="AI2218" t="n">
        <v>2</v>
      </c>
      <c r="AJ2218" t="n">
        <v>3</v>
      </c>
      <c r="AK2218" t="n">
        <v>3</v>
      </c>
      <c r="AL2218" t="n">
        <v>0</v>
      </c>
      <c r="AM2218" t="n">
        <v>0</v>
      </c>
      <c r="AN2218" t="n">
        <v>0</v>
      </c>
      <c r="AO2218" t="n">
        <v>0</v>
      </c>
      <c r="AP2218" t="inlineStr">
        <is>
          <t>No</t>
        </is>
      </c>
      <c r="AQ2218" t="inlineStr">
        <is>
          <t>No</t>
        </is>
      </c>
      <c r="AS2218">
        <f>HYPERLINK("https://creighton-primo.hosted.exlibrisgroup.com/primo-explore/search?tab=default_tab&amp;search_scope=EVERYTHING&amp;vid=01CRU&amp;lang=en_US&amp;offset=0&amp;query=any,contains,991002141959702656","Catalog Record")</f>
        <v/>
      </c>
      <c r="AT2218">
        <f>HYPERLINK("http://www.worldcat.org/oclc/27432975","WorldCat Record")</f>
        <v/>
      </c>
      <c r="AU2218" t="inlineStr">
        <is>
          <t>2908781394:eng</t>
        </is>
      </c>
      <c r="AV2218" t="inlineStr">
        <is>
          <t>27432975</t>
        </is>
      </c>
      <c r="AW2218" t="inlineStr">
        <is>
          <t>991002141959702656</t>
        </is>
      </c>
      <c r="AX2218" t="inlineStr">
        <is>
          <t>991002141959702656</t>
        </is>
      </c>
      <c r="AY2218" t="inlineStr">
        <is>
          <t>2265103230002656</t>
        </is>
      </c>
      <c r="AZ2218" t="inlineStr">
        <is>
          <t>BOOK</t>
        </is>
      </c>
      <c r="BB2218" t="inlineStr">
        <is>
          <t>9781565480520</t>
        </is>
      </c>
      <c r="BC2218" t="inlineStr">
        <is>
          <t>32285001945889</t>
        </is>
      </c>
      <c r="BD2218" t="inlineStr">
        <is>
          <t>893439812</t>
        </is>
      </c>
    </row>
    <row r="2219">
      <c r="A2219" t="inlineStr">
        <is>
          <t>No</t>
        </is>
      </c>
      <c r="B2219" t="inlineStr">
        <is>
          <t>BX4700.V6 C652 1952</t>
        </is>
      </c>
      <c r="C2219" t="inlineStr">
        <is>
          <t>0                      BX 4700000V  6                  C  652         1952</t>
        </is>
      </c>
      <c r="D2219" t="inlineStr">
        <is>
          <t>The life &amp; works of Saint Vincent de Paul : (Monsieur Vincent: le grand saint du grand siècle) / Translated from the French by Joseph Leonard.</t>
        </is>
      </c>
      <c r="E2219" t="inlineStr">
        <is>
          <t>V.3</t>
        </is>
      </c>
      <c r="F2219" t="inlineStr">
        <is>
          <t>Yes</t>
        </is>
      </c>
      <c r="G2219" t="inlineStr">
        <is>
          <t>1</t>
        </is>
      </c>
      <c r="H2219" t="inlineStr">
        <is>
          <t>No</t>
        </is>
      </c>
      <c r="I2219" t="inlineStr">
        <is>
          <t>No</t>
        </is>
      </c>
      <c r="J2219" t="inlineStr">
        <is>
          <t>0</t>
        </is>
      </c>
      <c r="K2219" t="inlineStr">
        <is>
          <t>Coste, Pierre.</t>
        </is>
      </c>
      <c r="L2219" t="inlineStr">
        <is>
          <t>Westminster, Md. : Newman Press, 1952.</t>
        </is>
      </c>
      <c r="M2219" t="inlineStr">
        <is>
          <t>1952</t>
        </is>
      </c>
      <c r="O2219" t="inlineStr">
        <is>
          <t>eng</t>
        </is>
      </c>
      <c r="P2219" t="inlineStr">
        <is>
          <t xml:space="preserve">xx </t>
        </is>
      </c>
      <c r="R2219" t="inlineStr">
        <is>
          <t xml:space="preserve">BX </t>
        </is>
      </c>
      <c r="S2219" t="n">
        <v>2</v>
      </c>
      <c r="T2219" t="n">
        <v>6</v>
      </c>
      <c r="U2219" t="inlineStr">
        <is>
          <t>1995-10-03</t>
        </is>
      </c>
      <c r="V2219" t="inlineStr">
        <is>
          <t>1995-10-03</t>
        </is>
      </c>
      <c r="W2219" t="inlineStr">
        <is>
          <t>1991-12-09</t>
        </is>
      </c>
      <c r="X2219" t="inlineStr">
        <is>
          <t>1991-12-09</t>
        </is>
      </c>
      <c r="Y2219" t="n">
        <v>113</v>
      </c>
      <c r="Z2219" t="n">
        <v>107</v>
      </c>
      <c r="AA2219" t="n">
        <v>162</v>
      </c>
      <c r="AB2219" t="n">
        <v>3</v>
      </c>
      <c r="AC2219" t="n">
        <v>3</v>
      </c>
      <c r="AD2219" t="n">
        <v>20</v>
      </c>
      <c r="AE2219" t="n">
        <v>29</v>
      </c>
      <c r="AF2219" t="n">
        <v>6</v>
      </c>
      <c r="AG2219" t="n">
        <v>8</v>
      </c>
      <c r="AH2219" t="n">
        <v>5</v>
      </c>
      <c r="AI2219" t="n">
        <v>8</v>
      </c>
      <c r="AJ2219" t="n">
        <v>15</v>
      </c>
      <c r="AK2219" t="n">
        <v>22</v>
      </c>
      <c r="AL2219" t="n">
        <v>0</v>
      </c>
      <c r="AM2219" t="n">
        <v>0</v>
      </c>
      <c r="AN2219" t="n">
        <v>0</v>
      </c>
      <c r="AO2219" t="n">
        <v>0</v>
      </c>
      <c r="AP2219" t="inlineStr">
        <is>
          <t>No</t>
        </is>
      </c>
      <c r="AQ2219" t="inlineStr">
        <is>
          <t>No</t>
        </is>
      </c>
      <c r="AS2219">
        <f>HYPERLINK("https://creighton-primo.hosted.exlibrisgroup.com/primo-explore/search?tab=default_tab&amp;search_scope=EVERYTHING&amp;vid=01CRU&amp;lang=en_US&amp;offset=0&amp;query=any,contains,991004387689702656","Catalog Record")</f>
        <v/>
      </c>
      <c r="AT2219">
        <f>HYPERLINK("http://www.worldcat.org/oclc/3247358","WorldCat Record")</f>
        <v/>
      </c>
      <c r="AU2219" t="inlineStr">
        <is>
          <t>3373341080:eng</t>
        </is>
      </c>
      <c r="AV2219" t="inlineStr">
        <is>
          <t>3247358</t>
        </is>
      </c>
      <c r="AW2219" t="inlineStr">
        <is>
          <t>991004387689702656</t>
        </is>
      </c>
      <c r="AX2219" t="inlineStr">
        <is>
          <t>991004387689702656</t>
        </is>
      </c>
      <c r="AY2219" t="inlineStr">
        <is>
          <t>2270884750002656</t>
        </is>
      </c>
      <c r="AZ2219" t="inlineStr">
        <is>
          <t>BOOK</t>
        </is>
      </c>
      <c r="BC2219" t="inlineStr">
        <is>
          <t>32285000872308</t>
        </is>
      </c>
      <c r="BD2219" t="inlineStr">
        <is>
          <t>893722405</t>
        </is>
      </c>
    </row>
    <row r="2220">
      <c r="A2220" t="inlineStr">
        <is>
          <t>No</t>
        </is>
      </c>
      <c r="B2220" t="inlineStr">
        <is>
          <t>BX4700.V6 C652 1952</t>
        </is>
      </c>
      <c r="C2220" t="inlineStr">
        <is>
          <t>0                      BX 4700000V  6                  C  652         1952</t>
        </is>
      </c>
      <c r="D2220" t="inlineStr">
        <is>
          <t>The life &amp; works of Saint Vincent de Paul : (Monsieur Vincent: le grand saint du grand siècle) / Translated from the French by Joseph Leonard.</t>
        </is>
      </c>
      <c r="E2220" t="inlineStr">
        <is>
          <t>V.1</t>
        </is>
      </c>
      <c r="F2220" t="inlineStr">
        <is>
          <t>Yes</t>
        </is>
      </c>
      <c r="G2220" t="inlineStr">
        <is>
          <t>1</t>
        </is>
      </c>
      <c r="H2220" t="inlineStr">
        <is>
          <t>No</t>
        </is>
      </c>
      <c r="I2220" t="inlineStr">
        <is>
          <t>No</t>
        </is>
      </c>
      <c r="J2220" t="inlineStr">
        <is>
          <t>0</t>
        </is>
      </c>
      <c r="K2220" t="inlineStr">
        <is>
          <t>Coste, Pierre.</t>
        </is>
      </c>
      <c r="L2220" t="inlineStr">
        <is>
          <t>Westminster, Md. : Newman Press, 1952.</t>
        </is>
      </c>
      <c r="M2220" t="inlineStr">
        <is>
          <t>1952</t>
        </is>
      </c>
      <c r="O2220" t="inlineStr">
        <is>
          <t>eng</t>
        </is>
      </c>
      <c r="P2220" t="inlineStr">
        <is>
          <t xml:space="preserve">xx </t>
        </is>
      </c>
      <c r="R2220" t="inlineStr">
        <is>
          <t xml:space="preserve">BX </t>
        </is>
      </c>
      <c r="S2220" t="n">
        <v>2</v>
      </c>
      <c r="T2220" t="n">
        <v>6</v>
      </c>
      <c r="U2220" t="inlineStr">
        <is>
          <t>1995-10-03</t>
        </is>
      </c>
      <c r="V2220" t="inlineStr">
        <is>
          <t>1995-10-03</t>
        </is>
      </c>
      <c r="W2220" t="inlineStr">
        <is>
          <t>1991-12-09</t>
        </is>
      </c>
      <c r="X2220" t="inlineStr">
        <is>
          <t>1991-12-09</t>
        </is>
      </c>
      <c r="Y2220" t="n">
        <v>113</v>
      </c>
      <c r="Z2220" t="n">
        <v>107</v>
      </c>
      <c r="AA2220" t="n">
        <v>162</v>
      </c>
      <c r="AB2220" t="n">
        <v>3</v>
      </c>
      <c r="AC2220" t="n">
        <v>3</v>
      </c>
      <c r="AD2220" t="n">
        <v>20</v>
      </c>
      <c r="AE2220" t="n">
        <v>29</v>
      </c>
      <c r="AF2220" t="n">
        <v>6</v>
      </c>
      <c r="AG2220" t="n">
        <v>8</v>
      </c>
      <c r="AH2220" t="n">
        <v>5</v>
      </c>
      <c r="AI2220" t="n">
        <v>8</v>
      </c>
      <c r="AJ2220" t="n">
        <v>15</v>
      </c>
      <c r="AK2220" t="n">
        <v>22</v>
      </c>
      <c r="AL2220" t="n">
        <v>0</v>
      </c>
      <c r="AM2220" t="n">
        <v>0</v>
      </c>
      <c r="AN2220" t="n">
        <v>0</v>
      </c>
      <c r="AO2220" t="n">
        <v>0</v>
      </c>
      <c r="AP2220" t="inlineStr">
        <is>
          <t>No</t>
        </is>
      </c>
      <c r="AQ2220" t="inlineStr">
        <is>
          <t>No</t>
        </is>
      </c>
      <c r="AS2220">
        <f>HYPERLINK("https://creighton-primo.hosted.exlibrisgroup.com/primo-explore/search?tab=default_tab&amp;search_scope=EVERYTHING&amp;vid=01CRU&amp;lang=en_US&amp;offset=0&amp;query=any,contains,991004387689702656","Catalog Record")</f>
        <v/>
      </c>
      <c r="AT2220">
        <f>HYPERLINK("http://www.worldcat.org/oclc/3247358","WorldCat Record")</f>
        <v/>
      </c>
      <c r="AU2220" t="inlineStr">
        <is>
          <t>3373341080:eng</t>
        </is>
      </c>
      <c r="AV2220" t="inlineStr">
        <is>
          <t>3247358</t>
        </is>
      </c>
      <c r="AW2220" t="inlineStr">
        <is>
          <t>991004387689702656</t>
        </is>
      </c>
      <c r="AX2220" t="inlineStr">
        <is>
          <t>991004387689702656</t>
        </is>
      </c>
      <c r="AY2220" t="inlineStr">
        <is>
          <t>2270884750002656</t>
        </is>
      </c>
      <c r="AZ2220" t="inlineStr">
        <is>
          <t>BOOK</t>
        </is>
      </c>
      <c r="BC2220" t="inlineStr">
        <is>
          <t>32285000872282</t>
        </is>
      </c>
      <c r="BD2220" t="inlineStr">
        <is>
          <t>893706341</t>
        </is>
      </c>
    </row>
    <row r="2221">
      <c r="A2221" t="inlineStr">
        <is>
          <t>No</t>
        </is>
      </c>
      <c r="B2221" t="inlineStr">
        <is>
          <t>BX4700.V6 C652 1952</t>
        </is>
      </c>
      <c r="C2221" t="inlineStr">
        <is>
          <t>0                      BX 4700000V  6                  C  652         1952</t>
        </is>
      </c>
      <c r="D2221" t="inlineStr">
        <is>
          <t>The life &amp; works of Saint Vincent de Paul : (Monsieur Vincent: le grand saint du grand siècle) / Translated from the French by Joseph Leonard.</t>
        </is>
      </c>
      <c r="E2221" t="inlineStr">
        <is>
          <t>V.2</t>
        </is>
      </c>
      <c r="F2221" t="inlineStr">
        <is>
          <t>Yes</t>
        </is>
      </c>
      <c r="G2221" t="inlineStr">
        <is>
          <t>1</t>
        </is>
      </c>
      <c r="H2221" t="inlineStr">
        <is>
          <t>No</t>
        </is>
      </c>
      <c r="I2221" t="inlineStr">
        <is>
          <t>No</t>
        </is>
      </c>
      <c r="J2221" t="inlineStr">
        <is>
          <t>0</t>
        </is>
      </c>
      <c r="K2221" t="inlineStr">
        <is>
          <t>Coste, Pierre.</t>
        </is>
      </c>
      <c r="L2221" t="inlineStr">
        <is>
          <t>Westminster, Md. : Newman Press, 1952.</t>
        </is>
      </c>
      <c r="M2221" t="inlineStr">
        <is>
          <t>1952</t>
        </is>
      </c>
      <c r="O2221" t="inlineStr">
        <is>
          <t>eng</t>
        </is>
      </c>
      <c r="P2221" t="inlineStr">
        <is>
          <t xml:space="preserve">xx </t>
        </is>
      </c>
      <c r="R2221" t="inlineStr">
        <is>
          <t xml:space="preserve">BX </t>
        </is>
      </c>
      <c r="S2221" t="n">
        <v>2</v>
      </c>
      <c r="T2221" t="n">
        <v>6</v>
      </c>
      <c r="U2221" t="inlineStr">
        <is>
          <t>1995-10-03</t>
        </is>
      </c>
      <c r="V2221" t="inlineStr">
        <is>
          <t>1995-10-03</t>
        </is>
      </c>
      <c r="W2221" t="inlineStr">
        <is>
          <t>1991-12-09</t>
        </is>
      </c>
      <c r="X2221" t="inlineStr">
        <is>
          <t>1991-12-09</t>
        </is>
      </c>
      <c r="Y2221" t="n">
        <v>113</v>
      </c>
      <c r="Z2221" t="n">
        <v>107</v>
      </c>
      <c r="AA2221" t="n">
        <v>162</v>
      </c>
      <c r="AB2221" t="n">
        <v>3</v>
      </c>
      <c r="AC2221" t="n">
        <v>3</v>
      </c>
      <c r="AD2221" t="n">
        <v>20</v>
      </c>
      <c r="AE2221" t="n">
        <v>29</v>
      </c>
      <c r="AF2221" t="n">
        <v>6</v>
      </c>
      <c r="AG2221" t="n">
        <v>8</v>
      </c>
      <c r="AH2221" t="n">
        <v>5</v>
      </c>
      <c r="AI2221" t="n">
        <v>8</v>
      </c>
      <c r="AJ2221" t="n">
        <v>15</v>
      </c>
      <c r="AK2221" t="n">
        <v>22</v>
      </c>
      <c r="AL2221" t="n">
        <v>0</v>
      </c>
      <c r="AM2221" t="n">
        <v>0</v>
      </c>
      <c r="AN2221" t="n">
        <v>0</v>
      </c>
      <c r="AO2221" t="n">
        <v>0</v>
      </c>
      <c r="AP2221" t="inlineStr">
        <is>
          <t>No</t>
        </is>
      </c>
      <c r="AQ2221" t="inlineStr">
        <is>
          <t>No</t>
        </is>
      </c>
      <c r="AS2221">
        <f>HYPERLINK("https://creighton-primo.hosted.exlibrisgroup.com/primo-explore/search?tab=default_tab&amp;search_scope=EVERYTHING&amp;vid=01CRU&amp;lang=en_US&amp;offset=0&amp;query=any,contains,991004387689702656","Catalog Record")</f>
        <v/>
      </c>
      <c r="AT2221">
        <f>HYPERLINK("http://www.worldcat.org/oclc/3247358","WorldCat Record")</f>
        <v/>
      </c>
      <c r="AU2221" t="inlineStr">
        <is>
          <t>3373341080:eng</t>
        </is>
      </c>
      <c r="AV2221" t="inlineStr">
        <is>
          <t>3247358</t>
        </is>
      </c>
      <c r="AW2221" t="inlineStr">
        <is>
          <t>991004387689702656</t>
        </is>
      </c>
      <c r="AX2221" t="inlineStr">
        <is>
          <t>991004387689702656</t>
        </is>
      </c>
      <c r="AY2221" t="inlineStr">
        <is>
          <t>2270884750002656</t>
        </is>
      </c>
      <c r="AZ2221" t="inlineStr">
        <is>
          <t>BOOK</t>
        </is>
      </c>
      <c r="BC2221" t="inlineStr">
        <is>
          <t>32285000872290</t>
        </is>
      </c>
      <c r="BD2221" t="inlineStr">
        <is>
          <t>893706340</t>
        </is>
      </c>
    </row>
    <row r="2222">
      <c r="A2222" t="inlineStr">
        <is>
          <t>No</t>
        </is>
      </c>
      <c r="B2222" t="inlineStr">
        <is>
          <t>BX4700.V7 H6 1911</t>
        </is>
      </c>
      <c r="C2222" t="inlineStr">
        <is>
          <t>0                      BX 4700000V  7                  H  6           1911</t>
        </is>
      </c>
      <c r="D2222" t="inlineStr">
        <is>
          <t>Saint Vincent Ferrer, O. P. / by Fr. Stanislaus M. Hogan.</t>
        </is>
      </c>
      <c r="F2222" t="inlineStr">
        <is>
          <t>No</t>
        </is>
      </c>
      <c r="G2222" t="inlineStr">
        <is>
          <t>1</t>
        </is>
      </c>
      <c r="H2222" t="inlineStr">
        <is>
          <t>No</t>
        </is>
      </c>
      <c r="I2222" t="inlineStr">
        <is>
          <t>No</t>
        </is>
      </c>
      <c r="J2222" t="inlineStr">
        <is>
          <t>0</t>
        </is>
      </c>
      <c r="K2222" t="inlineStr">
        <is>
          <t>Hogan, Stanislaus M., 1873-</t>
        </is>
      </c>
      <c r="L2222" t="inlineStr">
        <is>
          <t>New York ; London [etc.] Longmans, Green and co., 1911.</t>
        </is>
      </c>
      <c r="M2222" t="inlineStr">
        <is>
          <t>1911</t>
        </is>
      </c>
      <c r="O2222" t="inlineStr">
        <is>
          <t>eng</t>
        </is>
      </c>
      <c r="P2222" t="inlineStr">
        <is>
          <t xml:space="preserve">xx </t>
        </is>
      </c>
      <c r="Q2222" t="inlineStr">
        <is>
          <t>The Friar saints series</t>
        </is>
      </c>
      <c r="R2222" t="inlineStr">
        <is>
          <t xml:space="preserve">BX </t>
        </is>
      </c>
      <c r="S2222" t="n">
        <v>1</v>
      </c>
      <c r="T2222" t="n">
        <v>1</v>
      </c>
      <c r="U2222" t="inlineStr">
        <is>
          <t>1996-02-29</t>
        </is>
      </c>
      <c r="V2222" t="inlineStr">
        <is>
          <t>1996-02-29</t>
        </is>
      </c>
      <c r="W2222" t="inlineStr">
        <is>
          <t>1991-12-09</t>
        </is>
      </c>
      <c r="X2222" t="inlineStr">
        <is>
          <t>1991-12-09</t>
        </is>
      </c>
      <c r="Y2222" t="n">
        <v>51</v>
      </c>
      <c r="Z2222" t="n">
        <v>43</v>
      </c>
      <c r="AA2222" t="n">
        <v>55</v>
      </c>
      <c r="AB2222" t="n">
        <v>2</v>
      </c>
      <c r="AC2222" t="n">
        <v>2</v>
      </c>
      <c r="AD2222" t="n">
        <v>10</v>
      </c>
      <c r="AE2222" t="n">
        <v>10</v>
      </c>
      <c r="AF2222" t="n">
        <v>4</v>
      </c>
      <c r="AG2222" t="n">
        <v>4</v>
      </c>
      <c r="AH2222" t="n">
        <v>3</v>
      </c>
      <c r="AI2222" t="n">
        <v>3</v>
      </c>
      <c r="AJ2222" t="n">
        <v>8</v>
      </c>
      <c r="AK2222" t="n">
        <v>8</v>
      </c>
      <c r="AL2222" t="n">
        <v>0</v>
      </c>
      <c r="AM2222" t="n">
        <v>0</v>
      </c>
      <c r="AN2222" t="n">
        <v>0</v>
      </c>
      <c r="AO2222" t="n">
        <v>0</v>
      </c>
      <c r="AP2222" t="inlineStr">
        <is>
          <t>Yes</t>
        </is>
      </c>
      <c r="AQ2222" t="inlineStr">
        <is>
          <t>No</t>
        </is>
      </c>
      <c r="AR2222">
        <f>HYPERLINK("http://catalog.hathitrust.org/Record/102669302","HathiTrust Record")</f>
        <v/>
      </c>
      <c r="AS2222">
        <f>HYPERLINK("https://creighton-primo.hosted.exlibrisgroup.com/primo-explore/search?tab=default_tab&amp;search_scope=EVERYTHING&amp;vid=01CRU&amp;lang=en_US&amp;offset=0&amp;query=any,contains,991004467309702656","Catalog Record")</f>
        <v/>
      </c>
      <c r="AT2222">
        <f>HYPERLINK("http://www.worldcat.org/oclc/3579098","WorldCat Record")</f>
        <v/>
      </c>
      <c r="AU2222" t="inlineStr">
        <is>
          <t>11091383:eng</t>
        </is>
      </c>
      <c r="AV2222" t="inlineStr">
        <is>
          <t>3579098</t>
        </is>
      </c>
      <c r="AW2222" t="inlineStr">
        <is>
          <t>991004467309702656</t>
        </is>
      </c>
      <c r="AX2222" t="inlineStr">
        <is>
          <t>991004467309702656</t>
        </is>
      </c>
      <c r="AY2222" t="inlineStr">
        <is>
          <t>2270482920002656</t>
        </is>
      </c>
      <c r="AZ2222" t="inlineStr">
        <is>
          <t>BOOK</t>
        </is>
      </c>
      <c r="BC2222" t="inlineStr">
        <is>
          <t>32285000872332</t>
        </is>
      </c>
      <c r="BD2222" t="inlineStr">
        <is>
          <t>893526123</t>
        </is>
      </c>
    </row>
    <row r="2223">
      <c r="A2223" t="inlineStr">
        <is>
          <t>No</t>
        </is>
      </c>
      <c r="B2223" t="inlineStr">
        <is>
          <t>BX4700.W4 D8 1929</t>
        </is>
      </c>
      <c r="C2223" t="inlineStr">
        <is>
          <t>0                      BX 4700000W  4                  D  8           1929</t>
        </is>
      </c>
      <c r="D2223" t="inlineStr">
        <is>
          <t>The life of Saint Wenceslas / by the Rev. Fr. Dvornik.</t>
        </is>
      </c>
      <c r="F2223" t="inlineStr">
        <is>
          <t>No</t>
        </is>
      </c>
      <c r="G2223" t="inlineStr">
        <is>
          <t>1</t>
        </is>
      </c>
      <c r="H2223" t="inlineStr">
        <is>
          <t>No</t>
        </is>
      </c>
      <c r="I2223" t="inlineStr">
        <is>
          <t>No</t>
        </is>
      </c>
      <c r="J2223" t="inlineStr">
        <is>
          <t>0</t>
        </is>
      </c>
      <c r="K2223" t="inlineStr">
        <is>
          <t>Dvornik, Francis, 1893-1975.</t>
        </is>
      </c>
      <c r="L2223" t="inlineStr">
        <is>
          <t>Prague : [State printing office], 1929.</t>
        </is>
      </c>
      <c r="M2223" t="inlineStr">
        <is>
          <t>1929</t>
        </is>
      </c>
      <c r="O2223" t="inlineStr">
        <is>
          <t>eng</t>
        </is>
      </c>
      <c r="P2223" t="inlineStr">
        <is>
          <t xml:space="preserve">xx </t>
        </is>
      </c>
      <c r="R2223" t="inlineStr">
        <is>
          <t xml:space="preserve">BX </t>
        </is>
      </c>
      <c r="S2223" t="n">
        <v>3</v>
      </c>
      <c r="T2223" t="n">
        <v>3</v>
      </c>
      <c r="U2223" t="inlineStr">
        <is>
          <t>1995-11-02</t>
        </is>
      </c>
      <c r="V2223" t="inlineStr">
        <is>
          <t>1995-11-02</t>
        </is>
      </c>
      <c r="W2223" t="inlineStr">
        <is>
          <t>1991-12-09</t>
        </is>
      </c>
      <c r="X2223" t="inlineStr">
        <is>
          <t>1991-12-09</t>
        </is>
      </c>
      <c r="Y2223" t="n">
        <v>75</v>
      </c>
      <c r="Z2223" t="n">
        <v>67</v>
      </c>
      <c r="AA2223" t="n">
        <v>69</v>
      </c>
      <c r="AB2223" t="n">
        <v>4</v>
      </c>
      <c r="AC2223" t="n">
        <v>5</v>
      </c>
      <c r="AD2223" t="n">
        <v>14</v>
      </c>
      <c r="AE2223" t="n">
        <v>14</v>
      </c>
      <c r="AF2223" t="n">
        <v>4</v>
      </c>
      <c r="AG2223" t="n">
        <v>4</v>
      </c>
      <c r="AH2223" t="n">
        <v>2</v>
      </c>
      <c r="AI2223" t="n">
        <v>2</v>
      </c>
      <c r="AJ2223" t="n">
        <v>9</v>
      </c>
      <c r="AK2223" t="n">
        <v>9</v>
      </c>
      <c r="AL2223" t="n">
        <v>2</v>
      </c>
      <c r="AM2223" t="n">
        <v>2</v>
      </c>
      <c r="AN2223" t="n">
        <v>0</v>
      </c>
      <c r="AO2223" t="n">
        <v>0</v>
      </c>
      <c r="AP2223" t="inlineStr">
        <is>
          <t>No</t>
        </is>
      </c>
      <c r="AQ2223" t="inlineStr">
        <is>
          <t>No</t>
        </is>
      </c>
      <c r="AS2223">
        <f>HYPERLINK("https://creighton-primo.hosted.exlibrisgroup.com/primo-explore/search?tab=default_tab&amp;search_scope=EVERYTHING&amp;vid=01CRU&amp;lang=en_US&amp;offset=0&amp;query=any,contains,991004441119702656","Catalog Record")</f>
        <v/>
      </c>
      <c r="AT2223">
        <f>HYPERLINK("http://www.worldcat.org/oclc/3462797","WorldCat Record")</f>
        <v/>
      </c>
      <c r="AU2223" t="inlineStr">
        <is>
          <t>444274411:eng</t>
        </is>
      </c>
      <c r="AV2223" t="inlineStr">
        <is>
          <t>3462797</t>
        </is>
      </c>
      <c r="AW2223" t="inlineStr">
        <is>
          <t>991004441119702656</t>
        </is>
      </c>
      <c r="AX2223" t="inlineStr">
        <is>
          <t>991004441119702656</t>
        </is>
      </c>
      <c r="AY2223" t="inlineStr">
        <is>
          <t>2272345090002656</t>
        </is>
      </c>
      <c r="AZ2223" t="inlineStr">
        <is>
          <t>BOOK</t>
        </is>
      </c>
      <c r="BC2223" t="inlineStr">
        <is>
          <t>32285000872365</t>
        </is>
      </c>
      <c r="BD2223" t="inlineStr">
        <is>
          <t>893337736</t>
        </is>
      </c>
    </row>
    <row r="2224">
      <c r="A2224" t="inlineStr">
        <is>
          <t>No</t>
        </is>
      </c>
      <c r="B2224" t="inlineStr">
        <is>
          <t>BX4700.W5 E413 1985</t>
        </is>
      </c>
      <c r="C2224" t="inlineStr">
        <is>
          <t>0                      BX 4700000W  5                  E  413         1985</t>
        </is>
      </c>
      <c r="D2224" t="inlineStr">
        <is>
          <t>The life of Bishop Wilfrid / by Eddius Stephanus ; text, translation, and notes by Bertram Colgrave.</t>
        </is>
      </c>
      <c r="F2224" t="inlineStr">
        <is>
          <t>No</t>
        </is>
      </c>
      <c r="G2224" t="inlineStr">
        <is>
          <t>1</t>
        </is>
      </c>
      <c r="H2224" t="inlineStr">
        <is>
          <t>No</t>
        </is>
      </c>
      <c r="I2224" t="inlineStr">
        <is>
          <t>No</t>
        </is>
      </c>
      <c r="J2224" t="inlineStr">
        <is>
          <t>0</t>
        </is>
      </c>
      <c r="K2224" t="inlineStr">
        <is>
          <t>Eddius Stephanus.</t>
        </is>
      </c>
      <c r="L2224" t="inlineStr">
        <is>
          <t>Cambridge [Cambridgeshire] ; New York : Cambridge University Press, [1985], c1927.</t>
        </is>
      </c>
      <c r="M2224" t="inlineStr">
        <is>
          <t>1985</t>
        </is>
      </c>
      <c r="O2224" t="inlineStr">
        <is>
          <t>eng</t>
        </is>
      </c>
      <c r="P2224" t="inlineStr">
        <is>
          <t>enk</t>
        </is>
      </c>
      <c r="R2224" t="inlineStr">
        <is>
          <t xml:space="preserve">BX </t>
        </is>
      </c>
      <c r="S2224" t="n">
        <v>0</v>
      </c>
      <c r="T2224" t="n">
        <v>0</v>
      </c>
      <c r="U2224" t="inlineStr">
        <is>
          <t>2006-03-28</t>
        </is>
      </c>
      <c r="V2224" t="inlineStr">
        <is>
          <t>2006-03-28</t>
        </is>
      </c>
      <c r="W2224" t="inlineStr">
        <is>
          <t>1990-04-03</t>
        </is>
      </c>
      <c r="X2224" t="inlineStr">
        <is>
          <t>1990-04-03</t>
        </is>
      </c>
      <c r="Y2224" t="n">
        <v>249</v>
      </c>
      <c r="Z2224" t="n">
        <v>180</v>
      </c>
      <c r="AA2224" t="n">
        <v>242</v>
      </c>
      <c r="AB2224" t="n">
        <v>1</v>
      </c>
      <c r="AC2224" t="n">
        <v>2</v>
      </c>
      <c r="AD2224" t="n">
        <v>13</v>
      </c>
      <c r="AE2224" t="n">
        <v>14</v>
      </c>
      <c r="AF2224" t="n">
        <v>4</v>
      </c>
      <c r="AG2224" t="n">
        <v>4</v>
      </c>
      <c r="AH2224" t="n">
        <v>3</v>
      </c>
      <c r="AI2224" t="n">
        <v>3</v>
      </c>
      <c r="AJ2224" t="n">
        <v>9</v>
      </c>
      <c r="AK2224" t="n">
        <v>9</v>
      </c>
      <c r="AL2224" t="n">
        <v>0</v>
      </c>
      <c r="AM2224" t="n">
        <v>1</v>
      </c>
      <c r="AN2224" t="n">
        <v>0</v>
      </c>
      <c r="AO2224" t="n">
        <v>0</v>
      </c>
      <c r="AP2224" t="inlineStr">
        <is>
          <t>No</t>
        </is>
      </c>
      <c r="AQ2224" t="inlineStr">
        <is>
          <t>No</t>
        </is>
      </c>
      <c r="AS2224">
        <f>HYPERLINK("https://creighton-primo.hosted.exlibrisgroup.com/primo-explore/search?tab=default_tab&amp;search_scope=EVERYTHING&amp;vid=01CRU&amp;lang=en_US&amp;offset=0&amp;query=any,contains,991000663019702656","Catalog Record")</f>
        <v/>
      </c>
      <c r="AT2224">
        <f>HYPERLINK("http://www.worldcat.org/oclc/12262208","WorldCat Record")</f>
        <v/>
      </c>
      <c r="AU2224" t="inlineStr">
        <is>
          <t>4906606:eng</t>
        </is>
      </c>
      <c r="AV2224" t="inlineStr">
        <is>
          <t>12262208</t>
        </is>
      </c>
      <c r="AW2224" t="inlineStr">
        <is>
          <t>991000663019702656</t>
        </is>
      </c>
      <c r="AX2224" t="inlineStr">
        <is>
          <t>991000663019702656</t>
        </is>
      </c>
      <c r="AY2224" t="inlineStr">
        <is>
          <t>2270650660002656</t>
        </is>
      </c>
      <c r="AZ2224" t="inlineStr">
        <is>
          <t>BOOK</t>
        </is>
      </c>
      <c r="BB2224" t="inlineStr">
        <is>
          <t>9780521313872</t>
        </is>
      </c>
      <c r="BC2224" t="inlineStr">
        <is>
          <t>32285000093517</t>
        </is>
      </c>
      <c r="BD2224" t="inlineStr">
        <is>
          <t>893249554</t>
        </is>
      </c>
    </row>
    <row r="2225">
      <c r="A2225" t="inlineStr">
        <is>
          <t>No</t>
        </is>
      </c>
      <c r="B2225" t="inlineStr">
        <is>
          <t>BX4705 .C33 G8 1922 V2</t>
        </is>
      </c>
      <c r="C2225" t="inlineStr">
        <is>
          <t>0                      BX 4705000C  33                 G  8           1922   V  2</t>
        </is>
      </c>
      <c r="D2225" t="inlineStr">
        <is>
          <t>The life and times of John Carroll : Archbishop of Baltimore, 1735-1815.</t>
        </is>
      </c>
      <c r="F2225" t="inlineStr">
        <is>
          <t>No</t>
        </is>
      </c>
      <c r="G2225" t="inlineStr">
        <is>
          <t>1</t>
        </is>
      </c>
      <c r="H2225" t="inlineStr">
        <is>
          <t>Yes</t>
        </is>
      </c>
      <c r="I2225" t="inlineStr">
        <is>
          <t>Yes</t>
        </is>
      </c>
      <c r="J2225" t="inlineStr">
        <is>
          <t>0</t>
        </is>
      </c>
      <c r="K2225" t="inlineStr">
        <is>
          <t>Guilday, Peter, 1884-1947.</t>
        </is>
      </c>
      <c r="L2225" t="inlineStr">
        <is>
          <t>New York : Encyclopedia Press, 1922.</t>
        </is>
      </c>
      <c r="M2225" t="inlineStr">
        <is>
          <t>1922</t>
        </is>
      </c>
      <c r="O2225" t="inlineStr">
        <is>
          <t>eng</t>
        </is>
      </c>
      <c r="P2225" t="inlineStr">
        <is>
          <t xml:space="preserve">xx </t>
        </is>
      </c>
      <c r="R2225" t="inlineStr">
        <is>
          <t xml:space="preserve">BX </t>
        </is>
      </c>
      <c r="S2225" t="n">
        <v>2</v>
      </c>
      <c r="T2225" t="n">
        <v>4</v>
      </c>
      <c r="U2225" t="inlineStr">
        <is>
          <t>2006-02-27</t>
        </is>
      </c>
      <c r="V2225" t="inlineStr">
        <is>
          <t>2006-02-27</t>
        </is>
      </c>
      <c r="W2225" t="inlineStr">
        <is>
          <t>1991-12-12</t>
        </is>
      </c>
      <c r="X2225" t="inlineStr">
        <is>
          <t>1991-12-12</t>
        </is>
      </c>
      <c r="Y2225" t="n">
        <v>182</v>
      </c>
      <c r="Z2225" t="n">
        <v>166</v>
      </c>
      <c r="AA2225" t="n">
        <v>396</v>
      </c>
      <c r="AB2225" t="n">
        <v>2</v>
      </c>
      <c r="AC2225" t="n">
        <v>5</v>
      </c>
      <c r="AD2225" t="n">
        <v>22</v>
      </c>
      <c r="AE2225" t="n">
        <v>37</v>
      </c>
      <c r="AF2225" t="n">
        <v>6</v>
      </c>
      <c r="AG2225" t="n">
        <v>14</v>
      </c>
      <c r="AH2225" t="n">
        <v>5</v>
      </c>
      <c r="AI2225" t="n">
        <v>8</v>
      </c>
      <c r="AJ2225" t="n">
        <v>16</v>
      </c>
      <c r="AK2225" t="n">
        <v>24</v>
      </c>
      <c r="AL2225" t="n">
        <v>1</v>
      </c>
      <c r="AM2225" t="n">
        <v>3</v>
      </c>
      <c r="AN2225" t="n">
        <v>0</v>
      </c>
      <c r="AO2225" t="n">
        <v>0</v>
      </c>
      <c r="AP2225" t="inlineStr">
        <is>
          <t>Yes</t>
        </is>
      </c>
      <c r="AQ2225" t="inlineStr">
        <is>
          <t>No</t>
        </is>
      </c>
      <c r="AR2225">
        <f>HYPERLINK("http://catalog.hathitrust.org/Record/007706673","HathiTrust Record")</f>
        <v/>
      </c>
      <c r="AS2225">
        <f>HYPERLINK("https://creighton-primo.hosted.exlibrisgroup.com/primo-explore/search?tab=default_tab&amp;search_scope=EVERYTHING&amp;vid=01CRU&amp;lang=en_US&amp;offset=0&amp;query=any,contains,991003590099702656","Catalog Record")</f>
        <v/>
      </c>
      <c r="AT2225">
        <f>HYPERLINK("http://www.worldcat.org/oclc/1172406","WorldCat Record")</f>
        <v/>
      </c>
      <c r="AU2225" t="inlineStr">
        <is>
          <t>146573444:eng</t>
        </is>
      </c>
      <c r="AV2225" t="inlineStr">
        <is>
          <t>1172406</t>
        </is>
      </c>
      <c r="AW2225" t="inlineStr">
        <is>
          <t>991003590099702656</t>
        </is>
      </c>
      <c r="AX2225" t="inlineStr">
        <is>
          <t>991003590099702656</t>
        </is>
      </c>
      <c r="AY2225" t="inlineStr">
        <is>
          <t>2266999170002656</t>
        </is>
      </c>
      <c r="AZ2225" t="inlineStr">
        <is>
          <t>BOOK</t>
        </is>
      </c>
      <c r="BC2225" t="inlineStr">
        <is>
          <t>32285000874130</t>
        </is>
      </c>
      <c r="BD2225" t="inlineStr">
        <is>
          <t>893531335</t>
        </is>
      </c>
    </row>
    <row r="2226">
      <c r="A2226" t="inlineStr">
        <is>
          <t>No</t>
        </is>
      </c>
      <c r="B2226" t="inlineStr">
        <is>
          <t>BX4705 .D8 1983</t>
        </is>
      </c>
      <c r="C2226" t="inlineStr">
        <is>
          <t>0                      BX 4705000D  8           1983</t>
        </is>
      </c>
      <c r="D2226" t="inlineStr">
        <is>
          <t>John Dubois, founding father : the life and times of the founder of Mount St. Mary's College, Emmitsburg ; superior of the Sisters of Charity ; and third bishop of the diocese of New York / by Richard Shaw.</t>
        </is>
      </c>
      <c r="F2226" t="inlineStr">
        <is>
          <t>No</t>
        </is>
      </c>
      <c r="G2226" t="inlineStr">
        <is>
          <t>1</t>
        </is>
      </c>
      <c r="H2226" t="inlineStr">
        <is>
          <t>No</t>
        </is>
      </c>
      <c r="I2226" t="inlineStr">
        <is>
          <t>No</t>
        </is>
      </c>
      <c r="J2226" t="inlineStr">
        <is>
          <t>0</t>
        </is>
      </c>
      <c r="K2226" t="inlineStr">
        <is>
          <t>Shaw, Richard.</t>
        </is>
      </c>
      <c r="L2226" t="inlineStr">
        <is>
          <t>Yonkers,N.Y. : United States Catholic Historical Society ; Emmitsburg,Md. : Mount Saint Mary's College, 1983.</t>
        </is>
      </c>
      <c r="M2226" t="inlineStr">
        <is>
          <t>1983</t>
        </is>
      </c>
      <c r="O2226" t="inlineStr">
        <is>
          <t>eng</t>
        </is>
      </c>
      <c r="P2226" t="inlineStr">
        <is>
          <t>nyu</t>
        </is>
      </c>
      <c r="Q2226" t="inlineStr">
        <is>
          <t>United States Catholic Historical Society. Monograph series; v.38</t>
        </is>
      </c>
      <c r="R2226" t="inlineStr">
        <is>
          <t xml:space="preserve">BX </t>
        </is>
      </c>
      <c r="S2226" t="n">
        <v>2</v>
      </c>
      <c r="T2226" t="n">
        <v>2</v>
      </c>
      <c r="U2226" t="inlineStr">
        <is>
          <t>1996-09-16</t>
        </is>
      </c>
      <c r="V2226" t="inlineStr">
        <is>
          <t>1996-09-16</t>
        </is>
      </c>
      <c r="W2226" t="inlineStr">
        <is>
          <t>1991-12-19</t>
        </is>
      </c>
      <c r="X2226" t="inlineStr">
        <is>
          <t>1991-12-19</t>
        </is>
      </c>
      <c r="Y2226" t="n">
        <v>129</v>
      </c>
      <c r="Z2226" t="n">
        <v>127</v>
      </c>
      <c r="AA2226" t="n">
        <v>129</v>
      </c>
      <c r="AB2226" t="n">
        <v>3</v>
      </c>
      <c r="AC2226" t="n">
        <v>3</v>
      </c>
      <c r="AD2226" t="n">
        <v>19</v>
      </c>
      <c r="AE2226" t="n">
        <v>19</v>
      </c>
      <c r="AF2226" t="n">
        <v>8</v>
      </c>
      <c r="AG2226" t="n">
        <v>8</v>
      </c>
      <c r="AH2226" t="n">
        <v>5</v>
      </c>
      <c r="AI2226" t="n">
        <v>5</v>
      </c>
      <c r="AJ2226" t="n">
        <v>14</v>
      </c>
      <c r="AK2226" t="n">
        <v>14</v>
      </c>
      <c r="AL2226" t="n">
        <v>0</v>
      </c>
      <c r="AM2226" t="n">
        <v>0</v>
      </c>
      <c r="AN2226" t="n">
        <v>0</v>
      </c>
      <c r="AO2226" t="n">
        <v>0</v>
      </c>
      <c r="AP2226" t="inlineStr">
        <is>
          <t>No</t>
        </is>
      </c>
      <c r="AQ2226" t="inlineStr">
        <is>
          <t>Yes</t>
        </is>
      </c>
      <c r="AR2226">
        <f>HYPERLINK("http://catalog.hathitrust.org/Record/000406568","HathiTrust Record")</f>
        <v/>
      </c>
      <c r="AS2226">
        <f>HYPERLINK("https://creighton-primo.hosted.exlibrisgroup.com/primo-explore/search?tab=default_tab&amp;search_scope=EVERYTHING&amp;vid=01CRU&amp;lang=en_US&amp;offset=0&amp;query=any,contains,991000373099702656","Catalog Record")</f>
        <v/>
      </c>
      <c r="AT2226">
        <f>HYPERLINK("http://www.worldcat.org/oclc/10443950","WorldCat Record")</f>
        <v/>
      </c>
      <c r="AU2226" t="inlineStr">
        <is>
          <t>197816036:eng</t>
        </is>
      </c>
      <c r="AV2226" t="inlineStr">
        <is>
          <t>10443950</t>
        </is>
      </c>
      <c r="AW2226" t="inlineStr">
        <is>
          <t>991000373099702656</t>
        </is>
      </c>
      <c r="AX2226" t="inlineStr">
        <is>
          <t>991000373099702656</t>
        </is>
      </c>
      <c r="AY2226" t="inlineStr">
        <is>
          <t>2264792210002656</t>
        </is>
      </c>
      <c r="AZ2226" t="inlineStr">
        <is>
          <t>BOOK</t>
        </is>
      </c>
      <c r="BB2226" t="inlineStr">
        <is>
          <t>9780930060183</t>
        </is>
      </c>
      <c r="BC2226" t="inlineStr">
        <is>
          <t>32285000908219</t>
        </is>
      </c>
      <c r="BD2226" t="inlineStr">
        <is>
          <t>893802704</t>
        </is>
      </c>
    </row>
    <row r="2227">
      <c r="A2227" t="inlineStr">
        <is>
          <t>No</t>
        </is>
      </c>
      <c r="B2227" t="inlineStr">
        <is>
          <t>BX4705 .S86 1992</t>
        </is>
      </c>
      <c r="C2227" t="inlineStr">
        <is>
          <t>0                      BX 4705000S  86          1992</t>
        </is>
      </c>
      <c r="D2227" t="inlineStr">
        <is>
          <t>Memories and hopes / Leon-Joseph Cardinal Suenens ; translated by Elena French.</t>
        </is>
      </c>
      <c r="F2227" t="inlineStr">
        <is>
          <t>No</t>
        </is>
      </c>
      <c r="G2227" t="inlineStr">
        <is>
          <t>1</t>
        </is>
      </c>
      <c r="H2227" t="inlineStr">
        <is>
          <t>No</t>
        </is>
      </c>
      <c r="I2227" t="inlineStr">
        <is>
          <t>No</t>
        </is>
      </c>
      <c r="J2227" t="inlineStr">
        <is>
          <t>0</t>
        </is>
      </c>
      <c r="K2227" t="inlineStr">
        <is>
          <t>Suenens, Léon Joseph, 1904-1996.</t>
        </is>
      </c>
      <c r="L2227" t="inlineStr">
        <is>
          <t>Dublin : Veritas, 1992.</t>
        </is>
      </c>
      <c r="M2227" t="inlineStr">
        <is>
          <t>1992</t>
        </is>
      </c>
      <c r="O2227" t="inlineStr">
        <is>
          <t>eng</t>
        </is>
      </c>
      <c r="P2227" t="inlineStr">
        <is>
          <t xml:space="preserve">ie </t>
        </is>
      </c>
      <c r="R2227" t="inlineStr">
        <is>
          <t xml:space="preserve">BX </t>
        </is>
      </c>
      <c r="S2227" t="n">
        <v>9</v>
      </c>
      <c r="T2227" t="n">
        <v>9</v>
      </c>
      <c r="U2227" t="inlineStr">
        <is>
          <t>2008-12-03</t>
        </is>
      </c>
      <c r="V2227" t="inlineStr">
        <is>
          <t>2008-12-03</t>
        </is>
      </c>
      <c r="W2227" t="inlineStr">
        <is>
          <t>1993-10-16</t>
        </is>
      </c>
      <c r="X2227" t="inlineStr">
        <is>
          <t>1993-10-16</t>
        </is>
      </c>
      <c r="Y2227" t="n">
        <v>81</v>
      </c>
      <c r="Z2227" t="n">
        <v>62</v>
      </c>
      <c r="AA2227" t="n">
        <v>209</v>
      </c>
      <c r="AB2227" t="n">
        <v>1</v>
      </c>
      <c r="AC2227" t="n">
        <v>4</v>
      </c>
      <c r="AD2227" t="n">
        <v>10</v>
      </c>
      <c r="AE2227" t="n">
        <v>32</v>
      </c>
      <c r="AF2227" t="n">
        <v>1</v>
      </c>
      <c r="AG2227" t="n">
        <v>12</v>
      </c>
      <c r="AH2227" t="n">
        <v>2</v>
      </c>
      <c r="AI2227" t="n">
        <v>8</v>
      </c>
      <c r="AJ2227" t="n">
        <v>7</v>
      </c>
      <c r="AK2227" t="n">
        <v>22</v>
      </c>
      <c r="AL2227" t="n">
        <v>0</v>
      </c>
      <c r="AM2227" t="n">
        <v>1</v>
      </c>
      <c r="AN2227" t="n">
        <v>0</v>
      </c>
      <c r="AO2227" t="n">
        <v>0</v>
      </c>
      <c r="AP2227" t="inlineStr">
        <is>
          <t>No</t>
        </is>
      </c>
      <c r="AQ2227" t="inlineStr">
        <is>
          <t>No</t>
        </is>
      </c>
      <c r="AS2227">
        <f>HYPERLINK("https://creighton-primo.hosted.exlibrisgroup.com/primo-explore/search?tab=default_tab&amp;search_scope=EVERYTHING&amp;vid=01CRU&amp;lang=en_US&amp;offset=0&amp;query=any,contains,991002070789702656","Catalog Record")</f>
        <v/>
      </c>
      <c r="AT2227">
        <f>HYPERLINK("http://www.worldcat.org/oclc/26541830","WorldCat Record")</f>
        <v/>
      </c>
      <c r="AU2227" t="inlineStr">
        <is>
          <t>196951902:eng</t>
        </is>
      </c>
      <c r="AV2227" t="inlineStr">
        <is>
          <t>26541830</t>
        </is>
      </c>
      <c r="AW2227" t="inlineStr">
        <is>
          <t>991002070789702656</t>
        </is>
      </c>
      <c r="AX2227" t="inlineStr">
        <is>
          <t>991002070789702656</t>
        </is>
      </c>
      <c r="AY2227" t="inlineStr">
        <is>
          <t>2264250800002656</t>
        </is>
      </c>
      <c r="AZ2227" t="inlineStr">
        <is>
          <t>BOOK</t>
        </is>
      </c>
      <c r="BB2227" t="inlineStr">
        <is>
          <t>9781853901294</t>
        </is>
      </c>
      <c r="BC2227" t="inlineStr">
        <is>
          <t>32285001786507</t>
        </is>
      </c>
      <c r="BD2227" t="inlineStr">
        <is>
          <t>893529498</t>
        </is>
      </c>
    </row>
    <row r="2228">
      <c r="A2228" t="inlineStr">
        <is>
          <t>No</t>
        </is>
      </c>
      <c r="B2228" t="inlineStr">
        <is>
          <t>BX4705.A2 G5</t>
        </is>
      </c>
      <c r="C2228" t="inlineStr">
        <is>
          <t>0                      BX 4705000A  2                  G  5</t>
        </is>
      </c>
      <c r="D2228" t="inlineStr">
        <is>
          <t>Heloise et Abelard.</t>
        </is>
      </c>
      <c r="F2228" t="inlineStr">
        <is>
          <t>No</t>
        </is>
      </c>
      <c r="G2228" t="inlineStr">
        <is>
          <t>1</t>
        </is>
      </c>
      <c r="H2228" t="inlineStr">
        <is>
          <t>No</t>
        </is>
      </c>
      <c r="I2228" t="inlineStr">
        <is>
          <t>No</t>
        </is>
      </c>
      <c r="J2228" t="inlineStr">
        <is>
          <t>0</t>
        </is>
      </c>
      <c r="K2228" t="inlineStr">
        <is>
          <t>Gilson, Étienne, 1884-1978.</t>
        </is>
      </c>
      <c r="L2228" t="inlineStr">
        <is>
          <t>Paris, J. Vrin, 1938.</t>
        </is>
      </c>
      <c r="M2228" t="inlineStr">
        <is>
          <t>1938</t>
        </is>
      </c>
      <c r="O2228" t="inlineStr">
        <is>
          <t>fre</t>
        </is>
      </c>
      <c r="P2228" t="inlineStr">
        <is>
          <t xml:space="preserve">fr </t>
        </is>
      </c>
      <c r="Q2228" t="inlineStr">
        <is>
          <t>Essais d'art et de philosophie</t>
        </is>
      </c>
      <c r="R2228" t="inlineStr">
        <is>
          <t xml:space="preserve">BX </t>
        </is>
      </c>
      <c r="S2228" t="n">
        <v>2</v>
      </c>
      <c r="T2228" t="n">
        <v>2</v>
      </c>
      <c r="U2228" t="inlineStr">
        <is>
          <t>2001-02-22</t>
        </is>
      </c>
      <c r="V2228" t="inlineStr">
        <is>
          <t>2001-02-22</t>
        </is>
      </c>
      <c r="W2228" t="inlineStr">
        <is>
          <t>1991-12-10</t>
        </is>
      </c>
      <c r="X2228" t="inlineStr">
        <is>
          <t>1991-12-10</t>
        </is>
      </c>
      <c r="Y2228" t="n">
        <v>119</v>
      </c>
      <c r="Z2228" t="n">
        <v>83</v>
      </c>
      <c r="AA2228" t="n">
        <v>186</v>
      </c>
      <c r="AB2228" t="n">
        <v>2</v>
      </c>
      <c r="AC2228" t="n">
        <v>2</v>
      </c>
      <c r="AD2228" t="n">
        <v>9</v>
      </c>
      <c r="AE2228" t="n">
        <v>17</v>
      </c>
      <c r="AF2228" t="n">
        <v>1</v>
      </c>
      <c r="AG2228" t="n">
        <v>4</v>
      </c>
      <c r="AH2228" t="n">
        <v>3</v>
      </c>
      <c r="AI2228" t="n">
        <v>5</v>
      </c>
      <c r="AJ2228" t="n">
        <v>5</v>
      </c>
      <c r="AK2228" t="n">
        <v>12</v>
      </c>
      <c r="AL2228" t="n">
        <v>1</v>
      </c>
      <c r="AM2228" t="n">
        <v>1</v>
      </c>
      <c r="AN2228" t="n">
        <v>0</v>
      </c>
      <c r="AO2228" t="n">
        <v>0</v>
      </c>
      <c r="AP2228" t="inlineStr">
        <is>
          <t>No</t>
        </is>
      </c>
      <c r="AQ2228" t="inlineStr">
        <is>
          <t>Yes</t>
        </is>
      </c>
      <c r="AR2228">
        <f>HYPERLINK("http://catalog.hathitrust.org/Record/001381560","HathiTrust Record")</f>
        <v/>
      </c>
      <c r="AS2228">
        <f>HYPERLINK("https://creighton-primo.hosted.exlibrisgroup.com/primo-explore/search?tab=default_tab&amp;search_scope=EVERYTHING&amp;vid=01CRU&amp;lang=en_US&amp;offset=0&amp;query=any,contains,991004265569702656","Catalog Record")</f>
        <v/>
      </c>
      <c r="AT2228">
        <f>HYPERLINK("http://www.worldcat.org/oclc/2863230","WorldCat Record")</f>
        <v/>
      </c>
      <c r="AU2228" t="inlineStr">
        <is>
          <t>3768396698:fre</t>
        </is>
      </c>
      <c r="AV2228" t="inlineStr">
        <is>
          <t>2863230</t>
        </is>
      </c>
      <c r="AW2228" t="inlineStr">
        <is>
          <t>991004265569702656</t>
        </is>
      </c>
      <c r="AX2228" t="inlineStr">
        <is>
          <t>991004265569702656</t>
        </is>
      </c>
      <c r="AY2228" t="inlineStr">
        <is>
          <t>2267929850002656</t>
        </is>
      </c>
      <c r="AZ2228" t="inlineStr">
        <is>
          <t>BOOK</t>
        </is>
      </c>
      <c r="BC2228" t="inlineStr">
        <is>
          <t>32285000873306</t>
        </is>
      </c>
      <c r="BD2228" t="inlineStr">
        <is>
          <t>893331381</t>
        </is>
      </c>
    </row>
    <row r="2229">
      <c r="A2229" t="inlineStr">
        <is>
          <t>No</t>
        </is>
      </c>
      <c r="B2229" t="inlineStr">
        <is>
          <t>BX4705.A2 G52</t>
        </is>
      </c>
      <c r="C2229" t="inlineStr">
        <is>
          <t>0                      BX 4705000A  2                  G  52</t>
        </is>
      </c>
      <c r="D2229" t="inlineStr">
        <is>
          <t>Heloise and Abelard / authorized translation by L. K. Shook.</t>
        </is>
      </c>
      <c r="F2229" t="inlineStr">
        <is>
          <t>No</t>
        </is>
      </c>
      <c r="G2229" t="inlineStr">
        <is>
          <t>1</t>
        </is>
      </c>
      <c r="H2229" t="inlineStr">
        <is>
          <t>No</t>
        </is>
      </c>
      <c r="I2229" t="inlineStr">
        <is>
          <t>No</t>
        </is>
      </c>
      <c r="J2229" t="inlineStr">
        <is>
          <t>0</t>
        </is>
      </c>
      <c r="K2229" t="inlineStr">
        <is>
          <t>Gilson, Étienne, 1884-1978.</t>
        </is>
      </c>
      <c r="L2229" t="inlineStr">
        <is>
          <t>Chicago : H. Regnery Co., [1951]</t>
        </is>
      </c>
      <c r="M2229" t="inlineStr">
        <is>
          <t>1951</t>
        </is>
      </c>
      <c r="N2229" t="inlineStr">
        <is>
          <t>1st ed.</t>
        </is>
      </c>
      <c r="O2229" t="inlineStr">
        <is>
          <t>eng</t>
        </is>
      </c>
      <c r="P2229" t="inlineStr">
        <is>
          <t xml:space="preserve">xx </t>
        </is>
      </c>
      <c r="R2229" t="inlineStr">
        <is>
          <t xml:space="preserve">BX </t>
        </is>
      </c>
      <c r="S2229" t="n">
        <v>10</v>
      </c>
      <c r="T2229" t="n">
        <v>10</v>
      </c>
      <c r="U2229" t="inlineStr">
        <is>
          <t>2004-10-06</t>
        </is>
      </c>
      <c r="V2229" t="inlineStr">
        <is>
          <t>2004-10-06</t>
        </is>
      </c>
      <c r="W2229" t="inlineStr">
        <is>
          <t>1990-06-28</t>
        </is>
      </c>
      <c r="X2229" t="inlineStr">
        <is>
          <t>1990-06-28</t>
        </is>
      </c>
      <c r="Y2229" t="n">
        <v>364</v>
      </c>
      <c r="Z2229" t="n">
        <v>336</v>
      </c>
      <c r="AA2229" t="n">
        <v>1180</v>
      </c>
      <c r="AB2229" t="n">
        <v>4</v>
      </c>
      <c r="AC2229" t="n">
        <v>12</v>
      </c>
      <c r="AD2229" t="n">
        <v>29</v>
      </c>
      <c r="AE2229" t="n">
        <v>53</v>
      </c>
      <c r="AF2229" t="n">
        <v>10</v>
      </c>
      <c r="AG2229" t="n">
        <v>22</v>
      </c>
      <c r="AH2229" t="n">
        <v>4</v>
      </c>
      <c r="AI2229" t="n">
        <v>10</v>
      </c>
      <c r="AJ2229" t="n">
        <v>23</v>
      </c>
      <c r="AK2229" t="n">
        <v>27</v>
      </c>
      <c r="AL2229" t="n">
        <v>1</v>
      </c>
      <c r="AM2229" t="n">
        <v>8</v>
      </c>
      <c r="AN2229" t="n">
        <v>0</v>
      </c>
      <c r="AO2229" t="n">
        <v>0</v>
      </c>
      <c r="AP2229" t="inlineStr">
        <is>
          <t>No</t>
        </is>
      </c>
      <c r="AQ2229" t="inlineStr">
        <is>
          <t>Yes</t>
        </is>
      </c>
      <c r="AR2229">
        <f>HYPERLINK("http://catalog.hathitrust.org/Record/001381561","HathiTrust Record")</f>
        <v/>
      </c>
      <c r="AS2229">
        <f>HYPERLINK("https://creighton-primo.hosted.exlibrisgroup.com/primo-explore/search?tab=default_tab&amp;search_scope=EVERYTHING&amp;vid=01CRU&amp;lang=en_US&amp;offset=0&amp;query=any,contains,991003728419702656","Catalog Record")</f>
        <v/>
      </c>
      <c r="AT2229">
        <f>HYPERLINK("http://www.worldcat.org/oclc/1378038","WorldCat Record")</f>
        <v/>
      </c>
      <c r="AU2229" t="inlineStr">
        <is>
          <t>3768396698:eng</t>
        </is>
      </c>
      <c r="AV2229" t="inlineStr">
        <is>
          <t>1378038</t>
        </is>
      </c>
      <c r="AW2229" t="inlineStr">
        <is>
          <t>991003728419702656</t>
        </is>
      </c>
      <c r="AX2229" t="inlineStr">
        <is>
          <t>991003728419702656</t>
        </is>
      </c>
      <c r="AY2229" t="inlineStr">
        <is>
          <t>2254798120002656</t>
        </is>
      </c>
      <c r="AZ2229" t="inlineStr">
        <is>
          <t>BOOK</t>
        </is>
      </c>
      <c r="BC2229" t="inlineStr">
        <is>
          <t>32285000203884</t>
        </is>
      </c>
      <c r="BD2229" t="inlineStr">
        <is>
          <t>893429132</t>
        </is>
      </c>
    </row>
    <row r="2230">
      <c r="A2230" t="inlineStr">
        <is>
          <t>No</t>
        </is>
      </c>
      <c r="B2230" t="inlineStr">
        <is>
          <t>BX4705.A27 N27 1945</t>
        </is>
      </c>
      <c r="C2230" t="inlineStr">
        <is>
          <t>0                      BX 4705000A  27                 N  27          1945</t>
        </is>
      </c>
      <c r="D2230" t="inlineStr">
        <is>
          <t>Acquaviva and the Great Mogul / by J. Stephen Narayan.</t>
        </is>
      </c>
      <c r="F2230" t="inlineStr">
        <is>
          <t>No</t>
        </is>
      </c>
      <c r="G2230" t="inlineStr">
        <is>
          <t>1</t>
        </is>
      </c>
      <c r="H2230" t="inlineStr">
        <is>
          <t>No</t>
        </is>
      </c>
      <c r="I2230" t="inlineStr">
        <is>
          <t>No</t>
        </is>
      </c>
      <c r="J2230" t="inlineStr">
        <is>
          <t>0</t>
        </is>
      </c>
      <c r="K2230" t="inlineStr">
        <is>
          <t>Narayan, J. Stephen, 1898-</t>
        </is>
      </c>
      <c r="L2230" t="inlineStr">
        <is>
          <t>Patna : Catholic Book Club, [1945?]</t>
        </is>
      </c>
      <c r="M2230" t="inlineStr">
        <is>
          <t>1945</t>
        </is>
      </c>
      <c r="O2230" t="inlineStr">
        <is>
          <t>eng</t>
        </is>
      </c>
      <c r="P2230" t="inlineStr">
        <is>
          <t xml:space="preserve">ii </t>
        </is>
      </c>
      <c r="R2230" t="inlineStr">
        <is>
          <t xml:space="preserve">BX </t>
        </is>
      </c>
      <c r="S2230" t="n">
        <v>2</v>
      </c>
      <c r="T2230" t="n">
        <v>2</v>
      </c>
      <c r="U2230" t="inlineStr">
        <is>
          <t>2006-04-02</t>
        </is>
      </c>
      <c r="V2230" t="inlineStr">
        <is>
          <t>2006-04-02</t>
        </is>
      </c>
      <c r="W2230" t="inlineStr">
        <is>
          <t>1991-12-10</t>
        </is>
      </c>
      <c r="X2230" t="inlineStr">
        <is>
          <t>1991-12-10</t>
        </is>
      </c>
      <c r="Y2230" t="n">
        <v>42</v>
      </c>
      <c r="Z2230" t="n">
        <v>33</v>
      </c>
      <c r="AA2230" t="n">
        <v>34</v>
      </c>
      <c r="AB2230" t="n">
        <v>1</v>
      </c>
      <c r="AC2230" t="n">
        <v>1</v>
      </c>
      <c r="AD2230" t="n">
        <v>11</v>
      </c>
      <c r="AE2230" t="n">
        <v>11</v>
      </c>
      <c r="AF2230" t="n">
        <v>4</v>
      </c>
      <c r="AG2230" t="n">
        <v>4</v>
      </c>
      <c r="AH2230" t="n">
        <v>1</v>
      </c>
      <c r="AI2230" t="n">
        <v>1</v>
      </c>
      <c r="AJ2230" t="n">
        <v>11</v>
      </c>
      <c r="AK2230" t="n">
        <v>11</v>
      </c>
      <c r="AL2230" t="n">
        <v>0</v>
      </c>
      <c r="AM2230" t="n">
        <v>0</v>
      </c>
      <c r="AN2230" t="n">
        <v>0</v>
      </c>
      <c r="AO2230" t="n">
        <v>0</v>
      </c>
      <c r="AP2230" t="inlineStr">
        <is>
          <t>No</t>
        </is>
      </c>
      <c r="AQ2230" t="inlineStr">
        <is>
          <t>No</t>
        </is>
      </c>
      <c r="AS2230">
        <f>HYPERLINK("https://creighton-primo.hosted.exlibrisgroup.com/primo-explore/search?tab=default_tab&amp;search_scope=EVERYTHING&amp;vid=01CRU&amp;lang=en_US&amp;offset=0&amp;query=any,contains,991004356059702656","Catalog Record")</f>
        <v/>
      </c>
      <c r="AT2230">
        <f>HYPERLINK("http://www.worldcat.org/oclc/3139849","WorldCat Record")</f>
        <v/>
      </c>
      <c r="AU2230" t="inlineStr">
        <is>
          <t>8765782:eng</t>
        </is>
      </c>
      <c r="AV2230" t="inlineStr">
        <is>
          <t>3139849</t>
        </is>
      </c>
      <c r="AW2230" t="inlineStr">
        <is>
          <t>991004356059702656</t>
        </is>
      </c>
      <c r="AX2230" t="inlineStr">
        <is>
          <t>991004356059702656</t>
        </is>
      </c>
      <c r="AY2230" t="inlineStr">
        <is>
          <t>2271318550002656</t>
        </is>
      </c>
      <c r="AZ2230" t="inlineStr">
        <is>
          <t>BOOK</t>
        </is>
      </c>
      <c r="BC2230" t="inlineStr">
        <is>
          <t>32285000873355</t>
        </is>
      </c>
      <c r="BD2230" t="inlineStr">
        <is>
          <t>893806972</t>
        </is>
      </c>
    </row>
    <row r="2231">
      <c r="A2231" t="inlineStr">
        <is>
          <t>No</t>
        </is>
      </c>
      <c r="B2231" t="inlineStr">
        <is>
          <t>BX4705.A29 C27 2000</t>
        </is>
      </c>
      <c r="C2231" t="inlineStr">
        <is>
          <t>0                      BX 4705000A  29                 C  27          2000</t>
        </is>
      </c>
      <c r="D2231" t="inlineStr">
        <is>
          <t>Augustine Adorno : for the greater glory of the risen Christ / life, selected writings and comments, Nicholas Capetola.</t>
        </is>
      </c>
      <c r="F2231" t="inlineStr">
        <is>
          <t>No</t>
        </is>
      </c>
      <c r="G2231" t="inlineStr">
        <is>
          <t>1</t>
        </is>
      </c>
      <c r="H2231" t="inlineStr">
        <is>
          <t>No</t>
        </is>
      </c>
      <c r="I2231" t="inlineStr">
        <is>
          <t>No</t>
        </is>
      </c>
      <c r="J2231" t="inlineStr">
        <is>
          <t>0</t>
        </is>
      </c>
      <c r="K2231" t="inlineStr">
        <is>
          <t>Capetola, Nicholas.</t>
        </is>
      </c>
      <c r="L2231" t="inlineStr">
        <is>
          <t>Charleston, S.C. : Nelson Printing Corp., c2000.</t>
        </is>
      </c>
      <c r="M2231" t="inlineStr">
        <is>
          <t>2000</t>
        </is>
      </c>
      <c r="O2231" t="inlineStr">
        <is>
          <t>eng</t>
        </is>
      </c>
      <c r="P2231" t="inlineStr">
        <is>
          <t>scu</t>
        </is>
      </c>
      <c r="R2231" t="inlineStr">
        <is>
          <t xml:space="preserve">BX </t>
        </is>
      </c>
      <c r="S2231" t="n">
        <v>1</v>
      </c>
      <c r="T2231" t="n">
        <v>1</v>
      </c>
      <c r="U2231" t="inlineStr">
        <is>
          <t>2001-08-09</t>
        </is>
      </c>
      <c r="V2231" t="inlineStr">
        <is>
          <t>2001-08-09</t>
        </is>
      </c>
      <c r="W2231" t="inlineStr">
        <is>
          <t>2001-08-08</t>
        </is>
      </c>
      <c r="X2231" t="inlineStr">
        <is>
          <t>2001-08-08</t>
        </is>
      </c>
      <c r="Y2231" t="n">
        <v>18</v>
      </c>
      <c r="Z2231" t="n">
        <v>18</v>
      </c>
      <c r="AA2231" t="n">
        <v>18</v>
      </c>
      <c r="AB2231" t="n">
        <v>1</v>
      </c>
      <c r="AC2231" t="n">
        <v>1</v>
      </c>
      <c r="AD2231" t="n">
        <v>5</v>
      </c>
      <c r="AE2231" t="n">
        <v>5</v>
      </c>
      <c r="AF2231" t="n">
        <v>0</v>
      </c>
      <c r="AG2231" t="n">
        <v>0</v>
      </c>
      <c r="AH2231" t="n">
        <v>4</v>
      </c>
      <c r="AI2231" t="n">
        <v>4</v>
      </c>
      <c r="AJ2231" t="n">
        <v>3</v>
      </c>
      <c r="AK2231" t="n">
        <v>3</v>
      </c>
      <c r="AL2231" t="n">
        <v>0</v>
      </c>
      <c r="AM2231" t="n">
        <v>0</v>
      </c>
      <c r="AN2231" t="n">
        <v>0</v>
      </c>
      <c r="AO2231" t="n">
        <v>0</v>
      </c>
      <c r="AP2231" t="inlineStr">
        <is>
          <t>No</t>
        </is>
      </c>
      <c r="AQ2231" t="inlineStr">
        <is>
          <t>No</t>
        </is>
      </c>
      <c r="AS2231">
        <f>HYPERLINK("https://creighton-primo.hosted.exlibrisgroup.com/primo-explore/search?tab=default_tab&amp;search_scope=EVERYTHING&amp;vid=01CRU&amp;lang=en_US&amp;offset=0&amp;query=any,contains,991003561719702656","Catalog Record")</f>
        <v/>
      </c>
      <c r="AT2231">
        <f>HYPERLINK("http://www.worldcat.org/oclc/47213703","WorldCat Record")</f>
        <v/>
      </c>
      <c r="AU2231" t="inlineStr">
        <is>
          <t>36144081:eng</t>
        </is>
      </c>
      <c r="AV2231" t="inlineStr">
        <is>
          <t>47213703</t>
        </is>
      </c>
      <c r="AW2231" t="inlineStr">
        <is>
          <t>991003561719702656</t>
        </is>
      </c>
      <c r="AX2231" t="inlineStr">
        <is>
          <t>991003561719702656</t>
        </is>
      </c>
      <c r="AY2231" t="inlineStr">
        <is>
          <t>2257530340002656</t>
        </is>
      </c>
      <c r="AZ2231" t="inlineStr">
        <is>
          <t>BOOK</t>
        </is>
      </c>
      <c r="BC2231" t="inlineStr">
        <is>
          <t>32285004376512</t>
        </is>
      </c>
      <c r="BD2231" t="inlineStr">
        <is>
          <t>893686650</t>
        </is>
      </c>
    </row>
    <row r="2232">
      <c r="A2232" t="inlineStr">
        <is>
          <t>No</t>
        </is>
      </c>
      <c r="B2232" t="inlineStr">
        <is>
          <t>BX4705.A319 S47 1918a</t>
        </is>
      </c>
      <c r="C2232" t="inlineStr">
        <is>
          <t>0                      BX 4705000A  319                S  47          1918a</t>
        </is>
      </c>
      <c r="D2232" t="inlineStr">
        <is>
          <t>Blessed Giles of Assisi.</t>
        </is>
      </c>
      <c r="F2232" t="inlineStr">
        <is>
          <t>No</t>
        </is>
      </c>
      <c r="G2232" t="inlineStr">
        <is>
          <t>1</t>
        </is>
      </c>
      <c r="H2232" t="inlineStr">
        <is>
          <t>No</t>
        </is>
      </c>
      <c r="I2232" t="inlineStr">
        <is>
          <t>No</t>
        </is>
      </c>
      <c r="J2232" t="inlineStr">
        <is>
          <t>0</t>
        </is>
      </c>
      <c r="K2232" t="inlineStr">
        <is>
          <t>Seton, Walter W. (Walter Warren), 1882-1927.</t>
        </is>
      </c>
      <c r="L2232" t="inlineStr">
        <is>
          <t>Manchester [Eng.] : University Press, 1918.</t>
        </is>
      </c>
      <c r="M2232" t="inlineStr">
        <is>
          <t>1966</t>
        </is>
      </c>
      <c r="O2232" t="inlineStr">
        <is>
          <t>eng</t>
        </is>
      </c>
      <c r="P2232" t="inlineStr">
        <is>
          <t>enk</t>
        </is>
      </c>
      <c r="R2232" t="inlineStr">
        <is>
          <t xml:space="preserve">BX </t>
        </is>
      </c>
      <c r="S2232" t="n">
        <v>0</v>
      </c>
      <c r="T2232" t="n">
        <v>0</v>
      </c>
      <c r="U2232" t="inlineStr">
        <is>
          <t>2001-08-30</t>
        </is>
      </c>
      <c r="V2232" t="inlineStr">
        <is>
          <t>2001-08-30</t>
        </is>
      </c>
      <c r="W2232" t="inlineStr">
        <is>
          <t>1991-12-10</t>
        </is>
      </c>
      <c r="X2232" t="inlineStr">
        <is>
          <t>1991-12-10</t>
        </is>
      </c>
      <c r="Y2232" t="n">
        <v>53</v>
      </c>
      <c r="Z2232" t="n">
        <v>41</v>
      </c>
      <c r="AA2232" t="n">
        <v>127</v>
      </c>
      <c r="AB2232" t="n">
        <v>1</v>
      </c>
      <c r="AC2232" t="n">
        <v>2</v>
      </c>
      <c r="AD2232" t="n">
        <v>2</v>
      </c>
      <c r="AE2232" t="n">
        <v>10</v>
      </c>
      <c r="AF2232" t="n">
        <v>0</v>
      </c>
      <c r="AG2232" t="n">
        <v>1</v>
      </c>
      <c r="AH2232" t="n">
        <v>0</v>
      </c>
      <c r="AI2232" t="n">
        <v>2</v>
      </c>
      <c r="AJ2232" t="n">
        <v>2</v>
      </c>
      <c r="AK2232" t="n">
        <v>7</v>
      </c>
      <c r="AL2232" t="n">
        <v>0</v>
      </c>
      <c r="AM2232" t="n">
        <v>1</v>
      </c>
      <c r="AN2232" t="n">
        <v>0</v>
      </c>
      <c r="AO2232" t="n">
        <v>0</v>
      </c>
      <c r="AP2232" t="inlineStr">
        <is>
          <t>No</t>
        </is>
      </c>
      <c r="AQ2232" t="inlineStr">
        <is>
          <t>Yes</t>
        </is>
      </c>
      <c r="AR2232">
        <f>HYPERLINK("http://catalog.hathitrust.org/Record/001591789","HathiTrust Record")</f>
        <v/>
      </c>
      <c r="AS2232">
        <f>HYPERLINK("https://creighton-primo.hosted.exlibrisgroup.com/primo-explore/search?tab=default_tab&amp;search_scope=EVERYTHING&amp;vid=01CRU&amp;lang=en_US&amp;offset=0&amp;query=any,contains,991004438949702656","Catalog Record")</f>
        <v/>
      </c>
      <c r="AT2232">
        <f>HYPERLINK("http://www.worldcat.org/oclc/3448584","WorldCat Record")</f>
        <v/>
      </c>
      <c r="AU2232" t="inlineStr">
        <is>
          <t>10870405:eng</t>
        </is>
      </c>
      <c r="AV2232" t="inlineStr">
        <is>
          <t>3448584</t>
        </is>
      </c>
      <c r="AW2232" t="inlineStr">
        <is>
          <t>991004438949702656</t>
        </is>
      </c>
      <c r="AX2232" t="inlineStr">
        <is>
          <t>991004438949702656</t>
        </is>
      </c>
      <c r="AY2232" t="inlineStr">
        <is>
          <t>2268214010002656</t>
        </is>
      </c>
      <c r="AZ2232" t="inlineStr">
        <is>
          <t>BOOK</t>
        </is>
      </c>
      <c r="BC2232" t="inlineStr">
        <is>
          <t>32285000873363</t>
        </is>
      </c>
      <c r="BD2232" t="inlineStr">
        <is>
          <t>893442619</t>
        </is>
      </c>
    </row>
    <row r="2233">
      <c r="A2233" t="inlineStr">
        <is>
          <t>No</t>
        </is>
      </c>
      <c r="B2233" t="inlineStr">
        <is>
          <t>BX4705.A4158 E9 1983</t>
        </is>
      </c>
      <c r="C2233" t="inlineStr">
        <is>
          <t>0                      BX 4705000A  4158               E  9           1983</t>
        </is>
      </c>
      <c r="D2233" t="inlineStr">
        <is>
          <t>Alan of Lille : the frontiers of theology in the later twelfth century / G.R. Evans.</t>
        </is>
      </c>
      <c r="F2233" t="inlineStr">
        <is>
          <t>No</t>
        </is>
      </c>
      <c r="G2233" t="inlineStr">
        <is>
          <t>1</t>
        </is>
      </c>
      <c r="H2233" t="inlineStr">
        <is>
          <t>No</t>
        </is>
      </c>
      <c r="I2233" t="inlineStr">
        <is>
          <t>No</t>
        </is>
      </c>
      <c r="J2233" t="inlineStr">
        <is>
          <t>0</t>
        </is>
      </c>
      <c r="K2233" t="inlineStr">
        <is>
          <t>Evans, G. R. (Gillian Rosemary)</t>
        </is>
      </c>
      <c r="L2233" t="inlineStr">
        <is>
          <t>Cambridge [Cambridgeshire] ; New York : Cambridge University Press, 1983.</t>
        </is>
      </c>
      <c r="M2233" t="inlineStr">
        <is>
          <t>1983</t>
        </is>
      </c>
      <c r="O2233" t="inlineStr">
        <is>
          <t>eng</t>
        </is>
      </c>
      <c r="P2233" t="inlineStr">
        <is>
          <t>enk</t>
        </is>
      </c>
      <c r="R2233" t="inlineStr">
        <is>
          <t xml:space="preserve">BX </t>
        </is>
      </c>
      <c r="S2233" t="n">
        <v>1</v>
      </c>
      <c r="T2233" t="n">
        <v>1</v>
      </c>
      <c r="U2233" t="inlineStr">
        <is>
          <t>2009-02-16</t>
        </is>
      </c>
      <c r="V2233" t="inlineStr">
        <is>
          <t>2009-02-16</t>
        </is>
      </c>
      <c r="W2233" t="inlineStr">
        <is>
          <t>2009-02-16</t>
        </is>
      </c>
      <c r="X2233" t="inlineStr">
        <is>
          <t>2009-02-16</t>
        </is>
      </c>
      <c r="Y2233" t="n">
        <v>357</v>
      </c>
      <c r="Z2233" t="n">
        <v>246</v>
      </c>
      <c r="AA2233" t="n">
        <v>265</v>
      </c>
      <c r="AB2233" t="n">
        <v>4</v>
      </c>
      <c r="AC2233" t="n">
        <v>4</v>
      </c>
      <c r="AD2233" t="n">
        <v>18</v>
      </c>
      <c r="AE2233" t="n">
        <v>19</v>
      </c>
      <c r="AF2233" t="n">
        <v>5</v>
      </c>
      <c r="AG2233" t="n">
        <v>5</v>
      </c>
      <c r="AH2233" t="n">
        <v>4</v>
      </c>
      <c r="AI2233" t="n">
        <v>5</v>
      </c>
      <c r="AJ2233" t="n">
        <v>13</v>
      </c>
      <c r="AK2233" t="n">
        <v>13</v>
      </c>
      <c r="AL2233" t="n">
        <v>2</v>
      </c>
      <c r="AM2233" t="n">
        <v>2</v>
      </c>
      <c r="AN2233" t="n">
        <v>0</v>
      </c>
      <c r="AO2233" t="n">
        <v>0</v>
      </c>
      <c r="AP2233" t="inlineStr">
        <is>
          <t>No</t>
        </is>
      </c>
      <c r="AQ2233" t="inlineStr">
        <is>
          <t>No</t>
        </is>
      </c>
      <c r="AS2233">
        <f>HYPERLINK("https://creighton-primo.hosted.exlibrisgroup.com/primo-explore/search?tab=default_tab&amp;search_scope=EVERYTHING&amp;vid=01CRU&amp;lang=en_US&amp;offset=0&amp;query=any,contains,991005295559702656","Catalog Record")</f>
        <v/>
      </c>
      <c r="AT2233">
        <f>HYPERLINK("http://www.worldcat.org/oclc/9197360","WorldCat Record")</f>
        <v/>
      </c>
      <c r="AU2233" t="inlineStr">
        <is>
          <t>836713429:eng</t>
        </is>
      </c>
      <c r="AV2233" t="inlineStr">
        <is>
          <t>9197360</t>
        </is>
      </c>
      <c r="AW2233" t="inlineStr">
        <is>
          <t>991005295559702656</t>
        </is>
      </c>
      <c r="AX2233" t="inlineStr">
        <is>
          <t>991005295559702656</t>
        </is>
      </c>
      <c r="AY2233" t="inlineStr">
        <is>
          <t>2265893220002656</t>
        </is>
      </c>
      <c r="AZ2233" t="inlineStr">
        <is>
          <t>BOOK</t>
        </is>
      </c>
      <c r="BB2233" t="inlineStr">
        <is>
          <t>9780521094269</t>
        </is>
      </c>
      <c r="BC2233" t="inlineStr">
        <is>
          <t>32285005504393</t>
        </is>
      </c>
      <c r="BD2233" t="inlineStr">
        <is>
          <t>893613465</t>
        </is>
      </c>
    </row>
    <row r="2234">
      <c r="A2234" t="inlineStr">
        <is>
          <t>No</t>
        </is>
      </c>
      <c r="B2234" t="inlineStr">
        <is>
          <t>BX4705.A57 D6 1958</t>
        </is>
      </c>
      <c r="C2234" t="inlineStr">
        <is>
          <t>0                      BX 4705000A  57                 D  6           1958</t>
        </is>
      </c>
      <c r="D2234" t="inlineStr">
        <is>
          <t>Apostle of Brazil.</t>
        </is>
      </c>
      <c r="F2234" t="inlineStr">
        <is>
          <t>No</t>
        </is>
      </c>
      <c r="G2234" t="inlineStr">
        <is>
          <t>1</t>
        </is>
      </c>
      <c r="H2234" t="inlineStr">
        <is>
          <t>No</t>
        </is>
      </c>
      <c r="I2234" t="inlineStr">
        <is>
          <t>No</t>
        </is>
      </c>
      <c r="J2234" t="inlineStr">
        <is>
          <t>0</t>
        </is>
      </c>
      <c r="K2234" t="inlineStr">
        <is>
          <t>Dominian, Helen G., 1886-</t>
        </is>
      </c>
      <c r="L2234" t="inlineStr">
        <is>
          <t>New York : Exposition Press, [1958]</t>
        </is>
      </c>
      <c r="M2234" t="inlineStr">
        <is>
          <t>1958</t>
        </is>
      </c>
      <c r="N2234" t="inlineStr">
        <is>
          <t>[1st ed.]</t>
        </is>
      </c>
      <c r="O2234" t="inlineStr">
        <is>
          <t>eng</t>
        </is>
      </c>
      <c r="P2234" t="inlineStr">
        <is>
          <t xml:space="preserve">xx </t>
        </is>
      </c>
      <c r="Q2234" t="inlineStr">
        <is>
          <t>An Exposition-university book</t>
        </is>
      </c>
      <c r="R2234" t="inlineStr">
        <is>
          <t xml:space="preserve">BX </t>
        </is>
      </c>
      <c r="S2234" t="n">
        <v>4</v>
      </c>
      <c r="T2234" t="n">
        <v>4</v>
      </c>
      <c r="U2234" t="inlineStr">
        <is>
          <t>2002-04-17</t>
        </is>
      </c>
      <c r="V2234" t="inlineStr">
        <is>
          <t>2002-04-17</t>
        </is>
      </c>
      <c r="W2234" t="inlineStr">
        <is>
          <t>1991-12-10</t>
        </is>
      </c>
      <c r="X2234" t="inlineStr">
        <is>
          <t>1991-12-10</t>
        </is>
      </c>
      <c r="Y2234" t="n">
        <v>333</v>
      </c>
      <c r="Z2234" t="n">
        <v>307</v>
      </c>
      <c r="AA2234" t="n">
        <v>311</v>
      </c>
      <c r="AB2234" t="n">
        <v>3</v>
      </c>
      <c r="AC2234" t="n">
        <v>3</v>
      </c>
      <c r="AD2234" t="n">
        <v>27</v>
      </c>
      <c r="AE2234" t="n">
        <v>28</v>
      </c>
      <c r="AF2234" t="n">
        <v>9</v>
      </c>
      <c r="AG2234" t="n">
        <v>10</v>
      </c>
      <c r="AH2234" t="n">
        <v>4</v>
      </c>
      <c r="AI2234" t="n">
        <v>4</v>
      </c>
      <c r="AJ2234" t="n">
        <v>23</v>
      </c>
      <c r="AK2234" t="n">
        <v>23</v>
      </c>
      <c r="AL2234" t="n">
        <v>1</v>
      </c>
      <c r="AM2234" t="n">
        <v>1</v>
      </c>
      <c r="AN2234" t="n">
        <v>0</v>
      </c>
      <c r="AO2234" t="n">
        <v>0</v>
      </c>
      <c r="AP2234" t="inlineStr">
        <is>
          <t>No</t>
        </is>
      </c>
      <c r="AQ2234" t="inlineStr">
        <is>
          <t>Yes</t>
        </is>
      </c>
      <c r="AR2234">
        <f>HYPERLINK("http://catalog.hathitrust.org/Record/001591796","HathiTrust Record")</f>
        <v/>
      </c>
      <c r="AS2234">
        <f>HYPERLINK("https://creighton-primo.hosted.exlibrisgroup.com/primo-explore/search?tab=default_tab&amp;search_scope=EVERYTHING&amp;vid=01CRU&amp;lang=en_US&amp;offset=0&amp;query=any,contains,991002646499702656","Catalog Record")</f>
        <v/>
      </c>
      <c r="AT2234">
        <f>HYPERLINK("http://www.worldcat.org/oclc/385964","WorldCat Record")</f>
        <v/>
      </c>
      <c r="AU2234" t="inlineStr">
        <is>
          <t>252898212:eng</t>
        </is>
      </c>
      <c r="AV2234" t="inlineStr">
        <is>
          <t>385964</t>
        </is>
      </c>
      <c r="AW2234" t="inlineStr">
        <is>
          <t>991002646499702656</t>
        </is>
      </c>
      <c r="AX2234" t="inlineStr">
        <is>
          <t>991002646499702656</t>
        </is>
      </c>
      <c r="AY2234" t="inlineStr">
        <is>
          <t>2259039960002656</t>
        </is>
      </c>
      <c r="AZ2234" t="inlineStr">
        <is>
          <t>BOOK</t>
        </is>
      </c>
      <c r="BC2234" t="inlineStr">
        <is>
          <t>32285000873439</t>
        </is>
      </c>
      <c r="BD2234" t="inlineStr">
        <is>
          <t>893622535</t>
        </is>
      </c>
    </row>
    <row r="2235">
      <c r="A2235" t="inlineStr">
        <is>
          <t>No</t>
        </is>
      </c>
      <c r="B2235" t="inlineStr">
        <is>
          <t>BX4705.A59 A2 1993</t>
        </is>
      </c>
      <c r="C2235" t="inlineStr">
        <is>
          <t>0                      BX 4705000A  59                 A  2           1993</t>
        </is>
      </c>
      <c r="D2235" t="inlineStr">
        <is>
          <t>Complete works / Angela of Foligno ; translated, with an introduction by Paul Lachance ; preface by Romana Guarnieri.</t>
        </is>
      </c>
      <c r="F2235" t="inlineStr">
        <is>
          <t>No</t>
        </is>
      </c>
      <c r="G2235" t="inlineStr">
        <is>
          <t>1</t>
        </is>
      </c>
      <c r="H2235" t="inlineStr">
        <is>
          <t>No</t>
        </is>
      </c>
      <c r="I2235" t="inlineStr">
        <is>
          <t>No</t>
        </is>
      </c>
      <c r="J2235" t="inlineStr">
        <is>
          <t>0</t>
        </is>
      </c>
      <c r="K2235" t="inlineStr">
        <is>
          <t>Angela, of Foligno, Saint, 1248?-1309.</t>
        </is>
      </c>
      <c r="L2235" t="inlineStr">
        <is>
          <t>New York : Paulist Press, c1993.</t>
        </is>
      </c>
      <c r="M2235" t="inlineStr">
        <is>
          <t>1993</t>
        </is>
      </c>
      <c r="O2235" t="inlineStr">
        <is>
          <t>eng</t>
        </is>
      </c>
      <c r="P2235" t="inlineStr">
        <is>
          <t>nyu</t>
        </is>
      </c>
      <c r="Q2235" t="inlineStr">
        <is>
          <t>The Classics of Western spirituality</t>
        </is>
      </c>
      <c r="R2235" t="inlineStr">
        <is>
          <t xml:space="preserve">BX </t>
        </is>
      </c>
      <c r="S2235" t="n">
        <v>5</v>
      </c>
      <c r="T2235" t="n">
        <v>5</v>
      </c>
      <c r="U2235" t="inlineStr">
        <is>
          <t>2010-06-27</t>
        </is>
      </c>
      <c r="V2235" t="inlineStr">
        <is>
          <t>2010-06-27</t>
        </is>
      </c>
      <c r="W2235" t="inlineStr">
        <is>
          <t>1993-06-02</t>
        </is>
      </c>
      <c r="X2235" t="inlineStr">
        <is>
          <t>1993-06-02</t>
        </is>
      </c>
      <c r="Y2235" t="n">
        <v>604</v>
      </c>
      <c r="Z2235" t="n">
        <v>519</v>
      </c>
      <c r="AA2235" t="n">
        <v>526</v>
      </c>
      <c r="AB2235" t="n">
        <v>9</v>
      </c>
      <c r="AC2235" t="n">
        <v>9</v>
      </c>
      <c r="AD2235" t="n">
        <v>44</v>
      </c>
      <c r="AE2235" t="n">
        <v>44</v>
      </c>
      <c r="AF2235" t="n">
        <v>17</v>
      </c>
      <c r="AG2235" t="n">
        <v>17</v>
      </c>
      <c r="AH2235" t="n">
        <v>8</v>
      </c>
      <c r="AI2235" t="n">
        <v>8</v>
      </c>
      <c r="AJ2235" t="n">
        <v>25</v>
      </c>
      <c r="AK2235" t="n">
        <v>25</v>
      </c>
      <c r="AL2235" t="n">
        <v>6</v>
      </c>
      <c r="AM2235" t="n">
        <v>6</v>
      </c>
      <c r="AN2235" t="n">
        <v>0</v>
      </c>
      <c r="AO2235" t="n">
        <v>0</v>
      </c>
      <c r="AP2235" t="inlineStr">
        <is>
          <t>No</t>
        </is>
      </c>
      <c r="AQ2235" t="inlineStr">
        <is>
          <t>Yes</t>
        </is>
      </c>
      <c r="AR2235">
        <f>HYPERLINK("http://catalog.hathitrust.org/Record/002817543","HathiTrust Record")</f>
        <v/>
      </c>
      <c r="AS2235">
        <f>HYPERLINK("https://creighton-primo.hosted.exlibrisgroup.com/primo-explore/search?tab=default_tab&amp;search_scope=EVERYTHING&amp;vid=01CRU&amp;lang=en_US&amp;offset=0&amp;query=any,contains,991002105019702656","Catalog Record")</f>
        <v/>
      </c>
      <c r="AT2235">
        <f>HYPERLINK("http://www.worldcat.org/oclc/27011951","WorldCat Record")</f>
        <v/>
      </c>
      <c r="AU2235" t="inlineStr">
        <is>
          <t>8908293194:eng</t>
        </is>
      </c>
      <c r="AV2235" t="inlineStr">
        <is>
          <t>27011951</t>
        </is>
      </c>
      <c r="AW2235" t="inlineStr">
        <is>
          <t>991002105019702656</t>
        </is>
      </c>
      <c r="AX2235" t="inlineStr">
        <is>
          <t>991002105019702656</t>
        </is>
      </c>
      <c r="AY2235" t="inlineStr">
        <is>
          <t>2270109170002656</t>
        </is>
      </c>
      <c r="AZ2235" t="inlineStr">
        <is>
          <t>BOOK</t>
        </is>
      </c>
      <c r="BB2235" t="inlineStr">
        <is>
          <t>9780809104604</t>
        </is>
      </c>
      <c r="BC2235" t="inlineStr">
        <is>
          <t>32285001706182</t>
        </is>
      </c>
      <c r="BD2235" t="inlineStr">
        <is>
          <t>893721284</t>
        </is>
      </c>
    </row>
    <row r="2236">
      <c r="A2236" t="inlineStr">
        <is>
          <t>No</t>
        </is>
      </c>
      <c r="B2236" t="inlineStr">
        <is>
          <t>BX4705.A5925 L3 1984</t>
        </is>
      </c>
      <c r="C2236" t="inlineStr">
        <is>
          <t>0                      BX 4705000A  5925               L  3           1984</t>
        </is>
      </c>
      <c r="D2236" t="inlineStr">
        <is>
          <t>The spiritual journey of the Blessed Angela of Foligno according to the Memorial of Frater A. / Paul Lachance, O.F.M.</t>
        </is>
      </c>
      <c r="F2236" t="inlineStr">
        <is>
          <t>No</t>
        </is>
      </c>
      <c r="G2236" t="inlineStr">
        <is>
          <t>1</t>
        </is>
      </c>
      <c r="H2236" t="inlineStr">
        <is>
          <t>No</t>
        </is>
      </c>
      <c r="I2236" t="inlineStr">
        <is>
          <t>No</t>
        </is>
      </c>
      <c r="J2236" t="inlineStr">
        <is>
          <t>0</t>
        </is>
      </c>
      <c r="K2236" t="inlineStr">
        <is>
          <t>Lachance, Paul.</t>
        </is>
      </c>
      <c r="L2236" t="inlineStr">
        <is>
          <t>Roma : Pontificium Athenæum Antonianum, 1984.</t>
        </is>
      </c>
      <c r="M2236" t="inlineStr">
        <is>
          <t>1984</t>
        </is>
      </c>
      <c r="O2236" t="inlineStr">
        <is>
          <t>eng</t>
        </is>
      </c>
      <c r="P2236" t="inlineStr">
        <is>
          <t xml:space="preserve">it </t>
        </is>
      </c>
      <c r="Q2236" t="inlineStr">
        <is>
          <t>Studia Antoniana ; 29</t>
        </is>
      </c>
      <c r="R2236" t="inlineStr">
        <is>
          <t xml:space="preserve">BX </t>
        </is>
      </c>
      <c r="S2236" t="n">
        <v>5</v>
      </c>
      <c r="T2236" t="n">
        <v>5</v>
      </c>
      <c r="U2236" t="inlineStr">
        <is>
          <t>2008-04-25</t>
        </is>
      </c>
      <c r="V2236" t="inlineStr">
        <is>
          <t>2008-04-25</t>
        </is>
      </c>
      <c r="W2236" t="inlineStr">
        <is>
          <t>1991-12-10</t>
        </is>
      </c>
      <c r="X2236" t="inlineStr">
        <is>
          <t>1991-12-10</t>
        </is>
      </c>
      <c r="Y2236" t="n">
        <v>51</v>
      </c>
      <c r="Z2236" t="n">
        <v>35</v>
      </c>
      <c r="AA2236" t="n">
        <v>36</v>
      </c>
      <c r="AB2236" t="n">
        <v>1</v>
      </c>
      <c r="AC2236" t="n">
        <v>1</v>
      </c>
      <c r="AD2236" t="n">
        <v>3</v>
      </c>
      <c r="AE2236" t="n">
        <v>3</v>
      </c>
      <c r="AF2236" t="n">
        <v>0</v>
      </c>
      <c r="AG2236" t="n">
        <v>0</v>
      </c>
      <c r="AH2236" t="n">
        <v>1</v>
      </c>
      <c r="AI2236" t="n">
        <v>1</v>
      </c>
      <c r="AJ2236" t="n">
        <v>2</v>
      </c>
      <c r="AK2236" t="n">
        <v>2</v>
      </c>
      <c r="AL2236" t="n">
        <v>0</v>
      </c>
      <c r="AM2236" t="n">
        <v>0</v>
      </c>
      <c r="AN2236" t="n">
        <v>0</v>
      </c>
      <c r="AO2236" t="n">
        <v>0</v>
      </c>
      <c r="AP2236" t="inlineStr">
        <is>
          <t>No</t>
        </is>
      </c>
      <c r="AQ2236" t="inlineStr">
        <is>
          <t>No</t>
        </is>
      </c>
      <c r="AS2236">
        <f>HYPERLINK("https://creighton-primo.hosted.exlibrisgroup.com/primo-explore/search?tab=default_tab&amp;search_scope=EVERYTHING&amp;vid=01CRU&amp;lang=en_US&amp;offset=0&amp;query=any,contains,991000624499702656","Catalog Record")</f>
        <v/>
      </c>
      <c r="AT2236">
        <f>HYPERLINK("http://www.worldcat.org/oclc/12002295","WorldCat Record")</f>
        <v/>
      </c>
      <c r="AU2236" t="inlineStr">
        <is>
          <t>4304888:eng</t>
        </is>
      </c>
      <c r="AV2236" t="inlineStr">
        <is>
          <t>12002295</t>
        </is>
      </c>
      <c r="AW2236" t="inlineStr">
        <is>
          <t>991000624499702656</t>
        </is>
      </c>
      <c r="AX2236" t="inlineStr">
        <is>
          <t>991000624499702656</t>
        </is>
      </c>
      <c r="AY2236" t="inlineStr">
        <is>
          <t>2255161300002656</t>
        </is>
      </c>
      <c r="AZ2236" t="inlineStr">
        <is>
          <t>BOOK</t>
        </is>
      </c>
      <c r="BC2236" t="inlineStr">
        <is>
          <t>32285000873470</t>
        </is>
      </c>
      <c r="BD2236" t="inlineStr">
        <is>
          <t>893689874</t>
        </is>
      </c>
    </row>
    <row r="2237">
      <c r="A2237" t="inlineStr">
        <is>
          <t>No</t>
        </is>
      </c>
      <c r="B2237" t="inlineStr">
        <is>
          <t>BX4705.B13 S35 1956</t>
        </is>
      </c>
      <c r="C2237" t="inlineStr">
        <is>
          <t>0                      BX 4705000B  13                 S  35          1956</t>
        </is>
      </c>
      <c r="D2237" t="inlineStr">
        <is>
          <t>Stephen T. Badin, priest in the wilderness.</t>
        </is>
      </c>
      <c r="F2237" t="inlineStr">
        <is>
          <t>No</t>
        </is>
      </c>
      <c r="G2237" t="inlineStr">
        <is>
          <t>1</t>
        </is>
      </c>
      <c r="H2237" t="inlineStr">
        <is>
          <t>No</t>
        </is>
      </c>
      <c r="I2237" t="inlineStr">
        <is>
          <t>No</t>
        </is>
      </c>
      <c r="J2237" t="inlineStr">
        <is>
          <t>0</t>
        </is>
      </c>
      <c r="K2237" t="inlineStr">
        <is>
          <t>Schauinger, J. Herman (Joseph Herman), 1912-1971.</t>
        </is>
      </c>
      <c r="L2237" t="inlineStr">
        <is>
          <t>Milwaukee : Bruce Pub. Co., [1956]</t>
        </is>
      </c>
      <c r="M2237" t="inlineStr">
        <is>
          <t>1956</t>
        </is>
      </c>
      <c r="O2237" t="inlineStr">
        <is>
          <t>eng</t>
        </is>
      </c>
      <c r="P2237" t="inlineStr">
        <is>
          <t>wiu</t>
        </is>
      </c>
      <c r="R2237" t="inlineStr">
        <is>
          <t xml:space="preserve">BX </t>
        </is>
      </c>
      <c r="S2237" t="n">
        <v>1</v>
      </c>
      <c r="T2237" t="n">
        <v>1</v>
      </c>
      <c r="U2237" t="inlineStr">
        <is>
          <t>1997-10-30</t>
        </is>
      </c>
      <c r="V2237" t="inlineStr">
        <is>
          <t>1997-10-30</t>
        </is>
      </c>
      <c r="W2237" t="inlineStr">
        <is>
          <t>1991-12-10</t>
        </is>
      </c>
      <c r="X2237" t="inlineStr">
        <is>
          <t>1991-12-10</t>
        </is>
      </c>
      <c r="Y2237" t="n">
        <v>164</v>
      </c>
      <c r="Z2237" t="n">
        <v>157</v>
      </c>
      <c r="AA2237" t="n">
        <v>163</v>
      </c>
      <c r="AB2237" t="n">
        <v>3</v>
      </c>
      <c r="AC2237" t="n">
        <v>3</v>
      </c>
      <c r="AD2237" t="n">
        <v>23</v>
      </c>
      <c r="AE2237" t="n">
        <v>23</v>
      </c>
      <c r="AF2237" t="n">
        <v>8</v>
      </c>
      <c r="AG2237" t="n">
        <v>8</v>
      </c>
      <c r="AH2237" t="n">
        <v>6</v>
      </c>
      <c r="AI2237" t="n">
        <v>6</v>
      </c>
      <c r="AJ2237" t="n">
        <v>17</v>
      </c>
      <c r="AK2237" t="n">
        <v>17</v>
      </c>
      <c r="AL2237" t="n">
        <v>1</v>
      </c>
      <c r="AM2237" t="n">
        <v>1</v>
      </c>
      <c r="AN2237" t="n">
        <v>0</v>
      </c>
      <c r="AO2237" t="n">
        <v>0</v>
      </c>
      <c r="AP2237" t="inlineStr">
        <is>
          <t>Yes</t>
        </is>
      </c>
      <c r="AQ2237" t="inlineStr">
        <is>
          <t>No</t>
        </is>
      </c>
      <c r="AR2237">
        <f>HYPERLINK("http://catalog.hathitrust.org/Record/005922251","HathiTrust Record")</f>
        <v/>
      </c>
      <c r="AS2237">
        <f>HYPERLINK("https://creighton-primo.hosted.exlibrisgroup.com/primo-explore/search?tab=default_tab&amp;search_scope=EVERYTHING&amp;vid=01CRU&amp;lang=en_US&amp;offset=0&amp;query=any,contains,991004355989702656","Catalog Record")</f>
        <v/>
      </c>
      <c r="AT2237">
        <f>HYPERLINK("http://www.worldcat.org/oclc/3139514","WorldCat Record")</f>
        <v/>
      </c>
      <c r="AU2237" t="inlineStr">
        <is>
          <t>8754169:eng</t>
        </is>
      </c>
      <c r="AV2237" t="inlineStr">
        <is>
          <t>3139514</t>
        </is>
      </c>
      <c r="AW2237" t="inlineStr">
        <is>
          <t>991004355989702656</t>
        </is>
      </c>
      <c r="AX2237" t="inlineStr">
        <is>
          <t>991004355989702656</t>
        </is>
      </c>
      <c r="AY2237" t="inlineStr">
        <is>
          <t>2271434290002656</t>
        </is>
      </c>
      <c r="AZ2237" t="inlineStr">
        <is>
          <t>BOOK</t>
        </is>
      </c>
      <c r="BC2237" t="inlineStr">
        <is>
          <t>32285000873512</t>
        </is>
      </c>
      <c r="BD2237" t="inlineStr">
        <is>
          <t>893612247</t>
        </is>
      </c>
    </row>
    <row r="2238">
      <c r="A2238" t="inlineStr">
        <is>
          <t>No</t>
        </is>
      </c>
      <c r="B2238" t="inlineStr">
        <is>
          <t>BX4705.B163 A83 1986</t>
        </is>
      </c>
      <c r="C2238" t="inlineStr">
        <is>
          <t>0                      BX 4705000B  163                A  83          1986</t>
        </is>
      </c>
      <c r="D2238" t="inlineStr">
        <is>
          <t>The Analogy of beauty : the theology of Hans Urs von Balthasar / edited by John Riches.</t>
        </is>
      </c>
      <c r="F2238" t="inlineStr">
        <is>
          <t>No</t>
        </is>
      </c>
      <c r="G2238" t="inlineStr">
        <is>
          <t>1</t>
        </is>
      </c>
      <c r="H2238" t="inlineStr">
        <is>
          <t>No</t>
        </is>
      </c>
      <c r="I2238" t="inlineStr">
        <is>
          <t>No</t>
        </is>
      </c>
      <c r="J2238" t="inlineStr">
        <is>
          <t>0</t>
        </is>
      </c>
      <c r="L2238" t="inlineStr">
        <is>
          <t>Edinburgh : T. &amp; T. Clark, c1986.</t>
        </is>
      </c>
      <c r="M2238" t="inlineStr">
        <is>
          <t>1986</t>
        </is>
      </c>
      <c r="O2238" t="inlineStr">
        <is>
          <t>eng</t>
        </is>
      </c>
      <c r="P2238" t="inlineStr">
        <is>
          <t>stk</t>
        </is>
      </c>
      <c r="R2238" t="inlineStr">
        <is>
          <t xml:space="preserve">BX </t>
        </is>
      </c>
      <c r="S2238" t="n">
        <v>7</v>
      </c>
      <c r="T2238" t="n">
        <v>7</v>
      </c>
      <c r="U2238" t="inlineStr">
        <is>
          <t>2008-06-09</t>
        </is>
      </c>
      <c r="V2238" t="inlineStr">
        <is>
          <t>2008-06-09</t>
        </is>
      </c>
      <c r="W2238" t="inlineStr">
        <is>
          <t>1991-12-10</t>
        </is>
      </c>
      <c r="X2238" t="inlineStr">
        <is>
          <t>1991-12-10</t>
        </is>
      </c>
      <c r="Y2238" t="n">
        <v>292</v>
      </c>
      <c r="Z2238" t="n">
        <v>198</v>
      </c>
      <c r="AA2238" t="n">
        <v>198</v>
      </c>
      <c r="AB2238" t="n">
        <v>1</v>
      </c>
      <c r="AC2238" t="n">
        <v>1</v>
      </c>
      <c r="AD2238" t="n">
        <v>15</v>
      </c>
      <c r="AE2238" t="n">
        <v>15</v>
      </c>
      <c r="AF2238" t="n">
        <v>4</v>
      </c>
      <c r="AG2238" t="n">
        <v>4</v>
      </c>
      <c r="AH2238" t="n">
        <v>3</v>
      </c>
      <c r="AI2238" t="n">
        <v>3</v>
      </c>
      <c r="AJ2238" t="n">
        <v>10</v>
      </c>
      <c r="AK2238" t="n">
        <v>10</v>
      </c>
      <c r="AL2238" t="n">
        <v>0</v>
      </c>
      <c r="AM2238" t="n">
        <v>0</v>
      </c>
      <c r="AN2238" t="n">
        <v>0</v>
      </c>
      <c r="AO2238" t="n">
        <v>0</v>
      </c>
      <c r="AP2238" t="inlineStr">
        <is>
          <t>No</t>
        </is>
      </c>
      <c r="AQ2238" t="inlineStr">
        <is>
          <t>No</t>
        </is>
      </c>
      <c r="AS2238">
        <f>HYPERLINK("https://creighton-primo.hosted.exlibrisgroup.com/primo-explore/search?tab=default_tab&amp;search_scope=EVERYTHING&amp;vid=01CRU&amp;lang=en_US&amp;offset=0&amp;query=any,contains,991001268899702656","Catalog Record")</f>
        <v/>
      </c>
      <c r="AT2238">
        <f>HYPERLINK("http://www.worldcat.org/oclc/17839282","WorldCat Record")</f>
        <v/>
      </c>
      <c r="AU2238" t="inlineStr">
        <is>
          <t>893691185:eng</t>
        </is>
      </c>
      <c r="AV2238" t="inlineStr">
        <is>
          <t>17839282</t>
        </is>
      </c>
      <c r="AW2238" t="inlineStr">
        <is>
          <t>991001268899702656</t>
        </is>
      </c>
      <c r="AX2238" t="inlineStr">
        <is>
          <t>991001268899702656</t>
        </is>
      </c>
      <c r="AY2238" t="inlineStr">
        <is>
          <t>2264205380002656</t>
        </is>
      </c>
      <c r="AZ2238" t="inlineStr">
        <is>
          <t>BOOK</t>
        </is>
      </c>
      <c r="BB2238" t="inlineStr">
        <is>
          <t>9780567093516</t>
        </is>
      </c>
      <c r="BC2238" t="inlineStr">
        <is>
          <t>32285000873538</t>
        </is>
      </c>
      <c r="BD2238" t="inlineStr">
        <is>
          <t>893696622</t>
        </is>
      </c>
    </row>
    <row r="2239">
      <c r="A2239" t="inlineStr">
        <is>
          <t>No</t>
        </is>
      </c>
      <c r="B2239" t="inlineStr">
        <is>
          <t>BX4705.B163 D34 1997</t>
        </is>
      </c>
      <c r="C2239" t="inlineStr">
        <is>
          <t>0                      BX 4705000B  163                D  34          1997</t>
        </is>
      </c>
      <c r="D2239" t="inlineStr">
        <is>
          <t>The dramatic encounter of divine and human freedom in the theology of Hans Urs von Balthasar / Thomas G. Dalzell.</t>
        </is>
      </c>
      <c r="F2239" t="inlineStr">
        <is>
          <t>No</t>
        </is>
      </c>
      <c r="G2239" t="inlineStr">
        <is>
          <t>1</t>
        </is>
      </c>
      <c r="H2239" t="inlineStr">
        <is>
          <t>No</t>
        </is>
      </c>
      <c r="I2239" t="inlineStr">
        <is>
          <t>No</t>
        </is>
      </c>
      <c r="J2239" t="inlineStr">
        <is>
          <t>0</t>
        </is>
      </c>
      <c r="K2239" t="inlineStr">
        <is>
          <t>Dalzell, Thomas G., 1961-</t>
        </is>
      </c>
      <c r="L2239" t="inlineStr">
        <is>
          <t>Bern ; New York : P. Lang, c1997.</t>
        </is>
      </c>
      <c r="M2239" t="inlineStr">
        <is>
          <t>1997</t>
        </is>
      </c>
      <c r="O2239" t="inlineStr">
        <is>
          <t>eng</t>
        </is>
      </c>
      <c r="P2239" t="inlineStr">
        <is>
          <t xml:space="preserve">sz </t>
        </is>
      </c>
      <c r="Q2239" t="inlineStr">
        <is>
          <t>Studien zur interkulturellen Geschichte des Christentums, 0170-9240 ; Bd. 105 = Studies in the intercultural history of Christianity = Etudes d'histoire interculturelle du Christianisme ; vol. 105</t>
        </is>
      </c>
      <c r="R2239" t="inlineStr">
        <is>
          <t xml:space="preserve">BX </t>
        </is>
      </c>
      <c r="S2239" t="n">
        <v>3</v>
      </c>
      <c r="T2239" t="n">
        <v>3</v>
      </c>
      <c r="U2239" t="inlineStr">
        <is>
          <t>2008-07-14</t>
        </is>
      </c>
      <c r="V2239" t="inlineStr">
        <is>
          <t>2008-07-14</t>
        </is>
      </c>
      <c r="W2239" t="inlineStr">
        <is>
          <t>1999-08-18</t>
        </is>
      </c>
      <c r="X2239" t="inlineStr">
        <is>
          <t>1999-08-18</t>
        </is>
      </c>
      <c r="Y2239" t="n">
        <v>110</v>
      </c>
      <c r="Z2239" t="n">
        <v>74</v>
      </c>
      <c r="AA2239" t="n">
        <v>95</v>
      </c>
      <c r="AB2239" t="n">
        <v>1</v>
      </c>
      <c r="AC2239" t="n">
        <v>1</v>
      </c>
      <c r="AD2239" t="n">
        <v>12</v>
      </c>
      <c r="AE2239" t="n">
        <v>16</v>
      </c>
      <c r="AF2239" t="n">
        <v>3</v>
      </c>
      <c r="AG2239" t="n">
        <v>4</v>
      </c>
      <c r="AH2239" t="n">
        <v>2</v>
      </c>
      <c r="AI2239" t="n">
        <v>4</v>
      </c>
      <c r="AJ2239" t="n">
        <v>11</v>
      </c>
      <c r="AK2239" t="n">
        <v>13</v>
      </c>
      <c r="AL2239" t="n">
        <v>0</v>
      </c>
      <c r="AM2239" t="n">
        <v>0</v>
      </c>
      <c r="AN2239" t="n">
        <v>0</v>
      </c>
      <c r="AO2239" t="n">
        <v>0</v>
      </c>
      <c r="AP2239" t="inlineStr">
        <is>
          <t>No</t>
        </is>
      </c>
      <c r="AQ2239" t="inlineStr">
        <is>
          <t>Yes</t>
        </is>
      </c>
      <c r="AR2239">
        <f>HYPERLINK("http://catalog.hathitrust.org/Record/003204436","HathiTrust Record")</f>
        <v/>
      </c>
      <c r="AS2239">
        <f>HYPERLINK("https://creighton-primo.hosted.exlibrisgroup.com/primo-explore/search?tab=default_tab&amp;search_scope=EVERYTHING&amp;vid=01CRU&amp;lang=en_US&amp;offset=0&amp;query=any,contains,991002896219702656","Catalog Record")</f>
        <v/>
      </c>
      <c r="AT2239">
        <f>HYPERLINK("http://www.worldcat.org/oclc/38159973","WorldCat Record")</f>
        <v/>
      </c>
      <c r="AU2239" t="inlineStr">
        <is>
          <t>9621820587:eng</t>
        </is>
      </c>
      <c r="AV2239" t="inlineStr">
        <is>
          <t>38159973</t>
        </is>
      </c>
      <c r="AW2239" t="inlineStr">
        <is>
          <t>991002896219702656</t>
        </is>
      </c>
      <c r="AX2239" t="inlineStr">
        <is>
          <t>991002896219702656</t>
        </is>
      </c>
      <c r="AY2239" t="inlineStr">
        <is>
          <t>2263960610002656</t>
        </is>
      </c>
      <c r="AZ2239" t="inlineStr">
        <is>
          <t>BOOK</t>
        </is>
      </c>
      <c r="BB2239" t="inlineStr">
        <is>
          <t>9780820434216</t>
        </is>
      </c>
      <c r="BC2239" t="inlineStr">
        <is>
          <t>32285003582623</t>
        </is>
      </c>
      <c r="BD2239" t="inlineStr">
        <is>
          <t>893498683</t>
        </is>
      </c>
    </row>
    <row r="2240">
      <c r="A2240" t="inlineStr">
        <is>
          <t>No</t>
        </is>
      </c>
      <c r="B2240" t="inlineStr">
        <is>
          <t>BX4705.B163 K39</t>
        </is>
      </c>
      <c r="C2240" t="inlineStr">
        <is>
          <t>0                      BX 4705000B  163                K  39</t>
        </is>
      </c>
      <c r="D2240" t="inlineStr">
        <is>
          <t>Theological aesthetics : the role of aesthetics in the theological method of Hans Urs von Balthasar / Jeffrey Ames Kay.</t>
        </is>
      </c>
      <c r="F2240" t="inlineStr">
        <is>
          <t>No</t>
        </is>
      </c>
      <c r="G2240" t="inlineStr">
        <is>
          <t>1</t>
        </is>
      </c>
      <c r="H2240" t="inlineStr">
        <is>
          <t>No</t>
        </is>
      </c>
      <c r="I2240" t="inlineStr">
        <is>
          <t>No</t>
        </is>
      </c>
      <c r="J2240" t="inlineStr">
        <is>
          <t>0</t>
        </is>
      </c>
      <c r="K2240" t="inlineStr">
        <is>
          <t>Kay, Jeffrey Ames.</t>
        </is>
      </c>
      <c r="L2240" t="inlineStr">
        <is>
          <t>Bern : Herbert Lang ; Frankfurt/M. : Peter Lang, 1975.</t>
        </is>
      </c>
      <c r="M2240" t="inlineStr">
        <is>
          <t>1975</t>
        </is>
      </c>
      <c r="O2240" t="inlineStr">
        <is>
          <t>eng</t>
        </is>
      </c>
      <c r="P2240" t="inlineStr">
        <is>
          <t xml:space="preserve">sz </t>
        </is>
      </c>
      <c r="Q2240" t="inlineStr">
        <is>
          <t>European university papers : Series 23, Theology ; v. 60</t>
        </is>
      </c>
      <c r="R2240" t="inlineStr">
        <is>
          <t xml:space="preserve">BX </t>
        </is>
      </c>
      <c r="S2240" t="n">
        <v>4</v>
      </c>
      <c r="T2240" t="n">
        <v>4</v>
      </c>
      <c r="U2240" t="inlineStr">
        <is>
          <t>1995-12-14</t>
        </is>
      </c>
      <c r="V2240" t="inlineStr">
        <is>
          <t>1995-12-14</t>
        </is>
      </c>
      <c r="W2240" t="inlineStr">
        <is>
          <t>1991-12-10</t>
        </is>
      </c>
      <c r="X2240" t="inlineStr">
        <is>
          <t>1991-12-10</t>
        </is>
      </c>
      <c r="Y2240" t="n">
        <v>122</v>
      </c>
      <c r="Z2240" t="n">
        <v>83</v>
      </c>
      <c r="AA2240" t="n">
        <v>87</v>
      </c>
      <c r="AB2240" t="n">
        <v>1</v>
      </c>
      <c r="AC2240" t="n">
        <v>1</v>
      </c>
      <c r="AD2240" t="n">
        <v>7</v>
      </c>
      <c r="AE2240" t="n">
        <v>7</v>
      </c>
      <c r="AF2240" t="n">
        <v>1</v>
      </c>
      <c r="AG2240" t="n">
        <v>1</v>
      </c>
      <c r="AH2240" t="n">
        <v>3</v>
      </c>
      <c r="AI2240" t="n">
        <v>3</v>
      </c>
      <c r="AJ2240" t="n">
        <v>4</v>
      </c>
      <c r="AK2240" t="n">
        <v>4</v>
      </c>
      <c r="AL2240" t="n">
        <v>0</v>
      </c>
      <c r="AM2240" t="n">
        <v>0</v>
      </c>
      <c r="AN2240" t="n">
        <v>0</v>
      </c>
      <c r="AO2240" t="n">
        <v>0</v>
      </c>
      <c r="AP2240" t="inlineStr">
        <is>
          <t>No</t>
        </is>
      </c>
      <c r="AQ2240" t="inlineStr">
        <is>
          <t>No</t>
        </is>
      </c>
      <c r="AS2240">
        <f>HYPERLINK("https://creighton-primo.hosted.exlibrisgroup.com/primo-explore/search?tab=default_tab&amp;search_scope=EVERYTHING&amp;vid=01CRU&amp;lang=en_US&amp;offset=0&amp;query=any,contains,991004047219702656","Catalog Record")</f>
        <v/>
      </c>
      <c r="AT2240">
        <f>HYPERLINK("http://www.worldcat.org/oclc/2203104","WorldCat Record")</f>
        <v/>
      </c>
      <c r="AU2240" t="inlineStr">
        <is>
          <t>889239175:eng</t>
        </is>
      </c>
      <c r="AV2240" t="inlineStr">
        <is>
          <t>2203104</t>
        </is>
      </c>
      <c r="AW2240" t="inlineStr">
        <is>
          <t>991004047219702656</t>
        </is>
      </c>
      <c r="AX2240" t="inlineStr">
        <is>
          <t>991004047219702656</t>
        </is>
      </c>
      <c r="AY2240" t="inlineStr">
        <is>
          <t>2259209020002656</t>
        </is>
      </c>
      <c r="AZ2240" t="inlineStr">
        <is>
          <t>BOOK</t>
        </is>
      </c>
      <c r="BB2240" t="inlineStr">
        <is>
          <t>9783261018939</t>
        </is>
      </c>
      <c r="BC2240" t="inlineStr">
        <is>
          <t>32285000873553</t>
        </is>
      </c>
      <c r="BD2240" t="inlineStr">
        <is>
          <t>893442107</t>
        </is>
      </c>
    </row>
    <row r="2241">
      <c r="A2241" t="inlineStr">
        <is>
          <t>No</t>
        </is>
      </c>
      <c r="B2241" t="inlineStr">
        <is>
          <t>BX4705.B163 M66 2002</t>
        </is>
      </c>
      <c r="C2241" t="inlineStr">
        <is>
          <t>0                      BX 4705000B  163                M  66          2002</t>
        </is>
      </c>
      <c r="D2241" t="inlineStr">
        <is>
          <t>The systematic thought of Hans Urs von Balthasar : an Irenaean retrieval / Kevin Mongrain.</t>
        </is>
      </c>
      <c r="F2241" t="inlineStr">
        <is>
          <t>No</t>
        </is>
      </c>
      <c r="G2241" t="inlineStr">
        <is>
          <t>1</t>
        </is>
      </c>
      <c r="H2241" t="inlineStr">
        <is>
          <t>No</t>
        </is>
      </c>
      <c r="I2241" t="inlineStr">
        <is>
          <t>No</t>
        </is>
      </c>
      <c r="J2241" t="inlineStr">
        <is>
          <t>0</t>
        </is>
      </c>
      <c r="K2241" t="inlineStr">
        <is>
          <t>Mongrain, Kevin.</t>
        </is>
      </c>
      <c r="L2241" t="inlineStr">
        <is>
          <t>New York : Crossroad, c2002.</t>
        </is>
      </c>
      <c r="M2241" t="inlineStr">
        <is>
          <t>2002</t>
        </is>
      </c>
      <c r="O2241" t="inlineStr">
        <is>
          <t>eng</t>
        </is>
      </c>
      <c r="P2241" t="inlineStr">
        <is>
          <t>nyu</t>
        </is>
      </c>
      <c r="R2241" t="inlineStr">
        <is>
          <t xml:space="preserve">BX </t>
        </is>
      </c>
      <c r="S2241" t="n">
        <v>5</v>
      </c>
      <c r="T2241" t="n">
        <v>5</v>
      </c>
      <c r="U2241" t="inlineStr">
        <is>
          <t>2007-11-05</t>
        </is>
      </c>
      <c r="V2241" t="inlineStr">
        <is>
          <t>2007-11-05</t>
        </is>
      </c>
      <c r="W2241" t="inlineStr">
        <is>
          <t>2003-12-18</t>
        </is>
      </c>
      <c r="X2241" t="inlineStr">
        <is>
          <t>2003-12-18</t>
        </is>
      </c>
      <c r="Y2241" t="n">
        <v>203</v>
      </c>
      <c r="Z2241" t="n">
        <v>161</v>
      </c>
      <c r="AA2241" t="n">
        <v>163</v>
      </c>
      <c r="AB2241" t="n">
        <v>1</v>
      </c>
      <c r="AC2241" t="n">
        <v>1</v>
      </c>
      <c r="AD2241" t="n">
        <v>21</v>
      </c>
      <c r="AE2241" t="n">
        <v>21</v>
      </c>
      <c r="AF2241" t="n">
        <v>5</v>
      </c>
      <c r="AG2241" t="n">
        <v>5</v>
      </c>
      <c r="AH2241" t="n">
        <v>6</v>
      </c>
      <c r="AI2241" t="n">
        <v>6</v>
      </c>
      <c r="AJ2241" t="n">
        <v>16</v>
      </c>
      <c r="AK2241" t="n">
        <v>16</v>
      </c>
      <c r="AL2241" t="n">
        <v>0</v>
      </c>
      <c r="AM2241" t="n">
        <v>0</v>
      </c>
      <c r="AN2241" t="n">
        <v>0</v>
      </c>
      <c r="AO2241" t="n">
        <v>0</v>
      </c>
      <c r="AP2241" t="inlineStr">
        <is>
          <t>No</t>
        </is>
      </c>
      <c r="AQ2241" t="inlineStr">
        <is>
          <t>Yes</t>
        </is>
      </c>
      <c r="AR2241">
        <f>HYPERLINK("http://catalog.hathitrust.org/Record/004257545","HathiTrust Record")</f>
        <v/>
      </c>
      <c r="AS2241">
        <f>HYPERLINK("https://creighton-primo.hosted.exlibrisgroup.com/primo-explore/search?tab=default_tab&amp;search_scope=EVERYTHING&amp;vid=01CRU&amp;lang=en_US&amp;offset=0&amp;query=any,contains,991004165699702656","Catalog Record")</f>
        <v/>
      </c>
      <c r="AT2241">
        <f>HYPERLINK("http://www.worldcat.org/oclc/49727610","WorldCat Record")</f>
        <v/>
      </c>
      <c r="AU2241" t="inlineStr">
        <is>
          <t>476100088:eng</t>
        </is>
      </c>
      <c r="AV2241" t="inlineStr">
        <is>
          <t>49727610</t>
        </is>
      </c>
      <c r="AW2241" t="inlineStr">
        <is>
          <t>991004165699702656</t>
        </is>
      </c>
      <c r="AX2241" t="inlineStr">
        <is>
          <t>991004165699702656</t>
        </is>
      </c>
      <c r="AY2241" t="inlineStr">
        <is>
          <t>2264726880002656</t>
        </is>
      </c>
      <c r="AZ2241" t="inlineStr">
        <is>
          <t>BOOK</t>
        </is>
      </c>
      <c r="BB2241" t="inlineStr">
        <is>
          <t>9780824519278</t>
        </is>
      </c>
      <c r="BC2241" t="inlineStr">
        <is>
          <t>32285004848080</t>
        </is>
      </c>
      <c r="BD2241" t="inlineStr">
        <is>
          <t>893263124</t>
        </is>
      </c>
    </row>
    <row r="2242">
      <c r="A2242" t="inlineStr">
        <is>
          <t>No</t>
        </is>
      </c>
      <c r="B2242" t="inlineStr">
        <is>
          <t>BX4705.B163 N53 1998</t>
        </is>
      </c>
      <c r="C2242" t="inlineStr">
        <is>
          <t>0                      BX 4705000B  163                N  53          1998</t>
        </is>
      </c>
      <c r="D2242" t="inlineStr">
        <is>
          <t>The word has been abroad : a guide through Balthasar's aesthetics / Aidan Nichols.</t>
        </is>
      </c>
      <c r="F2242" t="inlineStr">
        <is>
          <t>No</t>
        </is>
      </c>
      <c r="G2242" t="inlineStr">
        <is>
          <t>1</t>
        </is>
      </c>
      <c r="H2242" t="inlineStr">
        <is>
          <t>No</t>
        </is>
      </c>
      <c r="I2242" t="inlineStr">
        <is>
          <t>No</t>
        </is>
      </c>
      <c r="J2242" t="inlineStr">
        <is>
          <t>0</t>
        </is>
      </c>
      <c r="K2242" t="inlineStr">
        <is>
          <t>Nichols, Aidan.</t>
        </is>
      </c>
      <c r="L2242" t="inlineStr">
        <is>
          <t>Washington, D.C. : Catholic University of America Press, 1998.</t>
        </is>
      </c>
      <c r="M2242" t="inlineStr">
        <is>
          <t>1998</t>
        </is>
      </c>
      <c r="O2242" t="inlineStr">
        <is>
          <t>eng</t>
        </is>
      </c>
      <c r="P2242" t="inlineStr">
        <is>
          <t>dcu</t>
        </is>
      </c>
      <c r="Q2242" t="inlineStr">
        <is>
          <t>Introduction to Hans Urs von Balthasar</t>
        </is>
      </c>
      <c r="R2242" t="inlineStr">
        <is>
          <t xml:space="preserve">BX </t>
        </is>
      </c>
      <c r="S2242" t="n">
        <v>5</v>
      </c>
      <c r="T2242" t="n">
        <v>5</v>
      </c>
      <c r="U2242" t="inlineStr">
        <is>
          <t>2010-09-27</t>
        </is>
      </c>
      <c r="V2242" t="inlineStr">
        <is>
          <t>2010-09-27</t>
        </is>
      </c>
      <c r="W2242" t="inlineStr">
        <is>
          <t>2008-02-27</t>
        </is>
      </c>
      <c r="X2242" t="inlineStr">
        <is>
          <t>2008-02-27</t>
        </is>
      </c>
      <c r="Y2242" t="n">
        <v>175</v>
      </c>
      <c r="Z2242" t="n">
        <v>156</v>
      </c>
      <c r="AA2242" t="n">
        <v>185</v>
      </c>
      <c r="AB2242" t="n">
        <v>1</v>
      </c>
      <c r="AC2242" t="n">
        <v>1</v>
      </c>
      <c r="AD2242" t="n">
        <v>23</v>
      </c>
      <c r="AE2242" t="n">
        <v>24</v>
      </c>
      <c r="AF2242" t="n">
        <v>9</v>
      </c>
      <c r="AG2242" t="n">
        <v>9</v>
      </c>
      <c r="AH2242" t="n">
        <v>5</v>
      </c>
      <c r="AI2242" t="n">
        <v>5</v>
      </c>
      <c r="AJ2242" t="n">
        <v>16</v>
      </c>
      <c r="AK2242" t="n">
        <v>17</v>
      </c>
      <c r="AL2242" t="n">
        <v>0</v>
      </c>
      <c r="AM2242" t="n">
        <v>0</v>
      </c>
      <c r="AN2242" t="n">
        <v>0</v>
      </c>
      <c r="AO2242" t="n">
        <v>0</v>
      </c>
      <c r="AP2242" t="inlineStr">
        <is>
          <t>No</t>
        </is>
      </c>
      <c r="AQ2242" t="inlineStr">
        <is>
          <t>No</t>
        </is>
      </c>
      <c r="AS2242">
        <f>HYPERLINK("https://creighton-primo.hosted.exlibrisgroup.com/primo-explore/search?tab=default_tab&amp;search_scope=EVERYTHING&amp;vid=01CRU&amp;lang=en_US&amp;offset=0&amp;query=any,contains,991005180089702656","Catalog Record")</f>
        <v/>
      </c>
      <c r="AT2242">
        <f>HYPERLINK("http://www.worldcat.org/oclc/39858480","WorldCat Record")</f>
        <v/>
      </c>
      <c r="AU2242" t="inlineStr">
        <is>
          <t>837013239:eng</t>
        </is>
      </c>
      <c r="AV2242" t="inlineStr">
        <is>
          <t>39858480</t>
        </is>
      </c>
      <c r="AW2242" t="inlineStr">
        <is>
          <t>991005180089702656</t>
        </is>
      </c>
      <c r="AX2242" t="inlineStr">
        <is>
          <t>991005180089702656</t>
        </is>
      </c>
      <c r="AY2242" t="inlineStr">
        <is>
          <t>2259463030002656</t>
        </is>
      </c>
      <c r="AZ2242" t="inlineStr">
        <is>
          <t>BOOK</t>
        </is>
      </c>
      <c r="BB2242" t="inlineStr">
        <is>
          <t>9780813209241</t>
        </is>
      </c>
      <c r="BC2242" t="inlineStr">
        <is>
          <t>32285005394753</t>
        </is>
      </c>
      <c r="BD2242" t="inlineStr">
        <is>
          <t>893507741</t>
        </is>
      </c>
    </row>
    <row r="2243">
      <c r="A2243" t="inlineStr">
        <is>
          <t>No</t>
        </is>
      </c>
      <c r="B2243" t="inlineStr">
        <is>
          <t>BX4705.B163 S74 2001</t>
        </is>
      </c>
      <c r="C2243" t="inlineStr">
        <is>
          <t>0                      BX 4705000B  163                S  74          2001</t>
        </is>
      </c>
      <c r="D2243" t="inlineStr">
        <is>
          <t>The ethical thought of Hans Urs von Balthasar / Christopher W. Steck.</t>
        </is>
      </c>
      <c r="F2243" t="inlineStr">
        <is>
          <t>No</t>
        </is>
      </c>
      <c r="G2243" t="inlineStr">
        <is>
          <t>1</t>
        </is>
      </c>
      <c r="H2243" t="inlineStr">
        <is>
          <t>No</t>
        </is>
      </c>
      <c r="I2243" t="inlineStr">
        <is>
          <t>No</t>
        </is>
      </c>
      <c r="J2243" t="inlineStr">
        <is>
          <t>0</t>
        </is>
      </c>
      <c r="K2243" t="inlineStr">
        <is>
          <t>Steck, Christopher W.</t>
        </is>
      </c>
      <c r="L2243" t="inlineStr">
        <is>
          <t>New York : Crossroad, c2001.</t>
        </is>
      </c>
      <c r="M2243" t="inlineStr">
        <is>
          <t>2001</t>
        </is>
      </c>
      <c r="O2243" t="inlineStr">
        <is>
          <t>eng</t>
        </is>
      </c>
      <c r="P2243" t="inlineStr">
        <is>
          <t>nyu</t>
        </is>
      </c>
      <c r="R2243" t="inlineStr">
        <is>
          <t xml:space="preserve">BX </t>
        </is>
      </c>
      <c r="S2243" t="n">
        <v>0</v>
      </c>
      <c r="T2243" t="n">
        <v>0</v>
      </c>
      <c r="U2243" t="inlineStr">
        <is>
          <t>2010-01-20</t>
        </is>
      </c>
      <c r="V2243" t="inlineStr">
        <is>
          <t>2010-01-20</t>
        </is>
      </c>
      <c r="W2243" t="inlineStr">
        <is>
          <t>2009-12-10</t>
        </is>
      </c>
      <c r="X2243" t="inlineStr">
        <is>
          <t>2009-12-10</t>
        </is>
      </c>
      <c r="Y2243" t="n">
        <v>176</v>
      </c>
      <c r="Z2243" t="n">
        <v>133</v>
      </c>
      <c r="AA2243" t="n">
        <v>133</v>
      </c>
      <c r="AB2243" t="n">
        <v>1</v>
      </c>
      <c r="AC2243" t="n">
        <v>1</v>
      </c>
      <c r="AD2243" t="n">
        <v>19</v>
      </c>
      <c r="AE2243" t="n">
        <v>19</v>
      </c>
      <c r="AF2243" t="n">
        <v>5</v>
      </c>
      <c r="AG2243" t="n">
        <v>5</v>
      </c>
      <c r="AH2243" t="n">
        <v>3</v>
      </c>
      <c r="AI2243" t="n">
        <v>3</v>
      </c>
      <c r="AJ2243" t="n">
        <v>16</v>
      </c>
      <c r="AK2243" t="n">
        <v>16</v>
      </c>
      <c r="AL2243" t="n">
        <v>0</v>
      </c>
      <c r="AM2243" t="n">
        <v>0</v>
      </c>
      <c r="AN2243" t="n">
        <v>0</v>
      </c>
      <c r="AO2243" t="n">
        <v>0</v>
      </c>
      <c r="AP2243" t="inlineStr">
        <is>
          <t>No</t>
        </is>
      </c>
      <c r="AQ2243" t="inlineStr">
        <is>
          <t>No</t>
        </is>
      </c>
      <c r="AS2243">
        <f>HYPERLINK("https://creighton-primo.hosted.exlibrisgroup.com/primo-explore/search?tab=default_tab&amp;search_scope=EVERYTHING&amp;vid=01CRU&amp;lang=en_US&amp;offset=0&amp;query=any,contains,991005346149702656","Catalog Record")</f>
        <v/>
      </c>
      <c r="AT2243">
        <f>HYPERLINK("http://www.worldcat.org/oclc/47289180","WorldCat Record")</f>
        <v/>
      </c>
      <c r="AU2243" t="inlineStr">
        <is>
          <t>36712249:eng</t>
        </is>
      </c>
      <c r="AV2243" t="inlineStr">
        <is>
          <t>47289180</t>
        </is>
      </c>
      <c r="AW2243" t="inlineStr">
        <is>
          <t>991005346149702656</t>
        </is>
      </c>
      <c r="AX2243" t="inlineStr">
        <is>
          <t>991005346149702656</t>
        </is>
      </c>
      <c r="AY2243" t="inlineStr">
        <is>
          <t>2261895590002656</t>
        </is>
      </c>
      <c r="AZ2243" t="inlineStr">
        <is>
          <t>BOOK</t>
        </is>
      </c>
      <c r="BB2243" t="inlineStr">
        <is>
          <t>9780824519155</t>
        </is>
      </c>
      <c r="BC2243" t="inlineStr">
        <is>
          <t>32285004743273</t>
        </is>
      </c>
      <c r="BD2243" t="inlineStr">
        <is>
          <t>893720200</t>
        </is>
      </c>
    </row>
    <row r="2244">
      <c r="A2244" t="inlineStr">
        <is>
          <t>No</t>
        </is>
      </c>
      <c r="B2244" t="inlineStr">
        <is>
          <t>BX4705.B224 R6 1960</t>
        </is>
      </c>
      <c r="C2244" t="inlineStr">
        <is>
          <t>0                      BX 4705000B  224                R  6           1960</t>
        </is>
      </c>
      <c r="D2244" t="inlineStr">
        <is>
          <t>Fray Juan de los Barrios y la evangelización del Nuevo Reino de Granada.</t>
        </is>
      </c>
      <c r="F2244" t="inlineStr">
        <is>
          <t>No</t>
        </is>
      </c>
      <c r="G2244" t="inlineStr">
        <is>
          <t>1</t>
        </is>
      </c>
      <c r="H2244" t="inlineStr">
        <is>
          <t>No</t>
        </is>
      </c>
      <c r="I2244" t="inlineStr">
        <is>
          <t>No</t>
        </is>
      </c>
      <c r="J2244" t="inlineStr">
        <is>
          <t>0</t>
        </is>
      </c>
      <c r="K2244" t="inlineStr">
        <is>
          <t>Romero, Mario Germán.</t>
        </is>
      </c>
      <c r="L2244" t="inlineStr">
        <is>
          <t>[Bogotá] : Academia Colombiana de Historia, [1960]</t>
        </is>
      </c>
      <c r="M2244" t="inlineStr">
        <is>
          <t>1960</t>
        </is>
      </c>
      <c r="O2244" t="inlineStr">
        <is>
          <t>spa</t>
        </is>
      </c>
      <c r="P2244" t="inlineStr">
        <is>
          <t xml:space="preserve">xx </t>
        </is>
      </c>
      <c r="Q2244" t="inlineStr">
        <is>
          <t>Biblioteca de historia eclesiástica #Fernando Caycedo y Florez," v. 4</t>
        </is>
      </c>
      <c r="R2244" t="inlineStr">
        <is>
          <t xml:space="preserve">BX </t>
        </is>
      </c>
      <c r="S2244" t="n">
        <v>1</v>
      </c>
      <c r="T2244" t="n">
        <v>1</v>
      </c>
      <c r="U2244" t="inlineStr">
        <is>
          <t>2000-10-25</t>
        </is>
      </c>
      <c r="V2244" t="inlineStr">
        <is>
          <t>2000-10-25</t>
        </is>
      </c>
      <c r="W2244" t="inlineStr">
        <is>
          <t>1991-12-10</t>
        </is>
      </c>
      <c r="X2244" t="inlineStr">
        <is>
          <t>1991-12-10</t>
        </is>
      </c>
      <c r="Y2244" t="n">
        <v>81</v>
      </c>
      <c r="Z2244" t="n">
        <v>68</v>
      </c>
      <c r="AA2244" t="n">
        <v>78</v>
      </c>
      <c r="AB2244" t="n">
        <v>1</v>
      </c>
      <c r="AC2244" t="n">
        <v>1</v>
      </c>
      <c r="AD2244" t="n">
        <v>3</v>
      </c>
      <c r="AE2244" t="n">
        <v>3</v>
      </c>
      <c r="AF2244" t="n">
        <v>1</v>
      </c>
      <c r="AG2244" t="n">
        <v>1</v>
      </c>
      <c r="AH2244" t="n">
        <v>1</v>
      </c>
      <c r="AI2244" t="n">
        <v>1</v>
      </c>
      <c r="AJ2244" t="n">
        <v>1</v>
      </c>
      <c r="AK2244" t="n">
        <v>1</v>
      </c>
      <c r="AL2244" t="n">
        <v>0</v>
      </c>
      <c r="AM2244" t="n">
        <v>0</v>
      </c>
      <c r="AN2244" t="n">
        <v>0</v>
      </c>
      <c r="AO2244" t="n">
        <v>0</v>
      </c>
      <c r="AP2244" t="inlineStr">
        <is>
          <t>No</t>
        </is>
      </c>
      <c r="AQ2244" t="inlineStr">
        <is>
          <t>Yes</t>
        </is>
      </c>
      <c r="AR2244">
        <f>HYPERLINK("http://catalog.hathitrust.org/Record/101530818","HathiTrust Record")</f>
        <v/>
      </c>
      <c r="AS2244">
        <f>HYPERLINK("https://creighton-primo.hosted.exlibrisgroup.com/primo-explore/search?tab=default_tab&amp;search_scope=EVERYTHING&amp;vid=01CRU&amp;lang=en_US&amp;offset=0&amp;query=any,contains,991003761699702656","Catalog Record")</f>
        <v/>
      </c>
      <c r="AT2244">
        <f>HYPERLINK("http://www.worldcat.org/oclc/1449903","WorldCat Record")</f>
        <v/>
      </c>
      <c r="AU2244" t="inlineStr">
        <is>
          <t>2373841:spa</t>
        </is>
      </c>
      <c r="AV2244" t="inlineStr">
        <is>
          <t>1449903</t>
        </is>
      </c>
      <c r="AW2244" t="inlineStr">
        <is>
          <t>991003761699702656</t>
        </is>
      </c>
      <c r="AX2244" t="inlineStr">
        <is>
          <t>991003761699702656</t>
        </is>
      </c>
      <c r="AY2244" t="inlineStr">
        <is>
          <t>2270966220002656</t>
        </is>
      </c>
      <c r="AZ2244" t="inlineStr">
        <is>
          <t>BOOK</t>
        </is>
      </c>
      <c r="BC2244" t="inlineStr">
        <is>
          <t>32285000873595</t>
        </is>
      </c>
      <c r="BD2244" t="inlineStr">
        <is>
          <t>893787741</t>
        </is>
      </c>
    </row>
    <row r="2245">
      <c r="A2245" t="inlineStr">
        <is>
          <t>No</t>
        </is>
      </c>
      <c r="B2245" t="inlineStr">
        <is>
          <t>BX4705.B2595 Q5 1973</t>
        </is>
      </c>
      <c r="C2245" t="inlineStr">
        <is>
          <t>0                      BX 4705000B  2595               Q  5           1973</t>
        </is>
      </c>
      <c r="D2245" t="inlineStr">
        <is>
          <t>Beauduin, a prophet vindicated / Sonya A. Quitslund.</t>
        </is>
      </c>
      <c r="F2245" t="inlineStr">
        <is>
          <t>No</t>
        </is>
      </c>
      <c r="G2245" t="inlineStr">
        <is>
          <t>1</t>
        </is>
      </c>
      <c r="H2245" t="inlineStr">
        <is>
          <t>No</t>
        </is>
      </c>
      <c r="I2245" t="inlineStr">
        <is>
          <t>No</t>
        </is>
      </c>
      <c r="J2245" t="inlineStr">
        <is>
          <t>0</t>
        </is>
      </c>
      <c r="K2245" t="inlineStr">
        <is>
          <t>Quitslund, Sonya A.</t>
        </is>
      </c>
      <c r="L2245" t="inlineStr">
        <is>
          <t>New York : Newman Press, 1973.</t>
        </is>
      </c>
      <c r="M2245" t="inlineStr">
        <is>
          <t>1973</t>
        </is>
      </c>
      <c r="O2245" t="inlineStr">
        <is>
          <t>eng</t>
        </is>
      </c>
      <c r="P2245" t="inlineStr">
        <is>
          <t>nyu</t>
        </is>
      </c>
      <c r="R2245" t="inlineStr">
        <is>
          <t xml:space="preserve">BX </t>
        </is>
      </c>
      <c r="S2245" t="n">
        <v>3</v>
      </c>
      <c r="T2245" t="n">
        <v>3</v>
      </c>
      <c r="U2245" t="inlineStr">
        <is>
          <t>2004-11-16</t>
        </is>
      </c>
      <c r="V2245" t="inlineStr">
        <is>
          <t>2004-11-16</t>
        </is>
      </c>
      <c r="W2245" t="inlineStr">
        <is>
          <t>1991-12-10</t>
        </is>
      </c>
      <c r="X2245" t="inlineStr">
        <is>
          <t>1991-12-10</t>
        </is>
      </c>
      <c r="Y2245" t="n">
        <v>249</v>
      </c>
      <c r="Z2245" t="n">
        <v>213</v>
      </c>
      <c r="AA2245" t="n">
        <v>213</v>
      </c>
      <c r="AB2245" t="n">
        <v>1</v>
      </c>
      <c r="AC2245" t="n">
        <v>1</v>
      </c>
      <c r="AD2245" t="n">
        <v>21</v>
      </c>
      <c r="AE2245" t="n">
        <v>21</v>
      </c>
      <c r="AF2245" t="n">
        <v>4</v>
      </c>
      <c r="AG2245" t="n">
        <v>4</v>
      </c>
      <c r="AH2245" t="n">
        <v>7</v>
      </c>
      <c r="AI2245" t="n">
        <v>7</v>
      </c>
      <c r="AJ2245" t="n">
        <v>15</v>
      </c>
      <c r="AK2245" t="n">
        <v>15</v>
      </c>
      <c r="AL2245" t="n">
        <v>0</v>
      </c>
      <c r="AM2245" t="n">
        <v>0</v>
      </c>
      <c r="AN2245" t="n">
        <v>0</v>
      </c>
      <c r="AO2245" t="n">
        <v>0</v>
      </c>
      <c r="AP2245" t="inlineStr">
        <is>
          <t>No</t>
        </is>
      </c>
      <c r="AQ2245" t="inlineStr">
        <is>
          <t>No</t>
        </is>
      </c>
      <c r="AS2245">
        <f>HYPERLINK("https://creighton-primo.hosted.exlibrisgroup.com/primo-explore/search?tab=default_tab&amp;search_scope=EVERYTHING&amp;vid=01CRU&amp;lang=en_US&amp;offset=0&amp;query=any,contains,991003019329702656","Catalog Record")</f>
        <v/>
      </c>
      <c r="AT2245">
        <f>HYPERLINK("http://www.worldcat.org/oclc/584060","WorldCat Record")</f>
        <v/>
      </c>
      <c r="AU2245" t="inlineStr">
        <is>
          <t>1740288:eng</t>
        </is>
      </c>
      <c r="AV2245" t="inlineStr">
        <is>
          <t>584060</t>
        </is>
      </c>
      <c r="AW2245" t="inlineStr">
        <is>
          <t>991003019329702656</t>
        </is>
      </c>
      <c r="AX2245" t="inlineStr">
        <is>
          <t>991003019329702656</t>
        </is>
      </c>
      <c r="AY2245" t="inlineStr">
        <is>
          <t>2269071210002656</t>
        </is>
      </c>
      <c r="AZ2245" t="inlineStr">
        <is>
          <t>BOOK</t>
        </is>
      </c>
      <c r="BB2245" t="inlineStr">
        <is>
          <t>9780809101689</t>
        </is>
      </c>
      <c r="BC2245" t="inlineStr">
        <is>
          <t>32285000873637</t>
        </is>
      </c>
      <c r="BD2245" t="inlineStr">
        <is>
          <t>893415937</t>
        </is>
      </c>
    </row>
    <row r="2246">
      <c r="A2246" t="inlineStr">
        <is>
          <t>No</t>
        </is>
      </c>
      <c r="B2246" t="inlineStr">
        <is>
          <t>BX4705.B2924 K64 1999</t>
        </is>
      </c>
      <c r="C2246" t="inlineStr">
        <is>
          <t>0                      BX 4705000B  2924               K  64          1999</t>
        </is>
      </c>
      <c r="D2246" t="inlineStr">
        <is>
          <t>From the place of the dead : the epic struggles of Bishop Belo of East Timor / Arnold S. Kohen ; introduction by the Dalai Lama.</t>
        </is>
      </c>
      <c r="F2246" t="inlineStr">
        <is>
          <t>No</t>
        </is>
      </c>
      <c r="G2246" t="inlineStr">
        <is>
          <t>1</t>
        </is>
      </c>
      <c r="H2246" t="inlineStr">
        <is>
          <t>No</t>
        </is>
      </c>
      <c r="I2246" t="inlineStr">
        <is>
          <t>No</t>
        </is>
      </c>
      <c r="J2246" t="inlineStr">
        <is>
          <t>0</t>
        </is>
      </c>
      <c r="K2246" t="inlineStr">
        <is>
          <t>Kohen, Arnold S.</t>
        </is>
      </c>
      <c r="L2246" t="inlineStr">
        <is>
          <t>New York : St. Martin's Press, 1999.</t>
        </is>
      </c>
      <c r="M2246" t="inlineStr">
        <is>
          <t>1999</t>
        </is>
      </c>
      <c r="N2246" t="inlineStr">
        <is>
          <t>1st ed.</t>
        </is>
      </c>
      <c r="O2246" t="inlineStr">
        <is>
          <t>eng</t>
        </is>
      </c>
      <c r="P2246" t="inlineStr">
        <is>
          <t>nyu</t>
        </is>
      </c>
      <c r="R2246" t="inlineStr">
        <is>
          <t xml:space="preserve">BX </t>
        </is>
      </c>
      <c r="S2246" t="n">
        <v>1</v>
      </c>
      <c r="T2246" t="n">
        <v>1</v>
      </c>
      <c r="U2246" t="inlineStr">
        <is>
          <t>2010-11-10</t>
        </is>
      </c>
      <c r="V2246" t="inlineStr">
        <is>
          <t>2010-11-10</t>
        </is>
      </c>
      <c r="W2246" t="inlineStr">
        <is>
          <t>2010-11-10</t>
        </is>
      </c>
      <c r="X2246" t="inlineStr">
        <is>
          <t>2010-11-10</t>
        </is>
      </c>
      <c r="Y2246" t="n">
        <v>465</v>
      </c>
      <c r="Z2246" t="n">
        <v>388</v>
      </c>
      <c r="AA2246" t="n">
        <v>410</v>
      </c>
      <c r="AB2246" t="n">
        <v>4</v>
      </c>
      <c r="AC2246" t="n">
        <v>4</v>
      </c>
      <c r="AD2246" t="n">
        <v>20</v>
      </c>
      <c r="AE2246" t="n">
        <v>20</v>
      </c>
      <c r="AF2246" t="n">
        <v>5</v>
      </c>
      <c r="AG2246" t="n">
        <v>5</v>
      </c>
      <c r="AH2246" t="n">
        <v>5</v>
      </c>
      <c r="AI2246" t="n">
        <v>5</v>
      </c>
      <c r="AJ2246" t="n">
        <v>13</v>
      </c>
      <c r="AK2246" t="n">
        <v>13</v>
      </c>
      <c r="AL2246" t="n">
        <v>2</v>
      </c>
      <c r="AM2246" t="n">
        <v>2</v>
      </c>
      <c r="AN2246" t="n">
        <v>0</v>
      </c>
      <c r="AO2246" t="n">
        <v>0</v>
      </c>
      <c r="AP2246" t="inlineStr">
        <is>
          <t>No</t>
        </is>
      </c>
      <c r="AQ2246" t="inlineStr">
        <is>
          <t>No</t>
        </is>
      </c>
      <c r="AS2246">
        <f>HYPERLINK("https://creighton-primo.hosted.exlibrisgroup.com/primo-explore/search?tab=default_tab&amp;search_scope=EVERYTHING&amp;vid=01CRU&amp;lang=en_US&amp;offset=0&amp;query=any,contains,991000220259702656","Catalog Record")</f>
        <v/>
      </c>
      <c r="AT2246">
        <f>HYPERLINK("http://www.worldcat.org/oclc/40359406","WorldCat Record")</f>
        <v/>
      </c>
      <c r="AU2246" t="inlineStr">
        <is>
          <t>44322:eng</t>
        </is>
      </c>
      <c r="AV2246" t="inlineStr">
        <is>
          <t>40359406</t>
        </is>
      </c>
      <c r="AW2246" t="inlineStr">
        <is>
          <t>991000220259702656</t>
        </is>
      </c>
      <c r="AX2246" t="inlineStr">
        <is>
          <t>991000220259702656</t>
        </is>
      </c>
      <c r="AY2246" t="inlineStr">
        <is>
          <t>2255358170002656</t>
        </is>
      </c>
      <c r="AZ2246" t="inlineStr">
        <is>
          <t>BOOK</t>
        </is>
      </c>
      <c r="BB2246" t="inlineStr">
        <is>
          <t>9780312198855</t>
        </is>
      </c>
      <c r="BC2246" t="inlineStr">
        <is>
          <t>32285005605604</t>
        </is>
      </c>
      <c r="BD2246" t="inlineStr">
        <is>
          <t>893425536</t>
        </is>
      </c>
    </row>
    <row r="2247">
      <c r="A2247" t="inlineStr">
        <is>
          <t>No</t>
        </is>
      </c>
      <c r="B2247" t="inlineStr">
        <is>
          <t>BX4705.B3 C6 1913</t>
        </is>
      </c>
      <c r="C2247" t="inlineStr">
        <is>
          <t>0                      BX 4705000B  3                  C  6           1913</t>
        </is>
      </c>
      <c r="D2247" t="inlineStr">
        <is>
          <t>Confessions of a convert / by Robert Hugh Benson.</t>
        </is>
      </c>
      <c r="F2247" t="inlineStr">
        <is>
          <t>No</t>
        </is>
      </c>
      <c r="G2247" t="inlineStr">
        <is>
          <t>1</t>
        </is>
      </c>
      <c r="H2247" t="inlineStr">
        <is>
          <t>No</t>
        </is>
      </c>
      <c r="I2247" t="inlineStr">
        <is>
          <t>No</t>
        </is>
      </c>
      <c r="J2247" t="inlineStr">
        <is>
          <t>0</t>
        </is>
      </c>
      <c r="K2247" t="inlineStr">
        <is>
          <t>Benson, Robert Hugh, 1871-1914.</t>
        </is>
      </c>
      <c r="L2247" t="inlineStr">
        <is>
          <t>New York : Longmans, Green, 1913.</t>
        </is>
      </c>
      <c r="M2247" t="inlineStr">
        <is>
          <t>1913</t>
        </is>
      </c>
      <c r="O2247" t="inlineStr">
        <is>
          <t>eng</t>
        </is>
      </c>
      <c r="P2247" t="inlineStr">
        <is>
          <t>nyu</t>
        </is>
      </c>
      <c r="R2247" t="inlineStr">
        <is>
          <t xml:space="preserve">BX </t>
        </is>
      </c>
      <c r="S2247" t="n">
        <v>2</v>
      </c>
      <c r="T2247" t="n">
        <v>2</v>
      </c>
      <c r="U2247" t="inlineStr">
        <is>
          <t>2000-06-08</t>
        </is>
      </c>
      <c r="V2247" t="inlineStr">
        <is>
          <t>2000-06-08</t>
        </is>
      </c>
      <c r="W2247" t="inlineStr">
        <is>
          <t>1991-12-10</t>
        </is>
      </c>
      <c r="X2247" t="inlineStr">
        <is>
          <t>1991-12-10</t>
        </is>
      </c>
      <c r="Y2247" t="n">
        <v>130</v>
      </c>
      <c r="Z2247" t="n">
        <v>102</v>
      </c>
      <c r="AA2247" t="n">
        <v>194</v>
      </c>
      <c r="AB2247" t="n">
        <v>2</v>
      </c>
      <c r="AC2247" t="n">
        <v>3</v>
      </c>
      <c r="AD2247" t="n">
        <v>17</v>
      </c>
      <c r="AE2247" t="n">
        <v>25</v>
      </c>
      <c r="AF2247" t="n">
        <v>6</v>
      </c>
      <c r="AG2247" t="n">
        <v>9</v>
      </c>
      <c r="AH2247" t="n">
        <v>6</v>
      </c>
      <c r="AI2247" t="n">
        <v>7</v>
      </c>
      <c r="AJ2247" t="n">
        <v>11</v>
      </c>
      <c r="AK2247" t="n">
        <v>18</v>
      </c>
      <c r="AL2247" t="n">
        <v>0</v>
      </c>
      <c r="AM2247" t="n">
        <v>1</v>
      </c>
      <c r="AN2247" t="n">
        <v>0</v>
      </c>
      <c r="AO2247" t="n">
        <v>0</v>
      </c>
      <c r="AP2247" t="inlineStr">
        <is>
          <t>Yes</t>
        </is>
      </c>
      <c r="AQ2247" t="inlineStr">
        <is>
          <t>No</t>
        </is>
      </c>
      <c r="AR2247">
        <f>HYPERLINK("http://catalog.hathitrust.org/Record/001931525","HathiTrust Record")</f>
        <v/>
      </c>
      <c r="AS2247">
        <f>HYPERLINK("https://creighton-primo.hosted.exlibrisgroup.com/primo-explore/search?tab=default_tab&amp;search_scope=EVERYTHING&amp;vid=01CRU&amp;lang=en_US&amp;offset=0&amp;query=any,contains,991003103259702656","Catalog Record")</f>
        <v/>
      </c>
      <c r="AT2247">
        <f>HYPERLINK("http://www.worldcat.org/oclc/652467","WorldCat Record")</f>
        <v/>
      </c>
      <c r="AU2247" t="inlineStr">
        <is>
          <t>1607774:eng</t>
        </is>
      </c>
      <c r="AV2247" t="inlineStr">
        <is>
          <t>652467</t>
        </is>
      </c>
      <c r="AW2247" t="inlineStr">
        <is>
          <t>991003103259702656</t>
        </is>
      </c>
      <c r="AX2247" t="inlineStr">
        <is>
          <t>991003103259702656</t>
        </is>
      </c>
      <c r="AY2247" t="inlineStr">
        <is>
          <t>2262828590002656</t>
        </is>
      </c>
      <c r="AZ2247" t="inlineStr">
        <is>
          <t>BOOK</t>
        </is>
      </c>
      <c r="BC2247" t="inlineStr">
        <is>
          <t>32285000873652</t>
        </is>
      </c>
      <c r="BD2247" t="inlineStr">
        <is>
          <t>893592197</t>
        </is>
      </c>
    </row>
    <row r="2248">
      <c r="A2248" t="inlineStr">
        <is>
          <t>No</t>
        </is>
      </c>
      <c r="B2248" t="inlineStr">
        <is>
          <t>BX4705.B3 M3 1916</t>
        </is>
      </c>
      <c r="C2248" t="inlineStr">
        <is>
          <t>0                      BX 4705000B  3                  M  3           1916</t>
        </is>
      </c>
      <c r="D2248" t="inlineStr">
        <is>
          <t>The life of Monsignor Robert Hugh Benson / by C. C. Martindale.</t>
        </is>
      </c>
      <c r="E2248" t="inlineStr">
        <is>
          <t>V.1</t>
        </is>
      </c>
      <c r="F2248" t="inlineStr">
        <is>
          <t>Yes</t>
        </is>
      </c>
      <c r="G2248" t="inlineStr">
        <is>
          <t>1</t>
        </is>
      </c>
      <c r="H2248" t="inlineStr">
        <is>
          <t>No</t>
        </is>
      </c>
      <c r="I2248" t="inlineStr">
        <is>
          <t>No</t>
        </is>
      </c>
      <c r="J2248" t="inlineStr">
        <is>
          <t>0</t>
        </is>
      </c>
      <c r="K2248" t="inlineStr">
        <is>
          <t>Martindale, C. C. (Cyril Charlie), 1879-1963.</t>
        </is>
      </c>
      <c r="L2248" t="inlineStr">
        <is>
          <t>London, New York : Longmans, Green, 1916.</t>
        </is>
      </c>
      <c r="M2248" t="inlineStr">
        <is>
          <t>1916</t>
        </is>
      </c>
      <c r="O2248" t="inlineStr">
        <is>
          <t>eng</t>
        </is>
      </c>
      <c r="P2248" t="inlineStr">
        <is>
          <t>enk</t>
        </is>
      </c>
      <c r="R2248" t="inlineStr">
        <is>
          <t xml:space="preserve">BX </t>
        </is>
      </c>
      <c r="S2248" t="n">
        <v>1</v>
      </c>
      <c r="T2248" t="n">
        <v>2</v>
      </c>
      <c r="U2248" t="inlineStr">
        <is>
          <t>1993-04-20</t>
        </is>
      </c>
      <c r="V2248" t="inlineStr">
        <is>
          <t>1993-04-20</t>
        </is>
      </c>
      <c r="W2248" t="inlineStr">
        <is>
          <t>1991-12-10</t>
        </is>
      </c>
      <c r="X2248" t="inlineStr">
        <is>
          <t>1991-12-10</t>
        </is>
      </c>
      <c r="Y2248" t="n">
        <v>249</v>
      </c>
      <c r="Z2248" t="n">
        <v>203</v>
      </c>
      <c r="AA2248" t="n">
        <v>238</v>
      </c>
      <c r="AB2248" t="n">
        <v>4</v>
      </c>
      <c r="AC2248" t="n">
        <v>4</v>
      </c>
      <c r="AD2248" t="n">
        <v>30</v>
      </c>
      <c r="AE2248" t="n">
        <v>32</v>
      </c>
      <c r="AF2248" t="n">
        <v>12</v>
      </c>
      <c r="AG2248" t="n">
        <v>13</v>
      </c>
      <c r="AH2248" t="n">
        <v>7</v>
      </c>
      <c r="AI2248" t="n">
        <v>7</v>
      </c>
      <c r="AJ2248" t="n">
        <v>21</v>
      </c>
      <c r="AK2248" t="n">
        <v>23</v>
      </c>
      <c r="AL2248" t="n">
        <v>1</v>
      </c>
      <c r="AM2248" t="n">
        <v>1</v>
      </c>
      <c r="AN2248" t="n">
        <v>0</v>
      </c>
      <c r="AO2248" t="n">
        <v>0</v>
      </c>
      <c r="AP2248" t="inlineStr">
        <is>
          <t>Yes</t>
        </is>
      </c>
      <c r="AQ2248" t="inlineStr">
        <is>
          <t>No</t>
        </is>
      </c>
      <c r="AR2248">
        <f>HYPERLINK("http://catalog.hathitrust.org/Record/005768818","HathiTrust Record")</f>
        <v/>
      </c>
      <c r="AS2248">
        <f>HYPERLINK("https://creighton-primo.hosted.exlibrisgroup.com/primo-explore/search?tab=default_tab&amp;search_scope=EVERYTHING&amp;vid=01CRU&amp;lang=en_US&amp;offset=0&amp;query=any,contains,991004146699702656","Catalog Record")</f>
        <v/>
      </c>
      <c r="AT2248">
        <f>HYPERLINK("http://www.worldcat.org/oclc/2512604","WorldCat Record")</f>
        <v/>
      </c>
      <c r="AU2248" t="inlineStr">
        <is>
          <t>5243775:eng</t>
        </is>
      </c>
      <c r="AV2248" t="inlineStr">
        <is>
          <t>2512604</t>
        </is>
      </c>
      <c r="AW2248" t="inlineStr">
        <is>
          <t>991004146699702656</t>
        </is>
      </c>
      <c r="AX2248" t="inlineStr">
        <is>
          <t>991004146699702656</t>
        </is>
      </c>
      <c r="AY2248" t="inlineStr">
        <is>
          <t>2270837060002656</t>
        </is>
      </c>
      <c r="AZ2248" t="inlineStr">
        <is>
          <t>BOOK</t>
        </is>
      </c>
      <c r="BC2248" t="inlineStr">
        <is>
          <t>32285000873660</t>
        </is>
      </c>
      <c r="BD2248" t="inlineStr">
        <is>
          <t>893506463</t>
        </is>
      </c>
    </row>
    <row r="2249">
      <c r="A2249" t="inlineStr">
        <is>
          <t>No</t>
        </is>
      </c>
      <c r="B2249" t="inlineStr">
        <is>
          <t>BX4705.B3 M3 1916</t>
        </is>
      </c>
      <c r="C2249" t="inlineStr">
        <is>
          <t>0                      BX 4705000B  3                  M  3           1916</t>
        </is>
      </c>
      <c r="D2249" t="inlineStr">
        <is>
          <t>The life of Monsignor Robert Hugh Benson / by C. C. Martindale.</t>
        </is>
      </c>
      <c r="E2249" t="inlineStr">
        <is>
          <t>V.2</t>
        </is>
      </c>
      <c r="F2249" t="inlineStr">
        <is>
          <t>Yes</t>
        </is>
      </c>
      <c r="G2249" t="inlineStr">
        <is>
          <t>1</t>
        </is>
      </c>
      <c r="H2249" t="inlineStr">
        <is>
          <t>No</t>
        </is>
      </c>
      <c r="I2249" t="inlineStr">
        <is>
          <t>No</t>
        </is>
      </c>
      <c r="J2249" t="inlineStr">
        <is>
          <t>0</t>
        </is>
      </c>
      <c r="K2249" t="inlineStr">
        <is>
          <t>Martindale, C. C. (Cyril Charlie), 1879-1963.</t>
        </is>
      </c>
      <c r="L2249" t="inlineStr">
        <is>
          <t>London, New York : Longmans, Green, 1916.</t>
        </is>
      </c>
      <c r="M2249" t="inlineStr">
        <is>
          <t>1916</t>
        </is>
      </c>
      <c r="O2249" t="inlineStr">
        <is>
          <t>eng</t>
        </is>
      </c>
      <c r="P2249" t="inlineStr">
        <is>
          <t>enk</t>
        </is>
      </c>
      <c r="R2249" t="inlineStr">
        <is>
          <t xml:space="preserve">BX </t>
        </is>
      </c>
      <c r="S2249" t="n">
        <v>1</v>
      </c>
      <c r="T2249" t="n">
        <v>2</v>
      </c>
      <c r="U2249" t="inlineStr">
        <is>
          <t>1993-04-20</t>
        </is>
      </c>
      <c r="V2249" t="inlineStr">
        <is>
          <t>1993-04-20</t>
        </is>
      </c>
      <c r="W2249" t="inlineStr">
        <is>
          <t>1991-12-10</t>
        </is>
      </c>
      <c r="X2249" t="inlineStr">
        <is>
          <t>1991-12-10</t>
        </is>
      </c>
      <c r="Y2249" t="n">
        <v>249</v>
      </c>
      <c r="Z2249" t="n">
        <v>203</v>
      </c>
      <c r="AA2249" t="n">
        <v>238</v>
      </c>
      <c r="AB2249" t="n">
        <v>4</v>
      </c>
      <c r="AC2249" t="n">
        <v>4</v>
      </c>
      <c r="AD2249" t="n">
        <v>30</v>
      </c>
      <c r="AE2249" t="n">
        <v>32</v>
      </c>
      <c r="AF2249" t="n">
        <v>12</v>
      </c>
      <c r="AG2249" t="n">
        <v>13</v>
      </c>
      <c r="AH2249" t="n">
        <v>7</v>
      </c>
      <c r="AI2249" t="n">
        <v>7</v>
      </c>
      <c r="AJ2249" t="n">
        <v>21</v>
      </c>
      <c r="AK2249" t="n">
        <v>23</v>
      </c>
      <c r="AL2249" t="n">
        <v>1</v>
      </c>
      <c r="AM2249" t="n">
        <v>1</v>
      </c>
      <c r="AN2249" t="n">
        <v>0</v>
      </c>
      <c r="AO2249" t="n">
        <v>0</v>
      </c>
      <c r="AP2249" t="inlineStr">
        <is>
          <t>Yes</t>
        </is>
      </c>
      <c r="AQ2249" t="inlineStr">
        <is>
          <t>No</t>
        </is>
      </c>
      <c r="AR2249">
        <f>HYPERLINK("http://catalog.hathitrust.org/Record/005768818","HathiTrust Record")</f>
        <v/>
      </c>
      <c r="AS2249">
        <f>HYPERLINK("https://creighton-primo.hosted.exlibrisgroup.com/primo-explore/search?tab=default_tab&amp;search_scope=EVERYTHING&amp;vid=01CRU&amp;lang=en_US&amp;offset=0&amp;query=any,contains,991004146699702656","Catalog Record")</f>
        <v/>
      </c>
      <c r="AT2249">
        <f>HYPERLINK("http://www.worldcat.org/oclc/2512604","WorldCat Record")</f>
        <v/>
      </c>
      <c r="AU2249" t="inlineStr">
        <is>
          <t>5243775:eng</t>
        </is>
      </c>
      <c r="AV2249" t="inlineStr">
        <is>
          <t>2512604</t>
        </is>
      </c>
      <c r="AW2249" t="inlineStr">
        <is>
          <t>991004146699702656</t>
        </is>
      </c>
      <c r="AX2249" t="inlineStr">
        <is>
          <t>991004146699702656</t>
        </is>
      </c>
      <c r="AY2249" t="inlineStr">
        <is>
          <t>2270837060002656</t>
        </is>
      </c>
      <c r="AZ2249" t="inlineStr">
        <is>
          <t>BOOK</t>
        </is>
      </c>
      <c r="BC2249" t="inlineStr">
        <is>
          <t>32285000873678</t>
        </is>
      </c>
      <c r="BD2249" t="inlineStr">
        <is>
          <t>893532040</t>
        </is>
      </c>
    </row>
    <row r="2250">
      <c r="A2250" t="inlineStr">
        <is>
          <t>No</t>
        </is>
      </c>
      <c r="B2250" t="inlineStr">
        <is>
          <t>BX4705.B3 M4 1915</t>
        </is>
      </c>
      <c r="C2250" t="inlineStr">
        <is>
          <t>0                      BX 4705000B  3                  M  4           1915</t>
        </is>
      </c>
      <c r="D2250" t="inlineStr">
        <is>
          <t>Memorials of Robert Hugh Benson / by Blanche Warre Cornish, Shane Leslie and other of his friends.</t>
        </is>
      </c>
      <c r="F2250" t="inlineStr">
        <is>
          <t>No</t>
        </is>
      </c>
      <c r="G2250" t="inlineStr">
        <is>
          <t>1</t>
        </is>
      </c>
      <c r="H2250" t="inlineStr">
        <is>
          <t>No</t>
        </is>
      </c>
      <c r="I2250" t="inlineStr">
        <is>
          <t>No</t>
        </is>
      </c>
      <c r="J2250" t="inlineStr">
        <is>
          <t>0</t>
        </is>
      </c>
      <c r="L2250" t="inlineStr">
        <is>
          <t>New York : P.J. Kenedy &amp; Sons, [1915]</t>
        </is>
      </c>
      <c r="M2250" t="inlineStr">
        <is>
          <t>1915</t>
        </is>
      </c>
      <c r="O2250" t="inlineStr">
        <is>
          <t>eng</t>
        </is>
      </c>
      <c r="P2250" t="inlineStr">
        <is>
          <t>nyu</t>
        </is>
      </c>
      <c r="R2250" t="inlineStr">
        <is>
          <t xml:space="preserve">BX </t>
        </is>
      </c>
      <c r="S2250" t="n">
        <v>1</v>
      </c>
      <c r="T2250" t="n">
        <v>1</v>
      </c>
      <c r="U2250" t="inlineStr">
        <is>
          <t>2010-07-17</t>
        </is>
      </c>
      <c r="V2250" t="inlineStr">
        <is>
          <t>2010-07-17</t>
        </is>
      </c>
      <c r="W2250" t="inlineStr">
        <is>
          <t>1991-12-10</t>
        </is>
      </c>
      <c r="X2250" t="inlineStr">
        <is>
          <t>1991-12-10</t>
        </is>
      </c>
      <c r="Y2250" t="n">
        <v>48</v>
      </c>
      <c r="Z2250" t="n">
        <v>44</v>
      </c>
      <c r="AA2250" t="n">
        <v>96</v>
      </c>
      <c r="AB2250" t="n">
        <v>1</v>
      </c>
      <c r="AC2250" t="n">
        <v>2</v>
      </c>
      <c r="AD2250" t="n">
        <v>7</v>
      </c>
      <c r="AE2250" t="n">
        <v>15</v>
      </c>
      <c r="AF2250" t="n">
        <v>2</v>
      </c>
      <c r="AG2250" t="n">
        <v>4</v>
      </c>
      <c r="AH2250" t="n">
        <v>2</v>
      </c>
      <c r="AI2250" t="n">
        <v>4</v>
      </c>
      <c r="AJ2250" t="n">
        <v>6</v>
      </c>
      <c r="AK2250" t="n">
        <v>11</v>
      </c>
      <c r="AL2250" t="n">
        <v>0</v>
      </c>
      <c r="AM2250" t="n">
        <v>1</v>
      </c>
      <c r="AN2250" t="n">
        <v>0</v>
      </c>
      <c r="AO2250" t="n">
        <v>0</v>
      </c>
      <c r="AP2250" t="inlineStr">
        <is>
          <t>Yes</t>
        </is>
      </c>
      <c r="AQ2250" t="inlineStr">
        <is>
          <t>No</t>
        </is>
      </c>
      <c r="AR2250">
        <f>HYPERLINK("http://catalog.hathitrust.org/Record/008417425","HathiTrust Record")</f>
        <v/>
      </c>
      <c r="AS2250">
        <f>HYPERLINK("https://creighton-primo.hosted.exlibrisgroup.com/primo-explore/search?tab=default_tab&amp;search_scope=EVERYTHING&amp;vid=01CRU&amp;lang=en_US&amp;offset=0&amp;query=any,contains,991000229699702656","Catalog Record")</f>
        <v/>
      </c>
      <c r="AT2250">
        <f>HYPERLINK("http://www.worldcat.org/oclc/9628114","WorldCat Record")</f>
        <v/>
      </c>
      <c r="AU2250" t="inlineStr">
        <is>
          <t>1829724:eng</t>
        </is>
      </c>
      <c r="AV2250" t="inlineStr">
        <is>
          <t>9628114</t>
        </is>
      </c>
      <c r="AW2250" t="inlineStr">
        <is>
          <t>991000229699702656</t>
        </is>
      </c>
      <c r="AX2250" t="inlineStr">
        <is>
          <t>991000229699702656</t>
        </is>
      </c>
      <c r="AY2250" t="inlineStr">
        <is>
          <t>2255169510002656</t>
        </is>
      </c>
      <c r="AZ2250" t="inlineStr">
        <is>
          <t>BOOK</t>
        </is>
      </c>
      <c r="BC2250" t="inlineStr">
        <is>
          <t>32285000873686</t>
        </is>
      </c>
      <c r="BD2250" t="inlineStr">
        <is>
          <t>893419314</t>
        </is>
      </c>
    </row>
    <row r="2251">
      <c r="A2251" t="inlineStr">
        <is>
          <t>No</t>
        </is>
      </c>
      <c r="B2251" t="inlineStr">
        <is>
          <t>BX4705.B38125 K46 1989</t>
        </is>
      </c>
      <c r="C2251" t="inlineStr">
        <is>
          <t>0                      BX 4705000B  38125              K  46          1989</t>
        </is>
      </c>
      <c r="D2251" t="inlineStr">
        <is>
          <t>Cardinal Bernardin : easing conflicts-- and battling for the soul of American Catholicism / Eugene Kennedy .</t>
        </is>
      </c>
      <c r="F2251" t="inlineStr">
        <is>
          <t>No</t>
        </is>
      </c>
      <c r="G2251" t="inlineStr">
        <is>
          <t>1</t>
        </is>
      </c>
      <c r="H2251" t="inlineStr">
        <is>
          <t>No</t>
        </is>
      </c>
      <c r="I2251" t="inlineStr">
        <is>
          <t>No</t>
        </is>
      </c>
      <c r="J2251" t="inlineStr">
        <is>
          <t>0</t>
        </is>
      </c>
      <c r="K2251" t="inlineStr">
        <is>
          <t>Kennedy, Eugene C.</t>
        </is>
      </c>
      <c r="L2251" t="inlineStr">
        <is>
          <t>Chicago : Bonus Books, c1989.</t>
        </is>
      </c>
      <c r="M2251" t="inlineStr">
        <is>
          <t>1989</t>
        </is>
      </c>
      <c r="O2251" t="inlineStr">
        <is>
          <t>eng</t>
        </is>
      </c>
      <c r="P2251" t="inlineStr">
        <is>
          <t>ilu</t>
        </is>
      </c>
      <c r="R2251" t="inlineStr">
        <is>
          <t xml:space="preserve">BX </t>
        </is>
      </c>
      <c r="S2251" t="n">
        <v>9</v>
      </c>
      <c r="T2251" t="n">
        <v>9</v>
      </c>
      <c r="U2251" t="inlineStr">
        <is>
          <t>2005-06-17</t>
        </is>
      </c>
      <c r="V2251" t="inlineStr">
        <is>
          <t>2005-06-17</t>
        </is>
      </c>
      <c r="W2251" t="inlineStr">
        <is>
          <t>1990-01-02</t>
        </is>
      </c>
      <c r="X2251" t="inlineStr">
        <is>
          <t>1990-01-02</t>
        </is>
      </c>
      <c r="Y2251" t="n">
        <v>333</v>
      </c>
      <c r="Z2251" t="n">
        <v>319</v>
      </c>
      <c r="AA2251" t="n">
        <v>325</v>
      </c>
      <c r="AB2251" t="n">
        <v>1</v>
      </c>
      <c r="AC2251" t="n">
        <v>1</v>
      </c>
      <c r="AD2251" t="n">
        <v>21</v>
      </c>
      <c r="AE2251" t="n">
        <v>21</v>
      </c>
      <c r="AF2251" t="n">
        <v>8</v>
      </c>
      <c r="AG2251" t="n">
        <v>8</v>
      </c>
      <c r="AH2251" t="n">
        <v>6</v>
      </c>
      <c r="AI2251" t="n">
        <v>6</v>
      </c>
      <c r="AJ2251" t="n">
        <v>13</v>
      </c>
      <c r="AK2251" t="n">
        <v>13</v>
      </c>
      <c r="AL2251" t="n">
        <v>0</v>
      </c>
      <c r="AM2251" t="n">
        <v>0</v>
      </c>
      <c r="AN2251" t="n">
        <v>0</v>
      </c>
      <c r="AO2251" t="n">
        <v>0</v>
      </c>
      <c r="AP2251" t="inlineStr">
        <is>
          <t>No</t>
        </is>
      </c>
      <c r="AQ2251" t="inlineStr">
        <is>
          <t>Yes</t>
        </is>
      </c>
      <c r="AR2251">
        <f>HYPERLINK("http://catalog.hathitrust.org/Record/006922866","HathiTrust Record")</f>
        <v/>
      </c>
      <c r="AS2251">
        <f>HYPERLINK("https://creighton-primo.hosted.exlibrisgroup.com/primo-explore/search?tab=default_tab&amp;search_scope=EVERYTHING&amp;vid=01CRU&amp;lang=en_US&amp;offset=0&amp;query=any,contains,991001464879702656","Catalog Record")</f>
        <v/>
      </c>
      <c r="AT2251">
        <f>HYPERLINK("http://www.worldcat.org/oclc/19498730","WorldCat Record")</f>
        <v/>
      </c>
      <c r="AU2251" t="inlineStr">
        <is>
          <t>196629788:eng</t>
        </is>
      </c>
      <c r="AV2251" t="inlineStr">
        <is>
          <t>19498730</t>
        </is>
      </c>
      <c r="AW2251" t="inlineStr">
        <is>
          <t>991001464879702656</t>
        </is>
      </c>
      <c r="AX2251" t="inlineStr">
        <is>
          <t>991001464879702656</t>
        </is>
      </c>
      <c r="AY2251" t="inlineStr">
        <is>
          <t>2266147040002656</t>
        </is>
      </c>
      <c r="AZ2251" t="inlineStr">
        <is>
          <t>BOOK</t>
        </is>
      </c>
      <c r="BB2251" t="inlineStr">
        <is>
          <t>9780933893986</t>
        </is>
      </c>
      <c r="BC2251" t="inlineStr">
        <is>
          <t>32285000019926</t>
        </is>
      </c>
      <c r="BD2251" t="inlineStr">
        <is>
          <t>893497105</t>
        </is>
      </c>
    </row>
    <row r="2252">
      <c r="A2252" t="inlineStr">
        <is>
          <t>No</t>
        </is>
      </c>
      <c r="B2252" t="inlineStr">
        <is>
          <t>BX4705.B38125 W45 1996</t>
        </is>
      </c>
      <c r="C2252" t="inlineStr">
        <is>
          <t>0                      BX 4705000B  38125              W  45          1996</t>
        </is>
      </c>
      <c r="D2252" t="inlineStr">
        <is>
          <t>This man Bernardin / photography of John H. White ; text by Eugene Kennedy ; preface by Joseph Cardinal Bernardin.</t>
        </is>
      </c>
      <c r="F2252" t="inlineStr">
        <is>
          <t>No</t>
        </is>
      </c>
      <c r="G2252" t="inlineStr">
        <is>
          <t>1</t>
        </is>
      </c>
      <c r="H2252" t="inlineStr">
        <is>
          <t>No</t>
        </is>
      </c>
      <c r="I2252" t="inlineStr">
        <is>
          <t>No</t>
        </is>
      </c>
      <c r="J2252" t="inlineStr">
        <is>
          <t>0</t>
        </is>
      </c>
      <c r="K2252" t="inlineStr">
        <is>
          <t>White, John H., 1945-</t>
        </is>
      </c>
      <c r="L2252" t="inlineStr">
        <is>
          <t>Chicago : Loyola Press, c1996.</t>
        </is>
      </c>
      <c r="M2252" t="inlineStr">
        <is>
          <t>1996</t>
        </is>
      </c>
      <c r="O2252" t="inlineStr">
        <is>
          <t>eng</t>
        </is>
      </c>
      <c r="P2252" t="inlineStr">
        <is>
          <t>ilu</t>
        </is>
      </c>
      <c r="R2252" t="inlineStr">
        <is>
          <t xml:space="preserve">BX </t>
        </is>
      </c>
      <c r="S2252" t="n">
        <v>3</v>
      </c>
      <c r="T2252" t="n">
        <v>3</v>
      </c>
      <c r="U2252" t="inlineStr">
        <is>
          <t>2000-07-11</t>
        </is>
      </c>
      <c r="V2252" t="inlineStr">
        <is>
          <t>2000-07-11</t>
        </is>
      </c>
      <c r="W2252" t="inlineStr">
        <is>
          <t>1996-10-01</t>
        </is>
      </c>
      <c r="X2252" t="inlineStr">
        <is>
          <t>1996-10-01</t>
        </is>
      </c>
      <c r="Y2252" t="n">
        <v>263</v>
      </c>
      <c r="Z2252" t="n">
        <v>257</v>
      </c>
      <c r="AA2252" t="n">
        <v>262</v>
      </c>
      <c r="AB2252" t="n">
        <v>1</v>
      </c>
      <c r="AC2252" t="n">
        <v>1</v>
      </c>
      <c r="AD2252" t="n">
        <v>21</v>
      </c>
      <c r="AE2252" t="n">
        <v>21</v>
      </c>
      <c r="AF2252" t="n">
        <v>4</v>
      </c>
      <c r="AG2252" t="n">
        <v>4</v>
      </c>
      <c r="AH2252" t="n">
        <v>8</v>
      </c>
      <c r="AI2252" t="n">
        <v>8</v>
      </c>
      <c r="AJ2252" t="n">
        <v>15</v>
      </c>
      <c r="AK2252" t="n">
        <v>15</v>
      </c>
      <c r="AL2252" t="n">
        <v>0</v>
      </c>
      <c r="AM2252" t="n">
        <v>0</v>
      </c>
      <c r="AN2252" t="n">
        <v>0</v>
      </c>
      <c r="AO2252" t="n">
        <v>0</v>
      </c>
      <c r="AP2252" t="inlineStr">
        <is>
          <t>No</t>
        </is>
      </c>
      <c r="AQ2252" t="inlineStr">
        <is>
          <t>No</t>
        </is>
      </c>
      <c r="AS2252">
        <f>HYPERLINK("https://creighton-primo.hosted.exlibrisgroup.com/primo-explore/search?tab=default_tab&amp;search_scope=EVERYTHING&amp;vid=01CRU&amp;lang=en_US&amp;offset=0&amp;query=any,contains,991002641769702656","Catalog Record")</f>
        <v/>
      </c>
      <c r="AT2252">
        <f>HYPERLINK("http://www.worldcat.org/oclc/34583818","WorldCat Record")</f>
        <v/>
      </c>
      <c r="AU2252" t="inlineStr">
        <is>
          <t>629968:eng</t>
        </is>
      </c>
      <c r="AV2252" t="inlineStr">
        <is>
          <t>34583818</t>
        </is>
      </c>
      <c r="AW2252" t="inlineStr">
        <is>
          <t>991002641769702656</t>
        </is>
      </c>
      <c r="AX2252" t="inlineStr">
        <is>
          <t>991002641769702656</t>
        </is>
      </c>
      <c r="AY2252" t="inlineStr">
        <is>
          <t>2265175920002656</t>
        </is>
      </c>
      <c r="AZ2252" t="inlineStr">
        <is>
          <t>BOOK</t>
        </is>
      </c>
      <c r="BB2252" t="inlineStr">
        <is>
          <t>9780829409093</t>
        </is>
      </c>
      <c r="BC2252" t="inlineStr">
        <is>
          <t>32285002321767</t>
        </is>
      </c>
      <c r="BD2252" t="inlineStr">
        <is>
          <t>893698053</t>
        </is>
      </c>
    </row>
    <row r="2253">
      <c r="A2253" t="inlineStr">
        <is>
          <t>No</t>
        </is>
      </c>
      <c r="B2253" t="inlineStr">
        <is>
          <t>BX4705.B3845 P65 1997</t>
        </is>
      </c>
      <c r="C2253" t="inlineStr">
        <is>
          <t>0                      BX 4705000B  3845               P  65          1997</t>
        </is>
      </c>
      <c r="D2253" t="inlineStr">
        <is>
          <t>Disarmed and dangerous : the radical lives and times of Daniel and Philip Berrigan / Murray Polner and Jim O'Grady.</t>
        </is>
      </c>
      <c r="F2253" t="inlineStr">
        <is>
          <t>No</t>
        </is>
      </c>
      <c r="G2253" t="inlineStr">
        <is>
          <t>1</t>
        </is>
      </c>
      <c r="H2253" t="inlineStr">
        <is>
          <t>No</t>
        </is>
      </c>
      <c r="I2253" t="inlineStr">
        <is>
          <t>No</t>
        </is>
      </c>
      <c r="J2253" t="inlineStr">
        <is>
          <t>0</t>
        </is>
      </c>
      <c r="K2253" t="inlineStr">
        <is>
          <t>Polner, Murray.</t>
        </is>
      </c>
      <c r="L2253" t="inlineStr">
        <is>
          <t>New York : BasicBooks, c1997.</t>
        </is>
      </c>
      <c r="M2253" t="inlineStr">
        <is>
          <t>1997</t>
        </is>
      </c>
      <c r="N2253" t="inlineStr">
        <is>
          <t>1st ed.</t>
        </is>
      </c>
      <c r="O2253" t="inlineStr">
        <is>
          <t>eng</t>
        </is>
      </c>
      <c r="P2253" t="inlineStr">
        <is>
          <t>nyu</t>
        </is>
      </c>
      <c r="R2253" t="inlineStr">
        <is>
          <t xml:space="preserve">BX </t>
        </is>
      </c>
      <c r="S2253" t="n">
        <v>8</v>
      </c>
      <c r="T2253" t="n">
        <v>8</v>
      </c>
      <c r="U2253" t="inlineStr">
        <is>
          <t>2008-10-27</t>
        </is>
      </c>
      <c r="V2253" t="inlineStr">
        <is>
          <t>2008-10-27</t>
        </is>
      </c>
      <c r="W2253" t="inlineStr">
        <is>
          <t>1997-02-06</t>
        </is>
      </c>
      <c r="X2253" t="inlineStr">
        <is>
          <t>1997-02-06</t>
        </is>
      </c>
      <c r="Y2253" t="n">
        <v>674</v>
      </c>
      <c r="Z2253" t="n">
        <v>642</v>
      </c>
      <c r="AA2253" t="n">
        <v>738</v>
      </c>
      <c r="AB2253" t="n">
        <v>6</v>
      </c>
      <c r="AC2253" t="n">
        <v>6</v>
      </c>
      <c r="AD2253" t="n">
        <v>36</v>
      </c>
      <c r="AE2253" t="n">
        <v>40</v>
      </c>
      <c r="AF2253" t="n">
        <v>13</v>
      </c>
      <c r="AG2253" t="n">
        <v>16</v>
      </c>
      <c r="AH2253" t="n">
        <v>7</v>
      </c>
      <c r="AI2253" t="n">
        <v>8</v>
      </c>
      <c r="AJ2253" t="n">
        <v>19</v>
      </c>
      <c r="AK2253" t="n">
        <v>20</v>
      </c>
      <c r="AL2253" t="n">
        <v>5</v>
      </c>
      <c r="AM2253" t="n">
        <v>5</v>
      </c>
      <c r="AN2253" t="n">
        <v>0</v>
      </c>
      <c r="AO2253" t="n">
        <v>0</v>
      </c>
      <c r="AP2253" t="inlineStr">
        <is>
          <t>No</t>
        </is>
      </c>
      <c r="AQ2253" t="inlineStr">
        <is>
          <t>Yes</t>
        </is>
      </c>
      <c r="AR2253">
        <f>HYPERLINK("http://catalog.hathitrust.org/Record/003137657","HathiTrust Record")</f>
        <v/>
      </c>
      <c r="AS2253">
        <f>HYPERLINK("https://creighton-primo.hosted.exlibrisgroup.com/primo-explore/search?tab=default_tab&amp;search_scope=EVERYTHING&amp;vid=01CRU&amp;lang=en_US&amp;offset=0&amp;query=any,contains,991002673739702656","Catalog Record")</f>
        <v/>
      </c>
      <c r="AT2253">
        <f>HYPERLINK("http://www.worldcat.org/oclc/34965596","WorldCat Record")</f>
        <v/>
      </c>
      <c r="AU2253" t="inlineStr">
        <is>
          <t>619609:eng</t>
        </is>
      </c>
      <c r="AV2253" t="inlineStr">
        <is>
          <t>34965596</t>
        </is>
      </c>
      <c r="AW2253" t="inlineStr">
        <is>
          <t>991002673739702656</t>
        </is>
      </c>
      <c r="AX2253" t="inlineStr">
        <is>
          <t>991002673739702656</t>
        </is>
      </c>
      <c r="AY2253" t="inlineStr">
        <is>
          <t>2261377070002656</t>
        </is>
      </c>
      <c r="AZ2253" t="inlineStr">
        <is>
          <t>BOOK</t>
        </is>
      </c>
      <c r="BB2253" t="inlineStr">
        <is>
          <t>9780465030842</t>
        </is>
      </c>
      <c r="BC2253" t="inlineStr">
        <is>
          <t>32285002414414</t>
        </is>
      </c>
      <c r="BD2253" t="inlineStr">
        <is>
          <t>893616412</t>
        </is>
      </c>
    </row>
    <row r="2254">
      <c r="A2254" t="inlineStr">
        <is>
          <t>No</t>
        </is>
      </c>
      <c r="B2254" t="inlineStr">
        <is>
          <t>BX4705.B523 K38 1991</t>
        </is>
      </c>
      <c r="C2254" t="inlineStr">
        <is>
          <t>0                      BX 4705000B  523                K  38          1991</t>
        </is>
      </c>
      <c r="D2254" t="inlineStr">
        <is>
          <t>Mission to rural America : the story of W. Howard Bishop, founder of Glenmary / Christopher J. Kauffman.</t>
        </is>
      </c>
      <c r="F2254" t="inlineStr">
        <is>
          <t>No</t>
        </is>
      </c>
      <c r="G2254" t="inlineStr">
        <is>
          <t>1</t>
        </is>
      </c>
      <c r="H2254" t="inlineStr">
        <is>
          <t>No</t>
        </is>
      </c>
      <c r="I2254" t="inlineStr">
        <is>
          <t>No</t>
        </is>
      </c>
      <c r="J2254" t="inlineStr">
        <is>
          <t>0</t>
        </is>
      </c>
      <c r="K2254" t="inlineStr">
        <is>
          <t>Kauffman, Christopher J., 1936-2018.</t>
        </is>
      </c>
      <c r="L2254" t="inlineStr">
        <is>
          <t>New York : Paulist Press, c1991.</t>
        </is>
      </c>
      <c r="M2254" t="inlineStr">
        <is>
          <t>1991</t>
        </is>
      </c>
      <c r="O2254" t="inlineStr">
        <is>
          <t>eng</t>
        </is>
      </c>
      <c r="P2254" t="inlineStr">
        <is>
          <t>nyu</t>
        </is>
      </c>
      <c r="R2254" t="inlineStr">
        <is>
          <t xml:space="preserve">BX </t>
        </is>
      </c>
      <c r="S2254" t="n">
        <v>1</v>
      </c>
      <c r="T2254" t="n">
        <v>1</v>
      </c>
      <c r="U2254" t="inlineStr">
        <is>
          <t>2004-11-16</t>
        </is>
      </c>
      <c r="V2254" t="inlineStr">
        <is>
          <t>2004-11-16</t>
        </is>
      </c>
      <c r="W2254" t="inlineStr">
        <is>
          <t>2004-11-16</t>
        </is>
      </c>
      <c r="X2254" t="inlineStr">
        <is>
          <t>2004-11-16</t>
        </is>
      </c>
      <c r="Y2254" t="n">
        <v>126</v>
      </c>
      <c r="Z2254" t="n">
        <v>121</v>
      </c>
      <c r="AA2254" t="n">
        <v>123</v>
      </c>
      <c r="AB2254" t="n">
        <v>2</v>
      </c>
      <c r="AC2254" t="n">
        <v>2</v>
      </c>
      <c r="AD2254" t="n">
        <v>13</v>
      </c>
      <c r="AE2254" t="n">
        <v>13</v>
      </c>
      <c r="AF2254" t="n">
        <v>2</v>
      </c>
      <c r="AG2254" t="n">
        <v>2</v>
      </c>
      <c r="AH2254" t="n">
        <v>4</v>
      </c>
      <c r="AI2254" t="n">
        <v>4</v>
      </c>
      <c r="AJ2254" t="n">
        <v>9</v>
      </c>
      <c r="AK2254" t="n">
        <v>9</v>
      </c>
      <c r="AL2254" t="n">
        <v>1</v>
      </c>
      <c r="AM2254" t="n">
        <v>1</v>
      </c>
      <c r="AN2254" t="n">
        <v>0</v>
      </c>
      <c r="AO2254" t="n">
        <v>0</v>
      </c>
      <c r="AP2254" t="inlineStr">
        <is>
          <t>No</t>
        </is>
      </c>
      <c r="AQ2254" t="inlineStr">
        <is>
          <t>Yes</t>
        </is>
      </c>
      <c r="AR2254">
        <f>HYPERLINK("http://catalog.hathitrust.org/Record/002891245","HathiTrust Record")</f>
        <v/>
      </c>
      <c r="AS2254">
        <f>HYPERLINK("https://creighton-primo.hosted.exlibrisgroup.com/primo-explore/search?tab=default_tab&amp;search_scope=EVERYTHING&amp;vid=01CRU&amp;lang=en_US&amp;offset=0&amp;query=any,contains,991004422859702656","Catalog Record")</f>
        <v/>
      </c>
      <c r="AT2254">
        <f>HYPERLINK("http://www.worldcat.org/oclc/22625522","WorldCat Record")</f>
        <v/>
      </c>
      <c r="AU2254" t="inlineStr">
        <is>
          <t>24294873:eng</t>
        </is>
      </c>
      <c r="AV2254" t="inlineStr">
        <is>
          <t>22625522</t>
        </is>
      </c>
      <c r="AW2254" t="inlineStr">
        <is>
          <t>991004422859702656</t>
        </is>
      </c>
      <c r="AX2254" t="inlineStr">
        <is>
          <t>991004422859702656</t>
        </is>
      </c>
      <c r="AY2254" t="inlineStr">
        <is>
          <t>2271007030002656</t>
        </is>
      </c>
      <c r="AZ2254" t="inlineStr">
        <is>
          <t>BOOK</t>
        </is>
      </c>
      <c r="BB2254" t="inlineStr">
        <is>
          <t>9780809132133</t>
        </is>
      </c>
      <c r="BC2254" t="inlineStr">
        <is>
          <t>32285005010862</t>
        </is>
      </c>
      <c r="BD2254" t="inlineStr">
        <is>
          <t>893693937</t>
        </is>
      </c>
    </row>
    <row r="2255">
      <c r="A2255" t="inlineStr">
        <is>
          <t>No</t>
        </is>
      </c>
      <c r="B2255" t="inlineStr">
        <is>
          <t>BX4705.B529 A33 1978</t>
        </is>
      </c>
      <c r="C2255" t="inlineStr">
        <is>
          <t>0                      BX 4705000B  529                A  33          1978</t>
        </is>
      </c>
      <c r="D2255" t="inlineStr">
        <is>
          <t>Journal of a Catholic bishop on the Oregon trail : the overland crossing of the Rt. Rev. A.M.A. Blanchet, Bishop of Walla Walla, from Montreal to Oregon Territory, March 23, 1847 to January 23, 1851. Blackrobe buries Whitmans / J.B.A. Brouillet ; [edited by] Edward J. Kowrach.</t>
        </is>
      </c>
      <c r="F2255" t="inlineStr">
        <is>
          <t>No</t>
        </is>
      </c>
      <c r="G2255" t="inlineStr">
        <is>
          <t>1</t>
        </is>
      </c>
      <c r="H2255" t="inlineStr">
        <is>
          <t>No</t>
        </is>
      </c>
      <c r="I2255" t="inlineStr">
        <is>
          <t>No</t>
        </is>
      </c>
      <c r="J2255" t="inlineStr">
        <is>
          <t>0</t>
        </is>
      </c>
      <c r="K2255" t="inlineStr">
        <is>
          <t>Blanchet, Augustine Magloire Alexander, 1797-1887.</t>
        </is>
      </c>
      <c r="L2255" t="inlineStr">
        <is>
          <t>Fairfield, Wash. : Ye Galleon Press, 1978.</t>
        </is>
      </c>
      <c r="M2255" t="inlineStr">
        <is>
          <t>1978</t>
        </is>
      </c>
      <c r="O2255" t="inlineStr">
        <is>
          <t>eng</t>
        </is>
      </c>
      <c r="P2255" t="inlineStr">
        <is>
          <t>wau</t>
        </is>
      </c>
      <c r="R2255" t="inlineStr">
        <is>
          <t xml:space="preserve">BX </t>
        </is>
      </c>
      <c r="S2255" t="n">
        <v>1</v>
      </c>
      <c r="T2255" t="n">
        <v>1</v>
      </c>
      <c r="U2255" t="inlineStr">
        <is>
          <t>2005-10-27</t>
        </is>
      </c>
      <c r="V2255" t="inlineStr">
        <is>
          <t>2005-10-27</t>
        </is>
      </c>
      <c r="W2255" t="inlineStr">
        <is>
          <t>2005-10-27</t>
        </is>
      </c>
      <c r="X2255" t="inlineStr">
        <is>
          <t>2005-10-27</t>
        </is>
      </c>
      <c r="Y2255" t="n">
        <v>150</v>
      </c>
      <c r="Z2255" t="n">
        <v>136</v>
      </c>
      <c r="AA2255" t="n">
        <v>137</v>
      </c>
      <c r="AB2255" t="n">
        <v>2</v>
      </c>
      <c r="AC2255" t="n">
        <v>2</v>
      </c>
      <c r="AD2255" t="n">
        <v>12</v>
      </c>
      <c r="AE2255" t="n">
        <v>12</v>
      </c>
      <c r="AF2255" t="n">
        <v>3</v>
      </c>
      <c r="AG2255" t="n">
        <v>3</v>
      </c>
      <c r="AH2255" t="n">
        <v>1</v>
      </c>
      <c r="AI2255" t="n">
        <v>1</v>
      </c>
      <c r="AJ2255" t="n">
        <v>10</v>
      </c>
      <c r="AK2255" t="n">
        <v>10</v>
      </c>
      <c r="AL2255" t="n">
        <v>1</v>
      </c>
      <c r="AM2255" t="n">
        <v>1</v>
      </c>
      <c r="AN2255" t="n">
        <v>0</v>
      </c>
      <c r="AO2255" t="n">
        <v>0</v>
      </c>
      <c r="AP2255" t="inlineStr">
        <is>
          <t>No</t>
        </is>
      </c>
      <c r="AQ2255" t="inlineStr">
        <is>
          <t>Yes</t>
        </is>
      </c>
      <c r="AR2255">
        <f>HYPERLINK("http://catalog.hathitrust.org/Record/000701339","HathiTrust Record")</f>
        <v/>
      </c>
      <c r="AS2255">
        <f>HYPERLINK("https://creighton-primo.hosted.exlibrisgroup.com/primo-explore/search?tab=default_tab&amp;search_scope=EVERYTHING&amp;vid=01CRU&amp;lang=en_US&amp;offset=0&amp;query=any,contains,991004685499702656","Catalog Record")</f>
        <v/>
      </c>
      <c r="AT2255">
        <f>HYPERLINK("http://www.worldcat.org/oclc/4550114","WorldCat Record")</f>
        <v/>
      </c>
      <c r="AU2255" t="inlineStr">
        <is>
          <t>14776881:eng</t>
        </is>
      </c>
      <c r="AV2255" t="inlineStr">
        <is>
          <t>4550114</t>
        </is>
      </c>
      <c r="AW2255" t="inlineStr">
        <is>
          <t>991004685499702656</t>
        </is>
      </c>
      <c r="AX2255" t="inlineStr">
        <is>
          <t>991004685499702656</t>
        </is>
      </c>
      <c r="AY2255" t="inlineStr">
        <is>
          <t>2260368730002656</t>
        </is>
      </c>
      <c r="AZ2255" t="inlineStr">
        <is>
          <t>BOOK</t>
        </is>
      </c>
      <c r="BB2255" t="inlineStr">
        <is>
          <t>9780877701668</t>
        </is>
      </c>
      <c r="BC2255" t="inlineStr">
        <is>
          <t>32285005143077</t>
        </is>
      </c>
      <c r="BD2255" t="inlineStr">
        <is>
          <t>893612641</t>
        </is>
      </c>
    </row>
    <row r="2256">
      <c r="A2256" t="inlineStr">
        <is>
          <t>No</t>
        </is>
      </c>
      <c r="B2256" t="inlineStr">
        <is>
          <t>BX4705.B545 A3 1993</t>
        </is>
      </c>
      <c r="C2256" t="inlineStr">
        <is>
          <t>0                      BX 4705000B  545                A  3           1993</t>
        </is>
      </c>
      <c r="D2256" t="inlineStr">
        <is>
          <t>The path to hope : fragments from a theologian's journey / Leonardo Boff ; translated by Philip Berryman ; photographs by Mev Puleo.</t>
        </is>
      </c>
      <c r="F2256" t="inlineStr">
        <is>
          <t>No</t>
        </is>
      </c>
      <c r="G2256" t="inlineStr">
        <is>
          <t>1</t>
        </is>
      </c>
      <c r="H2256" t="inlineStr">
        <is>
          <t>No</t>
        </is>
      </c>
      <c r="I2256" t="inlineStr">
        <is>
          <t>No</t>
        </is>
      </c>
      <c r="J2256" t="inlineStr">
        <is>
          <t>0</t>
        </is>
      </c>
      <c r="K2256" t="inlineStr">
        <is>
          <t>Boff, Leonardo.</t>
        </is>
      </c>
      <c r="L2256" t="inlineStr">
        <is>
          <t>Maryknoll, N.Y. : Orbis Books, c1993.</t>
        </is>
      </c>
      <c r="M2256" t="inlineStr">
        <is>
          <t>1993</t>
        </is>
      </c>
      <c r="O2256" t="inlineStr">
        <is>
          <t>eng</t>
        </is>
      </c>
      <c r="P2256" t="inlineStr">
        <is>
          <t>nyu</t>
        </is>
      </c>
      <c r="R2256" t="inlineStr">
        <is>
          <t xml:space="preserve">BX </t>
        </is>
      </c>
      <c r="S2256" t="n">
        <v>3</v>
      </c>
      <c r="T2256" t="n">
        <v>3</v>
      </c>
      <c r="U2256" t="inlineStr">
        <is>
          <t>2002-04-19</t>
        </is>
      </c>
      <c r="V2256" t="inlineStr">
        <is>
          <t>2002-04-19</t>
        </is>
      </c>
      <c r="W2256" t="inlineStr">
        <is>
          <t>1999-12-02</t>
        </is>
      </c>
      <c r="X2256" t="inlineStr">
        <is>
          <t>1999-12-02</t>
        </is>
      </c>
      <c r="Y2256" t="n">
        <v>259</v>
      </c>
      <c r="Z2256" t="n">
        <v>212</v>
      </c>
      <c r="AA2256" t="n">
        <v>212</v>
      </c>
      <c r="AB2256" t="n">
        <v>2</v>
      </c>
      <c r="AC2256" t="n">
        <v>2</v>
      </c>
      <c r="AD2256" t="n">
        <v>16</v>
      </c>
      <c r="AE2256" t="n">
        <v>16</v>
      </c>
      <c r="AF2256" t="n">
        <v>5</v>
      </c>
      <c r="AG2256" t="n">
        <v>5</v>
      </c>
      <c r="AH2256" t="n">
        <v>3</v>
      </c>
      <c r="AI2256" t="n">
        <v>3</v>
      </c>
      <c r="AJ2256" t="n">
        <v>11</v>
      </c>
      <c r="AK2256" t="n">
        <v>11</v>
      </c>
      <c r="AL2256" t="n">
        <v>1</v>
      </c>
      <c r="AM2256" t="n">
        <v>1</v>
      </c>
      <c r="AN2256" t="n">
        <v>0</v>
      </c>
      <c r="AO2256" t="n">
        <v>0</v>
      </c>
      <c r="AP2256" t="inlineStr">
        <is>
          <t>No</t>
        </is>
      </c>
      <c r="AQ2256" t="inlineStr">
        <is>
          <t>No</t>
        </is>
      </c>
      <c r="AS2256">
        <f>HYPERLINK("https://creighton-primo.hosted.exlibrisgroup.com/primo-explore/search?tab=default_tab&amp;search_scope=EVERYTHING&amp;vid=01CRU&amp;lang=en_US&amp;offset=0&amp;query=any,contains,991002099709702656","Catalog Record")</f>
        <v/>
      </c>
      <c r="AT2256">
        <f>HYPERLINK("http://www.worldcat.org/oclc/26934959","WorldCat Record")</f>
        <v/>
      </c>
      <c r="AU2256" t="inlineStr">
        <is>
          <t>321019748:eng</t>
        </is>
      </c>
      <c r="AV2256" t="inlineStr">
        <is>
          <t>26934959</t>
        </is>
      </c>
      <c r="AW2256" t="inlineStr">
        <is>
          <t>991002099709702656</t>
        </is>
      </c>
      <c r="AX2256" t="inlineStr">
        <is>
          <t>991002099709702656</t>
        </is>
      </c>
      <c r="AY2256" t="inlineStr">
        <is>
          <t>2260674790002656</t>
        </is>
      </c>
      <c r="AZ2256" t="inlineStr">
        <is>
          <t>BOOK</t>
        </is>
      </c>
      <c r="BB2256" t="inlineStr">
        <is>
          <t>9780883448151</t>
        </is>
      </c>
      <c r="BC2256" t="inlineStr">
        <is>
          <t>32285003627741</t>
        </is>
      </c>
      <c r="BD2256" t="inlineStr">
        <is>
          <t>893773219</t>
        </is>
      </c>
    </row>
    <row r="2257">
      <c r="A2257" t="inlineStr">
        <is>
          <t>No</t>
        </is>
      </c>
      <c r="B2257" t="inlineStr">
        <is>
          <t>BX4705.B545 C69 1988</t>
        </is>
      </c>
      <c r="C2257" t="inlineStr">
        <is>
          <t>0                      BX 4705000B  545                C  69          1988</t>
        </is>
      </c>
      <c r="D2257" t="inlineStr">
        <is>
          <t>The silencing of Leonardo Boff : the Vatican and the future of world Christianity / Harvey Cox.</t>
        </is>
      </c>
      <c r="F2257" t="inlineStr">
        <is>
          <t>No</t>
        </is>
      </c>
      <c r="G2257" t="inlineStr">
        <is>
          <t>1</t>
        </is>
      </c>
      <c r="H2257" t="inlineStr">
        <is>
          <t>No</t>
        </is>
      </c>
      <c r="I2257" t="inlineStr">
        <is>
          <t>No</t>
        </is>
      </c>
      <c r="J2257" t="inlineStr">
        <is>
          <t>0</t>
        </is>
      </c>
      <c r="K2257" t="inlineStr">
        <is>
          <t>Cox, Harvey, 1929-</t>
        </is>
      </c>
      <c r="L2257" t="inlineStr">
        <is>
          <t>Oak Park, IL : Meyer-Stone Books, c1988.</t>
        </is>
      </c>
      <c r="M2257" t="inlineStr">
        <is>
          <t>1988</t>
        </is>
      </c>
      <c r="O2257" t="inlineStr">
        <is>
          <t>eng</t>
        </is>
      </c>
      <c r="P2257" t="inlineStr">
        <is>
          <t>ilu</t>
        </is>
      </c>
      <c r="R2257" t="inlineStr">
        <is>
          <t xml:space="preserve">BX </t>
        </is>
      </c>
      <c r="S2257" t="n">
        <v>8</v>
      </c>
      <c r="T2257" t="n">
        <v>8</v>
      </c>
      <c r="U2257" t="inlineStr">
        <is>
          <t>2005-07-29</t>
        </is>
      </c>
      <c r="V2257" t="inlineStr">
        <is>
          <t>2005-07-29</t>
        </is>
      </c>
      <c r="W2257" t="inlineStr">
        <is>
          <t>1990-07-31</t>
        </is>
      </c>
      <c r="X2257" t="inlineStr">
        <is>
          <t>1990-07-31</t>
        </is>
      </c>
      <c r="Y2257" t="n">
        <v>567</v>
      </c>
      <c r="Z2257" t="n">
        <v>486</v>
      </c>
      <c r="AA2257" t="n">
        <v>500</v>
      </c>
      <c r="AB2257" t="n">
        <v>3</v>
      </c>
      <c r="AC2257" t="n">
        <v>3</v>
      </c>
      <c r="AD2257" t="n">
        <v>39</v>
      </c>
      <c r="AE2257" t="n">
        <v>39</v>
      </c>
      <c r="AF2257" t="n">
        <v>15</v>
      </c>
      <c r="AG2257" t="n">
        <v>15</v>
      </c>
      <c r="AH2257" t="n">
        <v>9</v>
      </c>
      <c r="AI2257" t="n">
        <v>9</v>
      </c>
      <c r="AJ2257" t="n">
        <v>24</v>
      </c>
      <c r="AK2257" t="n">
        <v>24</v>
      </c>
      <c r="AL2257" t="n">
        <v>2</v>
      </c>
      <c r="AM2257" t="n">
        <v>2</v>
      </c>
      <c r="AN2257" t="n">
        <v>0</v>
      </c>
      <c r="AO2257" t="n">
        <v>0</v>
      </c>
      <c r="AP2257" t="inlineStr">
        <is>
          <t>No</t>
        </is>
      </c>
      <c r="AQ2257" t="inlineStr">
        <is>
          <t>Yes</t>
        </is>
      </c>
      <c r="AR2257">
        <f>HYPERLINK("http://catalog.hathitrust.org/Record/001538746","HathiTrust Record")</f>
        <v/>
      </c>
      <c r="AS2257">
        <f>HYPERLINK("https://creighton-primo.hosted.exlibrisgroup.com/primo-explore/search?tab=default_tab&amp;search_scope=EVERYTHING&amp;vid=01CRU&amp;lang=en_US&amp;offset=0&amp;query=any,contains,991001318769702656","Catalog Record")</f>
        <v/>
      </c>
      <c r="AT2257">
        <f>HYPERLINK("http://www.worldcat.org/oclc/18193194","WorldCat Record")</f>
        <v/>
      </c>
      <c r="AU2257" t="inlineStr">
        <is>
          <t>17134179:eng</t>
        </is>
      </c>
      <c r="AV2257" t="inlineStr">
        <is>
          <t>18193194</t>
        </is>
      </c>
      <c r="AW2257" t="inlineStr">
        <is>
          <t>991001318769702656</t>
        </is>
      </c>
      <c r="AX2257" t="inlineStr">
        <is>
          <t>991001318769702656</t>
        </is>
      </c>
      <c r="AY2257" t="inlineStr">
        <is>
          <t>2267369800002656</t>
        </is>
      </c>
      <c r="AZ2257" t="inlineStr">
        <is>
          <t>BOOK</t>
        </is>
      </c>
      <c r="BB2257" t="inlineStr">
        <is>
          <t>9780940989351</t>
        </is>
      </c>
      <c r="BC2257" t="inlineStr">
        <is>
          <t>32285000260264</t>
        </is>
      </c>
      <c r="BD2257" t="inlineStr">
        <is>
          <t>893238033</t>
        </is>
      </c>
    </row>
    <row r="2258">
      <c r="A2258" t="inlineStr">
        <is>
          <t>No</t>
        </is>
      </c>
      <c r="B2258" t="inlineStr">
        <is>
          <t>BX4705.B7 M3</t>
        </is>
      </c>
      <c r="C2258" t="inlineStr">
        <is>
          <t>0                      BX 4705000B  7                  M  3</t>
        </is>
      </c>
      <c r="D2258" t="inlineStr">
        <is>
          <t>Le gallicanisme de Bossuet.</t>
        </is>
      </c>
      <c r="F2258" t="inlineStr">
        <is>
          <t>No</t>
        </is>
      </c>
      <c r="G2258" t="inlineStr">
        <is>
          <t>1</t>
        </is>
      </c>
      <c r="H2258" t="inlineStr">
        <is>
          <t>No</t>
        </is>
      </c>
      <c r="I2258" t="inlineStr">
        <is>
          <t>No</t>
        </is>
      </c>
      <c r="J2258" t="inlineStr">
        <is>
          <t>0</t>
        </is>
      </c>
      <c r="K2258" t="inlineStr">
        <is>
          <t>Martimort, Aimé Georges.</t>
        </is>
      </c>
      <c r="L2258" t="inlineStr">
        <is>
          <t>Paris, Editions du Cerf, 1953.</t>
        </is>
      </c>
      <c r="M2258" t="inlineStr">
        <is>
          <t>1953</t>
        </is>
      </c>
      <c r="O2258" t="inlineStr">
        <is>
          <t>fre</t>
        </is>
      </c>
      <c r="P2258" t="inlineStr">
        <is>
          <t>___</t>
        </is>
      </c>
      <c r="Q2258" t="inlineStr">
        <is>
          <t>Unam sanctam ; 24</t>
        </is>
      </c>
      <c r="R2258" t="inlineStr">
        <is>
          <t xml:space="preserve">BX </t>
        </is>
      </c>
      <c r="S2258" t="n">
        <v>0</v>
      </c>
      <c r="T2258" t="n">
        <v>0</v>
      </c>
      <c r="U2258" t="inlineStr">
        <is>
          <t>2000-08-29</t>
        </is>
      </c>
      <c r="V2258" t="inlineStr">
        <is>
          <t>2000-08-29</t>
        </is>
      </c>
      <c r="W2258" t="inlineStr">
        <is>
          <t>1991-12-10</t>
        </is>
      </c>
      <c r="X2258" t="inlineStr">
        <is>
          <t>1991-12-10</t>
        </is>
      </c>
      <c r="Y2258" t="n">
        <v>206</v>
      </c>
      <c r="Z2258" t="n">
        <v>117</v>
      </c>
      <c r="AA2258" t="n">
        <v>119</v>
      </c>
      <c r="AB2258" t="n">
        <v>1</v>
      </c>
      <c r="AC2258" t="n">
        <v>1</v>
      </c>
      <c r="AD2258" t="n">
        <v>13</v>
      </c>
      <c r="AE2258" t="n">
        <v>13</v>
      </c>
      <c r="AF2258" t="n">
        <v>1</v>
      </c>
      <c r="AG2258" t="n">
        <v>1</v>
      </c>
      <c r="AH2258" t="n">
        <v>6</v>
      </c>
      <c r="AI2258" t="n">
        <v>6</v>
      </c>
      <c r="AJ2258" t="n">
        <v>9</v>
      </c>
      <c r="AK2258" t="n">
        <v>9</v>
      </c>
      <c r="AL2258" t="n">
        <v>0</v>
      </c>
      <c r="AM2258" t="n">
        <v>0</v>
      </c>
      <c r="AN2258" t="n">
        <v>0</v>
      </c>
      <c r="AO2258" t="n">
        <v>0</v>
      </c>
      <c r="AP2258" t="inlineStr">
        <is>
          <t>No</t>
        </is>
      </c>
      <c r="AQ2258" t="inlineStr">
        <is>
          <t>Yes</t>
        </is>
      </c>
      <c r="AR2258">
        <f>HYPERLINK("http://catalog.hathitrust.org/Record/001204677","HathiTrust Record")</f>
        <v/>
      </c>
      <c r="AS2258">
        <f>HYPERLINK("https://creighton-primo.hosted.exlibrisgroup.com/primo-explore/search?tab=default_tab&amp;search_scope=EVERYTHING&amp;vid=01CRU&amp;lang=en_US&amp;offset=0&amp;query=any,contains,991003712229702656","Catalog Record")</f>
        <v/>
      </c>
      <c r="AT2258">
        <f>HYPERLINK("http://www.worldcat.org/oclc/1353714","WorldCat Record")</f>
        <v/>
      </c>
      <c r="AU2258" t="inlineStr">
        <is>
          <t>365290006:fre</t>
        </is>
      </c>
      <c r="AV2258" t="inlineStr">
        <is>
          <t>1353714</t>
        </is>
      </c>
      <c r="AW2258" t="inlineStr">
        <is>
          <t>991003712229702656</t>
        </is>
      </c>
      <c r="AX2258" t="inlineStr">
        <is>
          <t>991003712229702656</t>
        </is>
      </c>
      <c r="AY2258" t="inlineStr">
        <is>
          <t>2262544640002656</t>
        </is>
      </c>
      <c r="AZ2258" t="inlineStr">
        <is>
          <t>BOOK</t>
        </is>
      </c>
      <c r="BC2258" t="inlineStr">
        <is>
          <t>32285000873827</t>
        </is>
      </c>
      <c r="BD2258" t="inlineStr">
        <is>
          <t>893605118</t>
        </is>
      </c>
    </row>
    <row r="2259">
      <c r="A2259" t="inlineStr">
        <is>
          <t>No</t>
        </is>
      </c>
      <c r="B2259" t="inlineStr">
        <is>
          <t>BX4705.B7295 H63 2004</t>
        </is>
      </c>
      <c r="C2259" t="inlineStr">
        <is>
          <t>0                      BX 4705000B  7295               H  63          2004</t>
        </is>
      </c>
      <c r="D2259" t="inlineStr">
        <is>
          <t>Disturbing the peace : the story of Roy Bourgeois and the movement to close the School of the Americas / James Hodge and Linda Cooper.</t>
        </is>
      </c>
      <c r="F2259" t="inlineStr">
        <is>
          <t>No</t>
        </is>
      </c>
      <c r="G2259" t="inlineStr">
        <is>
          <t>1</t>
        </is>
      </c>
      <c r="H2259" t="inlineStr">
        <is>
          <t>No</t>
        </is>
      </c>
      <c r="I2259" t="inlineStr">
        <is>
          <t>No</t>
        </is>
      </c>
      <c r="J2259" t="inlineStr">
        <is>
          <t>0</t>
        </is>
      </c>
      <c r="K2259" t="inlineStr">
        <is>
          <t>Hodge, James, 1948-</t>
        </is>
      </c>
      <c r="L2259" t="inlineStr">
        <is>
          <t>Maryknoll, N.Y. : Orbis Books, c2004.</t>
        </is>
      </c>
      <c r="M2259" t="inlineStr">
        <is>
          <t>2004</t>
        </is>
      </c>
      <c r="O2259" t="inlineStr">
        <is>
          <t>eng</t>
        </is>
      </c>
      <c r="P2259" t="inlineStr">
        <is>
          <t>nyu</t>
        </is>
      </c>
      <c r="R2259" t="inlineStr">
        <is>
          <t xml:space="preserve">BX </t>
        </is>
      </c>
      <c r="S2259" t="n">
        <v>1</v>
      </c>
      <c r="T2259" t="n">
        <v>1</v>
      </c>
      <c r="U2259" t="inlineStr">
        <is>
          <t>2005-08-17</t>
        </is>
      </c>
      <c r="V2259" t="inlineStr">
        <is>
          <t>2005-08-17</t>
        </is>
      </c>
      <c r="W2259" t="inlineStr">
        <is>
          <t>2005-07-26</t>
        </is>
      </c>
      <c r="X2259" t="inlineStr">
        <is>
          <t>2005-07-26</t>
        </is>
      </c>
      <c r="Y2259" t="n">
        <v>246</v>
      </c>
      <c r="Z2259" t="n">
        <v>234</v>
      </c>
      <c r="AA2259" t="n">
        <v>248</v>
      </c>
      <c r="AB2259" t="n">
        <v>3</v>
      </c>
      <c r="AC2259" t="n">
        <v>3</v>
      </c>
      <c r="AD2259" t="n">
        <v>24</v>
      </c>
      <c r="AE2259" t="n">
        <v>24</v>
      </c>
      <c r="AF2259" t="n">
        <v>7</v>
      </c>
      <c r="AG2259" t="n">
        <v>7</v>
      </c>
      <c r="AH2259" t="n">
        <v>8</v>
      </c>
      <c r="AI2259" t="n">
        <v>8</v>
      </c>
      <c r="AJ2259" t="n">
        <v>14</v>
      </c>
      <c r="AK2259" t="n">
        <v>14</v>
      </c>
      <c r="AL2259" t="n">
        <v>2</v>
      </c>
      <c r="AM2259" t="n">
        <v>2</v>
      </c>
      <c r="AN2259" t="n">
        <v>0</v>
      </c>
      <c r="AO2259" t="n">
        <v>0</v>
      </c>
      <c r="AP2259" t="inlineStr">
        <is>
          <t>No</t>
        </is>
      </c>
      <c r="AQ2259" t="inlineStr">
        <is>
          <t>Yes</t>
        </is>
      </c>
      <c r="AR2259">
        <f>HYPERLINK("http://catalog.hathitrust.org/Record/005105563","HathiTrust Record")</f>
        <v/>
      </c>
      <c r="AS2259">
        <f>HYPERLINK("https://creighton-primo.hosted.exlibrisgroup.com/primo-explore/search?tab=default_tab&amp;search_scope=EVERYTHING&amp;vid=01CRU&amp;lang=en_US&amp;offset=0&amp;query=any,contains,991004601839702656","Catalog Record")</f>
        <v/>
      </c>
      <c r="AT2259">
        <f>HYPERLINK("http://www.worldcat.org/oclc/55016975","WorldCat Record")</f>
        <v/>
      </c>
      <c r="AU2259" t="inlineStr">
        <is>
          <t>2287468149:eng</t>
        </is>
      </c>
      <c r="AV2259" t="inlineStr">
        <is>
          <t>55016975</t>
        </is>
      </c>
      <c r="AW2259" t="inlineStr">
        <is>
          <t>991004601839702656</t>
        </is>
      </c>
      <c r="AX2259" t="inlineStr">
        <is>
          <t>991004601839702656</t>
        </is>
      </c>
      <c r="AY2259" t="inlineStr">
        <is>
          <t>2260552920002656</t>
        </is>
      </c>
      <c r="AZ2259" t="inlineStr">
        <is>
          <t>BOOK</t>
        </is>
      </c>
      <c r="BB2259" t="inlineStr">
        <is>
          <t>9781570754340</t>
        </is>
      </c>
      <c r="BC2259" t="inlineStr">
        <is>
          <t>32285005098099</t>
        </is>
      </c>
      <c r="BD2259" t="inlineStr">
        <is>
          <t>893876300</t>
        </is>
      </c>
    </row>
    <row r="2260">
      <c r="A2260" t="inlineStr">
        <is>
          <t>No</t>
        </is>
      </c>
      <c r="B2260" t="inlineStr">
        <is>
          <t>BX4705.B8467 B8 1953</t>
        </is>
      </c>
      <c r="C2260" t="inlineStr">
        <is>
          <t>0                      BX 4705000B  8467               B  8           1953</t>
        </is>
      </c>
      <c r="D2260" t="inlineStr">
        <is>
          <t>So much, so soon : Father Brisson, founder of the Oblates of St. Francis de Sales / With a pref. by John F. O'Hara.</t>
        </is>
      </c>
      <c r="F2260" t="inlineStr">
        <is>
          <t>No</t>
        </is>
      </c>
      <c r="G2260" t="inlineStr">
        <is>
          <t>1</t>
        </is>
      </c>
      <c r="H2260" t="inlineStr">
        <is>
          <t>No</t>
        </is>
      </c>
      <c r="I2260" t="inlineStr">
        <is>
          <t>No</t>
        </is>
      </c>
      <c r="J2260" t="inlineStr">
        <is>
          <t>0</t>
        </is>
      </c>
      <c r="K2260" t="inlineStr">
        <is>
          <t>Burton, Katherine, 1890-1969.</t>
        </is>
      </c>
      <c r="L2260" t="inlineStr">
        <is>
          <t>New York : Benziger Bros., [1953]</t>
        </is>
      </c>
      <c r="M2260" t="inlineStr">
        <is>
          <t>1953</t>
        </is>
      </c>
      <c r="O2260" t="inlineStr">
        <is>
          <t>eng</t>
        </is>
      </c>
      <c r="P2260" t="inlineStr">
        <is>
          <t xml:space="preserve">xx </t>
        </is>
      </c>
      <c r="R2260" t="inlineStr">
        <is>
          <t xml:space="preserve">BX </t>
        </is>
      </c>
      <c r="S2260" t="n">
        <v>5</v>
      </c>
      <c r="T2260" t="n">
        <v>5</v>
      </c>
      <c r="U2260" t="inlineStr">
        <is>
          <t>2003-03-03</t>
        </is>
      </c>
      <c r="V2260" t="inlineStr">
        <is>
          <t>2003-03-03</t>
        </is>
      </c>
      <c r="W2260" t="inlineStr">
        <is>
          <t>1991-12-12</t>
        </is>
      </c>
      <c r="X2260" t="inlineStr">
        <is>
          <t>1991-12-12</t>
        </is>
      </c>
      <c r="Y2260" t="n">
        <v>80</v>
      </c>
      <c r="Z2260" t="n">
        <v>77</v>
      </c>
      <c r="AA2260" t="n">
        <v>78</v>
      </c>
      <c r="AB2260" t="n">
        <v>2</v>
      </c>
      <c r="AC2260" t="n">
        <v>2</v>
      </c>
      <c r="AD2260" t="n">
        <v>16</v>
      </c>
      <c r="AE2260" t="n">
        <v>16</v>
      </c>
      <c r="AF2260" t="n">
        <v>5</v>
      </c>
      <c r="AG2260" t="n">
        <v>5</v>
      </c>
      <c r="AH2260" t="n">
        <v>4</v>
      </c>
      <c r="AI2260" t="n">
        <v>4</v>
      </c>
      <c r="AJ2260" t="n">
        <v>12</v>
      </c>
      <c r="AK2260" t="n">
        <v>12</v>
      </c>
      <c r="AL2260" t="n">
        <v>0</v>
      </c>
      <c r="AM2260" t="n">
        <v>0</v>
      </c>
      <c r="AN2260" t="n">
        <v>0</v>
      </c>
      <c r="AO2260" t="n">
        <v>0</v>
      </c>
      <c r="AP2260" t="inlineStr">
        <is>
          <t>No</t>
        </is>
      </c>
      <c r="AQ2260" t="inlineStr">
        <is>
          <t>Yes</t>
        </is>
      </c>
      <c r="AR2260">
        <f>HYPERLINK("http://catalog.hathitrust.org/Record/008374630","HathiTrust Record")</f>
        <v/>
      </c>
      <c r="AS2260">
        <f>HYPERLINK("https://creighton-primo.hosted.exlibrisgroup.com/primo-explore/search?tab=default_tab&amp;search_scope=EVERYTHING&amp;vid=01CRU&amp;lang=en_US&amp;offset=0&amp;query=any,contains,991004443979702656","Catalog Record")</f>
        <v/>
      </c>
      <c r="AT2260">
        <f>HYPERLINK("http://www.worldcat.org/oclc/3478267","WorldCat Record")</f>
        <v/>
      </c>
      <c r="AU2260" t="inlineStr">
        <is>
          <t>10461629:eng</t>
        </is>
      </c>
      <c r="AV2260" t="inlineStr">
        <is>
          <t>3478267</t>
        </is>
      </c>
      <c r="AW2260" t="inlineStr">
        <is>
          <t>991004443979702656</t>
        </is>
      </c>
      <c r="AX2260" t="inlineStr">
        <is>
          <t>991004443979702656</t>
        </is>
      </c>
      <c r="AY2260" t="inlineStr">
        <is>
          <t>2270922820002656</t>
        </is>
      </c>
      <c r="AZ2260" t="inlineStr">
        <is>
          <t>BOOK</t>
        </is>
      </c>
      <c r="BC2260" t="inlineStr">
        <is>
          <t>32285000873892</t>
        </is>
      </c>
      <c r="BD2260" t="inlineStr">
        <is>
          <t>893417632</t>
        </is>
      </c>
    </row>
    <row r="2261">
      <c r="A2261" t="inlineStr">
        <is>
          <t>No</t>
        </is>
      </c>
      <c r="B2261" t="inlineStr">
        <is>
          <t>BX4705.B847 F3 1946</t>
        </is>
      </c>
      <c r="C2261" t="inlineStr">
        <is>
          <t>0                      BX 4705000B  847                F  3           1946</t>
        </is>
      </c>
      <c r="D2261" t="inlineStr">
        <is>
          <t>The sacred scimitar : life of Blessed John de Brito / Mabel Farnum.</t>
        </is>
      </c>
      <c r="F2261" t="inlineStr">
        <is>
          <t>No</t>
        </is>
      </c>
      <c r="G2261" t="inlineStr">
        <is>
          <t>1</t>
        </is>
      </c>
      <c r="H2261" t="inlineStr">
        <is>
          <t>No</t>
        </is>
      </c>
      <c r="I2261" t="inlineStr">
        <is>
          <t>No</t>
        </is>
      </c>
      <c r="J2261" t="inlineStr">
        <is>
          <t>0</t>
        </is>
      </c>
      <c r="K2261" t="inlineStr">
        <is>
          <t>Farnum, Mabel, 1887-</t>
        </is>
      </c>
      <c r="L2261" t="inlineStr">
        <is>
          <t>Milwauke : Bruce, [1946]</t>
        </is>
      </c>
      <c r="M2261" t="inlineStr">
        <is>
          <t>1946</t>
        </is>
      </c>
      <c r="O2261" t="inlineStr">
        <is>
          <t>eng</t>
        </is>
      </c>
      <c r="P2261" t="inlineStr">
        <is>
          <t xml:space="preserve">xx </t>
        </is>
      </c>
      <c r="R2261" t="inlineStr">
        <is>
          <t xml:space="preserve">BX </t>
        </is>
      </c>
      <c r="S2261" t="n">
        <v>3</v>
      </c>
      <c r="T2261" t="n">
        <v>3</v>
      </c>
      <c r="U2261" t="inlineStr">
        <is>
          <t>1995-02-11</t>
        </is>
      </c>
      <c r="V2261" t="inlineStr">
        <is>
          <t>1995-02-11</t>
        </is>
      </c>
      <c r="W2261" t="inlineStr">
        <is>
          <t>1991-12-12</t>
        </is>
      </c>
      <c r="X2261" t="inlineStr">
        <is>
          <t>1991-12-12</t>
        </is>
      </c>
      <c r="Y2261" t="n">
        <v>104</v>
      </c>
      <c r="Z2261" t="n">
        <v>93</v>
      </c>
      <c r="AA2261" t="n">
        <v>99</v>
      </c>
      <c r="AB2261" t="n">
        <v>3</v>
      </c>
      <c r="AC2261" t="n">
        <v>3</v>
      </c>
      <c r="AD2261" t="n">
        <v>20</v>
      </c>
      <c r="AE2261" t="n">
        <v>20</v>
      </c>
      <c r="AF2261" t="n">
        <v>6</v>
      </c>
      <c r="AG2261" t="n">
        <v>6</v>
      </c>
      <c r="AH2261" t="n">
        <v>5</v>
      </c>
      <c r="AI2261" t="n">
        <v>5</v>
      </c>
      <c r="AJ2261" t="n">
        <v>16</v>
      </c>
      <c r="AK2261" t="n">
        <v>16</v>
      </c>
      <c r="AL2261" t="n">
        <v>0</v>
      </c>
      <c r="AM2261" t="n">
        <v>0</v>
      </c>
      <c r="AN2261" t="n">
        <v>0</v>
      </c>
      <c r="AO2261" t="n">
        <v>0</v>
      </c>
      <c r="AP2261" t="inlineStr">
        <is>
          <t>Yes</t>
        </is>
      </c>
      <c r="AQ2261" t="inlineStr">
        <is>
          <t>No</t>
        </is>
      </c>
      <c r="AR2261">
        <f>HYPERLINK("http://catalog.hathitrust.org/Record/007846241","HathiTrust Record")</f>
        <v/>
      </c>
      <c r="AS2261">
        <f>HYPERLINK("https://creighton-primo.hosted.exlibrisgroup.com/primo-explore/search?tab=default_tab&amp;search_scope=EVERYTHING&amp;vid=01CRU&amp;lang=en_US&amp;offset=0&amp;query=any,contains,991003682389702656","Catalog Record")</f>
        <v/>
      </c>
      <c r="AT2261">
        <f>HYPERLINK("http://www.worldcat.org/oclc/1308605","WorldCat Record")</f>
        <v/>
      </c>
      <c r="AU2261" t="inlineStr">
        <is>
          <t>430651755:eng</t>
        </is>
      </c>
      <c r="AV2261" t="inlineStr">
        <is>
          <t>1308605</t>
        </is>
      </c>
      <c r="AW2261" t="inlineStr">
        <is>
          <t>991003682389702656</t>
        </is>
      </c>
      <c r="AX2261" t="inlineStr">
        <is>
          <t>991003682389702656</t>
        </is>
      </c>
      <c r="AY2261" t="inlineStr">
        <is>
          <t>2265644310002656</t>
        </is>
      </c>
      <c r="AZ2261" t="inlineStr">
        <is>
          <t>BOOK</t>
        </is>
      </c>
      <c r="BC2261" t="inlineStr">
        <is>
          <t>32285000873900</t>
        </is>
      </c>
      <c r="BD2261" t="inlineStr">
        <is>
          <t>893781271</t>
        </is>
      </c>
    </row>
    <row r="2262">
      <c r="A2262" t="inlineStr">
        <is>
          <t>No</t>
        </is>
      </c>
      <c r="B2262" t="inlineStr">
        <is>
          <t>BX4705.B85 A3 1857</t>
        </is>
      </c>
      <c r="C2262" t="inlineStr">
        <is>
          <t>0                      BX 4705000B  85                 A  3           1857</t>
        </is>
      </c>
      <c r="D2262" t="inlineStr">
        <is>
          <t>The convert ; or, Leaves from my experience / by O. A. Brownson.</t>
        </is>
      </c>
      <c r="F2262" t="inlineStr">
        <is>
          <t>No</t>
        </is>
      </c>
      <c r="G2262" t="inlineStr">
        <is>
          <t>1</t>
        </is>
      </c>
      <c r="H2262" t="inlineStr">
        <is>
          <t>Yes</t>
        </is>
      </c>
      <c r="I2262" t="inlineStr">
        <is>
          <t>No</t>
        </is>
      </c>
      <c r="J2262" t="inlineStr">
        <is>
          <t>0</t>
        </is>
      </c>
      <c r="K2262" t="inlineStr">
        <is>
          <t>Brownson, Orestes Augustus, 1803-1876.</t>
        </is>
      </c>
      <c r="L2262" t="inlineStr">
        <is>
          <t>New York : E. Dunigan &amp; Brother, 1857.</t>
        </is>
      </c>
      <c r="M2262" t="inlineStr">
        <is>
          <t>1857</t>
        </is>
      </c>
      <c r="O2262" t="inlineStr">
        <is>
          <t>eng</t>
        </is>
      </c>
      <c r="P2262" t="inlineStr">
        <is>
          <t>nyu</t>
        </is>
      </c>
      <c r="R2262" t="inlineStr">
        <is>
          <t xml:space="preserve">BX </t>
        </is>
      </c>
      <c r="S2262" t="n">
        <v>3</v>
      </c>
      <c r="T2262" t="n">
        <v>3</v>
      </c>
      <c r="U2262" t="inlineStr">
        <is>
          <t>2010-02-24</t>
        </is>
      </c>
      <c r="V2262" t="inlineStr">
        <is>
          <t>2010-02-24</t>
        </is>
      </c>
      <c r="W2262" t="inlineStr">
        <is>
          <t>1991-12-12</t>
        </is>
      </c>
      <c r="X2262" t="inlineStr">
        <is>
          <t>2000-06-14</t>
        </is>
      </c>
      <c r="Y2262" t="n">
        <v>85</v>
      </c>
      <c r="Z2262" t="n">
        <v>75</v>
      </c>
      <c r="AA2262" t="n">
        <v>209</v>
      </c>
      <c r="AB2262" t="n">
        <v>1</v>
      </c>
      <c r="AC2262" t="n">
        <v>3</v>
      </c>
      <c r="AD2262" t="n">
        <v>11</v>
      </c>
      <c r="AE2262" t="n">
        <v>23</v>
      </c>
      <c r="AF2262" t="n">
        <v>1</v>
      </c>
      <c r="AG2262" t="n">
        <v>6</v>
      </c>
      <c r="AH2262" t="n">
        <v>3</v>
      </c>
      <c r="AI2262" t="n">
        <v>5</v>
      </c>
      <c r="AJ2262" t="n">
        <v>9</v>
      </c>
      <c r="AK2262" t="n">
        <v>16</v>
      </c>
      <c r="AL2262" t="n">
        <v>0</v>
      </c>
      <c r="AM2262" t="n">
        <v>2</v>
      </c>
      <c r="AN2262" t="n">
        <v>0</v>
      </c>
      <c r="AO2262" t="n">
        <v>0</v>
      </c>
      <c r="AP2262" t="inlineStr">
        <is>
          <t>Yes</t>
        </is>
      </c>
      <c r="AQ2262" t="inlineStr">
        <is>
          <t>No</t>
        </is>
      </c>
      <c r="AR2262">
        <f>HYPERLINK("http://catalog.hathitrust.org/Record/008625626","HathiTrust Record")</f>
        <v/>
      </c>
      <c r="AS2262">
        <f>HYPERLINK("https://creighton-primo.hosted.exlibrisgroup.com/primo-explore/search?tab=default_tab&amp;search_scope=EVERYTHING&amp;vid=01CRU&amp;lang=en_US&amp;offset=0&amp;query=any,contains,991003063089702656","Catalog Record")</f>
        <v/>
      </c>
      <c r="AT2262">
        <f>HYPERLINK("http://www.worldcat.org/oclc/2194284","WorldCat Record")</f>
        <v/>
      </c>
      <c r="AU2262" t="inlineStr">
        <is>
          <t>3581199:eng</t>
        </is>
      </c>
      <c r="AV2262" t="inlineStr">
        <is>
          <t>2194284</t>
        </is>
      </c>
      <c r="AW2262" t="inlineStr">
        <is>
          <t>991003063089702656</t>
        </is>
      </c>
      <c r="AX2262" t="inlineStr">
        <is>
          <t>991003063089702656</t>
        </is>
      </c>
      <c r="AY2262" t="inlineStr">
        <is>
          <t>2262090120002656</t>
        </is>
      </c>
      <c r="AZ2262" t="inlineStr">
        <is>
          <t>BOOK</t>
        </is>
      </c>
      <c r="BC2262" t="inlineStr">
        <is>
          <t>32285000873918</t>
        </is>
      </c>
      <c r="BD2262" t="inlineStr">
        <is>
          <t>893692356</t>
        </is>
      </c>
    </row>
    <row r="2263">
      <c r="A2263" t="inlineStr">
        <is>
          <t>No</t>
        </is>
      </c>
      <c r="B2263" t="inlineStr">
        <is>
          <t>BX4705.B88 G58 1931</t>
        </is>
      </c>
      <c r="C2263" t="inlineStr">
        <is>
          <t>0                      BX 4705000B  88                 G  58          1931</t>
        </is>
      </c>
      <c r="D2263" t="inlineStr">
        <is>
          <t>Simon Bruté de Rémur, first bishop of Vincennes / by Sister Mary Salesia Godecker. With a preface by Joseph Chartrand.</t>
        </is>
      </c>
      <c r="F2263" t="inlineStr">
        <is>
          <t>No</t>
        </is>
      </c>
      <c r="G2263" t="inlineStr">
        <is>
          <t>1</t>
        </is>
      </c>
      <c r="H2263" t="inlineStr">
        <is>
          <t>No</t>
        </is>
      </c>
      <c r="I2263" t="inlineStr">
        <is>
          <t>No</t>
        </is>
      </c>
      <c r="J2263" t="inlineStr">
        <is>
          <t>0</t>
        </is>
      </c>
      <c r="K2263" t="inlineStr">
        <is>
          <t>Godecker, Mary Salesia, 1888-1978.</t>
        </is>
      </c>
      <c r="L2263" t="inlineStr">
        <is>
          <t>St. Meinrad, Ind. : St. Meinrad historical essays, 1931.</t>
        </is>
      </c>
      <c r="M2263" t="inlineStr">
        <is>
          <t>1931</t>
        </is>
      </c>
      <c r="O2263" t="inlineStr">
        <is>
          <t>eng</t>
        </is>
      </c>
      <c r="P2263" t="inlineStr">
        <is>
          <t xml:space="preserve">xx </t>
        </is>
      </c>
      <c r="R2263" t="inlineStr">
        <is>
          <t xml:space="preserve">BX </t>
        </is>
      </c>
      <c r="S2263" t="n">
        <v>1</v>
      </c>
      <c r="T2263" t="n">
        <v>1</v>
      </c>
      <c r="U2263" t="inlineStr">
        <is>
          <t>2001-07-02</t>
        </is>
      </c>
      <c r="V2263" t="inlineStr">
        <is>
          <t>2001-07-02</t>
        </is>
      </c>
      <c r="W2263" t="inlineStr">
        <is>
          <t>1991-12-12</t>
        </is>
      </c>
      <c r="X2263" t="inlineStr">
        <is>
          <t>1991-12-12</t>
        </is>
      </c>
      <c r="Y2263" t="n">
        <v>133</v>
      </c>
      <c r="Z2263" t="n">
        <v>130</v>
      </c>
      <c r="AA2263" t="n">
        <v>131</v>
      </c>
      <c r="AB2263" t="n">
        <v>3</v>
      </c>
      <c r="AC2263" t="n">
        <v>3</v>
      </c>
      <c r="AD2263" t="n">
        <v>15</v>
      </c>
      <c r="AE2263" t="n">
        <v>15</v>
      </c>
      <c r="AF2263" t="n">
        <v>6</v>
      </c>
      <c r="AG2263" t="n">
        <v>6</v>
      </c>
      <c r="AH2263" t="n">
        <v>3</v>
      </c>
      <c r="AI2263" t="n">
        <v>3</v>
      </c>
      <c r="AJ2263" t="n">
        <v>12</v>
      </c>
      <c r="AK2263" t="n">
        <v>12</v>
      </c>
      <c r="AL2263" t="n">
        <v>0</v>
      </c>
      <c r="AM2263" t="n">
        <v>0</v>
      </c>
      <c r="AN2263" t="n">
        <v>0</v>
      </c>
      <c r="AO2263" t="n">
        <v>0</v>
      </c>
      <c r="AP2263" t="inlineStr">
        <is>
          <t>No</t>
        </is>
      </c>
      <c r="AQ2263" t="inlineStr">
        <is>
          <t>Yes</t>
        </is>
      </c>
      <c r="AR2263">
        <f>HYPERLINK("http://catalog.hathitrust.org/Record/005922258","HathiTrust Record")</f>
        <v/>
      </c>
      <c r="AS2263">
        <f>HYPERLINK("https://creighton-primo.hosted.exlibrisgroup.com/primo-explore/search?tab=default_tab&amp;search_scope=EVERYTHING&amp;vid=01CRU&amp;lang=en_US&amp;offset=0&amp;query=any,contains,991003568419702656","Catalog Record")</f>
        <v/>
      </c>
      <c r="AT2263">
        <f>HYPERLINK("http://www.worldcat.org/oclc/1142550","WorldCat Record")</f>
        <v/>
      </c>
      <c r="AU2263" t="inlineStr">
        <is>
          <t>2064742:eng</t>
        </is>
      </c>
      <c r="AV2263" t="inlineStr">
        <is>
          <t>1142550</t>
        </is>
      </c>
      <c r="AW2263" t="inlineStr">
        <is>
          <t>991003568419702656</t>
        </is>
      </c>
      <c r="AX2263" t="inlineStr">
        <is>
          <t>991003568419702656</t>
        </is>
      </c>
      <c r="AY2263" t="inlineStr">
        <is>
          <t>2264366640002656</t>
        </is>
      </c>
      <c r="AZ2263" t="inlineStr">
        <is>
          <t>BOOK</t>
        </is>
      </c>
      <c r="BC2263" t="inlineStr">
        <is>
          <t>32285000873959</t>
        </is>
      </c>
      <c r="BD2263" t="inlineStr">
        <is>
          <t>893874896</t>
        </is>
      </c>
    </row>
    <row r="2264">
      <c r="A2264" t="inlineStr">
        <is>
          <t>No</t>
        </is>
      </c>
      <c r="B2264" t="inlineStr">
        <is>
          <t>BX4705.B89423 A3 2000</t>
        </is>
      </c>
      <c r="C2264" t="inlineStr">
        <is>
          <t>0                      BX 4705000B  89423              A  3           2000</t>
        </is>
      </c>
      <c r="D2264" t="inlineStr">
        <is>
          <t>Long have I loved you : a theologian reflects on his church / Walter J. Burghardt.</t>
        </is>
      </c>
      <c r="F2264" t="inlineStr">
        <is>
          <t>No</t>
        </is>
      </c>
      <c r="G2264" t="inlineStr">
        <is>
          <t>1</t>
        </is>
      </c>
      <c r="H2264" t="inlineStr">
        <is>
          <t>No</t>
        </is>
      </c>
      <c r="I2264" t="inlineStr">
        <is>
          <t>No</t>
        </is>
      </c>
      <c r="J2264" t="inlineStr">
        <is>
          <t>0</t>
        </is>
      </c>
      <c r="K2264" t="inlineStr">
        <is>
          <t>Burghardt, Walter J.</t>
        </is>
      </c>
      <c r="L2264" t="inlineStr">
        <is>
          <t>Maryknoll, N.Y. : Orbis Books, 2000.</t>
        </is>
      </c>
      <c r="M2264" t="inlineStr">
        <is>
          <t>2000</t>
        </is>
      </c>
      <c r="O2264" t="inlineStr">
        <is>
          <t>eng</t>
        </is>
      </c>
      <c r="P2264" t="inlineStr">
        <is>
          <t>nyu</t>
        </is>
      </c>
      <c r="R2264" t="inlineStr">
        <is>
          <t xml:space="preserve">BX </t>
        </is>
      </c>
      <c r="S2264" t="n">
        <v>2</v>
      </c>
      <c r="T2264" t="n">
        <v>2</v>
      </c>
      <c r="U2264" t="inlineStr">
        <is>
          <t>2001-05-16</t>
        </is>
      </c>
      <c r="V2264" t="inlineStr">
        <is>
          <t>2001-05-16</t>
        </is>
      </c>
      <c r="W2264" t="inlineStr">
        <is>
          <t>2001-04-17</t>
        </is>
      </c>
      <c r="X2264" t="inlineStr">
        <is>
          <t>2001-04-17</t>
        </is>
      </c>
      <c r="Y2264" t="n">
        <v>228</v>
      </c>
      <c r="Z2264" t="n">
        <v>196</v>
      </c>
      <c r="AA2264" t="n">
        <v>203</v>
      </c>
      <c r="AB2264" t="n">
        <v>3</v>
      </c>
      <c r="AC2264" t="n">
        <v>3</v>
      </c>
      <c r="AD2264" t="n">
        <v>28</v>
      </c>
      <c r="AE2264" t="n">
        <v>28</v>
      </c>
      <c r="AF2264" t="n">
        <v>8</v>
      </c>
      <c r="AG2264" t="n">
        <v>8</v>
      </c>
      <c r="AH2264" t="n">
        <v>8</v>
      </c>
      <c r="AI2264" t="n">
        <v>8</v>
      </c>
      <c r="AJ2264" t="n">
        <v>19</v>
      </c>
      <c r="AK2264" t="n">
        <v>19</v>
      </c>
      <c r="AL2264" t="n">
        <v>2</v>
      </c>
      <c r="AM2264" t="n">
        <v>2</v>
      </c>
      <c r="AN2264" t="n">
        <v>0</v>
      </c>
      <c r="AO2264" t="n">
        <v>0</v>
      </c>
      <c r="AP2264" t="inlineStr">
        <is>
          <t>No</t>
        </is>
      </c>
      <c r="AQ2264" t="inlineStr">
        <is>
          <t>Yes</t>
        </is>
      </c>
      <c r="AR2264">
        <f>HYPERLINK("http://catalog.hathitrust.org/Record/004081641","HathiTrust Record")</f>
        <v/>
      </c>
      <c r="AS2264">
        <f>HYPERLINK("https://creighton-primo.hosted.exlibrisgroup.com/primo-explore/search?tab=default_tab&amp;search_scope=EVERYTHING&amp;vid=01CRU&amp;lang=en_US&amp;offset=0&amp;query=any,contains,991003527039702656","Catalog Record")</f>
        <v/>
      </c>
      <c r="AT2264">
        <f>HYPERLINK("http://www.worldcat.org/oclc/42296166","WorldCat Record")</f>
        <v/>
      </c>
      <c r="AU2264" t="inlineStr">
        <is>
          <t>346317959:eng</t>
        </is>
      </c>
      <c r="AV2264" t="inlineStr">
        <is>
          <t>42296166</t>
        </is>
      </c>
      <c r="AW2264" t="inlineStr">
        <is>
          <t>991003527039702656</t>
        </is>
      </c>
      <c r="AX2264" t="inlineStr">
        <is>
          <t>991003527039702656</t>
        </is>
      </c>
      <c r="AY2264" t="inlineStr">
        <is>
          <t>2255749450002656</t>
        </is>
      </c>
      <c r="AZ2264" t="inlineStr">
        <is>
          <t>BOOK</t>
        </is>
      </c>
      <c r="BB2264" t="inlineStr">
        <is>
          <t>9781570752964</t>
        </is>
      </c>
      <c r="BC2264" t="inlineStr">
        <is>
          <t>32285004312699</t>
        </is>
      </c>
      <c r="BD2264" t="inlineStr">
        <is>
          <t>893410375</t>
        </is>
      </c>
    </row>
    <row r="2265">
      <c r="A2265" t="inlineStr">
        <is>
          <t>No</t>
        </is>
      </c>
      <c r="B2265" t="inlineStr">
        <is>
          <t>BX4705.B93 A3 1981</t>
        </is>
      </c>
      <c r="C2265" t="inlineStr">
        <is>
          <t>0                      BX 4705000B  93                 A  3           1981</t>
        </is>
      </c>
      <c r="D2265" t="inlineStr">
        <is>
          <t>Before the living God / Ruth Burrows.</t>
        </is>
      </c>
      <c r="F2265" t="inlineStr">
        <is>
          <t>No</t>
        </is>
      </c>
      <c r="G2265" t="inlineStr">
        <is>
          <t>1</t>
        </is>
      </c>
      <c r="H2265" t="inlineStr">
        <is>
          <t>No</t>
        </is>
      </c>
      <c r="I2265" t="inlineStr">
        <is>
          <t>No</t>
        </is>
      </c>
      <c r="J2265" t="inlineStr">
        <is>
          <t>0</t>
        </is>
      </c>
      <c r="K2265" t="inlineStr">
        <is>
          <t>Burrows, Ruth.</t>
        </is>
      </c>
      <c r="L2265" t="inlineStr">
        <is>
          <t>Denville, N.J. : Dimension Books, 1981, c1975.</t>
        </is>
      </c>
      <c r="M2265" t="inlineStr">
        <is>
          <t>1981</t>
        </is>
      </c>
      <c r="N2265" t="inlineStr">
        <is>
          <t>1st American ed.</t>
        </is>
      </c>
      <c r="O2265" t="inlineStr">
        <is>
          <t>eng</t>
        </is>
      </c>
      <c r="P2265" t="inlineStr">
        <is>
          <t>nju</t>
        </is>
      </c>
      <c r="R2265" t="inlineStr">
        <is>
          <t xml:space="preserve">BX </t>
        </is>
      </c>
      <c r="S2265" t="n">
        <v>5</v>
      </c>
      <c r="T2265" t="n">
        <v>5</v>
      </c>
      <c r="U2265" t="inlineStr">
        <is>
          <t>2007-10-17</t>
        </is>
      </c>
      <c r="V2265" t="inlineStr">
        <is>
          <t>2007-10-17</t>
        </is>
      </c>
      <c r="W2265" t="inlineStr">
        <is>
          <t>1991-04-09</t>
        </is>
      </c>
      <c r="X2265" t="inlineStr">
        <is>
          <t>1991-04-09</t>
        </is>
      </c>
      <c r="Y2265" t="n">
        <v>47</v>
      </c>
      <c r="Z2265" t="n">
        <v>36</v>
      </c>
      <c r="AA2265" t="n">
        <v>79</v>
      </c>
      <c r="AB2265" t="n">
        <v>2</v>
      </c>
      <c r="AC2265" t="n">
        <v>2</v>
      </c>
      <c r="AD2265" t="n">
        <v>9</v>
      </c>
      <c r="AE2265" t="n">
        <v>12</v>
      </c>
      <c r="AF2265" t="n">
        <v>0</v>
      </c>
      <c r="AG2265" t="n">
        <v>0</v>
      </c>
      <c r="AH2265" t="n">
        <v>3</v>
      </c>
      <c r="AI2265" t="n">
        <v>5</v>
      </c>
      <c r="AJ2265" t="n">
        <v>7</v>
      </c>
      <c r="AK2265" t="n">
        <v>9</v>
      </c>
      <c r="AL2265" t="n">
        <v>0</v>
      </c>
      <c r="AM2265" t="n">
        <v>0</v>
      </c>
      <c r="AN2265" t="n">
        <v>0</v>
      </c>
      <c r="AO2265" t="n">
        <v>0</v>
      </c>
      <c r="AP2265" t="inlineStr">
        <is>
          <t>No</t>
        </is>
      </c>
      <c r="AQ2265" t="inlineStr">
        <is>
          <t>No</t>
        </is>
      </c>
      <c r="AS2265">
        <f>HYPERLINK("https://creighton-primo.hosted.exlibrisgroup.com/primo-explore/search?tab=default_tab&amp;search_scope=EVERYTHING&amp;vid=01CRU&amp;lang=en_US&amp;offset=0&amp;query=any,contains,991000011969702656","Catalog Record")</f>
        <v/>
      </c>
      <c r="AT2265">
        <f>HYPERLINK("http://www.worldcat.org/oclc/8539861","WorldCat Record")</f>
        <v/>
      </c>
      <c r="AU2265" t="inlineStr">
        <is>
          <t>24931326:eng</t>
        </is>
      </c>
      <c r="AV2265" t="inlineStr">
        <is>
          <t>8539861</t>
        </is>
      </c>
      <c r="AW2265" t="inlineStr">
        <is>
          <t>991000011969702656</t>
        </is>
      </c>
      <c r="AX2265" t="inlineStr">
        <is>
          <t>991000011969702656</t>
        </is>
      </c>
      <c r="AY2265" t="inlineStr">
        <is>
          <t>2272175830002656</t>
        </is>
      </c>
      <c r="AZ2265" t="inlineStr">
        <is>
          <t>BOOK</t>
        </is>
      </c>
      <c r="BB2265" t="inlineStr">
        <is>
          <t>9780871931559</t>
        </is>
      </c>
      <c r="BC2265" t="inlineStr">
        <is>
          <t>32285000566520</t>
        </is>
      </c>
      <c r="BD2265" t="inlineStr">
        <is>
          <t>893236991</t>
        </is>
      </c>
    </row>
    <row r="2266">
      <c r="A2266" t="inlineStr">
        <is>
          <t>No</t>
        </is>
      </c>
      <c r="B2266" t="inlineStr">
        <is>
          <t>BX4705.B938 F68 1986</t>
        </is>
      </c>
      <c r="C2266" t="inlineStr">
        <is>
          <t>0                      BX 4705000B  938                F  68          1986</t>
        </is>
      </c>
      <c r="D2266" t="inlineStr">
        <is>
          <t>The call of heaven : Fr. Gino, stigmatist / Robert J. Fox.</t>
        </is>
      </c>
      <c r="F2266" t="inlineStr">
        <is>
          <t>No</t>
        </is>
      </c>
      <c r="G2266" t="inlineStr">
        <is>
          <t>1</t>
        </is>
      </c>
      <c r="H2266" t="inlineStr">
        <is>
          <t>No</t>
        </is>
      </c>
      <c r="I2266" t="inlineStr">
        <is>
          <t>No</t>
        </is>
      </c>
      <c r="J2266" t="inlineStr">
        <is>
          <t>0</t>
        </is>
      </c>
      <c r="K2266" t="inlineStr">
        <is>
          <t>Fox, Robert J. (Robert Joseph), 1928-2009.</t>
        </is>
      </c>
      <c r="L2266" t="inlineStr">
        <is>
          <t>Front Royal, Va. : Christendom College Press, c1986.</t>
        </is>
      </c>
      <c r="M2266" t="inlineStr">
        <is>
          <t>1986</t>
        </is>
      </c>
      <c r="O2266" t="inlineStr">
        <is>
          <t>eng</t>
        </is>
      </c>
      <c r="P2266" t="inlineStr">
        <is>
          <t>vau</t>
        </is>
      </c>
      <c r="R2266" t="inlineStr">
        <is>
          <t xml:space="preserve">BX </t>
        </is>
      </c>
      <c r="S2266" t="n">
        <v>3</v>
      </c>
      <c r="T2266" t="n">
        <v>3</v>
      </c>
      <c r="U2266" t="inlineStr">
        <is>
          <t>2002-01-29</t>
        </is>
      </c>
      <c r="V2266" t="inlineStr">
        <is>
          <t>2002-01-29</t>
        </is>
      </c>
      <c r="W2266" t="inlineStr">
        <is>
          <t>1991-12-12</t>
        </is>
      </c>
      <c r="X2266" t="inlineStr">
        <is>
          <t>1991-12-12</t>
        </is>
      </c>
      <c r="Y2266" t="n">
        <v>30</v>
      </c>
      <c r="Z2266" t="n">
        <v>25</v>
      </c>
      <c r="AA2266" t="n">
        <v>55</v>
      </c>
      <c r="AB2266" t="n">
        <v>2</v>
      </c>
      <c r="AC2266" t="n">
        <v>2</v>
      </c>
      <c r="AD2266" t="n">
        <v>1</v>
      </c>
      <c r="AE2266" t="n">
        <v>4</v>
      </c>
      <c r="AF2266" t="n">
        <v>0</v>
      </c>
      <c r="AG2266" t="n">
        <v>0</v>
      </c>
      <c r="AH2266" t="n">
        <v>0</v>
      </c>
      <c r="AI2266" t="n">
        <v>1</v>
      </c>
      <c r="AJ2266" t="n">
        <v>1</v>
      </c>
      <c r="AK2266" t="n">
        <v>3</v>
      </c>
      <c r="AL2266" t="n">
        <v>0</v>
      </c>
      <c r="AM2266" t="n">
        <v>0</v>
      </c>
      <c r="AN2266" t="n">
        <v>0</v>
      </c>
      <c r="AO2266" t="n">
        <v>0</v>
      </c>
      <c r="AP2266" t="inlineStr">
        <is>
          <t>No</t>
        </is>
      </c>
      <c r="AQ2266" t="inlineStr">
        <is>
          <t>No</t>
        </is>
      </c>
      <c r="AS2266">
        <f>HYPERLINK("https://creighton-primo.hosted.exlibrisgroup.com/primo-explore/search?tab=default_tab&amp;search_scope=EVERYTHING&amp;vid=01CRU&amp;lang=en_US&amp;offset=0&amp;query=any,contains,991001151999702656","Catalog Record")</f>
        <v/>
      </c>
      <c r="AT2266">
        <f>HYPERLINK("http://www.worldcat.org/oclc/16825114","WorldCat Record")</f>
        <v/>
      </c>
      <c r="AU2266" t="inlineStr">
        <is>
          <t>31091557:eng</t>
        </is>
      </c>
      <c r="AV2266" t="inlineStr">
        <is>
          <t>16825114</t>
        </is>
      </c>
      <c r="AW2266" t="inlineStr">
        <is>
          <t>991001151999702656</t>
        </is>
      </c>
      <c r="AX2266" t="inlineStr">
        <is>
          <t>991001151999702656</t>
        </is>
      </c>
      <c r="AY2266" t="inlineStr">
        <is>
          <t>2258614300002656</t>
        </is>
      </c>
      <c r="AZ2266" t="inlineStr">
        <is>
          <t>BOOK</t>
        </is>
      </c>
      <c r="BC2266" t="inlineStr">
        <is>
          <t>32285000873983</t>
        </is>
      </c>
      <c r="BD2266" t="inlineStr">
        <is>
          <t>893885080</t>
        </is>
      </c>
    </row>
    <row r="2267">
      <c r="A2267" t="inlineStr">
        <is>
          <t>No</t>
        </is>
      </c>
      <c r="B2267" t="inlineStr">
        <is>
          <t>BX4705.C22 A2 1944</t>
        </is>
      </c>
      <c r="C2267" t="inlineStr">
        <is>
          <t>0                      BX 4705000C  22                 A  2           1944</t>
        </is>
      </c>
      <c r="D2267" t="inlineStr">
        <is>
          <t>Travels of Mother Frances Xavier Cabrini : foundress of the Missinary Sisters of the Sacred Heart of Jesus / With a biographical sketch by The most Rev. Amleto Giovanni Cicognani.</t>
        </is>
      </c>
      <c r="F2267" t="inlineStr">
        <is>
          <t>No</t>
        </is>
      </c>
      <c r="G2267" t="inlineStr">
        <is>
          <t>1</t>
        </is>
      </c>
      <c r="H2267" t="inlineStr">
        <is>
          <t>No</t>
        </is>
      </c>
      <c r="I2267" t="inlineStr">
        <is>
          <t>No</t>
        </is>
      </c>
      <c r="J2267" t="inlineStr">
        <is>
          <t>0</t>
        </is>
      </c>
      <c r="K2267" t="inlineStr">
        <is>
          <t>Cabrini, Frances Xavier, Saint, 1850-1917.</t>
        </is>
      </c>
      <c r="L2267" t="inlineStr">
        <is>
          <t>[Chicago] : The Missionary Sisters of the Sacred Heart of Jesus, [c1944]</t>
        </is>
      </c>
      <c r="M2267" t="inlineStr">
        <is>
          <t>1944</t>
        </is>
      </c>
      <c r="O2267" t="inlineStr">
        <is>
          <t>eng</t>
        </is>
      </c>
      <c r="P2267" t="inlineStr">
        <is>
          <t>ilu</t>
        </is>
      </c>
      <c r="R2267" t="inlineStr">
        <is>
          <t xml:space="preserve">BX </t>
        </is>
      </c>
      <c r="S2267" t="n">
        <v>2</v>
      </c>
      <c r="T2267" t="n">
        <v>2</v>
      </c>
      <c r="U2267" t="inlineStr">
        <is>
          <t>1993-04-02</t>
        </is>
      </c>
      <c r="V2267" t="inlineStr">
        <is>
          <t>1993-04-02</t>
        </is>
      </c>
      <c r="W2267" t="inlineStr">
        <is>
          <t>1991-12-12</t>
        </is>
      </c>
      <c r="X2267" t="inlineStr">
        <is>
          <t>1991-12-12</t>
        </is>
      </c>
      <c r="Y2267" t="n">
        <v>57</v>
      </c>
      <c r="Z2267" t="n">
        <v>53</v>
      </c>
      <c r="AA2267" t="n">
        <v>72</v>
      </c>
      <c r="AB2267" t="n">
        <v>1</v>
      </c>
      <c r="AC2267" t="n">
        <v>1</v>
      </c>
      <c r="AD2267" t="n">
        <v>14</v>
      </c>
      <c r="AE2267" t="n">
        <v>15</v>
      </c>
      <c r="AF2267" t="n">
        <v>4</v>
      </c>
      <c r="AG2267" t="n">
        <v>4</v>
      </c>
      <c r="AH2267" t="n">
        <v>2</v>
      </c>
      <c r="AI2267" t="n">
        <v>2</v>
      </c>
      <c r="AJ2267" t="n">
        <v>11</v>
      </c>
      <c r="AK2267" t="n">
        <v>12</v>
      </c>
      <c r="AL2267" t="n">
        <v>0</v>
      </c>
      <c r="AM2267" t="n">
        <v>0</v>
      </c>
      <c r="AN2267" t="n">
        <v>0</v>
      </c>
      <c r="AO2267" t="n">
        <v>0</v>
      </c>
      <c r="AP2267" t="inlineStr">
        <is>
          <t>No</t>
        </is>
      </c>
      <c r="AQ2267" t="inlineStr">
        <is>
          <t>No</t>
        </is>
      </c>
      <c r="AS2267">
        <f>HYPERLINK("https://creighton-primo.hosted.exlibrisgroup.com/primo-explore/search?tab=default_tab&amp;search_scope=EVERYTHING&amp;vid=01CRU&amp;lang=en_US&amp;offset=0&amp;query=any,contains,991004841969702656","Catalog Record")</f>
        <v/>
      </c>
      <c r="AT2267">
        <f>HYPERLINK("http://www.worldcat.org/oclc/5507399","WorldCat Record")</f>
        <v/>
      </c>
      <c r="AU2267" t="inlineStr">
        <is>
          <t>4820554908:eng</t>
        </is>
      </c>
      <c r="AV2267" t="inlineStr">
        <is>
          <t>5507399</t>
        </is>
      </c>
      <c r="AW2267" t="inlineStr">
        <is>
          <t>991004841969702656</t>
        </is>
      </c>
      <c r="AX2267" t="inlineStr">
        <is>
          <t>991004841969702656</t>
        </is>
      </c>
      <c r="AY2267" t="inlineStr">
        <is>
          <t>2269790050002656</t>
        </is>
      </c>
      <c r="AZ2267" t="inlineStr">
        <is>
          <t>BOOK</t>
        </is>
      </c>
      <c r="BC2267" t="inlineStr">
        <is>
          <t>32285000873991</t>
        </is>
      </c>
      <c r="BD2267" t="inlineStr">
        <is>
          <t>893789153</t>
        </is>
      </c>
    </row>
    <row r="2268">
      <c r="A2268" t="inlineStr">
        <is>
          <t>No</t>
        </is>
      </c>
      <c r="B2268" t="inlineStr">
        <is>
          <t>BX4705.C22 B6 1945</t>
        </is>
      </c>
      <c r="C2268" t="inlineStr">
        <is>
          <t>0                      BX 4705000C  22                 B  6           1945</t>
        </is>
      </c>
      <c r="D2268" t="inlineStr">
        <is>
          <t>Francesca Cabrini : without staff or scrip / by Lucille Papin Borden.</t>
        </is>
      </c>
      <c r="F2268" t="inlineStr">
        <is>
          <t>No</t>
        </is>
      </c>
      <c r="G2268" t="inlineStr">
        <is>
          <t>1</t>
        </is>
      </c>
      <c r="H2268" t="inlineStr">
        <is>
          <t>No</t>
        </is>
      </c>
      <c r="I2268" t="inlineStr">
        <is>
          <t>No</t>
        </is>
      </c>
      <c r="J2268" t="inlineStr">
        <is>
          <t>0</t>
        </is>
      </c>
      <c r="K2268" t="inlineStr">
        <is>
          <t>Borden, Lucille Papin, 1873-1962.</t>
        </is>
      </c>
      <c r="L2268" t="inlineStr">
        <is>
          <t>New York : The Macmillan Company, 1945.</t>
        </is>
      </c>
      <c r="M2268" t="inlineStr">
        <is>
          <t>1945</t>
        </is>
      </c>
      <c r="O2268" t="inlineStr">
        <is>
          <t>eng</t>
        </is>
      </c>
      <c r="P2268" t="inlineStr">
        <is>
          <t>nyu</t>
        </is>
      </c>
      <c r="R2268" t="inlineStr">
        <is>
          <t xml:space="preserve">BX </t>
        </is>
      </c>
      <c r="S2268" t="n">
        <v>7</v>
      </c>
      <c r="T2268" t="n">
        <v>7</v>
      </c>
      <c r="U2268" t="inlineStr">
        <is>
          <t>1993-04-18</t>
        </is>
      </c>
      <c r="V2268" t="inlineStr">
        <is>
          <t>1993-04-18</t>
        </is>
      </c>
      <c r="W2268" t="inlineStr">
        <is>
          <t>1990-05-07</t>
        </is>
      </c>
      <c r="X2268" t="inlineStr">
        <is>
          <t>1990-05-07</t>
        </is>
      </c>
      <c r="Y2268" t="n">
        <v>250</v>
      </c>
      <c r="Z2268" t="n">
        <v>242</v>
      </c>
      <c r="AA2268" t="n">
        <v>250</v>
      </c>
      <c r="AB2268" t="n">
        <v>3</v>
      </c>
      <c r="AC2268" t="n">
        <v>3</v>
      </c>
      <c r="AD2268" t="n">
        <v>24</v>
      </c>
      <c r="AE2268" t="n">
        <v>24</v>
      </c>
      <c r="AF2268" t="n">
        <v>8</v>
      </c>
      <c r="AG2268" t="n">
        <v>8</v>
      </c>
      <c r="AH2268" t="n">
        <v>5</v>
      </c>
      <c r="AI2268" t="n">
        <v>5</v>
      </c>
      <c r="AJ2268" t="n">
        <v>20</v>
      </c>
      <c r="AK2268" t="n">
        <v>20</v>
      </c>
      <c r="AL2268" t="n">
        <v>0</v>
      </c>
      <c r="AM2268" t="n">
        <v>0</v>
      </c>
      <c r="AN2268" t="n">
        <v>0</v>
      </c>
      <c r="AO2268" t="n">
        <v>0</v>
      </c>
      <c r="AP2268" t="inlineStr">
        <is>
          <t>No</t>
        </is>
      </c>
      <c r="AQ2268" t="inlineStr">
        <is>
          <t>No</t>
        </is>
      </c>
      <c r="AS2268">
        <f>HYPERLINK("https://creighton-primo.hosted.exlibrisgroup.com/primo-explore/search?tab=default_tab&amp;search_scope=EVERYTHING&amp;vid=01CRU&amp;lang=en_US&amp;offset=0&amp;query=any,contains,991003796589702656","Catalog Record")</f>
        <v/>
      </c>
      <c r="AT2268">
        <f>HYPERLINK("http://www.worldcat.org/oclc/1519902","WorldCat Record")</f>
        <v/>
      </c>
      <c r="AU2268" t="inlineStr">
        <is>
          <t>2357868:eng</t>
        </is>
      </c>
      <c r="AV2268" t="inlineStr">
        <is>
          <t>1519902</t>
        </is>
      </c>
      <c r="AW2268" t="inlineStr">
        <is>
          <t>991003796589702656</t>
        </is>
      </c>
      <c r="AX2268" t="inlineStr">
        <is>
          <t>991003796589702656</t>
        </is>
      </c>
      <c r="AY2268" t="inlineStr">
        <is>
          <t>2255583960002656</t>
        </is>
      </c>
      <c r="AZ2268" t="inlineStr">
        <is>
          <t>BOOK</t>
        </is>
      </c>
      <c r="BC2268" t="inlineStr">
        <is>
          <t>32285000149533</t>
        </is>
      </c>
      <c r="BD2268" t="inlineStr">
        <is>
          <t>893881561</t>
        </is>
      </c>
    </row>
    <row r="2269">
      <c r="A2269" t="inlineStr">
        <is>
          <t>No</t>
        </is>
      </c>
      <c r="B2269" t="inlineStr">
        <is>
          <t>BX4705.C22 F3 1947</t>
        </is>
      </c>
      <c r="C2269" t="inlineStr">
        <is>
          <t>0                      BX 4705000C  22                 F  3           1947</t>
        </is>
      </c>
      <c r="D2269" t="inlineStr">
        <is>
          <t>The life of Mother Cabrini : American saint, a stormy youth / Introd. by Monsignor Aristeo V. Simoni.</t>
        </is>
      </c>
      <c r="F2269" t="inlineStr">
        <is>
          <t>No</t>
        </is>
      </c>
      <c r="G2269" t="inlineStr">
        <is>
          <t>1</t>
        </is>
      </c>
      <c r="H2269" t="inlineStr">
        <is>
          <t>No</t>
        </is>
      </c>
      <c r="I2269" t="inlineStr">
        <is>
          <t>No</t>
        </is>
      </c>
      <c r="J2269" t="inlineStr">
        <is>
          <t>0</t>
        </is>
      </c>
      <c r="K2269" t="inlineStr">
        <is>
          <t>Farnum, Mabel, 1887-</t>
        </is>
      </c>
      <c r="L2269" t="inlineStr">
        <is>
          <t>New York : Didier, [1947]</t>
        </is>
      </c>
      <c r="M2269" t="inlineStr">
        <is>
          <t>1947</t>
        </is>
      </c>
      <c r="O2269" t="inlineStr">
        <is>
          <t>eng</t>
        </is>
      </c>
      <c r="P2269" t="inlineStr">
        <is>
          <t>nyu</t>
        </is>
      </c>
      <c r="R2269" t="inlineStr">
        <is>
          <t xml:space="preserve">BX </t>
        </is>
      </c>
      <c r="S2269" t="n">
        <v>2</v>
      </c>
      <c r="T2269" t="n">
        <v>2</v>
      </c>
      <c r="U2269" t="inlineStr">
        <is>
          <t>1993-04-02</t>
        </is>
      </c>
      <c r="V2269" t="inlineStr">
        <is>
          <t>1993-04-02</t>
        </is>
      </c>
      <c r="W2269" t="inlineStr">
        <is>
          <t>1991-12-12</t>
        </is>
      </c>
      <c r="X2269" t="inlineStr">
        <is>
          <t>1991-12-12</t>
        </is>
      </c>
      <c r="Y2269" t="n">
        <v>41</v>
      </c>
      <c r="Z2269" t="n">
        <v>41</v>
      </c>
      <c r="AA2269" t="n">
        <v>53</v>
      </c>
      <c r="AB2269" t="n">
        <v>1</v>
      </c>
      <c r="AC2269" t="n">
        <v>1</v>
      </c>
      <c r="AD2269" t="n">
        <v>5</v>
      </c>
      <c r="AE2269" t="n">
        <v>6</v>
      </c>
      <c r="AF2269" t="n">
        <v>0</v>
      </c>
      <c r="AG2269" t="n">
        <v>0</v>
      </c>
      <c r="AH2269" t="n">
        <v>2</v>
      </c>
      <c r="AI2269" t="n">
        <v>3</v>
      </c>
      <c r="AJ2269" t="n">
        <v>4</v>
      </c>
      <c r="AK2269" t="n">
        <v>4</v>
      </c>
      <c r="AL2269" t="n">
        <v>0</v>
      </c>
      <c r="AM2269" t="n">
        <v>0</v>
      </c>
      <c r="AN2269" t="n">
        <v>0</v>
      </c>
      <c r="AO2269" t="n">
        <v>0</v>
      </c>
      <c r="AP2269" t="inlineStr">
        <is>
          <t>Yes</t>
        </is>
      </c>
      <c r="AQ2269" t="inlineStr">
        <is>
          <t>No</t>
        </is>
      </c>
      <c r="AR2269">
        <f>HYPERLINK("http://catalog.hathitrust.org/Record/009930646","HathiTrust Record")</f>
        <v/>
      </c>
      <c r="AS2269">
        <f>HYPERLINK("https://creighton-primo.hosted.exlibrisgroup.com/primo-explore/search?tab=default_tab&amp;search_scope=EVERYTHING&amp;vid=01CRU&amp;lang=en_US&amp;offset=0&amp;query=any,contains,991004345869702656","Catalog Record")</f>
        <v/>
      </c>
      <c r="AT2269">
        <f>HYPERLINK("http://www.worldcat.org/oclc/3102934","WorldCat Record")</f>
        <v/>
      </c>
      <c r="AU2269" t="inlineStr">
        <is>
          <t>7555480:eng</t>
        </is>
      </c>
      <c r="AV2269" t="inlineStr">
        <is>
          <t>3102934</t>
        </is>
      </c>
      <c r="AW2269" t="inlineStr">
        <is>
          <t>991004345869702656</t>
        </is>
      </c>
      <c r="AX2269" t="inlineStr">
        <is>
          <t>991004345869702656</t>
        </is>
      </c>
      <c r="AY2269" t="inlineStr">
        <is>
          <t>2265854410002656</t>
        </is>
      </c>
      <c r="AZ2269" t="inlineStr">
        <is>
          <t>BOOK</t>
        </is>
      </c>
      <c r="BC2269" t="inlineStr">
        <is>
          <t>32285000874015</t>
        </is>
      </c>
      <c r="BD2269" t="inlineStr">
        <is>
          <t>893417517</t>
        </is>
      </c>
    </row>
    <row r="2270">
      <c r="A2270" t="inlineStr">
        <is>
          <t>No</t>
        </is>
      </c>
      <c r="B2270" t="inlineStr">
        <is>
          <t>BX4705.C22 M3 1945</t>
        </is>
      </c>
      <c r="C2270" t="inlineStr">
        <is>
          <t>0                      BX 4705000C  22                 M  3           1945</t>
        </is>
      </c>
      <c r="D2270" t="inlineStr">
        <is>
          <t>Too small a world : the life of Francesca Cabrini / by Theodore Maynard.</t>
        </is>
      </c>
      <c r="F2270" t="inlineStr">
        <is>
          <t>No</t>
        </is>
      </c>
      <c r="G2270" t="inlineStr">
        <is>
          <t>1</t>
        </is>
      </c>
      <c r="H2270" t="inlineStr">
        <is>
          <t>No</t>
        </is>
      </c>
      <c r="I2270" t="inlineStr">
        <is>
          <t>No</t>
        </is>
      </c>
      <c r="J2270" t="inlineStr">
        <is>
          <t>0</t>
        </is>
      </c>
      <c r="K2270" t="inlineStr">
        <is>
          <t>Maynard, Theodore, 1890-1956.</t>
        </is>
      </c>
      <c r="L2270" t="inlineStr">
        <is>
          <t>Milwaukee : The Bruce Publishing Company, [1945]</t>
        </is>
      </c>
      <c r="M2270" t="inlineStr">
        <is>
          <t>1945</t>
        </is>
      </c>
      <c r="O2270" t="inlineStr">
        <is>
          <t>eng</t>
        </is>
      </c>
      <c r="P2270" t="inlineStr">
        <is>
          <t>wiu</t>
        </is>
      </c>
      <c r="Q2270" t="inlineStr">
        <is>
          <t>The Science and culture series</t>
        </is>
      </c>
      <c r="R2270" t="inlineStr">
        <is>
          <t xml:space="preserve">BX </t>
        </is>
      </c>
      <c r="S2270" t="n">
        <v>3</v>
      </c>
      <c r="T2270" t="n">
        <v>3</v>
      </c>
      <c r="U2270" t="inlineStr">
        <is>
          <t>1993-04-05</t>
        </is>
      </c>
      <c r="V2270" t="inlineStr">
        <is>
          <t>1993-04-05</t>
        </is>
      </c>
      <c r="W2270" t="inlineStr">
        <is>
          <t>1991-12-12</t>
        </is>
      </c>
      <c r="X2270" t="inlineStr">
        <is>
          <t>1991-12-12</t>
        </is>
      </c>
      <c r="Y2270" t="n">
        <v>427</v>
      </c>
      <c r="Z2270" t="n">
        <v>397</v>
      </c>
      <c r="AA2270" t="n">
        <v>433</v>
      </c>
      <c r="AB2270" t="n">
        <v>5</v>
      </c>
      <c r="AC2270" t="n">
        <v>6</v>
      </c>
      <c r="AD2270" t="n">
        <v>33</v>
      </c>
      <c r="AE2270" t="n">
        <v>35</v>
      </c>
      <c r="AF2270" t="n">
        <v>11</v>
      </c>
      <c r="AG2270" t="n">
        <v>12</v>
      </c>
      <c r="AH2270" t="n">
        <v>8</v>
      </c>
      <c r="AI2270" t="n">
        <v>9</v>
      </c>
      <c r="AJ2270" t="n">
        <v>23</v>
      </c>
      <c r="AK2270" t="n">
        <v>23</v>
      </c>
      <c r="AL2270" t="n">
        <v>2</v>
      </c>
      <c r="AM2270" t="n">
        <v>3</v>
      </c>
      <c r="AN2270" t="n">
        <v>0</v>
      </c>
      <c r="AO2270" t="n">
        <v>0</v>
      </c>
      <c r="AP2270" t="inlineStr">
        <is>
          <t>No</t>
        </is>
      </c>
      <c r="AQ2270" t="inlineStr">
        <is>
          <t>No</t>
        </is>
      </c>
      <c r="AS2270">
        <f>HYPERLINK("https://creighton-primo.hosted.exlibrisgroup.com/primo-explore/search?tab=default_tab&amp;search_scope=EVERYTHING&amp;vid=01CRU&amp;lang=en_US&amp;offset=0&amp;query=any,contains,991002716939702656","Catalog Record")</f>
        <v/>
      </c>
      <c r="AT2270">
        <f>HYPERLINK("http://www.worldcat.org/oclc/411536","WorldCat Record")</f>
        <v/>
      </c>
      <c r="AU2270" t="inlineStr">
        <is>
          <t>1458474:eng</t>
        </is>
      </c>
      <c r="AV2270" t="inlineStr">
        <is>
          <t>411536</t>
        </is>
      </c>
      <c r="AW2270" t="inlineStr">
        <is>
          <t>991002716939702656</t>
        </is>
      </c>
      <c r="AX2270" t="inlineStr">
        <is>
          <t>991002716939702656</t>
        </is>
      </c>
      <c r="AY2270" t="inlineStr">
        <is>
          <t>2264949020002656</t>
        </is>
      </c>
      <c r="AZ2270" t="inlineStr">
        <is>
          <t>BOOK</t>
        </is>
      </c>
      <c r="BC2270" t="inlineStr">
        <is>
          <t>32285000874023</t>
        </is>
      </c>
      <c r="BD2270" t="inlineStr">
        <is>
          <t>893627269</t>
        </is>
      </c>
    </row>
    <row r="2271">
      <c r="A2271" t="inlineStr">
        <is>
          <t>No</t>
        </is>
      </c>
      <c r="B2271" t="inlineStr">
        <is>
          <t>BX4705.C2625 A25 2009</t>
        </is>
      </c>
      <c r="C2271" t="inlineStr">
        <is>
          <t>0                      BX 4705000C  2625               A  25          2009</t>
        </is>
      </c>
      <c r="D2271" t="inlineStr">
        <is>
          <t>Dom Helder Camara : essential writings / selected with an introduction by Francis McDonagh.</t>
        </is>
      </c>
      <c r="F2271" t="inlineStr">
        <is>
          <t>No</t>
        </is>
      </c>
      <c r="G2271" t="inlineStr">
        <is>
          <t>1</t>
        </is>
      </c>
      <c r="H2271" t="inlineStr">
        <is>
          <t>No</t>
        </is>
      </c>
      <c r="I2271" t="inlineStr">
        <is>
          <t>No</t>
        </is>
      </c>
      <c r="J2271" t="inlineStr">
        <is>
          <t>0</t>
        </is>
      </c>
      <c r="K2271" t="inlineStr">
        <is>
          <t>Câmara, Hélder, 1909-1999.</t>
        </is>
      </c>
      <c r="L2271" t="inlineStr">
        <is>
          <t>Maryknoll, N.Y. : Orbis Books, c2009.</t>
        </is>
      </c>
      <c r="M2271" t="inlineStr">
        <is>
          <t>2009</t>
        </is>
      </c>
      <c r="O2271" t="inlineStr">
        <is>
          <t>eng</t>
        </is>
      </c>
      <c r="P2271" t="inlineStr">
        <is>
          <t>nyu</t>
        </is>
      </c>
      <c r="Q2271" t="inlineStr">
        <is>
          <t>Modern spiritual masters series</t>
        </is>
      </c>
      <c r="R2271" t="inlineStr">
        <is>
          <t xml:space="preserve">BX </t>
        </is>
      </c>
      <c r="S2271" t="n">
        <v>1</v>
      </c>
      <c r="T2271" t="n">
        <v>1</v>
      </c>
      <c r="U2271" t="inlineStr">
        <is>
          <t>2010-03-03</t>
        </is>
      </c>
      <c r="V2271" t="inlineStr">
        <is>
          <t>2010-03-03</t>
        </is>
      </c>
      <c r="W2271" t="inlineStr">
        <is>
          <t>2010-03-03</t>
        </is>
      </c>
      <c r="X2271" t="inlineStr">
        <is>
          <t>2010-03-03</t>
        </is>
      </c>
      <c r="Y2271" t="n">
        <v>142</v>
      </c>
      <c r="Z2271" t="n">
        <v>109</v>
      </c>
      <c r="AA2271" t="n">
        <v>110</v>
      </c>
      <c r="AB2271" t="n">
        <v>1</v>
      </c>
      <c r="AC2271" t="n">
        <v>1</v>
      </c>
      <c r="AD2271" t="n">
        <v>9</v>
      </c>
      <c r="AE2271" t="n">
        <v>9</v>
      </c>
      <c r="AF2271" t="n">
        <v>3</v>
      </c>
      <c r="AG2271" t="n">
        <v>3</v>
      </c>
      <c r="AH2271" t="n">
        <v>3</v>
      </c>
      <c r="AI2271" t="n">
        <v>3</v>
      </c>
      <c r="AJ2271" t="n">
        <v>5</v>
      </c>
      <c r="AK2271" t="n">
        <v>5</v>
      </c>
      <c r="AL2271" t="n">
        <v>0</v>
      </c>
      <c r="AM2271" t="n">
        <v>0</v>
      </c>
      <c r="AN2271" t="n">
        <v>0</v>
      </c>
      <c r="AO2271" t="n">
        <v>0</v>
      </c>
      <c r="AP2271" t="inlineStr">
        <is>
          <t>No</t>
        </is>
      </c>
      <c r="AQ2271" t="inlineStr">
        <is>
          <t>Yes</t>
        </is>
      </c>
      <c r="AR2271">
        <f>HYPERLINK("http://catalog.hathitrust.org/Record/006814785","HathiTrust Record")</f>
        <v/>
      </c>
      <c r="AS2271">
        <f>HYPERLINK("https://creighton-primo.hosted.exlibrisgroup.com/primo-explore/search?tab=default_tab&amp;search_scope=EVERYTHING&amp;vid=01CRU&amp;lang=en_US&amp;offset=0&amp;query=any,contains,991005367129702656","Catalog Record")</f>
        <v/>
      </c>
      <c r="AT2271">
        <f>HYPERLINK("http://www.worldcat.org/oclc/276930408","WorldCat Record")</f>
        <v/>
      </c>
      <c r="AU2271" t="inlineStr">
        <is>
          <t>1059259347:eng</t>
        </is>
      </c>
      <c r="AV2271" t="inlineStr">
        <is>
          <t>276930408</t>
        </is>
      </c>
      <c r="AW2271" t="inlineStr">
        <is>
          <t>991005367129702656</t>
        </is>
      </c>
      <c r="AX2271" t="inlineStr">
        <is>
          <t>991005367129702656</t>
        </is>
      </c>
      <c r="AY2271" t="inlineStr">
        <is>
          <t>2255373720002656</t>
        </is>
      </c>
      <c r="AZ2271" t="inlineStr">
        <is>
          <t>BOOK</t>
        </is>
      </c>
      <c r="BB2271" t="inlineStr">
        <is>
          <t>9781570758232</t>
        </is>
      </c>
      <c r="BC2271" t="inlineStr">
        <is>
          <t>32285005576656</t>
        </is>
      </c>
      <c r="BD2271" t="inlineStr">
        <is>
          <t>893412753</t>
        </is>
      </c>
    </row>
    <row r="2272">
      <c r="A2272" t="inlineStr">
        <is>
          <t>No</t>
        </is>
      </c>
      <c r="B2272" t="inlineStr">
        <is>
          <t>BX4705.C2625 B7613 1970</t>
        </is>
      </c>
      <c r="C2272" t="inlineStr">
        <is>
          <t>0                      BX 4705000C  2625               B  7613        1970</t>
        </is>
      </c>
      <c r="D2272" t="inlineStr">
        <is>
          <t>Dom Helder Camara : the violence of a peacemaker / Translated from the French by Herma Briffault.</t>
        </is>
      </c>
      <c r="F2272" t="inlineStr">
        <is>
          <t>No</t>
        </is>
      </c>
      <c r="G2272" t="inlineStr">
        <is>
          <t>1</t>
        </is>
      </c>
      <c r="H2272" t="inlineStr">
        <is>
          <t>No</t>
        </is>
      </c>
      <c r="I2272" t="inlineStr">
        <is>
          <t>No</t>
        </is>
      </c>
      <c r="J2272" t="inlineStr">
        <is>
          <t>0</t>
        </is>
      </c>
      <c r="K2272" t="inlineStr">
        <is>
          <t>Broucker, José de.</t>
        </is>
      </c>
      <c r="L2272" t="inlineStr">
        <is>
          <t>Maryknoll, N.Y. : Orbis Books, [1970]</t>
        </is>
      </c>
      <c r="M2272" t="inlineStr">
        <is>
          <t>1970</t>
        </is>
      </c>
      <c r="O2272" t="inlineStr">
        <is>
          <t>eng</t>
        </is>
      </c>
      <c r="P2272" t="inlineStr">
        <is>
          <t>nyu</t>
        </is>
      </c>
      <c r="R2272" t="inlineStr">
        <is>
          <t xml:space="preserve">BX </t>
        </is>
      </c>
      <c r="S2272" t="n">
        <v>6</v>
      </c>
      <c r="T2272" t="n">
        <v>6</v>
      </c>
      <c r="U2272" t="inlineStr">
        <is>
          <t>2000-11-13</t>
        </is>
      </c>
      <c r="V2272" t="inlineStr">
        <is>
          <t>2000-11-13</t>
        </is>
      </c>
      <c r="W2272" t="inlineStr">
        <is>
          <t>1991-12-12</t>
        </is>
      </c>
      <c r="X2272" t="inlineStr">
        <is>
          <t>1991-12-12</t>
        </is>
      </c>
      <c r="Y2272" t="n">
        <v>556</v>
      </c>
      <c r="Z2272" t="n">
        <v>490</v>
      </c>
      <c r="AA2272" t="n">
        <v>492</v>
      </c>
      <c r="AB2272" t="n">
        <v>6</v>
      </c>
      <c r="AC2272" t="n">
        <v>6</v>
      </c>
      <c r="AD2272" t="n">
        <v>39</v>
      </c>
      <c r="AE2272" t="n">
        <v>39</v>
      </c>
      <c r="AF2272" t="n">
        <v>14</v>
      </c>
      <c r="AG2272" t="n">
        <v>14</v>
      </c>
      <c r="AH2272" t="n">
        <v>10</v>
      </c>
      <c r="AI2272" t="n">
        <v>10</v>
      </c>
      <c r="AJ2272" t="n">
        <v>22</v>
      </c>
      <c r="AK2272" t="n">
        <v>22</v>
      </c>
      <c r="AL2272" t="n">
        <v>4</v>
      </c>
      <c r="AM2272" t="n">
        <v>4</v>
      </c>
      <c r="AN2272" t="n">
        <v>0</v>
      </c>
      <c r="AO2272" t="n">
        <v>0</v>
      </c>
      <c r="AP2272" t="inlineStr">
        <is>
          <t>No</t>
        </is>
      </c>
      <c r="AQ2272" t="inlineStr">
        <is>
          <t>Yes</t>
        </is>
      </c>
      <c r="AR2272">
        <f>HYPERLINK("http://catalog.hathitrust.org/Record/001591853","HathiTrust Record")</f>
        <v/>
      </c>
      <c r="AS2272">
        <f>HYPERLINK("https://creighton-primo.hosted.exlibrisgroup.com/primo-explore/search?tab=default_tab&amp;search_scope=EVERYTHING&amp;vid=01CRU&amp;lang=en_US&amp;offset=0&amp;query=any,contains,991000612859702656","Catalog Record")</f>
        <v/>
      </c>
      <c r="AT2272">
        <f>HYPERLINK("http://www.worldcat.org/oclc/100820","WorldCat Record")</f>
        <v/>
      </c>
      <c r="AU2272" t="inlineStr">
        <is>
          <t>22986776:eng</t>
        </is>
      </c>
      <c r="AV2272" t="inlineStr">
        <is>
          <t>100820</t>
        </is>
      </c>
      <c r="AW2272" t="inlineStr">
        <is>
          <t>991000612859702656</t>
        </is>
      </c>
      <c r="AX2272" t="inlineStr">
        <is>
          <t>991000612859702656</t>
        </is>
      </c>
      <c r="AY2272" t="inlineStr">
        <is>
          <t>2258391180002656</t>
        </is>
      </c>
      <c r="AZ2272" t="inlineStr">
        <is>
          <t>BOOK</t>
        </is>
      </c>
      <c r="BC2272" t="inlineStr">
        <is>
          <t>32285000874049</t>
        </is>
      </c>
      <c r="BD2272" t="inlineStr">
        <is>
          <t>893255569</t>
        </is>
      </c>
    </row>
    <row r="2273">
      <c r="A2273" t="inlineStr">
        <is>
          <t>No</t>
        </is>
      </c>
      <c r="B2273" t="inlineStr">
        <is>
          <t>BX4705.C27 G8 1908</t>
        </is>
      </c>
      <c r="C2273" t="inlineStr">
        <is>
          <t>0                      BX 4705000C  27                 G  8           1908</t>
        </is>
      </c>
      <c r="D2273" t="inlineStr">
        <is>
          <t>Blessed Edmund Campion / by Louise Imogen Guiney.</t>
        </is>
      </c>
      <c r="F2273" t="inlineStr">
        <is>
          <t>No</t>
        </is>
      </c>
      <c r="G2273" t="inlineStr">
        <is>
          <t>1</t>
        </is>
      </c>
      <c r="H2273" t="inlineStr">
        <is>
          <t>No</t>
        </is>
      </c>
      <c r="I2273" t="inlineStr">
        <is>
          <t>No</t>
        </is>
      </c>
      <c r="J2273" t="inlineStr">
        <is>
          <t>0</t>
        </is>
      </c>
      <c r="K2273" t="inlineStr">
        <is>
          <t>Guiney, Louise Imogen, 1861-1920.</t>
        </is>
      </c>
      <c r="L2273" t="inlineStr">
        <is>
          <t>London : Macdonald and Evans, 1908.</t>
        </is>
      </c>
      <c r="M2273" t="inlineStr">
        <is>
          <t>1908</t>
        </is>
      </c>
      <c r="O2273" t="inlineStr">
        <is>
          <t>eng</t>
        </is>
      </c>
      <c r="P2273" t="inlineStr">
        <is>
          <t>enk</t>
        </is>
      </c>
      <c r="Q2273" t="inlineStr">
        <is>
          <t>The St. Nicholas series.</t>
        </is>
      </c>
      <c r="R2273" t="inlineStr">
        <is>
          <t xml:space="preserve">BX </t>
        </is>
      </c>
      <c r="S2273" t="n">
        <v>10</v>
      </c>
      <c r="T2273" t="n">
        <v>10</v>
      </c>
      <c r="U2273" t="inlineStr">
        <is>
          <t>2010-05-03</t>
        </is>
      </c>
      <c r="V2273" t="inlineStr">
        <is>
          <t>2010-05-03</t>
        </is>
      </c>
      <c r="W2273" t="inlineStr">
        <is>
          <t>1991-12-12</t>
        </is>
      </c>
      <c r="X2273" t="inlineStr">
        <is>
          <t>1991-12-12</t>
        </is>
      </c>
      <c r="Y2273" t="n">
        <v>29</v>
      </c>
      <c r="Z2273" t="n">
        <v>21</v>
      </c>
      <c r="AA2273" t="n">
        <v>133</v>
      </c>
      <c r="AB2273" t="n">
        <v>1</v>
      </c>
      <c r="AC2273" t="n">
        <v>4</v>
      </c>
      <c r="AD2273" t="n">
        <v>3</v>
      </c>
      <c r="AE2273" t="n">
        <v>20</v>
      </c>
      <c r="AF2273" t="n">
        <v>1</v>
      </c>
      <c r="AG2273" t="n">
        <v>5</v>
      </c>
      <c r="AH2273" t="n">
        <v>0</v>
      </c>
      <c r="AI2273" t="n">
        <v>5</v>
      </c>
      <c r="AJ2273" t="n">
        <v>2</v>
      </c>
      <c r="AK2273" t="n">
        <v>13</v>
      </c>
      <c r="AL2273" t="n">
        <v>0</v>
      </c>
      <c r="AM2273" t="n">
        <v>2</v>
      </c>
      <c r="AN2273" t="n">
        <v>0</v>
      </c>
      <c r="AO2273" t="n">
        <v>0</v>
      </c>
      <c r="AP2273" t="inlineStr">
        <is>
          <t>Yes</t>
        </is>
      </c>
      <c r="AQ2273" t="inlineStr">
        <is>
          <t>No</t>
        </is>
      </c>
      <c r="AR2273">
        <f>HYPERLINK("http://catalog.hathitrust.org/Record/001591857","HathiTrust Record")</f>
        <v/>
      </c>
      <c r="AS2273">
        <f>HYPERLINK("https://creighton-primo.hosted.exlibrisgroup.com/primo-explore/search?tab=default_tab&amp;search_scope=EVERYTHING&amp;vid=01CRU&amp;lang=en_US&amp;offset=0&amp;query=any,contains,991000061979702656","Catalog Record")</f>
        <v/>
      </c>
      <c r="AT2273">
        <f>HYPERLINK("http://www.worldcat.org/oclc/8737503","WorldCat Record")</f>
        <v/>
      </c>
      <c r="AU2273" t="inlineStr">
        <is>
          <t>2184835:eng</t>
        </is>
      </c>
      <c r="AV2273" t="inlineStr">
        <is>
          <t>8737503</t>
        </is>
      </c>
      <c r="AW2273" t="inlineStr">
        <is>
          <t>991000061979702656</t>
        </is>
      </c>
      <c r="AX2273" t="inlineStr">
        <is>
          <t>991000061979702656</t>
        </is>
      </c>
      <c r="AY2273" t="inlineStr">
        <is>
          <t>2256963930002656</t>
        </is>
      </c>
      <c r="AZ2273" t="inlineStr">
        <is>
          <t>BOOK</t>
        </is>
      </c>
      <c r="BC2273" t="inlineStr">
        <is>
          <t>32285000874056</t>
        </is>
      </c>
      <c r="BD2273" t="inlineStr">
        <is>
          <t>893601415</t>
        </is>
      </c>
    </row>
    <row r="2274">
      <c r="A2274" t="inlineStr">
        <is>
          <t>No</t>
        </is>
      </c>
      <c r="B2274" t="inlineStr">
        <is>
          <t>BX4705.C3144 A37 1985</t>
        </is>
      </c>
      <c r="C2274" t="inlineStr">
        <is>
          <t>0                      BX 4705000C  3144               A  37          1985</t>
        </is>
      </c>
      <c r="D2274" t="inlineStr">
        <is>
          <t>To be a revolutionary : an autobiography / J. Guadalupe Carney.</t>
        </is>
      </c>
      <c r="F2274" t="inlineStr">
        <is>
          <t>No</t>
        </is>
      </c>
      <c r="G2274" t="inlineStr">
        <is>
          <t>1</t>
        </is>
      </c>
      <c r="H2274" t="inlineStr">
        <is>
          <t>No</t>
        </is>
      </c>
      <c r="I2274" t="inlineStr">
        <is>
          <t>No</t>
        </is>
      </c>
      <c r="J2274" t="inlineStr">
        <is>
          <t>0</t>
        </is>
      </c>
      <c r="K2274" t="inlineStr">
        <is>
          <t>Carney, J. Guadalupe, 1924-</t>
        </is>
      </c>
      <c r="L2274" t="inlineStr">
        <is>
          <t>San Francisco : Harper &amp; Row, c1985.</t>
        </is>
      </c>
      <c r="M2274" t="inlineStr">
        <is>
          <t>1985</t>
        </is>
      </c>
      <c r="N2274" t="inlineStr">
        <is>
          <t>1st ed.</t>
        </is>
      </c>
      <c r="O2274" t="inlineStr">
        <is>
          <t>eng</t>
        </is>
      </c>
      <c r="P2274" t="inlineStr">
        <is>
          <t>cau</t>
        </is>
      </c>
      <c r="R2274" t="inlineStr">
        <is>
          <t xml:space="preserve">BX </t>
        </is>
      </c>
      <c r="S2274" t="n">
        <v>6</v>
      </c>
      <c r="T2274" t="n">
        <v>6</v>
      </c>
      <c r="U2274" t="inlineStr">
        <is>
          <t>2002-11-11</t>
        </is>
      </c>
      <c r="V2274" t="inlineStr">
        <is>
          <t>2002-11-11</t>
        </is>
      </c>
      <c r="W2274" t="inlineStr">
        <is>
          <t>1991-12-12</t>
        </is>
      </c>
      <c r="X2274" t="inlineStr">
        <is>
          <t>1991-12-12</t>
        </is>
      </c>
      <c r="Y2274" t="n">
        <v>548</v>
      </c>
      <c r="Z2274" t="n">
        <v>499</v>
      </c>
      <c r="AA2274" t="n">
        <v>525</v>
      </c>
      <c r="AB2274" t="n">
        <v>3</v>
      </c>
      <c r="AC2274" t="n">
        <v>3</v>
      </c>
      <c r="AD2274" t="n">
        <v>31</v>
      </c>
      <c r="AE2274" t="n">
        <v>33</v>
      </c>
      <c r="AF2274" t="n">
        <v>12</v>
      </c>
      <c r="AG2274" t="n">
        <v>13</v>
      </c>
      <c r="AH2274" t="n">
        <v>7</v>
      </c>
      <c r="AI2274" t="n">
        <v>8</v>
      </c>
      <c r="AJ2274" t="n">
        <v>20</v>
      </c>
      <c r="AK2274" t="n">
        <v>22</v>
      </c>
      <c r="AL2274" t="n">
        <v>1</v>
      </c>
      <c r="AM2274" t="n">
        <v>1</v>
      </c>
      <c r="AN2274" t="n">
        <v>0</v>
      </c>
      <c r="AO2274" t="n">
        <v>0</v>
      </c>
      <c r="AP2274" t="inlineStr">
        <is>
          <t>No</t>
        </is>
      </c>
      <c r="AQ2274" t="inlineStr">
        <is>
          <t>Yes</t>
        </is>
      </c>
      <c r="AR2274">
        <f>HYPERLINK("http://catalog.hathitrust.org/Record/000460124","HathiTrust Record")</f>
        <v/>
      </c>
      <c r="AS2274">
        <f>HYPERLINK("https://creighton-primo.hosted.exlibrisgroup.com/primo-explore/search?tab=default_tab&amp;search_scope=EVERYTHING&amp;vid=01CRU&amp;lang=en_US&amp;offset=0&amp;query=any,contains,991000553099702656","Catalog Record")</f>
        <v/>
      </c>
      <c r="AT2274">
        <f>HYPERLINK("http://www.worldcat.org/oclc/11548676","WorldCat Record")</f>
        <v/>
      </c>
      <c r="AU2274" t="inlineStr">
        <is>
          <t>4320823:eng</t>
        </is>
      </c>
      <c r="AV2274" t="inlineStr">
        <is>
          <t>11548676</t>
        </is>
      </c>
      <c r="AW2274" t="inlineStr">
        <is>
          <t>991000553099702656</t>
        </is>
      </c>
      <c r="AX2274" t="inlineStr">
        <is>
          <t>991000553099702656</t>
        </is>
      </c>
      <c r="AY2274" t="inlineStr">
        <is>
          <t>2259938070002656</t>
        </is>
      </c>
      <c r="AZ2274" t="inlineStr">
        <is>
          <t>BOOK</t>
        </is>
      </c>
      <c r="BB2274" t="inlineStr">
        <is>
          <t>9780060613198</t>
        </is>
      </c>
      <c r="BC2274" t="inlineStr">
        <is>
          <t>32285000874080</t>
        </is>
      </c>
      <c r="BD2274" t="inlineStr">
        <is>
          <t>893702225</t>
        </is>
      </c>
    </row>
    <row r="2275">
      <c r="A2275" t="inlineStr">
        <is>
          <t>No</t>
        </is>
      </c>
      <c r="B2275" t="inlineStr">
        <is>
          <t>BX4705.C33 A2 1976</t>
        </is>
      </c>
      <c r="C2275" t="inlineStr">
        <is>
          <t>0                      BX 4705000C  33                 A  2           1976</t>
        </is>
      </c>
      <c r="D2275" t="inlineStr">
        <is>
          <t>The John Carroll papers / Thomas O'Brien Hanley, editor ; under the auspices of the American Catholic Historical Association ; endorsed by the National Historical Publications and Records Commission.</t>
        </is>
      </c>
      <c r="E2275" t="inlineStr">
        <is>
          <t>V.1</t>
        </is>
      </c>
      <c r="F2275" t="inlineStr">
        <is>
          <t>Yes</t>
        </is>
      </c>
      <c r="G2275" t="inlineStr">
        <is>
          <t>1</t>
        </is>
      </c>
      <c r="H2275" t="inlineStr">
        <is>
          <t>No</t>
        </is>
      </c>
      <c r="I2275" t="inlineStr">
        <is>
          <t>No</t>
        </is>
      </c>
      <c r="J2275" t="inlineStr">
        <is>
          <t>0</t>
        </is>
      </c>
      <c r="K2275" t="inlineStr">
        <is>
          <t>Carroll, John, 1735-1815.</t>
        </is>
      </c>
      <c r="L2275" t="inlineStr">
        <is>
          <t>Notre Dame : University of Notre Dame Press, c1976.</t>
        </is>
      </c>
      <c r="M2275" t="inlineStr">
        <is>
          <t>1976</t>
        </is>
      </c>
      <c r="O2275" t="inlineStr">
        <is>
          <t>eng</t>
        </is>
      </c>
      <c r="P2275" t="inlineStr">
        <is>
          <t>inu</t>
        </is>
      </c>
      <c r="R2275" t="inlineStr">
        <is>
          <t xml:space="preserve">BX </t>
        </is>
      </c>
      <c r="S2275" t="n">
        <v>2</v>
      </c>
      <c r="T2275" t="n">
        <v>9</v>
      </c>
      <c r="V2275" t="inlineStr">
        <is>
          <t>1997-05-01</t>
        </is>
      </c>
      <c r="W2275" t="inlineStr">
        <is>
          <t>1991-12-12</t>
        </is>
      </c>
      <c r="X2275" t="inlineStr">
        <is>
          <t>1991-12-12</t>
        </is>
      </c>
      <c r="Y2275" t="n">
        <v>491</v>
      </c>
      <c r="Z2275" t="n">
        <v>444</v>
      </c>
      <c r="AA2275" t="n">
        <v>449</v>
      </c>
      <c r="AB2275" t="n">
        <v>2</v>
      </c>
      <c r="AC2275" t="n">
        <v>2</v>
      </c>
      <c r="AD2275" t="n">
        <v>32</v>
      </c>
      <c r="AE2275" t="n">
        <v>33</v>
      </c>
      <c r="AF2275" t="n">
        <v>11</v>
      </c>
      <c r="AG2275" t="n">
        <v>11</v>
      </c>
      <c r="AH2275" t="n">
        <v>8</v>
      </c>
      <c r="AI2275" t="n">
        <v>9</v>
      </c>
      <c r="AJ2275" t="n">
        <v>23</v>
      </c>
      <c r="AK2275" t="n">
        <v>24</v>
      </c>
      <c r="AL2275" t="n">
        <v>1</v>
      </c>
      <c r="AM2275" t="n">
        <v>1</v>
      </c>
      <c r="AN2275" t="n">
        <v>0</v>
      </c>
      <c r="AO2275" t="n">
        <v>0</v>
      </c>
      <c r="AP2275" t="inlineStr">
        <is>
          <t>No</t>
        </is>
      </c>
      <c r="AQ2275" t="inlineStr">
        <is>
          <t>Yes</t>
        </is>
      </c>
      <c r="AR2275">
        <f>HYPERLINK("http://catalog.hathitrust.org/Record/000692823","HathiTrust Record")</f>
        <v/>
      </c>
      <c r="AS2275">
        <f>HYPERLINK("https://creighton-primo.hosted.exlibrisgroup.com/primo-explore/search?tab=default_tab&amp;search_scope=EVERYTHING&amp;vid=01CRU&amp;lang=en_US&amp;offset=0&amp;query=any,contains,991003914049702656","Catalog Record")</f>
        <v/>
      </c>
      <c r="AT2275">
        <f>HYPERLINK("http://www.worldcat.org/oclc/1858106","WorldCat Record")</f>
        <v/>
      </c>
      <c r="AU2275" t="inlineStr">
        <is>
          <t>5090742885:eng</t>
        </is>
      </c>
      <c r="AV2275" t="inlineStr">
        <is>
          <t>1858106</t>
        </is>
      </c>
      <c r="AW2275" t="inlineStr">
        <is>
          <t>991003914049702656</t>
        </is>
      </c>
      <c r="AX2275" t="inlineStr">
        <is>
          <t>991003914049702656</t>
        </is>
      </c>
      <c r="AY2275" t="inlineStr">
        <is>
          <t>2266768330002656</t>
        </is>
      </c>
      <c r="AZ2275" t="inlineStr">
        <is>
          <t>BOOK</t>
        </is>
      </c>
      <c r="BB2275" t="inlineStr">
        <is>
          <t>9780268011864</t>
        </is>
      </c>
      <c r="BC2275" t="inlineStr">
        <is>
          <t>32285000874098</t>
        </is>
      </c>
      <c r="BD2275" t="inlineStr">
        <is>
          <t>893337125</t>
        </is>
      </c>
    </row>
    <row r="2276">
      <c r="A2276" t="inlineStr">
        <is>
          <t>No</t>
        </is>
      </c>
      <c r="B2276" t="inlineStr">
        <is>
          <t>BX4705.C33 A2 1976</t>
        </is>
      </c>
      <c r="C2276" t="inlineStr">
        <is>
          <t>0                      BX 4705000C  33                 A  2           1976</t>
        </is>
      </c>
      <c r="D2276" t="inlineStr">
        <is>
          <t>The John Carroll papers / Thomas O'Brien Hanley, editor ; under the auspices of the American Catholic Historical Association ; endorsed by the National Historical Publications and Records Commission.</t>
        </is>
      </c>
      <c r="E2276" t="inlineStr">
        <is>
          <t>V.2</t>
        </is>
      </c>
      <c r="F2276" t="inlineStr">
        <is>
          <t>Yes</t>
        </is>
      </c>
      <c r="G2276" t="inlineStr">
        <is>
          <t>1</t>
        </is>
      </c>
      <c r="H2276" t="inlineStr">
        <is>
          <t>No</t>
        </is>
      </c>
      <c r="I2276" t="inlineStr">
        <is>
          <t>No</t>
        </is>
      </c>
      <c r="J2276" t="inlineStr">
        <is>
          <t>0</t>
        </is>
      </c>
      <c r="K2276" t="inlineStr">
        <is>
          <t>Carroll, John, 1735-1815.</t>
        </is>
      </c>
      <c r="L2276" t="inlineStr">
        <is>
          <t>Notre Dame : University of Notre Dame Press, c1976.</t>
        </is>
      </c>
      <c r="M2276" t="inlineStr">
        <is>
          <t>1976</t>
        </is>
      </c>
      <c r="O2276" t="inlineStr">
        <is>
          <t>eng</t>
        </is>
      </c>
      <c r="P2276" t="inlineStr">
        <is>
          <t>inu</t>
        </is>
      </c>
      <c r="R2276" t="inlineStr">
        <is>
          <t xml:space="preserve">BX </t>
        </is>
      </c>
      <c r="S2276" t="n">
        <v>2</v>
      </c>
      <c r="T2276" t="n">
        <v>9</v>
      </c>
      <c r="V2276" t="inlineStr">
        <is>
          <t>1997-05-01</t>
        </is>
      </c>
      <c r="W2276" t="inlineStr">
        <is>
          <t>1991-12-12</t>
        </is>
      </c>
      <c r="X2276" t="inlineStr">
        <is>
          <t>1991-12-12</t>
        </is>
      </c>
      <c r="Y2276" t="n">
        <v>491</v>
      </c>
      <c r="Z2276" t="n">
        <v>444</v>
      </c>
      <c r="AA2276" t="n">
        <v>449</v>
      </c>
      <c r="AB2276" t="n">
        <v>2</v>
      </c>
      <c r="AC2276" t="n">
        <v>2</v>
      </c>
      <c r="AD2276" t="n">
        <v>32</v>
      </c>
      <c r="AE2276" t="n">
        <v>33</v>
      </c>
      <c r="AF2276" t="n">
        <v>11</v>
      </c>
      <c r="AG2276" t="n">
        <v>11</v>
      </c>
      <c r="AH2276" t="n">
        <v>8</v>
      </c>
      <c r="AI2276" t="n">
        <v>9</v>
      </c>
      <c r="AJ2276" t="n">
        <v>23</v>
      </c>
      <c r="AK2276" t="n">
        <v>24</v>
      </c>
      <c r="AL2276" t="n">
        <v>1</v>
      </c>
      <c r="AM2276" t="n">
        <v>1</v>
      </c>
      <c r="AN2276" t="n">
        <v>0</v>
      </c>
      <c r="AO2276" t="n">
        <v>0</v>
      </c>
      <c r="AP2276" t="inlineStr">
        <is>
          <t>No</t>
        </is>
      </c>
      <c r="AQ2276" t="inlineStr">
        <is>
          <t>Yes</t>
        </is>
      </c>
      <c r="AR2276">
        <f>HYPERLINK("http://catalog.hathitrust.org/Record/000692823","HathiTrust Record")</f>
        <v/>
      </c>
      <c r="AS2276">
        <f>HYPERLINK("https://creighton-primo.hosted.exlibrisgroup.com/primo-explore/search?tab=default_tab&amp;search_scope=EVERYTHING&amp;vid=01CRU&amp;lang=en_US&amp;offset=0&amp;query=any,contains,991003914049702656","Catalog Record")</f>
        <v/>
      </c>
      <c r="AT2276">
        <f>HYPERLINK("http://www.worldcat.org/oclc/1858106","WorldCat Record")</f>
        <v/>
      </c>
      <c r="AU2276" t="inlineStr">
        <is>
          <t>5090742885:eng</t>
        </is>
      </c>
      <c r="AV2276" t="inlineStr">
        <is>
          <t>1858106</t>
        </is>
      </c>
      <c r="AW2276" t="inlineStr">
        <is>
          <t>991003914049702656</t>
        </is>
      </c>
      <c r="AX2276" t="inlineStr">
        <is>
          <t>991003914049702656</t>
        </is>
      </c>
      <c r="AY2276" t="inlineStr">
        <is>
          <t>2266768330002656</t>
        </is>
      </c>
      <c r="AZ2276" t="inlineStr">
        <is>
          <t>BOOK</t>
        </is>
      </c>
      <c r="BB2276" t="inlineStr">
        <is>
          <t>9780268011864</t>
        </is>
      </c>
      <c r="BC2276" t="inlineStr">
        <is>
          <t>32285000874106</t>
        </is>
      </c>
      <c r="BD2276" t="inlineStr">
        <is>
          <t>893343240</t>
        </is>
      </c>
    </row>
    <row r="2277">
      <c r="A2277" t="inlineStr">
        <is>
          <t>No</t>
        </is>
      </c>
      <c r="B2277" t="inlineStr">
        <is>
          <t>BX4705.C33 A2 1976</t>
        </is>
      </c>
      <c r="C2277" t="inlineStr">
        <is>
          <t>0                      BX 4705000C  33                 A  2           1976</t>
        </is>
      </c>
      <c r="D2277" t="inlineStr">
        <is>
          <t>The John Carroll papers / Thomas O'Brien Hanley, editor ; under the auspices of the American Catholic Historical Association ; endorsed by the National Historical Publications and Records Commission.</t>
        </is>
      </c>
      <c r="E2277" t="inlineStr">
        <is>
          <t>V.3</t>
        </is>
      </c>
      <c r="F2277" t="inlineStr">
        <is>
          <t>Yes</t>
        </is>
      </c>
      <c r="G2277" t="inlineStr">
        <is>
          <t>1</t>
        </is>
      </c>
      <c r="H2277" t="inlineStr">
        <is>
          <t>No</t>
        </is>
      </c>
      <c r="I2277" t="inlineStr">
        <is>
          <t>No</t>
        </is>
      </c>
      <c r="J2277" t="inlineStr">
        <is>
          <t>0</t>
        </is>
      </c>
      <c r="K2277" t="inlineStr">
        <is>
          <t>Carroll, John, 1735-1815.</t>
        </is>
      </c>
      <c r="L2277" t="inlineStr">
        <is>
          <t>Notre Dame : University of Notre Dame Press, c1976.</t>
        </is>
      </c>
      <c r="M2277" t="inlineStr">
        <is>
          <t>1976</t>
        </is>
      </c>
      <c r="O2277" t="inlineStr">
        <is>
          <t>eng</t>
        </is>
      </c>
      <c r="P2277" t="inlineStr">
        <is>
          <t>inu</t>
        </is>
      </c>
      <c r="R2277" t="inlineStr">
        <is>
          <t xml:space="preserve">BX </t>
        </is>
      </c>
      <c r="S2277" t="n">
        <v>5</v>
      </c>
      <c r="T2277" t="n">
        <v>9</v>
      </c>
      <c r="U2277" t="inlineStr">
        <is>
          <t>1997-05-01</t>
        </is>
      </c>
      <c r="V2277" t="inlineStr">
        <is>
          <t>1997-05-01</t>
        </is>
      </c>
      <c r="W2277" t="inlineStr">
        <is>
          <t>1991-12-12</t>
        </is>
      </c>
      <c r="X2277" t="inlineStr">
        <is>
          <t>1991-12-12</t>
        </is>
      </c>
      <c r="Y2277" t="n">
        <v>491</v>
      </c>
      <c r="Z2277" t="n">
        <v>444</v>
      </c>
      <c r="AA2277" t="n">
        <v>449</v>
      </c>
      <c r="AB2277" t="n">
        <v>2</v>
      </c>
      <c r="AC2277" t="n">
        <v>2</v>
      </c>
      <c r="AD2277" t="n">
        <v>32</v>
      </c>
      <c r="AE2277" t="n">
        <v>33</v>
      </c>
      <c r="AF2277" t="n">
        <v>11</v>
      </c>
      <c r="AG2277" t="n">
        <v>11</v>
      </c>
      <c r="AH2277" t="n">
        <v>8</v>
      </c>
      <c r="AI2277" t="n">
        <v>9</v>
      </c>
      <c r="AJ2277" t="n">
        <v>23</v>
      </c>
      <c r="AK2277" t="n">
        <v>24</v>
      </c>
      <c r="AL2277" t="n">
        <v>1</v>
      </c>
      <c r="AM2277" t="n">
        <v>1</v>
      </c>
      <c r="AN2277" t="n">
        <v>0</v>
      </c>
      <c r="AO2277" t="n">
        <v>0</v>
      </c>
      <c r="AP2277" t="inlineStr">
        <is>
          <t>No</t>
        </is>
      </c>
      <c r="AQ2277" t="inlineStr">
        <is>
          <t>Yes</t>
        </is>
      </c>
      <c r="AR2277">
        <f>HYPERLINK("http://catalog.hathitrust.org/Record/000692823","HathiTrust Record")</f>
        <v/>
      </c>
      <c r="AS2277">
        <f>HYPERLINK("https://creighton-primo.hosted.exlibrisgroup.com/primo-explore/search?tab=default_tab&amp;search_scope=EVERYTHING&amp;vid=01CRU&amp;lang=en_US&amp;offset=0&amp;query=any,contains,991003914049702656","Catalog Record")</f>
        <v/>
      </c>
      <c r="AT2277">
        <f>HYPERLINK("http://www.worldcat.org/oclc/1858106","WorldCat Record")</f>
        <v/>
      </c>
      <c r="AU2277" t="inlineStr">
        <is>
          <t>5090742885:eng</t>
        </is>
      </c>
      <c r="AV2277" t="inlineStr">
        <is>
          <t>1858106</t>
        </is>
      </c>
      <c r="AW2277" t="inlineStr">
        <is>
          <t>991003914049702656</t>
        </is>
      </c>
      <c r="AX2277" t="inlineStr">
        <is>
          <t>991003914049702656</t>
        </is>
      </c>
      <c r="AY2277" t="inlineStr">
        <is>
          <t>2266768330002656</t>
        </is>
      </c>
      <c r="AZ2277" t="inlineStr">
        <is>
          <t>BOOK</t>
        </is>
      </c>
      <c r="BB2277" t="inlineStr">
        <is>
          <t>9780268011864</t>
        </is>
      </c>
      <c r="BC2277" t="inlineStr">
        <is>
          <t>32285000874114</t>
        </is>
      </c>
      <c r="BD2277" t="inlineStr">
        <is>
          <t>893337124</t>
        </is>
      </c>
    </row>
    <row r="2278">
      <c r="A2278" t="inlineStr">
        <is>
          <t>No</t>
        </is>
      </c>
      <c r="B2278" t="inlineStr">
        <is>
          <t>BX4705.C33 G8 1922</t>
        </is>
      </c>
      <c r="C2278" t="inlineStr">
        <is>
          <t>0                      BX 4705000C  33                 G  8           1922</t>
        </is>
      </c>
      <c r="D2278" t="inlineStr">
        <is>
          <t>The life and times of John Carroll : Archbishop of Baltimore, 1735-1815.</t>
        </is>
      </c>
      <c r="F2278" t="inlineStr">
        <is>
          <t>No</t>
        </is>
      </c>
      <c r="G2278" t="inlineStr">
        <is>
          <t>1</t>
        </is>
      </c>
      <c r="H2278" t="inlineStr">
        <is>
          <t>Yes</t>
        </is>
      </c>
      <c r="I2278" t="inlineStr">
        <is>
          <t>Yes</t>
        </is>
      </c>
      <c r="J2278" t="inlineStr">
        <is>
          <t>0</t>
        </is>
      </c>
      <c r="K2278" t="inlineStr">
        <is>
          <t>Guilday, Peter, 1884-1947.</t>
        </is>
      </c>
      <c r="L2278" t="inlineStr">
        <is>
          <t>New York : Encyclopedia Press, 1922.</t>
        </is>
      </c>
      <c r="M2278" t="inlineStr">
        <is>
          <t>1922</t>
        </is>
      </c>
      <c r="O2278" t="inlineStr">
        <is>
          <t>eng</t>
        </is>
      </c>
      <c r="P2278" t="inlineStr">
        <is>
          <t xml:space="preserve">xx </t>
        </is>
      </c>
      <c r="R2278" t="inlineStr">
        <is>
          <t xml:space="preserve">BX </t>
        </is>
      </c>
      <c r="S2278" t="n">
        <v>2</v>
      </c>
      <c r="T2278" t="n">
        <v>4</v>
      </c>
      <c r="U2278" t="inlineStr">
        <is>
          <t>2006-02-27</t>
        </is>
      </c>
      <c r="V2278" t="inlineStr">
        <is>
          <t>2006-02-27</t>
        </is>
      </c>
      <c r="W2278" t="inlineStr">
        <is>
          <t>1991-12-12</t>
        </is>
      </c>
      <c r="X2278" t="inlineStr">
        <is>
          <t>1991-12-12</t>
        </is>
      </c>
      <c r="Y2278" t="n">
        <v>182</v>
      </c>
      <c r="Z2278" t="n">
        <v>166</v>
      </c>
      <c r="AA2278" t="n">
        <v>396</v>
      </c>
      <c r="AB2278" t="n">
        <v>2</v>
      </c>
      <c r="AC2278" t="n">
        <v>5</v>
      </c>
      <c r="AD2278" t="n">
        <v>22</v>
      </c>
      <c r="AE2278" t="n">
        <v>37</v>
      </c>
      <c r="AF2278" t="n">
        <v>6</v>
      </c>
      <c r="AG2278" t="n">
        <v>14</v>
      </c>
      <c r="AH2278" t="n">
        <v>5</v>
      </c>
      <c r="AI2278" t="n">
        <v>8</v>
      </c>
      <c r="AJ2278" t="n">
        <v>16</v>
      </c>
      <c r="AK2278" t="n">
        <v>24</v>
      </c>
      <c r="AL2278" t="n">
        <v>1</v>
      </c>
      <c r="AM2278" t="n">
        <v>3</v>
      </c>
      <c r="AN2278" t="n">
        <v>0</v>
      </c>
      <c r="AO2278" t="n">
        <v>0</v>
      </c>
      <c r="AP2278" t="inlineStr">
        <is>
          <t>Yes</t>
        </is>
      </c>
      <c r="AQ2278" t="inlineStr">
        <is>
          <t>No</t>
        </is>
      </c>
      <c r="AR2278">
        <f>HYPERLINK("http://catalog.hathitrust.org/Record/007706673","HathiTrust Record")</f>
        <v/>
      </c>
      <c r="AS2278">
        <f>HYPERLINK("https://creighton-primo.hosted.exlibrisgroup.com/primo-explore/search?tab=default_tab&amp;search_scope=EVERYTHING&amp;vid=01CRU&amp;lang=en_US&amp;offset=0&amp;query=any,contains,991003590099702656","Catalog Record")</f>
        <v/>
      </c>
      <c r="AT2278">
        <f>HYPERLINK("http://www.worldcat.org/oclc/1172406","WorldCat Record")</f>
        <v/>
      </c>
      <c r="AU2278" t="inlineStr">
        <is>
          <t>146573444:eng</t>
        </is>
      </c>
      <c r="AV2278" t="inlineStr">
        <is>
          <t>1172406</t>
        </is>
      </c>
      <c r="AW2278" t="inlineStr">
        <is>
          <t>991003590099702656</t>
        </is>
      </c>
      <c r="AX2278" t="inlineStr">
        <is>
          <t>991003590099702656</t>
        </is>
      </c>
      <c r="AY2278" t="inlineStr">
        <is>
          <t>2266999170002656</t>
        </is>
      </c>
      <c r="AZ2278" t="inlineStr">
        <is>
          <t>BOOK</t>
        </is>
      </c>
      <c r="BC2278" t="inlineStr">
        <is>
          <t>32285000874122</t>
        </is>
      </c>
      <c r="BD2278" t="inlineStr">
        <is>
          <t>893512124</t>
        </is>
      </c>
    </row>
    <row r="2279">
      <c r="A2279" t="inlineStr">
        <is>
          <t>No</t>
        </is>
      </c>
      <c r="B2279" t="inlineStr">
        <is>
          <t>BX4705.C33 M4 1955</t>
        </is>
      </c>
      <c r="C2279" t="inlineStr">
        <is>
          <t>0                      BX 4705000C  33                 M  4           1955</t>
        </is>
      </c>
      <c r="D2279" t="inlineStr">
        <is>
          <t>John Carroll of Baltimore, founder of the American Catholic hierarchy.</t>
        </is>
      </c>
      <c r="F2279" t="inlineStr">
        <is>
          <t>No</t>
        </is>
      </c>
      <c r="G2279" t="inlineStr">
        <is>
          <t>1</t>
        </is>
      </c>
      <c r="H2279" t="inlineStr">
        <is>
          <t>No</t>
        </is>
      </c>
      <c r="I2279" t="inlineStr">
        <is>
          <t>No</t>
        </is>
      </c>
      <c r="J2279" t="inlineStr">
        <is>
          <t>0</t>
        </is>
      </c>
      <c r="K2279" t="inlineStr">
        <is>
          <t>Melville, Annabelle M. (Annabelle McConnell), 1910-</t>
        </is>
      </c>
      <c r="L2279" t="inlineStr">
        <is>
          <t>New York : Scribner, [1955]</t>
        </is>
      </c>
      <c r="M2279" t="inlineStr">
        <is>
          <t>1955</t>
        </is>
      </c>
      <c r="O2279" t="inlineStr">
        <is>
          <t>eng</t>
        </is>
      </c>
      <c r="P2279" t="inlineStr">
        <is>
          <t>nyu</t>
        </is>
      </c>
      <c r="R2279" t="inlineStr">
        <is>
          <t xml:space="preserve">BX </t>
        </is>
      </c>
      <c r="S2279" t="n">
        <v>4</v>
      </c>
      <c r="T2279" t="n">
        <v>4</v>
      </c>
      <c r="U2279" t="inlineStr">
        <is>
          <t>2010-02-08</t>
        </is>
      </c>
      <c r="V2279" t="inlineStr">
        <is>
          <t>2010-02-08</t>
        </is>
      </c>
      <c r="W2279" t="inlineStr">
        <is>
          <t>1991-12-12</t>
        </is>
      </c>
      <c r="X2279" t="inlineStr">
        <is>
          <t>1991-12-12</t>
        </is>
      </c>
      <c r="Y2279" t="n">
        <v>562</v>
      </c>
      <c r="Z2279" t="n">
        <v>531</v>
      </c>
      <c r="AA2279" t="n">
        <v>539</v>
      </c>
      <c r="AB2279" t="n">
        <v>6</v>
      </c>
      <c r="AC2279" t="n">
        <v>6</v>
      </c>
      <c r="AD2279" t="n">
        <v>35</v>
      </c>
      <c r="AE2279" t="n">
        <v>35</v>
      </c>
      <c r="AF2279" t="n">
        <v>11</v>
      </c>
      <c r="AG2279" t="n">
        <v>11</v>
      </c>
      <c r="AH2279" t="n">
        <v>9</v>
      </c>
      <c r="AI2279" t="n">
        <v>9</v>
      </c>
      <c r="AJ2279" t="n">
        <v>24</v>
      </c>
      <c r="AK2279" t="n">
        <v>24</v>
      </c>
      <c r="AL2279" t="n">
        <v>3</v>
      </c>
      <c r="AM2279" t="n">
        <v>3</v>
      </c>
      <c r="AN2279" t="n">
        <v>0</v>
      </c>
      <c r="AO2279" t="n">
        <v>0</v>
      </c>
      <c r="AP2279" t="inlineStr">
        <is>
          <t>No</t>
        </is>
      </c>
      <c r="AQ2279" t="inlineStr">
        <is>
          <t>Yes</t>
        </is>
      </c>
      <c r="AR2279">
        <f>HYPERLINK("http://catalog.hathitrust.org/Record/001591865","HathiTrust Record")</f>
        <v/>
      </c>
      <c r="AS2279">
        <f>HYPERLINK("https://creighton-primo.hosted.exlibrisgroup.com/primo-explore/search?tab=default_tab&amp;search_scope=EVERYTHING&amp;vid=01CRU&amp;lang=en_US&amp;offset=0&amp;query=any,contains,991003616009702656","Catalog Record")</f>
        <v/>
      </c>
      <c r="AT2279">
        <f>HYPERLINK("http://www.worldcat.org/oclc/1200312","WorldCat Record")</f>
        <v/>
      </c>
      <c r="AU2279" t="inlineStr">
        <is>
          <t>2082140:eng</t>
        </is>
      </c>
      <c r="AV2279" t="inlineStr">
        <is>
          <t>1200312</t>
        </is>
      </c>
      <c r="AW2279" t="inlineStr">
        <is>
          <t>991003616009702656</t>
        </is>
      </c>
      <c r="AX2279" t="inlineStr">
        <is>
          <t>991003616009702656</t>
        </is>
      </c>
      <c r="AY2279" t="inlineStr">
        <is>
          <t>2266162600002656</t>
        </is>
      </c>
      <c r="AZ2279" t="inlineStr">
        <is>
          <t>BOOK</t>
        </is>
      </c>
      <c r="BC2279" t="inlineStr">
        <is>
          <t>32285000874155</t>
        </is>
      </c>
      <c r="BD2279" t="inlineStr">
        <is>
          <t>893228232</t>
        </is>
      </c>
    </row>
    <row r="2280">
      <c r="A2280" t="inlineStr">
        <is>
          <t>No</t>
        </is>
      </c>
      <c r="B2280" t="inlineStr">
        <is>
          <t>BX4705.C334 R43 2008</t>
        </is>
      </c>
      <c r="C2280" t="inlineStr">
        <is>
          <t>0                      BX 4705000C  334                R  43          2008</t>
        </is>
      </c>
      <c r="D2280" t="inlineStr">
        <is>
          <t>The she-apostle : the extraordinary life and death of Luisa de Carvajal / Glyn Redworth.</t>
        </is>
      </c>
      <c r="F2280" t="inlineStr">
        <is>
          <t>No</t>
        </is>
      </c>
      <c r="G2280" t="inlineStr">
        <is>
          <t>1</t>
        </is>
      </c>
      <c r="H2280" t="inlineStr">
        <is>
          <t>No</t>
        </is>
      </c>
      <c r="I2280" t="inlineStr">
        <is>
          <t>No</t>
        </is>
      </c>
      <c r="J2280" t="inlineStr">
        <is>
          <t>0</t>
        </is>
      </c>
      <c r="K2280" t="inlineStr">
        <is>
          <t>Redworth, Glyn.</t>
        </is>
      </c>
      <c r="L2280" t="inlineStr">
        <is>
          <t>Oxford ; New York : Oxford University Press, 2008.</t>
        </is>
      </c>
      <c r="M2280" t="inlineStr">
        <is>
          <t>2008</t>
        </is>
      </c>
      <c r="O2280" t="inlineStr">
        <is>
          <t>eng</t>
        </is>
      </c>
      <c r="P2280" t="inlineStr">
        <is>
          <t>enk</t>
        </is>
      </c>
      <c r="R2280" t="inlineStr">
        <is>
          <t xml:space="preserve">BX </t>
        </is>
      </c>
      <c r="S2280" t="n">
        <v>1</v>
      </c>
      <c r="T2280" t="n">
        <v>1</v>
      </c>
      <c r="U2280" t="inlineStr">
        <is>
          <t>2009-03-04</t>
        </is>
      </c>
      <c r="V2280" t="inlineStr">
        <is>
          <t>2009-03-04</t>
        </is>
      </c>
      <c r="W2280" t="inlineStr">
        <is>
          <t>2009-03-04</t>
        </is>
      </c>
      <c r="X2280" t="inlineStr">
        <is>
          <t>2009-03-04</t>
        </is>
      </c>
      <c r="Y2280" t="n">
        <v>386</v>
      </c>
      <c r="Z2280" t="n">
        <v>295</v>
      </c>
      <c r="AA2280" t="n">
        <v>311</v>
      </c>
      <c r="AB2280" t="n">
        <v>1</v>
      </c>
      <c r="AC2280" t="n">
        <v>2</v>
      </c>
      <c r="AD2280" t="n">
        <v>20</v>
      </c>
      <c r="AE2280" t="n">
        <v>21</v>
      </c>
      <c r="AF2280" t="n">
        <v>9</v>
      </c>
      <c r="AG2280" t="n">
        <v>9</v>
      </c>
      <c r="AH2280" t="n">
        <v>5</v>
      </c>
      <c r="AI2280" t="n">
        <v>5</v>
      </c>
      <c r="AJ2280" t="n">
        <v>12</v>
      </c>
      <c r="AK2280" t="n">
        <v>12</v>
      </c>
      <c r="AL2280" t="n">
        <v>0</v>
      </c>
      <c r="AM2280" t="n">
        <v>1</v>
      </c>
      <c r="AN2280" t="n">
        <v>0</v>
      </c>
      <c r="AO2280" t="n">
        <v>0</v>
      </c>
      <c r="AP2280" t="inlineStr">
        <is>
          <t>No</t>
        </is>
      </c>
      <c r="AQ2280" t="inlineStr">
        <is>
          <t>No</t>
        </is>
      </c>
      <c r="AS2280">
        <f>HYPERLINK("https://creighton-primo.hosted.exlibrisgroup.com/primo-explore/search?tab=default_tab&amp;search_scope=EVERYTHING&amp;vid=01CRU&amp;lang=en_US&amp;offset=0&amp;query=any,contains,991005295679702656","Catalog Record")</f>
        <v/>
      </c>
      <c r="AT2280">
        <f>HYPERLINK("http://www.worldcat.org/oclc/213317726","WorldCat Record")</f>
        <v/>
      </c>
      <c r="AU2280" t="inlineStr">
        <is>
          <t>866269158:eng</t>
        </is>
      </c>
      <c r="AV2280" t="inlineStr">
        <is>
          <t>213317726</t>
        </is>
      </c>
      <c r="AW2280" t="inlineStr">
        <is>
          <t>991005295679702656</t>
        </is>
      </c>
      <c r="AX2280" t="inlineStr">
        <is>
          <t>991005295679702656</t>
        </is>
      </c>
      <c r="AY2280" t="inlineStr">
        <is>
          <t>2260993620002656</t>
        </is>
      </c>
      <c r="AZ2280" t="inlineStr">
        <is>
          <t>BOOK</t>
        </is>
      </c>
      <c r="BB2280" t="inlineStr">
        <is>
          <t>9780199533534</t>
        </is>
      </c>
      <c r="BC2280" t="inlineStr">
        <is>
          <t>32285005507347</t>
        </is>
      </c>
      <c r="BD2280" t="inlineStr">
        <is>
          <t>893896196</t>
        </is>
      </c>
    </row>
    <row r="2281">
      <c r="A2281" t="inlineStr">
        <is>
          <t>No</t>
        </is>
      </c>
      <c r="B2281" t="inlineStr">
        <is>
          <t>BX4705.C346 A3 1955</t>
        </is>
      </c>
      <c r="C2281" t="inlineStr">
        <is>
          <t>0                      BX 4705000C  346                A  3           1955</t>
        </is>
      </c>
      <c r="D2281" t="inlineStr">
        <is>
          <t>My beloved : the story of a Carmelite nun.</t>
        </is>
      </c>
      <c r="F2281" t="inlineStr">
        <is>
          <t>No</t>
        </is>
      </c>
      <c r="G2281" t="inlineStr">
        <is>
          <t>1</t>
        </is>
      </c>
      <c r="H2281" t="inlineStr">
        <is>
          <t>No</t>
        </is>
      </c>
      <c r="I2281" t="inlineStr">
        <is>
          <t>No</t>
        </is>
      </c>
      <c r="J2281" t="inlineStr">
        <is>
          <t>0</t>
        </is>
      </c>
      <c r="K2281" t="inlineStr">
        <is>
          <t>Catherine Thomas of Divine Providence.</t>
        </is>
      </c>
      <c r="L2281" t="inlineStr">
        <is>
          <t>New York : McGraw-Hill, [1955]</t>
        </is>
      </c>
      <c r="M2281" t="inlineStr">
        <is>
          <t>1955</t>
        </is>
      </c>
      <c r="O2281" t="inlineStr">
        <is>
          <t>eng</t>
        </is>
      </c>
      <c r="P2281" t="inlineStr">
        <is>
          <t>nyu</t>
        </is>
      </c>
      <c r="R2281" t="inlineStr">
        <is>
          <t xml:space="preserve">BX </t>
        </is>
      </c>
      <c r="S2281" t="n">
        <v>0</v>
      </c>
      <c r="T2281" t="n">
        <v>0</v>
      </c>
      <c r="U2281" t="inlineStr">
        <is>
          <t>2003-06-10</t>
        </is>
      </c>
      <c r="V2281" t="inlineStr">
        <is>
          <t>2003-06-10</t>
        </is>
      </c>
      <c r="W2281" t="inlineStr">
        <is>
          <t>1991-12-12</t>
        </is>
      </c>
      <c r="X2281" t="inlineStr">
        <is>
          <t>1991-12-12</t>
        </is>
      </c>
      <c r="Y2281" t="n">
        <v>237</v>
      </c>
      <c r="Z2281" t="n">
        <v>227</v>
      </c>
      <c r="AA2281" t="n">
        <v>245</v>
      </c>
      <c r="AB2281" t="n">
        <v>4</v>
      </c>
      <c r="AC2281" t="n">
        <v>4</v>
      </c>
      <c r="AD2281" t="n">
        <v>20</v>
      </c>
      <c r="AE2281" t="n">
        <v>21</v>
      </c>
      <c r="AF2281" t="n">
        <v>7</v>
      </c>
      <c r="AG2281" t="n">
        <v>7</v>
      </c>
      <c r="AH2281" t="n">
        <v>5</v>
      </c>
      <c r="AI2281" t="n">
        <v>5</v>
      </c>
      <c r="AJ2281" t="n">
        <v>14</v>
      </c>
      <c r="AK2281" t="n">
        <v>15</v>
      </c>
      <c r="AL2281" t="n">
        <v>1</v>
      </c>
      <c r="AM2281" t="n">
        <v>1</v>
      </c>
      <c r="AN2281" t="n">
        <v>0</v>
      </c>
      <c r="AO2281" t="n">
        <v>0</v>
      </c>
      <c r="AP2281" t="inlineStr">
        <is>
          <t>Yes</t>
        </is>
      </c>
      <c r="AQ2281" t="inlineStr">
        <is>
          <t>No</t>
        </is>
      </c>
      <c r="AR2281">
        <f>HYPERLINK("http://catalog.hathitrust.org/Record/001591870","HathiTrust Record")</f>
        <v/>
      </c>
      <c r="AS2281">
        <f>HYPERLINK("https://creighton-primo.hosted.exlibrisgroup.com/primo-explore/search?tab=default_tab&amp;search_scope=EVERYTHING&amp;vid=01CRU&amp;lang=en_US&amp;offset=0&amp;query=any,contains,991003771729702656","Catalog Record")</f>
        <v/>
      </c>
      <c r="AT2281">
        <f>HYPERLINK("http://www.worldcat.org/oclc/1472845","WorldCat Record")</f>
        <v/>
      </c>
      <c r="AU2281" t="inlineStr">
        <is>
          <t>68756704:eng</t>
        </is>
      </c>
      <c r="AV2281" t="inlineStr">
        <is>
          <t>1472845</t>
        </is>
      </c>
      <c r="AW2281" t="inlineStr">
        <is>
          <t>991003771729702656</t>
        </is>
      </c>
      <c r="AX2281" t="inlineStr">
        <is>
          <t>991003771729702656</t>
        </is>
      </c>
      <c r="AY2281" t="inlineStr">
        <is>
          <t>2256172760002656</t>
        </is>
      </c>
      <c r="AZ2281" t="inlineStr">
        <is>
          <t>BOOK</t>
        </is>
      </c>
      <c r="BC2281" t="inlineStr">
        <is>
          <t>32285000874189</t>
        </is>
      </c>
      <c r="BD2281" t="inlineStr">
        <is>
          <t>893336917</t>
        </is>
      </c>
    </row>
    <row r="2282">
      <c r="A2282" t="inlineStr">
        <is>
          <t>No</t>
        </is>
      </c>
      <c r="B2282" t="inlineStr">
        <is>
          <t>BX4705.C44 B8 1949</t>
        </is>
      </c>
      <c r="C2282" t="inlineStr">
        <is>
          <t>0                      BX 4705000C  44                 B  8           1949</t>
        </is>
      </c>
      <c r="D2282" t="inlineStr">
        <is>
          <t>Chaminade, apostle of Mary, founder of the Society of Mary.</t>
        </is>
      </c>
      <c r="F2282" t="inlineStr">
        <is>
          <t>No</t>
        </is>
      </c>
      <c r="G2282" t="inlineStr">
        <is>
          <t>1</t>
        </is>
      </c>
      <c r="H2282" t="inlineStr">
        <is>
          <t>No</t>
        </is>
      </c>
      <c r="I2282" t="inlineStr">
        <is>
          <t>No</t>
        </is>
      </c>
      <c r="J2282" t="inlineStr">
        <is>
          <t>0</t>
        </is>
      </c>
      <c r="K2282" t="inlineStr">
        <is>
          <t>Burton, Katherine, 1890-1969.</t>
        </is>
      </c>
      <c r="L2282" t="inlineStr">
        <is>
          <t>Milwaukee : Bruce Pub. Co., [1949]</t>
        </is>
      </c>
      <c r="M2282" t="inlineStr">
        <is>
          <t>1949</t>
        </is>
      </c>
      <c r="O2282" t="inlineStr">
        <is>
          <t>eng</t>
        </is>
      </c>
      <c r="P2282" t="inlineStr">
        <is>
          <t xml:space="preserve">xx </t>
        </is>
      </c>
      <c r="R2282" t="inlineStr">
        <is>
          <t xml:space="preserve">BX </t>
        </is>
      </c>
      <c r="S2282" t="n">
        <v>2</v>
      </c>
      <c r="T2282" t="n">
        <v>2</v>
      </c>
      <c r="U2282" t="inlineStr">
        <is>
          <t>2001-08-23</t>
        </is>
      </c>
      <c r="V2282" t="inlineStr">
        <is>
          <t>2001-08-23</t>
        </is>
      </c>
      <c r="W2282" t="inlineStr">
        <is>
          <t>1991-12-12</t>
        </is>
      </c>
      <c r="X2282" t="inlineStr">
        <is>
          <t>1991-12-12</t>
        </is>
      </c>
      <c r="Y2282" t="n">
        <v>153</v>
      </c>
      <c r="Z2282" t="n">
        <v>142</v>
      </c>
      <c r="AA2282" t="n">
        <v>143</v>
      </c>
      <c r="AB2282" t="n">
        <v>3</v>
      </c>
      <c r="AC2282" t="n">
        <v>3</v>
      </c>
      <c r="AD2282" t="n">
        <v>27</v>
      </c>
      <c r="AE2282" t="n">
        <v>27</v>
      </c>
      <c r="AF2282" t="n">
        <v>6</v>
      </c>
      <c r="AG2282" t="n">
        <v>6</v>
      </c>
      <c r="AH2282" t="n">
        <v>8</v>
      </c>
      <c r="AI2282" t="n">
        <v>8</v>
      </c>
      <c r="AJ2282" t="n">
        <v>22</v>
      </c>
      <c r="AK2282" t="n">
        <v>22</v>
      </c>
      <c r="AL2282" t="n">
        <v>0</v>
      </c>
      <c r="AM2282" t="n">
        <v>0</v>
      </c>
      <c r="AN2282" t="n">
        <v>0</v>
      </c>
      <c r="AO2282" t="n">
        <v>0</v>
      </c>
      <c r="AP2282" t="inlineStr">
        <is>
          <t>No</t>
        </is>
      </c>
      <c r="AQ2282" t="inlineStr">
        <is>
          <t>Yes</t>
        </is>
      </c>
      <c r="AR2282">
        <f>HYPERLINK("http://catalog.hathitrust.org/Record/008376245","HathiTrust Record")</f>
        <v/>
      </c>
      <c r="AS2282">
        <f>HYPERLINK("https://creighton-primo.hosted.exlibrisgroup.com/primo-explore/search?tab=default_tab&amp;search_scope=EVERYTHING&amp;vid=01CRU&amp;lang=en_US&amp;offset=0&amp;query=any,contains,991004241139702656","Catalog Record")</f>
        <v/>
      </c>
      <c r="AT2282">
        <f>HYPERLINK("http://www.worldcat.org/oclc/2785418","WorldCat Record")</f>
        <v/>
      </c>
      <c r="AU2282" t="inlineStr">
        <is>
          <t>6169131:eng</t>
        </is>
      </c>
      <c r="AV2282" t="inlineStr">
        <is>
          <t>2785418</t>
        </is>
      </c>
      <c r="AW2282" t="inlineStr">
        <is>
          <t>991004241139702656</t>
        </is>
      </c>
      <c r="AX2282" t="inlineStr">
        <is>
          <t>991004241139702656</t>
        </is>
      </c>
      <c r="AY2282" t="inlineStr">
        <is>
          <t>2272060850002656</t>
        </is>
      </c>
      <c r="AZ2282" t="inlineStr">
        <is>
          <t>BOOK</t>
        </is>
      </c>
      <c r="BC2282" t="inlineStr">
        <is>
          <t>32285000874270</t>
        </is>
      </c>
      <c r="BD2282" t="inlineStr">
        <is>
          <t>893436046</t>
        </is>
      </c>
    </row>
    <row r="2283">
      <c r="A2283" t="inlineStr">
        <is>
          <t>No</t>
        </is>
      </c>
      <c r="B2283" t="inlineStr">
        <is>
          <t>BX4705.C4743 L4813 1988</t>
        </is>
      </c>
      <c r="C2283" t="inlineStr">
        <is>
          <t>0                      BX 4705000C  4743               L  4813        1988</t>
        </is>
      </c>
      <c r="D2283" t="inlineStr">
        <is>
          <t>Inheriting power : the story of an exorcist / Giovanni Levi ; translated by Lydia G. Cochrane.</t>
        </is>
      </c>
      <c r="F2283" t="inlineStr">
        <is>
          <t>No</t>
        </is>
      </c>
      <c r="G2283" t="inlineStr">
        <is>
          <t>1</t>
        </is>
      </c>
      <c r="H2283" t="inlineStr">
        <is>
          <t>No</t>
        </is>
      </c>
      <c r="I2283" t="inlineStr">
        <is>
          <t>No</t>
        </is>
      </c>
      <c r="J2283" t="inlineStr">
        <is>
          <t>0</t>
        </is>
      </c>
      <c r="K2283" t="inlineStr">
        <is>
          <t>Levi, Giovanni, 1939-</t>
        </is>
      </c>
      <c r="L2283" t="inlineStr">
        <is>
          <t>Chicago : University of Chicago Press, 1988.</t>
        </is>
      </c>
      <c r="M2283" t="inlineStr">
        <is>
          <t>1988</t>
        </is>
      </c>
      <c r="O2283" t="inlineStr">
        <is>
          <t>eng</t>
        </is>
      </c>
      <c r="P2283" t="inlineStr">
        <is>
          <t>ilu</t>
        </is>
      </c>
      <c r="R2283" t="inlineStr">
        <is>
          <t xml:space="preserve">BX </t>
        </is>
      </c>
      <c r="S2283" t="n">
        <v>3</v>
      </c>
      <c r="T2283" t="n">
        <v>3</v>
      </c>
      <c r="U2283" t="inlineStr">
        <is>
          <t>1993-11-14</t>
        </is>
      </c>
      <c r="V2283" t="inlineStr">
        <is>
          <t>1993-11-14</t>
        </is>
      </c>
      <c r="W2283" t="inlineStr">
        <is>
          <t>1990-05-24</t>
        </is>
      </c>
      <c r="X2283" t="inlineStr">
        <is>
          <t>1990-05-24</t>
        </is>
      </c>
      <c r="Y2283" t="n">
        <v>351</v>
      </c>
      <c r="Z2283" t="n">
        <v>281</v>
      </c>
      <c r="AA2283" t="n">
        <v>286</v>
      </c>
      <c r="AB2283" t="n">
        <v>2</v>
      </c>
      <c r="AC2283" t="n">
        <v>2</v>
      </c>
      <c r="AD2283" t="n">
        <v>12</v>
      </c>
      <c r="AE2283" t="n">
        <v>12</v>
      </c>
      <c r="AF2283" t="n">
        <v>1</v>
      </c>
      <c r="AG2283" t="n">
        <v>1</v>
      </c>
      <c r="AH2283" t="n">
        <v>4</v>
      </c>
      <c r="AI2283" t="n">
        <v>4</v>
      </c>
      <c r="AJ2283" t="n">
        <v>9</v>
      </c>
      <c r="AK2283" t="n">
        <v>9</v>
      </c>
      <c r="AL2283" t="n">
        <v>1</v>
      </c>
      <c r="AM2283" t="n">
        <v>1</v>
      </c>
      <c r="AN2283" t="n">
        <v>0</v>
      </c>
      <c r="AO2283" t="n">
        <v>0</v>
      </c>
      <c r="AP2283" t="inlineStr">
        <is>
          <t>No</t>
        </is>
      </c>
      <c r="AQ2283" t="inlineStr">
        <is>
          <t>No</t>
        </is>
      </c>
      <c r="AS2283">
        <f>HYPERLINK("https://creighton-primo.hosted.exlibrisgroup.com/primo-explore/search?tab=default_tab&amp;search_scope=EVERYTHING&amp;vid=01CRU&amp;lang=en_US&amp;offset=0&amp;query=any,contains,991001168009702656","Catalog Record")</f>
        <v/>
      </c>
      <c r="AT2283">
        <f>HYPERLINK("http://www.worldcat.org/oclc/16925688","WorldCat Record")</f>
        <v/>
      </c>
      <c r="AU2283" t="inlineStr">
        <is>
          <t>1153608695:eng</t>
        </is>
      </c>
      <c r="AV2283" t="inlineStr">
        <is>
          <t>16925688</t>
        </is>
      </c>
      <c r="AW2283" t="inlineStr">
        <is>
          <t>991001168009702656</t>
        </is>
      </c>
      <c r="AX2283" t="inlineStr">
        <is>
          <t>991001168009702656</t>
        </is>
      </c>
      <c r="AY2283" t="inlineStr">
        <is>
          <t>2272478580002656</t>
        </is>
      </c>
      <c r="AZ2283" t="inlineStr">
        <is>
          <t>BOOK</t>
        </is>
      </c>
      <c r="BB2283" t="inlineStr">
        <is>
          <t>9780226474182</t>
        </is>
      </c>
      <c r="BC2283" t="inlineStr">
        <is>
          <t>32285000139419</t>
        </is>
      </c>
      <c r="BD2283" t="inlineStr">
        <is>
          <t>893327920</t>
        </is>
      </c>
    </row>
    <row r="2284">
      <c r="A2284" t="inlineStr">
        <is>
          <t>No</t>
        </is>
      </c>
      <c r="B2284" t="inlineStr">
        <is>
          <t>BX4705.C689 G83 1956</t>
        </is>
      </c>
      <c r="C2284" t="inlineStr">
        <is>
          <t>0                      BX 4705000C  689                G  83          1956</t>
        </is>
      </c>
      <c r="D2284" t="inlineStr">
        <is>
          <t>Perfect friend : the life of Blessed Claude La Colombière, S. J., 1641-1682 / Translated by William J. Young.</t>
        </is>
      </c>
      <c r="F2284" t="inlineStr">
        <is>
          <t>No</t>
        </is>
      </c>
      <c r="G2284" t="inlineStr">
        <is>
          <t>1</t>
        </is>
      </c>
      <c r="H2284" t="inlineStr">
        <is>
          <t>No</t>
        </is>
      </c>
      <c r="I2284" t="inlineStr">
        <is>
          <t>No</t>
        </is>
      </c>
      <c r="J2284" t="inlineStr">
        <is>
          <t>0</t>
        </is>
      </c>
      <c r="K2284" t="inlineStr">
        <is>
          <t>Guitton, Georges, 1877-1962.</t>
        </is>
      </c>
      <c r="L2284" t="inlineStr">
        <is>
          <t>St. Louis : B. Herder Book Co., [1956]</t>
        </is>
      </c>
      <c r="M2284" t="inlineStr">
        <is>
          <t>1956</t>
        </is>
      </c>
      <c r="O2284" t="inlineStr">
        <is>
          <t>eng</t>
        </is>
      </c>
      <c r="P2284" t="inlineStr">
        <is>
          <t xml:space="preserve">xx </t>
        </is>
      </c>
      <c r="R2284" t="inlineStr">
        <is>
          <t xml:space="preserve">BX </t>
        </is>
      </c>
      <c r="S2284" t="n">
        <v>5</v>
      </c>
      <c r="T2284" t="n">
        <v>5</v>
      </c>
      <c r="U2284" t="inlineStr">
        <is>
          <t>2005-02-24</t>
        </is>
      </c>
      <c r="V2284" t="inlineStr">
        <is>
          <t>2005-02-24</t>
        </is>
      </c>
      <c r="W2284" t="inlineStr">
        <is>
          <t>1991-12-12</t>
        </is>
      </c>
      <c r="X2284" t="inlineStr">
        <is>
          <t>1991-12-12</t>
        </is>
      </c>
      <c r="Y2284" t="n">
        <v>162</v>
      </c>
      <c r="Z2284" t="n">
        <v>140</v>
      </c>
      <c r="AA2284" t="n">
        <v>146</v>
      </c>
      <c r="AB2284" t="n">
        <v>4</v>
      </c>
      <c r="AC2284" t="n">
        <v>4</v>
      </c>
      <c r="AD2284" t="n">
        <v>30</v>
      </c>
      <c r="AE2284" t="n">
        <v>30</v>
      </c>
      <c r="AF2284" t="n">
        <v>9</v>
      </c>
      <c r="AG2284" t="n">
        <v>9</v>
      </c>
      <c r="AH2284" t="n">
        <v>7</v>
      </c>
      <c r="AI2284" t="n">
        <v>7</v>
      </c>
      <c r="AJ2284" t="n">
        <v>25</v>
      </c>
      <c r="AK2284" t="n">
        <v>25</v>
      </c>
      <c r="AL2284" t="n">
        <v>1</v>
      </c>
      <c r="AM2284" t="n">
        <v>1</v>
      </c>
      <c r="AN2284" t="n">
        <v>0</v>
      </c>
      <c r="AO2284" t="n">
        <v>0</v>
      </c>
      <c r="AP2284" t="inlineStr">
        <is>
          <t>No</t>
        </is>
      </c>
      <c r="AQ2284" t="inlineStr">
        <is>
          <t>Yes</t>
        </is>
      </c>
      <c r="AR2284">
        <f>HYPERLINK("http://catalog.hathitrust.org/Record/006662292","HathiTrust Record")</f>
        <v/>
      </c>
      <c r="AS2284">
        <f>HYPERLINK("https://creighton-primo.hosted.exlibrisgroup.com/primo-explore/search?tab=default_tab&amp;search_scope=EVERYTHING&amp;vid=01CRU&amp;lang=en_US&amp;offset=0&amp;query=any,contains,991003641479702656","Catalog Record")</f>
        <v/>
      </c>
      <c r="AT2284">
        <f>HYPERLINK("http://www.worldcat.org/oclc/1239342","WorldCat Record")</f>
        <v/>
      </c>
      <c r="AU2284" t="inlineStr">
        <is>
          <t>24721599:eng</t>
        </is>
      </c>
      <c r="AV2284" t="inlineStr">
        <is>
          <t>1239342</t>
        </is>
      </c>
      <c r="AW2284" t="inlineStr">
        <is>
          <t>991003641479702656</t>
        </is>
      </c>
      <c r="AX2284" t="inlineStr">
        <is>
          <t>991003641479702656</t>
        </is>
      </c>
      <c r="AY2284" t="inlineStr">
        <is>
          <t>2266182290002656</t>
        </is>
      </c>
      <c r="AZ2284" t="inlineStr">
        <is>
          <t>BOOK</t>
        </is>
      </c>
      <c r="BC2284" t="inlineStr">
        <is>
          <t>32285000874395</t>
        </is>
      </c>
      <c r="BD2284" t="inlineStr">
        <is>
          <t>893252573</t>
        </is>
      </c>
    </row>
    <row r="2285">
      <c r="A2285" t="inlineStr">
        <is>
          <t>No</t>
        </is>
      </c>
      <c r="B2285" t="inlineStr">
        <is>
          <t>BX4705.C689 M37 1922</t>
        </is>
      </c>
      <c r="C2285" t="inlineStr">
        <is>
          <t>0                      BX 4705000C  689                M  37          1922</t>
        </is>
      </c>
      <c r="D2285" t="inlineStr">
        <is>
          <t>A Jesuit at the English court : the life of the venerable Claude de la Colombière, S. J. / by Sister Mary Philip, of the Bar Convent, York ; with a preface by G. Bliss.</t>
        </is>
      </c>
      <c r="F2285" t="inlineStr">
        <is>
          <t>No</t>
        </is>
      </c>
      <c r="G2285" t="inlineStr">
        <is>
          <t>1</t>
        </is>
      </c>
      <c r="H2285" t="inlineStr">
        <is>
          <t>No</t>
        </is>
      </c>
      <c r="I2285" t="inlineStr">
        <is>
          <t>No</t>
        </is>
      </c>
      <c r="J2285" t="inlineStr">
        <is>
          <t>0</t>
        </is>
      </c>
      <c r="K2285" t="inlineStr">
        <is>
          <t>Mary Philip, Mother.</t>
        </is>
      </c>
      <c r="L2285" t="inlineStr">
        <is>
          <t>London : Burns, Oates &amp; Washbourne, 1922.</t>
        </is>
      </c>
      <c r="M2285" t="inlineStr">
        <is>
          <t>1922</t>
        </is>
      </c>
      <c r="O2285" t="inlineStr">
        <is>
          <t>eng</t>
        </is>
      </c>
      <c r="P2285" t="inlineStr">
        <is>
          <t>enk</t>
        </is>
      </c>
      <c r="R2285" t="inlineStr">
        <is>
          <t xml:space="preserve">BX </t>
        </is>
      </c>
      <c r="S2285" t="n">
        <v>4</v>
      </c>
      <c r="T2285" t="n">
        <v>4</v>
      </c>
      <c r="U2285" t="inlineStr">
        <is>
          <t>2005-02-24</t>
        </is>
      </c>
      <c r="V2285" t="inlineStr">
        <is>
          <t>2005-02-24</t>
        </is>
      </c>
      <c r="W2285" t="inlineStr">
        <is>
          <t>1991-12-12</t>
        </is>
      </c>
      <c r="X2285" t="inlineStr">
        <is>
          <t>1991-12-12</t>
        </is>
      </c>
      <c r="Y2285" t="n">
        <v>44</v>
      </c>
      <c r="Z2285" t="n">
        <v>37</v>
      </c>
      <c r="AA2285" t="n">
        <v>48</v>
      </c>
      <c r="AB2285" t="n">
        <v>1</v>
      </c>
      <c r="AC2285" t="n">
        <v>1</v>
      </c>
      <c r="AD2285" t="n">
        <v>13</v>
      </c>
      <c r="AE2285" t="n">
        <v>15</v>
      </c>
      <c r="AF2285" t="n">
        <v>2</v>
      </c>
      <c r="AG2285" t="n">
        <v>2</v>
      </c>
      <c r="AH2285" t="n">
        <v>1</v>
      </c>
      <c r="AI2285" t="n">
        <v>2</v>
      </c>
      <c r="AJ2285" t="n">
        <v>13</v>
      </c>
      <c r="AK2285" t="n">
        <v>15</v>
      </c>
      <c r="AL2285" t="n">
        <v>0</v>
      </c>
      <c r="AM2285" t="n">
        <v>0</v>
      </c>
      <c r="AN2285" t="n">
        <v>0</v>
      </c>
      <c r="AO2285" t="n">
        <v>0</v>
      </c>
      <c r="AP2285" t="inlineStr">
        <is>
          <t>No</t>
        </is>
      </c>
      <c r="AQ2285" t="inlineStr">
        <is>
          <t>No</t>
        </is>
      </c>
      <c r="AS2285">
        <f>HYPERLINK("https://creighton-primo.hosted.exlibrisgroup.com/primo-explore/search?tab=default_tab&amp;search_scope=EVERYTHING&amp;vid=01CRU&amp;lang=en_US&amp;offset=0&amp;query=any,contains,991004126999702656","Catalog Record")</f>
        <v/>
      </c>
      <c r="AT2285">
        <f>HYPERLINK("http://www.worldcat.org/oclc/2462416","WorldCat Record")</f>
        <v/>
      </c>
      <c r="AU2285" t="inlineStr">
        <is>
          <t>4965587:eng</t>
        </is>
      </c>
      <c r="AV2285" t="inlineStr">
        <is>
          <t>2462416</t>
        </is>
      </c>
      <c r="AW2285" t="inlineStr">
        <is>
          <t>991004126999702656</t>
        </is>
      </c>
      <c r="AX2285" t="inlineStr">
        <is>
          <t>991004126999702656</t>
        </is>
      </c>
      <c r="AY2285" t="inlineStr">
        <is>
          <t>2267642840002656</t>
        </is>
      </c>
      <c r="AZ2285" t="inlineStr">
        <is>
          <t>BOOK</t>
        </is>
      </c>
      <c r="BC2285" t="inlineStr">
        <is>
          <t>32285000874403</t>
        </is>
      </c>
      <c r="BD2285" t="inlineStr">
        <is>
          <t>893525686</t>
        </is>
      </c>
    </row>
    <row r="2286">
      <c r="A2286" t="inlineStr">
        <is>
          <t>No</t>
        </is>
      </c>
      <c r="B2286" t="inlineStr">
        <is>
          <t>BX4705.C689 S3 1883</t>
        </is>
      </c>
      <c r="C2286" t="inlineStr">
        <is>
          <t>0                      BX 4705000C  689                S  3           1883</t>
        </is>
      </c>
      <c r="D2286" t="inlineStr">
        <is>
          <t>The life of the venerable Father Claude de la Colombiere of the Society of Jesus / Abridged from the French life by Eugene Seguin.</t>
        </is>
      </c>
      <c r="F2286" t="inlineStr">
        <is>
          <t>No</t>
        </is>
      </c>
      <c r="G2286" t="inlineStr">
        <is>
          <t>1</t>
        </is>
      </c>
      <c r="H2286" t="inlineStr">
        <is>
          <t>No</t>
        </is>
      </c>
      <c r="I2286" t="inlineStr">
        <is>
          <t>No</t>
        </is>
      </c>
      <c r="J2286" t="inlineStr">
        <is>
          <t>0</t>
        </is>
      </c>
      <c r="K2286" t="inlineStr">
        <is>
          <t>Seguin, Eugene.</t>
        </is>
      </c>
      <c r="L2286" t="inlineStr">
        <is>
          <t>London : Burns and Oates, 1883.</t>
        </is>
      </c>
      <c r="M2286" t="inlineStr">
        <is>
          <t>1883</t>
        </is>
      </c>
      <c r="O2286" t="inlineStr">
        <is>
          <t>eng</t>
        </is>
      </c>
      <c r="P2286" t="inlineStr">
        <is>
          <t xml:space="preserve">xx </t>
        </is>
      </c>
      <c r="Q2286" t="inlineStr">
        <is>
          <t>Quarterly series</t>
        </is>
      </c>
      <c r="R2286" t="inlineStr">
        <is>
          <t xml:space="preserve">BX </t>
        </is>
      </c>
      <c r="S2286" t="n">
        <v>2</v>
      </c>
      <c r="T2286" t="n">
        <v>2</v>
      </c>
      <c r="U2286" t="inlineStr">
        <is>
          <t>2005-02-24</t>
        </is>
      </c>
      <c r="V2286" t="inlineStr">
        <is>
          <t>2005-02-24</t>
        </is>
      </c>
      <c r="W2286" t="inlineStr">
        <is>
          <t>1991-12-12</t>
        </is>
      </c>
      <c r="X2286" t="inlineStr">
        <is>
          <t>1991-12-12</t>
        </is>
      </c>
      <c r="Y2286" t="n">
        <v>24</v>
      </c>
      <c r="Z2286" t="n">
        <v>19</v>
      </c>
      <c r="AA2286" t="n">
        <v>20</v>
      </c>
      <c r="AB2286" t="n">
        <v>1</v>
      </c>
      <c r="AC2286" t="n">
        <v>1</v>
      </c>
      <c r="AD2286" t="n">
        <v>6</v>
      </c>
      <c r="AE2286" t="n">
        <v>6</v>
      </c>
      <c r="AF2286" t="n">
        <v>2</v>
      </c>
      <c r="AG2286" t="n">
        <v>2</v>
      </c>
      <c r="AH2286" t="n">
        <v>0</v>
      </c>
      <c r="AI2286" t="n">
        <v>0</v>
      </c>
      <c r="AJ2286" t="n">
        <v>6</v>
      </c>
      <c r="AK2286" t="n">
        <v>6</v>
      </c>
      <c r="AL2286" t="n">
        <v>0</v>
      </c>
      <c r="AM2286" t="n">
        <v>0</v>
      </c>
      <c r="AN2286" t="n">
        <v>0</v>
      </c>
      <c r="AO2286" t="n">
        <v>0</v>
      </c>
      <c r="AP2286" t="inlineStr">
        <is>
          <t>No</t>
        </is>
      </c>
      <c r="AQ2286" t="inlineStr">
        <is>
          <t>No</t>
        </is>
      </c>
      <c r="AS2286">
        <f>HYPERLINK("https://creighton-primo.hosted.exlibrisgroup.com/primo-explore/search?tab=default_tab&amp;search_scope=EVERYTHING&amp;vid=01CRU&amp;lang=en_US&amp;offset=0&amp;query=any,contains,991004423119702656","Catalog Record")</f>
        <v/>
      </c>
      <c r="AT2286">
        <f>HYPERLINK("http://www.worldcat.org/oclc/3390738","WorldCat Record")</f>
        <v/>
      </c>
      <c r="AU2286" t="inlineStr">
        <is>
          <t>1126601194:eng</t>
        </is>
      </c>
      <c r="AV2286" t="inlineStr">
        <is>
          <t>3390738</t>
        </is>
      </c>
      <c r="AW2286" t="inlineStr">
        <is>
          <t>991004423119702656</t>
        </is>
      </c>
      <c r="AX2286" t="inlineStr">
        <is>
          <t>991004423119702656</t>
        </is>
      </c>
      <c r="AY2286" t="inlineStr">
        <is>
          <t>2264432910002656</t>
        </is>
      </c>
      <c r="AZ2286" t="inlineStr">
        <is>
          <t>BOOK</t>
        </is>
      </c>
      <c r="BC2286" t="inlineStr">
        <is>
          <t>32285000874411</t>
        </is>
      </c>
      <c r="BD2286" t="inlineStr">
        <is>
          <t>893624722</t>
        </is>
      </c>
    </row>
    <row r="2287">
      <c r="A2287" t="inlineStr">
        <is>
          <t>No</t>
        </is>
      </c>
      <c r="B2287" t="inlineStr">
        <is>
          <t>BX4705.C689 Y4 1940</t>
        </is>
      </c>
      <c r="C2287" t="inlineStr">
        <is>
          <t>0                      BX 4705000C  689                Y  4           1940</t>
        </is>
      </c>
      <c r="D2287" t="inlineStr">
        <is>
          <t>These three hearts / [by] Margaret Yeo.</t>
        </is>
      </c>
      <c r="F2287" t="inlineStr">
        <is>
          <t>No</t>
        </is>
      </c>
      <c r="G2287" t="inlineStr">
        <is>
          <t>1</t>
        </is>
      </c>
      <c r="H2287" t="inlineStr">
        <is>
          <t>No</t>
        </is>
      </c>
      <c r="I2287" t="inlineStr">
        <is>
          <t>No</t>
        </is>
      </c>
      <c r="J2287" t="inlineStr">
        <is>
          <t>0</t>
        </is>
      </c>
      <c r="K2287" t="inlineStr">
        <is>
          <t>Yeo, Margaret, 1877-1941.</t>
        </is>
      </c>
      <c r="L2287" t="inlineStr">
        <is>
          <t>Milwaukee : The Bruce publishing company, [1940]</t>
        </is>
      </c>
      <c r="M2287" t="inlineStr">
        <is>
          <t>1940</t>
        </is>
      </c>
      <c r="O2287" t="inlineStr">
        <is>
          <t>eng</t>
        </is>
      </c>
      <c r="P2287" t="inlineStr">
        <is>
          <t xml:space="preserve">xx </t>
        </is>
      </c>
      <c r="Q2287" t="inlineStr">
        <is>
          <t>Science and culture series; Joseph Husslein ... general editor</t>
        </is>
      </c>
      <c r="R2287" t="inlineStr">
        <is>
          <t xml:space="preserve">BX </t>
        </is>
      </c>
      <c r="S2287" t="n">
        <v>4</v>
      </c>
      <c r="T2287" t="n">
        <v>4</v>
      </c>
      <c r="U2287" t="inlineStr">
        <is>
          <t>2005-02-24</t>
        </is>
      </c>
      <c r="V2287" t="inlineStr">
        <is>
          <t>2005-02-24</t>
        </is>
      </c>
      <c r="W2287" t="inlineStr">
        <is>
          <t>1990-04-17</t>
        </is>
      </c>
      <c r="X2287" t="inlineStr">
        <is>
          <t>1990-04-17</t>
        </is>
      </c>
      <c r="Y2287" t="n">
        <v>130</v>
      </c>
      <c r="Z2287" t="n">
        <v>119</v>
      </c>
      <c r="AA2287" t="n">
        <v>124</v>
      </c>
      <c r="AB2287" t="n">
        <v>5</v>
      </c>
      <c r="AC2287" t="n">
        <v>5</v>
      </c>
      <c r="AD2287" t="n">
        <v>26</v>
      </c>
      <c r="AE2287" t="n">
        <v>26</v>
      </c>
      <c r="AF2287" t="n">
        <v>4</v>
      </c>
      <c r="AG2287" t="n">
        <v>4</v>
      </c>
      <c r="AH2287" t="n">
        <v>7</v>
      </c>
      <c r="AI2287" t="n">
        <v>7</v>
      </c>
      <c r="AJ2287" t="n">
        <v>19</v>
      </c>
      <c r="AK2287" t="n">
        <v>19</v>
      </c>
      <c r="AL2287" t="n">
        <v>2</v>
      </c>
      <c r="AM2287" t="n">
        <v>2</v>
      </c>
      <c r="AN2287" t="n">
        <v>0</v>
      </c>
      <c r="AO2287" t="n">
        <v>0</v>
      </c>
      <c r="AP2287" t="inlineStr">
        <is>
          <t>No</t>
        </is>
      </c>
      <c r="AQ2287" t="inlineStr">
        <is>
          <t>No</t>
        </is>
      </c>
      <c r="AS2287">
        <f>HYPERLINK("https://creighton-primo.hosted.exlibrisgroup.com/primo-explore/search?tab=default_tab&amp;search_scope=EVERYTHING&amp;vid=01CRU&amp;lang=en_US&amp;offset=0&amp;query=any,contains,991002363329702656","Catalog Record")</f>
        <v/>
      </c>
      <c r="AT2287">
        <f>HYPERLINK("http://www.worldcat.org/oclc/326320","WorldCat Record")</f>
        <v/>
      </c>
      <c r="AU2287" t="inlineStr">
        <is>
          <t>8908670222:eng</t>
        </is>
      </c>
      <c r="AV2287" t="inlineStr">
        <is>
          <t>326320</t>
        </is>
      </c>
      <c r="AW2287" t="inlineStr">
        <is>
          <t>991002363329702656</t>
        </is>
      </c>
      <c r="AX2287" t="inlineStr">
        <is>
          <t>991002363329702656</t>
        </is>
      </c>
      <c r="AY2287" t="inlineStr">
        <is>
          <t>2272183240002656</t>
        </is>
      </c>
      <c r="AZ2287" t="inlineStr">
        <is>
          <t>BOOK</t>
        </is>
      </c>
      <c r="BC2287" t="inlineStr">
        <is>
          <t>32285000120781</t>
        </is>
      </c>
      <c r="BD2287" t="inlineStr">
        <is>
          <t>893421259</t>
        </is>
      </c>
    </row>
    <row r="2288">
      <c r="A2288" t="inlineStr">
        <is>
          <t>No</t>
        </is>
      </c>
      <c r="B2288" t="inlineStr">
        <is>
          <t>BX4705.C76 J64 1967</t>
        </is>
      </c>
      <c r="C2288" t="inlineStr">
        <is>
          <t>0                      BX 4705000C  76                 J  64          1967</t>
        </is>
      </c>
      <c r="D2288" t="inlineStr">
        <is>
          <t>Le Père Congar : la théologie au service du peuple de Dieu / Bibliographie générale du P. Y. Congar, par Pietro Quattrocchi.</t>
        </is>
      </c>
      <c r="F2288" t="inlineStr">
        <is>
          <t>No</t>
        </is>
      </c>
      <c r="G2288" t="inlineStr">
        <is>
          <t>1</t>
        </is>
      </c>
      <c r="H2288" t="inlineStr">
        <is>
          <t>No</t>
        </is>
      </c>
      <c r="I2288" t="inlineStr">
        <is>
          <t>No</t>
        </is>
      </c>
      <c r="J2288" t="inlineStr">
        <is>
          <t>0</t>
        </is>
      </c>
      <c r="K2288" t="inlineStr">
        <is>
          <t>Jossua, Jean-Pierre.</t>
        </is>
      </c>
      <c r="L2288" t="inlineStr">
        <is>
          <t>Paris : Éditions du Cerf, 1967.</t>
        </is>
      </c>
      <c r="M2288" t="inlineStr">
        <is>
          <t>1967</t>
        </is>
      </c>
      <c r="O2288" t="inlineStr">
        <is>
          <t>fre</t>
        </is>
      </c>
      <c r="P2288" t="inlineStr">
        <is>
          <t xml:space="preserve">fr </t>
        </is>
      </c>
      <c r="Q2288" t="inlineStr">
        <is>
          <t>Chrétiens de tous les temps ; 20</t>
        </is>
      </c>
      <c r="R2288" t="inlineStr">
        <is>
          <t xml:space="preserve">BX </t>
        </is>
      </c>
      <c r="S2288" t="n">
        <v>0</v>
      </c>
      <c r="T2288" t="n">
        <v>0</v>
      </c>
      <c r="U2288" t="inlineStr">
        <is>
          <t>2006-11-30</t>
        </is>
      </c>
      <c r="V2288" t="inlineStr">
        <is>
          <t>2006-11-30</t>
        </is>
      </c>
      <c r="W2288" t="inlineStr">
        <is>
          <t>1991-12-12</t>
        </is>
      </c>
      <c r="X2288" t="inlineStr">
        <is>
          <t>1991-12-12</t>
        </is>
      </c>
      <c r="Y2288" t="n">
        <v>61</v>
      </c>
      <c r="Z2288" t="n">
        <v>41</v>
      </c>
      <c r="AA2288" t="n">
        <v>42</v>
      </c>
      <c r="AB2288" t="n">
        <v>1</v>
      </c>
      <c r="AC2288" t="n">
        <v>1</v>
      </c>
      <c r="AD2288" t="n">
        <v>6</v>
      </c>
      <c r="AE2288" t="n">
        <v>6</v>
      </c>
      <c r="AF2288" t="n">
        <v>0</v>
      </c>
      <c r="AG2288" t="n">
        <v>0</v>
      </c>
      <c r="AH2288" t="n">
        <v>0</v>
      </c>
      <c r="AI2288" t="n">
        <v>0</v>
      </c>
      <c r="AJ2288" t="n">
        <v>6</v>
      </c>
      <c r="AK2288" t="n">
        <v>6</v>
      </c>
      <c r="AL2288" t="n">
        <v>0</v>
      </c>
      <c r="AM2288" t="n">
        <v>0</v>
      </c>
      <c r="AN2288" t="n">
        <v>0</v>
      </c>
      <c r="AO2288" t="n">
        <v>0</v>
      </c>
      <c r="AP2288" t="inlineStr">
        <is>
          <t>No</t>
        </is>
      </c>
      <c r="AQ2288" t="inlineStr">
        <is>
          <t>No</t>
        </is>
      </c>
      <c r="AS2288">
        <f>HYPERLINK("https://creighton-primo.hosted.exlibrisgroup.com/primo-explore/search?tab=default_tab&amp;search_scope=EVERYTHING&amp;vid=01CRU&amp;lang=en_US&amp;offset=0&amp;query=any,contains,991005165589702656","Catalog Record")</f>
        <v/>
      </c>
      <c r="AT2288">
        <f>HYPERLINK("http://www.worldcat.org/oclc/7833376","WorldCat Record")</f>
        <v/>
      </c>
      <c r="AU2288" t="inlineStr">
        <is>
          <t>355206008:fre</t>
        </is>
      </c>
      <c r="AV2288" t="inlineStr">
        <is>
          <t>7833376</t>
        </is>
      </c>
      <c r="AW2288" t="inlineStr">
        <is>
          <t>991005165589702656</t>
        </is>
      </c>
      <c r="AX2288" t="inlineStr">
        <is>
          <t>991005165589702656</t>
        </is>
      </c>
      <c r="AY2288" t="inlineStr">
        <is>
          <t>2257422840002656</t>
        </is>
      </c>
      <c r="AZ2288" t="inlineStr">
        <is>
          <t>BOOK</t>
        </is>
      </c>
      <c r="BC2288" t="inlineStr">
        <is>
          <t>32285000874429</t>
        </is>
      </c>
      <c r="BD2288" t="inlineStr">
        <is>
          <t>893242310</t>
        </is>
      </c>
    </row>
    <row r="2289">
      <c r="A2289" t="inlineStr">
        <is>
          <t>No</t>
        </is>
      </c>
      <c r="B2289" t="inlineStr">
        <is>
          <t>BX4705.C76 Y85 2005</t>
        </is>
      </c>
      <c r="C2289" t="inlineStr">
        <is>
          <t>0                      BX 4705000C  76                 Y  85          2005</t>
        </is>
      </c>
      <c r="D2289" t="inlineStr">
        <is>
          <t>Yves Congar : theologian of the church / edited by Gabriel Flynn.</t>
        </is>
      </c>
      <c r="F2289" t="inlineStr">
        <is>
          <t>No</t>
        </is>
      </c>
      <c r="G2289" t="inlineStr">
        <is>
          <t>1</t>
        </is>
      </c>
      <c r="H2289" t="inlineStr">
        <is>
          <t>No</t>
        </is>
      </c>
      <c r="I2289" t="inlineStr">
        <is>
          <t>No</t>
        </is>
      </c>
      <c r="J2289" t="inlineStr">
        <is>
          <t>0</t>
        </is>
      </c>
      <c r="L2289" t="inlineStr">
        <is>
          <t>Louvain ; Dudley, MA : Peeters ; [Grand Rapids, Mich.] : W.B. Eerdmans, 2005.</t>
        </is>
      </c>
      <c r="M2289" t="inlineStr">
        <is>
          <t>2005</t>
        </is>
      </c>
      <c r="O2289" t="inlineStr">
        <is>
          <t>eng</t>
        </is>
      </c>
      <c r="P2289" t="inlineStr">
        <is>
          <t xml:space="preserve">be </t>
        </is>
      </c>
      <c r="Q2289" t="inlineStr">
        <is>
          <t>Louvain theological &amp; pastoral monographs ; 32</t>
        </is>
      </c>
      <c r="R2289" t="inlineStr">
        <is>
          <t xml:space="preserve">BX </t>
        </is>
      </c>
      <c r="S2289" t="n">
        <v>1</v>
      </c>
      <c r="T2289" t="n">
        <v>1</v>
      </c>
      <c r="U2289" t="inlineStr">
        <is>
          <t>2008-08-11</t>
        </is>
      </c>
      <c r="V2289" t="inlineStr">
        <is>
          <t>2008-08-11</t>
        </is>
      </c>
      <c r="W2289" t="inlineStr">
        <is>
          <t>2008-08-11</t>
        </is>
      </c>
      <c r="X2289" t="inlineStr">
        <is>
          <t>2008-08-11</t>
        </is>
      </c>
      <c r="Y2289" t="n">
        <v>200</v>
      </c>
      <c r="Z2289" t="n">
        <v>153</v>
      </c>
      <c r="AA2289" t="n">
        <v>153</v>
      </c>
      <c r="AB2289" t="n">
        <v>1</v>
      </c>
      <c r="AC2289" t="n">
        <v>1</v>
      </c>
      <c r="AD2289" t="n">
        <v>18</v>
      </c>
      <c r="AE2289" t="n">
        <v>18</v>
      </c>
      <c r="AF2289" t="n">
        <v>7</v>
      </c>
      <c r="AG2289" t="n">
        <v>7</v>
      </c>
      <c r="AH2289" t="n">
        <v>5</v>
      </c>
      <c r="AI2289" t="n">
        <v>5</v>
      </c>
      <c r="AJ2289" t="n">
        <v>10</v>
      </c>
      <c r="AK2289" t="n">
        <v>10</v>
      </c>
      <c r="AL2289" t="n">
        <v>0</v>
      </c>
      <c r="AM2289" t="n">
        <v>0</v>
      </c>
      <c r="AN2289" t="n">
        <v>0</v>
      </c>
      <c r="AO2289" t="n">
        <v>0</v>
      </c>
      <c r="AP2289" t="inlineStr">
        <is>
          <t>No</t>
        </is>
      </c>
      <c r="AQ2289" t="inlineStr">
        <is>
          <t>No</t>
        </is>
      </c>
      <c r="AS2289">
        <f>HYPERLINK("https://creighton-primo.hosted.exlibrisgroup.com/primo-explore/search?tab=default_tab&amp;search_scope=EVERYTHING&amp;vid=01CRU&amp;lang=en_US&amp;offset=0&amp;query=any,contains,991004984099702656","Catalog Record")</f>
        <v/>
      </c>
      <c r="AT2289">
        <f>HYPERLINK("http://www.worldcat.org/oclc/61228764","WorldCat Record")</f>
        <v/>
      </c>
      <c r="AU2289" t="inlineStr">
        <is>
          <t>891911713:eng</t>
        </is>
      </c>
      <c r="AV2289" t="inlineStr">
        <is>
          <t>61228764</t>
        </is>
      </c>
      <c r="AW2289" t="inlineStr">
        <is>
          <t>991004984099702656</t>
        </is>
      </c>
      <c r="AX2289" t="inlineStr">
        <is>
          <t>991004984099702656</t>
        </is>
      </c>
      <c r="AY2289" t="inlineStr">
        <is>
          <t>2255127130002656</t>
        </is>
      </c>
      <c r="AZ2289" t="inlineStr">
        <is>
          <t>BOOK</t>
        </is>
      </c>
      <c r="BB2289" t="inlineStr">
        <is>
          <t>9780802863027</t>
        </is>
      </c>
      <c r="BC2289" t="inlineStr">
        <is>
          <t>32285005452809</t>
        </is>
      </c>
      <c r="BD2289" t="inlineStr">
        <is>
          <t>893883180</t>
        </is>
      </c>
    </row>
    <row r="2290">
      <c r="A2290" t="inlineStr">
        <is>
          <t>No</t>
        </is>
      </c>
      <c r="B2290" t="inlineStr">
        <is>
          <t>BX4705.C7795 C37 1998</t>
        </is>
      </c>
      <c r="C2290" t="inlineStr">
        <is>
          <t>0                      BX 4705000C  7795               C  37          1998</t>
        </is>
      </c>
      <c r="D2290" t="inlineStr">
        <is>
          <t>Father Charles E. Coughlin : surrogate spokesman for the disaffected / Ronald H. Carpenter; foreword by Wil Linkugel.</t>
        </is>
      </c>
      <c r="F2290" t="inlineStr">
        <is>
          <t>No</t>
        </is>
      </c>
      <c r="G2290" t="inlineStr">
        <is>
          <t>1</t>
        </is>
      </c>
      <c r="H2290" t="inlineStr">
        <is>
          <t>No</t>
        </is>
      </c>
      <c r="I2290" t="inlineStr">
        <is>
          <t>No</t>
        </is>
      </c>
      <c r="J2290" t="inlineStr">
        <is>
          <t>0</t>
        </is>
      </c>
      <c r="K2290" t="inlineStr">
        <is>
          <t>Carpenter, Ronald H., 1933-</t>
        </is>
      </c>
      <c r="L2290" t="inlineStr">
        <is>
          <t>Westport, Conn. : Greenwood Press, 1998.</t>
        </is>
      </c>
      <c r="M2290" t="inlineStr">
        <is>
          <t>1998</t>
        </is>
      </c>
      <c r="O2290" t="inlineStr">
        <is>
          <t>eng</t>
        </is>
      </c>
      <c r="P2290" t="inlineStr">
        <is>
          <t>ctu</t>
        </is>
      </c>
      <c r="Q2290" t="inlineStr">
        <is>
          <t>Great American orators, 0898-8277 ; no. 28</t>
        </is>
      </c>
      <c r="R2290" t="inlineStr">
        <is>
          <t xml:space="preserve">BX </t>
        </is>
      </c>
      <c r="S2290" t="n">
        <v>2</v>
      </c>
      <c r="T2290" t="n">
        <v>2</v>
      </c>
      <c r="U2290" t="inlineStr">
        <is>
          <t>2001-05-16</t>
        </is>
      </c>
      <c r="V2290" t="inlineStr">
        <is>
          <t>2001-05-16</t>
        </is>
      </c>
      <c r="W2290" t="inlineStr">
        <is>
          <t>2001-04-25</t>
        </is>
      </c>
      <c r="X2290" t="inlineStr">
        <is>
          <t>2001-04-25</t>
        </is>
      </c>
      <c r="Y2290" t="n">
        <v>231</v>
      </c>
      <c r="Z2290" t="n">
        <v>210</v>
      </c>
      <c r="AA2290" t="n">
        <v>210</v>
      </c>
      <c r="AB2290" t="n">
        <v>1</v>
      </c>
      <c r="AC2290" t="n">
        <v>1</v>
      </c>
      <c r="AD2290" t="n">
        <v>17</v>
      </c>
      <c r="AE2290" t="n">
        <v>17</v>
      </c>
      <c r="AF2290" t="n">
        <v>8</v>
      </c>
      <c r="AG2290" t="n">
        <v>8</v>
      </c>
      <c r="AH2290" t="n">
        <v>4</v>
      </c>
      <c r="AI2290" t="n">
        <v>4</v>
      </c>
      <c r="AJ2290" t="n">
        <v>10</v>
      </c>
      <c r="AK2290" t="n">
        <v>10</v>
      </c>
      <c r="AL2290" t="n">
        <v>0</v>
      </c>
      <c r="AM2290" t="n">
        <v>0</v>
      </c>
      <c r="AN2290" t="n">
        <v>0</v>
      </c>
      <c r="AO2290" t="n">
        <v>0</v>
      </c>
      <c r="AP2290" t="inlineStr">
        <is>
          <t>No</t>
        </is>
      </c>
      <c r="AQ2290" t="inlineStr">
        <is>
          <t>No</t>
        </is>
      </c>
      <c r="AS2290">
        <f>HYPERLINK("https://creighton-primo.hosted.exlibrisgroup.com/primo-explore/search?tab=default_tab&amp;search_scope=EVERYTHING&amp;vid=01CRU&amp;lang=en_US&amp;offset=0&amp;query=any,contains,991003505159702656","Catalog Record")</f>
        <v/>
      </c>
      <c r="AT2290">
        <f>HYPERLINK("http://www.worldcat.org/oclc/38162858","WorldCat Record")</f>
        <v/>
      </c>
      <c r="AU2290" t="inlineStr">
        <is>
          <t>10624547290:eng</t>
        </is>
      </c>
      <c r="AV2290" t="inlineStr">
        <is>
          <t>38162858</t>
        </is>
      </c>
      <c r="AW2290" t="inlineStr">
        <is>
          <t>991003505159702656</t>
        </is>
      </c>
      <c r="AX2290" t="inlineStr">
        <is>
          <t>991003505159702656</t>
        </is>
      </c>
      <c r="AY2290" t="inlineStr">
        <is>
          <t>2269253800002656</t>
        </is>
      </c>
      <c r="AZ2290" t="inlineStr">
        <is>
          <t>BOOK</t>
        </is>
      </c>
      <c r="BB2290" t="inlineStr">
        <is>
          <t>9780313290404</t>
        </is>
      </c>
      <c r="BC2290" t="inlineStr">
        <is>
          <t>32285004314984</t>
        </is>
      </c>
      <c r="BD2290" t="inlineStr">
        <is>
          <t>893499362</t>
        </is>
      </c>
    </row>
    <row r="2291">
      <c r="A2291" t="inlineStr">
        <is>
          <t>No</t>
        </is>
      </c>
      <c r="B2291" t="inlineStr">
        <is>
          <t>BX4705.C7795 M37</t>
        </is>
      </c>
      <c r="C2291" t="inlineStr">
        <is>
          <t>0                      BX 4705000C  7795               M  37</t>
        </is>
      </c>
      <c r="D2291" t="inlineStr">
        <is>
          <t>Father Coughlin : the tumultuous life of the priest of the Little Flower / Sheldon Marcus.</t>
        </is>
      </c>
      <c r="F2291" t="inlineStr">
        <is>
          <t>No</t>
        </is>
      </c>
      <c r="G2291" t="inlineStr">
        <is>
          <t>1</t>
        </is>
      </c>
      <c r="H2291" t="inlineStr">
        <is>
          <t>No</t>
        </is>
      </c>
      <c r="I2291" t="inlineStr">
        <is>
          <t>No</t>
        </is>
      </c>
      <c r="J2291" t="inlineStr">
        <is>
          <t>0</t>
        </is>
      </c>
      <c r="K2291" t="inlineStr">
        <is>
          <t>Marcus, Sheldon.</t>
        </is>
      </c>
      <c r="L2291" t="inlineStr">
        <is>
          <t>Boston : Little, Brown, [1973]</t>
        </is>
      </c>
      <c r="M2291" t="inlineStr">
        <is>
          <t>1973</t>
        </is>
      </c>
      <c r="N2291" t="inlineStr">
        <is>
          <t>[1st ed.]</t>
        </is>
      </c>
      <c r="O2291" t="inlineStr">
        <is>
          <t>eng</t>
        </is>
      </c>
      <c r="P2291" t="inlineStr">
        <is>
          <t>mau</t>
        </is>
      </c>
      <c r="R2291" t="inlineStr">
        <is>
          <t xml:space="preserve">BX </t>
        </is>
      </c>
      <c r="S2291" t="n">
        <v>5</v>
      </c>
      <c r="T2291" t="n">
        <v>5</v>
      </c>
      <c r="U2291" t="inlineStr">
        <is>
          <t>2004-07-08</t>
        </is>
      </c>
      <c r="V2291" t="inlineStr">
        <is>
          <t>2004-07-08</t>
        </is>
      </c>
      <c r="W2291" t="inlineStr">
        <is>
          <t>1991-12-12</t>
        </is>
      </c>
      <c r="X2291" t="inlineStr">
        <is>
          <t>1991-12-12</t>
        </is>
      </c>
      <c r="Y2291" t="n">
        <v>776</v>
      </c>
      <c r="Z2291" t="n">
        <v>720</v>
      </c>
      <c r="AA2291" t="n">
        <v>725</v>
      </c>
      <c r="AB2291" t="n">
        <v>5</v>
      </c>
      <c r="AC2291" t="n">
        <v>5</v>
      </c>
      <c r="AD2291" t="n">
        <v>36</v>
      </c>
      <c r="AE2291" t="n">
        <v>36</v>
      </c>
      <c r="AF2291" t="n">
        <v>14</v>
      </c>
      <c r="AG2291" t="n">
        <v>14</v>
      </c>
      <c r="AH2291" t="n">
        <v>8</v>
      </c>
      <c r="AI2291" t="n">
        <v>8</v>
      </c>
      <c r="AJ2291" t="n">
        <v>20</v>
      </c>
      <c r="AK2291" t="n">
        <v>20</v>
      </c>
      <c r="AL2291" t="n">
        <v>4</v>
      </c>
      <c r="AM2291" t="n">
        <v>4</v>
      </c>
      <c r="AN2291" t="n">
        <v>0</v>
      </c>
      <c r="AO2291" t="n">
        <v>0</v>
      </c>
      <c r="AP2291" t="inlineStr">
        <is>
          <t>No</t>
        </is>
      </c>
      <c r="AQ2291" t="inlineStr">
        <is>
          <t>No</t>
        </is>
      </c>
      <c r="AS2291">
        <f>HYPERLINK("https://creighton-primo.hosted.exlibrisgroup.com/primo-explore/search?tab=default_tab&amp;search_scope=EVERYTHING&amp;vid=01CRU&amp;lang=en_US&amp;offset=0&amp;query=any,contains,991002656599702656","Catalog Record")</f>
        <v/>
      </c>
      <c r="AT2291">
        <f>HYPERLINK("http://www.worldcat.org/oclc/389560","WorldCat Record")</f>
        <v/>
      </c>
      <c r="AU2291" t="inlineStr">
        <is>
          <t>1521341:eng</t>
        </is>
      </c>
      <c r="AV2291" t="inlineStr">
        <is>
          <t>389560</t>
        </is>
      </c>
      <c r="AW2291" t="inlineStr">
        <is>
          <t>991002656599702656</t>
        </is>
      </c>
      <c r="AX2291" t="inlineStr">
        <is>
          <t>991002656599702656</t>
        </is>
      </c>
      <c r="AY2291" t="inlineStr">
        <is>
          <t>2256590410002656</t>
        </is>
      </c>
      <c r="AZ2291" t="inlineStr">
        <is>
          <t>BOOK</t>
        </is>
      </c>
      <c r="BB2291" t="inlineStr">
        <is>
          <t>9780316545969</t>
        </is>
      </c>
      <c r="BC2291" t="inlineStr">
        <is>
          <t>32285000874460</t>
        </is>
      </c>
      <c r="BD2291" t="inlineStr">
        <is>
          <t>893698067</t>
        </is>
      </c>
    </row>
    <row r="2292">
      <c r="A2292" t="inlineStr">
        <is>
          <t>No</t>
        </is>
      </c>
      <c r="B2292" t="inlineStr">
        <is>
          <t>BX4705.C7834 F57 1978</t>
        </is>
      </c>
      <c r="C2292" t="inlineStr">
        <is>
          <t>0                      BX 4705000C  7834               F  57          1978</t>
        </is>
      </c>
      <c r="D2292" t="inlineStr">
        <is>
          <t>Mindanao mission : Archbishop Patrick Cronin's forty years in the Philippines / Edward Fischer.</t>
        </is>
      </c>
      <c r="F2292" t="inlineStr">
        <is>
          <t>No</t>
        </is>
      </c>
      <c r="G2292" t="inlineStr">
        <is>
          <t>1</t>
        </is>
      </c>
      <c r="H2292" t="inlineStr">
        <is>
          <t>No</t>
        </is>
      </c>
      <c r="I2292" t="inlineStr">
        <is>
          <t>No</t>
        </is>
      </c>
      <c r="J2292" t="inlineStr">
        <is>
          <t>0</t>
        </is>
      </c>
      <c r="K2292" t="inlineStr">
        <is>
          <t>Fischer, Edward.</t>
        </is>
      </c>
      <c r="L2292" t="inlineStr">
        <is>
          <t>New York : Seabury Press, 1978.</t>
        </is>
      </c>
      <c r="M2292" t="inlineStr">
        <is>
          <t>1978</t>
        </is>
      </c>
      <c r="O2292" t="inlineStr">
        <is>
          <t>eng</t>
        </is>
      </c>
      <c r="P2292" t="inlineStr">
        <is>
          <t>nyu</t>
        </is>
      </c>
      <c r="R2292" t="inlineStr">
        <is>
          <t xml:space="preserve">BX </t>
        </is>
      </c>
      <c r="S2292" t="n">
        <v>1</v>
      </c>
      <c r="T2292" t="n">
        <v>1</v>
      </c>
      <c r="U2292" t="inlineStr">
        <is>
          <t>2009-07-28</t>
        </is>
      </c>
      <c r="V2292" t="inlineStr">
        <is>
          <t>2009-07-28</t>
        </is>
      </c>
      <c r="W2292" t="inlineStr">
        <is>
          <t>2009-07-27</t>
        </is>
      </c>
      <c r="X2292" t="inlineStr">
        <is>
          <t>2009-07-27</t>
        </is>
      </c>
      <c r="Y2292" t="n">
        <v>164</v>
      </c>
      <c r="Z2292" t="n">
        <v>127</v>
      </c>
      <c r="AA2292" t="n">
        <v>128</v>
      </c>
      <c r="AB2292" t="n">
        <v>1</v>
      </c>
      <c r="AC2292" t="n">
        <v>1</v>
      </c>
      <c r="AD2292" t="n">
        <v>11</v>
      </c>
      <c r="AE2292" t="n">
        <v>11</v>
      </c>
      <c r="AF2292" t="n">
        <v>3</v>
      </c>
      <c r="AG2292" t="n">
        <v>3</v>
      </c>
      <c r="AH2292" t="n">
        <v>3</v>
      </c>
      <c r="AI2292" t="n">
        <v>3</v>
      </c>
      <c r="AJ2292" t="n">
        <v>7</v>
      </c>
      <c r="AK2292" t="n">
        <v>7</v>
      </c>
      <c r="AL2292" t="n">
        <v>0</v>
      </c>
      <c r="AM2292" t="n">
        <v>0</v>
      </c>
      <c r="AN2292" t="n">
        <v>0</v>
      </c>
      <c r="AO2292" t="n">
        <v>0</v>
      </c>
      <c r="AP2292" t="inlineStr">
        <is>
          <t>No</t>
        </is>
      </c>
      <c r="AQ2292" t="inlineStr">
        <is>
          <t>Yes</t>
        </is>
      </c>
      <c r="AR2292">
        <f>HYPERLINK("http://catalog.hathitrust.org/Record/000261957","HathiTrust Record")</f>
        <v/>
      </c>
      <c r="AS2292">
        <f>HYPERLINK("https://creighton-primo.hosted.exlibrisgroup.com/primo-explore/search?tab=default_tab&amp;search_scope=EVERYTHING&amp;vid=01CRU&amp;lang=en_US&amp;offset=0&amp;query=any,contains,991005328199702656","Catalog Record")</f>
        <v/>
      </c>
      <c r="AT2292">
        <f>HYPERLINK("http://www.worldcat.org/oclc/4194678","WorldCat Record")</f>
        <v/>
      </c>
      <c r="AU2292" t="inlineStr">
        <is>
          <t>235308792:eng</t>
        </is>
      </c>
      <c r="AV2292" t="inlineStr">
        <is>
          <t>4194678</t>
        </is>
      </c>
      <c r="AW2292" t="inlineStr">
        <is>
          <t>991005328199702656</t>
        </is>
      </c>
      <c r="AX2292" t="inlineStr">
        <is>
          <t>991005328199702656</t>
        </is>
      </c>
      <c r="AY2292" t="inlineStr">
        <is>
          <t>2262517030002656</t>
        </is>
      </c>
      <c r="AZ2292" t="inlineStr">
        <is>
          <t>BOOK</t>
        </is>
      </c>
      <c r="BB2292" t="inlineStr">
        <is>
          <t>9780816404124</t>
        </is>
      </c>
      <c r="BC2292" t="inlineStr">
        <is>
          <t>32285005539332</t>
        </is>
      </c>
      <c r="BD2292" t="inlineStr">
        <is>
          <t>893236656</t>
        </is>
      </c>
    </row>
    <row r="2293">
      <c r="A2293" t="inlineStr">
        <is>
          <t>No</t>
        </is>
      </c>
      <c r="B2293" t="inlineStr">
        <is>
          <t>BX4705.C7977 C7977 1986</t>
        </is>
      </c>
      <c r="C2293" t="inlineStr">
        <is>
          <t>0                      BX 4705000C  7977               C  7977        1986</t>
        </is>
      </c>
      <c r="D2293" t="inlineStr">
        <is>
          <t>Faithful dissent / Charles E. Curran.</t>
        </is>
      </c>
      <c r="F2293" t="inlineStr">
        <is>
          <t>No</t>
        </is>
      </c>
      <c r="G2293" t="inlineStr">
        <is>
          <t>1</t>
        </is>
      </c>
      <c r="H2293" t="inlineStr">
        <is>
          <t>No</t>
        </is>
      </c>
      <c r="I2293" t="inlineStr">
        <is>
          <t>No</t>
        </is>
      </c>
      <c r="J2293" t="inlineStr">
        <is>
          <t>0</t>
        </is>
      </c>
      <c r="K2293" t="inlineStr">
        <is>
          <t>Curran, Charles E.</t>
        </is>
      </c>
      <c r="L2293" t="inlineStr">
        <is>
          <t>Kansas City, MO : Sheed &amp; Ward, c1986.</t>
        </is>
      </c>
      <c r="M2293" t="inlineStr">
        <is>
          <t>1986</t>
        </is>
      </c>
      <c r="O2293" t="inlineStr">
        <is>
          <t>eng</t>
        </is>
      </c>
      <c r="P2293" t="inlineStr">
        <is>
          <t>mou</t>
        </is>
      </c>
      <c r="R2293" t="inlineStr">
        <is>
          <t xml:space="preserve">BX </t>
        </is>
      </c>
      <c r="S2293" t="n">
        <v>4</v>
      </c>
      <c r="T2293" t="n">
        <v>4</v>
      </c>
      <c r="U2293" t="inlineStr">
        <is>
          <t>2007-10-18</t>
        </is>
      </c>
      <c r="V2293" t="inlineStr">
        <is>
          <t>2007-10-18</t>
        </is>
      </c>
      <c r="W2293" t="inlineStr">
        <is>
          <t>1991-12-19</t>
        </is>
      </c>
      <c r="X2293" t="inlineStr">
        <is>
          <t>1991-12-19</t>
        </is>
      </c>
      <c r="Y2293" t="n">
        <v>516</v>
      </c>
      <c r="Z2293" t="n">
        <v>473</v>
      </c>
      <c r="AA2293" t="n">
        <v>476</v>
      </c>
      <c r="AB2293" t="n">
        <v>5</v>
      </c>
      <c r="AC2293" t="n">
        <v>5</v>
      </c>
      <c r="AD2293" t="n">
        <v>38</v>
      </c>
      <c r="AE2293" t="n">
        <v>38</v>
      </c>
      <c r="AF2293" t="n">
        <v>15</v>
      </c>
      <c r="AG2293" t="n">
        <v>15</v>
      </c>
      <c r="AH2293" t="n">
        <v>9</v>
      </c>
      <c r="AI2293" t="n">
        <v>9</v>
      </c>
      <c r="AJ2293" t="n">
        <v>22</v>
      </c>
      <c r="AK2293" t="n">
        <v>22</v>
      </c>
      <c r="AL2293" t="n">
        <v>3</v>
      </c>
      <c r="AM2293" t="n">
        <v>3</v>
      </c>
      <c r="AN2293" t="n">
        <v>0</v>
      </c>
      <c r="AO2293" t="n">
        <v>0</v>
      </c>
      <c r="AP2293" t="inlineStr">
        <is>
          <t>No</t>
        </is>
      </c>
      <c r="AQ2293" t="inlineStr">
        <is>
          <t>Yes</t>
        </is>
      </c>
      <c r="AR2293">
        <f>HYPERLINK("http://catalog.hathitrust.org/Record/000821580","HathiTrust Record")</f>
        <v/>
      </c>
      <c r="AS2293">
        <f>HYPERLINK("https://creighton-primo.hosted.exlibrisgroup.com/primo-explore/search?tab=default_tab&amp;search_scope=EVERYTHING&amp;vid=01CRU&amp;lang=en_US&amp;offset=0&amp;query=any,contains,991000966489702656","Catalog Record")</f>
        <v/>
      </c>
      <c r="AT2293">
        <f>HYPERLINK("http://www.worldcat.org/oclc/14916698","WorldCat Record")</f>
        <v/>
      </c>
      <c r="AU2293" t="inlineStr">
        <is>
          <t>8523309:eng</t>
        </is>
      </c>
      <c r="AV2293" t="inlineStr">
        <is>
          <t>14916698</t>
        </is>
      </c>
      <c r="AW2293" t="inlineStr">
        <is>
          <t>991000966489702656</t>
        </is>
      </c>
      <c r="AX2293" t="inlineStr">
        <is>
          <t>991000966489702656</t>
        </is>
      </c>
      <c r="AY2293" t="inlineStr">
        <is>
          <t>2265059300002656</t>
        </is>
      </c>
      <c r="AZ2293" t="inlineStr">
        <is>
          <t>BOOK</t>
        </is>
      </c>
      <c r="BB2293" t="inlineStr">
        <is>
          <t>9781556120459</t>
        </is>
      </c>
      <c r="BC2293" t="inlineStr">
        <is>
          <t>32285000907872</t>
        </is>
      </c>
      <c r="BD2293" t="inlineStr">
        <is>
          <t>893528542</t>
        </is>
      </c>
    </row>
    <row r="2294">
      <c r="A2294" t="inlineStr">
        <is>
          <t>No</t>
        </is>
      </c>
      <c r="B2294" t="inlineStr">
        <is>
          <t>BX4705.C7977 W57 1991</t>
        </is>
      </c>
      <c r="C2294" t="inlineStr">
        <is>
          <t>0                      BX 4705000C  7977               W  57          1991</t>
        </is>
      </c>
      <c r="D2294" t="inlineStr">
        <is>
          <t>Curran vs. Catholic University : a study of authority and freedom in conflict / by Larry Witham.</t>
        </is>
      </c>
      <c r="F2294" t="inlineStr">
        <is>
          <t>No</t>
        </is>
      </c>
      <c r="G2294" t="inlineStr">
        <is>
          <t>1</t>
        </is>
      </c>
      <c r="H2294" t="inlineStr">
        <is>
          <t>No</t>
        </is>
      </c>
      <c r="I2294" t="inlineStr">
        <is>
          <t>No</t>
        </is>
      </c>
      <c r="J2294" t="inlineStr">
        <is>
          <t>0</t>
        </is>
      </c>
      <c r="K2294" t="inlineStr">
        <is>
          <t>Witham, Larry, 1952-</t>
        </is>
      </c>
      <c r="L2294" t="inlineStr">
        <is>
          <t>Riverdale, Md. : Edington-Rand, c1991.</t>
        </is>
      </c>
      <c r="M2294" t="inlineStr">
        <is>
          <t>1991</t>
        </is>
      </c>
      <c r="O2294" t="inlineStr">
        <is>
          <t>eng</t>
        </is>
      </c>
      <c r="P2294" t="inlineStr">
        <is>
          <t>mdu</t>
        </is>
      </c>
      <c r="R2294" t="inlineStr">
        <is>
          <t xml:space="preserve">BX </t>
        </is>
      </c>
      <c r="S2294" t="n">
        <v>4</v>
      </c>
      <c r="T2294" t="n">
        <v>4</v>
      </c>
      <c r="U2294" t="inlineStr">
        <is>
          <t>2009-04-08</t>
        </is>
      </c>
      <c r="V2294" t="inlineStr">
        <is>
          <t>2009-04-08</t>
        </is>
      </c>
      <c r="W2294" t="inlineStr">
        <is>
          <t>1991-09-06</t>
        </is>
      </c>
      <c r="X2294" t="inlineStr">
        <is>
          <t>1991-09-06</t>
        </is>
      </c>
      <c r="Y2294" t="n">
        <v>247</v>
      </c>
      <c r="Z2294" t="n">
        <v>236</v>
      </c>
      <c r="AA2294" t="n">
        <v>242</v>
      </c>
      <c r="AB2294" t="n">
        <v>2</v>
      </c>
      <c r="AC2294" t="n">
        <v>2</v>
      </c>
      <c r="AD2294" t="n">
        <v>28</v>
      </c>
      <c r="AE2294" t="n">
        <v>28</v>
      </c>
      <c r="AF2294" t="n">
        <v>9</v>
      </c>
      <c r="AG2294" t="n">
        <v>9</v>
      </c>
      <c r="AH2294" t="n">
        <v>7</v>
      </c>
      <c r="AI2294" t="n">
        <v>7</v>
      </c>
      <c r="AJ2294" t="n">
        <v>20</v>
      </c>
      <c r="AK2294" t="n">
        <v>20</v>
      </c>
      <c r="AL2294" t="n">
        <v>1</v>
      </c>
      <c r="AM2294" t="n">
        <v>1</v>
      </c>
      <c r="AN2294" t="n">
        <v>0</v>
      </c>
      <c r="AO2294" t="n">
        <v>0</v>
      </c>
      <c r="AP2294" t="inlineStr">
        <is>
          <t>No</t>
        </is>
      </c>
      <c r="AQ2294" t="inlineStr">
        <is>
          <t>No</t>
        </is>
      </c>
      <c r="AS2294">
        <f>HYPERLINK("https://creighton-primo.hosted.exlibrisgroup.com/primo-explore/search?tab=default_tab&amp;search_scope=EVERYTHING&amp;vid=01CRU&amp;lang=en_US&amp;offset=0&amp;query=any,contains,991001860029702656","Catalog Record")</f>
        <v/>
      </c>
      <c r="AT2294">
        <f>HYPERLINK("http://www.worldcat.org/oclc/23368957","WorldCat Record")</f>
        <v/>
      </c>
      <c r="AU2294" t="inlineStr">
        <is>
          <t>197664552:eng</t>
        </is>
      </c>
      <c r="AV2294" t="inlineStr">
        <is>
          <t>23368957</t>
        </is>
      </c>
      <c r="AW2294" t="inlineStr">
        <is>
          <t>991001860029702656</t>
        </is>
      </c>
      <c r="AX2294" t="inlineStr">
        <is>
          <t>991001860029702656</t>
        </is>
      </c>
      <c r="AY2294" t="inlineStr">
        <is>
          <t>2272311280002656</t>
        </is>
      </c>
      <c r="AZ2294" t="inlineStr">
        <is>
          <t>BOOK</t>
        </is>
      </c>
      <c r="BB2294" t="inlineStr">
        <is>
          <t>9780962868504</t>
        </is>
      </c>
      <c r="BC2294" t="inlineStr">
        <is>
          <t>32285000702893</t>
        </is>
      </c>
      <c r="BD2294" t="inlineStr">
        <is>
          <t>893779145</t>
        </is>
      </c>
    </row>
    <row r="2295">
      <c r="A2295" t="inlineStr">
        <is>
          <t>No</t>
        </is>
      </c>
      <c r="B2295" t="inlineStr">
        <is>
          <t>BX4705.D295 D6 1948</t>
        </is>
      </c>
      <c r="C2295" t="inlineStr">
        <is>
          <t>0                      BX 4705000D  295                D  6           1948</t>
        </is>
      </c>
      <c r="D2295" t="inlineStr">
        <is>
          <t>Tumbleweed : a biography.</t>
        </is>
      </c>
      <c r="F2295" t="inlineStr">
        <is>
          <t>No</t>
        </is>
      </c>
      <c r="G2295" t="inlineStr">
        <is>
          <t>1</t>
        </is>
      </c>
      <c r="H2295" t="inlineStr">
        <is>
          <t>No</t>
        </is>
      </c>
      <c r="I2295" t="inlineStr">
        <is>
          <t>No</t>
        </is>
      </c>
      <c r="J2295" t="inlineStr">
        <is>
          <t>0</t>
        </is>
      </c>
      <c r="K2295" t="inlineStr">
        <is>
          <t>Doherty, Eddie, 1890-1975.</t>
        </is>
      </c>
      <c r="L2295" t="inlineStr">
        <is>
          <t>Milwaukee : Bruce Pub. Co., [1948]</t>
        </is>
      </c>
      <c r="M2295" t="inlineStr">
        <is>
          <t>1948</t>
        </is>
      </c>
      <c r="O2295" t="inlineStr">
        <is>
          <t>eng</t>
        </is>
      </c>
      <c r="P2295" t="inlineStr">
        <is>
          <t>wiu</t>
        </is>
      </c>
      <c r="R2295" t="inlineStr">
        <is>
          <t xml:space="preserve">BX </t>
        </is>
      </c>
      <c r="S2295" t="n">
        <v>6</v>
      </c>
      <c r="T2295" t="n">
        <v>6</v>
      </c>
      <c r="U2295" t="inlineStr">
        <is>
          <t>2007-04-16</t>
        </is>
      </c>
      <c r="V2295" t="inlineStr">
        <is>
          <t>2007-04-16</t>
        </is>
      </c>
      <c r="W2295" t="inlineStr">
        <is>
          <t>1991-12-19</t>
        </is>
      </c>
      <c r="X2295" t="inlineStr">
        <is>
          <t>1991-12-19</t>
        </is>
      </c>
      <c r="Y2295" t="n">
        <v>184</v>
      </c>
      <c r="Z2295" t="n">
        <v>179</v>
      </c>
      <c r="AA2295" t="n">
        <v>211</v>
      </c>
      <c r="AB2295" t="n">
        <v>3</v>
      </c>
      <c r="AC2295" t="n">
        <v>3</v>
      </c>
      <c r="AD2295" t="n">
        <v>27</v>
      </c>
      <c r="AE2295" t="n">
        <v>29</v>
      </c>
      <c r="AF2295" t="n">
        <v>10</v>
      </c>
      <c r="AG2295" t="n">
        <v>11</v>
      </c>
      <c r="AH2295" t="n">
        <v>5</v>
      </c>
      <c r="AI2295" t="n">
        <v>6</v>
      </c>
      <c r="AJ2295" t="n">
        <v>18</v>
      </c>
      <c r="AK2295" t="n">
        <v>19</v>
      </c>
      <c r="AL2295" t="n">
        <v>1</v>
      </c>
      <c r="AM2295" t="n">
        <v>1</v>
      </c>
      <c r="AN2295" t="n">
        <v>0</v>
      </c>
      <c r="AO2295" t="n">
        <v>0</v>
      </c>
      <c r="AP2295" t="inlineStr">
        <is>
          <t>Yes</t>
        </is>
      </c>
      <c r="AQ2295" t="inlineStr">
        <is>
          <t>No</t>
        </is>
      </c>
      <c r="AR2295">
        <f>HYPERLINK("http://catalog.hathitrust.org/Record/005922267","HathiTrust Record")</f>
        <v/>
      </c>
      <c r="AS2295">
        <f>HYPERLINK("https://creighton-primo.hosted.exlibrisgroup.com/primo-explore/search?tab=default_tab&amp;search_scope=EVERYTHING&amp;vid=01CRU&amp;lang=en_US&amp;offset=0&amp;query=any,contains,991003928839702656","Catalog Record")</f>
        <v/>
      </c>
      <c r="AT2295">
        <f>HYPERLINK("http://www.worldcat.org/oclc/1890935","WorldCat Record")</f>
        <v/>
      </c>
      <c r="AU2295" t="inlineStr">
        <is>
          <t>3362947:eng</t>
        </is>
      </c>
      <c r="AV2295" t="inlineStr">
        <is>
          <t>1890935</t>
        </is>
      </c>
      <c r="AW2295" t="inlineStr">
        <is>
          <t>991003928839702656</t>
        </is>
      </c>
      <c r="AX2295" t="inlineStr">
        <is>
          <t>991003928839702656</t>
        </is>
      </c>
      <c r="AY2295" t="inlineStr">
        <is>
          <t>2269037710002656</t>
        </is>
      </c>
      <c r="AZ2295" t="inlineStr">
        <is>
          <t>BOOK</t>
        </is>
      </c>
      <c r="BC2295" t="inlineStr">
        <is>
          <t>32285000907997</t>
        </is>
      </c>
      <c r="BD2295" t="inlineStr">
        <is>
          <t>893324732</t>
        </is>
      </c>
    </row>
    <row r="2296">
      <c r="A2296" t="inlineStr">
        <is>
          <t>No</t>
        </is>
      </c>
      <c r="B2296" t="inlineStr">
        <is>
          <t>BX4705.D4145 G57 1997</t>
        </is>
      </c>
      <c r="C2296" t="inlineStr">
        <is>
          <t>0                      BX 4705000D  4145               G  57          1997</t>
        </is>
      </c>
      <c r="D2296" t="inlineStr">
        <is>
          <t>Joey : the true story of one boy's relationship with God / Joseph F. Girzone.</t>
        </is>
      </c>
      <c r="F2296" t="inlineStr">
        <is>
          <t>No</t>
        </is>
      </c>
      <c r="G2296" t="inlineStr">
        <is>
          <t>1</t>
        </is>
      </c>
      <c r="H2296" t="inlineStr">
        <is>
          <t>No</t>
        </is>
      </c>
      <c r="I2296" t="inlineStr">
        <is>
          <t>No</t>
        </is>
      </c>
      <c r="J2296" t="inlineStr">
        <is>
          <t>0</t>
        </is>
      </c>
      <c r="K2296" t="inlineStr">
        <is>
          <t>Girzone, Joseph F.</t>
        </is>
      </c>
      <c r="L2296" t="inlineStr">
        <is>
          <t>New York : Doubleday, 1997.</t>
        </is>
      </c>
      <c r="M2296" t="inlineStr">
        <is>
          <t>1997</t>
        </is>
      </c>
      <c r="N2296" t="inlineStr">
        <is>
          <t>1st ed.</t>
        </is>
      </c>
      <c r="O2296" t="inlineStr">
        <is>
          <t>eng</t>
        </is>
      </c>
      <c r="P2296" t="inlineStr">
        <is>
          <t>nyu</t>
        </is>
      </c>
      <c r="R2296" t="inlineStr">
        <is>
          <t xml:space="preserve">BX </t>
        </is>
      </c>
      <c r="S2296" t="n">
        <v>1</v>
      </c>
      <c r="T2296" t="n">
        <v>1</v>
      </c>
      <c r="U2296" t="inlineStr">
        <is>
          <t>2007-06-08</t>
        </is>
      </c>
      <c r="V2296" t="inlineStr">
        <is>
          <t>2007-06-08</t>
        </is>
      </c>
      <c r="W2296" t="inlineStr">
        <is>
          <t>1997-07-14</t>
        </is>
      </c>
      <c r="X2296" t="inlineStr">
        <is>
          <t>1997-07-14</t>
        </is>
      </c>
      <c r="Y2296" t="n">
        <v>432</v>
      </c>
      <c r="Z2296" t="n">
        <v>418</v>
      </c>
      <c r="AA2296" t="n">
        <v>501</v>
      </c>
      <c r="AB2296" t="n">
        <v>2</v>
      </c>
      <c r="AC2296" t="n">
        <v>2</v>
      </c>
      <c r="AD2296" t="n">
        <v>3</v>
      </c>
      <c r="AE2296" t="n">
        <v>3</v>
      </c>
      <c r="AF2296" t="n">
        <v>2</v>
      </c>
      <c r="AG2296" t="n">
        <v>2</v>
      </c>
      <c r="AH2296" t="n">
        <v>0</v>
      </c>
      <c r="AI2296" t="n">
        <v>0</v>
      </c>
      <c r="AJ2296" t="n">
        <v>2</v>
      </c>
      <c r="AK2296" t="n">
        <v>2</v>
      </c>
      <c r="AL2296" t="n">
        <v>0</v>
      </c>
      <c r="AM2296" t="n">
        <v>0</v>
      </c>
      <c r="AN2296" t="n">
        <v>0</v>
      </c>
      <c r="AO2296" t="n">
        <v>0</v>
      </c>
      <c r="AP2296" t="inlineStr">
        <is>
          <t>No</t>
        </is>
      </c>
      <c r="AQ2296" t="inlineStr">
        <is>
          <t>No</t>
        </is>
      </c>
      <c r="AS2296">
        <f>HYPERLINK("https://creighton-primo.hosted.exlibrisgroup.com/primo-explore/search?tab=default_tab&amp;search_scope=EVERYTHING&amp;vid=01CRU&amp;lang=en_US&amp;offset=0&amp;query=any,contains,991002776049702656","Catalog Record")</f>
        <v/>
      </c>
      <c r="AT2296">
        <f>HYPERLINK("http://www.worldcat.org/oclc/36458000","WorldCat Record")</f>
        <v/>
      </c>
      <c r="AU2296" t="inlineStr">
        <is>
          <t>793989910:eng</t>
        </is>
      </c>
      <c r="AV2296" t="inlineStr">
        <is>
          <t>36458000</t>
        </is>
      </c>
      <c r="AW2296" t="inlineStr">
        <is>
          <t>991002776049702656</t>
        </is>
      </c>
      <c r="AX2296" t="inlineStr">
        <is>
          <t>991002776049702656</t>
        </is>
      </c>
      <c r="AY2296" t="inlineStr">
        <is>
          <t>2267402330002656</t>
        </is>
      </c>
      <c r="AZ2296" t="inlineStr">
        <is>
          <t>BOOK</t>
        </is>
      </c>
      <c r="BB2296" t="inlineStr">
        <is>
          <t>9780385482622</t>
        </is>
      </c>
      <c r="BC2296" t="inlineStr">
        <is>
          <t>32285002882073</t>
        </is>
      </c>
      <c r="BD2296" t="inlineStr">
        <is>
          <t>893415635</t>
        </is>
      </c>
    </row>
    <row r="2297">
      <c r="A2297" t="inlineStr">
        <is>
          <t>No</t>
        </is>
      </c>
      <c r="B2297" t="inlineStr">
        <is>
          <t>BX4705.D515 H84 1991</t>
        </is>
      </c>
      <c r="C2297" t="inlineStr">
        <is>
          <t>0                      BX 4705000D  515                H  84          1991</t>
        </is>
      </c>
      <c r="D2297" t="inlineStr">
        <is>
          <t>The monk's tale : a biography of Godfrey Diekmann, O.S.B. / Kathleen Hughes.</t>
        </is>
      </c>
      <c r="F2297" t="inlineStr">
        <is>
          <t>No</t>
        </is>
      </c>
      <c r="G2297" t="inlineStr">
        <is>
          <t>1</t>
        </is>
      </c>
      <c r="H2297" t="inlineStr">
        <is>
          <t>No</t>
        </is>
      </c>
      <c r="I2297" t="inlineStr">
        <is>
          <t>No</t>
        </is>
      </c>
      <c r="J2297" t="inlineStr">
        <is>
          <t>0</t>
        </is>
      </c>
      <c r="K2297" t="inlineStr">
        <is>
          <t>Hughes, Kathleen, 1942-</t>
        </is>
      </c>
      <c r="L2297" t="inlineStr">
        <is>
          <t>Collegeville, Minn. : Liturgical Press, c1991.</t>
        </is>
      </c>
      <c r="M2297" t="inlineStr">
        <is>
          <t>1991</t>
        </is>
      </c>
      <c r="O2297" t="inlineStr">
        <is>
          <t>eng</t>
        </is>
      </c>
      <c r="P2297" t="inlineStr">
        <is>
          <t>mnu</t>
        </is>
      </c>
      <c r="R2297" t="inlineStr">
        <is>
          <t xml:space="preserve">BX </t>
        </is>
      </c>
      <c r="S2297" t="n">
        <v>0</v>
      </c>
      <c r="T2297" t="n">
        <v>0</v>
      </c>
      <c r="U2297" t="inlineStr">
        <is>
          <t>2002-03-15</t>
        </is>
      </c>
      <c r="V2297" t="inlineStr">
        <is>
          <t>2002-03-15</t>
        </is>
      </c>
      <c r="W2297" t="inlineStr">
        <is>
          <t>1992-08-26</t>
        </is>
      </c>
      <c r="X2297" t="inlineStr">
        <is>
          <t>1992-08-26</t>
        </is>
      </c>
      <c r="Y2297" t="n">
        <v>161</v>
      </c>
      <c r="Z2297" t="n">
        <v>143</v>
      </c>
      <c r="AA2297" t="n">
        <v>148</v>
      </c>
      <c r="AB2297" t="n">
        <v>4</v>
      </c>
      <c r="AC2297" t="n">
        <v>4</v>
      </c>
      <c r="AD2297" t="n">
        <v>19</v>
      </c>
      <c r="AE2297" t="n">
        <v>19</v>
      </c>
      <c r="AF2297" t="n">
        <v>4</v>
      </c>
      <c r="AG2297" t="n">
        <v>4</v>
      </c>
      <c r="AH2297" t="n">
        <v>5</v>
      </c>
      <c r="AI2297" t="n">
        <v>5</v>
      </c>
      <c r="AJ2297" t="n">
        <v>12</v>
      </c>
      <c r="AK2297" t="n">
        <v>12</v>
      </c>
      <c r="AL2297" t="n">
        <v>1</v>
      </c>
      <c r="AM2297" t="n">
        <v>1</v>
      </c>
      <c r="AN2297" t="n">
        <v>0</v>
      </c>
      <c r="AO2297" t="n">
        <v>0</v>
      </c>
      <c r="AP2297" t="inlineStr">
        <is>
          <t>No</t>
        </is>
      </c>
      <c r="AQ2297" t="inlineStr">
        <is>
          <t>No</t>
        </is>
      </c>
      <c r="AS2297">
        <f>HYPERLINK("https://creighton-primo.hosted.exlibrisgroup.com/primo-explore/search?tab=default_tab&amp;search_scope=EVERYTHING&amp;vid=01CRU&amp;lang=en_US&amp;offset=0&amp;query=any,contains,991001852759702656","Catalog Record")</f>
        <v/>
      </c>
      <c r="AT2297">
        <f>HYPERLINK("http://www.worldcat.org/oclc/23253262","WorldCat Record")</f>
        <v/>
      </c>
      <c r="AU2297" t="inlineStr">
        <is>
          <t>890432592:eng</t>
        </is>
      </c>
      <c r="AV2297" t="inlineStr">
        <is>
          <t>23253262</t>
        </is>
      </c>
      <c r="AW2297" t="inlineStr">
        <is>
          <t>991001852759702656</t>
        </is>
      </c>
      <c r="AX2297" t="inlineStr">
        <is>
          <t>991001852759702656</t>
        </is>
      </c>
      <c r="AY2297" t="inlineStr">
        <is>
          <t>2266084870002656</t>
        </is>
      </c>
      <c r="AZ2297" t="inlineStr">
        <is>
          <t>BOOK</t>
        </is>
      </c>
      <c r="BB2297" t="inlineStr">
        <is>
          <t>9780814619841</t>
        </is>
      </c>
      <c r="BC2297" t="inlineStr">
        <is>
          <t>32285001199099</t>
        </is>
      </c>
      <c r="BD2297" t="inlineStr">
        <is>
          <t>893809206</t>
        </is>
      </c>
    </row>
    <row r="2298">
      <c r="A2298" t="inlineStr">
        <is>
          <t>No</t>
        </is>
      </c>
      <c r="B2298" t="inlineStr">
        <is>
          <t>BX4705.D56 D87 1995</t>
        </is>
      </c>
      <c r="C2298" t="inlineStr">
        <is>
          <t>0                      BX 4705000D  56                 D  87          1995</t>
        </is>
      </c>
      <c r="D2298" t="inlineStr">
        <is>
          <t>They called her the baroness : the life of Catherine de Hueck Doherty / Lorene Hanley Duquin.</t>
        </is>
      </c>
      <c r="F2298" t="inlineStr">
        <is>
          <t>No</t>
        </is>
      </c>
      <c r="G2298" t="inlineStr">
        <is>
          <t>1</t>
        </is>
      </c>
      <c r="H2298" t="inlineStr">
        <is>
          <t>No</t>
        </is>
      </c>
      <c r="I2298" t="inlineStr">
        <is>
          <t>No</t>
        </is>
      </c>
      <c r="J2298" t="inlineStr">
        <is>
          <t>0</t>
        </is>
      </c>
      <c r="K2298" t="inlineStr">
        <is>
          <t>Duquin, Lorene Hanley.</t>
        </is>
      </c>
      <c r="L2298" t="inlineStr">
        <is>
          <t>New York : Alba House, c1995.</t>
        </is>
      </c>
      <c r="M2298" t="inlineStr">
        <is>
          <t>1995</t>
        </is>
      </c>
      <c r="O2298" t="inlineStr">
        <is>
          <t>eng</t>
        </is>
      </c>
      <c r="P2298" t="inlineStr">
        <is>
          <t>nyu</t>
        </is>
      </c>
      <c r="R2298" t="inlineStr">
        <is>
          <t xml:space="preserve">BX </t>
        </is>
      </c>
      <c r="S2298" t="n">
        <v>7</v>
      </c>
      <c r="T2298" t="n">
        <v>7</v>
      </c>
      <c r="U2298" t="inlineStr">
        <is>
          <t>2010-07-06</t>
        </is>
      </c>
      <c r="V2298" t="inlineStr">
        <is>
          <t>2010-07-06</t>
        </is>
      </c>
      <c r="W2298" t="inlineStr">
        <is>
          <t>1996-09-11</t>
        </is>
      </c>
      <c r="X2298" t="inlineStr">
        <is>
          <t>1996-09-11</t>
        </is>
      </c>
      <c r="Y2298" t="n">
        <v>136</v>
      </c>
      <c r="Z2298" t="n">
        <v>113</v>
      </c>
      <c r="AA2298" t="n">
        <v>118</v>
      </c>
      <c r="AB2298" t="n">
        <v>2</v>
      </c>
      <c r="AC2298" t="n">
        <v>2</v>
      </c>
      <c r="AD2298" t="n">
        <v>11</v>
      </c>
      <c r="AE2298" t="n">
        <v>11</v>
      </c>
      <c r="AF2298" t="n">
        <v>3</v>
      </c>
      <c r="AG2298" t="n">
        <v>3</v>
      </c>
      <c r="AH2298" t="n">
        <v>2</v>
      </c>
      <c r="AI2298" t="n">
        <v>2</v>
      </c>
      <c r="AJ2298" t="n">
        <v>10</v>
      </c>
      <c r="AK2298" t="n">
        <v>10</v>
      </c>
      <c r="AL2298" t="n">
        <v>0</v>
      </c>
      <c r="AM2298" t="n">
        <v>0</v>
      </c>
      <c r="AN2298" t="n">
        <v>0</v>
      </c>
      <c r="AO2298" t="n">
        <v>0</v>
      </c>
      <c r="AP2298" t="inlineStr">
        <is>
          <t>No</t>
        </is>
      </c>
      <c r="AQ2298" t="inlineStr">
        <is>
          <t>No</t>
        </is>
      </c>
      <c r="AS2298">
        <f>HYPERLINK("https://creighton-primo.hosted.exlibrisgroup.com/primo-explore/search?tab=default_tab&amp;search_scope=EVERYTHING&amp;vid=01CRU&amp;lang=en_US&amp;offset=0&amp;query=any,contains,991002530399702656","Catalog Record")</f>
        <v/>
      </c>
      <c r="AT2298">
        <f>HYPERLINK("http://www.worldcat.org/oclc/32892393","WorldCat Record")</f>
        <v/>
      </c>
      <c r="AU2298" t="inlineStr">
        <is>
          <t>1090276554:eng</t>
        </is>
      </c>
      <c r="AV2298" t="inlineStr">
        <is>
          <t>32892393</t>
        </is>
      </c>
      <c r="AW2298" t="inlineStr">
        <is>
          <t>991002530399702656</t>
        </is>
      </c>
      <c r="AX2298" t="inlineStr">
        <is>
          <t>991002530399702656</t>
        </is>
      </c>
      <c r="AY2298" t="inlineStr">
        <is>
          <t>2255029280002656</t>
        </is>
      </c>
      <c r="AZ2298" t="inlineStr">
        <is>
          <t>BOOK</t>
        </is>
      </c>
      <c r="BB2298" t="inlineStr">
        <is>
          <t>9780818907531</t>
        </is>
      </c>
      <c r="BC2298" t="inlineStr">
        <is>
          <t>32285002317179</t>
        </is>
      </c>
      <c r="BD2298" t="inlineStr">
        <is>
          <t>893262337</t>
        </is>
      </c>
    </row>
    <row r="2299">
      <c r="A2299" t="inlineStr">
        <is>
          <t>No</t>
        </is>
      </c>
      <c r="B2299" t="inlineStr">
        <is>
          <t>BX4705.D68 F5 1880a</t>
        </is>
      </c>
      <c r="C2299" t="inlineStr">
        <is>
          <t>0                      BX 4705000D  68                 F  5           1880a</t>
        </is>
      </c>
      <c r="D2299" t="inlineStr">
        <is>
          <t>The life, times, and correspondence of the Right Rev. Dr. Doyle, bishop of Kildare and Leighlin / by W. J. Fitzpatrick.</t>
        </is>
      </c>
      <c r="E2299" t="inlineStr">
        <is>
          <t>V.1</t>
        </is>
      </c>
      <c r="F2299" t="inlineStr">
        <is>
          <t>Yes</t>
        </is>
      </c>
      <c r="G2299" t="inlineStr">
        <is>
          <t>1</t>
        </is>
      </c>
      <c r="H2299" t="inlineStr">
        <is>
          <t>No</t>
        </is>
      </c>
      <c r="I2299" t="inlineStr">
        <is>
          <t>No</t>
        </is>
      </c>
      <c r="J2299" t="inlineStr">
        <is>
          <t>0</t>
        </is>
      </c>
      <c r="K2299" t="inlineStr">
        <is>
          <t>Fitz-Patrick, William J. (William John), 1830-1895.</t>
        </is>
      </c>
      <c r="L2299" t="inlineStr">
        <is>
          <t>Dublin : J. Duffy, [1880?]</t>
        </is>
      </c>
      <c r="M2299" t="inlineStr">
        <is>
          <t>1880</t>
        </is>
      </c>
      <c r="O2299" t="inlineStr">
        <is>
          <t>eng</t>
        </is>
      </c>
      <c r="P2299" t="inlineStr">
        <is>
          <t xml:space="preserve">xx </t>
        </is>
      </c>
      <c r="R2299" t="inlineStr">
        <is>
          <t xml:space="preserve">BX </t>
        </is>
      </c>
      <c r="S2299" t="n">
        <v>0</v>
      </c>
      <c r="T2299" t="n">
        <v>2</v>
      </c>
      <c r="U2299" t="inlineStr">
        <is>
          <t>2007-10-24</t>
        </is>
      </c>
      <c r="V2299" t="inlineStr">
        <is>
          <t>2007-10-24</t>
        </is>
      </c>
      <c r="W2299" t="inlineStr">
        <is>
          <t>1991-12-19</t>
        </is>
      </c>
      <c r="X2299" t="inlineStr">
        <is>
          <t>1991-12-19</t>
        </is>
      </c>
      <c r="Y2299" t="n">
        <v>30</v>
      </c>
      <c r="Z2299" t="n">
        <v>22</v>
      </c>
      <c r="AA2299" t="n">
        <v>154</v>
      </c>
      <c r="AB2299" t="n">
        <v>1</v>
      </c>
      <c r="AC2299" t="n">
        <v>3</v>
      </c>
      <c r="AD2299" t="n">
        <v>3</v>
      </c>
      <c r="AE2299" t="n">
        <v>20</v>
      </c>
      <c r="AF2299" t="n">
        <v>0</v>
      </c>
      <c r="AG2299" t="n">
        <v>5</v>
      </c>
      <c r="AH2299" t="n">
        <v>1</v>
      </c>
      <c r="AI2299" t="n">
        <v>5</v>
      </c>
      <c r="AJ2299" t="n">
        <v>2</v>
      </c>
      <c r="AK2299" t="n">
        <v>13</v>
      </c>
      <c r="AL2299" t="n">
        <v>0</v>
      </c>
      <c r="AM2299" t="n">
        <v>2</v>
      </c>
      <c r="AN2299" t="n">
        <v>0</v>
      </c>
      <c r="AO2299" t="n">
        <v>0</v>
      </c>
      <c r="AP2299" t="inlineStr">
        <is>
          <t>Yes</t>
        </is>
      </c>
      <c r="AQ2299" t="inlineStr">
        <is>
          <t>No</t>
        </is>
      </c>
      <c r="AR2299">
        <f>HYPERLINK("http://catalog.hathitrust.org/Record/008912709","HathiTrust Record")</f>
        <v/>
      </c>
      <c r="AS2299">
        <f>HYPERLINK("https://creighton-primo.hosted.exlibrisgroup.com/primo-explore/search?tab=default_tab&amp;search_scope=EVERYTHING&amp;vid=01CRU&amp;lang=en_US&amp;offset=0&amp;query=any,contains,991002708019702656","Catalog Record")</f>
        <v/>
      </c>
      <c r="AT2299">
        <f>HYPERLINK("http://www.worldcat.org/oclc/407922","WorldCat Record")</f>
        <v/>
      </c>
      <c r="AU2299" t="inlineStr">
        <is>
          <t>1441290:eng</t>
        </is>
      </c>
      <c r="AV2299" t="inlineStr">
        <is>
          <t>407922</t>
        </is>
      </c>
      <c r="AW2299" t="inlineStr">
        <is>
          <t>991002708019702656</t>
        </is>
      </c>
      <c r="AX2299" t="inlineStr">
        <is>
          <t>991002708019702656</t>
        </is>
      </c>
      <c r="AY2299" t="inlineStr">
        <is>
          <t>2261520080002656</t>
        </is>
      </c>
      <c r="AZ2299" t="inlineStr">
        <is>
          <t>BOOK</t>
        </is>
      </c>
      <c r="BC2299" t="inlineStr">
        <is>
          <t>32285000908136</t>
        </is>
      </c>
      <c r="BD2299" t="inlineStr">
        <is>
          <t>893535139</t>
        </is>
      </c>
    </row>
    <row r="2300">
      <c r="A2300" t="inlineStr">
        <is>
          <t>No</t>
        </is>
      </c>
      <c r="B2300" t="inlineStr">
        <is>
          <t>BX4705.D68 F5 1880a</t>
        </is>
      </c>
      <c r="C2300" t="inlineStr">
        <is>
          <t>0                      BX 4705000D  68                 F  5           1880a</t>
        </is>
      </c>
      <c r="D2300" t="inlineStr">
        <is>
          <t>The life, times, and correspondence of the Right Rev. Dr. Doyle, bishop of Kildare and Leighlin / by W. J. Fitzpatrick.</t>
        </is>
      </c>
      <c r="E2300" t="inlineStr">
        <is>
          <t>V.2</t>
        </is>
      </c>
      <c r="F2300" t="inlineStr">
        <is>
          <t>Yes</t>
        </is>
      </c>
      <c r="G2300" t="inlineStr">
        <is>
          <t>1</t>
        </is>
      </c>
      <c r="H2300" t="inlineStr">
        <is>
          <t>No</t>
        </is>
      </c>
      <c r="I2300" t="inlineStr">
        <is>
          <t>No</t>
        </is>
      </c>
      <c r="J2300" t="inlineStr">
        <is>
          <t>0</t>
        </is>
      </c>
      <c r="K2300" t="inlineStr">
        <is>
          <t>Fitz-Patrick, William J. (William John), 1830-1895.</t>
        </is>
      </c>
      <c r="L2300" t="inlineStr">
        <is>
          <t>Dublin : J. Duffy, [1880?]</t>
        </is>
      </c>
      <c r="M2300" t="inlineStr">
        <is>
          <t>1880</t>
        </is>
      </c>
      <c r="O2300" t="inlineStr">
        <is>
          <t>eng</t>
        </is>
      </c>
      <c r="P2300" t="inlineStr">
        <is>
          <t xml:space="preserve">xx </t>
        </is>
      </c>
      <c r="R2300" t="inlineStr">
        <is>
          <t xml:space="preserve">BX </t>
        </is>
      </c>
      <c r="S2300" t="n">
        <v>2</v>
      </c>
      <c r="T2300" t="n">
        <v>2</v>
      </c>
      <c r="U2300" t="inlineStr">
        <is>
          <t>2007-10-24</t>
        </is>
      </c>
      <c r="V2300" t="inlineStr">
        <is>
          <t>2007-10-24</t>
        </is>
      </c>
      <c r="W2300" t="inlineStr">
        <is>
          <t>1991-12-19</t>
        </is>
      </c>
      <c r="X2300" t="inlineStr">
        <is>
          <t>1991-12-19</t>
        </is>
      </c>
      <c r="Y2300" t="n">
        <v>30</v>
      </c>
      <c r="Z2300" t="n">
        <v>22</v>
      </c>
      <c r="AA2300" t="n">
        <v>154</v>
      </c>
      <c r="AB2300" t="n">
        <v>1</v>
      </c>
      <c r="AC2300" t="n">
        <v>3</v>
      </c>
      <c r="AD2300" t="n">
        <v>3</v>
      </c>
      <c r="AE2300" t="n">
        <v>20</v>
      </c>
      <c r="AF2300" t="n">
        <v>0</v>
      </c>
      <c r="AG2300" t="n">
        <v>5</v>
      </c>
      <c r="AH2300" t="n">
        <v>1</v>
      </c>
      <c r="AI2300" t="n">
        <v>5</v>
      </c>
      <c r="AJ2300" t="n">
        <v>2</v>
      </c>
      <c r="AK2300" t="n">
        <v>13</v>
      </c>
      <c r="AL2300" t="n">
        <v>0</v>
      </c>
      <c r="AM2300" t="n">
        <v>2</v>
      </c>
      <c r="AN2300" t="n">
        <v>0</v>
      </c>
      <c r="AO2300" t="n">
        <v>0</v>
      </c>
      <c r="AP2300" t="inlineStr">
        <is>
          <t>Yes</t>
        </is>
      </c>
      <c r="AQ2300" t="inlineStr">
        <is>
          <t>No</t>
        </is>
      </c>
      <c r="AR2300">
        <f>HYPERLINK("http://catalog.hathitrust.org/Record/008912709","HathiTrust Record")</f>
        <v/>
      </c>
      <c r="AS2300">
        <f>HYPERLINK("https://creighton-primo.hosted.exlibrisgroup.com/primo-explore/search?tab=default_tab&amp;search_scope=EVERYTHING&amp;vid=01CRU&amp;lang=en_US&amp;offset=0&amp;query=any,contains,991002708019702656","Catalog Record")</f>
        <v/>
      </c>
      <c r="AT2300">
        <f>HYPERLINK("http://www.worldcat.org/oclc/407922","WorldCat Record")</f>
        <v/>
      </c>
      <c r="AU2300" t="inlineStr">
        <is>
          <t>1441290:eng</t>
        </is>
      </c>
      <c r="AV2300" t="inlineStr">
        <is>
          <t>407922</t>
        </is>
      </c>
      <c r="AW2300" t="inlineStr">
        <is>
          <t>991002708019702656</t>
        </is>
      </c>
      <c r="AX2300" t="inlineStr">
        <is>
          <t>991002708019702656</t>
        </is>
      </c>
      <c r="AY2300" t="inlineStr">
        <is>
          <t>2261520080002656</t>
        </is>
      </c>
      <c r="AZ2300" t="inlineStr">
        <is>
          <t>BOOK</t>
        </is>
      </c>
      <c r="BC2300" t="inlineStr">
        <is>
          <t>32285000908144</t>
        </is>
      </c>
      <c r="BD2300" t="inlineStr">
        <is>
          <t>893535138</t>
        </is>
      </c>
    </row>
    <row r="2301">
      <c r="A2301" t="inlineStr">
        <is>
          <t>No</t>
        </is>
      </c>
      <c r="B2301" t="inlineStr">
        <is>
          <t>BX4705.D82 J3 1946</t>
        </is>
      </c>
      <c r="C2301" t="inlineStr">
        <is>
          <t>0                      BX 4705000D  82                 J  3           1946</t>
        </is>
      </c>
      <c r="D2301" t="inlineStr">
        <is>
          <t>Claude Dubuis : Bishop of Galveston / L. V. Jacks.</t>
        </is>
      </c>
      <c r="F2301" t="inlineStr">
        <is>
          <t>No</t>
        </is>
      </c>
      <c r="G2301" t="inlineStr">
        <is>
          <t>1</t>
        </is>
      </c>
      <c r="H2301" t="inlineStr">
        <is>
          <t>No</t>
        </is>
      </c>
      <c r="I2301" t="inlineStr">
        <is>
          <t>No</t>
        </is>
      </c>
      <c r="J2301" t="inlineStr">
        <is>
          <t>0</t>
        </is>
      </c>
      <c r="K2301" t="inlineStr">
        <is>
          <t>Jacks, L. V. (Leo Vincent), 1896-</t>
        </is>
      </c>
      <c r="L2301" t="inlineStr">
        <is>
          <t>St. Louis, Mo., and London : B. Herder Book co., 1946.</t>
        </is>
      </c>
      <c r="M2301" t="inlineStr">
        <is>
          <t>1946</t>
        </is>
      </c>
      <c r="O2301" t="inlineStr">
        <is>
          <t>eng</t>
        </is>
      </c>
      <c r="P2301" t="inlineStr">
        <is>
          <t xml:space="preserve">xx </t>
        </is>
      </c>
      <c r="R2301" t="inlineStr">
        <is>
          <t xml:space="preserve">BX </t>
        </is>
      </c>
      <c r="S2301" t="n">
        <v>3</v>
      </c>
      <c r="T2301" t="n">
        <v>3</v>
      </c>
      <c r="U2301" t="inlineStr">
        <is>
          <t>1993-05-03</t>
        </is>
      </c>
      <c r="V2301" t="inlineStr">
        <is>
          <t>1993-05-03</t>
        </is>
      </c>
      <c r="W2301" t="inlineStr">
        <is>
          <t>1991-12-19</t>
        </is>
      </c>
      <c r="X2301" t="inlineStr">
        <is>
          <t>1991-12-19</t>
        </is>
      </c>
      <c r="Y2301" t="n">
        <v>103</v>
      </c>
      <c r="Z2301" t="n">
        <v>99</v>
      </c>
      <c r="AA2301" t="n">
        <v>113</v>
      </c>
      <c r="AB2301" t="n">
        <v>3</v>
      </c>
      <c r="AC2301" t="n">
        <v>3</v>
      </c>
      <c r="AD2301" t="n">
        <v>14</v>
      </c>
      <c r="AE2301" t="n">
        <v>17</v>
      </c>
      <c r="AF2301" t="n">
        <v>2</v>
      </c>
      <c r="AG2301" t="n">
        <v>3</v>
      </c>
      <c r="AH2301" t="n">
        <v>6</v>
      </c>
      <c r="AI2301" t="n">
        <v>6</v>
      </c>
      <c r="AJ2301" t="n">
        <v>11</v>
      </c>
      <c r="AK2301" t="n">
        <v>14</v>
      </c>
      <c r="AL2301" t="n">
        <v>0</v>
      </c>
      <c r="AM2301" t="n">
        <v>0</v>
      </c>
      <c r="AN2301" t="n">
        <v>0</v>
      </c>
      <c r="AO2301" t="n">
        <v>0</v>
      </c>
      <c r="AP2301" t="inlineStr">
        <is>
          <t>No</t>
        </is>
      </c>
      <c r="AQ2301" t="inlineStr">
        <is>
          <t>Yes</t>
        </is>
      </c>
      <c r="AR2301">
        <f>HYPERLINK("http://catalog.hathitrust.org/Record/005922268","HathiTrust Record")</f>
        <v/>
      </c>
      <c r="AS2301">
        <f>HYPERLINK("https://creighton-primo.hosted.exlibrisgroup.com/primo-explore/search?tab=default_tab&amp;search_scope=EVERYTHING&amp;vid=01CRU&amp;lang=en_US&amp;offset=0&amp;query=any,contains,991003728889702656","Catalog Record")</f>
        <v/>
      </c>
      <c r="AT2301">
        <f>HYPERLINK("http://www.worldcat.org/oclc/1378975","WorldCat Record")</f>
        <v/>
      </c>
      <c r="AU2301" t="inlineStr">
        <is>
          <t>2037539:eng</t>
        </is>
      </c>
      <c r="AV2301" t="inlineStr">
        <is>
          <t>1378975</t>
        </is>
      </c>
      <c r="AW2301" t="inlineStr">
        <is>
          <t>991003728889702656</t>
        </is>
      </c>
      <c r="AX2301" t="inlineStr">
        <is>
          <t>991003728889702656</t>
        </is>
      </c>
      <c r="AY2301" t="inlineStr">
        <is>
          <t>2255291860002656</t>
        </is>
      </c>
      <c r="AZ2301" t="inlineStr">
        <is>
          <t>BOOK</t>
        </is>
      </c>
      <c r="BC2301" t="inlineStr">
        <is>
          <t>32285000908243</t>
        </is>
      </c>
      <c r="BD2301" t="inlineStr">
        <is>
          <t>893605132</t>
        </is>
      </c>
    </row>
    <row r="2302">
      <c r="A2302" t="inlineStr">
        <is>
          <t>No</t>
        </is>
      </c>
      <c r="B2302" t="inlineStr">
        <is>
          <t>BX4705.D85 B37</t>
        </is>
      </c>
      <c r="C2302" t="inlineStr">
        <is>
          <t>0                      BX 4705000D  85                 B  37</t>
        </is>
      </c>
      <c r="D2302" t="inlineStr">
        <is>
          <t>Blessed Philippine Duchesne : pioneer missionary of the new world / by Marion Bascom ; with a chapter on the Society of the Sacred Heart and a list of the houses of the Society.</t>
        </is>
      </c>
      <c r="F2302" t="inlineStr">
        <is>
          <t>No</t>
        </is>
      </c>
      <c r="G2302" t="inlineStr">
        <is>
          <t>1</t>
        </is>
      </c>
      <c r="H2302" t="inlineStr">
        <is>
          <t>No</t>
        </is>
      </c>
      <c r="I2302" t="inlineStr">
        <is>
          <t>No</t>
        </is>
      </c>
      <c r="J2302" t="inlineStr">
        <is>
          <t>0</t>
        </is>
      </c>
      <c r="K2302" t="inlineStr">
        <is>
          <t>Bascom, Marion.</t>
        </is>
      </c>
      <c r="L2302" t="inlineStr">
        <is>
          <t>Purchase, N.Y. : Manhattanville College, [195-?]</t>
        </is>
      </c>
      <c r="M2302" t="inlineStr">
        <is>
          <t>1950</t>
        </is>
      </c>
      <c r="O2302" t="inlineStr">
        <is>
          <t>eng</t>
        </is>
      </c>
      <c r="P2302" t="inlineStr">
        <is>
          <t>nyu</t>
        </is>
      </c>
      <c r="R2302" t="inlineStr">
        <is>
          <t xml:space="preserve">BX </t>
        </is>
      </c>
      <c r="S2302" t="n">
        <v>3</v>
      </c>
      <c r="T2302" t="n">
        <v>3</v>
      </c>
      <c r="U2302" t="inlineStr">
        <is>
          <t>2002-02-20</t>
        </is>
      </c>
      <c r="V2302" t="inlineStr">
        <is>
          <t>2002-02-20</t>
        </is>
      </c>
      <c r="W2302" t="inlineStr">
        <is>
          <t>1991-12-19</t>
        </is>
      </c>
      <c r="X2302" t="inlineStr">
        <is>
          <t>1991-12-19</t>
        </is>
      </c>
      <c r="Y2302" t="n">
        <v>16</v>
      </c>
      <c r="Z2302" t="n">
        <v>16</v>
      </c>
      <c r="AA2302" t="n">
        <v>16</v>
      </c>
      <c r="AB2302" t="n">
        <v>1</v>
      </c>
      <c r="AC2302" t="n">
        <v>1</v>
      </c>
      <c r="AD2302" t="n">
        <v>4</v>
      </c>
      <c r="AE2302" t="n">
        <v>4</v>
      </c>
      <c r="AF2302" t="n">
        <v>1</v>
      </c>
      <c r="AG2302" t="n">
        <v>1</v>
      </c>
      <c r="AH2302" t="n">
        <v>1</v>
      </c>
      <c r="AI2302" t="n">
        <v>1</v>
      </c>
      <c r="AJ2302" t="n">
        <v>4</v>
      </c>
      <c r="AK2302" t="n">
        <v>4</v>
      </c>
      <c r="AL2302" t="n">
        <v>0</v>
      </c>
      <c r="AM2302" t="n">
        <v>0</v>
      </c>
      <c r="AN2302" t="n">
        <v>0</v>
      </c>
      <c r="AO2302" t="n">
        <v>0</v>
      </c>
      <c r="AP2302" t="inlineStr">
        <is>
          <t>No</t>
        </is>
      </c>
      <c r="AQ2302" t="inlineStr">
        <is>
          <t>No</t>
        </is>
      </c>
      <c r="AS2302">
        <f>HYPERLINK("https://creighton-primo.hosted.exlibrisgroup.com/primo-explore/search?tab=default_tab&amp;search_scope=EVERYTHING&amp;vid=01CRU&amp;lang=en_US&amp;offset=0&amp;query=any,contains,991001263629702656","Catalog Record")</f>
        <v/>
      </c>
      <c r="AT2302">
        <f>HYPERLINK("http://www.worldcat.org/oclc/17782957","WorldCat Record")</f>
        <v/>
      </c>
      <c r="AU2302" t="inlineStr">
        <is>
          <t>16805802:eng</t>
        </is>
      </c>
      <c r="AV2302" t="inlineStr">
        <is>
          <t>17782957</t>
        </is>
      </c>
      <c r="AW2302" t="inlineStr">
        <is>
          <t>991001263629702656</t>
        </is>
      </c>
      <c r="AX2302" t="inlineStr">
        <is>
          <t>991001263629702656</t>
        </is>
      </c>
      <c r="AY2302" t="inlineStr">
        <is>
          <t>2268853540002656</t>
        </is>
      </c>
      <c r="AZ2302" t="inlineStr">
        <is>
          <t>BOOK</t>
        </is>
      </c>
      <c r="BC2302" t="inlineStr">
        <is>
          <t>32285000908250</t>
        </is>
      </c>
      <c r="BD2302" t="inlineStr">
        <is>
          <t>893702887</t>
        </is>
      </c>
    </row>
    <row r="2303">
      <c r="A2303" t="inlineStr">
        <is>
          <t>No</t>
        </is>
      </c>
      <c r="B2303" t="inlineStr">
        <is>
          <t>BX4705.D85 C3 1957</t>
        </is>
      </c>
      <c r="C2303" t="inlineStr">
        <is>
          <t>0                      BX 4705000D  85                 C  3           1957</t>
        </is>
      </c>
      <c r="D2303" t="inlineStr">
        <is>
          <t>Philippine Duchesne, frontier missionary of the Sacred Heart, 1769-1852 / With an introd. by Joseph E. Ritter.</t>
        </is>
      </c>
      <c r="F2303" t="inlineStr">
        <is>
          <t>No</t>
        </is>
      </c>
      <c r="G2303" t="inlineStr">
        <is>
          <t>1</t>
        </is>
      </c>
      <c r="H2303" t="inlineStr">
        <is>
          <t>No</t>
        </is>
      </c>
      <c r="I2303" t="inlineStr">
        <is>
          <t>No</t>
        </is>
      </c>
      <c r="J2303" t="inlineStr">
        <is>
          <t>0</t>
        </is>
      </c>
      <c r="K2303" t="inlineStr">
        <is>
          <t>Callan, Louise.</t>
        </is>
      </c>
      <c r="L2303" t="inlineStr">
        <is>
          <t>Westminster, Maryland : Newman Press, 1957.</t>
        </is>
      </c>
      <c r="M2303" t="inlineStr">
        <is>
          <t>1957</t>
        </is>
      </c>
      <c r="O2303" t="inlineStr">
        <is>
          <t>eng</t>
        </is>
      </c>
      <c r="P2303" t="inlineStr">
        <is>
          <t>mdu</t>
        </is>
      </c>
      <c r="R2303" t="inlineStr">
        <is>
          <t xml:space="preserve">BX </t>
        </is>
      </c>
      <c r="S2303" t="n">
        <v>1</v>
      </c>
      <c r="T2303" t="n">
        <v>1</v>
      </c>
      <c r="U2303" t="inlineStr">
        <is>
          <t>2002-02-20</t>
        </is>
      </c>
      <c r="V2303" t="inlineStr">
        <is>
          <t>2002-02-20</t>
        </is>
      </c>
      <c r="W2303" t="inlineStr">
        <is>
          <t>1991-12-19</t>
        </is>
      </c>
      <c r="X2303" t="inlineStr">
        <is>
          <t>1991-12-19</t>
        </is>
      </c>
      <c r="Y2303" t="n">
        <v>174</v>
      </c>
      <c r="Z2303" t="n">
        <v>159</v>
      </c>
      <c r="AA2303" t="n">
        <v>233</v>
      </c>
      <c r="AB2303" t="n">
        <v>2</v>
      </c>
      <c r="AC2303" t="n">
        <v>4</v>
      </c>
      <c r="AD2303" t="n">
        <v>26</v>
      </c>
      <c r="AE2303" t="n">
        <v>30</v>
      </c>
      <c r="AF2303" t="n">
        <v>6</v>
      </c>
      <c r="AG2303" t="n">
        <v>8</v>
      </c>
      <c r="AH2303" t="n">
        <v>8</v>
      </c>
      <c r="AI2303" t="n">
        <v>8</v>
      </c>
      <c r="AJ2303" t="n">
        <v>21</v>
      </c>
      <c r="AK2303" t="n">
        <v>23</v>
      </c>
      <c r="AL2303" t="n">
        <v>0</v>
      </c>
      <c r="AM2303" t="n">
        <v>1</v>
      </c>
      <c r="AN2303" t="n">
        <v>0</v>
      </c>
      <c r="AO2303" t="n">
        <v>0</v>
      </c>
      <c r="AP2303" t="inlineStr">
        <is>
          <t>No</t>
        </is>
      </c>
      <c r="AQ2303" t="inlineStr">
        <is>
          <t>No</t>
        </is>
      </c>
      <c r="AS2303">
        <f>HYPERLINK("https://creighton-primo.hosted.exlibrisgroup.com/primo-explore/search?tab=default_tab&amp;search_scope=EVERYTHING&amp;vid=01CRU&amp;lang=en_US&amp;offset=0&amp;query=any,contains,991004238109702656","Catalog Record")</f>
        <v/>
      </c>
      <c r="AT2303">
        <f>HYPERLINK("http://www.worldcat.org/oclc/2777012","WorldCat Record")</f>
        <v/>
      </c>
      <c r="AU2303" t="inlineStr">
        <is>
          <t>198680995:eng</t>
        </is>
      </c>
      <c r="AV2303" t="inlineStr">
        <is>
          <t>2777012</t>
        </is>
      </c>
      <c r="AW2303" t="inlineStr">
        <is>
          <t>991004238109702656</t>
        </is>
      </c>
      <c r="AX2303" t="inlineStr">
        <is>
          <t>991004238109702656</t>
        </is>
      </c>
      <c r="AY2303" t="inlineStr">
        <is>
          <t>2271665050002656</t>
        </is>
      </c>
      <c r="AZ2303" t="inlineStr">
        <is>
          <t>BOOK</t>
        </is>
      </c>
      <c r="BC2303" t="inlineStr">
        <is>
          <t>32285000908268</t>
        </is>
      </c>
      <c r="BD2303" t="inlineStr">
        <is>
          <t>893593447</t>
        </is>
      </c>
    </row>
    <row r="2304">
      <c r="A2304" t="inlineStr">
        <is>
          <t>No</t>
        </is>
      </c>
      <c r="B2304" t="inlineStr">
        <is>
          <t>BX4705.D867 A3 1996</t>
        </is>
      </c>
      <c r="C2304" t="inlineStr">
        <is>
          <t>0                      BX 4705000D  867                A  3           1996</t>
        </is>
      </c>
      <c r="D2304" t="inlineStr">
        <is>
          <t>A testimonial to grace and reflections on a theological journey / Avery Dulles.</t>
        </is>
      </c>
      <c r="F2304" t="inlineStr">
        <is>
          <t>No</t>
        </is>
      </c>
      <c r="G2304" t="inlineStr">
        <is>
          <t>1</t>
        </is>
      </c>
      <c r="H2304" t="inlineStr">
        <is>
          <t>No</t>
        </is>
      </c>
      <c r="I2304" t="inlineStr">
        <is>
          <t>No</t>
        </is>
      </c>
      <c r="J2304" t="inlineStr">
        <is>
          <t>0</t>
        </is>
      </c>
      <c r="K2304" t="inlineStr">
        <is>
          <t>Dulles, Avery, 1918-2008.</t>
        </is>
      </c>
      <c r="L2304" t="inlineStr">
        <is>
          <t>Kansas City, MO : Sheed &amp; Ward, c1996.</t>
        </is>
      </c>
      <c r="M2304" t="inlineStr">
        <is>
          <t>1996</t>
        </is>
      </c>
      <c r="N2304" t="inlineStr">
        <is>
          <t>50th anniversary ed.</t>
        </is>
      </c>
      <c r="O2304" t="inlineStr">
        <is>
          <t>eng</t>
        </is>
      </c>
      <c r="P2304" t="inlineStr">
        <is>
          <t>mou</t>
        </is>
      </c>
      <c r="R2304" t="inlineStr">
        <is>
          <t xml:space="preserve">BX </t>
        </is>
      </c>
      <c r="S2304" t="n">
        <v>5</v>
      </c>
      <c r="T2304" t="n">
        <v>5</v>
      </c>
      <c r="U2304" t="inlineStr">
        <is>
          <t>2010-07-01</t>
        </is>
      </c>
      <c r="V2304" t="inlineStr">
        <is>
          <t>2010-07-01</t>
        </is>
      </c>
      <c r="W2304" t="inlineStr">
        <is>
          <t>1996-10-07</t>
        </is>
      </c>
      <c r="X2304" t="inlineStr">
        <is>
          <t>1996-10-07</t>
        </is>
      </c>
      <c r="Y2304" t="n">
        <v>163</v>
      </c>
      <c r="Z2304" t="n">
        <v>140</v>
      </c>
      <c r="AA2304" t="n">
        <v>140</v>
      </c>
      <c r="AB2304" t="n">
        <v>1</v>
      </c>
      <c r="AC2304" t="n">
        <v>1</v>
      </c>
      <c r="AD2304" t="n">
        <v>23</v>
      </c>
      <c r="AE2304" t="n">
        <v>23</v>
      </c>
      <c r="AF2304" t="n">
        <v>9</v>
      </c>
      <c r="AG2304" t="n">
        <v>9</v>
      </c>
      <c r="AH2304" t="n">
        <v>5</v>
      </c>
      <c r="AI2304" t="n">
        <v>5</v>
      </c>
      <c r="AJ2304" t="n">
        <v>17</v>
      </c>
      <c r="AK2304" t="n">
        <v>17</v>
      </c>
      <c r="AL2304" t="n">
        <v>0</v>
      </c>
      <c r="AM2304" t="n">
        <v>0</v>
      </c>
      <c r="AN2304" t="n">
        <v>0</v>
      </c>
      <c r="AO2304" t="n">
        <v>0</v>
      </c>
      <c r="AP2304" t="inlineStr">
        <is>
          <t>No</t>
        </is>
      </c>
      <c r="AQ2304" t="inlineStr">
        <is>
          <t>No</t>
        </is>
      </c>
      <c r="AS2304">
        <f>HYPERLINK("https://creighton-primo.hosted.exlibrisgroup.com/primo-explore/search?tab=default_tab&amp;search_scope=EVERYTHING&amp;vid=01CRU&amp;lang=en_US&amp;offset=0&amp;query=any,contains,991002693049702656","Catalog Record")</f>
        <v/>
      </c>
      <c r="AT2304">
        <f>HYPERLINK("http://www.worldcat.org/oclc/35174705","WorldCat Record")</f>
        <v/>
      </c>
      <c r="AU2304" t="inlineStr">
        <is>
          <t>3373469509:eng</t>
        </is>
      </c>
      <c r="AV2304" t="inlineStr">
        <is>
          <t>35174705</t>
        </is>
      </c>
      <c r="AW2304" t="inlineStr">
        <is>
          <t>991002693049702656</t>
        </is>
      </c>
      <c r="AX2304" t="inlineStr">
        <is>
          <t>991002693049702656</t>
        </is>
      </c>
      <c r="AY2304" t="inlineStr">
        <is>
          <t>2271754730002656</t>
        </is>
      </c>
      <c r="AZ2304" t="inlineStr">
        <is>
          <t>BOOK</t>
        </is>
      </c>
      <c r="BB2304" t="inlineStr">
        <is>
          <t>9781556129049</t>
        </is>
      </c>
      <c r="BC2304" t="inlineStr">
        <is>
          <t>32285002323672</t>
        </is>
      </c>
      <c r="BD2304" t="inlineStr">
        <is>
          <t>893421682</t>
        </is>
      </c>
    </row>
    <row r="2305">
      <c r="A2305" t="inlineStr">
        <is>
          <t>No</t>
        </is>
      </c>
      <c r="B2305" t="inlineStr">
        <is>
          <t>BX4705.D868 C66 2007</t>
        </is>
      </c>
      <c r="C2305" t="inlineStr">
        <is>
          <t>0                      BX 4705000D  868                C  66          2007</t>
        </is>
      </c>
      <c r="D2305" t="inlineStr">
        <is>
          <t>Charles Dumont : monk-poet : a spiritual biography / by Elizabeth Connor ; foreword by Mark A. Scott.</t>
        </is>
      </c>
      <c r="F2305" t="inlineStr">
        <is>
          <t>No</t>
        </is>
      </c>
      <c r="G2305" t="inlineStr">
        <is>
          <t>1</t>
        </is>
      </c>
      <c r="H2305" t="inlineStr">
        <is>
          <t>No</t>
        </is>
      </c>
      <c r="I2305" t="inlineStr">
        <is>
          <t>No</t>
        </is>
      </c>
      <c r="J2305" t="inlineStr">
        <is>
          <t>0</t>
        </is>
      </c>
      <c r="K2305" t="inlineStr">
        <is>
          <t>Connor, Elizabeth.</t>
        </is>
      </c>
      <c r="L2305" t="inlineStr">
        <is>
          <t>Kalamazoo, Mich. : Cistercian Publications, 2007.</t>
        </is>
      </c>
      <c r="M2305" t="inlineStr">
        <is>
          <t>2007</t>
        </is>
      </c>
      <c r="O2305" t="inlineStr">
        <is>
          <t>eng</t>
        </is>
      </c>
      <c r="P2305" t="inlineStr">
        <is>
          <t>miu</t>
        </is>
      </c>
      <c r="Q2305" t="inlineStr">
        <is>
          <t>Monastic wisdom series ; no. 10</t>
        </is>
      </c>
      <c r="R2305" t="inlineStr">
        <is>
          <t xml:space="preserve">BX </t>
        </is>
      </c>
      <c r="S2305" t="n">
        <v>1</v>
      </c>
      <c r="T2305" t="n">
        <v>1</v>
      </c>
      <c r="U2305" t="inlineStr">
        <is>
          <t>2007-10-02</t>
        </is>
      </c>
      <c r="V2305" t="inlineStr">
        <is>
          <t>2007-10-02</t>
        </is>
      </c>
      <c r="W2305" t="inlineStr">
        <is>
          <t>2007-10-02</t>
        </is>
      </c>
      <c r="X2305" t="inlineStr">
        <is>
          <t>2007-10-02</t>
        </is>
      </c>
      <c r="Y2305" t="n">
        <v>55</v>
      </c>
      <c r="Z2305" t="n">
        <v>49</v>
      </c>
      <c r="AA2305" t="n">
        <v>50</v>
      </c>
      <c r="AB2305" t="n">
        <v>1</v>
      </c>
      <c r="AC2305" t="n">
        <v>1</v>
      </c>
      <c r="AD2305" t="n">
        <v>7</v>
      </c>
      <c r="AE2305" t="n">
        <v>7</v>
      </c>
      <c r="AF2305" t="n">
        <v>1</v>
      </c>
      <c r="AG2305" t="n">
        <v>1</v>
      </c>
      <c r="AH2305" t="n">
        <v>4</v>
      </c>
      <c r="AI2305" t="n">
        <v>4</v>
      </c>
      <c r="AJ2305" t="n">
        <v>4</v>
      </c>
      <c r="AK2305" t="n">
        <v>4</v>
      </c>
      <c r="AL2305" t="n">
        <v>0</v>
      </c>
      <c r="AM2305" t="n">
        <v>0</v>
      </c>
      <c r="AN2305" t="n">
        <v>0</v>
      </c>
      <c r="AO2305" t="n">
        <v>0</v>
      </c>
      <c r="AP2305" t="inlineStr">
        <is>
          <t>No</t>
        </is>
      </c>
      <c r="AQ2305" t="inlineStr">
        <is>
          <t>Yes</t>
        </is>
      </c>
      <c r="AR2305">
        <f>HYPERLINK("http://catalog.hathitrust.org/Record/006025205","HathiTrust Record")</f>
        <v/>
      </c>
      <c r="AS2305">
        <f>HYPERLINK("https://creighton-primo.hosted.exlibrisgroup.com/primo-explore/search?tab=default_tab&amp;search_scope=EVERYTHING&amp;vid=01CRU&amp;lang=en_US&amp;offset=0&amp;query=any,contains,991005118889702656","Catalog Record")</f>
        <v/>
      </c>
      <c r="AT2305">
        <f>HYPERLINK("http://www.worldcat.org/oclc/85766118","WorldCat Record")</f>
        <v/>
      </c>
      <c r="AU2305" t="inlineStr">
        <is>
          <t>901933284:eng</t>
        </is>
      </c>
      <c r="AV2305" t="inlineStr">
        <is>
          <t>85766118</t>
        </is>
      </c>
      <c r="AW2305" t="inlineStr">
        <is>
          <t>991005118889702656</t>
        </is>
      </c>
      <c r="AX2305" t="inlineStr">
        <is>
          <t>991005118889702656</t>
        </is>
      </c>
      <c r="AY2305" t="inlineStr">
        <is>
          <t>2261863590002656</t>
        </is>
      </c>
      <c r="AZ2305" t="inlineStr">
        <is>
          <t>BOOK</t>
        </is>
      </c>
      <c r="BB2305" t="inlineStr">
        <is>
          <t>9780879070403</t>
        </is>
      </c>
      <c r="BC2305" t="inlineStr">
        <is>
          <t>32285005327795</t>
        </is>
      </c>
      <c r="BD2305" t="inlineStr">
        <is>
          <t>893353707</t>
        </is>
      </c>
    </row>
    <row r="2306">
      <c r="A2306" t="inlineStr">
        <is>
          <t>No</t>
        </is>
      </c>
      <c r="B2306" t="inlineStr">
        <is>
          <t>BX4705.D88 R3 1953</t>
        </is>
      </c>
      <c r="C2306" t="inlineStr">
        <is>
          <t>0                      BX 4705000D  88                 R  3           1953</t>
        </is>
      </c>
      <c r="D2306" t="inlineStr">
        <is>
          <t>The less traveled road : a memoir of Dom Mary Frederic Dunne, first American Trappist abbot.</t>
        </is>
      </c>
      <c r="F2306" t="inlineStr">
        <is>
          <t>No</t>
        </is>
      </c>
      <c r="G2306" t="inlineStr">
        <is>
          <t>1</t>
        </is>
      </c>
      <c r="H2306" t="inlineStr">
        <is>
          <t>No</t>
        </is>
      </c>
      <c r="I2306" t="inlineStr">
        <is>
          <t>No</t>
        </is>
      </c>
      <c r="J2306" t="inlineStr">
        <is>
          <t>0</t>
        </is>
      </c>
      <c r="K2306" t="inlineStr">
        <is>
          <t>M. Raymond, Father, O.C.S.O., 1903-1990.</t>
        </is>
      </c>
      <c r="L2306" t="inlineStr">
        <is>
          <t>Milwaukee : Bruce Pub. Co., [1953]</t>
        </is>
      </c>
      <c r="M2306" t="inlineStr">
        <is>
          <t>1953</t>
        </is>
      </c>
      <c r="O2306" t="inlineStr">
        <is>
          <t>eng</t>
        </is>
      </c>
      <c r="P2306" t="inlineStr">
        <is>
          <t xml:space="preserve">xx </t>
        </is>
      </c>
      <c r="R2306" t="inlineStr">
        <is>
          <t xml:space="preserve">BX </t>
        </is>
      </c>
      <c r="S2306" t="n">
        <v>4</v>
      </c>
      <c r="T2306" t="n">
        <v>4</v>
      </c>
      <c r="U2306" t="inlineStr">
        <is>
          <t>1994-12-14</t>
        </is>
      </c>
      <c r="V2306" t="inlineStr">
        <is>
          <t>1994-12-14</t>
        </is>
      </c>
      <c r="W2306" t="inlineStr">
        <is>
          <t>1991-12-19</t>
        </is>
      </c>
      <c r="X2306" t="inlineStr">
        <is>
          <t>1991-12-19</t>
        </is>
      </c>
      <c r="Y2306" t="n">
        <v>207</v>
      </c>
      <c r="Z2306" t="n">
        <v>198</v>
      </c>
      <c r="AA2306" t="n">
        <v>206</v>
      </c>
      <c r="AB2306" t="n">
        <v>2</v>
      </c>
      <c r="AC2306" t="n">
        <v>2</v>
      </c>
      <c r="AD2306" t="n">
        <v>24</v>
      </c>
      <c r="AE2306" t="n">
        <v>24</v>
      </c>
      <c r="AF2306" t="n">
        <v>9</v>
      </c>
      <c r="AG2306" t="n">
        <v>9</v>
      </c>
      <c r="AH2306" t="n">
        <v>6</v>
      </c>
      <c r="AI2306" t="n">
        <v>6</v>
      </c>
      <c r="AJ2306" t="n">
        <v>18</v>
      </c>
      <c r="AK2306" t="n">
        <v>18</v>
      </c>
      <c r="AL2306" t="n">
        <v>0</v>
      </c>
      <c r="AM2306" t="n">
        <v>0</v>
      </c>
      <c r="AN2306" t="n">
        <v>0</v>
      </c>
      <c r="AO2306" t="n">
        <v>0</v>
      </c>
      <c r="AP2306" t="inlineStr">
        <is>
          <t>No</t>
        </is>
      </c>
      <c r="AQ2306" t="inlineStr">
        <is>
          <t>No</t>
        </is>
      </c>
      <c r="AR2306">
        <f>HYPERLINK("http://catalog.hathitrust.org/Record/005922270","HathiTrust Record")</f>
        <v/>
      </c>
      <c r="AS2306">
        <f>HYPERLINK("https://creighton-primo.hosted.exlibrisgroup.com/primo-explore/search?tab=default_tab&amp;search_scope=EVERYTHING&amp;vid=01CRU&amp;lang=en_US&amp;offset=0&amp;query=any,contains,991003741599702656","Catalog Record")</f>
        <v/>
      </c>
      <c r="AT2306">
        <f>HYPERLINK("http://www.worldcat.org/oclc/1406916","WorldCat Record")</f>
        <v/>
      </c>
      <c r="AU2306" t="inlineStr">
        <is>
          <t>4160353893:eng</t>
        </is>
      </c>
      <c r="AV2306" t="inlineStr">
        <is>
          <t>1406916</t>
        </is>
      </c>
      <c r="AW2306" t="inlineStr">
        <is>
          <t>991003741599702656</t>
        </is>
      </c>
      <c r="AX2306" t="inlineStr">
        <is>
          <t>991003741599702656</t>
        </is>
      </c>
      <c r="AY2306" t="inlineStr">
        <is>
          <t>2261019840002656</t>
        </is>
      </c>
      <c r="AZ2306" t="inlineStr">
        <is>
          <t>BOOK</t>
        </is>
      </c>
      <c r="BC2306" t="inlineStr">
        <is>
          <t>32285000908300</t>
        </is>
      </c>
      <c r="BD2306" t="inlineStr">
        <is>
          <t>893699352</t>
        </is>
      </c>
    </row>
    <row r="2307">
      <c r="A2307" t="inlineStr">
        <is>
          <t>No</t>
        </is>
      </c>
      <c r="B2307" t="inlineStr">
        <is>
          <t>BX4705.E17 A3 1990</t>
        </is>
      </c>
      <c r="C2307" t="inlineStr">
        <is>
          <t>0                      BX 4705000E  17                 A  3           1990</t>
        </is>
      </c>
      <c r="D2307" t="inlineStr">
        <is>
          <t>A traveler toward the dawn : the spiritual journal of John Eagan, S.J. / edited by William J. O'Malley.</t>
        </is>
      </c>
      <c r="F2307" t="inlineStr">
        <is>
          <t>No</t>
        </is>
      </c>
      <c r="G2307" t="inlineStr">
        <is>
          <t>1</t>
        </is>
      </c>
      <c r="H2307" t="inlineStr">
        <is>
          <t>No</t>
        </is>
      </c>
      <c r="I2307" t="inlineStr">
        <is>
          <t>No</t>
        </is>
      </c>
      <c r="J2307" t="inlineStr">
        <is>
          <t>0</t>
        </is>
      </c>
      <c r="K2307" t="inlineStr">
        <is>
          <t>Eagan, John, 1925-1987.</t>
        </is>
      </c>
      <c r="L2307" t="inlineStr">
        <is>
          <t>Chicago, Ill. : Loyola University Press, c1990.</t>
        </is>
      </c>
      <c r="M2307" t="inlineStr">
        <is>
          <t>1990</t>
        </is>
      </c>
      <c r="O2307" t="inlineStr">
        <is>
          <t>eng</t>
        </is>
      </c>
      <c r="P2307" t="inlineStr">
        <is>
          <t>ilu</t>
        </is>
      </c>
      <c r="R2307" t="inlineStr">
        <is>
          <t xml:space="preserve">BX </t>
        </is>
      </c>
      <c r="S2307" t="n">
        <v>7</v>
      </c>
      <c r="T2307" t="n">
        <v>7</v>
      </c>
      <c r="U2307" t="inlineStr">
        <is>
          <t>2005-07-25</t>
        </is>
      </c>
      <c r="V2307" t="inlineStr">
        <is>
          <t>2005-07-25</t>
        </is>
      </c>
      <c r="W2307" t="inlineStr">
        <is>
          <t>1991-02-28</t>
        </is>
      </c>
      <c r="X2307" t="inlineStr">
        <is>
          <t>1991-02-28</t>
        </is>
      </c>
      <c r="Y2307" t="n">
        <v>110</v>
      </c>
      <c r="Z2307" t="n">
        <v>102</v>
      </c>
      <c r="AA2307" t="n">
        <v>108</v>
      </c>
      <c r="AB2307" t="n">
        <v>3</v>
      </c>
      <c r="AC2307" t="n">
        <v>3</v>
      </c>
      <c r="AD2307" t="n">
        <v>15</v>
      </c>
      <c r="AE2307" t="n">
        <v>15</v>
      </c>
      <c r="AF2307" t="n">
        <v>4</v>
      </c>
      <c r="AG2307" t="n">
        <v>4</v>
      </c>
      <c r="AH2307" t="n">
        <v>2</v>
      </c>
      <c r="AI2307" t="n">
        <v>2</v>
      </c>
      <c r="AJ2307" t="n">
        <v>14</v>
      </c>
      <c r="AK2307" t="n">
        <v>14</v>
      </c>
      <c r="AL2307" t="n">
        <v>0</v>
      </c>
      <c r="AM2307" t="n">
        <v>0</v>
      </c>
      <c r="AN2307" t="n">
        <v>0</v>
      </c>
      <c r="AO2307" t="n">
        <v>0</v>
      </c>
      <c r="AP2307" t="inlineStr">
        <is>
          <t>No</t>
        </is>
      </c>
      <c r="AQ2307" t="inlineStr">
        <is>
          <t>Yes</t>
        </is>
      </c>
      <c r="AR2307">
        <f>HYPERLINK("http://catalog.hathitrust.org/Record/006025207","HathiTrust Record")</f>
        <v/>
      </c>
      <c r="AS2307">
        <f>HYPERLINK("https://creighton-primo.hosted.exlibrisgroup.com/primo-explore/search?tab=default_tab&amp;search_scope=EVERYTHING&amp;vid=01CRU&amp;lang=en_US&amp;offset=0&amp;query=any,contains,991001606049702656","Catalog Record")</f>
        <v/>
      </c>
      <c r="AT2307">
        <f>HYPERLINK("http://www.worldcat.org/oclc/20692703","WorldCat Record")</f>
        <v/>
      </c>
      <c r="AU2307" t="inlineStr">
        <is>
          <t>2082359649:eng</t>
        </is>
      </c>
      <c r="AV2307" t="inlineStr">
        <is>
          <t>20692703</t>
        </is>
      </c>
      <c r="AW2307" t="inlineStr">
        <is>
          <t>991001606049702656</t>
        </is>
      </c>
      <c r="AX2307" t="inlineStr">
        <is>
          <t>991001606049702656</t>
        </is>
      </c>
      <c r="AY2307" t="inlineStr">
        <is>
          <t>2255004110002656</t>
        </is>
      </c>
      <c r="AZ2307" t="inlineStr">
        <is>
          <t>BOOK</t>
        </is>
      </c>
      <c r="BB2307" t="inlineStr">
        <is>
          <t>9780829406474</t>
        </is>
      </c>
      <c r="BC2307" t="inlineStr">
        <is>
          <t>32285000492198</t>
        </is>
      </c>
      <c r="BD2307" t="inlineStr">
        <is>
          <t>893703121</t>
        </is>
      </c>
    </row>
    <row r="2308">
      <c r="A2308" t="inlineStr">
        <is>
          <t>No</t>
        </is>
      </c>
      <c r="B2308" t="inlineStr">
        <is>
          <t>BX4705.E29 A33 1983</t>
        </is>
      </c>
      <c r="C2308" t="inlineStr">
        <is>
          <t>0                      BX 4705000E  29                 A  33          1983</t>
        </is>
      </c>
      <c r="D2308" t="inlineStr">
        <is>
          <t>Baptism of resistance, blood, and celebration : a road to wholeness in the nuclear age / John P. Egan with Paul D. Colford.</t>
        </is>
      </c>
      <c r="F2308" t="inlineStr">
        <is>
          <t>No</t>
        </is>
      </c>
      <c r="G2308" t="inlineStr">
        <is>
          <t>1</t>
        </is>
      </c>
      <c r="H2308" t="inlineStr">
        <is>
          <t>No</t>
        </is>
      </c>
      <c r="I2308" t="inlineStr">
        <is>
          <t>No</t>
        </is>
      </c>
      <c r="J2308" t="inlineStr">
        <is>
          <t>0</t>
        </is>
      </c>
      <c r="K2308" t="inlineStr">
        <is>
          <t>Egan, John P.</t>
        </is>
      </c>
      <c r="L2308" t="inlineStr">
        <is>
          <t>Mystic, CT : Twenty-Third Publications, c1983.</t>
        </is>
      </c>
      <c r="M2308" t="inlineStr">
        <is>
          <t>1983</t>
        </is>
      </c>
      <c r="O2308" t="inlineStr">
        <is>
          <t>eng</t>
        </is>
      </c>
      <c r="P2308" t="inlineStr">
        <is>
          <t>ctu</t>
        </is>
      </c>
      <c r="R2308" t="inlineStr">
        <is>
          <t xml:space="preserve">BX </t>
        </is>
      </c>
      <c r="S2308" t="n">
        <v>3</v>
      </c>
      <c r="T2308" t="n">
        <v>3</v>
      </c>
      <c r="U2308" t="inlineStr">
        <is>
          <t>1999-11-23</t>
        </is>
      </c>
      <c r="V2308" t="inlineStr">
        <is>
          <t>1999-11-23</t>
        </is>
      </c>
      <c r="W2308" t="inlineStr">
        <is>
          <t>1990-11-05</t>
        </is>
      </c>
      <c r="X2308" t="inlineStr">
        <is>
          <t>1990-11-05</t>
        </is>
      </c>
      <c r="Y2308" t="n">
        <v>133</v>
      </c>
      <c r="Z2308" t="n">
        <v>123</v>
      </c>
      <c r="AA2308" t="n">
        <v>128</v>
      </c>
      <c r="AB2308" t="n">
        <v>1</v>
      </c>
      <c r="AC2308" t="n">
        <v>1</v>
      </c>
      <c r="AD2308" t="n">
        <v>11</v>
      </c>
      <c r="AE2308" t="n">
        <v>11</v>
      </c>
      <c r="AF2308" t="n">
        <v>2</v>
      </c>
      <c r="AG2308" t="n">
        <v>2</v>
      </c>
      <c r="AH2308" t="n">
        <v>3</v>
      </c>
      <c r="AI2308" t="n">
        <v>3</v>
      </c>
      <c r="AJ2308" t="n">
        <v>8</v>
      </c>
      <c r="AK2308" t="n">
        <v>8</v>
      </c>
      <c r="AL2308" t="n">
        <v>0</v>
      </c>
      <c r="AM2308" t="n">
        <v>0</v>
      </c>
      <c r="AN2308" t="n">
        <v>0</v>
      </c>
      <c r="AO2308" t="n">
        <v>0</v>
      </c>
      <c r="AP2308" t="inlineStr">
        <is>
          <t>No</t>
        </is>
      </c>
      <c r="AQ2308" t="inlineStr">
        <is>
          <t>No</t>
        </is>
      </c>
      <c r="AS2308">
        <f>HYPERLINK("https://creighton-primo.hosted.exlibrisgroup.com/primo-explore/search?tab=default_tab&amp;search_scope=EVERYTHING&amp;vid=01CRU&amp;lang=en_US&amp;offset=0&amp;query=any,contains,991000157489702656","Catalog Record")</f>
        <v/>
      </c>
      <c r="AT2308">
        <f>HYPERLINK("http://www.worldcat.org/oclc/9252074","WorldCat Record")</f>
        <v/>
      </c>
      <c r="AU2308" t="inlineStr">
        <is>
          <t>1149400744:eng</t>
        </is>
      </c>
      <c r="AV2308" t="inlineStr">
        <is>
          <t>9252074</t>
        </is>
      </c>
      <c r="AW2308" t="inlineStr">
        <is>
          <t>991000157489702656</t>
        </is>
      </c>
      <c r="AX2308" t="inlineStr">
        <is>
          <t>991000157489702656</t>
        </is>
      </c>
      <c r="AY2308" t="inlineStr">
        <is>
          <t>2257807370002656</t>
        </is>
      </c>
      <c r="AZ2308" t="inlineStr">
        <is>
          <t>BOOK</t>
        </is>
      </c>
      <c r="BB2308" t="inlineStr">
        <is>
          <t>9780896221642</t>
        </is>
      </c>
      <c r="BC2308" t="inlineStr">
        <is>
          <t>32285000296698</t>
        </is>
      </c>
      <c r="BD2308" t="inlineStr">
        <is>
          <t>893626224</t>
        </is>
      </c>
    </row>
    <row r="2309">
      <c r="A2309" t="inlineStr">
        <is>
          <t>No</t>
        </is>
      </c>
      <c r="B2309" t="inlineStr">
        <is>
          <t>BX4705.E454 A3 1988</t>
        </is>
      </c>
      <c r="C2309" t="inlineStr">
        <is>
          <t>0                      BX 4705000E  454                A  3           1988</t>
        </is>
      </c>
      <c r="D2309" t="inlineStr">
        <is>
          <t>The future is mestizo : life where cultures meet / Virgil Elizondo.</t>
        </is>
      </c>
      <c r="F2309" t="inlineStr">
        <is>
          <t>No</t>
        </is>
      </c>
      <c r="G2309" t="inlineStr">
        <is>
          <t>1</t>
        </is>
      </c>
      <c r="H2309" t="inlineStr">
        <is>
          <t>No</t>
        </is>
      </c>
      <c r="I2309" t="inlineStr">
        <is>
          <t>No</t>
        </is>
      </c>
      <c r="J2309" t="inlineStr">
        <is>
          <t>0</t>
        </is>
      </c>
      <c r="K2309" t="inlineStr">
        <is>
          <t>Elizondo, Virgilio P.</t>
        </is>
      </c>
      <c r="L2309" t="inlineStr">
        <is>
          <t>Oak Park, IL : Meyer-Stone Books, c1988.</t>
        </is>
      </c>
      <c r="M2309" t="inlineStr">
        <is>
          <t>1988</t>
        </is>
      </c>
      <c r="N2309" t="inlineStr">
        <is>
          <t>Meyer-Stone ed.</t>
        </is>
      </c>
      <c r="O2309" t="inlineStr">
        <is>
          <t>eng</t>
        </is>
      </c>
      <c r="P2309" t="inlineStr">
        <is>
          <t>ilu</t>
        </is>
      </c>
      <c r="R2309" t="inlineStr">
        <is>
          <t xml:space="preserve">BX </t>
        </is>
      </c>
      <c r="S2309" t="n">
        <v>4</v>
      </c>
      <c r="T2309" t="n">
        <v>4</v>
      </c>
      <c r="U2309" t="inlineStr">
        <is>
          <t>2005-06-01</t>
        </is>
      </c>
      <c r="V2309" t="inlineStr">
        <is>
          <t>2005-06-01</t>
        </is>
      </c>
      <c r="W2309" t="inlineStr">
        <is>
          <t>1992-08-25</t>
        </is>
      </c>
      <c r="X2309" t="inlineStr">
        <is>
          <t>1992-08-25</t>
        </is>
      </c>
      <c r="Y2309" t="n">
        <v>204</v>
      </c>
      <c r="Z2309" t="n">
        <v>193</v>
      </c>
      <c r="AA2309" t="n">
        <v>1041</v>
      </c>
      <c r="AB2309" t="n">
        <v>2</v>
      </c>
      <c r="AC2309" t="n">
        <v>3</v>
      </c>
      <c r="AD2309" t="n">
        <v>12</v>
      </c>
      <c r="AE2309" t="n">
        <v>33</v>
      </c>
      <c r="AF2309" t="n">
        <v>3</v>
      </c>
      <c r="AG2309" t="n">
        <v>14</v>
      </c>
      <c r="AH2309" t="n">
        <v>1</v>
      </c>
      <c r="AI2309" t="n">
        <v>8</v>
      </c>
      <c r="AJ2309" t="n">
        <v>9</v>
      </c>
      <c r="AK2309" t="n">
        <v>18</v>
      </c>
      <c r="AL2309" t="n">
        <v>1</v>
      </c>
      <c r="AM2309" t="n">
        <v>2</v>
      </c>
      <c r="AN2309" t="n">
        <v>0</v>
      </c>
      <c r="AO2309" t="n">
        <v>0</v>
      </c>
      <c r="AP2309" t="inlineStr">
        <is>
          <t>No</t>
        </is>
      </c>
      <c r="AQ2309" t="inlineStr">
        <is>
          <t>Yes</t>
        </is>
      </c>
      <c r="AR2309">
        <f>HYPERLINK("http://catalog.hathitrust.org/Record/002548007","HathiTrust Record")</f>
        <v/>
      </c>
      <c r="AS2309">
        <f>HYPERLINK("https://creighton-primo.hosted.exlibrisgroup.com/primo-explore/search?tab=default_tab&amp;search_scope=EVERYTHING&amp;vid=01CRU&amp;lang=en_US&amp;offset=0&amp;query=any,contains,991001331669702656","Catalog Record")</f>
        <v/>
      </c>
      <c r="AT2309">
        <f>HYPERLINK("http://www.worldcat.org/oclc/18324874","WorldCat Record")</f>
        <v/>
      </c>
      <c r="AU2309" t="inlineStr">
        <is>
          <t>1031858:eng</t>
        </is>
      </c>
      <c r="AV2309" t="inlineStr">
        <is>
          <t>18324874</t>
        </is>
      </c>
      <c r="AW2309" t="inlineStr">
        <is>
          <t>991001331669702656</t>
        </is>
      </c>
      <c r="AX2309" t="inlineStr">
        <is>
          <t>991001331669702656</t>
        </is>
      </c>
      <c r="AY2309" t="inlineStr">
        <is>
          <t>2257341240002656</t>
        </is>
      </c>
      <c r="AZ2309" t="inlineStr">
        <is>
          <t>BOOK</t>
        </is>
      </c>
      <c r="BB2309" t="inlineStr">
        <is>
          <t>9780940989283</t>
        </is>
      </c>
      <c r="BC2309" t="inlineStr">
        <is>
          <t>32285001198000</t>
        </is>
      </c>
      <c r="BD2309" t="inlineStr">
        <is>
          <t>893626654</t>
        </is>
      </c>
    </row>
    <row r="2310">
      <c r="A2310" t="inlineStr">
        <is>
          <t>No</t>
        </is>
      </c>
      <c r="B2310" t="inlineStr">
        <is>
          <t>BX4705.E64 S4</t>
        </is>
      </c>
      <c r="C2310" t="inlineStr">
        <is>
          <t>0                      BX 4705000E  64                 S  4</t>
        </is>
      </c>
      <c r="D2310" t="inlineStr">
        <is>
          <t>Life of Anne Catherine Emmerich / Very Rev. K. E. Schmöger.</t>
        </is>
      </c>
      <c r="E2310" t="inlineStr">
        <is>
          <t>V.2</t>
        </is>
      </c>
      <c r="F2310" t="inlineStr">
        <is>
          <t>Yes</t>
        </is>
      </c>
      <c r="G2310" t="inlineStr">
        <is>
          <t>1</t>
        </is>
      </c>
      <c r="H2310" t="inlineStr">
        <is>
          <t>No</t>
        </is>
      </c>
      <c r="I2310" t="inlineStr">
        <is>
          <t>No</t>
        </is>
      </c>
      <c r="J2310" t="inlineStr">
        <is>
          <t>0</t>
        </is>
      </c>
      <c r="K2310" t="inlineStr">
        <is>
          <t>Schmöger, K. E. (Karl Erhard), 1819-1883.</t>
        </is>
      </c>
      <c r="L2310" t="inlineStr">
        <is>
          <t>Fresno, Calif. : Academy Library Guild, n.d.</t>
        </is>
      </c>
      <c r="O2310" t="inlineStr">
        <is>
          <t>eng</t>
        </is>
      </c>
      <c r="P2310" t="inlineStr">
        <is>
          <t xml:space="preserve">xx </t>
        </is>
      </c>
      <c r="R2310" t="inlineStr">
        <is>
          <t xml:space="preserve">BX </t>
        </is>
      </c>
      <c r="S2310" t="n">
        <v>2</v>
      </c>
      <c r="T2310" t="n">
        <v>3</v>
      </c>
      <c r="U2310" t="inlineStr">
        <is>
          <t>2006-02-15</t>
        </is>
      </c>
      <c r="V2310" t="inlineStr">
        <is>
          <t>2006-02-15</t>
        </is>
      </c>
      <c r="W2310" t="inlineStr">
        <is>
          <t>1991-12-19</t>
        </is>
      </c>
      <c r="X2310" t="inlineStr">
        <is>
          <t>1991-12-19</t>
        </is>
      </c>
      <c r="Y2310" t="n">
        <v>22</v>
      </c>
      <c r="Z2310" t="n">
        <v>22</v>
      </c>
      <c r="AA2310" t="n">
        <v>172</v>
      </c>
      <c r="AB2310" t="n">
        <v>1</v>
      </c>
      <c r="AC2310" t="n">
        <v>2</v>
      </c>
      <c r="AD2310" t="n">
        <v>10</v>
      </c>
      <c r="AE2310" t="n">
        <v>25</v>
      </c>
      <c r="AF2310" t="n">
        <v>3</v>
      </c>
      <c r="AG2310" t="n">
        <v>10</v>
      </c>
      <c r="AH2310" t="n">
        <v>2</v>
      </c>
      <c r="AI2310" t="n">
        <v>7</v>
      </c>
      <c r="AJ2310" t="n">
        <v>7</v>
      </c>
      <c r="AK2310" t="n">
        <v>17</v>
      </c>
      <c r="AL2310" t="n">
        <v>0</v>
      </c>
      <c r="AM2310" t="n">
        <v>0</v>
      </c>
      <c r="AN2310" t="n">
        <v>0</v>
      </c>
      <c r="AO2310" t="n">
        <v>0</v>
      </c>
      <c r="AP2310" t="inlineStr">
        <is>
          <t>No</t>
        </is>
      </c>
      <c r="AQ2310" t="inlineStr">
        <is>
          <t>No</t>
        </is>
      </c>
      <c r="AS2310">
        <f>HYPERLINK("https://creighton-primo.hosted.exlibrisgroup.com/primo-explore/search?tab=default_tab&amp;search_scope=EVERYTHING&amp;vid=01CRU&amp;lang=en_US&amp;offset=0&amp;query=any,contains,991004408689702656","Catalog Record")</f>
        <v/>
      </c>
      <c r="AT2310">
        <f>HYPERLINK("http://www.worldcat.org/oclc/3330879","WorldCat Record")</f>
        <v/>
      </c>
      <c r="AU2310" t="inlineStr">
        <is>
          <t>19944938:eng</t>
        </is>
      </c>
      <c r="AV2310" t="inlineStr">
        <is>
          <t>3330879</t>
        </is>
      </c>
      <c r="AW2310" t="inlineStr">
        <is>
          <t>991004408689702656</t>
        </is>
      </c>
      <c r="AX2310" t="inlineStr">
        <is>
          <t>991004408689702656</t>
        </is>
      </c>
      <c r="AY2310" t="inlineStr">
        <is>
          <t>2255830280002656</t>
        </is>
      </c>
      <c r="AZ2310" t="inlineStr">
        <is>
          <t>BOOK</t>
        </is>
      </c>
      <c r="BC2310" t="inlineStr">
        <is>
          <t>32285000908367</t>
        </is>
      </c>
      <c r="BD2310" t="inlineStr">
        <is>
          <t>893593656</t>
        </is>
      </c>
    </row>
    <row r="2311">
      <c r="A2311" t="inlineStr">
        <is>
          <t>No</t>
        </is>
      </c>
      <c r="B2311" t="inlineStr">
        <is>
          <t>BX4705.E64 S4</t>
        </is>
      </c>
      <c r="C2311" t="inlineStr">
        <is>
          <t>0                      BX 4705000E  64                 S  4</t>
        </is>
      </c>
      <c r="D2311" t="inlineStr">
        <is>
          <t>Life of Anne Catherine Emmerich / Very Rev. K. E. Schmöger.</t>
        </is>
      </c>
      <c r="E2311" t="inlineStr">
        <is>
          <t>V.1</t>
        </is>
      </c>
      <c r="F2311" t="inlineStr">
        <is>
          <t>Yes</t>
        </is>
      </c>
      <c r="G2311" t="inlineStr">
        <is>
          <t>1</t>
        </is>
      </c>
      <c r="H2311" t="inlineStr">
        <is>
          <t>No</t>
        </is>
      </c>
      <c r="I2311" t="inlineStr">
        <is>
          <t>No</t>
        </is>
      </c>
      <c r="J2311" t="inlineStr">
        <is>
          <t>0</t>
        </is>
      </c>
      <c r="K2311" t="inlineStr">
        <is>
          <t>Schmöger, K. E. (Karl Erhard), 1819-1883.</t>
        </is>
      </c>
      <c r="L2311" t="inlineStr">
        <is>
          <t>Fresno, Calif. : Academy Library Guild, n.d.</t>
        </is>
      </c>
      <c r="O2311" t="inlineStr">
        <is>
          <t>eng</t>
        </is>
      </c>
      <c r="P2311" t="inlineStr">
        <is>
          <t xml:space="preserve">xx </t>
        </is>
      </c>
      <c r="R2311" t="inlineStr">
        <is>
          <t xml:space="preserve">BX </t>
        </is>
      </c>
      <c r="S2311" t="n">
        <v>1</v>
      </c>
      <c r="T2311" t="n">
        <v>3</v>
      </c>
      <c r="U2311" t="inlineStr">
        <is>
          <t>2006-02-15</t>
        </is>
      </c>
      <c r="V2311" t="inlineStr">
        <is>
          <t>2006-02-15</t>
        </is>
      </c>
      <c r="W2311" t="inlineStr">
        <is>
          <t>1991-12-19</t>
        </is>
      </c>
      <c r="X2311" t="inlineStr">
        <is>
          <t>1991-12-19</t>
        </is>
      </c>
      <c r="Y2311" t="n">
        <v>22</v>
      </c>
      <c r="Z2311" t="n">
        <v>22</v>
      </c>
      <c r="AA2311" t="n">
        <v>172</v>
      </c>
      <c r="AB2311" t="n">
        <v>1</v>
      </c>
      <c r="AC2311" t="n">
        <v>2</v>
      </c>
      <c r="AD2311" t="n">
        <v>10</v>
      </c>
      <c r="AE2311" t="n">
        <v>25</v>
      </c>
      <c r="AF2311" t="n">
        <v>3</v>
      </c>
      <c r="AG2311" t="n">
        <v>10</v>
      </c>
      <c r="AH2311" t="n">
        <v>2</v>
      </c>
      <c r="AI2311" t="n">
        <v>7</v>
      </c>
      <c r="AJ2311" t="n">
        <v>7</v>
      </c>
      <c r="AK2311" t="n">
        <v>17</v>
      </c>
      <c r="AL2311" t="n">
        <v>0</v>
      </c>
      <c r="AM2311" t="n">
        <v>0</v>
      </c>
      <c r="AN2311" t="n">
        <v>0</v>
      </c>
      <c r="AO2311" t="n">
        <v>0</v>
      </c>
      <c r="AP2311" t="inlineStr">
        <is>
          <t>No</t>
        </is>
      </c>
      <c r="AQ2311" t="inlineStr">
        <is>
          <t>No</t>
        </is>
      </c>
      <c r="AS2311">
        <f>HYPERLINK("https://creighton-primo.hosted.exlibrisgroup.com/primo-explore/search?tab=default_tab&amp;search_scope=EVERYTHING&amp;vid=01CRU&amp;lang=en_US&amp;offset=0&amp;query=any,contains,991004408689702656","Catalog Record")</f>
        <v/>
      </c>
      <c r="AT2311">
        <f>HYPERLINK("http://www.worldcat.org/oclc/3330879","WorldCat Record")</f>
        <v/>
      </c>
      <c r="AU2311" t="inlineStr">
        <is>
          <t>19944938:eng</t>
        </is>
      </c>
      <c r="AV2311" t="inlineStr">
        <is>
          <t>3330879</t>
        </is>
      </c>
      <c r="AW2311" t="inlineStr">
        <is>
          <t>991004408689702656</t>
        </is>
      </c>
      <c r="AX2311" t="inlineStr">
        <is>
          <t>991004408689702656</t>
        </is>
      </c>
      <c r="AY2311" t="inlineStr">
        <is>
          <t>2255830280002656</t>
        </is>
      </c>
      <c r="AZ2311" t="inlineStr">
        <is>
          <t>BOOK</t>
        </is>
      </c>
      <c r="BC2311" t="inlineStr">
        <is>
          <t>32285000908359</t>
        </is>
      </c>
      <c r="BD2311" t="inlineStr">
        <is>
          <t>893605993</t>
        </is>
      </c>
    </row>
    <row r="2312">
      <c r="A2312" t="inlineStr">
        <is>
          <t>No</t>
        </is>
      </c>
      <c r="B2312" t="inlineStr">
        <is>
          <t>BX4705.E676 G67 1989</t>
        </is>
      </c>
      <c r="C2312" t="inlineStr">
        <is>
          <t>0                      BX 4705000E  676                G  67          1989</t>
        </is>
      </c>
      <c r="D2312" t="inlineStr">
        <is>
          <t>At God's pace : a biography of Josemaría Escrivá de Balaguer ; founder of Opus Dei / François Gondrand.</t>
        </is>
      </c>
      <c r="F2312" t="inlineStr">
        <is>
          <t>No</t>
        </is>
      </c>
      <c r="G2312" t="inlineStr">
        <is>
          <t>1</t>
        </is>
      </c>
      <c r="H2312" t="inlineStr">
        <is>
          <t>No</t>
        </is>
      </c>
      <c r="I2312" t="inlineStr">
        <is>
          <t>No</t>
        </is>
      </c>
      <c r="J2312" t="inlineStr">
        <is>
          <t>0</t>
        </is>
      </c>
      <c r="K2312" t="inlineStr">
        <is>
          <t>Gondrand, François, 1935-</t>
        </is>
      </c>
      <c r="L2312" t="inlineStr">
        <is>
          <t>London : Scepter, 1989.</t>
        </is>
      </c>
      <c r="M2312" t="inlineStr">
        <is>
          <t>1989</t>
        </is>
      </c>
      <c r="O2312" t="inlineStr">
        <is>
          <t>eng</t>
        </is>
      </c>
      <c r="P2312" t="inlineStr">
        <is>
          <t>enk</t>
        </is>
      </c>
      <c r="R2312" t="inlineStr">
        <is>
          <t xml:space="preserve">BX </t>
        </is>
      </c>
      <c r="S2312" t="n">
        <v>6</v>
      </c>
      <c r="T2312" t="n">
        <v>6</v>
      </c>
      <c r="U2312" t="inlineStr">
        <is>
          <t>2008-09-16</t>
        </is>
      </c>
      <c r="V2312" t="inlineStr">
        <is>
          <t>2008-09-16</t>
        </is>
      </c>
      <c r="W2312" t="inlineStr">
        <is>
          <t>1990-06-29</t>
        </is>
      </c>
      <c r="X2312" t="inlineStr">
        <is>
          <t>1990-06-29</t>
        </is>
      </c>
      <c r="Y2312" t="n">
        <v>40</v>
      </c>
      <c r="Z2312" t="n">
        <v>27</v>
      </c>
      <c r="AA2312" t="n">
        <v>28</v>
      </c>
      <c r="AB2312" t="n">
        <v>2</v>
      </c>
      <c r="AC2312" t="n">
        <v>2</v>
      </c>
      <c r="AD2312" t="n">
        <v>5</v>
      </c>
      <c r="AE2312" t="n">
        <v>5</v>
      </c>
      <c r="AF2312" t="n">
        <v>0</v>
      </c>
      <c r="AG2312" t="n">
        <v>0</v>
      </c>
      <c r="AH2312" t="n">
        <v>3</v>
      </c>
      <c r="AI2312" t="n">
        <v>3</v>
      </c>
      <c r="AJ2312" t="n">
        <v>3</v>
      </c>
      <c r="AK2312" t="n">
        <v>3</v>
      </c>
      <c r="AL2312" t="n">
        <v>0</v>
      </c>
      <c r="AM2312" t="n">
        <v>0</v>
      </c>
      <c r="AN2312" t="n">
        <v>0</v>
      </c>
      <c r="AO2312" t="n">
        <v>0</v>
      </c>
      <c r="AP2312" t="inlineStr">
        <is>
          <t>No</t>
        </is>
      </c>
      <c r="AQ2312" t="inlineStr">
        <is>
          <t>No</t>
        </is>
      </c>
      <c r="AS2312">
        <f>HYPERLINK("https://creighton-primo.hosted.exlibrisgroup.com/primo-explore/search?tab=default_tab&amp;search_scope=EVERYTHING&amp;vid=01CRU&amp;lang=en_US&amp;offset=0&amp;query=any,contains,991001537059702656","Catalog Record")</f>
        <v/>
      </c>
      <c r="AT2312">
        <f>HYPERLINK("http://www.worldcat.org/oclc/20091796","WorldCat Record")</f>
        <v/>
      </c>
      <c r="AU2312" t="inlineStr">
        <is>
          <t>4132029612:eng</t>
        </is>
      </c>
      <c r="AV2312" t="inlineStr">
        <is>
          <t>20091796</t>
        </is>
      </c>
      <c r="AW2312" t="inlineStr">
        <is>
          <t>991001537059702656</t>
        </is>
      </c>
      <c r="AX2312" t="inlineStr">
        <is>
          <t>991001537059702656</t>
        </is>
      </c>
      <c r="AY2312" t="inlineStr">
        <is>
          <t>2255810860002656</t>
        </is>
      </c>
      <c r="AZ2312" t="inlineStr">
        <is>
          <t>BOOK</t>
        </is>
      </c>
      <c r="BB2312" t="inlineStr">
        <is>
          <t>9780906138274</t>
        </is>
      </c>
      <c r="BC2312" t="inlineStr">
        <is>
          <t>32285000206077</t>
        </is>
      </c>
      <c r="BD2312" t="inlineStr">
        <is>
          <t>893328191</t>
        </is>
      </c>
    </row>
    <row r="2313">
      <c r="A2313" t="inlineStr">
        <is>
          <t>No</t>
        </is>
      </c>
      <c r="B2313" t="inlineStr">
        <is>
          <t>BX4705.F212 P8</t>
        </is>
      </c>
      <c r="C2313" t="inlineStr">
        <is>
          <t>0                      BX 4705000F  212                P  8</t>
        </is>
      </c>
      <c r="D2313" t="inlineStr">
        <is>
          <t>The quiet companion : Peter Favre, S. J., 1506-46 / Mary Purcell.</t>
        </is>
      </c>
      <c r="F2313" t="inlineStr">
        <is>
          <t>No</t>
        </is>
      </c>
      <c r="G2313" t="inlineStr">
        <is>
          <t>1</t>
        </is>
      </c>
      <c r="H2313" t="inlineStr">
        <is>
          <t>No</t>
        </is>
      </c>
      <c r="I2313" t="inlineStr">
        <is>
          <t>No</t>
        </is>
      </c>
      <c r="J2313" t="inlineStr">
        <is>
          <t>0</t>
        </is>
      </c>
      <c r="K2313" t="inlineStr">
        <is>
          <t>Purcell, Mary, 1906-1991.</t>
        </is>
      </c>
      <c r="L2313" t="inlineStr">
        <is>
          <t>Chicago : Loyola University Press, [1981?]</t>
        </is>
      </c>
      <c r="M2313" t="inlineStr">
        <is>
          <t>1981</t>
        </is>
      </c>
      <c r="O2313" t="inlineStr">
        <is>
          <t>eng</t>
        </is>
      </c>
      <c r="P2313" t="inlineStr">
        <is>
          <t>ilu</t>
        </is>
      </c>
      <c r="R2313" t="inlineStr">
        <is>
          <t xml:space="preserve">BX </t>
        </is>
      </c>
      <c r="S2313" t="n">
        <v>7</v>
      </c>
      <c r="T2313" t="n">
        <v>7</v>
      </c>
      <c r="U2313" t="inlineStr">
        <is>
          <t>2007-10-03</t>
        </is>
      </c>
      <c r="V2313" t="inlineStr">
        <is>
          <t>2007-10-03</t>
        </is>
      </c>
      <c r="W2313" t="inlineStr">
        <is>
          <t>1992-03-13</t>
        </is>
      </c>
      <c r="X2313" t="inlineStr">
        <is>
          <t>1992-03-13</t>
        </is>
      </c>
      <c r="Y2313" t="n">
        <v>105</v>
      </c>
      <c r="Z2313" t="n">
        <v>102</v>
      </c>
      <c r="AA2313" t="n">
        <v>213</v>
      </c>
      <c r="AB2313" t="n">
        <v>3</v>
      </c>
      <c r="AC2313" t="n">
        <v>3</v>
      </c>
      <c r="AD2313" t="n">
        <v>18</v>
      </c>
      <c r="AE2313" t="n">
        <v>24</v>
      </c>
      <c r="AF2313" t="n">
        <v>9</v>
      </c>
      <c r="AG2313" t="n">
        <v>9</v>
      </c>
      <c r="AH2313" t="n">
        <v>5</v>
      </c>
      <c r="AI2313" t="n">
        <v>6</v>
      </c>
      <c r="AJ2313" t="n">
        <v>15</v>
      </c>
      <c r="AK2313" t="n">
        <v>21</v>
      </c>
      <c r="AL2313" t="n">
        <v>0</v>
      </c>
      <c r="AM2313" t="n">
        <v>0</v>
      </c>
      <c r="AN2313" t="n">
        <v>0</v>
      </c>
      <c r="AO2313" t="n">
        <v>0</v>
      </c>
      <c r="AP2313" t="inlineStr">
        <is>
          <t>No</t>
        </is>
      </c>
      <c r="AQ2313" t="inlineStr">
        <is>
          <t>No</t>
        </is>
      </c>
      <c r="AS2313">
        <f>HYPERLINK("https://creighton-primo.hosted.exlibrisgroup.com/primo-explore/search?tab=default_tab&amp;search_scope=EVERYTHING&amp;vid=01CRU&amp;lang=en_US&amp;offset=0&amp;query=any,contains,991005188609702656","Catalog Record")</f>
        <v/>
      </c>
      <c r="AT2313">
        <f>HYPERLINK("http://www.worldcat.org/oclc/7981553","WorldCat Record")</f>
        <v/>
      </c>
      <c r="AU2313" t="inlineStr">
        <is>
          <t>252458363:eng</t>
        </is>
      </c>
      <c r="AV2313" t="inlineStr">
        <is>
          <t>7981553</t>
        </is>
      </c>
      <c r="AW2313" t="inlineStr">
        <is>
          <t>991005188609702656</t>
        </is>
      </c>
      <c r="AX2313" t="inlineStr">
        <is>
          <t>991005188609702656</t>
        </is>
      </c>
      <c r="AY2313" t="inlineStr">
        <is>
          <t>2261027520002656</t>
        </is>
      </c>
      <c r="AZ2313" t="inlineStr">
        <is>
          <t>BOOK</t>
        </is>
      </c>
      <c r="BB2313" t="inlineStr">
        <is>
          <t>9780829403770</t>
        </is>
      </c>
      <c r="BC2313" t="inlineStr">
        <is>
          <t>32285001001378</t>
        </is>
      </c>
      <c r="BD2313" t="inlineStr">
        <is>
          <t>893520599</t>
        </is>
      </c>
    </row>
    <row r="2314">
      <c r="A2314" t="inlineStr">
        <is>
          <t>No</t>
        </is>
      </c>
      <c r="B2314" t="inlineStr">
        <is>
          <t>BX4705.F445 B6 1949</t>
        </is>
      </c>
      <c r="C2314" t="inlineStr">
        <is>
          <t>0                      BX 4705000F  445                B  6           1949</t>
        </is>
      </c>
      <c r="D2314" t="inlineStr">
        <is>
          <t>She wears a crown of thorns : Marie Rose Ferron (1920-1936) known as "Little Rose" / the stigmatized ecstatic of Woonsocket, R.I.</t>
        </is>
      </c>
      <c r="F2314" t="inlineStr">
        <is>
          <t>No</t>
        </is>
      </c>
      <c r="G2314" t="inlineStr">
        <is>
          <t>1</t>
        </is>
      </c>
      <c r="H2314" t="inlineStr">
        <is>
          <t>No</t>
        </is>
      </c>
      <c r="I2314" t="inlineStr">
        <is>
          <t>No</t>
        </is>
      </c>
      <c r="J2314" t="inlineStr">
        <is>
          <t>0</t>
        </is>
      </c>
      <c r="K2314" t="inlineStr">
        <is>
          <t>Boyer, Onesimus Alfred, 1874-</t>
        </is>
      </c>
      <c r="L2314" t="inlineStr">
        <is>
          <t>New York : Benziger Brothers, 1949.</t>
        </is>
      </c>
      <c r="M2314" t="inlineStr">
        <is>
          <t>1949</t>
        </is>
      </c>
      <c r="O2314" t="inlineStr">
        <is>
          <t>eng</t>
        </is>
      </c>
      <c r="P2314" t="inlineStr">
        <is>
          <t>nyu</t>
        </is>
      </c>
      <c r="R2314" t="inlineStr">
        <is>
          <t xml:space="preserve">BX </t>
        </is>
      </c>
      <c r="S2314" t="n">
        <v>0</v>
      </c>
      <c r="T2314" t="n">
        <v>0</v>
      </c>
      <c r="U2314" t="inlineStr">
        <is>
          <t>2003-05-22</t>
        </is>
      </c>
      <c r="V2314" t="inlineStr">
        <is>
          <t>2003-05-22</t>
        </is>
      </c>
      <c r="W2314" t="inlineStr">
        <is>
          <t>1992-03-13</t>
        </is>
      </c>
      <c r="X2314" t="inlineStr">
        <is>
          <t>1992-03-13</t>
        </is>
      </c>
      <c r="Y2314" t="n">
        <v>24</v>
      </c>
      <c r="Z2314" t="n">
        <v>23</v>
      </c>
      <c r="AA2314" t="n">
        <v>37</v>
      </c>
      <c r="AB2314" t="n">
        <v>1</v>
      </c>
      <c r="AC2314" t="n">
        <v>1</v>
      </c>
      <c r="AD2314" t="n">
        <v>2</v>
      </c>
      <c r="AE2314" t="n">
        <v>4</v>
      </c>
      <c r="AF2314" t="n">
        <v>1</v>
      </c>
      <c r="AG2314" t="n">
        <v>2</v>
      </c>
      <c r="AH2314" t="n">
        <v>0</v>
      </c>
      <c r="AI2314" t="n">
        <v>0</v>
      </c>
      <c r="AJ2314" t="n">
        <v>1</v>
      </c>
      <c r="AK2314" t="n">
        <v>3</v>
      </c>
      <c r="AL2314" t="n">
        <v>0</v>
      </c>
      <c r="AM2314" t="n">
        <v>0</v>
      </c>
      <c r="AN2314" t="n">
        <v>0</v>
      </c>
      <c r="AO2314" t="n">
        <v>0</v>
      </c>
      <c r="AP2314" t="inlineStr">
        <is>
          <t>No</t>
        </is>
      </c>
      <c r="AQ2314" t="inlineStr">
        <is>
          <t>No</t>
        </is>
      </c>
      <c r="AS2314">
        <f>HYPERLINK("https://creighton-primo.hosted.exlibrisgroup.com/primo-explore/search?tab=default_tab&amp;search_scope=EVERYTHING&amp;vid=01CRU&amp;lang=en_US&amp;offset=0&amp;query=any,contains,991000062079702656","Catalog Record")</f>
        <v/>
      </c>
      <c r="AT2314">
        <f>HYPERLINK("http://www.worldcat.org/oclc/8738406","WorldCat Record")</f>
        <v/>
      </c>
      <c r="AU2314" t="inlineStr">
        <is>
          <t>9381537330:eng</t>
        </is>
      </c>
      <c r="AV2314" t="inlineStr">
        <is>
          <t>8738406</t>
        </is>
      </c>
      <c r="AW2314" t="inlineStr">
        <is>
          <t>991000062079702656</t>
        </is>
      </c>
      <c r="AX2314" t="inlineStr">
        <is>
          <t>991000062079702656</t>
        </is>
      </c>
      <c r="AY2314" t="inlineStr">
        <is>
          <t>2255542380002656</t>
        </is>
      </c>
      <c r="AZ2314" t="inlineStr">
        <is>
          <t>BOOK</t>
        </is>
      </c>
      <c r="BC2314" t="inlineStr">
        <is>
          <t>32285001001428</t>
        </is>
      </c>
      <c r="BD2314" t="inlineStr">
        <is>
          <t>893701795</t>
        </is>
      </c>
    </row>
    <row r="2315">
      <c r="A2315" t="inlineStr">
        <is>
          <t>No</t>
        </is>
      </c>
      <c r="B2315" t="inlineStr">
        <is>
          <t>BX4705.F523 A4 1994</t>
        </is>
      </c>
      <c r="C2315" t="inlineStr">
        <is>
          <t>0                      BX 4705000F  523                A  4           1994</t>
        </is>
      </c>
      <c r="D2315" t="inlineStr">
        <is>
          <t>Rio Maria : song of the earth / Ricardo Rezende ; translated and edited by Madeleine Adriance.</t>
        </is>
      </c>
      <c r="F2315" t="inlineStr">
        <is>
          <t>No</t>
        </is>
      </c>
      <c r="G2315" t="inlineStr">
        <is>
          <t>1</t>
        </is>
      </c>
      <c r="H2315" t="inlineStr">
        <is>
          <t>No</t>
        </is>
      </c>
      <c r="I2315" t="inlineStr">
        <is>
          <t>No</t>
        </is>
      </c>
      <c r="J2315" t="inlineStr">
        <is>
          <t>0</t>
        </is>
      </c>
      <c r="K2315" t="inlineStr">
        <is>
          <t>Figueira, Ricardo Rezende, 1952-</t>
        </is>
      </c>
      <c r="L2315" t="inlineStr">
        <is>
          <t>Maryknoll, N.Y. : Orbis; London, England ; CIIR ; Dublin Ireland : Trócaire, c1994.</t>
        </is>
      </c>
      <c r="M2315" t="inlineStr">
        <is>
          <t>1994</t>
        </is>
      </c>
      <c r="O2315" t="inlineStr">
        <is>
          <t>eng</t>
        </is>
      </c>
      <c r="P2315" t="inlineStr">
        <is>
          <t>nyu</t>
        </is>
      </c>
      <c r="R2315" t="inlineStr">
        <is>
          <t xml:space="preserve">BX </t>
        </is>
      </c>
      <c r="S2315" t="n">
        <v>5</v>
      </c>
      <c r="T2315" t="n">
        <v>5</v>
      </c>
      <c r="U2315" t="inlineStr">
        <is>
          <t>1995-10-12</t>
        </is>
      </c>
      <c r="V2315" t="inlineStr">
        <is>
          <t>1995-10-12</t>
        </is>
      </c>
      <c r="W2315" t="inlineStr">
        <is>
          <t>1994-12-13</t>
        </is>
      </c>
      <c r="X2315" t="inlineStr">
        <is>
          <t>1994-12-13</t>
        </is>
      </c>
      <c r="Y2315" t="n">
        <v>166</v>
      </c>
      <c r="Z2315" t="n">
        <v>147</v>
      </c>
      <c r="AA2315" t="n">
        <v>153</v>
      </c>
      <c r="AB2315" t="n">
        <v>2</v>
      </c>
      <c r="AC2315" t="n">
        <v>2</v>
      </c>
      <c r="AD2315" t="n">
        <v>12</v>
      </c>
      <c r="AE2315" t="n">
        <v>12</v>
      </c>
      <c r="AF2315" t="n">
        <v>2</v>
      </c>
      <c r="AG2315" t="n">
        <v>2</v>
      </c>
      <c r="AH2315" t="n">
        <v>3</v>
      </c>
      <c r="AI2315" t="n">
        <v>3</v>
      </c>
      <c r="AJ2315" t="n">
        <v>9</v>
      </c>
      <c r="AK2315" t="n">
        <v>9</v>
      </c>
      <c r="AL2315" t="n">
        <v>1</v>
      </c>
      <c r="AM2315" t="n">
        <v>1</v>
      </c>
      <c r="AN2315" t="n">
        <v>0</v>
      </c>
      <c r="AO2315" t="n">
        <v>0</v>
      </c>
      <c r="AP2315" t="inlineStr">
        <is>
          <t>No</t>
        </is>
      </c>
      <c r="AQ2315" t="inlineStr">
        <is>
          <t>No</t>
        </is>
      </c>
      <c r="AS2315">
        <f>HYPERLINK("https://creighton-primo.hosted.exlibrisgroup.com/primo-explore/search?tab=default_tab&amp;search_scope=EVERYTHING&amp;vid=01CRU&amp;lang=en_US&amp;offset=0&amp;query=any,contains,991002285689702656","Catalog Record")</f>
        <v/>
      </c>
      <c r="AT2315">
        <f>HYPERLINK("http://www.worldcat.org/oclc/29635832","WorldCat Record")</f>
        <v/>
      </c>
      <c r="AU2315" t="inlineStr">
        <is>
          <t>477915536:eng</t>
        </is>
      </c>
      <c r="AV2315" t="inlineStr">
        <is>
          <t>29635832</t>
        </is>
      </c>
      <c r="AW2315" t="inlineStr">
        <is>
          <t>991002285689702656</t>
        </is>
      </c>
      <c r="AX2315" t="inlineStr">
        <is>
          <t>991002285689702656</t>
        </is>
      </c>
      <c r="AY2315" t="inlineStr">
        <is>
          <t>2256537500002656</t>
        </is>
      </c>
      <c r="AZ2315" t="inlineStr">
        <is>
          <t>BOOK</t>
        </is>
      </c>
      <c r="BB2315" t="inlineStr">
        <is>
          <t>9780883449608</t>
        </is>
      </c>
      <c r="BC2315" t="inlineStr">
        <is>
          <t>32285001976652</t>
        </is>
      </c>
      <c r="BD2315" t="inlineStr">
        <is>
          <t>893439990</t>
        </is>
      </c>
    </row>
    <row r="2316">
      <c r="A2316" t="inlineStr">
        <is>
          <t>No</t>
        </is>
      </c>
      <c r="B2316" t="inlineStr">
        <is>
          <t>BX4705.F6323 C46 1881</t>
        </is>
      </c>
      <c r="C2316" t="inlineStr">
        <is>
          <t>0                      BX 4705000F  6323               C  46          1881</t>
        </is>
      </c>
      <c r="D2316" t="inlineStr">
        <is>
          <t>Alberic de Foresta : de la Compagnie de Jésus, fondateur des écoles apostoliques : sa vie, ses vertus, et son oeuvre.</t>
        </is>
      </c>
      <c r="F2316" t="inlineStr">
        <is>
          <t>No</t>
        </is>
      </c>
      <c r="G2316" t="inlineStr">
        <is>
          <t>1</t>
        </is>
      </c>
      <c r="H2316" t="inlineStr">
        <is>
          <t>No</t>
        </is>
      </c>
      <c r="I2316" t="inlineStr">
        <is>
          <t>No</t>
        </is>
      </c>
      <c r="J2316" t="inlineStr">
        <is>
          <t>0</t>
        </is>
      </c>
      <c r="K2316" t="inlineStr">
        <is>
          <t>Chazournes, Regis Arcis de, S.J., 1832-1883.</t>
        </is>
      </c>
      <c r="L2316" t="inlineStr">
        <is>
          <t>Paris : Poussielque Freres, 1881.</t>
        </is>
      </c>
      <c r="M2316" t="inlineStr">
        <is>
          <t>1881</t>
        </is>
      </c>
      <c r="N2316" t="inlineStr">
        <is>
          <t>2. ed. rev. et augmentee.</t>
        </is>
      </c>
      <c r="O2316" t="inlineStr">
        <is>
          <t>fre</t>
        </is>
      </c>
      <c r="P2316" t="inlineStr">
        <is>
          <t xml:space="preserve">fr </t>
        </is>
      </c>
      <c r="R2316" t="inlineStr">
        <is>
          <t xml:space="preserve">BX </t>
        </is>
      </c>
      <c r="S2316" t="n">
        <v>1</v>
      </c>
      <c r="T2316" t="n">
        <v>1</v>
      </c>
      <c r="U2316" t="inlineStr">
        <is>
          <t>1996-01-30</t>
        </is>
      </c>
      <c r="V2316" t="inlineStr">
        <is>
          <t>1996-01-30</t>
        </is>
      </c>
      <c r="W2316" t="inlineStr">
        <is>
          <t>1992-03-13</t>
        </is>
      </c>
      <c r="X2316" t="inlineStr">
        <is>
          <t>1992-03-13</t>
        </is>
      </c>
      <c r="Y2316" t="n">
        <v>7</v>
      </c>
      <c r="Z2316" t="n">
        <v>3</v>
      </c>
      <c r="AA2316" t="n">
        <v>8</v>
      </c>
      <c r="AB2316" t="n">
        <v>1</v>
      </c>
      <c r="AC2316" t="n">
        <v>1</v>
      </c>
      <c r="AD2316" t="n">
        <v>2</v>
      </c>
      <c r="AE2316" t="n">
        <v>4</v>
      </c>
      <c r="AF2316" t="n">
        <v>0</v>
      </c>
      <c r="AG2316" t="n">
        <v>0</v>
      </c>
      <c r="AH2316" t="n">
        <v>0</v>
      </c>
      <c r="AI2316" t="n">
        <v>1</v>
      </c>
      <c r="AJ2316" t="n">
        <v>2</v>
      </c>
      <c r="AK2316" t="n">
        <v>4</v>
      </c>
      <c r="AL2316" t="n">
        <v>0</v>
      </c>
      <c r="AM2316" t="n">
        <v>0</v>
      </c>
      <c r="AN2316" t="n">
        <v>0</v>
      </c>
      <c r="AO2316" t="n">
        <v>0</v>
      </c>
      <c r="AP2316" t="inlineStr">
        <is>
          <t>No</t>
        </is>
      </c>
      <c r="AQ2316" t="inlineStr">
        <is>
          <t>No</t>
        </is>
      </c>
      <c r="AS2316">
        <f>HYPERLINK("https://creighton-primo.hosted.exlibrisgroup.com/primo-explore/search?tab=default_tab&amp;search_scope=EVERYTHING&amp;vid=01CRU&amp;lang=en_US&amp;offset=0&amp;query=any,contains,991000844439702656","Catalog Record")</f>
        <v/>
      </c>
      <c r="AT2316">
        <f>HYPERLINK("http://www.worldcat.org/oclc/978072717","WorldCat Record")</f>
        <v/>
      </c>
      <c r="AU2316" t="inlineStr">
        <is>
          <t>366268070:fre</t>
        </is>
      </c>
      <c r="AV2316" t="inlineStr">
        <is>
          <t>978072717</t>
        </is>
      </c>
      <c r="AW2316" t="inlineStr">
        <is>
          <t>991000844439702656</t>
        </is>
      </c>
      <c r="AX2316" t="inlineStr">
        <is>
          <t>991000844439702656</t>
        </is>
      </c>
      <c r="AY2316" t="inlineStr">
        <is>
          <t>2271632960002656</t>
        </is>
      </c>
      <c r="AZ2316" t="inlineStr">
        <is>
          <t>BOOK</t>
        </is>
      </c>
      <c r="BC2316" t="inlineStr">
        <is>
          <t>32285001001485</t>
        </is>
      </c>
      <c r="BD2316" t="inlineStr">
        <is>
          <t>893803113</t>
        </is>
      </c>
    </row>
    <row r="2317">
      <c r="A2317" t="inlineStr">
        <is>
          <t>No</t>
        </is>
      </c>
      <c r="B2317" t="inlineStr">
        <is>
          <t>BX4705.F633 D6 1967</t>
        </is>
      </c>
      <c r="C2317" t="inlineStr">
        <is>
          <t>0                      BX 4705000F  633                D  6           1967</t>
        </is>
      </c>
      <c r="D2317" t="inlineStr">
        <is>
          <t>The pagoda and the cross : the life of Bishop Ford of Maryknoll / [by] John F. Donovan.</t>
        </is>
      </c>
      <c r="F2317" t="inlineStr">
        <is>
          <t>No</t>
        </is>
      </c>
      <c r="G2317" t="inlineStr">
        <is>
          <t>1</t>
        </is>
      </c>
      <c r="H2317" t="inlineStr">
        <is>
          <t>No</t>
        </is>
      </c>
      <c r="I2317" t="inlineStr">
        <is>
          <t>No</t>
        </is>
      </c>
      <c r="J2317" t="inlineStr">
        <is>
          <t>0</t>
        </is>
      </c>
      <c r="K2317" t="inlineStr">
        <is>
          <t>Donovan, John F.</t>
        </is>
      </c>
      <c r="L2317" t="inlineStr">
        <is>
          <t>New York : Scribner, [1967]</t>
        </is>
      </c>
      <c r="M2317" t="inlineStr">
        <is>
          <t>1967</t>
        </is>
      </c>
      <c r="O2317" t="inlineStr">
        <is>
          <t>eng</t>
        </is>
      </c>
      <c r="P2317" t="inlineStr">
        <is>
          <t xml:space="preserve">xx </t>
        </is>
      </c>
      <c r="R2317" t="inlineStr">
        <is>
          <t xml:space="preserve">BX </t>
        </is>
      </c>
      <c r="S2317" t="n">
        <v>3</v>
      </c>
      <c r="T2317" t="n">
        <v>3</v>
      </c>
      <c r="U2317" t="inlineStr">
        <is>
          <t>2006-09-28</t>
        </is>
      </c>
      <c r="V2317" t="inlineStr">
        <is>
          <t>2006-09-28</t>
        </is>
      </c>
      <c r="W2317" t="inlineStr">
        <is>
          <t>1992-03-13</t>
        </is>
      </c>
      <c r="X2317" t="inlineStr">
        <is>
          <t>1992-03-13</t>
        </is>
      </c>
      <c r="Y2317" t="n">
        <v>376</v>
      </c>
      <c r="Z2317" t="n">
        <v>342</v>
      </c>
      <c r="AA2317" t="n">
        <v>349</v>
      </c>
      <c r="AB2317" t="n">
        <v>4</v>
      </c>
      <c r="AC2317" t="n">
        <v>4</v>
      </c>
      <c r="AD2317" t="n">
        <v>25</v>
      </c>
      <c r="AE2317" t="n">
        <v>25</v>
      </c>
      <c r="AF2317" t="n">
        <v>6</v>
      </c>
      <c r="AG2317" t="n">
        <v>6</v>
      </c>
      <c r="AH2317" t="n">
        <v>6</v>
      </c>
      <c r="AI2317" t="n">
        <v>6</v>
      </c>
      <c r="AJ2317" t="n">
        <v>18</v>
      </c>
      <c r="AK2317" t="n">
        <v>18</v>
      </c>
      <c r="AL2317" t="n">
        <v>1</v>
      </c>
      <c r="AM2317" t="n">
        <v>1</v>
      </c>
      <c r="AN2317" t="n">
        <v>0</v>
      </c>
      <c r="AO2317" t="n">
        <v>0</v>
      </c>
      <c r="AP2317" t="inlineStr">
        <is>
          <t>No</t>
        </is>
      </c>
      <c r="AQ2317" t="inlineStr">
        <is>
          <t>Yes</t>
        </is>
      </c>
      <c r="AR2317">
        <f>HYPERLINK("http://catalog.hathitrust.org/Record/001591913","HathiTrust Record")</f>
        <v/>
      </c>
      <c r="AS2317">
        <f>HYPERLINK("https://creighton-primo.hosted.exlibrisgroup.com/primo-explore/search?tab=default_tab&amp;search_scope=EVERYTHING&amp;vid=01CRU&amp;lang=en_US&amp;offset=0&amp;query=any,contains,991003727599702656","Catalog Record")</f>
        <v/>
      </c>
      <c r="AT2317">
        <f>HYPERLINK("http://www.worldcat.org/oclc/1376571","WorldCat Record")</f>
        <v/>
      </c>
      <c r="AU2317" t="inlineStr">
        <is>
          <t>203095884:eng</t>
        </is>
      </c>
      <c r="AV2317" t="inlineStr">
        <is>
          <t>1376571</t>
        </is>
      </c>
      <c r="AW2317" t="inlineStr">
        <is>
          <t>991003727599702656</t>
        </is>
      </c>
      <c r="AX2317" t="inlineStr">
        <is>
          <t>991003727599702656</t>
        </is>
      </c>
      <c r="AY2317" t="inlineStr">
        <is>
          <t>2257365350002656</t>
        </is>
      </c>
      <c r="AZ2317" t="inlineStr">
        <is>
          <t>BOOK</t>
        </is>
      </c>
      <c r="BC2317" t="inlineStr">
        <is>
          <t>32285001001493</t>
        </is>
      </c>
      <c r="BD2317" t="inlineStr">
        <is>
          <t>893435356</t>
        </is>
      </c>
    </row>
    <row r="2318">
      <c r="A2318" t="inlineStr">
        <is>
          <t>No</t>
        </is>
      </c>
      <c r="B2318" t="inlineStr">
        <is>
          <t>BX4705.F65 B3 1921</t>
        </is>
      </c>
      <c r="C2318" t="inlineStr">
        <is>
          <t>0                      BX 4705000F  65                 B  3           1921</t>
        </is>
      </c>
      <c r="D2318" t="inlineStr">
        <is>
          <t>Charles de Foucauld : explorateur du Maroc, ermite au Sahara, avec un portrait, un fac-similé d'autographe et une carte-itinéraire.</t>
        </is>
      </c>
      <c r="F2318" t="inlineStr">
        <is>
          <t>No</t>
        </is>
      </c>
      <c r="G2318" t="inlineStr">
        <is>
          <t>1</t>
        </is>
      </c>
      <c r="H2318" t="inlineStr">
        <is>
          <t>No</t>
        </is>
      </c>
      <c r="I2318" t="inlineStr">
        <is>
          <t>No</t>
        </is>
      </c>
      <c r="J2318" t="inlineStr">
        <is>
          <t>0</t>
        </is>
      </c>
      <c r="K2318" t="inlineStr">
        <is>
          <t>Bazin, René, 1853-1932.</t>
        </is>
      </c>
      <c r="L2318" t="inlineStr">
        <is>
          <t>Paris : Plon-Nourrit et cie, [c1921]</t>
        </is>
      </c>
      <c r="M2318" t="inlineStr">
        <is>
          <t>1921</t>
        </is>
      </c>
      <c r="O2318" t="inlineStr">
        <is>
          <t>fre</t>
        </is>
      </c>
      <c r="P2318" t="inlineStr">
        <is>
          <t xml:space="preserve">fr </t>
        </is>
      </c>
      <c r="R2318" t="inlineStr">
        <is>
          <t xml:space="preserve">BX </t>
        </is>
      </c>
      <c r="S2318" t="n">
        <v>1</v>
      </c>
      <c r="T2318" t="n">
        <v>1</v>
      </c>
      <c r="U2318" t="inlineStr">
        <is>
          <t>2003-11-02</t>
        </is>
      </c>
      <c r="V2318" t="inlineStr">
        <is>
          <t>2003-11-02</t>
        </is>
      </c>
      <c r="W2318" t="inlineStr">
        <is>
          <t>1992-03-09</t>
        </is>
      </c>
      <c r="X2318" t="inlineStr">
        <is>
          <t>1992-03-09</t>
        </is>
      </c>
      <c r="Y2318" t="n">
        <v>159</v>
      </c>
      <c r="Z2318" t="n">
        <v>125</v>
      </c>
      <c r="AA2318" t="n">
        <v>157</v>
      </c>
      <c r="AB2318" t="n">
        <v>2</v>
      </c>
      <c r="AC2318" t="n">
        <v>2</v>
      </c>
      <c r="AD2318" t="n">
        <v>15</v>
      </c>
      <c r="AE2318" t="n">
        <v>18</v>
      </c>
      <c r="AF2318" t="n">
        <v>4</v>
      </c>
      <c r="AG2318" t="n">
        <v>4</v>
      </c>
      <c r="AH2318" t="n">
        <v>3</v>
      </c>
      <c r="AI2318" t="n">
        <v>4</v>
      </c>
      <c r="AJ2318" t="n">
        <v>11</v>
      </c>
      <c r="AK2318" t="n">
        <v>13</v>
      </c>
      <c r="AL2318" t="n">
        <v>1</v>
      </c>
      <c r="AM2318" t="n">
        <v>1</v>
      </c>
      <c r="AN2318" t="n">
        <v>0</v>
      </c>
      <c r="AO2318" t="n">
        <v>0</v>
      </c>
      <c r="AP2318" t="inlineStr">
        <is>
          <t>Yes</t>
        </is>
      </c>
      <c r="AQ2318" t="inlineStr">
        <is>
          <t>No</t>
        </is>
      </c>
      <c r="AR2318">
        <f>HYPERLINK("http://catalog.hathitrust.org/Record/001591916","HathiTrust Record")</f>
        <v/>
      </c>
      <c r="AS2318">
        <f>HYPERLINK("https://creighton-primo.hosted.exlibrisgroup.com/primo-explore/search?tab=default_tab&amp;search_scope=EVERYTHING&amp;vid=01CRU&amp;lang=en_US&amp;offset=0&amp;query=any,contains,991003543689702656","Catalog Record")</f>
        <v/>
      </c>
      <c r="AT2318">
        <f>HYPERLINK("http://www.worldcat.org/oclc/1109464","WorldCat Record")</f>
        <v/>
      </c>
      <c r="AU2318" t="inlineStr">
        <is>
          <t>7379734:fre</t>
        </is>
      </c>
      <c r="AV2318" t="inlineStr">
        <is>
          <t>1109464</t>
        </is>
      </c>
      <c r="AW2318" t="inlineStr">
        <is>
          <t>991003543689702656</t>
        </is>
      </c>
      <c r="AX2318" t="inlineStr">
        <is>
          <t>991003543689702656</t>
        </is>
      </c>
      <c r="AY2318" t="inlineStr">
        <is>
          <t>2255196670002656</t>
        </is>
      </c>
      <c r="AZ2318" t="inlineStr">
        <is>
          <t>BOOK</t>
        </is>
      </c>
      <c r="BC2318" t="inlineStr">
        <is>
          <t>32285000994557</t>
        </is>
      </c>
      <c r="BD2318" t="inlineStr">
        <is>
          <t>893348790</t>
        </is>
      </c>
    </row>
    <row r="2319">
      <c r="A2319" t="inlineStr">
        <is>
          <t>No</t>
        </is>
      </c>
      <c r="B2319" t="inlineStr">
        <is>
          <t>BX4705.F65 C32 1956</t>
        </is>
      </c>
      <c r="C2319" t="inlineStr">
        <is>
          <t>0                      BX 4705000F  65                 C  32          1956</t>
        </is>
      </c>
      <c r="D2319" t="inlineStr">
        <is>
          <t>Soldier of the spirit : the life of Charles de Foucauld / Translated from the French by Marie-Christine Hellin; with an introd. by Anne Fremantle.</t>
        </is>
      </c>
      <c r="F2319" t="inlineStr">
        <is>
          <t>No</t>
        </is>
      </c>
      <c r="G2319" t="inlineStr">
        <is>
          <t>1</t>
        </is>
      </c>
      <c r="H2319" t="inlineStr">
        <is>
          <t>No</t>
        </is>
      </c>
      <c r="I2319" t="inlineStr">
        <is>
          <t>No</t>
        </is>
      </c>
      <c r="J2319" t="inlineStr">
        <is>
          <t>0</t>
        </is>
      </c>
      <c r="K2319" t="inlineStr">
        <is>
          <t>Carrouges, Michel, 1910-1988.</t>
        </is>
      </c>
      <c r="L2319" t="inlineStr">
        <is>
          <t>New York : Putnam, [1956]</t>
        </is>
      </c>
      <c r="M2319" t="inlineStr">
        <is>
          <t>1956</t>
        </is>
      </c>
      <c r="O2319" t="inlineStr">
        <is>
          <t>eng</t>
        </is>
      </c>
      <c r="P2319" t="inlineStr">
        <is>
          <t xml:space="preserve">xx </t>
        </is>
      </c>
      <c r="R2319" t="inlineStr">
        <is>
          <t xml:space="preserve">BX </t>
        </is>
      </c>
      <c r="S2319" t="n">
        <v>6</v>
      </c>
      <c r="T2319" t="n">
        <v>6</v>
      </c>
      <c r="U2319" t="inlineStr">
        <is>
          <t>2003-11-02</t>
        </is>
      </c>
      <c r="V2319" t="inlineStr">
        <is>
          <t>2003-11-02</t>
        </is>
      </c>
      <c r="W2319" t="inlineStr">
        <is>
          <t>1992-04-09</t>
        </is>
      </c>
      <c r="X2319" t="inlineStr">
        <is>
          <t>1992-04-09</t>
        </is>
      </c>
      <c r="Y2319" t="n">
        <v>288</v>
      </c>
      <c r="Z2319" t="n">
        <v>259</v>
      </c>
      <c r="AA2319" t="n">
        <v>286</v>
      </c>
      <c r="AB2319" t="n">
        <v>4</v>
      </c>
      <c r="AC2319" t="n">
        <v>4</v>
      </c>
      <c r="AD2319" t="n">
        <v>26</v>
      </c>
      <c r="AE2319" t="n">
        <v>29</v>
      </c>
      <c r="AF2319" t="n">
        <v>9</v>
      </c>
      <c r="AG2319" t="n">
        <v>10</v>
      </c>
      <c r="AH2319" t="n">
        <v>7</v>
      </c>
      <c r="AI2319" t="n">
        <v>8</v>
      </c>
      <c r="AJ2319" t="n">
        <v>19</v>
      </c>
      <c r="AK2319" t="n">
        <v>22</v>
      </c>
      <c r="AL2319" t="n">
        <v>1</v>
      </c>
      <c r="AM2319" t="n">
        <v>1</v>
      </c>
      <c r="AN2319" t="n">
        <v>0</v>
      </c>
      <c r="AO2319" t="n">
        <v>0</v>
      </c>
      <c r="AP2319" t="inlineStr">
        <is>
          <t>No</t>
        </is>
      </c>
      <c r="AQ2319" t="inlineStr">
        <is>
          <t>No</t>
        </is>
      </c>
      <c r="AS2319">
        <f>HYPERLINK("https://creighton-primo.hosted.exlibrisgroup.com/primo-explore/search?tab=default_tab&amp;search_scope=EVERYTHING&amp;vid=01CRU&amp;lang=en_US&amp;offset=0&amp;query=any,contains,991003771879702656","Catalog Record")</f>
        <v/>
      </c>
      <c r="AT2319">
        <f>HYPERLINK("http://www.worldcat.org/oclc/1473219","WorldCat Record")</f>
        <v/>
      </c>
      <c r="AU2319" t="inlineStr">
        <is>
          <t>12171809:eng</t>
        </is>
      </c>
      <c r="AV2319" t="inlineStr">
        <is>
          <t>1473219</t>
        </is>
      </c>
      <c r="AW2319" t="inlineStr">
        <is>
          <t>991003771879702656</t>
        </is>
      </c>
      <c r="AX2319" t="inlineStr">
        <is>
          <t>991003771879702656</t>
        </is>
      </c>
      <c r="AY2319" t="inlineStr">
        <is>
          <t>2255693280002656</t>
        </is>
      </c>
      <c r="AZ2319" t="inlineStr">
        <is>
          <t>BOOK</t>
        </is>
      </c>
      <c r="BC2319" t="inlineStr">
        <is>
          <t>32285001066314</t>
        </is>
      </c>
      <c r="BD2319" t="inlineStr">
        <is>
          <t>893342990</t>
        </is>
      </c>
    </row>
    <row r="2320">
      <c r="A2320" t="inlineStr">
        <is>
          <t>No</t>
        </is>
      </c>
      <c r="B2320" t="inlineStr">
        <is>
          <t>BX4705.F65 C3713 1975</t>
        </is>
      </c>
      <c r="C2320" t="inlineStr">
        <is>
          <t>0                      BX 4705000F  65                 C  3713        1975</t>
        </is>
      </c>
      <c r="D2320" t="inlineStr">
        <is>
          <t>Silent pilgrimage to God : the spirituality of Charles de Foucauld / by a Little Brother of Jesus ; translated by Jeremy Moiser ; pref. by René Voillaume.</t>
        </is>
      </c>
      <c r="F2320" t="inlineStr">
        <is>
          <t>No</t>
        </is>
      </c>
      <c r="G2320" t="inlineStr">
        <is>
          <t>1</t>
        </is>
      </c>
      <c r="H2320" t="inlineStr">
        <is>
          <t>No</t>
        </is>
      </c>
      <c r="I2320" t="inlineStr">
        <is>
          <t>No</t>
        </is>
      </c>
      <c r="J2320" t="inlineStr">
        <is>
          <t>0</t>
        </is>
      </c>
      <c r="L2320" t="inlineStr">
        <is>
          <t>Maryknoll, N.Y. : Orbis Books, 1975.</t>
        </is>
      </c>
      <c r="M2320" t="inlineStr">
        <is>
          <t>1975</t>
        </is>
      </c>
      <c r="O2320" t="inlineStr">
        <is>
          <t>eng</t>
        </is>
      </c>
      <c r="P2320" t="inlineStr">
        <is>
          <t>nyu</t>
        </is>
      </c>
      <c r="R2320" t="inlineStr">
        <is>
          <t xml:space="preserve">BX </t>
        </is>
      </c>
      <c r="S2320" t="n">
        <v>7</v>
      </c>
      <c r="T2320" t="n">
        <v>7</v>
      </c>
      <c r="U2320" t="inlineStr">
        <is>
          <t>2001-07-16</t>
        </is>
      </c>
      <c r="V2320" t="inlineStr">
        <is>
          <t>2001-07-16</t>
        </is>
      </c>
      <c r="W2320" t="inlineStr">
        <is>
          <t>1992-04-09</t>
        </is>
      </c>
      <c r="X2320" t="inlineStr">
        <is>
          <t>1992-04-09</t>
        </is>
      </c>
      <c r="Y2320" t="n">
        <v>207</v>
      </c>
      <c r="Z2320" t="n">
        <v>191</v>
      </c>
      <c r="AA2320" t="n">
        <v>211</v>
      </c>
      <c r="AB2320" t="n">
        <v>2</v>
      </c>
      <c r="AC2320" t="n">
        <v>2</v>
      </c>
      <c r="AD2320" t="n">
        <v>20</v>
      </c>
      <c r="AE2320" t="n">
        <v>23</v>
      </c>
      <c r="AF2320" t="n">
        <v>8</v>
      </c>
      <c r="AG2320" t="n">
        <v>9</v>
      </c>
      <c r="AH2320" t="n">
        <v>4</v>
      </c>
      <c r="AI2320" t="n">
        <v>5</v>
      </c>
      <c r="AJ2320" t="n">
        <v>12</v>
      </c>
      <c r="AK2320" t="n">
        <v>14</v>
      </c>
      <c r="AL2320" t="n">
        <v>0</v>
      </c>
      <c r="AM2320" t="n">
        <v>0</v>
      </c>
      <c r="AN2320" t="n">
        <v>0</v>
      </c>
      <c r="AO2320" t="n">
        <v>0</v>
      </c>
      <c r="AP2320" t="inlineStr">
        <is>
          <t>No</t>
        </is>
      </c>
      <c r="AQ2320" t="inlineStr">
        <is>
          <t>No</t>
        </is>
      </c>
      <c r="AS2320">
        <f>HYPERLINK("https://creighton-primo.hosted.exlibrisgroup.com/primo-explore/search?tab=default_tab&amp;search_scope=EVERYTHING&amp;vid=01CRU&amp;lang=en_US&amp;offset=0&amp;query=any,contains,991003720659702656","Catalog Record")</f>
        <v/>
      </c>
      <c r="AT2320">
        <f>HYPERLINK("http://www.worldcat.org/oclc/1365950","WorldCat Record")</f>
        <v/>
      </c>
      <c r="AU2320" t="inlineStr">
        <is>
          <t>54044918:eng</t>
        </is>
      </c>
      <c r="AV2320" t="inlineStr">
        <is>
          <t>1365950</t>
        </is>
      </c>
      <c r="AW2320" t="inlineStr">
        <is>
          <t>991003720659702656</t>
        </is>
      </c>
      <c r="AX2320" t="inlineStr">
        <is>
          <t>991003720659702656</t>
        </is>
      </c>
      <c r="AY2320" t="inlineStr">
        <is>
          <t>2256171610002656</t>
        </is>
      </c>
      <c r="AZ2320" t="inlineStr">
        <is>
          <t>BOOK</t>
        </is>
      </c>
      <c r="BB2320" t="inlineStr">
        <is>
          <t>9780883444597</t>
        </is>
      </c>
      <c r="BC2320" t="inlineStr">
        <is>
          <t>32285001066322</t>
        </is>
      </c>
      <c r="BD2320" t="inlineStr">
        <is>
          <t>893505913</t>
        </is>
      </c>
    </row>
    <row r="2321">
      <c r="A2321" t="inlineStr">
        <is>
          <t>No</t>
        </is>
      </c>
      <c r="B2321" t="inlineStr">
        <is>
          <t>BX4705.F65 H54 1990</t>
        </is>
      </c>
      <c r="C2321" t="inlineStr">
        <is>
          <t>0                      BX 4705000F  65                 H  54          1990</t>
        </is>
      </c>
      <c r="D2321" t="inlineStr">
        <is>
          <t>Charles de Foucauld / by Philip Hillyer.</t>
        </is>
      </c>
      <c r="F2321" t="inlineStr">
        <is>
          <t>No</t>
        </is>
      </c>
      <c r="G2321" t="inlineStr">
        <is>
          <t>1</t>
        </is>
      </c>
      <c r="H2321" t="inlineStr">
        <is>
          <t>No</t>
        </is>
      </c>
      <c r="I2321" t="inlineStr">
        <is>
          <t>No</t>
        </is>
      </c>
      <c r="J2321" t="inlineStr">
        <is>
          <t>0</t>
        </is>
      </c>
      <c r="K2321" t="inlineStr">
        <is>
          <t>Hillyer, Philip.</t>
        </is>
      </c>
      <c r="L2321" t="inlineStr">
        <is>
          <t>Collegeville, Minn. : Liturgical Press, c1990.</t>
        </is>
      </c>
      <c r="M2321" t="inlineStr">
        <is>
          <t>1990</t>
        </is>
      </c>
      <c r="O2321" t="inlineStr">
        <is>
          <t>eng</t>
        </is>
      </c>
      <c r="P2321" t="inlineStr">
        <is>
          <t>mnu</t>
        </is>
      </c>
      <c r="Q2321" t="inlineStr">
        <is>
          <t>The Way of the Christian mystics ; v. 9</t>
        </is>
      </c>
      <c r="R2321" t="inlineStr">
        <is>
          <t xml:space="preserve">BX </t>
        </is>
      </c>
      <c r="S2321" t="n">
        <v>9</v>
      </c>
      <c r="T2321" t="n">
        <v>9</v>
      </c>
      <c r="U2321" t="inlineStr">
        <is>
          <t>2004-06-15</t>
        </is>
      </c>
      <c r="V2321" t="inlineStr">
        <is>
          <t>2004-06-15</t>
        </is>
      </c>
      <c r="W2321" t="inlineStr">
        <is>
          <t>1992-03-31</t>
        </is>
      </c>
      <c r="X2321" t="inlineStr">
        <is>
          <t>1992-03-31</t>
        </is>
      </c>
      <c r="Y2321" t="n">
        <v>169</v>
      </c>
      <c r="Z2321" t="n">
        <v>132</v>
      </c>
      <c r="AA2321" t="n">
        <v>132</v>
      </c>
      <c r="AB2321" t="n">
        <v>2</v>
      </c>
      <c r="AC2321" t="n">
        <v>2</v>
      </c>
      <c r="AD2321" t="n">
        <v>10</v>
      </c>
      <c r="AE2321" t="n">
        <v>10</v>
      </c>
      <c r="AF2321" t="n">
        <v>4</v>
      </c>
      <c r="AG2321" t="n">
        <v>4</v>
      </c>
      <c r="AH2321" t="n">
        <v>3</v>
      </c>
      <c r="AI2321" t="n">
        <v>3</v>
      </c>
      <c r="AJ2321" t="n">
        <v>6</v>
      </c>
      <c r="AK2321" t="n">
        <v>6</v>
      </c>
      <c r="AL2321" t="n">
        <v>0</v>
      </c>
      <c r="AM2321" t="n">
        <v>0</v>
      </c>
      <c r="AN2321" t="n">
        <v>0</v>
      </c>
      <c r="AO2321" t="n">
        <v>0</v>
      </c>
      <c r="AP2321" t="inlineStr">
        <is>
          <t>No</t>
        </is>
      </c>
      <c r="AQ2321" t="inlineStr">
        <is>
          <t>No</t>
        </is>
      </c>
      <c r="AS2321">
        <f>HYPERLINK("https://creighton-primo.hosted.exlibrisgroup.com/primo-explore/search?tab=default_tab&amp;search_scope=EVERYTHING&amp;vid=01CRU&amp;lang=en_US&amp;offset=0&amp;query=any,contains,991001742759702656","Catalog Record")</f>
        <v/>
      </c>
      <c r="AT2321">
        <f>HYPERLINK("http://www.worldcat.org/oclc/22006802","WorldCat Record")</f>
        <v/>
      </c>
      <c r="AU2321" t="inlineStr">
        <is>
          <t>22985061:eng</t>
        </is>
      </c>
      <c r="AV2321" t="inlineStr">
        <is>
          <t>22006802</t>
        </is>
      </c>
      <c r="AW2321" t="inlineStr">
        <is>
          <t>991001742759702656</t>
        </is>
      </c>
      <c r="AX2321" t="inlineStr">
        <is>
          <t>991001742759702656</t>
        </is>
      </c>
      <c r="AY2321" t="inlineStr">
        <is>
          <t>2264924440002656</t>
        </is>
      </c>
      <c r="AZ2321" t="inlineStr">
        <is>
          <t>BOOK</t>
        </is>
      </c>
      <c r="BB2321" t="inlineStr">
        <is>
          <t>9780814656297</t>
        </is>
      </c>
      <c r="BC2321" t="inlineStr">
        <is>
          <t>32285001006930</t>
        </is>
      </c>
      <c r="BD2321" t="inlineStr">
        <is>
          <t>893516451</t>
        </is>
      </c>
    </row>
    <row r="2322">
      <c r="A2322" t="inlineStr">
        <is>
          <t>No</t>
        </is>
      </c>
      <c r="B2322" t="inlineStr">
        <is>
          <t>BX4705.G112 M3 1946</t>
        </is>
      </c>
      <c r="C2322" t="inlineStr">
        <is>
          <t>0                      BX 4705000G  112                M  3           1946</t>
        </is>
      </c>
      <c r="D2322" t="inlineStr">
        <is>
          <t>Gailhac of Béziers.</t>
        </is>
      </c>
      <c r="F2322" t="inlineStr">
        <is>
          <t>No</t>
        </is>
      </c>
      <c r="G2322" t="inlineStr">
        <is>
          <t>1</t>
        </is>
      </c>
      <c r="H2322" t="inlineStr">
        <is>
          <t>No</t>
        </is>
      </c>
      <c r="I2322" t="inlineStr">
        <is>
          <t>No</t>
        </is>
      </c>
      <c r="J2322" t="inlineStr">
        <is>
          <t>0</t>
        </is>
      </c>
      <c r="K2322" t="inlineStr">
        <is>
          <t>Magaret, Helene, 1906-1998.</t>
        </is>
      </c>
      <c r="L2322" t="inlineStr">
        <is>
          <t>New York ; Toronto : Longmans, Green and co., 1946.</t>
        </is>
      </c>
      <c r="M2322" t="inlineStr">
        <is>
          <t>1946</t>
        </is>
      </c>
      <c r="O2322" t="inlineStr">
        <is>
          <t>eng</t>
        </is>
      </c>
      <c r="P2322" t="inlineStr">
        <is>
          <t xml:space="preserve">xx </t>
        </is>
      </c>
      <c r="R2322" t="inlineStr">
        <is>
          <t xml:space="preserve">BX </t>
        </is>
      </c>
      <c r="S2322" t="n">
        <v>1</v>
      </c>
      <c r="T2322" t="n">
        <v>1</v>
      </c>
      <c r="U2322" t="inlineStr">
        <is>
          <t>1998-04-20</t>
        </is>
      </c>
      <c r="V2322" t="inlineStr">
        <is>
          <t>1998-04-20</t>
        </is>
      </c>
      <c r="W2322" t="inlineStr">
        <is>
          <t>1992-03-13</t>
        </is>
      </c>
      <c r="X2322" t="inlineStr">
        <is>
          <t>1992-03-13</t>
        </is>
      </c>
      <c r="Y2322" t="n">
        <v>138</v>
      </c>
      <c r="Z2322" t="n">
        <v>132</v>
      </c>
      <c r="AA2322" t="n">
        <v>135</v>
      </c>
      <c r="AB2322" t="n">
        <v>4</v>
      </c>
      <c r="AC2322" t="n">
        <v>4</v>
      </c>
      <c r="AD2322" t="n">
        <v>24</v>
      </c>
      <c r="AE2322" t="n">
        <v>24</v>
      </c>
      <c r="AF2322" t="n">
        <v>8</v>
      </c>
      <c r="AG2322" t="n">
        <v>8</v>
      </c>
      <c r="AH2322" t="n">
        <v>6</v>
      </c>
      <c r="AI2322" t="n">
        <v>6</v>
      </c>
      <c r="AJ2322" t="n">
        <v>20</v>
      </c>
      <c r="AK2322" t="n">
        <v>20</v>
      </c>
      <c r="AL2322" t="n">
        <v>0</v>
      </c>
      <c r="AM2322" t="n">
        <v>0</v>
      </c>
      <c r="AN2322" t="n">
        <v>0</v>
      </c>
      <c r="AO2322" t="n">
        <v>0</v>
      </c>
      <c r="AP2322" t="inlineStr">
        <is>
          <t>No</t>
        </is>
      </c>
      <c r="AQ2322" t="inlineStr">
        <is>
          <t>Yes</t>
        </is>
      </c>
      <c r="AR2322">
        <f>HYPERLINK("http://catalog.hathitrust.org/Record/005768778","HathiTrust Record")</f>
        <v/>
      </c>
      <c r="AS2322">
        <f>HYPERLINK("https://creighton-primo.hosted.exlibrisgroup.com/primo-explore/search?tab=default_tab&amp;search_scope=EVERYTHING&amp;vid=01CRU&amp;lang=en_US&amp;offset=0&amp;query=any,contains,991003798139702656","Catalog Record")</f>
        <v/>
      </c>
      <c r="AT2322">
        <f>HYPERLINK("http://www.worldcat.org/oclc/1523333","WorldCat Record")</f>
        <v/>
      </c>
      <c r="AU2322" t="inlineStr">
        <is>
          <t>2368406:eng</t>
        </is>
      </c>
      <c r="AV2322" t="inlineStr">
        <is>
          <t>1523333</t>
        </is>
      </c>
      <c r="AW2322" t="inlineStr">
        <is>
          <t>991003798139702656</t>
        </is>
      </c>
      <c r="AX2322" t="inlineStr">
        <is>
          <t>991003798139702656</t>
        </is>
      </c>
      <c r="AY2322" t="inlineStr">
        <is>
          <t>2267875870002656</t>
        </is>
      </c>
      <c r="AZ2322" t="inlineStr">
        <is>
          <t>BOOK</t>
        </is>
      </c>
      <c r="BC2322" t="inlineStr">
        <is>
          <t>32285001001527</t>
        </is>
      </c>
      <c r="BD2322" t="inlineStr">
        <is>
          <t>893711814</t>
        </is>
      </c>
    </row>
    <row r="2323">
      <c r="A2323" t="inlineStr">
        <is>
          <t>No</t>
        </is>
      </c>
      <c r="B2323" t="inlineStr">
        <is>
          <t>BX4705.G2455 A3 1988</t>
        </is>
      </c>
      <c r="C2323" t="inlineStr">
        <is>
          <t>0                      BX 4705000G  2455               A  3           1988</t>
        </is>
      </c>
      <c r="D2323" t="inlineStr">
        <is>
          <t>Banishing God in Albania : the prison memoirs of Giacomo Gardin.</t>
        </is>
      </c>
      <c r="F2323" t="inlineStr">
        <is>
          <t>No</t>
        </is>
      </c>
      <c r="G2323" t="inlineStr">
        <is>
          <t>1</t>
        </is>
      </c>
      <c r="H2323" t="inlineStr">
        <is>
          <t>No</t>
        </is>
      </c>
      <c r="I2323" t="inlineStr">
        <is>
          <t>No</t>
        </is>
      </c>
      <c r="J2323" t="inlineStr">
        <is>
          <t>0</t>
        </is>
      </c>
      <c r="K2323" t="inlineStr">
        <is>
          <t>Gardin, Giacomo.</t>
        </is>
      </c>
      <c r="L2323" t="inlineStr">
        <is>
          <t>San Francisco : Ignatius Press, c1988.</t>
        </is>
      </c>
      <c r="M2323" t="inlineStr">
        <is>
          <t>1988</t>
        </is>
      </c>
      <c r="O2323" t="inlineStr">
        <is>
          <t>eng</t>
        </is>
      </c>
      <c r="P2323" t="inlineStr">
        <is>
          <t>cau</t>
        </is>
      </c>
      <c r="R2323" t="inlineStr">
        <is>
          <t xml:space="preserve">BX </t>
        </is>
      </c>
      <c r="S2323" t="n">
        <v>2</v>
      </c>
      <c r="T2323" t="n">
        <v>2</v>
      </c>
      <c r="U2323" t="inlineStr">
        <is>
          <t>2005-03-28</t>
        </is>
      </c>
      <c r="V2323" t="inlineStr">
        <is>
          <t>2005-03-28</t>
        </is>
      </c>
      <c r="W2323" t="inlineStr">
        <is>
          <t>1994-12-14</t>
        </is>
      </c>
      <c r="X2323" t="inlineStr">
        <is>
          <t>1994-12-14</t>
        </is>
      </c>
      <c r="Y2323" t="n">
        <v>112</v>
      </c>
      <c r="Z2323" t="n">
        <v>100</v>
      </c>
      <c r="AA2323" t="n">
        <v>100</v>
      </c>
      <c r="AB2323" t="n">
        <v>3</v>
      </c>
      <c r="AC2323" t="n">
        <v>3</v>
      </c>
      <c r="AD2323" t="n">
        <v>13</v>
      </c>
      <c r="AE2323" t="n">
        <v>13</v>
      </c>
      <c r="AF2323" t="n">
        <v>4</v>
      </c>
      <c r="AG2323" t="n">
        <v>4</v>
      </c>
      <c r="AH2323" t="n">
        <v>3</v>
      </c>
      <c r="AI2323" t="n">
        <v>3</v>
      </c>
      <c r="AJ2323" t="n">
        <v>10</v>
      </c>
      <c r="AK2323" t="n">
        <v>10</v>
      </c>
      <c r="AL2323" t="n">
        <v>1</v>
      </c>
      <c r="AM2323" t="n">
        <v>1</v>
      </c>
      <c r="AN2323" t="n">
        <v>0</v>
      </c>
      <c r="AO2323" t="n">
        <v>0</v>
      </c>
      <c r="AP2323" t="inlineStr">
        <is>
          <t>No</t>
        </is>
      </c>
      <c r="AQ2323" t="inlineStr">
        <is>
          <t>No</t>
        </is>
      </c>
      <c r="AS2323">
        <f>HYPERLINK("https://creighton-primo.hosted.exlibrisgroup.com/primo-explore/search?tab=default_tab&amp;search_scope=EVERYTHING&amp;vid=01CRU&amp;lang=en_US&amp;offset=0&amp;query=any,contains,991001447449702656","Catalog Record")</f>
        <v/>
      </c>
      <c r="AT2323">
        <f>HYPERLINK("http://www.worldcat.org/oclc/19321280","WorldCat Record")</f>
        <v/>
      </c>
      <c r="AU2323" t="inlineStr">
        <is>
          <t>4820484887:eng</t>
        </is>
      </c>
      <c r="AV2323" t="inlineStr">
        <is>
          <t>19321280</t>
        </is>
      </c>
      <c r="AW2323" t="inlineStr">
        <is>
          <t>991001447449702656</t>
        </is>
      </c>
      <c r="AX2323" t="inlineStr">
        <is>
          <t>991001447449702656</t>
        </is>
      </c>
      <c r="AY2323" t="inlineStr">
        <is>
          <t>2261379600002656</t>
        </is>
      </c>
      <c r="AZ2323" t="inlineStr">
        <is>
          <t>BOOK</t>
        </is>
      </c>
      <c r="BC2323" t="inlineStr">
        <is>
          <t>32285001972834</t>
        </is>
      </c>
      <c r="BD2323" t="inlineStr">
        <is>
          <t>893590372</t>
        </is>
      </c>
    </row>
    <row r="2324">
      <c r="A2324" t="inlineStr">
        <is>
          <t>No</t>
        </is>
      </c>
      <c r="B2324" t="inlineStr">
        <is>
          <t>BX4705.G3 F5 1906</t>
        </is>
      </c>
      <c r="C2324" t="inlineStr">
        <is>
          <t>0                      BX 4705000G  3                  F  5           1906</t>
        </is>
      </c>
      <c r="D2324" t="inlineStr">
        <is>
          <t>Father Gallwey : a sketch with some early letters / by his old pupil Percy Fitzgerald.</t>
        </is>
      </c>
      <c r="F2324" t="inlineStr">
        <is>
          <t>No</t>
        </is>
      </c>
      <c r="G2324" t="inlineStr">
        <is>
          <t>1</t>
        </is>
      </c>
      <c r="H2324" t="inlineStr">
        <is>
          <t>No</t>
        </is>
      </c>
      <c r="I2324" t="inlineStr">
        <is>
          <t>No</t>
        </is>
      </c>
      <c r="J2324" t="inlineStr">
        <is>
          <t>0</t>
        </is>
      </c>
      <c r="K2324" t="inlineStr">
        <is>
          <t>Fitzgerald, Percy, 1834-1925.</t>
        </is>
      </c>
      <c r="L2324" t="inlineStr">
        <is>
          <t>London : Burns &amp; Oates, 1906.</t>
        </is>
      </c>
      <c r="M2324" t="inlineStr">
        <is>
          <t>1906</t>
        </is>
      </c>
      <c r="O2324" t="inlineStr">
        <is>
          <t>eng</t>
        </is>
      </c>
      <c r="P2324" t="inlineStr">
        <is>
          <t>enk</t>
        </is>
      </c>
      <c r="R2324" t="inlineStr">
        <is>
          <t xml:space="preserve">BX </t>
        </is>
      </c>
      <c r="S2324" t="n">
        <v>1</v>
      </c>
      <c r="T2324" t="n">
        <v>1</v>
      </c>
      <c r="U2324" t="inlineStr">
        <is>
          <t>2002-02-28</t>
        </is>
      </c>
      <c r="V2324" t="inlineStr">
        <is>
          <t>2002-02-28</t>
        </is>
      </c>
      <c r="W2324" t="inlineStr">
        <is>
          <t>1992-03-13</t>
        </is>
      </c>
      <c r="X2324" t="inlineStr">
        <is>
          <t>1992-03-13</t>
        </is>
      </c>
      <c r="Y2324" t="n">
        <v>17</v>
      </c>
      <c r="Z2324" t="n">
        <v>10</v>
      </c>
      <c r="AA2324" t="n">
        <v>10</v>
      </c>
      <c r="AB2324" t="n">
        <v>1</v>
      </c>
      <c r="AC2324" t="n">
        <v>1</v>
      </c>
      <c r="AD2324" t="n">
        <v>6</v>
      </c>
      <c r="AE2324" t="n">
        <v>6</v>
      </c>
      <c r="AF2324" t="n">
        <v>2</v>
      </c>
      <c r="AG2324" t="n">
        <v>2</v>
      </c>
      <c r="AH2324" t="n">
        <v>1</v>
      </c>
      <c r="AI2324" t="n">
        <v>1</v>
      </c>
      <c r="AJ2324" t="n">
        <v>6</v>
      </c>
      <c r="AK2324" t="n">
        <v>6</v>
      </c>
      <c r="AL2324" t="n">
        <v>0</v>
      </c>
      <c r="AM2324" t="n">
        <v>0</v>
      </c>
      <c r="AN2324" t="n">
        <v>0</v>
      </c>
      <c r="AO2324" t="n">
        <v>0</v>
      </c>
      <c r="AP2324" t="inlineStr">
        <is>
          <t>No</t>
        </is>
      </c>
      <c r="AQ2324" t="inlineStr">
        <is>
          <t>No</t>
        </is>
      </c>
      <c r="AS2324">
        <f>HYPERLINK("https://creighton-primo.hosted.exlibrisgroup.com/primo-explore/search?tab=default_tab&amp;search_scope=EVERYTHING&amp;vid=01CRU&amp;lang=en_US&amp;offset=0&amp;query=any,contains,991000387109702656","Catalog Record")</f>
        <v/>
      </c>
      <c r="AT2324">
        <f>HYPERLINK("http://www.worldcat.org/oclc/10526132","WorldCat Record")</f>
        <v/>
      </c>
      <c r="AU2324" t="inlineStr">
        <is>
          <t>431823375:eng</t>
        </is>
      </c>
      <c r="AV2324" t="inlineStr">
        <is>
          <t>10526132</t>
        </is>
      </c>
      <c r="AW2324" t="inlineStr">
        <is>
          <t>991000387109702656</t>
        </is>
      </c>
      <c r="AX2324" t="inlineStr">
        <is>
          <t>991000387109702656</t>
        </is>
      </c>
      <c r="AY2324" t="inlineStr">
        <is>
          <t>2261917120002656</t>
        </is>
      </c>
      <c r="AZ2324" t="inlineStr">
        <is>
          <t>BOOK</t>
        </is>
      </c>
      <c r="BC2324" t="inlineStr">
        <is>
          <t>32285001001568</t>
        </is>
      </c>
      <c r="BD2324" t="inlineStr">
        <is>
          <t>893871619</t>
        </is>
      </c>
    </row>
    <row r="2325">
      <c r="A2325" t="inlineStr">
        <is>
          <t>No</t>
        </is>
      </c>
      <c r="B2325" t="inlineStr">
        <is>
          <t>BX4705.G418 A33 1952</t>
        </is>
      </c>
      <c r="C2325" t="inlineStr">
        <is>
          <t>0                      BX 4705000G  418                A  33          1952</t>
        </is>
      </c>
      <c r="D2325" t="inlineStr">
        <is>
          <t>The autobiography of a hunted priest / translated from the Latin by Philip Caraman, with an introd. by Graham Greene.</t>
        </is>
      </c>
      <c r="F2325" t="inlineStr">
        <is>
          <t>No</t>
        </is>
      </c>
      <c r="G2325" t="inlineStr">
        <is>
          <t>1</t>
        </is>
      </c>
      <c r="H2325" t="inlineStr">
        <is>
          <t>No</t>
        </is>
      </c>
      <c r="I2325" t="inlineStr">
        <is>
          <t>No</t>
        </is>
      </c>
      <c r="J2325" t="inlineStr">
        <is>
          <t>0</t>
        </is>
      </c>
      <c r="K2325" t="inlineStr">
        <is>
          <t>Gerard, John, 1564-1637.</t>
        </is>
      </c>
      <c r="L2325" t="inlineStr">
        <is>
          <t>New York : Pellegrini &amp; Cudahy, [1952]</t>
        </is>
      </c>
      <c r="M2325" t="inlineStr">
        <is>
          <t>1952</t>
        </is>
      </c>
      <c r="O2325" t="inlineStr">
        <is>
          <t>eng</t>
        </is>
      </c>
      <c r="P2325" t="inlineStr">
        <is>
          <t>nyu</t>
        </is>
      </c>
      <c r="R2325" t="inlineStr">
        <is>
          <t xml:space="preserve">BX </t>
        </is>
      </c>
      <c r="S2325" t="n">
        <v>3</v>
      </c>
      <c r="T2325" t="n">
        <v>3</v>
      </c>
      <c r="U2325" t="inlineStr">
        <is>
          <t>1995-02-13</t>
        </is>
      </c>
      <c r="V2325" t="inlineStr">
        <is>
          <t>1995-02-13</t>
        </is>
      </c>
      <c r="W2325" t="inlineStr">
        <is>
          <t>1992-03-13</t>
        </is>
      </c>
      <c r="X2325" t="inlineStr">
        <is>
          <t>1992-03-13</t>
        </is>
      </c>
      <c r="Y2325" t="n">
        <v>350</v>
      </c>
      <c r="Z2325" t="n">
        <v>328</v>
      </c>
      <c r="AA2325" t="n">
        <v>449</v>
      </c>
      <c r="AB2325" t="n">
        <v>4</v>
      </c>
      <c r="AC2325" t="n">
        <v>4</v>
      </c>
      <c r="AD2325" t="n">
        <v>34</v>
      </c>
      <c r="AE2325" t="n">
        <v>36</v>
      </c>
      <c r="AF2325" t="n">
        <v>13</v>
      </c>
      <c r="AG2325" t="n">
        <v>15</v>
      </c>
      <c r="AH2325" t="n">
        <v>8</v>
      </c>
      <c r="AI2325" t="n">
        <v>8</v>
      </c>
      <c r="AJ2325" t="n">
        <v>24</v>
      </c>
      <c r="AK2325" t="n">
        <v>25</v>
      </c>
      <c r="AL2325" t="n">
        <v>1</v>
      </c>
      <c r="AM2325" t="n">
        <v>1</v>
      </c>
      <c r="AN2325" t="n">
        <v>0</v>
      </c>
      <c r="AO2325" t="n">
        <v>0</v>
      </c>
      <c r="AP2325" t="inlineStr">
        <is>
          <t>No</t>
        </is>
      </c>
      <c r="AQ2325" t="inlineStr">
        <is>
          <t>Yes</t>
        </is>
      </c>
      <c r="AR2325">
        <f>HYPERLINK("http://catalog.hathitrust.org/Record/000005191","HathiTrust Record")</f>
        <v/>
      </c>
      <c r="AS2325">
        <f>HYPERLINK("https://creighton-primo.hosted.exlibrisgroup.com/primo-explore/search?tab=default_tab&amp;search_scope=EVERYTHING&amp;vid=01CRU&amp;lang=en_US&amp;offset=0&amp;query=any,contains,991002514479702656","Catalog Record")</f>
        <v/>
      </c>
      <c r="AT2325">
        <f>HYPERLINK("http://www.worldcat.org/oclc/365605","WorldCat Record")</f>
        <v/>
      </c>
      <c r="AU2325" t="inlineStr">
        <is>
          <t>1425046:eng</t>
        </is>
      </c>
      <c r="AV2325" t="inlineStr">
        <is>
          <t>365605</t>
        </is>
      </c>
      <c r="AW2325" t="inlineStr">
        <is>
          <t>991002514479702656</t>
        </is>
      </c>
      <c r="AX2325" t="inlineStr">
        <is>
          <t>991002514479702656</t>
        </is>
      </c>
      <c r="AY2325" t="inlineStr">
        <is>
          <t>2266125460002656</t>
        </is>
      </c>
      <c r="AZ2325" t="inlineStr">
        <is>
          <t>BOOK</t>
        </is>
      </c>
      <c r="BC2325" t="inlineStr">
        <is>
          <t>32285001001584</t>
        </is>
      </c>
      <c r="BD2325" t="inlineStr">
        <is>
          <t>893603691</t>
        </is>
      </c>
    </row>
    <row r="2326">
      <c r="A2326" t="inlineStr">
        <is>
          <t>No</t>
        </is>
      </c>
      <c r="B2326" t="inlineStr">
        <is>
          <t>BX4705.G45 A25 1998</t>
        </is>
      </c>
      <c r="C2326" t="inlineStr">
        <is>
          <t>0                      BX 4705000G  45                 A  25          1998</t>
        </is>
      </c>
      <c r="D2326" t="inlineStr">
        <is>
          <t>Jean Gerson : early works / translated and introduced by Brian Patrick McGuire ; preface by Bernard McGinn.</t>
        </is>
      </c>
      <c r="F2326" t="inlineStr">
        <is>
          <t>No</t>
        </is>
      </c>
      <c r="G2326" t="inlineStr">
        <is>
          <t>1</t>
        </is>
      </c>
      <c r="H2326" t="inlineStr">
        <is>
          <t>No</t>
        </is>
      </c>
      <c r="I2326" t="inlineStr">
        <is>
          <t>No</t>
        </is>
      </c>
      <c r="J2326" t="inlineStr">
        <is>
          <t>0</t>
        </is>
      </c>
      <c r="K2326" t="inlineStr">
        <is>
          <t>Gerson, Jean, 1363-1429.</t>
        </is>
      </c>
      <c r="L2326" t="inlineStr">
        <is>
          <t>New York : Paulist Press, c1998.</t>
        </is>
      </c>
      <c r="M2326" t="inlineStr">
        <is>
          <t>1998</t>
        </is>
      </c>
      <c r="O2326" t="inlineStr">
        <is>
          <t>eng</t>
        </is>
      </c>
      <c r="P2326" t="inlineStr">
        <is>
          <t>nyu</t>
        </is>
      </c>
      <c r="Q2326" t="inlineStr">
        <is>
          <t>Classics of Western spirituality</t>
        </is>
      </c>
      <c r="R2326" t="inlineStr">
        <is>
          <t xml:space="preserve">BX </t>
        </is>
      </c>
      <c r="S2326" t="n">
        <v>5</v>
      </c>
      <c r="T2326" t="n">
        <v>5</v>
      </c>
      <c r="U2326" t="inlineStr">
        <is>
          <t>2010-03-01</t>
        </is>
      </c>
      <c r="V2326" t="inlineStr">
        <is>
          <t>2010-03-01</t>
        </is>
      </c>
      <c r="W2326" t="inlineStr">
        <is>
          <t>1999-01-07</t>
        </is>
      </c>
      <c r="X2326" t="inlineStr">
        <is>
          <t>1999-01-07</t>
        </is>
      </c>
      <c r="Y2326" t="n">
        <v>556</v>
      </c>
      <c r="Z2326" t="n">
        <v>484</v>
      </c>
      <c r="AA2326" t="n">
        <v>486</v>
      </c>
      <c r="AB2326" t="n">
        <v>4</v>
      </c>
      <c r="AC2326" t="n">
        <v>4</v>
      </c>
      <c r="AD2326" t="n">
        <v>39</v>
      </c>
      <c r="AE2326" t="n">
        <v>39</v>
      </c>
      <c r="AF2326" t="n">
        <v>15</v>
      </c>
      <c r="AG2326" t="n">
        <v>15</v>
      </c>
      <c r="AH2326" t="n">
        <v>9</v>
      </c>
      <c r="AI2326" t="n">
        <v>9</v>
      </c>
      <c r="AJ2326" t="n">
        <v>24</v>
      </c>
      <c r="AK2326" t="n">
        <v>24</v>
      </c>
      <c r="AL2326" t="n">
        <v>2</v>
      </c>
      <c r="AM2326" t="n">
        <v>2</v>
      </c>
      <c r="AN2326" t="n">
        <v>0</v>
      </c>
      <c r="AO2326" t="n">
        <v>0</v>
      </c>
      <c r="AP2326" t="inlineStr">
        <is>
          <t>No</t>
        </is>
      </c>
      <c r="AQ2326" t="inlineStr">
        <is>
          <t>Yes</t>
        </is>
      </c>
      <c r="AR2326">
        <f>HYPERLINK("http://catalog.hathitrust.org/Record/003997136","HathiTrust Record")</f>
        <v/>
      </c>
      <c r="AS2326">
        <f>HYPERLINK("https://creighton-primo.hosted.exlibrisgroup.com/primo-explore/search?tab=default_tab&amp;search_scope=EVERYTHING&amp;vid=01CRU&amp;lang=en_US&amp;offset=0&amp;query=any,contains,991002941129702656","Catalog Record")</f>
        <v/>
      </c>
      <c r="AT2326">
        <f>HYPERLINK("http://www.worldcat.org/oclc/39147768","WorldCat Record")</f>
        <v/>
      </c>
      <c r="AU2326" t="inlineStr">
        <is>
          <t>192103599:eng</t>
        </is>
      </c>
      <c r="AV2326" t="inlineStr">
        <is>
          <t>39147768</t>
        </is>
      </c>
      <c r="AW2326" t="inlineStr">
        <is>
          <t>991002941129702656</t>
        </is>
      </c>
      <c r="AX2326" t="inlineStr">
        <is>
          <t>991002941129702656</t>
        </is>
      </c>
      <c r="AY2326" t="inlineStr">
        <is>
          <t>2264698050002656</t>
        </is>
      </c>
      <c r="AZ2326" t="inlineStr">
        <is>
          <t>BOOK</t>
        </is>
      </c>
      <c r="BB2326" t="inlineStr">
        <is>
          <t>9780809104987</t>
        </is>
      </c>
      <c r="BC2326" t="inlineStr">
        <is>
          <t>32285003510376</t>
        </is>
      </c>
      <c r="BD2326" t="inlineStr">
        <is>
          <t>893904173</t>
        </is>
      </c>
    </row>
    <row r="2327">
      <c r="A2327" t="inlineStr">
        <is>
          <t>No</t>
        </is>
      </c>
      <c r="B2327" t="inlineStr">
        <is>
          <t>BX4705.G45 C6 1962</t>
        </is>
      </c>
      <c r="C2327" t="inlineStr">
        <is>
          <t>0                      BX 4705000G  45                 C  6           1962</t>
        </is>
      </c>
      <c r="D2327" t="inlineStr">
        <is>
          <t>John Gerson, reformer and mystic, by James L. Connolly.</t>
        </is>
      </c>
      <c r="F2327" t="inlineStr">
        <is>
          <t>No</t>
        </is>
      </c>
      <c r="G2327" t="inlineStr">
        <is>
          <t>1</t>
        </is>
      </c>
      <c r="H2327" t="inlineStr">
        <is>
          <t>No</t>
        </is>
      </c>
      <c r="I2327" t="inlineStr">
        <is>
          <t>No</t>
        </is>
      </c>
      <c r="J2327" t="inlineStr">
        <is>
          <t>0</t>
        </is>
      </c>
      <c r="K2327" t="inlineStr">
        <is>
          <t>Connolly, James L. (James Louis), 1894-</t>
        </is>
      </c>
      <c r="L2327" t="inlineStr">
        <is>
          <t>Dubuque, Iowa : Wm. C. Brown ; [1962?]</t>
        </is>
      </c>
      <c r="M2327" t="inlineStr">
        <is>
          <t>1962</t>
        </is>
      </c>
      <c r="O2327" t="inlineStr">
        <is>
          <t>eng</t>
        </is>
      </c>
      <c r="P2327" t="inlineStr">
        <is>
          <t>iau</t>
        </is>
      </c>
      <c r="Q2327" t="inlineStr">
        <is>
          <t>Brown reprint library</t>
        </is>
      </c>
      <c r="R2327" t="inlineStr">
        <is>
          <t xml:space="preserve">BX </t>
        </is>
      </c>
      <c r="S2327" t="n">
        <v>1</v>
      </c>
      <c r="T2327" t="n">
        <v>1</v>
      </c>
      <c r="U2327" t="inlineStr">
        <is>
          <t>2010-02-09</t>
        </is>
      </c>
      <c r="V2327" t="inlineStr">
        <is>
          <t>2010-02-09</t>
        </is>
      </c>
      <c r="W2327" t="inlineStr">
        <is>
          <t>1992-03-13</t>
        </is>
      </c>
      <c r="X2327" t="inlineStr">
        <is>
          <t>1992-03-13</t>
        </is>
      </c>
      <c r="Y2327" t="n">
        <v>79</v>
      </c>
      <c r="Z2327" t="n">
        <v>76</v>
      </c>
      <c r="AA2327" t="n">
        <v>324</v>
      </c>
      <c r="AB2327" t="n">
        <v>1</v>
      </c>
      <c r="AC2327" t="n">
        <v>3</v>
      </c>
      <c r="AD2327" t="n">
        <v>6</v>
      </c>
      <c r="AE2327" t="n">
        <v>25</v>
      </c>
      <c r="AF2327" t="n">
        <v>4</v>
      </c>
      <c r="AG2327" t="n">
        <v>8</v>
      </c>
      <c r="AH2327" t="n">
        <v>1</v>
      </c>
      <c r="AI2327" t="n">
        <v>6</v>
      </c>
      <c r="AJ2327" t="n">
        <v>3</v>
      </c>
      <c r="AK2327" t="n">
        <v>16</v>
      </c>
      <c r="AL2327" t="n">
        <v>0</v>
      </c>
      <c r="AM2327" t="n">
        <v>2</v>
      </c>
      <c r="AN2327" t="n">
        <v>0</v>
      </c>
      <c r="AO2327" t="n">
        <v>0</v>
      </c>
      <c r="AP2327" t="inlineStr">
        <is>
          <t>No</t>
        </is>
      </c>
      <c r="AQ2327" t="inlineStr">
        <is>
          <t>No</t>
        </is>
      </c>
      <c r="AS2327">
        <f>HYPERLINK("https://creighton-primo.hosted.exlibrisgroup.com/primo-explore/search?tab=default_tab&amp;search_scope=EVERYTHING&amp;vid=01CRU&amp;lang=en_US&amp;offset=0&amp;query=any,contains,991004391259702656","Catalog Record")</f>
        <v/>
      </c>
      <c r="AT2327">
        <f>HYPERLINK("http://www.worldcat.org/oclc/3266049","WorldCat Record")</f>
        <v/>
      </c>
      <c r="AU2327" t="inlineStr">
        <is>
          <t>229760879:eng</t>
        </is>
      </c>
      <c r="AV2327" t="inlineStr">
        <is>
          <t>3266049</t>
        </is>
      </c>
      <c r="AW2327" t="inlineStr">
        <is>
          <t>991004391259702656</t>
        </is>
      </c>
      <c r="AX2327" t="inlineStr">
        <is>
          <t>991004391259702656</t>
        </is>
      </c>
      <c r="AY2327" t="inlineStr">
        <is>
          <t>2256377540002656</t>
        </is>
      </c>
      <c r="AZ2327" t="inlineStr">
        <is>
          <t>BOOK</t>
        </is>
      </c>
      <c r="BC2327" t="inlineStr">
        <is>
          <t>32285001001592</t>
        </is>
      </c>
      <c r="BD2327" t="inlineStr">
        <is>
          <t>893888647</t>
        </is>
      </c>
    </row>
    <row r="2328">
      <c r="A2328" t="inlineStr">
        <is>
          <t>No</t>
        </is>
      </c>
      <c r="B2328" t="inlineStr">
        <is>
          <t>BX4705.G5 E4 1987</t>
        </is>
      </c>
      <c r="C2328" t="inlineStr">
        <is>
          <t>0                      BX 4705000G  5                  E  4           1987</t>
        </is>
      </c>
      <c r="D2328" t="inlineStr">
        <is>
          <t>The life of James Cardinal Gibbons : Archbishop of Baltimore, 1834-1921 / by John Tracy Ellis ; with a prefatory note to the replica edition by the author.</t>
        </is>
      </c>
      <c r="E2328" t="inlineStr">
        <is>
          <t>V.1</t>
        </is>
      </c>
      <c r="F2328" t="inlineStr">
        <is>
          <t>Yes</t>
        </is>
      </c>
      <c r="G2328" t="inlineStr">
        <is>
          <t>1</t>
        </is>
      </c>
      <c r="H2328" t="inlineStr">
        <is>
          <t>No</t>
        </is>
      </c>
      <c r="I2328" t="inlineStr">
        <is>
          <t>Yes</t>
        </is>
      </c>
      <c r="J2328" t="inlineStr">
        <is>
          <t>0</t>
        </is>
      </c>
      <c r="K2328" t="inlineStr">
        <is>
          <t>Ellis, John Tracy, 1905-1992.</t>
        </is>
      </c>
      <c r="L2328" t="inlineStr">
        <is>
          <t>Westminster, Md : Christian Classics, 1987, c1952.</t>
        </is>
      </c>
      <c r="M2328" t="inlineStr">
        <is>
          <t>1987</t>
        </is>
      </c>
      <c r="N2328" t="inlineStr">
        <is>
          <t>Replica ed.</t>
        </is>
      </c>
      <c r="O2328" t="inlineStr">
        <is>
          <t>eng</t>
        </is>
      </c>
      <c r="P2328" t="inlineStr">
        <is>
          <t>mdu</t>
        </is>
      </c>
      <c r="R2328" t="inlineStr">
        <is>
          <t xml:space="preserve">BX </t>
        </is>
      </c>
      <c r="S2328" t="n">
        <v>0</v>
      </c>
      <c r="T2328" t="n">
        <v>5</v>
      </c>
      <c r="V2328" t="inlineStr">
        <is>
          <t>2000-02-18</t>
        </is>
      </c>
      <c r="W2328" t="inlineStr">
        <is>
          <t>1992-03-13</t>
        </is>
      </c>
      <c r="X2328" t="inlineStr">
        <is>
          <t>1992-03-13</t>
        </is>
      </c>
      <c r="Y2328" t="n">
        <v>41</v>
      </c>
      <c r="Z2328" t="n">
        <v>37</v>
      </c>
      <c r="AA2328" t="n">
        <v>637</v>
      </c>
      <c r="AB2328" t="n">
        <v>2</v>
      </c>
      <c r="AC2328" t="n">
        <v>4</v>
      </c>
      <c r="AD2328" t="n">
        <v>1</v>
      </c>
      <c r="AE2328" t="n">
        <v>39</v>
      </c>
      <c r="AF2328" t="n">
        <v>0</v>
      </c>
      <c r="AG2328" t="n">
        <v>14</v>
      </c>
      <c r="AH2328" t="n">
        <v>0</v>
      </c>
      <c r="AI2328" t="n">
        <v>10</v>
      </c>
      <c r="AJ2328" t="n">
        <v>1</v>
      </c>
      <c r="AK2328" t="n">
        <v>26</v>
      </c>
      <c r="AL2328" t="n">
        <v>0</v>
      </c>
      <c r="AM2328" t="n">
        <v>1</v>
      </c>
      <c r="AN2328" t="n">
        <v>0</v>
      </c>
      <c r="AO2328" t="n">
        <v>1</v>
      </c>
      <c r="AP2328" t="inlineStr">
        <is>
          <t>No</t>
        </is>
      </c>
      <c r="AQ2328" t="inlineStr">
        <is>
          <t>No</t>
        </is>
      </c>
      <c r="AS2328">
        <f>HYPERLINK("https://creighton-primo.hosted.exlibrisgroup.com/primo-explore/search?tab=default_tab&amp;search_scope=EVERYTHING&amp;vid=01CRU&amp;lang=en_US&amp;offset=0&amp;query=any,contains,991001292039702656","Catalog Record")</f>
        <v/>
      </c>
      <c r="AT2328">
        <f>HYPERLINK("http://www.worldcat.org/oclc/18010402","WorldCat Record")</f>
        <v/>
      </c>
      <c r="AU2328" t="inlineStr">
        <is>
          <t>197887534:eng</t>
        </is>
      </c>
      <c r="AV2328" t="inlineStr">
        <is>
          <t>18010402</t>
        </is>
      </c>
      <c r="AW2328" t="inlineStr">
        <is>
          <t>991001292039702656</t>
        </is>
      </c>
      <c r="AX2328" t="inlineStr">
        <is>
          <t>991001292039702656</t>
        </is>
      </c>
      <c r="AY2328" t="inlineStr">
        <is>
          <t>2269257060002656</t>
        </is>
      </c>
      <c r="AZ2328" t="inlineStr">
        <is>
          <t>BOOK</t>
        </is>
      </c>
      <c r="BB2328" t="inlineStr">
        <is>
          <t>9780870611445</t>
        </is>
      </c>
      <c r="BC2328" t="inlineStr">
        <is>
          <t>32285001001667</t>
        </is>
      </c>
      <c r="BD2328" t="inlineStr">
        <is>
          <t>893351851</t>
        </is>
      </c>
    </row>
    <row r="2329">
      <c r="A2329" t="inlineStr">
        <is>
          <t>No</t>
        </is>
      </c>
      <c r="B2329" t="inlineStr">
        <is>
          <t>BX4705.G5 E4 1987</t>
        </is>
      </c>
      <c r="C2329" t="inlineStr">
        <is>
          <t>0                      BX 4705000G  5                  E  4           1987</t>
        </is>
      </c>
      <c r="D2329" t="inlineStr">
        <is>
          <t>The life of James Cardinal Gibbons : Archbishop of Baltimore, 1834-1921 / by John Tracy Ellis ; with a prefatory note to the replica edition by the author.</t>
        </is>
      </c>
      <c r="E2329" t="inlineStr">
        <is>
          <t>V.2</t>
        </is>
      </c>
      <c r="F2329" t="inlineStr">
        <is>
          <t>Yes</t>
        </is>
      </c>
      <c r="G2329" t="inlineStr">
        <is>
          <t>1</t>
        </is>
      </c>
      <c r="H2329" t="inlineStr">
        <is>
          <t>No</t>
        </is>
      </c>
      <c r="I2329" t="inlineStr">
        <is>
          <t>Yes</t>
        </is>
      </c>
      <c r="J2329" t="inlineStr">
        <is>
          <t>0</t>
        </is>
      </c>
      <c r="K2329" t="inlineStr">
        <is>
          <t>Ellis, John Tracy, 1905-1992.</t>
        </is>
      </c>
      <c r="L2329" t="inlineStr">
        <is>
          <t>Westminster, Md : Christian Classics, 1987, c1952.</t>
        </is>
      </c>
      <c r="M2329" t="inlineStr">
        <is>
          <t>1987</t>
        </is>
      </c>
      <c r="N2329" t="inlineStr">
        <is>
          <t>Replica ed.</t>
        </is>
      </c>
      <c r="O2329" t="inlineStr">
        <is>
          <t>eng</t>
        </is>
      </c>
      <c r="P2329" t="inlineStr">
        <is>
          <t>mdu</t>
        </is>
      </c>
      <c r="R2329" t="inlineStr">
        <is>
          <t xml:space="preserve">BX </t>
        </is>
      </c>
      <c r="S2329" t="n">
        <v>5</v>
      </c>
      <c r="T2329" t="n">
        <v>5</v>
      </c>
      <c r="U2329" t="inlineStr">
        <is>
          <t>2000-02-18</t>
        </is>
      </c>
      <c r="V2329" t="inlineStr">
        <is>
          <t>2000-02-18</t>
        </is>
      </c>
      <c r="W2329" t="inlineStr">
        <is>
          <t>1992-03-13</t>
        </is>
      </c>
      <c r="X2329" t="inlineStr">
        <is>
          <t>1992-03-13</t>
        </is>
      </c>
      <c r="Y2329" t="n">
        <v>41</v>
      </c>
      <c r="Z2329" t="n">
        <v>37</v>
      </c>
      <c r="AA2329" t="n">
        <v>637</v>
      </c>
      <c r="AB2329" t="n">
        <v>2</v>
      </c>
      <c r="AC2329" t="n">
        <v>4</v>
      </c>
      <c r="AD2329" t="n">
        <v>1</v>
      </c>
      <c r="AE2329" t="n">
        <v>39</v>
      </c>
      <c r="AF2329" t="n">
        <v>0</v>
      </c>
      <c r="AG2329" t="n">
        <v>14</v>
      </c>
      <c r="AH2329" t="n">
        <v>0</v>
      </c>
      <c r="AI2329" t="n">
        <v>10</v>
      </c>
      <c r="AJ2329" t="n">
        <v>1</v>
      </c>
      <c r="AK2329" t="n">
        <v>26</v>
      </c>
      <c r="AL2329" t="n">
        <v>0</v>
      </c>
      <c r="AM2329" t="n">
        <v>1</v>
      </c>
      <c r="AN2329" t="n">
        <v>0</v>
      </c>
      <c r="AO2329" t="n">
        <v>1</v>
      </c>
      <c r="AP2329" t="inlineStr">
        <is>
          <t>No</t>
        </is>
      </c>
      <c r="AQ2329" t="inlineStr">
        <is>
          <t>No</t>
        </is>
      </c>
      <c r="AS2329">
        <f>HYPERLINK("https://creighton-primo.hosted.exlibrisgroup.com/primo-explore/search?tab=default_tab&amp;search_scope=EVERYTHING&amp;vid=01CRU&amp;lang=en_US&amp;offset=0&amp;query=any,contains,991001292039702656","Catalog Record")</f>
        <v/>
      </c>
      <c r="AT2329">
        <f>HYPERLINK("http://www.worldcat.org/oclc/18010402","WorldCat Record")</f>
        <v/>
      </c>
      <c r="AU2329" t="inlineStr">
        <is>
          <t>197887534:eng</t>
        </is>
      </c>
      <c r="AV2329" t="inlineStr">
        <is>
          <t>18010402</t>
        </is>
      </c>
      <c r="AW2329" t="inlineStr">
        <is>
          <t>991001292039702656</t>
        </is>
      </c>
      <c r="AX2329" t="inlineStr">
        <is>
          <t>991001292039702656</t>
        </is>
      </c>
      <c r="AY2329" t="inlineStr">
        <is>
          <t>2269257060002656</t>
        </is>
      </c>
      <c r="AZ2329" t="inlineStr">
        <is>
          <t>BOOK</t>
        </is>
      </c>
      <c r="BB2329" t="inlineStr">
        <is>
          <t>9780870611445</t>
        </is>
      </c>
      <c r="BC2329" t="inlineStr">
        <is>
          <t>32285001001675</t>
        </is>
      </c>
      <c r="BD2329" t="inlineStr">
        <is>
          <t>893328040</t>
        </is>
      </c>
    </row>
    <row r="2330">
      <c r="A2330" t="inlineStr">
        <is>
          <t>No</t>
        </is>
      </c>
      <c r="B2330" t="inlineStr">
        <is>
          <t>BX4705.G55274 A3 2006</t>
        </is>
      </c>
      <c r="C2330" t="inlineStr">
        <is>
          <t>0                      BX 4705000G  55274              A  3           2006</t>
        </is>
      </c>
      <c r="D2330" t="inlineStr">
        <is>
          <t>My struggle with faith / Joseph F. Girzone.</t>
        </is>
      </c>
      <c r="F2330" t="inlineStr">
        <is>
          <t>No</t>
        </is>
      </c>
      <c r="G2330" t="inlineStr">
        <is>
          <t>1</t>
        </is>
      </c>
      <c r="H2330" t="inlineStr">
        <is>
          <t>No</t>
        </is>
      </c>
      <c r="I2330" t="inlineStr">
        <is>
          <t>No</t>
        </is>
      </c>
      <c r="J2330" t="inlineStr">
        <is>
          <t>0</t>
        </is>
      </c>
      <c r="K2330" t="inlineStr">
        <is>
          <t>Girzone, Joseph F.</t>
        </is>
      </c>
      <c r="L2330" t="inlineStr">
        <is>
          <t>New York : Doubleday, c2006.</t>
        </is>
      </c>
      <c r="M2330" t="inlineStr">
        <is>
          <t>2006</t>
        </is>
      </c>
      <c r="N2330" t="inlineStr">
        <is>
          <t>1st ed.</t>
        </is>
      </c>
      <c r="O2330" t="inlineStr">
        <is>
          <t>eng</t>
        </is>
      </c>
      <c r="P2330" t="inlineStr">
        <is>
          <t>nyu</t>
        </is>
      </c>
      <c r="R2330" t="inlineStr">
        <is>
          <t xml:space="preserve">BX </t>
        </is>
      </c>
      <c r="S2330" t="n">
        <v>2</v>
      </c>
      <c r="T2330" t="n">
        <v>2</v>
      </c>
      <c r="U2330" t="inlineStr">
        <is>
          <t>2007-06-08</t>
        </is>
      </c>
      <c r="V2330" t="inlineStr">
        <is>
          <t>2007-06-08</t>
        </is>
      </c>
      <c r="W2330" t="inlineStr">
        <is>
          <t>2006-06-05</t>
        </is>
      </c>
      <c r="X2330" t="inlineStr">
        <is>
          <t>2006-06-05</t>
        </is>
      </c>
      <c r="Y2330" t="n">
        <v>570</v>
      </c>
      <c r="Z2330" t="n">
        <v>543</v>
      </c>
      <c r="AA2330" t="n">
        <v>561</v>
      </c>
      <c r="AB2330" t="n">
        <v>3</v>
      </c>
      <c r="AC2330" t="n">
        <v>3</v>
      </c>
      <c r="AD2330" t="n">
        <v>5</v>
      </c>
      <c r="AE2330" t="n">
        <v>5</v>
      </c>
      <c r="AF2330" t="n">
        <v>2</v>
      </c>
      <c r="AG2330" t="n">
        <v>2</v>
      </c>
      <c r="AH2330" t="n">
        <v>2</v>
      </c>
      <c r="AI2330" t="n">
        <v>2</v>
      </c>
      <c r="AJ2330" t="n">
        <v>3</v>
      </c>
      <c r="AK2330" t="n">
        <v>3</v>
      </c>
      <c r="AL2330" t="n">
        <v>0</v>
      </c>
      <c r="AM2330" t="n">
        <v>0</v>
      </c>
      <c r="AN2330" t="n">
        <v>0</v>
      </c>
      <c r="AO2330" t="n">
        <v>0</v>
      </c>
      <c r="AP2330" t="inlineStr">
        <is>
          <t>No</t>
        </is>
      </c>
      <c r="AQ2330" t="inlineStr">
        <is>
          <t>No</t>
        </is>
      </c>
      <c r="AS2330">
        <f>HYPERLINK("https://creighton-primo.hosted.exlibrisgroup.com/primo-explore/search?tab=default_tab&amp;search_scope=EVERYTHING&amp;vid=01CRU&amp;lang=en_US&amp;offset=0&amp;query=any,contains,991004797469702656","Catalog Record")</f>
        <v/>
      </c>
      <c r="AT2330">
        <f>HYPERLINK("http://www.worldcat.org/oclc/69133818","WorldCat Record")</f>
        <v/>
      </c>
      <c r="AU2330" t="inlineStr">
        <is>
          <t>52478385:eng</t>
        </is>
      </c>
      <c r="AV2330" t="inlineStr">
        <is>
          <t>69133818</t>
        </is>
      </c>
      <c r="AW2330" t="inlineStr">
        <is>
          <t>991004797469702656</t>
        </is>
      </c>
      <c r="AX2330" t="inlineStr">
        <is>
          <t>991004797469702656</t>
        </is>
      </c>
      <c r="AY2330" t="inlineStr">
        <is>
          <t>2264444570002656</t>
        </is>
      </c>
      <c r="AZ2330" t="inlineStr">
        <is>
          <t>BOOK</t>
        </is>
      </c>
      <c r="BB2330" t="inlineStr">
        <is>
          <t>9780385517126</t>
        </is>
      </c>
      <c r="BC2330" t="inlineStr">
        <is>
          <t>32285005190375</t>
        </is>
      </c>
      <c r="BD2330" t="inlineStr">
        <is>
          <t>893260187</t>
        </is>
      </c>
    </row>
    <row r="2331">
      <c r="A2331" t="inlineStr">
        <is>
          <t>No</t>
        </is>
      </c>
      <c r="B2331" t="inlineStr">
        <is>
          <t>BX4705.G62244 A33</t>
        </is>
      </c>
      <c r="C2331" t="inlineStr">
        <is>
          <t>0                      BX 4705000G  62244              A  33</t>
        </is>
      </c>
      <c r="D2331" t="inlineStr">
        <is>
          <t>The hermitage journals : a diary kept while working on the biography of Thomas Merton / John Howard Griffin ; edited by Conger Beasley, Jr.</t>
        </is>
      </c>
      <c r="F2331" t="inlineStr">
        <is>
          <t>No</t>
        </is>
      </c>
      <c r="G2331" t="inlineStr">
        <is>
          <t>1</t>
        </is>
      </c>
      <c r="H2331" t="inlineStr">
        <is>
          <t>No</t>
        </is>
      </c>
      <c r="I2331" t="inlineStr">
        <is>
          <t>No</t>
        </is>
      </c>
      <c r="J2331" t="inlineStr">
        <is>
          <t>0</t>
        </is>
      </c>
      <c r="K2331" t="inlineStr">
        <is>
          <t>Griffin, John Howard, 1920-1980.</t>
        </is>
      </c>
      <c r="L2331" t="inlineStr">
        <is>
          <t>Kansas City : Andrews and McMeel, c1981.</t>
        </is>
      </c>
      <c r="M2331" t="inlineStr">
        <is>
          <t>1981</t>
        </is>
      </c>
      <c r="O2331" t="inlineStr">
        <is>
          <t>eng</t>
        </is>
      </c>
      <c r="P2331" t="inlineStr">
        <is>
          <t>mou</t>
        </is>
      </c>
      <c r="R2331" t="inlineStr">
        <is>
          <t xml:space="preserve">BX </t>
        </is>
      </c>
      <c r="S2331" t="n">
        <v>1</v>
      </c>
      <c r="T2331" t="n">
        <v>1</v>
      </c>
      <c r="U2331" t="inlineStr">
        <is>
          <t>1994-06-22</t>
        </is>
      </c>
      <c r="V2331" t="inlineStr">
        <is>
          <t>1994-06-22</t>
        </is>
      </c>
      <c r="W2331" t="inlineStr">
        <is>
          <t>1992-03-17</t>
        </is>
      </c>
      <c r="X2331" t="inlineStr">
        <is>
          <t>1992-03-17</t>
        </is>
      </c>
      <c r="Y2331" t="n">
        <v>373</v>
      </c>
      <c r="Z2331" t="n">
        <v>344</v>
      </c>
      <c r="AA2331" t="n">
        <v>404</v>
      </c>
      <c r="AB2331" t="n">
        <v>3</v>
      </c>
      <c r="AC2331" t="n">
        <v>3</v>
      </c>
      <c r="AD2331" t="n">
        <v>21</v>
      </c>
      <c r="AE2331" t="n">
        <v>24</v>
      </c>
      <c r="AF2331" t="n">
        <v>7</v>
      </c>
      <c r="AG2331" t="n">
        <v>8</v>
      </c>
      <c r="AH2331" t="n">
        <v>5</v>
      </c>
      <c r="AI2331" t="n">
        <v>6</v>
      </c>
      <c r="AJ2331" t="n">
        <v>15</v>
      </c>
      <c r="AK2331" t="n">
        <v>17</v>
      </c>
      <c r="AL2331" t="n">
        <v>1</v>
      </c>
      <c r="AM2331" t="n">
        <v>1</v>
      </c>
      <c r="AN2331" t="n">
        <v>0</v>
      </c>
      <c r="AO2331" t="n">
        <v>0</v>
      </c>
      <c r="AP2331" t="inlineStr">
        <is>
          <t>No</t>
        </is>
      </c>
      <c r="AQ2331" t="inlineStr">
        <is>
          <t>Yes</t>
        </is>
      </c>
      <c r="AR2331">
        <f>HYPERLINK("http://catalog.hathitrust.org/Record/000182947","HathiTrust Record")</f>
        <v/>
      </c>
      <c r="AS2331">
        <f>HYPERLINK("https://creighton-primo.hosted.exlibrisgroup.com/primo-explore/search?tab=default_tab&amp;search_scope=EVERYTHING&amp;vid=01CRU&amp;lang=en_US&amp;offset=0&amp;query=any,contains,991005159269702656","Catalog Record")</f>
        <v/>
      </c>
      <c r="AT2331">
        <f>HYPERLINK("http://www.worldcat.org/oclc/7773188","WorldCat Record")</f>
        <v/>
      </c>
      <c r="AU2331" t="inlineStr">
        <is>
          <t>196747103:eng</t>
        </is>
      </c>
      <c r="AV2331" t="inlineStr">
        <is>
          <t>7773188</t>
        </is>
      </c>
      <c r="AW2331" t="inlineStr">
        <is>
          <t>991005159269702656</t>
        </is>
      </c>
      <c r="AX2331" t="inlineStr">
        <is>
          <t>991005159269702656</t>
        </is>
      </c>
      <c r="AY2331" t="inlineStr">
        <is>
          <t>2269193220002656</t>
        </is>
      </c>
      <c r="AZ2331" t="inlineStr">
        <is>
          <t>BOOK</t>
        </is>
      </c>
      <c r="BB2331" t="inlineStr">
        <is>
          <t>9780836239096</t>
        </is>
      </c>
      <c r="BC2331" t="inlineStr">
        <is>
          <t>32285001001857</t>
        </is>
      </c>
      <c r="BD2331" t="inlineStr">
        <is>
          <t>893424656</t>
        </is>
      </c>
    </row>
    <row r="2332">
      <c r="A2332" t="inlineStr">
        <is>
          <t>No</t>
        </is>
      </c>
      <c r="B2332" t="inlineStr">
        <is>
          <t>BX4705.G6226 A3 1997</t>
        </is>
      </c>
      <c r="C2332" t="inlineStr">
        <is>
          <t>0                      BX 4705000G  6226               A  3           1997</t>
        </is>
      </c>
      <c r="D2332" t="inlineStr">
        <is>
          <t>A human search : Bede Griffiths reflects on his life : an oral history / edited by John Swindells.</t>
        </is>
      </c>
      <c r="F2332" t="inlineStr">
        <is>
          <t>No</t>
        </is>
      </c>
      <c r="G2332" t="inlineStr">
        <is>
          <t>1</t>
        </is>
      </c>
      <c r="H2332" t="inlineStr">
        <is>
          <t>No</t>
        </is>
      </c>
      <c r="I2332" t="inlineStr">
        <is>
          <t>No</t>
        </is>
      </c>
      <c r="J2332" t="inlineStr">
        <is>
          <t>0</t>
        </is>
      </c>
      <c r="K2332" t="inlineStr">
        <is>
          <t>Griffiths, Bede, 1906-1993.</t>
        </is>
      </c>
      <c r="L2332" t="inlineStr">
        <is>
          <t>Liguori, Mo. : Triumph Books, 1997.</t>
        </is>
      </c>
      <c r="M2332" t="inlineStr">
        <is>
          <t>1997</t>
        </is>
      </c>
      <c r="N2332" t="inlineStr">
        <is>
          <t>1st ed.</t>
        </is>
      </c>
      <c r="O2332" t="inlineStr">
        <is>
          <t>eng</t>
        </is>
      </c>
      <c r="P2332" t="inlineStr">
        <is>
          <t>nyu</t>
        </is>
      </c>
      <c r="R2332" t="inlineStr">
        <is>
          <t xml:space="preserve">BX </t>
        </is>
      </c>
      <c r="S2332" t="n">
        <v>8</v>
      </c>
      <c r="T2332" t="n">
        <v>8</v>
      </c>
      <c r="U2332" t="inlineStr">
        <is>
          <t>2010-07-01</t>
        </is>
      </c>
      <c r="V2332" t="inlineStr">
        <is>
          <t>2010-07-01</t>
        </is>
      </c>
      <c r="W2332" t="inlineStr">
        <is>
          <t>1999-01-21</t>
        </is>
      </c>
      <c r="X2332" t="inlineStr">
        <is>
          <t>1999-01-21</t>
        </is>
      </c>
      <c r="Y2332" t="n">
        <v>102</v>
      </c>
      <c r="Z2332" t="n">
        <v>83</v>
      </c>
      <c r="AA2332" t="n">
        <v>87</v>
      </c>
      <c r="AB2332" t="n">
        <v>1</v>
      </c>
      <c r="AC2332" t="n">
        <v>1</v>
      </c>
      <c r="AD2332" t="n">
        <v>5</v>
      </c>
      <c r="AE2332" t="n">
        <v>5</v>
      </c>
      <c r="AF2332" t="n">
        <v>0</v>
      </c>
      <c r="AG2332" t="n">
        <v>0</v>
      </c>
      <c r="AH2332" t="n">
        <v>1</v>
      </c>
      <c r="AI2332" t="n">
        <v>1</v>
      </c>
      <c r="AJ2332" t="n">
        <v>4</v>
      </c>
      <c r="AK2332" t="n">
        <v>4</v>
      </c>
      <c r="AL2332" t="n">
        <v>0</v>
      </c>
      <c r="AM2332" t="n">
        <v>0</v>
      </c>
      <c r="AN2332" t="n">
        <v>0</v>
      </c>
      <c r="AO2332" t="n">
        <v>0</v>
      </c>
      <c r="AP2332" t="inlineStr">
        <is>
          <t>No</t>
        </is>
      </c>
      <c r="AQ2332" t="inlineStr">
        <is>
          <t>Yes</t>
        </is>
      </c>
      <c r="AR2332">
        <f>HYPERLINK("http://catalog.hathitrust.org/Record/006025217","HathiTrust Record")</f>
        <v/>
      </c>
      <c r="AS2332">
        <f>HYPERLINK("https://creighton-primo.hosted.exlibrisgroup.com/primo-explore/search?tab=default_tab&amp;search_scope=EVERYTHING&amp;vid=01CRU&amp;lang=en_US&amp;offset=0&amp;query=any,contains,991002634359702656","Catalog Record")</f>
        <v/>
      </c>
      <c r="AT2332">
        <f>HYPERLINK("http://www.worldcat.org/oclc/34515904","WorldCat Record")</f>
        <v/>
      </c>
      <c r="AU2332" t="inlineStr">
        <is>
          <t>375730733:eng</t>
        </is>
      </c>
      <c r="AV2332" t="inlineStr">
        <is>
          <t>34515904</t>
        </is>
      </c>
      <c r="AW2332" t="inlineStr">
        <is>
          <t>991002634359702656</t>
        </is>
      </c>
      <c r="AX2332" t="inlineStr">
        <is>
          <t>991002634359702656</t>
        </is>
      </c>
      <c r="AY2332" t="inlineStr">
        <is>
          <t>2271957750002656</t>
        </is>
      </c>
      <c r="AZ2332" t="inlineStr">
        <is>
          <t>BOOK</t>
        </is>
      </c>
      <c r="BB2332" t="inlineStr">
        <is>
          <t>9780892439355</t>
        </is>
      </c>
      <c r="BC2332" t="inlineStr">
        <is>
          <t>32285003514576</t>
        </is>
      </c>
      <c r="BD2332" t="inlineStr">
        <is>
          <t>893616353</t>
        </is>
      </c>
    </row>
    <row r="2333">
      <c r="A2333" t="inlineStr">
        <is>
          <t>No</t>
        </is>
      </c>
      <c r="B2333" t="inlineStr">
        <is>
          <t>BX4705.G6265 R66 1995</t>
        </is>
      </c>
      <c r="C2333" t="inlineStr">
        <is>
          <t>0                      BX 4705000G  6265               R  66          1995</t>
        </is>
      </c>
      <c r="D2333" t="inlineStr">
        <is>
          <t>Romano Guardini : proclaiming the sacred in a modern world / edited by Robert A. Krieg.</t>
        </is>
      </c>
      <c r="F2333" t="inlineStr">
        <is>
          <t>No</t>
        </is>
      </c>
      <c r="G2333" t="inlineStr">
        <is>
          <t>1</t>
        </is>
      </c>
      <c r="H2333" t="inlineStr">
        <is>
          <t>No</t>
        </is>
      </c>
      <c r="I2333" t="inlineStr">
        <is>
          <t>No</t>
        </is>
      </c>
      <c r="J2333" t="inlineStr">
        <is>
          <t>0</t>
        </is>
      </c>
      <c r="L2333" t="inlineStr">
        <is>
          <t>Chicago : Liturgy Training Publications, c1995.</t>
        </is>
      </c>
      <c r="M2333" t="inlineStr">
        <is>
          <t>1995</t>
        </is>
      </c>
      <c r="O2333" t="inlineStr">
        <is>
          <t>eng</t>
        </is>
      </c>
      <c r="P2333" t="inlineStr">
        <is>
          <t>ilu</t>
        </is>
      </c>
      <c r="R2333" t="inlineStr">
        <is>
          <t xml:space="preserve">BX </t>
        </is>
      </c>
      <c r="S2333" t="n">
        <v>1</v>
      </c>
      <c r="T2333" t="n">
        <v>1</v>
      </c>
      <c r="U2333" t="inlineStr">
        <is>
          <t>2003-08-28</t>
        </is>
      </c>
      <c r="V2333" t="inlineStr">
        <is>
          <t>2003-08-28</t>
        </is>
      </c>
      <c r="W2333" t="inlineStr">
        <is>
          <t>2003-08-28</t>
        </is>
      </c>
      <c r="X2333" t="inlineStr">
        <is>
          <t>2003-08-28</t>
        </is>
      </c>
      <c r="Y2333" t="n">
        <v>105</v>
      </c>
      <c r="Z2333" t="n">
        <v>89</v>
      </c>
      <c r="AA2333" t="n">
        <v>89</v>
      </c>
      <c r="AB2333" t="n">
        <v>1</v>
      </c>
      <c r="AC2333" t="n">
        <v>1</v>
      </c>
      <c r="AD2333" t="n">
        <v>13</v>
      </c>
      <c r="AE2333" t="n">
        <v>13</v>
      </c>
      <c r="AF2333" t="n">
        <v>4</v>
      </c>
      <c r="AG2333" t="n">
        <v>4</v>
      </c>
      <c r="AH2333" t="n">
        <v>3</v>
      </c>
      <c r="AI2333" t="n">
        <v>3</v>
      </c>
      <c r="AJ2333" t="n">
        <v>8</v>
      </c>
      <c r="AK2333" t="n">
        <v>8</v>
      </c>
      <c r="AL2333" t="n">
        <v>0</v>
      </c>
      <c r="AM2333" t="n">
        <v>0</v>
      </c>
      <c r="AN2333" t="n">
        <v>0</v>
      </c>
      <c r="AO2333" t="n">
        <v>0</v>
      </c>
      <c r="AP2333" t="inlineStr">
        <is>
          <t>No</t>
        </is>
      </c>
      <c r="AQ2333" t="inlineStr">
        <is>
          <t>No</t>
        </is>
      </c>
      <c r="AS2333">
        <f>HYPERLINK("https://creighton-primo.hosted.exlibrisgroup.com/primo-explore/search?tab=default_tab&amp;search_scope=EVERYTHING&amp;vid=01CRU&amp;lang=en_US&amp;offset=0&amp;query=any,contains,991004098699702656","Catalog Record")</f>
        <v/>
      </c>
      <c r="AT2333">
        <f>HYPERLINK("http://www.worldcat.org/oclc/33048226","WorldCat Record")</f>
        <v/>
      </c>
      <c r="AU2333" t="inlineStr">
        <is>
          <t>3145396448:eng</t>
        </is>
      </c>
      <c r="AV2333" t="inlineStr">
        <is>
          <t>33048226</t>
        </is>
      </c>
      <c r="AW2333" t="inlineStr">
        <is>
          <t>991004098699702656</t>
        </is>
      </c>
      <c r="AX2333" t="inlineStr">
        <is>
          <t>991004098699702656</t>
        </is>
      </c>
      <c r="AY2333" t="inlineStr">
        <is>
          <t>2265873630002656</t>
        </is>
      </c>
      <c r="AZ2333" t="inlineStr">
        <is>
          <t>BOOK</t>
        </is>
      </c>
      <c r="BB2333" t="inlineStr">
        <is>
          <t>9781568541068</t>
        </is>
      </c>
      <c r="BC2333" t="inlineStr">
        <is>
          <t>32285004780481</t>
        </is>
      </c>
      <c r="BD2333" t="inlineStr">
        <is>
          <t>893869279</t>
        </is>
      </c>
    </row>
    <row r="2334">
      <c r="A2334" t="inlineStr">
        <is>
          <t>No</t>
        </is>
      </c>
      <c r="B2334" t="inlineStr">
        <is>
          <t>BX4705.G63 J64 1984</t>
        </is>
      </c>
      <c r="C2334" t="inlineStr">
        <is>
          <t>0                      BX 4705000G  63                 J  64          1984</t>
        </is>
      </c>
      <c r="D2334" t="inlineStr">
        <is>
          <t>Prosper Gueranger (1805-1875) : a liturgical theologian : an introduction to his liturgical writings and work / Cuthbert Johnson.</t>
        </is>
      </c>
      <c r="F2334" t="inlineStr">
        <is>
          <t>No</t>
        </is>
      </c>
      <c r="G2334" t="inlineStr">
        <is>
          <t>1</t>
        </is>
      </c>
      <c r="H2334" t="inlineStr">
        <is>
          <t>No</t>
        </is>
      </c>
      <c r="I2334" t="inlineStr">
        <is>
          <t>No</t>
        </is>
      </c>
      <c r="J2334" t="inlineStr">
        <is>
          <t>0</t>
        </is>
      </c>
      <c r="K2334" t="inlineStr">
        <is>
          <t>Johnson, Cuthbert, 1946-2017.</t>
        </is>
      </c>
      <c r="L2334" t="inlineStr">
        <is>
          <t>Roma : Pontificio ateneo S. Anselmo, 1984.</t>
        </is>
      </c>
      <c r="M2334" t="inlineStr">
        <is>
          <t>1984</t>
        </is>
      </c>
      <c r="O2334" t="inlineStr">
        <is>
          <t>eng</t>
        </is>
      </c>
      <c r="P2334" t="inlineStr">
        <is>
          <t xml:space="preserve">it </t>
        </is>
      </c>
      <c r="Q2334" t="inlineStr">
        <is>
          <t>Studia Anselmiana ; 89. Analecta liturgica ; 9</t>
        </is>
      </c>
      <c r="R2334" t="inlineStr">
        <is>
          <t xml:space="preserve">BX </t>
        </is>
      </c>
      <c r="S2334" t="n">
        <v>4</v>
      </c>
      <c r="T2334" t="n">
        <v>4</v>
      </c>
      <c r="U2334" t="inlineStr">
        <is>
          <t>2008-03-10</t>
        </is>
      </c>
      <c r="V2334" t="inlineStr">
        <is>
          <t>2008-03-10</t>
        </is>
      </c>
      <c r="W2334" t="inlineStr">
        <is>
          <t>1992-03-17</t>
        </is>
      </c>
      <c r="X2334" t="inlineStr">
        <is>
          <t>1992-03-17</t>
        </is>
      </c>
      <c r="Y2334" t="n">
        <v>93</v>
      </c>
      <c r="Z2334" t="n">
        <v>64</v>
      </c>
      <c r="AA2334" t="n">
        <v>67</v>
      </c>
      <c r="AB2334" t="n">
        <v>1</v>
      </c>
      <c r="AC2334" t="n">
        <v>1</v>
      </c>
      <c r="AD2334" t="n">
        <v>8</v>
      </c>
      <c r="AE2334" t="n">
        <v>8</v>
      </c>
      <c r="AF2334" t="n">
        <v>1</v>
      </c>
      <c r="AG2334" t="n">
        <v>1</v>
      </c>
      <c r="AH2334" t="n">
        <v>2</v>
      </c>
      <c r="AI2334" t="n">
        <v>2</v>
      </c>
      <c r="AJ2334" t="n">
        <v>6</v>
      </c>
      <c r="AK2334" t="n">
        <v>6</v>
      </c>
      <c r="AL2334" t="n">
        <v>0</v>
      </c>
      <c r="AM2334" t="n">
        <v>0</v>
      </c>
      <c r="AN2334" t="n">
        <v>0</v>
      </c>
      <c r="AO2334" t="n">
        <v>0</v>
      </c>
      <c r="AP2334" t="inlineStr">
        <is>
          <t>No</t>
        </is>
      </c>
      <c r="AQ2334" t="inlineStr">
        <is>
          <t>Yes</t>
        </is>
      </c>
      <c r="AR2334">
        <f>HYPERLINK("http://catalog.hathitrust.org/Record/000449673","HathiTrust Record")</f>
        <v/>
      </c>
      <c r="AS2334">
        <f>HYPERLINK("https://creighton-primo.hosted.exlibrisgroup.com/primo-explore/search?tab=default_tab&amp;search_scope=EVERYTHING&amp;vid=01CRU&amp;lang=en_US&amp;offset=0&amp;query=any,contains,991000508169702656","Catalog Record")</f>
        <v/>
      </c>
      <c r="AT2334">
        <f>HYPERLINK("http://www.worldcat.org/oclc/11227849","WorldCat Record")</f>
        <v/>
      </c>
      <c r="AU2334" t="inlineStr">
        <is>
          <t>117972191:eng</t>
        </is>
      </c>
      <c r="AV2334" t="inlineStr">
        <is>
          <t>11227849</t>
        </is>
      </c>
      <c r="AW2334" t="inlineStr">
        <is>
          <t>991000508169702656</t>
        </is>
      </c>
      <c r="AX2334" t="inlineStr">
        <is>
          <t>991000508169702656</t>
        </is>
      </c>
      <c r="AY2334" t="inlineStr">
        <is>
          <t>2256856440002656</t>
        </is>
      </c>
      <c r="AZ2334" t="inlineStr">
        <is>
          <t>BOOK</t>
        </is>
      </c>
      <c r="BC2334" t="inlineStr">
        <is>
          <t>32285001001865</t>
        </is>
      </c>
      <c r="BD2334" t="inlineStr">
        <is>
          <t>893345729</t>
        </is>
      </c>
    </row>
    <row r="2335">
      <c r="A2335" t="inlineStr">
        <is>
          <t>No</t>
        </is>
      </c>
      <c r="B2335" t="inlineStr">
        <is>
          <t>BX4705.G7464 B76 1980</t>
        </is>
      </c>
      <c r="C2335" t="inlineStr">
        <is>
          <t>0                      BX 4705000G  7464               B  76          1980</t>
        </is>
      </c>
      <c r="D2335" t="inlineStr">
        <is>
          <t>Studies in monastic theology / by Odo Brooke.</t>
        </is>
      </c>
      <c r="F2335" t="inlineStr">
        <is>
          <t>No</t>
        </is>
      </c>
      <c r="G2335" t="inlineStr">
        <is>
          <t>1</t>
        </is>
      </c>
      <c r="H2335" t="inlineStr">
        <is>
          <t>No</t>
        </is>
      </c>
      <c r="I2335" t="inlineStr">
        <is>
          <t>No</t>
        </is>
      </c>
      <c r="J2335" t="inlineStr">
        <is>
          <t>0</t>
        </is>
      </c>
      <c r="K2335" t="inlineStr">
        <is>
          <t>Brooke, Odo, 1919-1971.</t>
        </is>
      </c>
      <c r="L2335" t="inlineStr">
        <is>
          <t>Kalamazoo, MI : Cistercian Publications, 1980.</t>
        </is>
      </c>
      <c r="M2335" t="inlineStr">
        <is>
          <t>1980</t>
        </is>
      </c>
      <c r="O2335" t="inlineStr">
        <is>
          <t>eng</t>
        </is>
      </c>
      <c r="P2335" t="inlineStr">
        <is>
          <t>miu</t>
        </is>
      </c>
      <c r="Q2335" t="inlineStr">
        <is>
          <t>Cistercian studies series ; no. 37</t>
        </is>
      </c>
      <c r="R2335" t="inlineStr">
        <is>
          <t xml:space="preserve">BX </t>
        </is>
      </c>
      <c r="S2335" t="n">
        <v>5</v>
      </c>
      <c r="T2335" t="n">
        <v>5</v>
      </c>
      <c r="U2335" t="inlineStr">
        <is>
          <t>2002-07-20</t>
        </is>
      </c>
      <c r="V2335" t="inlineStr">
        <is>
          <t>2002-07-20</t>
        </is>
      </c>
      <c r="W2335" t="inlineStr">
        <is>
          <t>1992-03-17</t>
        </is>
      </c>
      <c r="X2335" t="inlineStr">
        <is>
          <t>1992-03-17</t>
        </is>
      </c>
      <c r="Y2335" t="n">
        <v>189</v>
      </c>
      <c r="Z2335" t="n">
        <v>156</v>
      </c>
      <c r="AA2335" t="n">
        <v>158</v>
      </c>
      <c r="AB2335" t="n">
        <v>1</v>
      </c>
      <c r="AC2335" t="n">
        <v>1</v>
      </c>
      <c r="AD2335" t="n">
        <v>20</v>
      </c>
      <c r="AE2335" t="n">
        <v>20</v>
      </c>
      <c r="AF2335" t="n">
        <v>3</v>
      </c>
      <c r="AG2335" t="n">
        <v>3</v>
      </c>
      <c r="AH2335" t="n">
        <v>6</v>
      </c>
      <c r="AI2335" t="n">
        <v>6</v>
      </c>
      <c r="AJ2335" t="n">
        <v>17</v>
      </c>
      <c r="AK2335" t="n">
        <v>17</v>
      </c>
      <c r="AL2335" t="n">
        <v>0</v>
      </c>
      <c r="AM2335" t="n">
        <v>0</v>
      </c>
      <c r="AN2335" t="n">
        <v>0</v>
      </c>
      <c r="AO2335" t="n">
        <v>0</v>
      </c>
      <c r="AP2335" t="inlineStr">
        <is>
          <t>No</t>
        </is>
      </c>
      <c r="AQ2335" t="inlineStr">
        <is>
          <t>Yes</t>
        </is>
      </c>
      <c r="AR2335">
        <f>HYPERLINK("http://catalog.hathitrust.org/Record/000023437","HathiTrust Record")</f>
        <v/>
      </c>
      <c r="AS2335">
        <f>HYPERLINK("https://creighton-primo.hosted.exlibrisgroup.com/primo-explore/search?tab=default_tab&amp;search_scope=EVERYTHING&amp;vid=01CRU&amp;lang=en_US&amp;offset=0&amp;query=any,contains,991004855739702656","Catalog Record")</f>
        <v/>
      </c>
      <c r="AT2335">
        <f>HYPERLINK("http://www.worldcat.org/oclc/5674495","WorldCat Record")</f>
        <v/>
      </c>
      <c r="AU2335" t="inlineStr">
        <is>
          <t>18853617:eng</t>
        </is>
      </c>
      <c r="AV2335" t="inlineStr">
        <is>
          <t>5674495</t>
        </is>
      </c>
      <c r="AW2335" t="inlineStr">
        <is>
          <t>991004855739702656</t>
        </is>
      </c>
      <c r="AX2335" t="inlineStr">
        <is>
          <t>991004855739702656</t>
        </is>
      </c>
      <c r="AY2335" t="inlineStr">
        <is>
          <t>2256405080002656</t>
        </is>
      </c>
      <c r="AZ2335" t="inlineStr">
        <is>
          <t>BOOK</t>
        </is>
      </c>
      <c r="BB2335" t="inlineStr">
        <is>
          <t>9780879078379</t>
        </is>
      </c>
      <c r="BC2335" t="inlineStr">
        <is>
          <t>32285001001899</t>
        </is>
      </c>
      <c r="BD2335" t="inlineStr">
        <is>
          <t>893507304</t>
        </is>
      </c>
    </row>
    <row r="2336">
      <c r="A2336" t="inlineStr">
        <is>
          <t>No</t>
        </is>
      </c>
      <c r="B2336" t="inlineStr">
        <is>
          <t>BX4705.G7464 D413 1972</t>
        </is>
      </c>
      <c r="C2336" t="inlineStr">
        <is>
          <t>0                      BX 4705000G  7464               D  413         1972</t>
        </is>
      </c>
      <c r="D2336" t="inlineStr">
        <is>
          <t>William of St Thierry; the man and his work. Translated by Richard Strachan.</t>
        </is>
      </c>
      <c r="F2336" t="inlineStr">
        <is>
          <t>No</t>
        </is>
      </c>
      <c r="G2336" t="inlineStr">
        <is>
          <t>1</t>
        </is>
      </c>
      <c r="H2336" t="inlineStr">
        <is>
          <t>No</t>
        </is>
      </c>
      <c r="I2336" t="inlineStr">
        <is>
          <t>No</t>
        </is>
      </c>
      <c r="J2336" t="inlineStr">
        <is>
          <t>0</t>
        </is>
      </c>
      <c r="K2336" t="inlineStr">
        <is>
          <t>Déchanet, Jean, 1906-</t>
        </is>
      </c>
      <c r="L2336" t="inlineStr">
        <is>
          <t>Spencer, Mass., Cistercian Publications, 1972.</t>
        </is>
      </c>
      <c r="M2336" t="inlineStr">
        <is>
          <t>1972</t>
        </is>
      </c>
      <c r="O2336" t="inlineStr">
        <is>
          <t>eng</t>
        </is>
      </c>
      <c r="P2336" t="inlineStr">
        <is>
          <t>mau</t>
        </is>
      </c>
      <c r="Q2336" t="inlineStr">
        <is>
          <t>Cistercian studies series ; no. 10</t>
        </is>
      </c>
      <c r="R2336" t="inlineStr">
        <is>
          <t xml:space="preserve">BX </t>
        </is>
      </c>
      <c r="S2336" t="n">
        <v>6</v>
      </c>
      <c r="T2336" t="n">
        <v>6</v>
      </c>
      <c r="U2336" t="inlineStr">
        <is>
          <t>2006-07-17</t>
        </is>
      </c>
      <c r="V2336" t="inlineStr">
        <is>
          <t>2006-07-17</t>
        </is>
      </c>
      <c r="W2336" t="inlineStr">
        <is>
          <t>1992-03-17</t>
        </is>
      </c>
      <c r="X2336" t="inlineStr">
        <is>
          <t>1992-03-17</t>
        </is>
      </c>
      <c r="Y2336" t="n">
        <v>288</v>
      </c>
      <c r="Z2336" t="n">
        <v>241</v>
      </c>
      <c r="AA2336" t="n">
        <v>242</v>
      </c>
      <c r="AB2336" t="n">
        <v>3</v>
      </c>
      <c r="AC2336" t="n">
        <v>3</v>
      </c>
      <c r="AD2336" t="n">
        <v>25</v>
      </c>
      <c r="AE2336" t="n">
        <v>25</v>
      </c>
      <c r="AF2336" t="n">
        <v>4</v>
      </c>
      <c r="AG2336" t="n">
        <v>4</v>
      </c>
      <c r="AH2336" t="n">
        <v>8</v>
      </c>
      <c r="AI2336" t="n">
        <v>8</v>
      </c>
      <c r="AJ2336" t="n">
        <v>18</v>
      </c>
      <c r="AK2336" t="n">
        <v>18</v>
      </c>
      <c r="AL2336" t="n">
        <v>2</v>
      </c>
      <c r="AM2336" t="n">
        <v>2</v>
      </c>
      <c r="AN2336" t="n">
        <v>0</v>
      </c>
      <c r="AO2336" t="n">
        <v>0</v>
      </c>
      <c r="AP2336" t="inlineStr">
        <is>
          <t>No</t>
        </is>
      </c>
      <c r="AQ2336" t="inlineStr">
        <is>
          <t>Yes</t>
        </is>
      </c>
      <c r="AR2336">
        <f>HYPERLINK("http://catalog.hathitrust.org/Record/000008928","HathiTrust Record")</f>
        <v/>
      </c>
      <c r="AS2336">
        <f>HYPERLINK("https://creighton-primo.hosted.exlibrisgroup.com/primo-explore/search?tab=default_tab&amp;search_scope=EVERYTHING&amp;vid=01CRU&amp;lang=en_US&amp;offset=0&amp;query=any,contains,991003091089702656","Catalog Record")</f>
        <v/>
      </c>
      <c r="AT2336">
        <f>HYPERLINK("http://www.worldcat.org/oclc/641015","WorldCat Record")</f>
        <v/>
      </c>
      <c r="AU2336" t="inlineStr">
        <is>
          <t>2218797052:eng</t>
        </is>
      </c>
      <c r="AV2336" t="inlineStr">
        <is>
          <t>641015</t>
        </is>
      </c>
      <c r="AW2336" t="inlineStr">
        <is>
          <t>991003091089702656</t>
        </is>
      </c>
      <c r="AX2336" t="inlineStr">
        <is>
          <t>991003091089702656</t>
        </is>
      </c>
      <c r="AY2336" t="inlineStr">
        <is>
          <t>2264063000002656</t>
        </is>
      </c>
      <c r="AZ2336" t="inlineStr">
        <is>
          <t>BOOK</t>
        </is>
      </c>
      <c r="BB2336" t="inlineStr">
        <is>
          <t>9780879078102</t>
        </is>
      </c>
      <c r="BC2336" t="inlineStr">
        <is>
          <t>32285001001907</t>
        </is>
      </c>
      <c r="BD2336" t="inlineStr">
        <is>
          <t>893868096</t>
        </is>
      </c>
    </row>
    <row r="2337">
      <c r="A2337" t="inlineStr">
        <is>
          <t>No</t>
        </is>
      </c>
      <c r="B2337" t="inlineStr">
        <is>
          <t>BX4705.G768 B86 1990</t>
        </is>
      </c>
      <c r="C2337" t="inlineStr">
        <is>
          <t>0                      BX 4705000G  768                B  86          1990</t>
        </is>
      </c>
      <c r="D2337" t="inlineStr">
        <is>
          <t>Before infallibility : liberal Catholicism in Biedermeier Vienna / Adam Bunnell.</t>
        </is>
      </c>
      <c r="F2337" t="inlineStr">
        <is>
          <t>No</t>
        </is>
      </c>
      <c r="G2337" t="inlineStr">
        <is>
          <t>1</t>
        </is>
      </c>
      <c r="H2337" t="inlineStr">
        <is>
          <t>No</t>
        </is>
      </c>
      <c r="I2337" t="inlineStr">
        <is>
          <t>No</t>
        </is>
      </c>
      <c r="J2337" t="inlineStr">
        <is>
          <t>0</t>
        </is>
      </c>
      <c r="K2337" t="inlineStr">
        <is>
          <t>Bunnell, Adam, 1946-</t>
        </is>
      </c>
      <c r="L2337" t="inlineStr">
        <is>
          <t>Rutherford, [N.J.] : Fairleigh Dickinson University Press ; London ; Cranbury, NJ : Associated University Presses, c1990.</t>
        </is>
      </c>
      <c r="M2337" t="inlineStr">
        <is>
          <t>1990</t>
        </is>
      </c>
      <c r="O2337" t="inlineStr">
        <is>
          <t>eng</t>
        </is>
      </c>
      <c r="P2337" t="inlineStr">
        <is>
          <t>nju</t>
        </is>
      </c>
      <c r="R2337" t="inlineStr">
        <is>
          <t xml:space="preserve">BX </t>
        </is>
      </c>
      <c r="S2337" t="n">
        <v>1</v>
      </c>
      <c r="T2337" t="n">
        <v>1</v>
      </c>
      <c r="U2337" t="inlineStr">
        <is>
          <t>1995-04-10</t>
        </is>
      </c>
      <c r="V2337" t="inlineStr">
        <is>
          <t>1995-04-10</t>
        </is>
      </c>
      <c r="W2337" t="inlineStr">
        <is>
          <t>1991-03-11</t>
        </is>
      </c>
      <c r="X2337" t="inlineStr">
        <is>
          <t>1991-03-11</t>
        </is>
      </c>
      <c r="Y2337" t="n">
        <v>209</v>
      </c>
      <c r="Z2337" t="n">
        <v>184</v>
      </c>
      <c r="AA2337" t="n">
        <v>184</v>
      </c>
      <c r="AB2337" t="n">
        <v>2</v>
      </c>
      <c r="AC2337" t="n">
        <v>2</v>
      </c>
      <c r="AD2337" t="n">
        <v>19</v>
      </c>
      <c r="AE2337" t="n">
        <v>19</v>
      </c>
      <c r="AF2337" t="n">
        <v>3</v>
      </c>
      <c r="AG2337" t="n">
        <v>3</v>
      </c>
      <c r="AH2337" t="n">
        <v>7</v>
      </c>
      <c r="AI2337" t="n">
        <v>7</v>
      </c>
      <c r="AJ2337" t="n">
        <v>13</v>
      </c>
      <c r="AK2337" t="n">
        <v>13</v>
      </c>
      <c r="AL2337" t="n">
        <v>1</v>
      </c>
      <c r="AM2337" t="n">
        <v>1</v>
      </c>
      <c r="AN2337" t="n">
        <v>0</v>
      </c>
      <c r="AO2337" t="n">
        <v>0</v>
      </c>
      <c r="AP2337" t="inlineStr">
        <is>
          <t>No</t>
        </is>
      </c>
      <c r="AQ2337" t="inlineStr">
        <is>
          <t>No</t>
        </is>
      </c>
      <c r="AS2337">
        <f>HYPERLINK("https://creighton-primo.hosted.exlibrisgroup.com/primo-explore/search?tab=default_tab&amp;search_scope=EVERYTHING&amp;vid=01CRU&amp;lang=en_US&amp;offset=0&amp;query=any,contains,991001437159702656","Catalog Record")</f>
        <v/>
      </c>
      <c r="AT2337">
        <f>HYPERLINK("http://www.worldcat.org/oclc/19130841","WorldCat Record")</f>
        <v/>
      </c>
      <c r="AU2337" t="inlineStr">
        <is>
          <t>836841113:eng</t>
        </is>
      </c>
      <c r="AV2337" t="inlineStr">
        <is>
          <t>19130841</t>
        </is>
      </c>
      <c r="AW2337" t="inlineStr">
        <is>
          <t>991001437159702656</t>
        </is>
      </c>
      <c r="AX2337" t="inlineStr">
        <is>
          <t>991001437159702656</t>
        </is>
      </c>
      <c r="AY2337" t="inlineStr">
        <is>
          <t>2261636070002656</t>
        </is>
      </c>
      <c r="AZ2337" t="inlineStr">
        <is>
          <t>BOOK</t>
        </is>
      </c>
      <c r="BB2337" t="inlineStr">
        <is>
          <t>9780838633441</t>
        </is>
      </c>
      <c r="BC2337" t="inlineStr">
        <is>
          <t>32285000511120</t>
        </is>
      </c>
      <c r="BD2337" t="inlineStr">
        <is>
          <t>893703038</t>
        </is>
      </c>
    </row>
    <row r="2338">
      <c r="A2338" t="inlineStr">
        <is>
          <t>No</t>
        </is>
      </c>
      <c r="B2338" t="inlineStr">
        <is>
          <t>BX4705.G8 M34</t>
        </is>
      </c>
      <c r="C2338" t="inlineStr">
        <is>
          <t>0                      BX 4705000G  8                  M  34</t>
        </is>
      </c>
      <c r="D2338" t="inlineStr">
        <is>
          <t>Jeanne Guyon / Françoise Mallet-Joris.</t>
        </is>
      </c>
      <c r="F2338" t="inlineStr">
        <is>
          <t>No</t>
        </is>
      </c>
      <c r="G2338" t="inlineStr">
        <is>
          <t>1</t>
        </is>
      </c>
      <c r="H2338" t="inlineStr">
        <is>
          <t>No</t>
        </is>
      </c>
      <c r="I2338" t="inlineStr">
        <is>
          <t>No</t>
        </is>
      </c>
      <c r="J2338" t="inlineStr">
        <is>
          <t>0</t>
        </is>
      </c>
      <c r="K2338" t="inlineStr">
        <is>
          <t>Mallet-Joris, Françoise, 1930-2016.</t>
        </is>
      </c>
      <c r="L2338" t="inlineStr">
        <is>
          <t>[Paris] : Flammarion, c1978.</t>
        </is>
      </c>
      <c r="M2338" t="inlineStr">
        <is>
          <t>1978</t>
        </is>
      </c>
      <c r="O2338" t="inlineStr">
        <is>
          <t>fre</t>
        </is>
      </c>
      <c r="P2338" t="inlineStr">
        <is>
          <t xml:space="preserve">fr </t>
        </is>
      </c>
      <c r="R2338" t="inlineStr">
        <is>
          <t xml:space="preserve">BX </t>
        </is>
      </c>
      <c r="S2338" t="n">
        <v>4</v>
      </c>
      <c r="T2338" t="n">
        <v>4</v>
      </c>
      <c r="U2338" t="inlineStr">
        <is>
          <t>2001-02-14</t>
        </is>
      </c>
      <c r="V2338" t="inlineStr">
        <is>
          <t>2001-02-14</t>
        </is>
      </c>
      <c r="W2338" t="inlineStr">
        <is>
          <t>1992-03-17</t>
        </is>
      </c>
      <c r="X2338" t="inlineStr">
        <is>
          <t>1992-03-17</t>
        </is>
      </c>
      <c r="Y2338" t="n">
        <v>181</v>
      </c>
      <c r="Z2338" t="n">
        <v>106</v>
      </c>
      <c r="AA2338" t="n">
        <v>108</v>
      </c>
      <c r="AB2338" t="n">
        <v>2</v>
      </c>
      <c r="AC2338" t="n">
        <v>2</v>
      </c>
      <c r="AD2338" t="n">
        <v>7</v>
      </c>
      <c r="AE2338" t="n">
        <v>7</v>
      </c>
      <c r="AF2338" t="n">
        <v>0</v>
      </c>
      <c r="AG2338" t="n">
        <v>0</v>
      </c>
      <c r="AH2338" t="n">
        <v>3</v>
      </c>
      <c r="AI2338" t="n">
        <v>3</v>
      </c>
      <c r="AJ2338" t="n">
        <v>5</v>
      </c>
      <c r="AK2338" t="n">
        <v>5</v>
      </c>
      <c r="AL2338" t="n">
        <v>1</v>
      </c>
      <c r="AM2338" t="n">
        <v>1</v>
      </c>
      <c r="AN2338" t="n">
        <v>0</v>
      </c>
      <c r="AO2338" t="n">
        <v>0</v>
      </c>
      <c r="AP2338" t="inlineStr">
        <is>
          <t>No</t>
        </is>
      </c>
      <c r="AQ2338" t="inlineStr">
        <is>
          <t>Yes</t>
        </is>
      </c>
      <c r="AR2338">
        <f>HYPERLINK("http://catalog.hathitrust.org/Record/000214930","HathiTrust Record")</f>
        <v/>
      </c>
      <c r="AS2338">
        <f>HYPERLINK("https://creighton-primo.hosted.exlibrisgroup.com/primo-explore/search?tab=default_tab&amp;search_scope=EVERYTHING&amp;vid=01CRU&amp;lang=en_US&amp;offset=0&amp;query=any,contains,991005372159702656","Catalog Record")</f>
        <v/>
      </c>
      <c r="AT2338">
        <f>HYPERLINK("http://www.worldcat.org/oclc/4149695","WorldCat Record")</f>
        <v/>
      </c>
      <c r="AU2338" t="inlineStr">
        <is>
          <t>4494918055:fre</t>
        </is>
      </c>
      <c r="AV2338" t="inlineStr">
        <is>
          <t>4149695</t>
        </is>
      </c>
      <c r="AW2338" t="inlineStr">
        <is>
          <t>991005372159702656</t>
        </is>
      </c>
      <c r="AX2338" t="inlineStr">
        <is>
          <t>991005372159702656</t>
        </is>
      </c>
      <c r="AY2338" t="inlineStr">
        <is>
          <t>2255533410002656</t>
        </is>
      </c>
      <c r="AZ2338" t="inlineStr">
        <is>
          <t>BOOK</t>
        </is>
      </c>
      <c r="BB2338" t="inlineStr">
        <is>
          <t>9782080640765</t>
        </is>
      </c>
      <c r="BC2338" t="inlineStr">
        <is>
          <t>32285001001915</t>
        </is>
      </c>
      <c r="BD2338" t="inlineStr">
        <is>
          <t>893689102</t>
        </is>
      </c>
    </row>
    <row r="2339">
      <c r="A2339" t="inlineStr">
        <is>
          <t>No</t>
        </is>
      </c>
      <c r="B2339" t="inlineStr">
        <is>
          <t>BX4705.H236 S53 1989</t>
        </is>
      </c>
      <c r="C2339" t="inlineStr">
        <is>
          <t>0                      BX 4705000H  236                S  53          1989</t>
        </is>
      </c>
      <c r="D2339" t="inlineStr">
        <is>
          <t>Paul J. Hallinan : first Archbishop of Atlanta / by Thomas J. Shelley.</t>
        </is>
      </c>
      <c r="F2339" t="inlineStr">
        <is>
          <t>No</t>
        </is>
      </c>
      <c r="G2339" t="inlineStr">
        <is>
          <t>1</t>
        </is>
      </c>
      <c r="H2339" t="inlineStr">
        <is>
          <t>No</t>
        </is>
      </c>
      <c r="I2339" t="inlineStr">
        <is>
          <t>No</t>
        </is>
      </c>
      <c r="J2339" t="inlineStr">
        <is>
          <t>0</t>
        </is>
      </c>
      <c r="K2339" t="inlineStr">
        <is>
          <t>Shelley, Thomas J.</t>
        </is>
      </c>
      <c r="L2339" t="inlineStr">
        <is>
          <t>Wilmington, Del. : M. Glazier, 1989.</t>
        </is>
      </c>
      <c r="M2339" t="inlineStr">
        <is>
          <t>1989</t>
        </is>
      </c>
      <c r="O2339" t="inlineStr">
        <is>
          <t>eng</t>
        </is>
      </c>
      <c r="P2339" t="inlineStr">
        <is>
          <t>deu</t>
        </is>
      </c>
      <c r="R2339" t="inlineStr">
        <is>
          <t xml:space="preserve">BX </t>
        </is>
      </c>
      <c r="S2339" t="n">
        <v>1</v>
      </c>
      <c r="T2339" t="n">
        <v>1</v>
      </c>
      <c r="U2339" t="inlineStr">
        <is>
          <t>1993-07-08</t>
        </is>
      </c>
      <c r="V2339" t="inlineStr">
        <is>
          <t>1993-07-08</t>
        </is>
      </c>
      <c r="W2339" t="inlineStr">
        <is>
          <t>1992-03-17</t>
        </is>
      </c>
      <c r="X2339" t="inlineStr">
        <is>
          <t>1992-03-17</t>
        </is>
      </c>
      <c r="Y2339" t="n">
        <v>126</v>
      </c>
      <c r="Z2339" t="n">
        <v>119</v>
      </c>
      <c r="AA2339" t="n">
        <v>120</v>
      </c>
      <c r="AB2339" t="n">
        <v>2</v>
      </c>
      <c r="AC2339" t="n">
        <v>2</v>
      </c>
      <c r="AD2339" t="n">
        <v>16</v>
      </c>
      <c r="AE2339" t="n">
        <v>16</v>
      </c>
      <c r="AF2339" t="n">
        <v>7</v>
      </c>
      <c r="AG2339" t="n">
        <v>7</v>
      </c>
      <c r="AH2339" t="n">
        <v>3</v>
      </c>
      <c r="AI2339" t="n">
        <v>3</v>
      </c>
      <c r="AJ2339" t="n">
        <v>10</v>
      </c>
      <c r="AK2339" t="n">
        <v>10</v>
      </c>
      <c r="AL2339" t="n">
        <v>0</v>
      </c>
      <c r="AM2339" t="n">
        <v>0</v>
      </c>
      <c r="AN2339" t="n">
        <v>0</v>
      </c>
      <c r="AO2339" t="n">
        <v>0</v>
      </c>
      <c r="AP2339" t="inlineStr">
        <is>
          <t>No</t>
        </is>
      </c>
      <c r="AQ2339" t="inlineStr">
        <is>
          <t>Yes</t>
        </is>
      </c>
      <c r="AR2339">
        <f>HYPERLINK("http://catalog.hathitrust.org/Record/006922769","HathiTrust Record")</f>
        <v/>
      </c>
      <c r="AS2339">
        <f>HYPERLINK("https://creighton-primo.hosted.exlibrisgroup.com/primo-explore/search?tab=default_tab&amp;search_scope=EVERYTHING&amp;vid=01CRU&amp;lang=en_US&amp;offset=0&amp;query=any,contains,991001444659702656","Catalog Record")</f>
        <v/>
      </c>
      <c r="AT2339">
        <f>HYPERLINK("http://www.worldcat.org/oclc/19267797","WorldCat Record")</f>
        <v/>
      </c>
      <c r="AU2339" t="inlineStr">
        <is>
          <t>316332244:eng</t>
        </is>
      </c>
      <c r="AV2339" t="inlineStr">
        <is>
          <t>19267797</t>
        </is>
      </c>
      <c r="AW2339" t="inlineStr">
        <is>
          <t>991001444659702656</t>
        </is>
      </c>
      <c r="AX2339" t="inlineStr">
        <is>
          <t>991001444659702656</t>
        </is>
      </c>
      <c r="AY2339" t="inlineStr">
        <is>
          <t>2268090660002656</t>
        </is>
      </c>
      <c r="AZ2339" t="inlineStr">
        <is>
          <t>BOOK</t>
        </is>
      </c>
      <c r="BB2339" t="inlineStr">
        <is>
          <t>9780894537684</t>
        </is>
      </c>
      <c r="BC2339" t="inlineStr">
        <is>
          <t>32285001001956</t>
        </is>
      </c>
      <c r="BD2339" t="inlineStr">
        <is>
          <t>893321974</t>
        </is>
      </c>
    </row>
    <row r="2340">
      <c r="A2340" t="inlineStr">
        <is>
          <t>No</t>
        </is>
      </c>
      <c r="B2340" t="inlineStr">
        <is>
          <t>BX4705.H237 G76 1998</t>
        </is>
      </c>
      <c r="C2340" t="inlineStr">
        <is>
          <t>0                      BX 4705000H  237                G  76          1998</t>
        </is>
      </c>
      <c r="D2340" t="inlineStr">
        <is>
          <t>A priest forever : the life of Father Eugene Hamilton / Benedict J. Groeschel ; foreword by John Cardinal O'Connor.</t>
        </is>
      </c>
      <c r="F2340" t="inlineStr">
        <is>
          <t>No</t>
        </is>
      </c>
      <c r="G2340" t="inlineStr">
        <is>
          <t>1</t>
        </is>
      </c>
      <c r="H2340" t="inlineStr">
        <is>
          <t>No</t>
        </is>
      </c>
      <c r="I2340" t="inlineStr">
        <is>
          <t>No</t>
        </is>
      </c>
      <c r="J2340" t="inlineStr">
        <is>
          <t>0</t>
        </is>
      </c>
      <c r="K2340" t="inlineStr">
        <is>
          <t>Groeschel, Benedict J.</t>
        </is>
      </c>
      <c r="L2340" t="inlineStr">
        <is>
          <t>Huntington, Ind. : Our Sunday Visitor, 1998.</t>
        </is>
      </c>
      <c r="M2340" t="inlineStr">
        <is>
          <t>1998</t>
        </is>
      </c>
      <c r="O2340" t="inlineStr">
        <is>
          <t>eng</t>
        </is>
      </c>
      <c r="P2340" t="inlineStr">
        <is>
          <t>inu</t>
        </is>
      </c>
      <c r="R2340" t="inlineStr">
        <is>
          <t xml:space="preserve">BX </t>
        </is>
      </c>
      <c r="S2340" t="n">
        <v>1</v>
      </c>
      <c r="T2340" t="n">
        <v>1</v>
      </c>
      <c r="U2340" t="inlineStr">
        <is>
          <t>2002-08-13</t>
        </is>
      </c>
      <c r="V2340" t="inlineStr">
        <is>
          <t>2002-08-13</t>
        </is>
      </c>
      <c r="W2340" t="inlineStr">
        <is>
          <t>2002-08-13</t>
        </is>
      </c>
      <c r="X2340" t="inlineStr">
        <is>
          <t>2002-08-13</t>
        </is>
      </c>
      <c r="Y2340" t="n">
        <v>92</v>
      </c>
      <c r="Z2340" t="n">
        <v>84</v>
      </c>
      <c r="AA2340" t="n">
        <v>84</v>
      </c>
      <c r="AB2340" t="n">
        <v>3</v>
      </c>
      <c r="AC2340" t="n">
        <v>3</v>
      </c>
      <c r="AD2340" t="n">
        <v>7</v>
      </c>
      <c r="AE2340" t="n">
        <v>7</v>
      </c>
      <c r="AF2340" t="n">
        <v>0</v>
      </c>
      <c r="AG2340" t="n">
        <v>0</v>
      </c>
      <c r="AH2340" t="n">
        <v>3</v>
      </c>
      <c r="AI2340" t="n">
        <v>3</v>
      </c>
      <c r="AJ2340" t="n">
        <v>5</v>
      </c>
      <c r="AK2340" t="n">
        <v>5</v>
      </c>
      <c r="AL2340" t="n">
        <v>0</v>
      </c>
      <c r="AM2340" t="n">
        <v>0</v>
      </c>
      <c r="AN2340" t="n">
        <v>0</v>
      </c>
      <c r="AO2340" t="n">
        <v>0</v>
      </c>
      <c r="AP2340" t="inlineStr">
        <is>
          <t>No</t>
        </is>
      </c>
      <c r="AQ2340" t="inlineStr">
        <is>
          <t>No</t>
        </is>
      </c>
      <c r="AS2340">
        <f>HYPERLINK("https://creighton-primo.hosted.exlibrisgroup.com/primo-explore/search?tab=default_tab&amp;search_scope=EVERYTHING&amp;vid=01CRU&amp;lang=en_US&amp;offset=0&amp;query=any,contains,991003856509702656","Catalog Record")</f>
        <v/>
      </c>
      <c r="AT2340">
        <f>HYPERLINK("http://www.worldcat.org/oclc/38763060","WorldCat Record")</f>
        <v/>
      </c>
      <c r="AU2340" t="inlineStr">
        <is>
          <t>41657920:eng</t>
        </is>
      </c>
      <c r="AV2340" t="inlineStr">
        <is>
          <t>38763060</t>
        </is>
      </c>
      <c r="AW2340" t="inlineStr">
        <is>
          <t>991003856509702656</t>
        </is>
      </c>
      <c r="AX2340" t="inlineStr">
        <is>
          <t>991003856509702656</t>
        </is>
      </c>
      <c r="AY2340" t="inlineStr">
        <is>
          <t>2272148820002656</t>
        </is>
      </c>
      <c r="AZ2340" t="inlineStr">
        <is>
          <t>BOOK</t>
        </is>
      </c>
      <c r="BB2340" t="inlineStr">
        <is>
          <t>9780879739447</t>
        </is>
      </c>
      <c r="BC2340" t="inlineStr">
        <is>
          <t>32285004642863</t>
        </is>
      </c>
      <c r="BD2340" t="inlineStr">
        <is>
          <t>893228558</t>
        </is>
      </c>
    </row>
    <row r="2341">
      <c r="A2341" t="inlineStr">
        <is>
          <t>No</t>
        </is>
      </c>
      <c r="B2341" t="inlineStr">
        <is>
          <t>BX4705.H25 W5 1942</t>
        </is>
      </c>
      <c r="C2341" t="inlineStr">
        <is>
          <t>0                      BX 4705000H  25                 W  5           1942</t>
        </is>
      </c>
      <c r="D2341" t="inlineStr">
        <is>
          <t>Second sowing : the life of Mary Aloysia Hardey / by Margaret Williams; illustrations of Anne Pracny.</t>
        </is>
      </c>
      <c r="F2341" t="inlineStr">
        <is>
          <t>No</t>
        </is>
      </c>
      <c r="G2341" t="inlineStr">
        <is>
          <t>1</t>
        </is>
      </c>
      <c r="H2341" t="inlineStr">
        <is>
          <t>No</t>
        </is>
      </c>
      <c r="I2341" t="inlineStr">
        <is>
          <t>No</t>
        </is>
      </c>
      <c r="J2341" t="inlineStr">
        <is>
          <t>0</t>
        </is>
      </c>
      <c r="K2341" t="inlineStr">
        <is>
          <t>Williams, Margaret, 1902-1996.</t>
        </is>
      </c>
      <c r="L2341" t="inlineStr">
        <is>
          <t>New York : Sheed &amp; Ward, 1942.</t>
        </is>
      </c>
      <c r="M2341" t="inlineStr">
        <is>
          <t>1942</t>
        </is>
      </c>
      <c r="O2341" t="inlineStr">
        <is>
          <t>eng</t>
        </is>
      </c>
      <c r="P2341" t="inlineStr">
        <is>
          <t>nyu</t>
        </is>
      </c>
      <c r="R2341" t="inlineStr">
        <is>
          <t xml:space="preserve">BX </t>
        </is>
      </c>
      <c r="S2341" t="n">
        <v>0</v>
      </c>
      <c r="T2341" t="n">
        <v>0</v>
      </c>
      <c r="U2341" t="inlineStr">
        <is>
          <t>2006-03-14</t>
        </is>
      </c>
      <c r="V2341" t="inlineStr">
        <is>
          <t>2006-03-14</t>
        </is>
      </c>
      <c r="W2341" t="inlineStr">
        <is>
          <t>1992-03-17</t>
        </is>
      </c>
      <c r="X2341" t="inlineStr">
        <is>
          <t>1992-03-17</t>
        </is>
      </c>
      <c r="Y2341" t="n">
        <v>160</v>
      </c>
      <c r="Z2341" t="n">
        <v>151</v>
      </c>
      <c r="AA2341" t="n">
        <v>157</v>
      </c>
      <c r="AB2341" t="n">
        <v>2</v>
      </c>
      <c r="AC2341" t="n">
        <v>2</v>
      </c>
      <c r="AD2341" t="n">
        <v>24</v>
      </c>
      <c r="AE2341" t="n">
        <v>24</v>
      </c>
      <c r="AF2341" t="n">
        <v>8</v>
      </c>
      <c r="AG2341" t="n">
        <v>8</v>
      </c>
      <c r="AH2341" t="n">
        <v>6</v>
      </c>
      <c r="AI2341" t="n">
        <v>6</v>
      </c>
      <c r="AJ2341" t="n">
        <v>18</v>
      </c>
      <c r="AK2341" t="n">
        <v>18</v>
      </c>
      <c r="AL2341" t="n">
        <v>1</v>
      </c>
      <c r="AM2341" t="n">
        <v>1</v>
      </c>
      <c r="AN2341" t="n">
        <v>0</v>
      </c>
      <c r="AO2341" t="n">
        <v>0</v>
      </c>
      <c r="AP2341" t="inlineStr">
        <is>
          <t>No</t>
        </is>
      </c>
      <c r="AQ2341" t="inlineStr">
        <is>
          <t>Yes</t>
        </is>
      </c>
      <c r="AR2341">
        <f>HYPERLINK("http://catalog.hathitrust.org/Record/005946204","HathiTrust Record")</f>
        <v/>
      </c>
      <c r="AS2341">
        <f>HYPERLINK("https://creighton-primo.hosted.exlibrisgroup.com/primo-explore/search?tab=default_tab&amp;search_scope=EVERYTHING&amp;vid=01CRU&amp;lang=en_US&amp;offset=0&amp;query=any,contains,991003929509702656","Catalog Record")</f>
        <v/>
      </c>
      <c r="AT2341">
        <f>HYPERLINK("http://www.worldcat.org/oclc/1892875","WorldCat Record")</f>
        <v/>
      </c>
      <c r="AU2341" t="inlineStr">
        <is>
          <t>10200353480:eng</t>
        </is>
      </c>
      <c r="AV2341" t="inlineStr">
        <is>
          <t>1892875</t>
        </is>
      </c>
      <c r="AW2341" t="inlineStr">
        <is>
          <t>991003929509702656</t>
        </is>
      </c>
      <c r="AX2341" t="inlineStr">
        <is>
          <t>991003929509702656</t>
        </is>
      </c>
      <c r="AY2341" t="inlineStr">
        <is>
          <t>2260409780002656</t>
        </is>
      </c>
      <c r="AZ2341" t="inlineStr">
        <is>
          <t>BOOK</t>
        </is>
      </c>
      <c r="BC2341" t="inlineStr">
        <is>
          <t>32285001001964</t>
        </is>
      </c>
      <c r="BD2341" t="inlineStr">
        <is>
          <t>893711955</t>
        </is>
      </c>
    </row>
    <row r="2342">
      <c r="A2342" t="inlineStr">
        <is>
          <t>No</t>
        </is>
      </c>
      <c r="B2342" t="inlineStr">
        <is>
          <t>BX4705.H257 A5 1992</t>
        </is>
      </c>
      <c r="C2342" t="inlineStr">
        <is>
          <t>0                      BX 4705000H  257                A  5           1992</t>
        </is>
      </c>
      <c r="D2342" t="inlineStr">
        <is>
          <t>My witness for the church / Bernard Häring ; introduction and translation by Leonard Swidler.</t>
        </is>
      </c>
      <c r="F2342" t="inlineStr">
        <is>
          <t>No</t>
        </is>
      </c>
      <c r="G2342" t="inlineStr">
        <is>
          <t>1</t>
        </is>
      </c>
      <c r="H2342" t="inlineStr">
        <is>
          <t>No</t>
        </is>
      </c>
      <c r="I2342" t="inlineStr">
        <is>
          <t>No</t>
        </is>
      </c>
      <c r="J2342" t="inlineStr">
        <is>
          <t>0</t>
        </is>
      </c>
      <c r="K2342" t="inlineStr">
        <is>
          <t>Häring, Bernhard, 1912-1998.</t>
        </is>
      </c>
      <c r="L2342" t="inlineStr">
        <is>
          <t>New York : Paulist Press, c1992.</t>
        </is>
      </c>
      <c r="M2342" t="inlineStr">
        <is>
          <t>1992</t>
        </is>
      </c>
      <c r="O2342" t="inlineStr">
        <is>
          <t>eng</t>
        </is>
      </c>
      <c r="P2342" t="inlineStr">
        <is>
          <t>nju</t>
        </is>
      </c>
      <c r="R2342" t="inlineStr">
        <is>
          <t xml:space="preserve">BX </t>
        </is>
      </c>
      <c r="S2342" t="n">
        <v>2</v>
      </c>
      <c r="T2342" t="n">
        <v>2</v>
      </c>
      <c r="U2342" t="inlineStr">
        <is>
          <t>2002-07-25</t>
        </is>
      </c>
      <c r="V2342" t="inlineStr">
        <is>
          <t>2002-07-25</t>
        </is>
      </c>
      <c r="W2342" t="inlineStr">
        <is>
          <t>1993-09-28</t>
        </is>
      </c>
      <c r="X2342" t="inlineStr">
        <is>
          <t>1993-09-28</t>
        </is>
      </c>
      <c r="Y2342" t="n">
        <v>201</v>
      </c>
      <c r="Z2342" t="n">
        <v>164</v>
      </c>
      <c r="AA2342" t="n">
        <v>170</v>
      </c>
      <c r="AB2342" t="n">
        <v>2</v>
      </c>
      <c r="AC2342" t="n">
        <v>2</v>
      </c>
      <c r="AD2342" t="n">
        <v>19</v>
      </c>
      <c r="AE2342" t="n">
        <v>19</v>
      </c>
      <c r="AF2342" t="n">
        <v>5</v>
      </c>
      <c r="AG2342" t="n">
        <v>5</v>
      </c>
      <c r="AH2342" t="n">
        <v>6</v>
      </c>
      <c r="AI2342" t="n">
        <v>6</v>
      </c>
      <c r="AJ2342" t="n">
        <v>12</v>
      </c>
      <c r="AK2342" t="n">
        <v>12</v>
      </c>
      <c r="AL2342" t="n">
        <v>1</v>
      </c>
      <c r="AM2342" t="n">
        <v>1</v>
      </c>
      <c r="AN2342" t="n">
        <v>0</v>
      </c>
      <c r="AO2342" t="n">
        <v>0</v>
      </c>
      <c r="AP2342" t="inlineStr">
        <is>
          <t>No</t>
        </is>
      </c>
      <c r="AQ2342" t="inlineStr">
        <is>
          <t>Yes</t>
        </is>
      </c>
      <c r="AR2342">
        <f>HYPERLINK("http://catalog.hathitrust.org/Record/006025226","HathiTrust Record")</f>
        <v/>
      </c>
      <c r="AS2342">
        <f>HYPERLINK("https://creighton-primo.hosted.exlibrisgroup.com/primo-explore/search?tab=default_tab&amp;search_scope=EVERYTHING&amp;vid=01CRU&amp;lang=en_US&amp;offset=0&amp;query=any,contains,991001956829702656","Catalog Record")</f>
        <v/>
      </c>
      <c r="AT2342">
        <f>HYPERLINK("http://www.worldcat.org/oclc/24792325","WorldCat Record")</f>
        <v/>
      </c>
      <c r="AU2342" t="inlineStr">
        <is>
          <t>4417316499:eng</t>
        </is>
      </c>
      <c r="AV2342" t="inlineStr">
        <is>
          <t>24792325</t>
        </is>
      </c>
      <c r="AW2342" t="inlineStr">
        <is>
          <t>991001956829702656</t>
        </is>
      </c>
      <c r="AX2342" t="inlineStr">
        <is>
          <t>991001956829702656</t>
        </is>
      </c>
      <c r="AY2342" t="inlineStr">
        <is>
          <t>2261389270002656</t>
        </is>
      </c>
      <c r="AZ2342" t="inlineStr">
        <is>
          <t>BOOK</t>
        </is>
      </c>
      <c r="BB2342" t="inlineStr">
        <is>
          <t>9780809132782</t>
        </is>
      </c>
      <c r="BC2342" t="inlineStr">
        <is>
          <t>32285001768166</t>
        </is>
      </c>
      <c r="BD2342" t="inlineStr">
        <is>
          <t>893891978</t>
        </is>
      </c>
    </row>
    <row r="2343">
      <c r="A2343" t="inlineStr">
        <is>
          <t>No</t>
        </is>
      </c>
      <c r="B2343" t="inlineStr">
        <is>
          <t>BX4705.H4 A3 1988</t>
        </is>
      </c>
      <c r="C2343" t="inlineStr">
        <is>
          <t>0                      BX 4705000H  4                  A  3           1988</t>
        </is>
      </c>
      <c r="D2343" t="inlineStr">
        <is>
          <t>Isaac T. Hecker, the diary : romantic religion in ante-bellum America / edited by John Farina.</t>
        </is>
      </c>
      <c r="F2343" t="inlineStr">
        <is>
          <t>No</t>
        </is>
      </c>
      <c r="G2343" t="inlineStr">
        <is>
          <t>1</t>
        </is>
      </c>
      <c r="H2343" t="inlineStr">
        <is>
          <t>No</t>
        </is>
      </c>
      <c r="I2343" t="inlineStr">
        <is>
          <t>No</t>
        </is>
      </c>
      <c r="J2343" t="inlineStr">
        <is>
          <t>0</t>
        </is>
      </c>
      <c r="K2343" t="inlineStr">
        <is>
          <t>Hecker, Isaac Thomas, 1819-1888.</t>
        </is>
      </c>
      <c r="L2343" t="inlineStr">
        <is>
          <t>New York : Paulist Press, c1988.</t>
        </is>
      </c>
      <c r="M2343" t="inlineStr">
        <is>
          <t>1988</t>
        </is>
      </c>
      <c r="N2343" t="inlineStr">
        <is>
          <t>[1st ed.].</t>
        </is>
      </c>
      <c r="O2343" t="inlineStr">
        <is>
          <t>eng</t>
        </is>
      </c>
      <c r="P2343" t="inlineStr">
        <is>
          <t>nyu</t>
        </is>
      </c>
      <c r="Q2343" t="inlineStr">
        <is>
          <t>Sources of American spirituality</t>
        </is>
      </c>
      <c r="R2343" t="inlineStr">
        <is>
          <t xml:space="preserve">BX </t>
        </is>
      </c>
      <c r="S2343" t="n">
        <v>3</v>
      </c>
      <c r="T2343" t="n">
        <v>3</v>
      </c>
      <c r="U2343" t="inlineStr">
        <is>
          <t>2010-07-01</t>
        </is>
      </c>
      <c r="V2343" t="inlineStr">
        <is>
          <t>2010-07-01</t>
        </is>
      </c>
      <c r="W2343" t="inlineStr">
        <is>
          <t>1992-03-17</t>
        </is>
      </c>
      <c r="X2343" t="inlineStr">
        <is>
          <t>1992-03-17</t>
        </is>
      </c>
      <c r="Y2343" t="n">
        <v>389</v>
      </c>
      <c r="Z2343" t="n">
        <v>367</v>
      </c>
      <c r="AA2343" t="n">
        <v>374</v>
      </c>
      <c r="AB2343" t="n">
        <v>4</v>
      </c>
      <c r="AC2343" t="n">
        <v>4</v>
      </c>
      <c r="AD2343" t="n">
        <v>27</v>
      </c>
      <c r="AE2343" t="n">
        <v>27</v>
      </c>
      <c r="AF2343" t="n">
        <v>9</v>
      </c>
      <c r="AG2343" t="n">
        <v>9</v>
      </c>
      <c r="AH2343" t="n">
        <v>5</v>
      </c>
      <c r="AI2343" t="n">
        <v>5</v>
      </c>
      <c r="AJ2343" t="n">
        <v>18</v>
      </c>
      <c r="AK2343" t="n">
        <v>18</v>
      </c>
      <c r="AL2343" t="n">
        <v>1</v>
      </c>
      <c r="AM2343" t="n">
        <v>1</v>
      </c>
      <c r="AN2343" t="n">
        <v>0</v>
      </c>
      <c r="AO2343" t="n">
        <v>0</v>
      </c>
      <c r="AP2343" t="inlineStr">
        <is>
          <t>No</t>
        </is>
      </c>
      <c r="AQ2343" t="inlineStr">
        <is>
          <t>Yes</t>
        </is>
      </c>
      <c r="AR2343">
        <f>HYPERLINK("http://catalog.hathitrust.org/Record/001086593","HathiTrust Record")</f>
        <v/>
      </c>
      <c r="AS2343">
        <f>HYPERLINK("https://creighton-primo.hosted.exlibrisgroup.com/primo-explore/search?tab=default_tab&amp;search_scope=EVERYTHING&amp;vid=01CRU&amp;lang=en_US&amp;offset=0&amp;query=any,contains,991001294369702656","Catalog Record")</f>
        <v/>
      </c>
      <c r="AT2343">
        <f>HYPERLINK("http://www.worldcat.org/oclc/18018853","WorldCat Record")</f>
        <v/>
      </c>
      <c r="AU2343" t="inlineStr">
        <is>
          <t>451587286:eng</t>
        </is>
      </c>
      <c r="AV2343" t="inlineStr">
        <is>
          <t>18018853</t>
        </is>
      </c>
      <c r="AW2343" t="inlineStr">
        <is>
          <t>991001294369702656</t>
        </is>
      </c>
      <c r="AX2343" t="inlineStr">
        <is>
          <t>991001294369702656</t>
        </is>
      </c>
      <c r="AY2343" t="inlineStr">
        <is>
          <t>2256868350002656</t>
        </is>
      </c>
      <c r="AZ2343" t="inlineStr">
        <is>
          <t>BOOK</t>
        </is>
      </c>
      <c r="BB2343" t="inlineStr">
        <is>
          <t>9780809103911</t>
        </is>
      </c>
      <c r="BC2343" t="inlineStr">
        <is>
          <t>32285001001998</t>
        </is>
      </c>
      <c r="BD2343" t="inlineStr">
        <is>
          <t>893516097</t>
        </is>
      </c>
    </row>
    <row r="2344">
      <c r="A2344" t="inlineStr">
        <is>
          <t>No</t>
        </is>
      </c>
      <c r="B2344" t="inlineStr">
        <is>
          <t>BX4705.H4 O27 1992</t>
        </is>
      </c>
      <c r="C2344" t="inlineStr">
        <is>
          <t>0                      BX 4705000H  4                  O  27          1992</t>
        </is>
      </c>
      <c r="D2344" t="inlineStr">
        <is>
          <t>Isaac Hecker : an American Catholic / David J. O'Brien.</t>
        </is>
      </c>
      <c r="F2344" t="inlineStr">
        <is>
          <t>No</t>
        </is>
      </c>
      <c r="G2344" t="inlineStr">
        <is>
          <t>1</t>
        </is>
      </c>
      <c r="H2344" t="inlineStr">
        <is>
          <t>No</t>
        </is>
      </c>
      <c r="I2344" t="inlineStr">
        <is>
          <t>No</t>
        </is>
      </c>
      <c r="J2344" t="inlineStr">
        <is>
          <t>0</t>
        </is>
      </c>
      <c r="K2344" t="inlineStr">
        <is>
          <t>O'Brien, David J.</t>
        </is>
      </c>
      <c r="L2344" t="inlineStr">
        <is>
          <t>New York : Paulist Press, c1992.</t>
        </is>
      </c>
      <c r="M2344" t="inlineStr">
        <is>
          <t>1992</t>
        </is>
      </c>
      <c r="O2344" t="inlineStr">
        <is>
          <t>eng</t>
        </is>
      </c>
      <c r="P2344" t="inlineStr">
        <is>
          <t>nyu</t>
        </is>
      </c>
      <c r="R2344" t="inlineStr">
        <is>
          <t xml:space="preserve">BX </t>
        </is>
      </c>
      <c r="S2344" t="n">
        <v>2</v>
      </c>
      <c r="T2344" t="n">
        <v>2</v>
      </c>
      <c r="U2344" t="inlineStr">
        <is>
          <t>2009-10-21</t>
        </is>
      </c>
      <c r="V2344" t="inlineStr">
        <is>
          <t>2009-10-21</t>
        </is>
      </c>
      <c r="W2344" t="inlineStr">
        <is>
          <t>1992-08-04</t>
        </is>
      </c>
      <c r="X2344" t="inlineStr">
        <is>
          <t>1992-08-04</t>
        </is>
      </c>
      <c r="Y2344" t="n">
        <v>334</v>
      </c>
      <c r="Z2344" t="n">
        <v>314</v>
      </c>
      <c r="AA2344" t="n">
        <v>319</v>
      </c>
      <c r="AB2344" t="n">
        <v>1</v>
      </c>
      <c r="AC2344" t="n">
        <v>1</v>
      </c>
      <c r="AD2344" t="n">
        <v>32</v>
      </c>
      <c r="AE2344" t="n">
        <v>32</v>
      </c>
      <c r="AF2344" t="n">
        <v>12</v>
      </c>
      <c r="AG2344" t="n">
        <v>12</v>
      </c>
      <c r="AH2344" t="n">
        <v>7</v>
      </c>
      <c r="AI2344" t="n">
        <v>7</v>
      </c>
      <c r="AJ2344" t="n">
        <v>23</v>
      </c>
      <c r="AK2344" t="n">
        <v>23</v>
      </c>
      <c r="AL2344" t="n">
        <v>0</v>
      </c>
      <c r="AM2344" t="n">
        <v>0</v>
      </c>
      <c r="AN2344" t="n">
        <v>0</v>
      </c>
      <c r="AO2344" t="n">
        <v>0</v>
      </c>
      <c r="AP2344" t="inlineStr">
        <is>
          <t>No</t>
        </is>
      </c>
      <c r="AQ2344" t="inlineStr">
        <is>
          <t>No</t>
        </is>
      </c>
      <c r="AS2344">
        <f>HYPERLINK("https://creighton-primo.hosted.exlibrisgroup.com/primo-explore/search?tab=default_tab&amp;search_scope=EVERYTHING&amp;vid=01CRU&amp;lang=en_US&amp;offset=0&amp;query=any,contains,991001954489702656","Catalog Record")</f>
        <v/>
      </c>
      <c r="AT2344">
        <f>HYPERLINK("http://www.worldcat.org/oclc/24701536","WorldCat Record")</f>
        <v/>
      </c>
      <c r="AU2344" t="inlineStr">
        <is>
          <t>316433495:eng</t>
        </is>
      </c>
      <c r="AV2344" t="inlineStr">
        <is>
          <t>24701536</t>
        </is>
      </c>
      <c r="AW2344" t="inlineStr">
        <is>
          <t>991001954489702656</t>
        </is>
      </c>
      <c r="AX2344" t="inlineStr">
        <is>
          <t>991001954489702656</t>
        </is>
      </c>
      <c r="AY2344" t="inlineStr">
        <is>
          <t>2268917670002656</t>
        </is>
      </c>
      <c r="AZ2344" t="inlineStr">
        <is>
          <t>BOOK</t>
        </is>
      </c>
      <c r="BB2344" t="inlineStr">
        <is>
          <t>9780809103973</t>
        </is>
      </c>
      <c r="BC2344" t="inlineStr">
        <is>
          <t>32285001196012</t>
        </is>
      </c>
      <c r="BD2344" t="inlineStr">
        <is>
          <t>893872928</t>
        </is>
      </c>
    </row>
    <row r="2345">
      <c r="A2345" t="inlineStr">
        <is>
          <t>No</t>
        </is>
      </c>
      <c r="B2345" t="inlineStr">
        <is>
          <t>BX4705.H4625 M66 2010</t>
        </is>
      </c>
      <c r="C2345" t="inlineStr">
        <is>
          <t>0                      BX 4705000H  4625               M  66          2010</t>
        </is>
      </c>
      <c r="D2345" t="inlineStr">
        <is>
          <t>Monika K. Hellwig : the people's theologian / edited by Dolores R. Leckey and Kathleen Dolphin.</t>
        </is>
      </c>
      <c r="F2345" t="inlineStr">
        <is>
          <t>No</t>
        </is>
      </c>
      <c r="G2345" t="inlineStr">
        <is>
          <t>1</t>
        </is>
      </c>
      <c r="H2345" t="inlineStr">
        <is>
          <t>No</t>
        </is>
      </c>
      <c r="I2345" t="inlineStr">
        <is>
          <t>No</t>
        </is>
      </c>
      <c r="J2345" t="inlineStr">
        <is>
          <t>0</t>
        </is>
      </c>
      <c r="L2345" t="inlineStr">
        <is>
          <t>Collegeville, Minn. : Liturgical Press, 2010.</t>
        </is>
      </c>
      <c r="M2345" t="inlineStr">
        <is>
          <t>2010</t>
        </is>
      </c>
      <c r="O2345" t="inlineStr">
        <is>
          <t>eng</t>
        </is>
      </c>
      <c r="P2345" t="inlineStr">
        <is>
          <t>mnu</t>
        </is>
      </c>
      <c r="R2345" t="inlineStr">
        <is>
          <t xml:space="preserve">BX </t>
        </is>
      </c>
      <c r="S2345" t="n">
        <v>1</v>
      </c>
      <c r="T2345" t="n">
        <v>1</v>
      </c>
      <c r="U2345" t="inlineStr">
        <is>
          <t>2010-09-08</t>
        </is>
      </c>
      <c r="V2345" t="inlineStr">
        <is>
          <t>2010-09-08</t>
        </is>
      </c>
      <c r="W2345" t="inlineStr">
        <is>
          <t>2010-09-08</t>
        </is>
      </c>
      <c r="X2345" t="inlineStr">
        <is>
          <t>2010-09-08</t>
        </is>
      </c>
      <c r="Y2345" t="n">
        <v>79</v>
      </c>
      <c r="Z2345" t="n">
        <v>68</v>
      </c>
      <c r="AA2345" t="n">
        <v>113</v>
      </c>
      <c r="AB2345" t="n">
        <v>1</v>
      </c>
      <c r="AC2345" t="n">
        <v>2</v>
      </c>
      <c r="AD2345" t="n">
        <v>9</v>
      </c>
      <c r="AE2345" t="n">
        <v>11</v>
      </c>
      <c r="AF2345" t="n">
        <v>2</v>
      </c>
      <c r="AG2345" t="n">
        <v>3</v>
      </c>
      <c r="AH2345" t="n">
        <v>2</v>
      </c>
      <c r="AI2345" t="n">
        <v>3</v>
      </c>
      <c r="AJ2345" t="n">
        <v>6</v>
      </c>
      <c r="AK2345" t="n">
        <v>6</v>
      </c>
      <c r="AL2345" t="n">
        <v>0</v>
      </c>
      <c r="AM2345" t="n">
        <v>1</v>
      </c>
      <c r="AN2345" t="n">
        <v>0</v>
      </c>
      <c r="AO2345" t="n">
        <v>0</v>
      </c>
      <c r="AP2345" t="inlineStr">
        <is>
          <t>No</t>
        </is>
      </c>
      <c r="AQ2345" t="inlineStr">
        <is>
          <t>No</t>
        </is>
      </c>
      <c r="AS2345">
        <f>HYPERLINK("https://creighton-primo.hosted.exlibrisgroup.com/primo-explore/search?tab=default_tab&amp;search_scope=EVERYTHING&amp;vid=01CRU&amp;lang=en_US&amp;offset=0&amp;query=any,contains,991000044009702656","Catalog Record")</f>
        <v/>
      </c>
      <c r="AT2345">
        <f>HYPERLINK("http://www.worldcat.org/oclc/457164793","WorldCat Record")</f>
        <v/>
      </c>
      <c r="AU2345" t="inlineStr">
        <is>
          <t>342054536:eng</t>
        </is>
      </c>
      <c r="AV2345" t="inlineStr">
        <is>
          <t>457164793</t>
        </is>
      </c>
      <c r="AW2345" t="inlineStr">
        <is>
          <t>991000044009702656</t>
        </is>
      </c>
      <c r="AX2345" t="inlineStr">
        <is>
          <t>991000044009702656</t>
        </is>
      </c>
      <c r="AY2345" t="inlineStr">
        <is>
          <t>2263210400002656</t>
        </is>
      </c>
      <c r="AZ2345" t="inlineStr">
        <is>
          <t>BOOK</t>
        </is>
      </c>
      <c r="BB2345" t="inlineStr">
        <is>
          <t>9780814656969</t>
        </is>
      </c>
      <c r="BC2345" t="inlineStr">
        <is>
          <t>32285005594642</t>
        </is>
      </c>
      <c r="BD2345" t="inlineStr">
        <is>
          <t>893444171</t>
        </is>
      </c>
    </row>
    <row r="2346">
      <c r="A2346" t="inlineStr">
        <is>
          <t>No</t>
        </is>
      </c>
      <c r="B2346" t="inlineStr">
        <is>
          <t>BX4705.H468 A3 2004</t>
        </is>
      </c>
      <c r="C2346" t="inlineStr">
        <is>
          <t>0                      BX 4705000H  468                A  3           2004</t>
        </is>
      </c>
      <c r="D2346" t="inlineStr">
        <is>
          <t>Father Joe : the man who saved my soul / Tony Hendra.</t>
        </is>
      </c>
      <c r="F2346" t="inlineStr">
        <is>
          <t>No</t>
        </is>
      </c>
      <c r="G2346" t="inlineStr">
        <is>
          <t>1</t>
        </is>
      </c>
      <c r="H2346" t="inlineStr">
        <is>
          <t>No</t>
        </is>
      </c>
      <c r="I2346" t="inlineStr">
        <is>
          <t>No</t>
        </is>
      </c>
      <c r="J2346" t="inlineStr">
        <is>
          <t>0</t>
        </is>
      </c>
      <c r="K2346" t="inlineStr">
        <is>
          <t>Hendra, Tony.</t>
        </is>
      </c>
      <c r="L2346" t="inlineStr">
        <is>
          <t>New York : Random House, c2004.</t>
        </is>
      </c>
      <c r="M2346" t="inlineStr">
        <is>
          <t>2004</t>
        </is>
      </c>
      <c r="O2346" t="inlineStr">
        <is>
          <t>eng</t>
        </is>
      </c>
      <c r="P2346" t="inlineStr">
        <is>
          <t>nyu</t>
        </is>
      </c>
      <c r="R2346" t="inlineStr">
        <is>
          <t xml:space="preserve">BX </t>
        </is>
      </c>
      <c r="S2346" t="n">
        <v>6</v>
      </c>
      <c r="T2346" t="n">
        <v>6</v>
      </c>
      <c r="U2346" t="inlineStr">
        <is>
          <t>2005-07-05</t>
        </is>
      </c>
      <c r="V2346" t="inlineStr">
        <is>
          <t>2005-07-05</t>
        </is>
      </c>
      <c r="W2346" t="inlineStr">
        <is>
          <t>2004-07-10</t>
        </is>
      </c>
      <c r="X2346" t="inlineStr">
        <is>
          <t>2004-07-10</t>
        </is>
      </c>
      <c r="Y2346" t="n">
        <v>1540</v>
      </c>
      <c r="Z2346" t="n">
        <v>1468</v>
      </c>
      <c r="AA2346" t="n">
        <v>1683</v>
      </c>
      <c r="AB2346" t="n">
        <v>16</v>
      </c>
      <c r="AC2346" t="n">
        <v>16</v>
      </c>
      <c r="AD2346" t="n">
        <v>27</v>
      </c>
      <c r="AE2346" t="n">
        <v>29</v>
      </c>
      <c r="AF2346" t="n">
        <v>9</v>
      </c>
      <c r="AG2346" t="n">
        <v>11</v>
      </c>
      <c r="AH2346" t="n">
        <v>5</v>
      </c>
      <c r="AI2346" t="n">
        <v>5</v>
      </c>
      <c r="AJ2346" t="n">
        <v>17</v>
      </c>
      <c r="AK2346" t="n">
        <v>17</v>
      </c>
      <c r="AL2346" t="n">
        <v>4</v>
      </c>
      <c r="AM2346" t="n">
        <v>4</v>
      </c>
      <c r="AN2346" t="n">
        <v>0</v>
      </c>
      <c r="AO2346" t="n">
        <v>0</v>
      </c>
      <c r="AP2346" t="inlineStr">
        <is>
          <t>No</t>
        </is>
      </c>
      <c r="AQ2346" t="inlineStr">
        <is>
          <t>No</t>
        </is>
      </c>
      <c r="AS2346">
        <f>HYPERLINK("https://creighton-primo.hosted.exlibrisgroup.com/primo-explore/search?tab=default_tab&amp;search_scope=EVERYTHING&amp;vid=01CRU&amp;lang=en_US&amp;offset=0&amp;query=any,contains,991004312359702656","Catalog Record")</f>
        <v/>
      </c>
      <c r="AT2346">
        <f>HYPERLINK("http://www.worldcat.org/oclc/53793490","WorldCat Record")</f>
        <v/>
      </c>
      <c r="AU2346" t="inlineStr">
        <is>
          <t>16103710:eng</t>
        </is>
      </c>
      <c r="AV2346" t="inlineStr">
        <is>
          <t>53793490</t>
        </is>
      </c>
      <c r="AW2346" t="inlineStr">
        <is>
          <t>991004312359702656</t>
        </is>
      </c>
      <c r="AX2346" t="inlineStr">
        <is>
          <t>991004312359702656</t>
        </is>
      </c>
      <c r="AY2346" t="inlineStr">
        <is>
          <t>2264621670002656</t>
        </is>
      </c>
      <c r="AZ2346" t="inlineStr">
        <is>
          <t>BOOK</t>
        </is>
      </c>
      <c r="BB2346" t="inlineStr">
        <is>
          <t>9781400061846</t>
        </is>
      </c>
      <c r="BC2346" t="inlineStr">
        <is>
          <t>32285004922323</t>
        </is>
      </c>
      <c r="BD2346" t="inlineStr">
        <is>
          <t>893706238</t>
        </is>
      </c>
    </row>
    <row r="2347">
      <c r="A2347" t="inlineStr">
        <is>
          <t>No</t>
        </is>
      </c>
      <c r="B2347" t="inlineStr">
        <is>
          <t>BX4705.H54 C6 1984</t>
        </is>
      </c>
      <c r="C2347" t="inlineStr">
        <is>
          <t>0                      BX 4705000H  54                 C  6           1984</t>
        </is>
      </c>
      <c r="D2347" t="inlineStr">
        <is>
          <t>Without fear or favor : George Higgins on the record / Gerald M. Costello.</t>
        </is>
      </c>
      <c r="F2347" t="inlineStr">
        <is>
          <t>No</t>
        </is>
      </c>
      <c r="G2347" t="inlineStr">
        <is>
          <t>1</t>
        </is>
      </c>
      <c r="H2347" t="inlineStr">
        <is>
          <t>No</t>
        </is>
      </c>
      <c r="I2347" t="inlineStr">
        <is>
          <t>No</t>
        </is>
      </c>
      <c r="J2347" t="inlineStr">
        <is>
          <t>0</t>
        </is>
      </c>
      <c r="K2347" t="inlineStr">
        <is>
          <t>Costello, Gerald M.</t>
        </is>
      </c>
      <c r="L2347" t="inlineStr">
        <is>
          <t>Mystic, Conn. : Twenty-third Publications, 1984.</t>
        </is>
      </c>
      <c r="M2347" t="inlineStr">
        <is>
          <t>1984</t>
        </is>
      </c>
      <c r="O2347" t="inlineStr">
        <is>
          <t>eng</t>
        </is>
      </c>
      <c r="P2347" t="inlineStr">
        <is>
          <t>ctu</t>
        </is>
      </c>
      <c r="R2347" t="inlineStr">
        <is>
          <t xml:space="preserve">BX </t>
        </is>
      </c>
      <c r="S2347" t="n">
        <v>2</v>
      </c>
      <c r="T2347" t="n">
        <v>2</v>
      </c>
      <c r="U2347" t="inlineStr">
        <is>
          <t>1995-04-18</t>
        </is>
      </c>
      <c r="V2347" t="inlineStr">
        <is>
          <t>1995-04-18</t>
        </is>
      </c>
      <c r="W2347" t="inlineStr">
        <is>
          <t>1992-03-17</t>
        </is>
      </c>
      <c r="X2347" t="inlineStr">
        <is>
          <t>1992-03-17</t>
        </is>
      </c>
      <c r="Y2347" t="n">
        <v>224</v>
      </c>
      <c r="Z2347" t="n">
        <v>206</v>
      </c>
      <c r="AA2347" t="n">
        <v>207</v>
      </c>
      <c r="AB2347" t="n">
        <v>2</v>
      </c>
      <c r="AC2347" t="n">
        <v>2</v>
      </c>
      <c r="AD2347" t="n">
        <v>22</v>
      </c>
      <c r="AE2347" t="n">
        <v>22</v>
      </c>
      <c r="AF2347" t="n">
        <v>3</v>
      </c>
      <c r="AG2347" t="n">
        <v>3</v>
      </c>
      <c r="AH2347" t="n">
        <v>8</v>
      </c>
      <c r="AI2347" t="n">
        <v>8</v>
      </c>
      <c r="AJ2347" t="n">
        <v>15</v>
      </c>
      <c r="AK2347" t="n">
        <v>15</v>
      </c>
      <c r="AL2347" t="n">
        <v>1</v>
      </c>
      <c r="AM2347" t="n">
        <v>1</v>
      </c>
      <c r="AN2347" t="n">
        <v>1</v>
      </c>
      <c r="AO2347" t="n">
        <v>1</v>
      </c>
      <c r="AP2347" t="inlineStr">
        <is>
          <t>No</t>
        </is>
      </c>
      <c r="AQ2347" t="inlineStr">
        <is>
          <t>Yes</t>
        </is>
      </c>
      <c r="AR2347">
        <f>HYPERLINK("http://catalog.hathitrust.org/Record/006238280","HathiTrust Record")</f>
        <v/>
      </c>
      <c r="AS2347">
        <f>HYPERLINK("https://creighton-primo.hosted.exlibrisgroup.com/primo-explore/search?tab=default_tab&amp;search_scope=EVERYTHING&amp;vid=01CRU&amp;lang=en_US&amp;offset=0&amp;query=any,contains,991000442939702656","Catalog Record")</f>
        <v/>
      </c>
      <c r="AT2347">
        <f>HYPERLINK("http://www.worldcat.org/oclc/10832744","WorldCat Record")</f>
        <v/>
      </c>
      <c r="AU2347" t="inlineStr">
        <is>
          <t>3480688:eng</t>
        </is>
      </c>
      <c r="AV2347" t="inlineStr">
        <is>
          <t>10832744</t>
        </is>
      </c>
      <c r="AW2347" t="inlineStr">
        <is>
          <t>991000442939702656</t>
        </is>
      </c>
      <c r="AX2347" t="inlineStr">
        <is>
          <t>991000442939702656</t>
        </is>
      </c>
      <c r="AY2347" t="inlineStr">
        <is>
          <t>2259925620002656</t>
        </is>
      </c>
      <c r="AZ2347" t="inlineStr">
        <is>
          <t>BOOK</t>
        </is>
      </c>
      <c r="BB2347" t="inlineStr">
        <is>
          <t>9780896222090</t>
        </is>
      </c>
      <c r="BC2347" t="inlineStr">
        <is>
          <t>32285001002103</t>
        </is>
      </c>
      <c r="BD2347" t="inlineStr">
        <is>
          <t>893431945</t>
        </is>
      </c>
    </row>
    <row r="2348">
      <c r="A2348" t="inlineStr">
        <is>
          <t>No</t>
        </is>
      </c>
      <c r="B2348" t="inlineStr">
        <is>
          <t>BX4705.H6346 A3 2000</t>
        </is>
      </c>
      <c r="C2348" t="inlineStr">
        <is>
          <t>0                      BX 4705000H  6346               A  3           2000</t>
        </is>
      </c>
      <c r="D2348" t="inlineStr">
        <is>
          <t>Do not go gentle : my search for miracles in a cynical time / Ann Hood.</t>
        </is>
      </c>
      <c r="F2348" t="inlineStr">
        <is>
          <t>No</t>
        </is>
      </c>
      <c r="G2348" t="inlineStr">
        <is>
          <t>1</t>
        </is>
      </c>
      <c r="H2348" t="inlineStr">
        <is>
          <t>No</t>
        </is>
      </c>
      <c r="I2348" t="inlineStr">
        <is>
          <t>No</t>
        </is>
      </c>
      <c r="J2348" t="inlineStr">
        <is>
          <t>0</t>
        </is>
      </c>
      <c r="K2348" t="inlineStr">
        <is>
          <t>Hood, Ann, 1956-</t>
        </is>
      </c>
      <c r="L2348" t="inlineStr">
        <is>
          <t>New York : Picador USA, 2000.</t>
        </is>
      </c>
      <c r="M2348" t="inlineStr">
        <is>
          <t>2000</t>
        </is>
      </c>
      <c r="N2348" t="inlineStr">
        <is>
          <t>1st ed.</t>
        </is>
      </c>
      <c r="O2348" t="inlineStr">
        <is>
          <t>eng</t>
        </is>
      </c>
      <c r="P2348" t="inlineStr">
        <is>
          <t>nyu</t>
        </is>
      </c>
      <c r="R2348" t="inlineStr">
        <is>
          <t xml:space="preserve">BX </t>
        </is>
      </c>
      <c r="S2348" t="n">
        <v>2</v>
      </c>
      <c r="T2348" t="n">
        <v>2</v>
      </c>
      <c r="U2348" t="inlineStr">
        <is>
          <t>2007-10-02</t>
        </is>
      </c>
      <c r="V2348" t="inlineStr">
        <is>
          <t>2007-10-02</t>
        </is>
      </c>
      <c r="W2348" t="inlineStr">
        <is>
          <t>2007-09-20</t>
        </is>
      </c>
      <c r="X2348" t="inlineStr">
        <is>
          <t>2007-09-20</t>
        </is>
      </c>
      <c r="Y2348" t="n">
        <v>339</v>
      </c>
      <c r="Z2348" t="n">
        <v>327</v>
      </c>
      <c r="AA2348" t="n">
        <v>474</v>
      </c>
      <c r="AB2348" t="n">
        <v>3</v>
      </c>
      <c r="AC2348" t="n">
        <v>4</v>
      </c>
      <c r="AD2348" t="n">
        <v>7</v>
      </c>
      <c r="AE2348" t="n">
        <v>11</v>
      </c>
      <c r="AF2348" t="n">
        <v>2</v>
      </c>
      <c r="AG2348" t="n">
        <v>5</v>
      </c>
      <c r="AH2348" t="n">
        <v>2</v>
      </c>
      <c r="AI2348" t="n">
        <v>3</v>
      </c>
      <c r="AJ2348" t="n">
        <v>3</v>
      </c>
      <c r="AK2348" t="n">
        <v>3</v>
      </c>
      <c r="AL2348" t="n">
        <v>1</v>
      </c>
      <c r="AM2348" t="n">
        <v>2</v>
      </c>
      <c r="AN2348" t="n">
        <v>0</v>
      </c>
      <c r="AO2348" t="n">
        <v>0</v>
      </c>
      <c r="AP2348" t="inlineStr">
        <is>
          <t>No</t>
        </is>
      </c>
      <c r="AQ2348" t="inlineStr">
        <is>
          <t>No</t>
        </is>
      </c>
      <c r="AS2348">
        <f>HYPERLINK("https://creighton-primo.hosted.exlibrisgroup.com/primo-explore/search?tab=default_tab&amp;search_scope=EVERYTHING&amp;vid=01CRU&amp;lang=en_US&amp;offset=0&amp;query=any,contains,991005117849702656","Catalog Record")</f>
        <v/>
      </c>
      <c r="AT2348">
        <f>HYPERLINK("http://www.worldcat.org/oclc/44075873","WorldCat Record")</f>
        <v/>
      </c>
      <c r="AU2348" t="inlineStr">
        <is>
          <t>44101:eng</t>
        </is>
      </c>
      <c r="AV2348" t="inlineStr">
        <is>
          <t>44075873</t>
        </is>
      </c>
      <c r="AW2348" t="inlineStr">
        <is>
          <t>991005117849702656</t>
        </is>
      </c>
      <c r="AX2348" t="inlineStr">
        <is>
          <t>991005117849702656</t>
        </is>
      </c>
      <c r="AY2348" t="inlineStr">
        <is>
          <t>2271583950002656</t>
        </is>
      </c>
      <c r="AZ2348" t="inlineStr">
        <is>
          <t>BOOK</t>
        </is>
      </c>
      <c r="BB2348" t="inlineStr">
        <is>
          <t>9780312242596</t>
        </is>
      </c>
      <c r="BC2348" t="inlineStr">
        <is>
          <t>32285005326268</t>
        </is>
      </c>
      <c r="BD2348" t="inlineStr">
        <is>
          <t>893536392</t>
        </is>
      </c>
    </row>
    <row r="2349">
      <c r="A2349" t="inlineStr">
        <is>
          <t>No</t>
        </is>
      </c>
      <c r="B2349" t="inlineStr">
        <is>
          <t>BX4705.H752 S82 1913</t>
        </is>
      </c>
      <c r="C2349" t="inlineStr">
        <is>
          <t>0                      BX 4705000H  752                S  82          1913</t>
        </is>
      </c>
      <c r="D2349" t="inlineStr">
        <is>
          <t>The life of Mother Mary of Jesus : Emilia D'Oultremont Baroness D'Hooghvorst, 1818-1878 / by Peter Suau, S.J ; English version by David Gallery.</t>
        </is>
      </c>
      <c r="F2349" t="inlineStr">
        <is>
          <t>No</t>
        </is>
      </c>
      <c r="G2349" t="inlineStr">
        <is>
          <t>1</t>
        </is>
      </c>
      <c r="H2349" t="inlineStr">
        <is>
          <t>No</t>
        </is>
      </c>
      <c r="I2349" t="inlineStr">
        <is>
          <t>No</t>
        </is>
      </c>
      <c r="J2349" t="inlineStr">
        <is>
          <t>0</t>
        </is>
      </c>
      <c r="K2349" t="inlineStr">
        <is>
          <t>Suau, Pierre.</t>
        </is>
      </c>
      <c r="L2349" t="inlineStr">
        <is>
          <t>London : Burns &amp; Oates, 1913.</t>
        </is>
      </c>
      <c r="M2349" t="inlineStr">
        <is>
          <t>1913</t>
        </is>
      </c>
      <c r="O2349" t="inlineStr">
        <is>
          <t>eng</t>
        </is>
      </c>
      <c r="P2349" t="inlineStr">
        <is>
          <t>enk</t>
        </is>
      </c>
      <c r="R2349" t="inlineStr">
        <is>
          <t xml:space="preserve">BX </t>
        </is>
      </c>
      <c r="S2349" t="n">
        <v>0</v>
      </c>
      <c r="T2349" t="n">
        <v>0</v>
      </c>
      <c r="U2349" t="inlineStr">
        <is>
          <t>2008-07-18</t>
        </is>
      </c>
      <c r="V2349" t="inlineStr">
        <is>
          <t>2008-07-18</t>
        </is>
      </c>
      <c r="W2349" t="inlineStr">
        <is>
          <t>1992-03-19</t>
        </is>
      </c>
      <c r="X2349" t="inlineStr">
        <is>
          <t>1992-03-19</t>
        </is>
      </c>
      <c r="Y2349" t="n">
        <v>29</v>
      </c>
      <c r="Z2349" t="n">
        <v>21</v>
      </c>
      <c r="AA2349" t="n">
        <v>81</v>
      </c>
      <c r="AB2349" t="n">
        <v>1</v>
      </c>
      <c r="AC2349" t="n">
        <v>2</v>
      </c>
      <c r="AD2349" t="n">
        <v>9</v>
      </c>
      <c r="AE2349" t="n">
        <v>11</v>
      </c>
      <c r="AF2349" t="n">
        <v>0</v>
      </c>
      <c r="AG2349" t="n">
        <v>1</v>
      </c>
      <c r="AH2349" t="n">
        <v>3</v>
      </c>
      <c r="AI2349" t="n">
        <v>3</v>
      </c>
      <c r="AJ2349" t="n">
        <v>7</v>
      </c>
      <c r="AK2349" t="n">
        <v>7</v>
      </c>
      <c r="AL2349" t="n">
        <v>0</v>
      </c>
      <c r="AM2349" t="n">
        <v>1</v>
      </c>
      <c r="AN2349" t="n">
        <v>0</v>
      </c>
      <c r="AO2349" t="n">
        <v>0</v>
      </c>
      <c r="AP2349" t="inlineStr">
        <is>
          <t>Yes</t>
        </is>
      </c>
      <c r="AQ2349" t="inlineStr">
        <is>
          <t>No</t>
        </is>
      </c>
      <c r="AR2349">
        <f>HYPERLINK("http://catalog.hathitrust.org/Record/008725477","HathiTrust Record")</f>
        <v/>
      </c>
      <c r="AS2349">
        <f>HYPERLINK("https://creighton-primo.hosted.exlibrisgroup.com/primo-explore/search?tab=default_tab&amp;search_scope=EVERYTHING&amp;vid=01CRU&amp;lang=en_US&amp;offset=0&amp;query=any,contains,991005203039702656","Catalog Record")</f>
        <v/>
      </c>
      <c r="AT2349">
        <f>HYPERLINK("http://www.worldcat.org/oclc/8108178","WorldCat Record")</f>
        <v/>
      </c>
      <c r="AU2349" t="inlineStr">
        <is>
          <t>17755320:eng</t>
        </is>
      </c>
      <c r="AV2349" t="inlineStr">
        <is>
          <t>8108178</t>
        </is>
      </c>
      <c r="AW2349" t="inlineStr">
        <is>
          <t>991005203039702656</t>
        </is>
      </c>
      <c r="AX2349" t="inlineStr">
        <is>
          <t>991005203039702656</t>
        </is>
      </c>
      <c r="AY2349" t="inlineStr">
        <is>
          <t>2263969180002656</t>
        </is>
      </c>
      <c r="AZ2349" t="inlineStr">
        <is>
          <t>BOOK</t>
        </is>
      </c>
      <c r="BC2349" t="inlineStr">
        <is>
          <t>32285001024636</t>
        </is>
      </c>
      <c r="BD2349" t="inlineStr">
        <is>
          <t>893713632</t>
        </is>
      </c>
    </row>
    <row r="2350">
      <c r="A2350" t="inlineStr">
        <is>
          <t>No</t>
        </is>
      </c>
      <c r="B2350" t="inlineStr">
        <is>
          <t>BX4705.H758 K45 2001</t>
        </is>
      </c>
      <c r="C2350" t="inlineStr">
        <is>
          <t>0                      BX 4705000H  758                K  45          2001</t>
        </is>
      </c>
      <c r="D2350" t="inlineStr">
        <is>
          <t>The spiritual path of Caryll Houselander / Joyce Kemp.</t>
        </is>
      </c>
      <c r="F2350" t="inlineStr">
        <is>
          <t>No</t>
        </is>
      </c>
      <c r="G2350" t="inlineStr">
        <is>
          <t>1</t>
        </is>
      </c>
      <c r="H2350" t="inlineStr">
        <is>
          <t>No</t>
        </is>
      </c>
      <c r="I2350" t="inlineStr">
        <is>
          <t>No</t>
        </is>
      </c>
      <c r="J2350" t="inlineStr">
        <is>
          <t>0</t>
        </is>
      </c>
      <c r="K2350" t="inlineStr">
        <is>
          <t>Kemp, Joyce.</t>
        </is>
      </c>
      <c r="L2350" t="inlineStr">
        <is>
          <t>New York : Paulist Press, c2001.</t>
        </is>
      </c>
      <c r="M2350" t="inlineStr">
        <is>
          <t>2001</t>
        </is>
      </c>
      <c r="O2350" t="inlineStr">
        <is>
          <t>eng</t>
        </is>
      </c>
      <c r="P2350" t="inlineStr">
        <is>
          <t>nyu</t>
        </is>
      </c>
      <c r="Q2350" t="inlineStr">
        <is>
          <t>The Jung and spirituality series</t>
        </is>
      </c>
      <c r="R2350" t="inlineStr">
        <is>
          <t xml:space="preserve">BX </t>
        </is>
      </c>
      <c r="S2350" t="n">
        <v>2</v>
      </c>
      <c r="T2350" t="n">
        <v>2</v>
      </c>
      <c r="U2350" t="inlineStr">
        <is>
          <t>2001-08-08</t>
        </is>
      </c>
      <c r="V2350" t="inlineStr">
        <is>
          <t>2001-08-08</t>
        </is>
      </c>
      <c r="W2350" t="inlineStr">
        <is>
          <t>2001-08-07</t>
        </is>
      </c>
      <c r="X2350" t="inlineStr">
        <is>
          <t>2001-08-07</t>
        </is>
      </c>
      <c r="Y2350" t="n">
        <v>105</v>
      </c>
      <c r="Z2350" t="n">
        <v>97</v>
      </c>
      <c r="AA2350" t="n">
        <v>97</v>
      </c>
      <c r="AB2350" t="n">
        <v>2</v>
      </c>
      <c r="AC2350" t="n">
        <v>2</v>
      </c>
      <c r="AD2350" t="n">
        <v>12</v>
      </c>
      <c r="AE2350" t="n">
        <v>12</v>
      </c>
      <c r="AF2350" t="n">
        <v>3</v>
      </c>
      <c r="AG2350" t="n">
        <v>3</v>
      </c>
      <c r="AH2350" t="n">
        <v>3</v>
      </c>
      <c r="AI2350" t="n">
        <v>3</v>
      </c>
      <c r="AJ2350" t="n">
        <v>7</v>
      </c>
      <c r="AK2350" t="n">
        <v>7</v>
      </c>
      <c r="AL2350" t="n">
        <v>1</v>
      </c>
      <c r="AM2350" t="n">
        <v>1</v>
      </c>
      <c r="AN2350" t="n">
        <v>0</v>
      </c>
      <c r="AO2350" t="n">
        <v>0</v>
      </c>
      <c r="AP2350" t="inlineStr">
        <is>
          <t>No</t>
        </is>
      </c>
      <c r="AQ2350" t="inlineStr">
        <is>
          <t>No</t>
        </is>
      </c>
      <c r="AS2350">
        <f>HYPERLINK("https://creighton-primo.hosted.exlibrisgroup.com/primo-explore/search?tab=default_tab&amp;search_scope=EVERYTHING&amp;vid=01CRU&amp;lang=en_US&amp;offset=0&amp;query=any,contains,991003576869702656","Catalog Record")</f>
        <v/>
      </c>
      <c r="AT2350">
        <f>HYPERLINK("http://www.worldcat.org/oclc/45024512","WorldCat Record")</f>
        <v/>
      </c>
      <c r="AU2350" t="inlineStr">
        <is>
          <t>34709311:eng</t>
        </is>
      </c>
      <c r="AV2350" t="inlineStr">
        <is>
          <t>45024512</t>
        </is>
      </c>
      <c r="AW2350" t="inlineStr">
        <is>
          <t>991003576869702656</t>
        </is>
      </c>
      <c r="AX2350" t="inlineStr">
        <is>
          <t>991003576869702656</t>
        </is>
      </c>
      <c r="AY2350" t="inlineStr">
        <is>
          <t>2260504870002656</t>
        </is>
      </c>
      <c r="AZ2350" t="inlineStr">
        <is>
          <t>BOOK</t>
        </is>
      </c>
      <c r="BB2350" t="inlineStr">
        <is>
          <t>9780809140060</t>
        </is>
      </c>
      <c r="BC2350" t="inlineStr">
        <is>
          <t>32285004376439</t>
        </is>
      </c>
      <c r="BD2350" t="inlineStr">
        <is>
          <t>893717820</t>
        </is>
      </c>
    </row>
    <row r="2351">
      <c r="A2351" t="inlineStr">
        <is>
          <t>No</t>
        </is>
      </c>
      <c r="B2351" t="inlineStr">
        <is>
          <t>BX4705.H77 S8 1962</t>
        </is>
      </c>
      <c r="C2351" t="inlineStr">
        <is>
          <t>0                      BX 4705000H  77                 S  8           1962</t>
        </is>
      </c>
      <c r="D2351" t="inlineStr">
        <is>
          <t>Friedrich von Hügel : sa vie, son oeuvre et ses amitiés.</t>
        </is>
      </c>
      <c r="F2351" t="inlineStr">
        <is>
          <t>No</t>
        </is>
      </c>
      <c r="G2351" t="inlineStr">
        <is>
          <t>1</t>
        </is>
      </c>
      <c r="H2351" t="inlineStr">
        <is>
          <t>No</t>
        </is>
      </c>
      <c r="I2351" t="inlineStr">
        <is>
          <t>No</t>
        </is>
      </c>
      <c r="J2351" t="inlineStr">
        <is>
          <t>0</t>
        </is>
      </c>
      <c r="K2351" t="inlineStr">
        <is>
          <t>Steinmann, Jean.</t>
        </is>
      </c>
      <c r="L2351" t="inlineStr">
        <is>
          <t>Paris : Aubier, 1962.</t>
        </is>
      </c>
      <c r="M2351" t="inlineStr">
        <is>
          <t>1962</t>
        </is>
      </c>
      <c r="N2351" t="inlineStr">
        <is>
          <t>Editions Montaigne</t>
        </is>
      </c>
      <c r="O2351" t="inlineStr">
        <is>
          <t>eng</t>
        </is>
      </c>
      <c r="P2351" t="inlineStr">
        <is>
          <t xml:space="preserve">xx </t>
        </is>
      </c>
      <c r="R2351" t="inlineStr">
        <is>
          <t xml:space="preserve">BX </t>
        </is>
      </c>
      <c r="S2351" t="n">
        <v>1</v>
      </c>
      <c r="T2351" t="n">
        <v>1</v>
      </c>
      <c r="U2351" t="inlineStr">
        <is>
          <t>1992-08-05</t>
        </is>
      </c>
      <c r="V2351" t="inlineStr">
        <is>
          <t>1992-08-05</t>
        </is>
      </c>
      <c r="W2351" t="inlineStr">
        <is>
          <t>1992-03-17</t>
        </is>
      </c>
      <c r="X2351" t="inlineStr">
        <is>
          <t>1992-03-17</t>
        </is>
      </c>
      <c r="Y2351" t="n">
        <v>75</v>
      </c>
      <c r="Z2351" t="n">
        <v>43</v>
      </c>
      <c r="AA2351" t="n">
        <v>43</v>
      </c>
      <c r="AB2351" t="n">
        <v>1</v>
      </c>
      <c r="AC2351" t="n">
        <v>1</v>
      </c>
      <c r="AD2351" t="n">
        <v>7</v>
      </c>
      <c r="AE2351" t="n">
        <v>7</v>
      </c>
      <c r="AF2351" t="n">
        <v>0</v>
      </c>
      <c r="AG2351" t="n">
        <v>0</v>
      </c>
      <c r="AH2351" t="n">
        <v>1</v>
      </c>
      <c r="AI2351" t="n">
        <v>1</v>
      </c>
      <c r="AJ2351" t="n">
        <v>7</v>
      </c>
      <c r="AK2351" t="n">
        <v>7</v>
      </c>
      <c r="AL2351" t="n">
        <v>0</v>
      </c>
      <c r="AM2351" t="n">
        <v>0</v>
      </c>
      <c r="AN2351" t="n">
        <v>0</v>
      </c>
      <c r="AO2351" t="n">
        <v>0</v>
      </c>
      <c r="AP2351" t="inlineStr">
        <is>
          <t>No</t>
        </is>
      </c>
      <c r="AQ2351" t="inlineStr">
        <is>
          <t>No</t>
        </is>
      </c>
      <c r="AS2351">
        <f>HYPERLINK("https://creighton-primo.hosted.exlibrisgroup.com/primo-explore/search?tab=default_tab&amp;search_scope=EVERYTHING&amp;vid=01CRU&amp;lang=en_US&amp;offset=0&amp;query=any,contains,991002726359702656","Catalog Record")</f>
        <v/>
      </c>
      <c r="AT2351">
        <f>HYPERLINK("http://www.worldcat.org/oclc/414469","WorldCat Record")</f>
        <v/>
      </c>
      <c r="AU2351" t="inlineStr">
        <is>
          <t>52834140:fre</t>
        </is>
      </c>
      <c r="AV2351" t="inlineStr">
        <is>
          <t>414469</t>
        </is>
      </c>
      <c r="AW2351" t="inlineStr">
        <is>
          <t>991002726359702656</t>
        </is>
      </c>
      <c r="AX2351" t="inlineStr">
        <is>
          <t>991002726359702656</t>
        </is>
      </c>
      <c r="AY2351" t="inlineStr">
        <is>
          <t>2267767280002656</t>
        </is>
      </c>
      <c r="AZ2351" t="inlineStr">
        <is>
          <t>BOOK</t>
        </is>
      </c>
      <c r="BC2351" t="inlineStr">
        <is>
          <t>32285001002178</t>
        </is>
      </c>
      <c r="BD2351" t="inlineStr">
        <is>
          <t>893710605</t>
        </is>
      </c>
    </row>
    <row r="2352">
      <c r="A2352" t="inlineStr">
        <is>
          <t>No</t>
        </is>
      </c>
      <c r="B2352" t="inlineStr">
        <is>
          <t>BX4705.H77 W45 1971</t>
        </is>
      </c>
      <c r="C2352" t="inlineStr">
        <is>
          <t>0                      BX 4705000H  77                 W  45          1971</t>
        </is>
      </c>
      <c r="D2352" t="inlineStr">
        <is>
          <t>The spirituality of Friedrich von Hügel / [by] Joseph P. Whelan; with a foreword by B. C. Bulter.</t>
        </is>
      </c>
      <c r="F2352" t="inlineStr">
        <is>
          <t>No</t>
        </is>
      </c>
      <c r="G2352" t="inlineStr">
        <is>
          <t>1</t>
        </is>
      </c>
      <c r="H2352" t="inlineStr">
        <is>
          <t>No</t>
        </is>
      </c>
      <c r="I2352" t="inlineStr">
        <is>
          <t>No</t>
        </is>
      </c>
      <c r="J2352" t="inlineStr">
        <is>
          <t>0</t>
        </is>
      </c>
      <c r="K2352" t="inlineStr">
        <is>
          <t>Whelan, Joseph P.</t>
        </is>
      </c>
      <c r="L2352" t="inlineStr">
        <is>
          <t>London : Collins, 1971.</t>
        </is>
      </c>
      <c r="M2352" t="inlineStr">
        <is>
          <t>1971</t>
        </is>
      </c>
      <c r="O2352" t="inlineStr">
        <is>
          <t>eng</t>
        </is>
      </c>
      <c r="P2352" t="inlineStr">
        <is>
          <t>enk</t>
        </is>
      </c>
      <c r="R2352" t="inlineStr">
        <is>
          <t xml:space="preserve">BX </t>
        </is>
      </c>
      <c r="S2352" t="n">
        <v>1</v>
      </c>
      <c r="T2352" t="n">
        <v>1</v>
      </c>
      <c r="U2352" t="inlineStr">
        <is>
          <t>2000-07-03</t>
        </is>
      </c>
      <c r="V2352" t="inlineStr">
        <is>
          <t>2000-07-03</t>
        </is>
      </c>
      <c r="W2352" t="inlineStr">
        <is>
          <t>1992-03-17</t>
        </is>
      </c>
      <c r="X2352" t="inlineStr">
        <is>
          <t>1992-03-17</t>
        </is>
      </c>
      <c r="Y2352" t="n">
        <v>191</v>
      </c>
      <c r="Z2352" t="n">
        <v>113</v>
      </c>
      <c r="AA2352" t="n">
        <v>263</v>
      </c>
      <c r="AB2352" t="n">
        <v>1</v>
      </c>
      <c r="AC2352" t="n">
        <v>4</v>
      </c>
      <c r="AD2352" t="n">
        <v>13</v>
      </c>
      <c r="AE2352" t="n">
        <v>27</v>
      </c>
      <c r="AF2352" t="n">
        <v>3</v>
      </c>
      <c r="AG2352" t="n">
        <v>10</v>
      </c>
      <c r="AH2352" t="n">
        <v>3</v>
      </c>
      <c r="AI2352" t="n">
        <v>7</v>
      </c>
      <c r="AJ2352" t="n">
        <v>11</v>
      </c>
      <c r="AK2352" t="n">
        <v>19</v>
      </c>
      <c r="AL2352" t="n">
        <v>0</v>
      </c>
      <c r="AM2352" t="n">
        <v>1</v>
      </c>
      <c r="AN2352" t="n">
        <v>0</v>
      </c>
      <c r="AO2352" t="n">
        <v>0</v>
      </c>
      <c r="AP2352" t="inlineStr">
        <is>
          <t>No</t>
        </is>
      </c>
      <c r="AQ2352" t="inlineStr">
        <is>
          <t>Yes</t>
        </is>
      </c>
      <c r="AR2352">
        <f>HYPERLINK("http://catalog.hathitrust.org/Record/001941797","HathiTrust Record")</f>
        <v/>
      </c>
      <c r="AS2352">
        <f>HYPERLINK("https://creighton-primo.hosted.exlibrisgroup.com/primo-explore/search?tab=default_tab&amp;search_scope=EVERYTHING&amp;vid=01CRU&amp;lang=en_US&amp;offset=0&amp;query=any,contains,991002576109702656","Catalog Record")</f>
        <v/>
      </c>
      <c r="AT2352">
        <f>HYPERLINK("http://www.worldcat.org/oclc/374833","WorldCat Record")</f>
        <v/>
      </c>
      <c r="AU2352" t="inlineStr">
        <is>
          <t>1461542:eng</t>
        </is>
      </c>
      <c r="AV2352" t="inlineStr">
        <is>
          <t>374833</t>
        </is>
      </c>
      <c r="AW2352" t="inlineStr">
        <is>
          <t>991002576109702656</t>
        </is>
      </c>
      <c r="AX2352" t="inlineStr">
        <is>
          <t>991002576109702656</t>
        </is>
      </c>
      <c r="AY2352" t="inlineStr">
        <is>
          <t>2262323250002656</t>
        </is>
      </c>
      <c r="AZ2352" t="inlineStr">
        <is>
          <t>BOOK</t>
        </is>
      </c>
      <c r="BB2352" t="inlineStr">
        <is>
          <t>9780002157704</t>
        </is>
      </c>
      <c r="BC2352" t="inlineStr">
        <is>
          <t>32285001002186</t>
        </is>
      </c>
      <c r="BD2352" t="inlineStr">
        <is>
          <t>893779973</t>
        </is>
      </c>
    </row>
    <row r="2353">
      <c r="A2353" t="inlineStr">
        <is>
          <t>No</t>
        </is>
      </c>
      <c r="B2353" t="inlineStr">
        <is>
          <t>BX4705.I7 O48 1988</t>
        </is>
      </c>
      <c r="C2353" t="inlineStr">
        <is>
          <t>0                      BX 4705000I  7                  O  48          1988</t>
        </is>
      </c>
      <c r="D2353" t="inlineStr">
        <is>
          <t>John Ireland and the American Catholic Church / Marvin R. O'Connell.</t>
        </is>
      </c>
      <c r="F2353" t="inlineStr">
        <is>
          <t>No</t>
        </is>
      </c>
      <c r="G2353" t="inlineStr">
        <is>
          <t>1</t>
        </is>
      </c>
      <c r="H2353" t="inlineStr">
        <is>
          <t>No</t>
        </is>
      </c>
      <c r="I2353" t="inlineStr">
        <is>
          <t>No</t>
        </is>
      </c>
      <c r="J2353" t="inlineStr">
        <is>
          <t>0</t>
        </is>
      </c>
      <c r="K2353" t="inlineStr">
        <is>
          <t>O'Connell, Marvin R., 1930-2016.</t>
        </is>
      </c>
      <c r="L2353" t="inlineStr">
        <is>
          <t>St. Paul : Minnesota Historical Society Press, 1988.</t>
        </is>
      </c>
      <c r="M2353" t="inlineStr">
        <is>
          <t>1988</t>
        </is>
      </c>
      <c r="O2353" t="inlineStr">
        <is>
          <t>eng</t>
        </is>
      </c>
      <c r="P2353" t="inlineStr">
        <is>
          <t>mnu</t>
        </is>
      </c>
      <c r="R2353" t="inlineStr">
        <is>
          <t xml:space="preserve">BX </t>
        </is>
      </c>
      <c r="S2353" t="n">
        <v>3</v>
      </c>
      <c r="T2353" t="n">
        <v>3</v>
      </c>
      <c r="U2353" t="inlineStr">
        <is>
          <t>2009-11-24</t>
        </is>
      </c>
      <c r="V2353" t="inlineStr">
        <is>
          <t>2009-11-24</t>
        </is>
      </c>
      <c r="W2353" t="inlineStr">
        <is>
          <t>1992-03-17</t>
        </is>
      </c>
      <c r="X2353" t="inlineStr">
        <is>
          <t>1992-03-17</t>
        </is>
      </c>
      <c r="Y2353" t="n">
        <v>498</v>
      </c>
      <c r="Z2353" t="n">
        <v>461</v>
      </c>
      <c r="AA2353" t="n">
        <v>461</v>
      </c>
      <c r="AB2353" t="n">
        <v>4</v>
      </c>
      <c r="AC2353" t="n">
        <v>4</v>
      </c>
      <c r="AD2353" t="n">
        <v>34</v>
      </c>
      <c r="AE2353" t="n">
        <v>34</v>
      </c>
      <c r="AF2353" t="n">
        <v>13</v>
      </c>
      <c r="AG2353" t="n">
        <v>13</v>
      </c>
      <c r="AH2353" t="n">
        <v>8</v>
      </c>
      <c r="AI2353" t="n">
        <v>8</v>
      </c>
      <c r="AJ2353" t="n">
        <v>21</v>
      </c>
      <c r="AK2353" t="n">
        <v>21</v>
      </c>
      <c r="AL2353" t="n">
        <v>2</v>
      </c>
      <c r="AM2353" t="n">
        <v>2</v>
      </c>
      <c r="AN2353" t="n">
        <v>0</v>
      </c>
      <c r="AO2353" t="n">
        <v>0</v>
      </c>
      <c r="AP2353" t="inlineStr">
        <is>
          <t>No</t>
        </is>
      </c>
      <c r="AQ2353" t="inlineStr">
        <is>
          <t>No</t>
        </is>
      </c>
      <c r="AS2353">
        <f>HYPERLINK("https://creighton-primo.hosted.exlibrisgroup.com/primo-explore/search?tab=default_tab&amp;search_scope=EVERYTHING&amp;vid=01CRU&amp;lang=en_US&amp;offset=0&amp;query=any,contains,991001306219702656","Catalog Record")</f>
        <v/>
      </c>
      <c r="AT2353">
        <f>HYPERLINK("http://www.worldcat.org/oclc/18106291","WorldCat Record")</f>
        <v/>
      </c>
      <c r="AU2353" t="inlineStr">
        <is>
          <t>16391047:eng</t>
        </is>
      </c>
      <c r="AV2353" t="inlineStr">
        <is>
          <t>18106291</t>
        </is>
      </c>
      <c r="AW2353" t="inlineStr">
        <is>
          <t>991001306219702656</t>
        </is>
      </c>
      <c r="AX2353" t="inlineStr">
        <is>
          <t>991001306219702656</t>
        </is>
      </c>
      <c r="AY2353" t="inlineStr">
        <is>
          <t>2257754090002656</t>
        </is>
      </c>
      <c r="AZ2353" t="inlineStr">
        <is>
          <t>BOOK</t>
        </is>
      </c>
      <c r="BB2353" t="inlineStr">
        <is>
          <t>9780873512305</t>
        </is>
      </c>
      <c r="BC2353" t="inlineStr">
        <is>
          <t>32285005552202</t>
        </is>
      </c>
      <c r="BD2353" t="inlineStr">
        <is>
          <t>893225779</t>
        </is>
      </c>
    </row>
    <row r="2354">
      <c r="A2354" t="inlineStr">
        <is>
          <t>No</t>
        </is>
      </c>
      <c r="B2354" t="inlineStr">
        <is>
          <t>BX4705.I79 F54 2006</t>
        </is>
      </c>
      <c r="C2354" t="inlineStr">
        <is>
          <t>0                      BX 4705000I  79                 F  54          2006</t>
        </is>
      </c>
      <c r="D2354" t="inlineStr">
        <is>
          <t>Isabelle of France : Capetian sanctity and Franciscan identity in the thirteenth century / Sean L. Field.</t>
        </is>
      </c>
      <c r="F2354" t="inlineStr">
        <is>
          <t>No</t>
        </is>
      </c>
      <c r="G2354" t="inlineStr">
        <is>
          <t>1</t>
        </is>
      </c>
      <c r="H2354" t="inlineStr">
        <is>
          <t>No</t>
        </is>
      </c>
      <c r="I2354" t="inlineStr">
        <is>
          <t>No</t>
        </is>
      </c>
      <c r="J2354" t="inlineStr">
        <is>
          <t>0</t>
        </is>
      </c>
      <c r="K2354" t="inlineStr">
        <is>
          <t>Field, Sean L. (Sean Linscott), 1970-</t>
        </is>
      </c>
      <c r="L2354" t="inlineStr">
        <is>
          <t>Notre Dame, Ind. : University of Notre Dame Press, c2006.</t>
        </is>
      </c>
      <c r="M2354" t="inlineStr">
        <is>
          <t>2006</t>
        </is>
      </c>
      <c r="O2354" t="inlineStr">
        <is>
          <t>eng</t>
        </is>
      </c>
      <c r="P2354" t="inlineStr">
        <is>
          <t>inu</t>
        </is>
      </c>
      <c r="R2354" t="inlineStr">
        <is>
          <t xml:space="preserve">BX </t>
        </is>
      </c>
      <c r="S2354" t="n">
        <v>1</v>
      </c>
      <c r="T2354" t="n">
        <v>1</v>
      </c>
      <c r="U2354" t="inlineStr">
        <is>
          <t>2007-02-15</t>
        </is>
      </c>
      <c r="V2354" t="inlineStr">
        <is>
          <t>2007-02-15</t>
        </is>
      </c>
      <c r="W2354" t="inlineStr">
        <is>
          <t>2007-02-15</t>
        </is>
      </c>
      <c r="X2354" t="inlineStr">
        <is>
          <t>2007-02-15</t>
        </is>
      </c>
      <c r="Y2354" t="n">
        <v>214</v>
      </c>
      <c r="Z2354" t="n">
        <v>171</v>
      </c>
      <c r="AA2354" t="n">
        <v>177</v>
      </c>
      <c r="AB2354" t="n">
        <v>1</v>
      </c>
      <c r="AC2354" t="n">
        <v>1</v>
      </c>
      <c r="AD2354" t="n">
        <v>18</v>
      </c>
      <c r="AE2354" t="n">
        <v>18</v>
      </c>
      <c r="AF2354" t="n">
        <v>5</v>
      </c>
      <c r="AG2354" t="n">
        <v>5</v>
      </c>
      <c r="AH2354" t="n">
        <v>7</v>
      </c>
      <c r="AI2354" t="n">
        <v>7</v>
      </c>
      <c r="AJ2354" t="n">
        <v>13</v>
      </c>
      <c r="AK2354" t="n">
        <v>13</v>
      </c>
      <c r="AL2354" t="n">
        <v>0</v>
      </c>
      <c r="AM2354" t="n">
        <v>0</v>
      </c>
      <c r="AN2354" t="n">
        <v>0</v>
      </c>
      <c r="AO2354" t="n">
        <v>0</v>
      </c>
      <c r="AP2354" t="inlineStr">
        <is>
          <t>No</t>
        </is>
      </c>
      <c r="AQ2354" t="inlineStr">
        <is>
          <t>Yes</t>
        </is>
      </c>
      <c r="AR2354">
        <f>HYPERLINK("http://catalog.hathitrust.org/Record/005397967","HathiTrust Record")</f>
        <v/>
      </c>
      <c r="AS2354">
        <f>HYPERLINK("https://creighton-primo.hosted.exlibrisgroup.com/primo-explore/search?tab=default_tab&amp;search_scope=EVERYTHING&amp;vid=01CRU&amp;lang=en_US&amp;offset=0&amp;query=any,contains,991005023809702656","Catalog Record")</f>
        <v/>
      </c>
      <c r="AT2354">
        <f>HYPERLINK("http://www.worldcat.org/oclc/70045976","WorldCat Record")</f>
        <v/>
      </c>
      <c r="AU2354" t="inlineStr">
        <is>
          <t>476699518:eng</t>
        </is>
      </c>
      <c r="AV2354" t="inlineStr">
        <is>
          <t>70045976</t>
        </is>
      </c>
      <c r="AW2354" t="inlineStr">
        <is>
          <t>991005023809702656</t>
        </is>
      </c>
      <c r="AX2354" t="inlineStr">
        <is>
          <t>991005023809702656</t>
        </is>
      </c>
      <c r="AY2354" t="inlineStr">
        <is>
          <t>2267026020002656</t>
        </is>
      </c>
      <c r="AZ2354" t="inlineStr">
        <is>
          <t>BOOK</t>
        </is>
      </c>
      <c r="BB2354" t="inlineStr">
        <is>
          <t>9780268028800</t>
        </is>
      </c>
      <c r="BC2354" t="inlineStr">
        <is>
          <t>32285005277172</t>
        </is>
      </c>
      <c r="BD2354" t="inlineStr">
        <is>
          <t>893807721</t>
        </is>
      </c>
    </row>
    <row r="2355">
      <c r="A2355" t="inlineStr">
        <is>
          <t>No</t>
        </is>
      </c>
      <c r="B2355" t="inlineStr">
        <is>
          <t>BX4705.J46 M5 1936</t>
        </is>
      </c>
      <c r="C2355" t="inlineStr">
        <is>
          <t>0                      BX 4705000J  46                 M  5           1936</t>
        </is>
      </c>
      <c r="D2355" t="inlineStr">
        <is>
          <t>Monsignor Joseph Jessing (1836-1899) : founder of the Pontifical college Josephinum / by Leo F. Miller, D.D., Joseph C. Plumpe, Ph.D., Maurice A. Hofer, S.S.L [and] George J. Undreiner, Ph.D.</t>
        </is>
      </c>
      <c r="F2355" t="inlineStr">
        <is>
          <t>No</t>
        </is>
      </c>
      <c r="G2355" t="inlineStr">
        <is>
          <t>1</t>
        </is>
      </c>
      <c r="H2355" t="inlineStr">
        <is>
          <t>No</t>
        </is>
      </c>
      <c r="I2355" t="inlineStr">
        <is>
          <t>No</t>
        </is>
      </c>
      <c r="J2355" t="inlineStr">
        <is>
          <t>0</t>
        </is>
      </c>
      <c r="K2355" t="inlineStr">
        <is>
          <t>Miller, Leo F., 1885-</t>
        </is>
      </c>
      <c r="L2355" t="inlineStr">
        <is>
          <t>Columbus, Ohio : Carroll press, inc., 1936.</t>
        </is>
      </c>
      <c r="M2355" t="inlineStr">
        <is>
          <t>1936</t>
        </is>
      </c>
      <c r="O2355" t="inlineStr">
        <is>
          <t>eng</t>
        </is>
      </c>
      <c r="P2355" t="inlineStr">
        <is>
          <t xml:space="preserve">xx </t>
        </is>
      </c>
      <c r="R2355" t="inlineStr">
        <is>
          <t xml:space="preserve">BX </t>
        </is>
      </c>
      <c r="S2355" t="n">
        <v>0</v>
      </c>
      <c r="T2355" t="n">
        <v>0</v>
      </c>
      <c r="U2355" t="inlineStr">
        <is>
          <t>2002-03-13</t>
        </is>
      </c>
      <c r="V2355" t="inlineStr">
        <is>
          <t>2002-03-13</t>
        </is>
      </c>
      <c r="W2355" t="inlineStr">
        <is>
          <t>1990-10-01</t>
        </is>
      </c>
      <c r="X2355" t="inlineStr">
        <is>
          <t>1990-10-01</t>
        </is>
      </c>
      <c r="Y2355" t="n">
        <v>31</v>
      </c>
      <c r="Z2355" t="n">
        <v>31</v>
      </c>
      <c r="AA2355" t="n">
        <v>31</v>
      </c>
      <c r="AB2355" t="n">
        <v>2</v>
      </c>
      <c r="AC2355" t="n">
        <v>2</v>
      </c>
      <c r="AD2355" t="n">
        <v>4</v>
      </c>
      <c r="AE2355" t="n">
        <v>4</v>
      </c>
      <c r="AF2355" t="n">
        <v>0</v>
      </c>
      <c r="AG2355" t="n">
        <v>0</v>
      </c>
      <c r="AH2355" t="n">
        <v>2</v>
      </c>
      <c r="AI2355" t="n">
        <v>2</v>
      </c>
      <c r="AJ2355" t="n">
        <v>2</v>
      </c>
      <c r="AK2355" t="n">
        <v>2</v>
      </c>
      <c r="AL2355" t="n">
        <v>0</v>
      </c>
      <c r="AM2355" t="n">
        <v>0</v>
      </c>
      <c r="AN2355" t="n">
        <v>0</v>
      </c>
      <c r="AO2355" t="n">
        <v>0</v>
      </c>
      <c r="AP2355" t="inlineStr">
        <is>
          <t>No</t>
        </is>
      </c>
      <c r="AQ2355" t="inlineStr">
        <is>
          <t>No</t>
        </is>
      </c>
      <c r="AS2355">
        <f>HYPERLINK("https://creighton-primo.hosted.exlibrisgroup.com/primo-explore/search?tab=default_tab&amp;search_scope=EVERYTHING&amp;vid=01CRU&amp;lang=en_US&amp;offset=0&amp;query=any,contains,991003422389702656","Catalog Record")</f>
        <v/>
      </c>
      <c r="AT2355">
        <f>HYPERLINK("http://www.worldcat.org/oclc/963112","WorldCat Record")</f>
        <v/>
      </c>
      <c r="AU2355" t="inlineStr">
        <is>
          <t>146575723:eng</t>
        </is>
      </c>
      <c r="AV2355" t="inlineStr">
        <is>
          <t>963112</t>
        </is>
      </c>
      <c r="AW2355" t="inlineStr">
        <is>
          <t>991003422389702656</t>
        </is>
      </c>
      <c r="AX2355" t="inlineStr">
        <is>
          <t>991003422389702656</t>
        </is>
      </c>
      <c r="AY2355" t="inlineStr">
        <is>
          <t>2260158470002656</t>
        </is>
      </c>
      <c r="AZ2355" t="inlineStr">
        <is>
          <t>BOOK</t>
        </is>
      </c>
      <c r="BC2355" t="inlineStr">
        <is>
          <t>32285000278522</t>
        </is>
      </c>
      <c r="BD2355" t="inlineStr">
        <is>
          <t>893262738</t>
        </is>
      </c>
    </row>
    <row r="2356">
      <c r="A2356" t="inlineStr">
        <is>
          <t>No</t>
        </is>
      </c>
      <c r="B2356" t="inlineStr">
        <is>
          <t>BX4705.J6 M38 1985</t>
        </is>
      </c>
      <c r="C2356" t="inlineStr">
        <is>
          <t>0                      BX 4705000J  6                  M  38          1985</t>
        </is>
      </c>
      <c r="D2356" t="inlineStr">
        <is>
          <t>The Calabrian Abbot : Joachim of Fiore in the history of Western thought / Bernard McGinn.</t>
        </is>
      </c>
      <c r="F2356" t="inlineStr">
        <is>
          <t>No</t>
        </is>
      </c>
      <c r="G2356" t="inlineStr">
        <is>
          <t>1</t>
        </is>
      </c>
      <c r="H2356" t="inlineStr">
        <is>
          <t>No</t>
        </is>
      </c>
      <c r="I2356" t="inlineStr">
        <is>
          <t>No</t>
        </is>
      </c>
      <c r="J2356" t="inlineStr">
        <is>
          <t>0</t>
        </is>
      </c>
      <c r="K2356" t="inlineStr">
        <is>
          <t>McGinn, Bernard, 1937-</t>
        </is>
      </c>
      <c r="L2356" t="inlineStr">
        <is>
          <t>New York : Macmillan, c1985.</t>
        </is>
      </c>
      <c r="M2356" t="inlineStr">
        <is>
          <t>1985</t>
        </is>
      </c>
      <c r="O2356" t="inlineStr">
        <is>
          <t>eng</t>
        </is>
      </c>
      <c r="P2356" t="inlineStr">
        <is>
          <t>nyu</t>
        </is>
      </c>
      <c r="R2356" t="inlineStr">
        <is>
          <t xml:space="preserve">BX </t>
        </is>
      </c>
      <c r="S2356" t="n">
        <v>3</v>
      </c>
      <c r="T2356" t="n">
        <v>3</v>
      </c>
      <c r="U2356" t="inlineStr">
        <is>
          <t>2003-12-02</t>
        </is>
      </c>
      <c r="V2356" t="inlineStr">
        <is>
          <t>2003-12-02</t>
        </is>
      </c>
      <c r="W2356" t="inlineStr">
        <is>
          <t>1992-03-17</t>
        </is>
      </c>
      <c r="X2356" t="inlineStr">
        <is>
          <t>1992-03-17</t>
        </is>
      </c>
      <c r="Y2356" t="n">
        <v>424</v>
      </c>
      <c r="Z2356" t="n">
        <v>328</v>
      </c>
      <c r="AA2356" t="n">
        <v>329</v>
      </c>
      <c r="AB2356" t="n">
        <v>3</v>
      </c>
      <c r="AC2356" t="n">
        <v>3</v>
      </c>
      <c r="AD2356" t="n">
        <v>28</v>
      </c>
      <c r="AE2356" t="n">
        <v>28</v>
      </c>
      <c r="AF2356" t="n">
        <v>7</v>
      </c>
      <c r="AG2356" t="n">
        <v>7</v>
      </c>
      <c r="AH2356" t="n">
        <v>8</v>
      </c>
      <c r="AI2356" t="n">
        <v>8</v>
      </c>
      <c r="AJ2356" t="n">
        <v>19</v>
      </c>
      <c r="AK2356" t="n">
        <v>19</v>
      </c>
      <c r="AL2356" t="n">
        <v>2</v>
      </c>
      <c r="AM2356" t="n">
        <v>2</v>
      </c>
      <c r="AN2356" t="n">
        <v>0</v>
      </c>
      <c r="AO2356" t="n">
        <v>0</v>
      </c>
      <c r="AP2356" t="inlineStr">
        <is>
          <t>No</t>
        </is>
      </c>
      <c r="AQ2356" t="inlineStr">
        <is>
          <t>Yes</t>
        </is>
      </c>
      <c r="AR2356">
        <f>HYPERLINK("http://catalog.hathitrust.org/Record/000375684","HathiTrust Record")</f>
        <v/>
      </c>
      <c r="AS2356">
        <f>HYPERLINK("https://creighton-primo.hosted.exlibrisgroup.com/primo-explore/search?tab=default_tab&amp;search_scope=EVERYTHING&amp;vid=01CRU&amp;lang=en_US&amp;offset=0&amp;query=any,contains,991000505139702656","Catalog Record")</f>
        <v/>
      </c>
      <c r="AT2356">
        <f>HYPERLINK("http://www.worldcat.org/oclc/11210329","WorldCat Record")</f>
        <v/>
      </c>
      <c r="AU2356" t="inlineStr">
        <is>
          <t>44213389:eng</t>
        </is>
      </c>
      <c r="AV2356" t="inlineStr">
        <is>
          <t>11210329</t>
        </is>
      </c>
      <c r="AW2356" t="inlineStr">
        <is>
          <t>991000505139702656</t>
        </is>
      </c>
      <c r="AX2356" t="inlineStr">
        <is>
          <t>991000505139702656</t>
        </is>
      </c>
      <c r="AY2356" t="inlineStr">
        <is>
          <t>2254798190002656</t>
        </is>
      </c>
      <c r="AZ2356" t="inlineStr">
        <is>
          <t>BOOK</t>
        </is>
      </c>
      <c r="BB2356" t="inlineStr">
        <is>
          <t>9780029195505</t>
        </is>
      </c>
      <c r="BC2356" t="inlineStr">
        <is>
          <t>32285001002293</t>
        </is>
      </c>
      <c r="BD2356" t="inlineStr">
        <is>
          <t>893255481</t>
        </is>
      </c>
    </row>
    <row r="2357">
      <c r="A2357" t="inlineStr">
        <is>
          <t>No</t>
        </is>
      </c>
      <c r="B2357" t="inlineStr">
        <is>
          <t>BX4705.K219 A3 2002</t>
        </is>
      </c>
      <c r="C2357" t="inlineStr">
        <is>
          <t>0                      BX 4705000K  219                A  3           2002</t>
        </is>
      </c>
      <c r="D2357" t="inlineStr">
        <is>
          <t>Clerical error : a true story / Robert Blair Kaiser.</t>
        </is>
      </c>
      <c r="F2357" t="inlineStr">
        <is>
          <t>No</t>
        </is>
      </c>
      <c r="G2357" t="inlineStr">
        <is>
          <t>1</t>
        </is>
      </c>
      <c r="H2357" t="inlineStr">
        <is>
          <t>No</t>
        </is>
      </c>
      <c r="I2357" t="inlineStr">
        <is>
          <t>No</t>
        </is>
      </c>
      <c r="J2357" t="inlineStr">
        <is>
          <t>0</t>
        </is>
      </c>
      <c r="K2357" t="inlineStr">
        <is>
          <t>Kaiser, Robert Blair.</t>
        </is>
      </c>
      <c r="L2357" t="inlineStr">
        <is>
          <t>New York : Continuum, 2002.</t>
        </is>
      </c>
      <c r="M2357" t="inlineStr">
        <is>
          <t>2002</t>
        </is>
      </c>
      <c r="O2357" t="inlineStr">
        <is>
          <t>eng</t>
        </is>
      </c>
      <c r="P2357" t="inlineStr">
        <is>
          <t>nyu</t>
        </is>
      </c>
      <c r="R2357" t="inlineStr">
        <is>
          <t xml:space="preserve">BX </t>
        </is>
      </c>
      <c r="S2357" t="n">
        <v>4</v>
      </c>
      <c r="T2357" t="n">
        <v>4</v>
      </c>
      <c r="U2357" t="inlineStr">
        <is>
          <t>2008-04-23</t>
        </is>
      </c>
      <c r="V2357" t="inlineStr">
        <is>
          <t>2008-04-23</t>
        </is>
      </c>
      <c r="W2357" t="inlineStr">
        <is>
          <t>2002-11-21</t>
        </is>
      </c>
      <c r="X2357" t="inlineStr">
        <is>
          <t>2002-11-21</t>
        </is>
      </c>
      <c r="Y2357" t="n">
        <v>227</v>
      </c>
      <c r="Z2357" t="n">
        <v>202</v>
      </c>
      <c r="AA2357" t="n">
        <v>207</v>
      </c>
      <c r="AB2357" t="n">
        <v>1</v>
      </c>
      <c r="AC2357" t="n">
        <v>1</v>
      </c>
      <c r="AD2357" t="n">
        <v>19</v>
      </c>
      <c r="AE2357" t="n">
        <v>19</v>
      </c>
      <c r="AF2357" t="n">
        <v>5</v>
      </c>
      <c r="AG2357" t="n">
        <v>5</v>
      </c>
      <c r="AH2357" t="n">
        <v>6</v>
      </c>
      <c r="AI2357" t="n">
        <v>6</v>
      </c>
      <c r="AJ2357" t="n">
        <v>14</v>
      </c>
      <c r="AK2357" t="n">
        <v>14</v>
      </c>
      <c r="AL2357" t="n">
        <v>0</v>
      </c>
      <c r="AM2357" t="n">
        <v>0</v>
      </c>
      <c r="AN2357" t="n">
        <v>0</v>
      </c>
      <c r="AO2357" t="n">
        <v>0</v>
      </c>
      <c r="AP2357" t="inlineStr">
        <is>
          <t>No</t>
        </is>
      </c>
      <c r="AQ2357" t="inlineStr">
        <is>
          <t>No</t>
        </is>
      </c>
      <c r="AS2357">
        <f>HYPERLINK("https://creighton-primo.hosted.exlibrisgroup.com/primo-explore/search?tab=default_tab&amp;search_scope=EVERYTHING&amp;vid=01CRU&amp;lang=en_US&amp;offset=0&amp;query=any,contains,991003938309702656","Catalog Record")</f>
        <v/>
      </c>
      <c r="AT2357">
        <f>HYPERLINK("http://www.worldcat.org/oclc/48957882","WorldCat Record")</f>
        <v/>
      </c>
      <c r="AU2357" t="inlineStr">
        <is>
          <t>38028831:eng</t>
        </is>
      </c>
      <c r="AV2357" t="inlineStr">
        <is>
          <t>48957882</t>
        </is>
      </c>
      <c r="AW2357" t="inlineStr">
        <is>
          <t>991003938309702656</t>
        </is>
      </c>
      <c r="AX2357" t="inlineStr">
        <is>
          <t>991003938309702656</t>
        </is>
      </c>
      <c r="AY2357" t="inlineStr">
        <is>
          <t>2269884020002656</t>
        </is>
      </c>
      <c r="AZ2357" t="inlineStr">
        <is>
          <t>BOOK</t>
        </is>
      </c>
      <c r="BB2357" t="inlineStr">
        <is>
          <t>9780826413840</t>
        </is>
      </c>
      <c r="BC2357" t="inlineStr">
        <is>
          <t>32285004666037</t>
        </is>
      </c>
      <c r="BD2357" t="inlineStr">
        <is>
          <t>893794283</t>
        </is>
      </c>
    </row>
    <row r="2358">
      <c r="A2358" t="inlineStr">
        <is>
          <t>No</t>
        </is>
      </c>
      <c r="B2358" t="inlineStr">
        <is>
          <t>BX4705.K326 K39 1987</t>
        </is>
      </c>
      <c r="C2358" t="inlineStr">
        <is>
          <t>0                      BX 4705000K  326                K  39          1987</t>
        </is>
      </c>
      <c r="D2358" t="inlineStr">
        <is>
          <t>Alleluia woman : Sister Dorothy Kazel, O.S.U. / by Dorothy Chapon Kazel.</t>
        </is>
      </c>
      <c r="F2358" t="inlineStr">
        <is>
          <t>No</t>
        </is>
      </c>
      <c r="G2358" t="inlineStr">
        <is>
          <t>1</t>
        </is>
      </c>
      <c r="H2358" t="inlineStr">
        <is>
          <t>No</t>
        </is>
      </c>
      <c r="I2358" t="inlineStr">
        <is>
          <t>No</t>
        </is>
      </c>
      <c r="J2358" t="inlineStr">
        <is>
          <t>0</t>
        </is>
      </c>
      <c r="K2358" t="inlineStr">
        <is>
          <t>Kazel, Dorothy Chapon.</t>
        </is>
      </c>
      <c r="L2358" t="inlineStr">
        <is>
          <t>Cleveland, Ohio (P.O. Box 210107, Cleveland 44121) : Chapel Publications, c1987.</t>
        </is>
      </c>
      <c r="M2358" t="inlineStr">
        <is>
          <t>1987</t>
        </is>
      </c>
      <c r="O2358" t="inlineStr">
        <is>
          <t>eng</t>
        </is>
      </c>
      <c r="P2358" t="inlineStr">
        <is>
          <t>ohu</t>
        </is>
      </c>
      <c r="R2358" t="inlineStr">
        <is>
          <t xml:space="preserve">BX </t>
        </is>
      </c>
      <c r="S2358" t="n">
        <v>1</v>
      </c>
      <c r="T2358" t="n">
        <v>1</v>
      </c>
      <c r="U2358" t="inlineStr">
        <is>
          <t>2007-01-31</t>
        </is>
      </c>
      <c r="V2358" t="inlineStr">
        <is>
          <t>2007-01-31</t>
        </is>
      </c>
      <c r="W2358" t="inlineStr">
        <is>
          <t>2007-01-31</t>
        </is>
      </c>
      <c r="X2358" t="inlineStr">
        <is>
          <t>2007-01-31</t>
        </is>
      </c>
      <c r="Y2358" t="n">
        <v>51</v>
      </c>
      <c r="Z2358" t="n">
        <v>50</v>
      </c>
      <c r="AA2358" t="n">
        <v>75</v>
      </c>
      <c r="AB2358" t="n">
        <v>2</v>
      </c>
      <c r="AC2358" t="n">
        <v>3</v>
      </c>
      <c r="AD2358" t="n">
        <v>5</v>
      </c>
      <c r="AE2358" t="n">
        <v>6</v>
      </c>
      <c r="AF2358" t="n">
        <v>1</v>
      </c>
      <c r="AG2358" t="n">
        <v>1</v>
      </c>
      <c r="AH2358" t="n">
        <v>0</v>
      </c>
      <c r="AI2358" t="n">
        <v>0</v>
      </c>
      <c r="AJ2358" t="n">
        <v>4</v>
      </c>
      <c r="AK2358" t="n">
        <v>4</v>
      </c>
      <c r="AL2358" t="n">
        <v>1</v>
      </c>
      <c r="AM2358" t="n">
        <v>2</v>
      </c>
      <c r="AN2358" t="n">
        <v>0</v>
      </c>
      <c r="AO2358" t="n">
        <v>0</v>
      </c>
      <c r="AP2358" t="inlineStr">
        <is>
          <t>No</t>
        </is>
      </c>
      <c r="AQ2358" t="inlineStr">
        <is>
          <t>No</t>
        </is>
      </c>
      <c r="AS2358">
        <f>HYPERLINK("https://creighton-primo.hosted.exlibrisgroup.com/primo-explore/search?tab=default_tab&amp;search_scope=EVERYTHING&amp;vid=01CRU&amp;lang=en_US&amp;offset=0&amp;query=any,contains,991005018309702656","Catalog Record")</f>
        <v/>
      </c>
      <c r="AT2358">
        <f>HYPERLINK("http://www.worldcat.org/oclc/15744023","WorldCat Record")</f>
        <v/>
      </c>
      <c r="AU2358" t="inlineStr">
        <is>
          <t>21261870:eng</t>
        </is>
      </c>
      <c r="AV2358" t="inlineStr">
        <is>
          <t>15744023</t>
        </is>
      </c>
      <c r="AW2358" t="inlineStr">
        <is>
          <t>991005018309702656</t>
        </is>
      </c>
      <c r="AX2358" t="inlineStr">
        <is>
          <t>991005018309702656</t>
        </is>
      </c>
      <c r="AY2358" t="inlineStr">
        <is>
          <t>2261510440002656</t>
        </is>
      </c>
      <c r="AZ2358" t="inlineStr">
        <is>
          <t>BOOK</t>
        </is>
      </c>
      <c r="BC2358" t="inlineStr">
        <is>
          <t>32285005274245</t>
        </is>
      </c>
      <c r="BD2358" t="inlineStr">
        <is>
          <t>893254334</t>
        </is>
      </c>
    </row>
    <row r="2359">
      <c r="A2359" t="inlineStr">
        <is>
          <t>No</t>
        </is>
      </c>
      <c r="B2359" t="inlineStr">
        <is>
          <t>BX4705.K373 A3 1989</t>
        </is>
      </c>
      <c r="C2359" t="inlineStr">
        <is>
          <t>0                      BX 4705000K  373                A  3           1989</t>
        </is>
      </c>
      <c r="D2359" t="inlineStr">
        <is>
          <t>Inside my Father's house / George A. Kelly.</t>
        </is>
      </c>
      <c r="F2359" t="inlineStr">
        <is>
          <t>No</t>
        </is>
      </c>
      <c r="G2359" t="inlineStr">
        <is>
          <t>1</t>
        </is>
      </c>
      <c r="H2359" t="inlineStr">
        <is>
          <t>No</t>
        </is>
      </c>
      <c r="I2359" t="inlineStr">
        <is>
          <t>No</t>
        </is>
      </c>
      <c r="J2359" t="inlineStr">
        <is>
          <t>0</t>
        </is>
      </c>
      <c r="K2359" t="inlineStr">
        <is>
          <t>Kelly, George Anthony, 1916-2004.</t>
        </is>
      </c>
      <c r="L2359" t="inlineStr">
        <is>
          <t>New York : Doubleday, c1989.</t>
        </is>
      </c>
      <c r="M2359" t="inlineStr">
        <is>
          <t>1989</t>
        </is>
      </c>
      <c r="N2359" t="inlineStr">
        <is>
          <t>1st ed.</t>
        </is>
      </c>
      <c r="O2359" t="inlineStr">
        <is>
          <t>eng</t>
        </is>
      </c>
      <c r="P2359" t="inlineStr">
        <is>
          <t>nyu</t>
        </is>
      </c>
      <c r="R2359" t="inlineStr">
        <is>
          <t xml:space="preserve">BX </t>
        </is>
      </c>
      <c r="S2359" t="n">
        <v>2</v>
      </c>
      <c r="T2359" t="n">
        <v>2</v>
      </c>
      <c r="U2359" t="inlineStr">
        <is>
          <t>2008-05-30</t>
        </is>
      </c>
      <c r="V2359" t="inlineStr">
        <is>
          <t>2008-05-30</t>
        </is>
      </c>
      <c r="W2359" t="inlineStr">
        <is>
          <t>2008-05-19</t>
        </is>
      </c>
      <c r="X2359" t="inlineStr">
        <is>
          <t>2008-05-19</t>
        </is>
      </c>
      <c r="Y2359" t="n">
        <v>161</v>
      </c>
      <c r="Z2359" t="n">
        <v>150</v>
      </c>
      <c r="AA2359" t="n">
        <v>157</v>
      </c>
      <c r="AB2359" t="n">
        <v>2</v>
      </c>
      <c r="AC2359" t="n">
        <v>2</v>
      </c>
      <c r="AD2359" t="n">
        <v>14</v>
      </c>
      <c r="AE2359" t="n">
        <v>14</v>
      </c>
      <c r="AF2359" t="n">
        <v>5</v>
      </c>
      <c r="AG2359" t="n">
        <v>5</v>
      </c>
      <c r="AH2359" t="n">
        <v>2</v>
      </c>
      <c r="AI2359" t="n">
        <v>2</v>
      </c>
      <c r="AJ2359" t="n">
        <v>11</v>
      </c>
      <c r="AK2359" t="n">
        <v>11</v>
      </c>
      <c r="AL2359" t="n">
        <v>0</v>
      </c>
      <c r="AM2359" t="n">
        <v>0</v>
      </c>
      <c r="AN2359" t="n">
        <v>0</v>
      </c>
      <c r="AO2359" t="n">
        <v>0</v>
      </c>
      <c r="AP2359" t="inlineStr">
        <is>
          <t>No</t>
        </is>
      </c>
      <c r="AQ2359" t="inlineStr">
        <is>
          <t>Yes</t>
        </is>
      </c>
      <c r="AR2359">
        <f>HYPERLINK("http://catalog.hathitrust.org/Record/002231601","HathiTrust Record")</f>
        <v/>
      </c>
      <c r="AS2359">
        <f>HYPERLINK("https://creighton-primo.hosted.exlibrisgroup.com/primo-explore/search?tab=default_tab&amp;search_scope=EVERYTHING&amp;vid=01CRU&amp;lang=en_US&amp;offset=0&amp;query=any,contains,991005223289702656","Catalog Record")</f>
        <v/>
      </c>
      <c r="AT2359">
        <f>HYPERLINK("http://www.worldcat.org/oclc/18981447","WorldCat Record")</f>
        <v/>
      </c>
      <c r="AU2359" t="inlineStr">
        <is>
          <t>18954294:eng</t>
        </is>
      </c>
      <c r="AV2359" t="inlineStr">
        <is>
          <t>18981447</t>
        </is>
      </c>
      <c r="AW2359" t="inlineStr">
        <is>
          <t>991005223289702656</t>
        </is>
      </c>
      <c r="AX2359" t="inlineStr">
        <is>
          <t>991005223289702656</t>
        </is>
      </c>
      <c r="AY2359" t="inlineStr">
        <is>
          <t>2270535590002656</t>
        </is>
      </c>
      <c r="AZ2359" t="inlineStr">
        <is>
          <t>BOOK</t>
        </is>
      </c>
      <c r="BB2359" t="inlineStr">
        <is>
          <t>9780385262279</t>
        </is>
      </c>
      <c r="BC2359" t="inlineStr">
        <is>
          <t>32285005409668</t>
        </is>
      </c>
      <c r="BD2359" t="inlineStr">
        <is>
          <t>893720007</t>
        </is>
      </c>
    </row>
    <row r="2360">
      <c r="A2360" t="inlineStr">
        <is>
          <t>No</t>
        </is>
      </c>
      <c r="B2360" t="inlineStr">
        <is>
          <t>BX4705.K378 M37 1992</t>
        </is>
      </c>
      <c r="C2360" t="inlineStr">
        <is>
          <t>0                      BX 4705000K  378                M  37          1992</t>
        </is>
      </c>
      <c r="D2360" t="inlineStr">
        <is>
          <t>Fifteenth-century Carthusian reform : the world of Nicholas Kempf / by Dennis D. Martin.</t>
        </is>
      </c>
      <c r="F2360" t="inlineStr">
        <is>
          <t>No</t>
        </is>
      </c>
      <c r="G2360" t="inlineStr">
        <is>
          <t>1</t>
        </is>
      </c>
      <c r="H2360" t="inlineStr">
        <is>
          <t>No</t>
        </is>
      </c>
      <c r="I2360" t="inlineStr">
        <is>
          <t>No</t>
        </is>
      </c>
      <c r="J2360" t="inlineStr">
        <is>
          <t>0</t>
        </is>
      </c>
      <c r="K2360" t="inlineStr">
        <is>
          <t>Martin, Dennis D., 1952-2015.</t>
        </is>
      </c>
      <c r="L2360" t="inlineStr">
        <is>
          <t>Leiden ; New York : E.J. Brill, 1992.</t>
        </is>
      </c>
      <c r="M2360" t="inlineStr">
        <is>
          <t>1992</t>
        </is>
      </c>
      <c r="O2360" t="inlineStr">
        <is>
          <t>eng</t>
        </is>
      </c>
      <c r="P2360" t="inlineStr">
        <is>
          <t xml:space="preserve">ne </t>
        </is>
      </c>
      <c r="Q2360" t="inlineStr">
        <is>
          <t>Studies in the history of Christian thought, 0081-8607 ; v. 49</t>
        </is>
      </c>
      <c r="R2360" t="inlineStr">
        <is>
          <t xml:space="preserve">BX </t>
        </is>
      </c>
      <c r="S2360" t="n">
        <v>1</v>
      </c>
      <c r="T2360" t="n">
        <v>1</v>
      </c>
      <c r="U2360" t="inlineStr">
        <is>
          <t>1998-08-06</t>
        </is>
      </c>
      <c r="V2360" t="inlineStr">
        <is>
          <t>1998-08-06</t>
        </is>
      </c>
      <c r="W2360" t="inlineStr">
        <is>
          <t>1994-07-05</t>
        </is>
      </c>
      <c r="X2360" t="inlineStr">
        <is>
          <t>1994-07-05</t>
        </is>
      </c>
      <c r="Y2360" t="n">
        <v>233</v>
      </c>
      <c r="Z2360" t="n">
        <v>172</v>
      </c>
      <c r="AA2360" t="n">
        <v>172</v>
      </c>
      <c r="AB2360" t="n">
        <v>2</v>
      </c>
      <c r="AC2360" t="n">
        <v>2</v>
      </c>
      <c r="AD2360" t="n">
        <v>14</v>
      </c>
      <c r="AE2360" t="n">
        <v>14</v>
      </c>
      <c r="AF2360" t="n">
        <v>3</v>
      </c>
      <c r="AG2360" t="n">
        <v>3</v>
      </c>
      <c r="AH2360" t="n">
        <v>4</v>
      </c>
      <c r="AI2360" t="n">
        <v>4</v>
      </c>
      <c r="AJ2360" t="n">
        <v>9</v>
      </c>
      <c r="AK2360" t="n">
        <v>9</v>
      </c>
      <c r="AL2360" t="n">
        <v>1</v>
      </c>
      <c r="AM2360" t="n">
        <v>1</v>
      </c>
      <c r="AN2360" t="n">
        <v>0</v>
      </c>
      <c r="AO2360" t="n">
        <v>0</v>
      </c>
      <c r="AP2360" t="inlineStr">
        <is>
          <t>No</t>
        </is>
      </c>
      <c r="AQ2360" t="inlineStr">
        <is>
          <t>No</t>
        </is>
      </c>
      <c r="AS2360">
        <f>HYPERLINK("https://creighton-primo.hosted.exlibrisgroup.com/primo-explore/search?tab=default_tab&amp;search_scope=EVERYTHING&amp;vid=01CRU&amp;lang=en_US&amp;offset=0&amp;query=any,contains,991002038249702656","Catalog Record")</f>
        <v/>
      </c>
      <c r="AT2360">
        <f>HYPERLINK("http://www.worldcat.org/oclc/26012534","WorldCat Record")</f>
        <v/>
      </c>
      <c r="AU2360" t="inlineStr">
        <is>
          <t>806818727:eng</t>
        </is>
      </c>
      <c r="AV2360" t="inlineStr">
        <is>
          <t>26012534</t>
        </is>
      </c>
      <c r="AW2360" t="inlineStr">
        <is>
          <t>991002038249702656</t>
        </is>
      </c>
      <c r="AX2360" t="inlineStr">
        <is>
          <t>991002038249702656</t>
        </is>
      </c>
      <c r="AY2360" t="inlineStr">
        <is>
          <t>2261099480002656</t>
        </is>
      </c>
      <c r="AZ2360" t="inlineStr">
        <is>
          <t>BOOK</t>
        </is>
      </c>
      <c r="BB2360" t="inlineStr">
        <is>
          <t>9789004096363</t>
        </is>
      </c>
      <c r="BC2360" t="inlineStr">
        <is>
          <t>32285001930345</t>
        </is>
      </c>
      <c r="BD2360" t="inlineStr">
        <is>
          <t>893804155</t>
        </is>
      </c>
    </row>
    <row r="2361">
      <c r="A2361" t="inlineStr">
        <is>
          <t>No</t>
        </is>
      </c>
      <c r="B2361" t="inlineStr">
        <is>
          <t>BX4705.K6 A3 1958</t>
        </is>
      </c>
      <c r="C2361" t="inlineStr">
        <is>
          <t>0                      BX 4705000K  6                  A  3           1958</t>
        </is>
      </c>
      <c r="D2361" t="inlineStr">
        <is>
          <t>A spiritual Aeneid / Ronald Knox ; with a pref. by Evelyn Waugh.</t>
        </is>
      </c>
      <c r="F2361" t="inlineStr">
        <is>
          <t>No</t>
        </is>
      </c>
      <c r="G2361" t="inlineStr">
        <is>
          <t>1</t>
        </is>
      </c>
      <c r="H2361" t="inlineStr">
        <is>
          <t>No</t>
        </is>
      </c>
      <c r="I2361" t="inlineStr">
        <is>
          <t>No</t>
        </is>
      </c>
      <c r="J2361" t="inlineStr">
        <is>
          <t>0</t>
        </is>
      </c>
      <c r="K2361" t="inlineStr">
        <is>
          <t>Knox, Ronald Arbuthnott, 1888-1957.</t>
        </is>
      </c>
      <c r="L2361" t="inlineStr">
        <is>
          <t>New York, Sheed &amp; Ward [1958]</t>
        </is>
      </c>
      <c r="M2361" t="inlineStr">
        <is>
          <t>1958</t>
        </is>
      </c>
      <c r="N2361" t="inlineStr">
        <is>
          <t>New ed.</t>
        </is>
      </c>
      <c r="O2361" t="inlineStr">
        <is>
          <t>eng</t>
        </is>
      </c>
      <c r="P2361" t="inlineStr">
        <is>
          <t xml:space="preserve">xx </t>
        </is>
      </c>
      <c r="Q2361" t="inlineStr">
        <is>
          <t>A Thomas More book to live</t>
        </is>
      </c>
      <c r="R2361" t="inlineStr">
        <is>
          <t xml:space="preserve">BX </t>
        </is>
      </c>
      <c r="S2361" t="n">
        <v>2</v>
      </c>
      <c r="T2361" t="n">
        <v>2</v>
      </c>
      <c r="U2361" t="inlineStr">
        <is>
          <t>2010-07-28</t>
        </is>
      </c>
      <c r="V2361" t="inlineStr">
        <is>
          <t>2010-07-28</t>
        </is>
      </c>
      <c r="W2361" t="inlineStr">
        <is>
          <t>1992-03-17</t>
        </is>
      </c>
      <c r="X2361" t="inlineStr">
        <is>
          <t>1992-03-17</t>
        </is>
      </c>
      <c r="Y2361" t="n">
        <v>145</v>
      </c>
      <c r="Z2361" t="n">
        <v>134</v>
      </c>
      <c r="AA2361" t="n">
        <v>320</v>
      </c>
      <c r="AB2361" t="n">
        <v>2</v>
      </c>
      <c r="AC2361" t="n">
        <v>3</v>
      </c>
      <c r="AD2361" t="n">
        <v>15</v>
      </c>
      <c r="AE2361" t="n">
        <v>31</v>
      </c>
      <c r="AF2361" t="n">
        <v>5</v>
      </c>
      <c r="AG2361" t="n">
        <v>12</v>
      </c>
      <c r="AH2361" t="n">
        <v>4</v>
      </c>
      <c r="AI2361" t="n">
        <v>8</v>
      </c>
      <c r="AJ2361" t="n">
        <v>12</v>
      </c>
      <c r="AK2361" t="n">
        <v>23</v>
      </c>
      <c r="AL2361" t="n">
        <v>0</v>
      </c>
      <c r="AM2361" t="n">
        <v>0</v>
      </c>
      <c r="AN2361" t="n">
        <v>0</v>
      </c>
      <c r="AO2361" t="n">
        <v>0</v>
      </c>
      <c r="AP2361" t="inlineStr">
        <is>
          <t>No</t>
        </is>
      </c>
      <c r="AQ2361" t="inlineStr">
        <is>
          <t>No</t>
        </is>
      </c>
      <c r="AR2361">
        <f>HYPERLINK("http://catalog.hathitrust.org/Record/001592000","HathiTrust Record")</f>
        <v/>
      </c>
      <c r="AS2361">
        <f>HYPERLINK("https://creighton-primo.hosted.exlibrisgroup.com/primo-explore/search?tab=default_tab&amp;search_scope=EVERYTHING&amp;vid=01CRU&amp;lang=en_US&amp;offset=0&amp;query=any,contains,991003852279702656","Catalog Record")</f>
        <v/>
      </c>
      <c r="AT2361">
        <f>HYPERLINK("http://www.worldcat.org/oclc/1647945","WorldCat Record")</f>
        <v/>
      </c>
      <c r="AU2361" t="inlineStr">
        <is>
          <t>1607987:eng</t>
        </is>
      </c>
      <c r="AV2361" t="inlineStr">
        <is>
          <t>1647945</t>
        </is>
      </c>
      <c r="AW2361" t="inlineStr">
        <is>
          <t>991003852279702656</t>
        </is>
      </c>
      <c r="AX2361" t="inlineStr">
        <is>
          <t>991003852279702656</t>
        </is>
      </c>
      <c r="AY2361" t="inlineStr">
        <is>
          <t>2257203680002656</t>
        </is>
      </c>
      <c r="AZ2361" t="inlineStr">
        <is>
          <t>BOOK</t>
        </is>
      </c>
      <c r="BC2361" t="inlineStr">
        <is>
          <t>32285001002517</t>
        </is>
      </c>
      <c r="BD2361" t="inlineStr">
        <is>
          <t>893781521</t>
        </is>
      </c>
    </row>
    <row r="2362">
      <c r="A2362" t="inlineStr">
        <is>
          <t>No</t>
        </is>
      </c>
      <c r="B2362" t="inlineStr">
        <is>
          <t>BX4705.K76 K58 1985</t>
        </is>
      </c>
      <c r="C2362" t="inlineStr">
        <is>
          <t>0                      BX 4705000K  76                 K  58          1985</t>
        </is>
      </c>
      <c r="D2362" t="inlineStr">
        <is>
          <t>Hans Küng / John Kiwiet.</t>
        </is>
      </c>
      <c r="F2362" t="inlineStr">
        <is>
          <t>No</t>
        </is>
      </c>
      <c r="G2362" t="inlineStr">
        <is>
          <t>1</t>
        </is>
      </c>
      <c r="H2362" t="inlineStr">
        <is>
          <t>No</t>
        </is>
      </c>
      <c r="I2362" t="inlineStr">
        <is>
          <t>No</t>
        </is>
      </c>
      <c r="J2362" t="inlineStr">
        <is>
          <t>0</t>
        </is>
      </c>
      <c r="K2362" t="inlineStr">
        <is>
          <t>Kiwiet, John, 1925-</t>
        </is>
      </c>
      <c r="L2362" t="inlineStr">
        <is>
          <t>Waco, Tex. : Word Books, 1985.</t>
        </is>
      </c>
      <c r="M2362" t="inlineStr">
        <is>
          <t>1985</t>
        </is>
      </c>
      <c r="O2362" t="inlineStr">
        <is>
          <t>eng</t>
        </is>
      </c>
      <c r="P2362" t="inlineStr">
        <is>
          <t>txu</t>
        </is>
      </c>
      <c r="Q2362" t="inlineStr">
        <is>
          <t>Makers of the modern theological mind</t>
        </is>
      </c>
      <c r="R2362" t="inlineStr">
        <is>
          <t xml:space="preserve">BX </t>
        </is>
      </c>
      <c r="S2362" t="n">
        <v>3</v>
      </c>
      <c r="T2362" t="n">
        <v>3</v>
      </c>
      <c r="U2362" t="inlineStr">
        <is>
          <t>2006-06-02</t>
        </is>
      </c>
      <c r="V2362" t="inlineStr">
        <is>
          <t>2006-06-02</t>
        </is>
      </c>
      <c r="W2362" t="inlineStr">
        <is>
          <t>1992-03-17</t>
        </is>
      </c>
      <c r="X2362" t="inlineStr">
        <is>
          <t>1992-03-17</t>
        </is>
      </c>
      <c r="Y2362" t="n">
        <v>318</v>
      </c>
      <c r="Z2362" t="n">
        <v>260</v>
      </c>
      <c r="AA2362" t="n">
        <v>289</v>
      </c>
      <c r="AB2362" t="n">
        <v>3</v>
      </c>
      <c r="AC2362" t="n">
        <v>3</v>
      </c>
      <c r="AD2362" t="n">
        <v>13</v>
      </c>
      <c r="AE2362" t="n">
        <v>14</v>
      </c>
      <c r="AF2362" t="n">
        <v>5</v>
      </c>
      <c r="AG2362" t="n">
        <v>6</v>
      </c>
      <c r="AH2362" t="n">
        <v>1</v>
      </c>
      <c r="AI2362" t="n">
        <v>1</v>
      </c>
      <c r="AJ2362" t="n">
        <v>8</v>
      </c>
      <c r="AK2362" t="n">
        <v>8</v>
      </c>
      <c r="AL2362" t="n">
        <v>2</v>
      </c>
      <c r="AM2362" t="n">
        <v>2</v>
      </c>
      <c r="AN2362" t="n">
        <v>0</v>
      </c>
      <c r="AO2362" t="n">
        <v>0</v>
      </c>
      <c r="AP2362" t="inlineStr">
        <is>
          <t>No</t>
        </is>
      </c>
      <c r="AQ2362" t="inlineStr">
        <is>
          <t>Yes</t>
        </is>
      </c>
      <c r="AR2362">
        <f>HYPERLINK("http://catalog.hathitrust.org/Record/000379552","HathiTrust Record")</f>
        <v/>
      </c>
      <c r="AS2362">
        <f>HYPERLINK("https://creighton-primo.hosted.exlibrisgroup.com/primo-explore/search?tab=default_tab&amp;search_scope=EVERYTHING&amp;vid=01CRU&amp;lang=en_US&amp;offset=0&amp;query=any,contains,991000594809702656","Catalog Record")</f>
        <v/>
      </c>
      <c r="AT2362">
        <f>HYPERLINK("http://www.worldcat.org/oclc/11812081","WorldCat Record")</f>
        <v/>
      </c>
      <c r="AU2362" t="inlineStr">
        <is>
          <t>3943268831:eng</t>
        </is>
      </c>
      <c r="AV2362" t="inlineStr">
        <is>
          <t>11812081</t>
        </is>
      </c>
      <c r="AW2362" t="inlineStr">
        <is>
          <t>991000594809702656</t>
        </is>
      </c>
      <c r="AX2362" t="inlineStr">
        <is>
          <t>991000594809702656</t>
        </is>
      </c>
      <c r="AY2362" t="inlineStr">
        <is>
          <t>2260013820002656</t>
        </is>
      </c>
      <c r="AZ2362" t="inlineStr">
        <is>
          <t>BOOK</t>
        </is>
      </c>
      <c r="BB2362" t="inlineStr">
        <is>
          <t>9780849929540</t>
        </is>
      </c>
      <c r="BC2362" t="inlineStr">
        <is>
          <t>32285001002566</t>
        </is>
      </c>
      <c r="BD2362" t="inlineStr">
        <is>
          <t>893502616</t>
        </is>
      </c>
    </row>
    <row r="2363">
      <c r="A2363" t="inlineStr">
        <is>
          <t>No</t>
        </is>
      </c>
      <c r="B2363" t="inlineStr">
        <is>
          <t>BX4705.K8 J6 1942</t>
        </is>
      </c>
      <c r="C2363" t="inlineStr">
        <is>
          <t>0                      BX 4705000K  8                  J  6           1942</t>
        </is>
      </c>
      <c r="D2363" t="inlineStr">
        <is>
          <t>Stuffed saddlebags : the life of Martin Kundig, priest, 1805-1879 / by the Rev. Peter Leo Johnson ; foreword by the most Revered Moses E. Kiley.</t>
        </is>
      </c>
      <c r="F2363" t="inlineStr">
        <is>
          <t>No</t>
        </is>
      </c>
      <c r="G2363" t="inlineStr">
        <is>
          <t>1</t>
        </is>
      </c>
      <c r="H2363" t="inlineStr">
        <is>
          <t>No</t>
        </is>
      </c>
      <c r="I2363" t="inlineStr">
        <is>
          <t>No</t>
        </is>
      </c>
      <c r="J2363" t="inlineStr">
        <is>
          <t>0</t>
        </is>
      </c>
      <c r="K2363" t="inlineStr">
        <is>
          <t>Johnson, Peter Leo.</t>
        </is>
      </c>
      <c r="L2363" t="inlineStr">
        <is>
          <t>Milwaukee : the Bruce Publishing Company, 1942.</t>
        </is>
      </c>
      <c r="M2363" t="inlineStr">
        <is>
          <t>1942</t>
        </is>
      </c>
      <c r="O2363" t="inlineStr">
        <is>
          <t>eng</t>
        </is>
      </c>
      <c r="P2363" t="inlineStr">
        <is>
          <t>miu</t>
        </is>
      </c>
      <c r="R2363" t="inlineStr">
        <is>
          <t xml:space="preserve">BX </t>
        </is>
      </c>
      <c r="S2363" t="n">
        <v>1</v>
      </c>
      <c r="T2363" t="n">
        <v>1</v>
      </c>
      <c r="U2363" t="inlineStr">
        <is>
          <t>1995-06-01</t>
        </is>
      </c>
      <c r="V2363" t="inlineStr">
        <is>
          <t>1995-06-01</t>
        </is>
      </c>
      <c r="W2363" t="inlineStr">
        <is>
          <t>1990-10-01</t>
        </is>
      </c>
      <c r="X2363" t="inlineStr">
        <is>
          <t>1990-10-01</t>
        </is>
      </c>
      <c r="Y2363" t="n">
        <v>79</v>
      </c>
      <c r="Z2363" t="n">
        <v>77</v>
      </c>
      <c r="AA2363" t="n">
        <v>87</v>
      </c>
      <c r="AB2363" t="n">
        <v>1</v>
      </c>
      <c r="AC2363" t="n">
        <v>1</v>
      </c>
      <c r="AD2363" t="n">
        <v>9</v>
      </c>
      <c r="AE2363" t="n">
        <v>9</v>
      </c>
      <c r="AF2363" t="n">
        <v>1</v>
      </c>
      <c r="AG2363" t="n">
        <v>1</v>
      </c>
      <c r="AH2363" t="n">
        <v>3</v>
      </c>
      <c r="AI2363" t="n">
        <v>3</v>
      </c>
      <c r="AJ2363" t="n">
        <v>7</v>
      </c>
      <c r="AK2363" t="n">
        <v>7</v>
      </c>
      <c r="AL2363" t="n">
        <v>0</v>
      </c>
      <c r="AM2363" t="n">
        <v>0</v>
      </c>
      <c r="AN2363" t="n">
        <v>0</v>
      </c>
      <c r="AO2363" t="n">
        <v>0</v>
      </c>
      <c r="AP2363" t="inlineStr">
        <is>
          <t>Yes</t>
        </is>
      </c>
      <c r="AQ2363" t="inlineStr">
        <is>
          <t>No</t>
        </is>
      </c>
      <c r="AR2363">
        <f>HYPERLINK("http://catalog.hathitrust.org/Record/003154734","HathiTrust Record")</f>
        <v/>
      </c>
      <c r="AS2363">
        <f>HYPERLINK("https://creighton-primo.hosted.exlibrisgroup.com/primo-explore/search?tab=default_tab&amp;search_scope=EVERYTHING&amp;vid=01CRU&amp;lang=en_US&amp;offset=0&amp;query=any,contains,991004230979702656","Catalog Record")</f>
        <v/>
      </c>
      <c r="AT2363">
        <f>HYPERLINK("http://www.worldcat.org/oclc/2746546","WorldCat Record")</f>
        <v/>
      </c>
      <c r="AU2363" t="inlineStr">
        <is>
          <t>6296702:eng</t>
        </is>
      </c>
      <c r="AV2363" t="inlineStr">
        <is>
          <t>2746546</t>
        </is>
      </c>
      <c r="AW2363" t="inlineStr">
        <is>
          <t>991004230979702656</t>
        </is>
      </c>
      <c r="AX2363" t="inlineStr">
        <is>
          <t>991004230979702656</t>
        </is>
      </c>
      <c r="AY2363" t="inlineStr">
        <is>
          <t>2259149890002656</t>
        </is>
      </c>
      <c r="AZ2363" t="inlineStr">
        <is>
          <t>BOOK</t>
        </is>
      </c>
      <c r="BC2363" t="inlineStr">
        <is>
          <t>32285000278761</t>
        </is>
      </c>
      <c r="BD2363" t="inlineStr">
        <is>
          <t>893794631</t>
        </is>
      </c>
    </row>
    <row r="2364">
      <c r="A2364" t="inlineStr">
        <is>
          <t>No</t>
        </is>
      </c>
      <c r="B2364" t="inlineStr">
        <is>
          <t>BX4705.L237 A3 1954</t>
        </is>
      </c>
      <c r="C2364" t="inlineStr">
        <is>
          <t>0                      BX 4705000L  237                A  3           1954</t>
        </is>
      </c>
      <c r="D2364" t="inlineStr">
        <is>
          <t>The manner is ordinary.</t>
        </is>
      </c>
      <c r="F2364" t="inlineStr">
        <is>
          <t>No</t>
        </is>
      </c>
      <c r="G2364" t="inlineStr">
        <is>
          <t>1</t>
        </is>
      </c>
      <c r="H2364" t="inlineStr">
        <is>
          <t>No</t>
        </is>
      </c>
      <c r="I2364" t="inlineStr">
        <is>
          <t>No</t>
        </is>
      </c>
      <c r="J2364" t="inlineStr">
        <is>
          <t>0</t>
        </is>
      </c>
      <c r="K2364" t="inlineStr">
        <is>
          <t>La Farge, John, 1880-1963.</t>
        </is>
      </c>
      <c r="L2364" t="inlineStr">
        <is>
          <t>New York : Harcourt, Brace, [1954]</t>
        </is>
      </c>
      <c r="M2364" t="inlineStr">
        <is>
          <t>1954</t>
        </is>
      </c>
      <c r="N2364" t="inlineStr">
        <is>
          <t>[1st ed.]</t>
        </is>
      </c>
      <c r="O2364" t="inlineStr">
        <is>
          <t>eng</t>
        </is>
      </c>
      <c r="P2364" t="inlineStr">
        <is>
          <t xml:space="preserve">xx </t>
        </is>
      </c>
      <c r="R2364" t="inlineStr">
        <is>
          <t xml:space="preserve">BX </t>
        </is>
      </c>
      <c r="S2364" t="n">
        <v>2</v>
      </c>
      <c r="T2364" t="n">
        <v>2</v>
      </c>
      <c r="U2364" t="inlineStr">
        <is>
          <t>2007-02-14</t>
        </is>
      </c>
      <c r="V2364" t="inlineStr">
        <is>
          <t>2007-02-14</t>
        </is>
      </c>
      <c r="W2364" t="inlineStr">
        <is>
          <t>1992-03-17</t>
        </is>
      </c>
      <c r="X2364" t="inlineStr">
        <is>
          <t>1992-03-17</t>
        </is>
      </c>
      <c r="Y2364" t="n">
        <v>617</v>
      </c>
      <c r="Z2364" t="n">
        <v>545</v>
      </c>
      <c r="AA2364" t="n">
        <v>587</v>
      </c>
      <c r="AB2364" t="n">
        <v>2</v>
      </c>
      <c r="AC2364" t="n">
        <v>2</v>
      </c>
      <c r="AD2364" t="n">
        <v>34</v>
      </c>
      <c r="AE2364" t="n">
        <v>34</v>
      </c>
      <c r="AF2364" t="n">
        <v>11</v>
      </c>
      <c r="AG2364" t="n">
        <v>11</v>
      </c>
      <c r="AH2364" t="n">
        <v>8</v>
      </c>
      <c r="AI2364" t="n">
        <v>8</v>
      </c>
      <c r="AJ2364" t="n">
        <v>26</v>
      </c>
      <c r="AK2364" t="n">
        <v>26</v>
      </c>
      <c r="AL2364" t="n">
        <v>1</v>
      </c>
      <c r="AM2364" t="n">
        <v>1</v>
      </c>
      <c r="AN2364" t="n">
        <v>0</v>
      </c>
      <c r="AO2364" t="n">
        <v>0</v>
      </c>
      <c r="AP2364" t="inlineStr">
        <is>
          <t>No</t>
        </is>
      </c>
      <c r="AQ2364" t="inlineStr">
        <is>
          <t>Yes</t>
        </is>
      </c>
      <c r="AR2364">
        <f>HYPERLINK("http://catalog.hathitrust.org/Record/001592013","HathiTrust Record")</f>
        <v/>
      </c>
      <c r="AS2364">
        <f>HYPERLINK("https://creighton-primo.hosted.exlibrisgroup.com/primo-explore/search?tab=default_tab&amp;search_scope=EVERYTHING&amp;vid=01CRU&amp;lang=en_US&amp;offset=0&amp;query=any,contains,991003640049702656","Catalog Record")</f>
        <v/>
      </c>
      <c r="AT2364">
        <f>HYPERLINK("http://www.worldcat.org/oclc/1236637","WorldCat Record")</f>
        <v/>
      </c>
      <c r="AU2364" t="inlineStr">
        <is>
          <t>2138606:eng</t>
        </is>
      </c>
      <c r="AV2364" t="inlineStr">
        <is>
          <t>1236637</t>
        </is>
      </c>
      <c r="AW2364" t="inlineStr">
        <is>
          <t>991003640049702656</t>
        </is>
      </c>
      <c r="AX2364" t="inlineStr">
        <is>
          <t>991003640049702656</t>
        </is>
      </c>
      <c r="AY2364" t="inlineStr">
        <is>
          <t>2265725070002656</t>
        </is>
      </c>
      <c r="AZ2364" t="inlineStr">
        <is>
          <t>BOOK</t>
        </is>
      </c>
      <c r="BC2364" t="inlineStr">
        <is>
          <t>32285001002608</t>
        </is>
      </c>
      <c r="BD2364" t="inlineStr">
        <is>
          <t>893410495</t>
        </is>
      </c>
    </row>
    <row r="2365">
      <c r="A2365" t="inlineStr">
        <is>
          <t>No</t>
        </is>
      </c>
      <c r="B2365" t="inlineStr">
        <is>
          <t>BX4705.L253 M6613 2006</t>
        </is>
      </c>
      <c r="C2365" t="inlineStr">
        <is>
          <t>0                      BX 4705000L  253                M  6613        2006</t>
        </is>
      </c>
      <c r="D2365" t="inlineStr">
        <is>
          <t>The story of Father Marie-Joseph Lagrange : founder of modern Catholic Bible study / Bernard Montagnes ; translated by Benedict Viviano ; [edited for the American edition by Shirley L. Wagner.]</t>
        </is>
      </c>
      <c r="F2365" t="inlineStr">
        <is>
          <t>No</t>
        </is>
      </c>
      <c r="G2365" t="inlineStr">
        <is>
          <t>1</t>
        </is>
      </c>
      <c r="H2365" t="inlineStr">
        <is>
          <t>No</t>
        </is>
      </c>
      <c r="I2365" t="inlineStr">
        <is>
          <t>No</t>
        </is>
      </c>
      <c r="J2365" t="inlineStr">
        <is>
          <t>0</t>
        </is>
      </c>
      <c r="K2365" t="inlineStr">
        <is>
          <t>Montagnes, Bernard.</t>
        </is>
      </c>
      <c r="L2365" t="inlineStr">
        <is>
          <t>New York : Paulist Press, c2006.</t>
        </is>
      </c>
      <c r="M2365" t="inlineStr">
        <is>
          <t>2006</t>
        </is>
      </c>
      <c r="N2365" t="inlineStr">
        <is>
          <t>American ed.</t>
        </is>
      </c>
      <c r="O2365" t="inlineStr">
        <is>
          <t>eng</t>
        </is>
      </c>
      <c r="P2365" t="inlineStr">
        <is>
          <t>nyu</t>
        </is>
      </c>
      <c r="R2365" t="inlineStr">
        <is>
          <t xml:space="preserve">BX </t>
        </is>
      </c>
      <c r="S2365" t="n">
        <v>1</v>
      </c>
      <c r="T2365" t="n">
        <v>1</v>
      </c>
      <c r="U2365" t="inlineStr">
        <is>
          <t>2006-12-11</t>
        </is>
      </c>
      <c r="V2365" t="inlineStr">
        <is>
          <t>2006-12-11</t>
        </is>
      </c>
      <c r="W2365" t="inlineStr">
        <is>
          <t>2006-12-11</t>
        </is>
      </c>
      <c r="X2365" t="inlineStr">
        <is>
          <t>2006-12-11</t>
        </is>
      </c>
      <c r="Y2365" t="n">
        <v>98</v>
      </c>
      <c r="Z2365" t="n">
        <v>90</v>
      </c>
      <c r="AA2365" t="n">
        <v>91</v>
      </c>
      <c r="AB2365" t="n">
        <v>1</v>
      </c>
      <c r="AC2365" t="n">
        <v>1</v>
      </c>
      <c r="AD2365" t="n">
        <v>13</v>
      </c>
      <c r="AE2365" t="n">
        <v>13</v>
      </c>
      <c r="AF2365" t="n">
        <v>4</v>
      </c>
      <c r="AG2365" t="n">
        <v>4</v>
      </c>
      <c r="AH2365" t="n">
        <v>4</v>
      </c>
      <c r="AI2365" t="n">
        <v>4</v>
      </c>
      <c r="AJ2365" t="n">
        <v>8</v>
      </c>
      <c r="AK2365" t="n">
        <v>8</v>
      </c>
      <c r="AL2365" t="n">
        <v>0</v>
      </c>
      <c r="AM2365" t="n">
        <v>0</v>
      </c>
      <c r="AN2365" t="n">
        <v>0</v>
      </c>
      <c r="AO2365" t="n">
        <v>0</v>
      </c>
      <c r="AP2365" t="inlineStr">
        <is>
          <t>No</t>
        </is>
      </c>
      <c r="AQ2365" t="inlineStr">
        <is>
          <t>No</t>
        </is>
      </c>
      <c r="AS2365">
        <f>HYPERLINK("https://creighton-primo.hosted.exlibrisgroup.com/primo-explore/search?tab=default_tab&amp;search_scope=EVERYTHING&amp;vid=01CRU&amp;lang=en_US&amp;offset=0&amp;query=any,contains,991004970049702656","Catalog Record")</f>
        <v/>
      </c>
      <c r="AT2365">
        <f>HYPERLINK("http://www.worldcat.org/oclc/57193017","WorldCat Record")</f>
        <v/>
      </c>
      <c r="AU2365" t="inlineStr">
        <is>
          <t>8910064847:eng</t>
        </is>
      </c>
      <c r="AV2365" t="inlineStr">
        <is>
          <t>57193017</t>
        </is>
      </c>
      <c r="AW2365" t="inlineStr">
        <is>
          <t>991004970049702656</t>
        </is>
      </c>
      <c r="AX2365" t="inlineStr">
        <is>
          <t>991004970049702656</t>
        </is>
      </c>
      <c r="AY2365" t="inlineStr">
        <is>
          <t>2265924530002656</t>
        </is>
      </c>
      <c r="AZ2365" t="inlineStr">
        <is>
          <t>BOOK</t>
        </is>
      </c>
      <c r="BB2365" t="inlineStr">
        <is>
          <t>9780809143337</t>
        </is>
      </c>
      <c r="BC2365" t="inlineStr">
        <is>
          <t>32285005265664</t>
        </is>
      </c>
      <c r="BD2365" t="inlineStr">
        <is>
          <t>893319839</t>
        </is>
      </c>
    </row>
    <row r="2366">
      <c r="A2366" t="inlineStr">
        <is>
          <t>No</t>
        </is>
      </c>
      <c r="B2366" t="inlineStr">
        <is>
          <t>BX4705.L35 M3 1948</t>
        </is>
      </c>
      <c r="C2366" t="inlineStr">
        <is>
          <t>0                      BX 4705000L  35                 M  3           1948</t>
        </is>
      </c>
      <c r="D2366" t="inlineStr">
        <is>
          <t>A fire was lighted : the life of Rose Hawthorne Lathrop.</t>
        </is>
      </c>
      <c r="F2366" t="inlineStr">
        <is>
          <t>No</t>
        </is>
      </c>
      <c r="G2366" t="inlineStr">
        <is>
          <t>1</t>
        </is>
      </c>
      <c r="H2366" t="inlineStr">
        <is>
          <t>No</t>
        </is>
      </c>
      <c r="I2366" t="inlineStr">
        <is>
          <t>No</t>
        </is>
      </c>
      <c r="J2366" t="inlineStr">
        <is>
          <t>0</t>
        </is>
      </c>
      <c r="K2366" t="inlineStr">
        <is>
          <t>Maynard, Theodore, 1890-1956.</t>
        </is>
      </c>
      <c r="L2366" t="inlineStr">
        <is>
          <t>Milwaukee : Bruce Pub. Co., [1948]</t>
        </is>
      </c>
      <c r="M2366" t="inlineStr">
        <is>
          <t>1948</t>
        </is>
      </c>
      <c r="O2366" t="inlineStr">
        <is>
          <t>eng</t>
        </is>
      </c>
      <c r="P2366" t="inlineStr">
        <is>
          <t>wiu</t>
        </is>
      </c>
      <c r="R2366" t="inlineStr">
        <is>
          <t xml:space="preserve">BX </t>
        </is>
      </c>
      <c r="S2366" t="n">
        <v>1</v>
      </c>
      <c r="T2366" t="n">
        <v>1</v>
      </c>
      <c r="U2366" t="inlineStr">
        <is>
          <t>2009-01-07</t>
        </is>
      </c>
      <c r="V2366" t="inlineStr">
        <is>
          <t>2009-01-07</t>
        </is>
      </c>
      <c r="W2366" t="inlineStr">
        <is>
          <t>1992-03-17</t>
        </is>
      </c>
      <c r="X2366" t="inlineStr">
        <is>
          <t>1992-03-17</t>
        </is>
      </c>
      <c r="Y2366" t="n">
        <v>312</v>
      </c>
      <c r="Z2366" t="n">
        <v>295</v>
      </c>
      <c r="AA2366" t="n">
        <v>306</v>
      </c>
      <c r="AB2366" t="n">
        <v>3</v>
      </c>
      <c r="AC2366" t="n">
        <v>3</v>
      </c>
      <c r="AD2366" t="n">
        <v>26</v>
      </c>
      <c r="AE2366" t="n">
        <v>26</v>
      </c>
      <c r="AF2366" t="n">
        <v>9</v>
      </c>
      <c r="AG2366" t="n">
        <v>9</v>
      </c>
      <c r="AH2366" t="n">
        <v>7</v>
      </c>
      <c r="AI2366" t="n">
        <v>7</v>
      </c>
      <c r="AJ2366" t="n">
        <v>19</v>
      </c>
      <c r="AK2366" t="n">
        <v>19</v>
      </c>
      <c r="AL2366" t="n">
        <v>0</v>
      </c>
      <c r="AM2366" t="n">
        <v>0</v>
      </c>
      <c r="AN2366" t="n">
        <v>0</v>
      </c>
      <c r="AO2366" t="n">
        <v>0</v>
      </c>
      <c r="AP2366" t="inlineStr">
        <is>
          <t>Yes</t>
        </is>
      </c>
      <c r="AQ2366" t="inlineStr">
        <is>
          <t>No</t>
        </is>
      </c>
      <c r="AR2366">
        <f>HYPERLINK("http://catalog.hathitrust.org/Record/003572263","HathiTrust Record")</f>
        <v/>
      </c>
      <c r="AS2366">
        <f>HYPERLINK("https://creighton-primo.hosted.exlibrisgroup.com/primo-explore/search?tab=default_tab&amp;search_scope=EVERYTHING&amp;vid=01CRU&amp;lang=en_US&amp;offset=0&amp;query=any,contains,991003622159702656","Catalog Record")</f>
        <v/>
      </c>
      <c r="AT2366">
        <f>HYPERLINK("http://www.worldcat.org/oclc/1210217","WorldCat Record")</f>
        <v/>
      </c>
      <c r="AU2366" t="inlineStr">
        <is>
          <t>363521:eng</t>
        </is>
      </c>
      <c r="AV2366" t="inlineStr">
        <is>
          <t>1210217</t>
        </is>
      </c>
      <c r="AW2366" t="inlineStr">
        <is>
          <t>991003622159702656</t>
        </is>
      </c>
      <c r="AX2366" t="inlineStr">
        <is>
          <t>991003622159702656</t>
        </is>
      </c>
      <c r="AY2366" t="inlineStr">
        <is>
          <t>2266564240002656</t>
        </is>
      </c>
      <c r="AZ2366" t="inlineStr">
        <is>
          <t>BOOK</t>
        </is>
      </c>
      <c r="BC2366" t="inlineStr">
        <is>
          <t>32285001002665</t>
        </is>
      </c>
      <c r="BD2366" t="inlineStr">
        <is>
          <t>893900185</t>
        </is>
      </c>
    </row>
    <row r="2367">
      <c r="A2367" t="inlineStr">
        <is>
          <t>No</t>
        </is>
      </c>
      <c r="B2367" t="inlineStr">
        <is>
          <t>BX4705.L6323 Y93 1976</t>
        </is>
      </c>
      <c r="C2367" t="inlineStr">
        <is>
          <t>0                      BX 4705000L  6323               Y  93          1976</t>
        </is>
      </c>
      <c r="D2367" t="inlineStr">
        <is>
          <t>The people I love : a biography of Luigi G. Ligutti / Vincent A. Yzermans.</t>
        </is>
      </c>
      <c r="F2367" t="inlineStr">
        <is>
          <t>No</t>
        </is>
      </c>
      <c r="G2367" t="inlineStr">
        <is>
          <t>1</t>
        </is>
      </c>
      <c r="H2367" t="inlineStr">
        <is>
          <t>No</t>
        </is>
      </c>
      <c r="I2367" t="inlineStr">
        <is>
          <t>No</t>
        </is>
      </c>
      <c r="J2367" t="inlineStr">
        <is>
          <t>0</t>
        </is>
      </c>
      <c r="K2367" t="inlineStr">
        <is>
          <t>Yzermans, Vincent A. (Vincent Arthur), 1925-</t>
        </is>
      </c>
      <c r="L2367" t="inlineStr">
        <is>
          <t>Collegeville, Minn. : Liturgical Press, c1976.</t>
        </is>
      </c>
      <c r="M2367" t="inlineStr">
        <is>
          <t>1976</t>
        </is>
      </c>
      <c r="O2367" t="inlineStr">
        <is>
          <t>eng</t>
        </is>
      </c>
      <c r="P2367" t="inlineStr">
        <is>
          <t>mnu</t>
        </is>
      </c>
      <c r="R2367" t="inlineStr">
        <is>
          <t xml:space="preserve">BX </t>
        </is>
      </c>
      <c r="S2367" t="n">
        <v>3</v>
      </c>
      <c r="T2367" t="n">
        <v>3</v>
      </c>
      <c r="U2367" t="inlineStr">
        <is>
          <t>1997-08-20</t>
        </is>
      </c>
      <c r="V2367" t="inlineStr">
        <is>
          <t>1997-08-20</t>
        </is>
      </c>
      <c r="W2367" t="inlineStr">
        <is>
          <t>1997-09-30</t>
        </is>
      </c>
      <c r="X2367" t="inlineStr">
        <is>
          <t>1997-09-30</t>
        </is>
      </c>
      <c r="Y2367" t="n">
        <v>69</v>
      </c>
      <c r="Z2367" t="n">
        <v>67</v>
      </c>
      <c r="AA2367" t="n">
        <v>68</v>
      </c>
      <c r="AB2367" t="n">
        <v>2</v>
      </c>
      <c r="AC2367" t="n">
        <v>2</v>
      </c>
      <c r="AD2367" t="n">
        <v>12</v>
      </c>
      <c r="AE2367" t="n">
        <v>12</v>
      </c>
      <c r="AF2367" t="n">
        <v>2</v>
      </c>
      <c r="AG2367" t="n">
        <v>2</v>
      </c>
      <c r="AH2367" t="n">
        <v>5</v>
      </c>
      <c r="AI2367" t="n">
        <v>5</v>
      </c>
      <c r="AJ2367" t="n">
        <v>7</v>
      </c>
      <c r="AK2367" t="n">
        <v>7</v>
      </c>
      <c r="AL2367" t="n">
        <v>1</v>
      </c>
      <c r="AM2367" t="n">
        <v>1</v>
      </c>
      <c r="AN2367" t="n">
        <v>0</v>
      </c>
      <c r="AO2367" t="n">
        <v>0</v>
      </c>
      <c r="AP2367" t="inlineStr">
        <is>
          <t>No</t>
        </is>
      </c>
      <c r="AQ2367" t="inlineStr">
        <is>
          <t>Yes</t>
        </is>
      </c>
      <c r="AR2367">
        <f>HYPERLINK("http://catalog.hathitrust.org/Record/006922799","HathiTrust Record")</f>
        <v/>
      </c>
      <c r="AS2367">
        <f>HYPERLINK("https://creighton-primo.hosted.exlibrisgroup.com/primo-explore/search?tab=default_tab&amp;search_scope=EVERYTHING&amp;vid=01CRU&amp;lang=en_US&amp;offset=0&amp;query=any,contains,991004126519702656","Catalog Record")</f>
        <v/>
      </c>
      <c r="AT2367">
        <f>HYPERLINK("http://www.worldcat.org/oclc/2461068","WorldCat Record")</f>
        <v/>
      </c>
      <c r="AU2367" t="inlineStr">
        <is>
          <t>4948279:eng</t>
        </is>
      </c>
      <c r="AV2367" t="inlineStr">
        <is>
          <t>2461068</t>
        </is>
      </c>
      <c r="AW2367" t="inlineStr">
        <is>
          <t>991004126519702656</t>
        </is>
      </c>
      <c r="AX2367" t="inlineStr">
        <is>
          <t>991004126519702656</t>
        </is>
      </c>
      <c r="AY2367" t="inlineStr">
        <is>
          <t>2270586600002656</t>
        </is>
      </c>
      <c r="AZ2367" t="inlineStr">
        <is>
          <t>BOOK</t>
        </is>
      </c>
      <c r="BB2367" t="inlineStr">
        <is>
          <t>9780814608951</t>
        </is>
      </c>
      <c r="BC2367" t="inlineStr">
        <is>
          <t>32285003205001</t>
        </is>
      </c>
      <c r="BD2367" t="inlineStr">
        <is>
          <t>893869322</t>
        </is>
      </c>
    </row>
    <row r="2368">
      <c r="A2368" t="inlineStr">
        <is>
          <t>No</t>
        </is>
      </c>
      <c r="B2368" t="inlineStr">
        <is>
          <t>BX4705.L6334 C47</t>
        </is>
      </c>
      <c r="C2368" t="inlineStr">
        <is>
          <t>0                      BX 4705000L  6334               C  47</t>
        </is>
      </c>
      <c r="D2368" t="inlineStr">
        <is>
          <t>The English Catholic enlightenment : John Lingard and the Cisalpine movement, 1780-1850 / Joseph P. Chinnici.</t>
        </is>
      </c>
      <c r="F2368" t="inlineStr">
        <is>
          <t>No</t>
        </is>
      </c>
      <c r="G2368" t="inlineStr">
        <is>
          <t>1</t>
        </is>
      </c>
      <c r="H2368" t="inlineStr">
        <is>
          <t>No</t>
        </is>
      </c>
      <c r="I2368" t="inlineStr">
        <is>
          <t>No</t>
        </is>
      </c>
      <c r="J2368" t="inlineStr">
        <is>
          <t>0</t>
        </is>
      </c>
      <c r="K2368" t="inlineStr">
        <is>
          <t>Chinnici, Joseph P.</t>
        </is>
      </c>
      <c r="L2368" t="inlineStr">
        <is>
          <t>Shepherdstown, [W. Va.] : Patmos Press, 1980.</t>
        </is>
      </c>
      <c r="M2368" t="inlineStr">
        <is>
          <t>1980</t>
        </is>
      </c>
      <c r="O2368" t="inlineStr">
        <is>
          <t>eng</t>
        </is>
      </c>
      <c r="P2368" t="inlineStr">
        <is>
          <t>wvu</t>
        </is>
      </c>
      <c r="R2368" t="inlineStr">
        <is>
          <t xml:space="preserve">BX </t>
        </is>
      </c>
      <c r="S2368" t="n">
        <v>5</v>
      </c>
      <c r="T2368" t="n">
        <v>5</v>
      </c>
      <c r="U2368" t="inlineStr">
        <is>
          <t>2006-03-01</t>
        </is>
      </c>
      <c r="V2368" t="inlineStr">
        <is>
          <t>2006-03-01</t>
        </is>
      </c>
      <c r="W2368" t="inlineStr">
        <is>
          <t>1990-07-13</t>
        </is>
      </c>
      <c r="X2368" t="inlineStr">
        <is>
          <t>1990-07-13</t>
        </is>
      </c>
      <c r="Y2368" t="n">
        <v>356</v>
      </c>
      <c r="Z2368" t="n">
        <v>297</v>
      </c>
      <c r="AA2368" t="n">
        <v>304</v>
      </c>
      <c r="AB2368" t="n">
        <v>1</v>
      </c>
      <c r="AC2368" t="n">
        <v>1</v>
      </c>
      <c r="AD2368" t="n">
        <v>29</v>
      </c>
      <c r="AE2368" t="n">
        <v>29</v>
      </c>
      <c r="AF2368" t="n">
        <v>9</v>
      </c>
      <c r="AG2368" t="n">
        <v>9</v>
      </c>
      <c r="AH2368" t="n">
        <v>9</v>
      </c>
      <c r="AI2368" t="n">
        <v>9</v>
      </c>
      <c r="AJ2368" t="n">
        <v>22</v>
      </c>
      <c r="AK2368" t="n">
        <v>22</v>
      </c>
      <c r="AL2368" t="n">
        <v>0</v>
      </c>
      <c r="AM2368" t="n">
        <v>0</v>
      </c>
      <c r="AN2368" t="n">
        <v>0</v>
      </c>
      <c r="AO2368" t="n">
        <v>0</v>
      </c>
      <c r="AP2368" t="inlineStr">
        <is>
          <t>No</t>
        </is>
      </c>
      <c r="AQ2368" t="inlineStr">
        <is>
          <t>Yes</t>
        </is>
      </c>
      <c r="AR2368">
        <f>HYPERLINK("http://catalog.hathitrust.org/Record/000713265","HathiTrust Record")</f>
        <v/>
      </c>
      <c r="AS2368">
        <f>HYPERLINK("https://creighton-primo.hosted.exlibrisgroup.com/primo-explore/search?tab=default_tab&amp;search_scope=EVERYTHING&amp;vid=01CRU&amp;lang=en_US&amp;offset=0&amp;query=any,contains,991004825989702656","Catalog Record")</f>
        <v/>
      </c>
      <c r="AT2368">
        <f>HYPERLINK("http://www.worldcat.org/oclc/5353654","WorldCat Record")</f>
        <v/>
      </c>
      <c r="AU2368" t="inlineStr">
        <is>
          <t>365395085:eng</t>
        </is>
      </c>
      <c r="AV2368" t="inlineStr">
        <is>
          <t>5353654</t>
        </is>
      </c>
      <c r="AW2368" t="inlineStr">
        <is>
          <t>991004825989702656</t>
        </is>
      </c>
      <c r="AX2368" t="inlineStr">
        <is>
          <t>991004825989702656</t>
        </is>
      </c>
      <c r="AY2368" t="inlineStr">
        <is>
          <t>2257457540002656</t>
        </is>
      </c>
      <c r="AZ2368" t="inlineStr">
        <is>
          <t>BOOK</t>
        </is>
      </c>
      <c r="BB2368" t="inlineStr">
        <is>
          <t>9780915762101</t>
        </is>
      </c>
      <c r="BC2368" t="inlineStr">
        <is>
          <t>32285000236900</t>
        </is>
      </c>
      <c r="BD2368" t="inlineStr">
        <is>
          <t>893350425</t>
        </is>
      </c>
    </row>
    <row r="2369">
      <c r="A2369" t="inlineStr">
        <is>
          <t>No</t>
        </is>
      </c>
      <c r="B2369" t="inlineStr">
        <is>
          <t>BX4705.L6745 F34 1993</t>
        </is>
      </c>
      <c r="C2369" t="inlineStr">
        <is>
          <t>0                      BX 4705000L  6745               F  34          1993</t>
        </is>
      </c>
      <c r="D2369" t="inlineStr">
        <is>
          <t>An Irish bishop in penal times : the chequered career of Sylvester Lloyd OFM, 1680-1747 / Patrick Fagan.</t>
        </is>
      </c>
      <c r="F2369" t="inlineStr">
        <is>
          <t>No</t>
        </is>
      </c>
      <c r="G2369" t="inlineStr">
        <is>
          <t>1</t>
        </is>
      </c>
      <c r="H2369" t="inlineStr">
        <is>
          <t>No</t>
        </is>
      </c>
      <c r="I2369" t="inlineStr">
        <is>
          <t>No</t>
        </is>
      </c>
      <c r="J2369" t="inlineStr">
        <is>
          <t>0</t>
        </is>
      </c>
      <c r="K2369" t="inlineStr">
        <is>
          <t>Fagan, Patrick.</t>
        </is>
      </c>
      <c r="L2369" t="inlineStr">
        <is>
          <t>Dublin : Four Courts Press, c1993.</t>
        </is>
      </c>
      <c r="M2369" t="inlineStr">
        <is>
          <t>1993</t>
        </is>
      </c>
      <c r="O2369" t="inlineStr">
        <is>
          <t>eng</t>
        </is>
      </c>
      <c r="P2369" t="inlineStr">
        <is>
          <t xml:space="preserve">ie </t>
        </is>
      </c>
      <c r="R2369" t="inlineStr">
        <is>
          <t xml:space="preserve">BX </t>
        </is>
      </c>
      <c r="S2369" t="n">
        <v>2</v>
      </c>
      <c r="T2369" t="n">
        <v>2</v>
      </c>
      <c r="U2369" t="inlineStr">
        <is>
          <t>1997-11-24</t>
        </is>
      </c>
      <c r="V2369" t="inlineStr">
        <is>
          <t>1997-11-24</t>
        </is>
      </c>
      <c r="W2369" t="inlineStr">
        <is>
          <t>1997-11-07</t>
        </is>
      </c>
      <c r="X2369" t="inlineStr">
        <is>
          <t>1997-11-07</t>
        </is>
      </c>
      <c r="Y2369" t="n">
        <v>95</v>
      </c>
      <c r="Z2369" t="n">
        <v>65</v>
      </c>
      <c r="AA2369" t="n">
        <v>67</v>
      </c>
      <c r="AB2369" t="n">
        <v>1</v>
      </c>
      <c r="AC2369" t="n">
        <v>1</v>
      </c>
      <c r="AD2369" t="n">
        <v>9</v>
      </c>
      <c r="AE2369" t="n">
        <v>9</v>
      </c>
      <c r="AF2369" t="n">
        <v>2</v>
      </c>
      <c r="AG2369" t="n">
        <v>2</v>
      </c>
      <c r="AH2369" t="n">
        <v>3</v>
      </c>
      <c r="AI2369" t="n">
        <v>3</v>
      </c>
      <c r="AJ2369" t="n">
        <v>7</v>
      </c>
      <c r="AK2369" t="n">
        <v>7</v>
      </c>
      <c r="AL2369" t="n">
        <v>0</v>
      </c>
      <c r="AM2369" t="n">
        <v>0</v>
      </c>
      <c r="AN2369" t="n">
        <v>0</v>
      </c>
      <c r="AO2369" t="n">
        <v>0</v>
      </c>
      <c r="AP2369" t="inlineStr">
        <is>
          <t>No</t>
        </is>
      </c>
      <c r="AQ2369" t="inlineStr">
        <is>
          <t>Yes</t>
        </is>
      </c>
      <c r="AR2369">
        <f>HYPERLINK("http://catalog.hathitrust.org/Record/002873229","HathiTrust Record")</f>
        <v/>
      </c>
      <c r="AS2369">
        <f>HYPERLINK("https://creighton-primo.hosted.exlibrisgroup.com/primo-explore/search?tab=default_tab&amp;search_scope=EVERYTHING&amp;vid=01CRU&amp;lang=en_US&amp;offset=0&amp;query=any,contains,991002355229702656","Catalog Record")</f>
        <v/>
      </c>
      <c r="AT2369">
        <f>HYPERLINK("http://www.worldcat.org/oclc/30663615","WorldCat Record")</f>
        <v/>
      </c>
      <c r="AU2369" t="inlineStr">
        <is>
          <t>316465419:eng</t>
        </is>
      </c>
      <c r="AV2369" t="inlineStr">
        <is>
          <t>30663615</t>
        </is>
      </c>
      <c r="AW2369" t="inlineStr">
        <is>
          <t>991002355229702656</t>
        </is>
      </c>
      <c r="AX2369" t="inlineStr">
        <is>
          <t>991002355229702656</t>
        </is>
      </c>
      <c r="AY2369" t="inlineStr">
        <is>
          <t>2265570790002656</t>
        </is>
      </c>
      <c r="AZ2369" t="inlineStr">
        <is>
          <t>BOOK</t>
        </is>
      </c>
      <c r="BB2369" t="inlineStr">
        <is>
          <t>9781851821303</t>
        </is>
      </c>
      <c r="BC2369" t="inlineStr">
        <is>
          <t>32285003278040</t>
        </is>
      </c>
      <c r="BD2369" t="inlineStr">
        <is>
          <t>893786038</t>
        </is>
      </c>
    </row>
    <row r="2370">
      <c r="A2370" t="inlineStr">
        <is>
          <t>No</t>
        </is>
      </c>
      <c r="B2370" t="inlineStr">
        <is>
          <t>BX4705.L7 A3 1968</t>
        </is>
      </c>
      <c r="C2370" t="inlineStr">
        <is>
          <t>0                      BX 4705000L  7                  A  3           1968</t>
        </is>
      </c>
      <c r="D2370" t="inlineStr">
        <is>
          <t>My duel with the Vatican : the autobiography of a Catholic modernist / by Alfred Loisy ; authorized translation by Richard Wilson Boynton. With a new introd. by E. Harold Smith.</t>
        </is>
      </c>
      <c r="F2370" t="inlineStr">
        <is>
          <t>No</t>
        </is>
      </c>
      <c r="G2370" t="inlineStr">
        <is>
          <t>1</t>
        </is>
      </c>
      <c r="H2370" t="inlineStr">
        <is>
          <t>No</t>
        </is>
      </c>
      <c r="I2370" t="inlineStr">
        <is>
          <t>No</t>
        </is>
      </c>
      <c r="J2370" t="inlineStr">
        <is>
          <t>0</t>
        </is>
      </c>
      <c r="K2370" t="inlineStr">
        <is>
          <t>Loisy, Alfred, 1857-1940.</t>
        </is>
      </c>
      <c r="L2370" t="inlineStr">
        <is>
          <t>New York : Greenwood Press, 1968 [c1924]</t>
        </is>
      </c>
      <c r="M2370" t="inlineStr">
        <is>
          <t>1968</t>
        </is>
      </c>
      <c r="O2370" t="inlineStr">
        <is>
          <t>eng</t>
        </is>
      </c>
      <c r="P2370" t="inlineStr">
        <is>
          <t>nyu</t>
        </is>
      </c>
      <c r="R2370" t="inlineStr">
        <is>
          <t xml:space="preserve">BX </t>
        </is>
      </c>
      <c r="S2370" t="n">
        <v>5</v>
      </c>
      <c r="T2370" t="n">
        <v>5</v>
      </c>
      <c r="U2370" t="inlineStr">
        <is>
          <t>2004-04-28</t>
        </is>
      </c>
      <c r="V2370" t="inlineStr">
        <is>
          <t>2004-04-28</t>
        </is>
      </c>
      <c r="W2370" t="inlineStr">
        <is>
          <t>1992-03-17</t>
        </is>
      </c>
      <c r="X2370" t="inlineStr">
        <is>
          <t>1992-03-17</t>
        </is>
      </c>
      <c r="Y2370" t="n">
        <v>215</v>
      </c>
      <c r="Z2370" t="n">
        <v>184</v>
      </c>
      <c r="AA2370" t="n">
        <v>345</v>
      </c>
      <c r="AB2370" t="n">
        <v>4</v>
      </c>
      <c r="AC2370" t="n">
        <v>5</v>
      </c>
      <c r="AD2370" t="n">
        <v>17</v>
      </c>
      <c r="AE2370" t="n">
        <v>28</v>
      </c>
      <c r="AF2370" t="n">
        <v>3</v>
      </c>
      <c r="AG2370" t="n">
        <v>7</v>
      </c>
      <c r="AH2370" t="n">
        <v>8</v>
      </c>
      <c r="AI2370" t="n">
        <v>10</v>
      </c>
      <c r="AJ2370" t="n">
        <v>10</v>
      </c>
      <c r="AK2370" t="n">
        <v>17</v>
      </c>
      <c r="AL2370" t="n">
        <v>2</v>
      </c>
      <c r="AM2370" t="n">
        <v>2</v>
      </c>
      <c r="AN2370" t="n">
        <v>0</v>
      </c>
      <c r="AO2370" t="n">
        <v>0</v>
      </c>
      <c r="AP2370" t="inlineStr">
        <is>
          <t>No</t>
        </is>
      </c>
      <c r="AQ2370" t="inlineStr">
        <is>
          <t>Yes</t>
        </is>
      </c>
      <c r="AR2370">
        <f>HYPERLINK("http://catalog.hathitrust.org/Record/001592034","HathiTrust Record")</f>
        <v/>
      </c>
      <c r="AS2370">
        <f>HYPERLINK("https://creighton-primo.hosted.exlibrisgroup.com/primo-explore/search?tab=default_tab&amp;search_scope=EVERYTHING&amp;vid=01CRU&amp;lang=en_US&amp;offset=0&amp;query=any,contains,991002783089702656","Catalog Record")</f>
        <v/>
      </c>
      <c r="AT2370">
        <f>HYPERLINK("http://www.worldcat.org/oclc/440893","WorldCat Record")</f>
        <v/>
      </c>
      <c r="AU2370" t="inlineStr">
        <is>
          <t>49305984:eng</t>
        </is>
      </c>
      <c r="AV2370" t="inlineStr">
        <is>
          <t>440893</t>
        </is>
      </c>
      <c r="AW2370" t="inlineStr">
        <is>
          <t>991002783089702656</t>
        </is>
      </c>
      <c r="AX2370" t="inlineStr">
        <is>
          <t>991002783089702656</t>
        </is>
      </c>
      <c r="AY2370" t="inlineStr">
        <is>
          <t>2257096480002656</t>
        </is>
      </c>
      <c r="AZ2370" t="inlineStr">
        <is>
          <t>BOOK</t>
        </is>
      </c>
      <c r="BC2370" t="inlineStr">
        <is>
          <t>32285001002806</t>
        </is>
      </c>
      <c r="BD2370" t="inlineStr">
        <is>
          <t>893517739</t>
        </is>
      </c>
    </row>
    <row r="2371">
      <c r="A2371" t="inlineStr">
        <is>
          <t>No</t>
        </is>
      </c>
      <c r="B2371" t="inlineStr">
        <is>
          <t>BX4705.L7 T34 1987</t>
        </is>
      </c>
      <c r="C2371" t="inlineStr">
        <is>
          <t>0                      BX 4705000L  7                  T  34          1987</t>
        </is>
      </c>
      <c r="D2371" t="inlineStr">
        <is>
          <t>Metaphor and modernist : the polarization of Alfred Loisy and his neo-Thomist critics / C.J.T. Talar.</t>
        </is>
      </c>
      <c r="F2371" t="inlineStr">
        <is>
          <t>No</t>
        </is>
      </c>
      <c r="G2371" t="inlineStr">
        <is>
          <t>1</t>
        </is>
      </c>
      <c r="H2371" t="inlineStr">
        <is>
          <t>No</t>
        </is>
      </c>
      <c r="I2371" t="inlineStr">
        <is>
          <t>No</t>
        </is>
      </c>
      <c r="J2371" t="inlineStr">
        <is>
          <t>0</t>
        </is>
      </c>
      <c r="K2371" t="inlineStr">
        <is>
          <t>Talar, C. J. T., 1947-</t>
        </is>
      </c>
      <c r="L2371" t="inlineStr">
        <is>
          <t>Lanham, MD : University Press of America, c1987.</t>
        </is>
      </c>
      <c r="M2371" t="inlineStr">
        <is>
          <t>1987</t>
        </is>
      </c>
      <c r="O2371" t="inlineStr">
        <is>
          <t>eng</t>
        </is>
      </c>
      <c r="P2371" t="inlineStr">
        <is>
          <t>mdu</t>
        </is>
      </c>
      <c r="R2371" t="inlineStr">
        <is>
          <t xml:space="preserve">BX </t>
        </is>
      </c>
      <c r="S2371" t="n">
        <v>1</v>
      </c>
      <c r="T2371" t="n">
        <v>1</v>
      </c>
      <c r="U2371" t="inlineStr">
        <is>
          <t>2004-04-28</t>
        </is>
      </c>
      <c r="V2371" t="inlineStr">
        <is>
          <t>2004-04-28</t>
        </is>
      </c>
      <c r="W2371" t="inlineStr">
        <is>
          <t>1991-09-03</t>
        </is>
      </c>
      <c r="X2371" t="inlineStr">
        <is>
          <t>1991-09-03</t>
        </is>
      </c>
      <c r="Y2371" t="n">
        <v>131</v>
      </c>
      <c r="Z2371" t="n">
        <v>106</v>
      </c>
      <c r="AA2371" t="n">
        <v>107</v>
      </c>
      <c r="AB2371" t="n">
        <v>1</v>
      </c>
      <c r="AC2371" t="n">
        <v>1</v>
      </c>
      <c r="AD2371" t="n">
        <v>12</v>
      </c>
      <c r="AE2371" t="n">
        <v>12</v>
      </c>
      <c r="AF2371" t="n">
        <v>2</v>
      </c>
      <c r="AG2371" t="n">
        <v>2</v>
      </c>
      <c r="AH2371" t="n">
        <v>3</v>
      </c>
      <c r="AI2371" t="n">
        <v>3</v>
      </c>
      <c r="AJ2371" t="n">
        <v>11</v>
      </c>
      <c r="AK2371" t="n">
        <v>11</v>
      </c>
      <c r="AL2371" t="n">
        <v>0</v>
      </c>
      <c r="AM2371" t="n">
        <v>0</v>
      </c>
      <c r="AN2371" t="n">
        <v>0</v>
      </c>
      <c r="AO2371" t="n">
        <v>0</v>
      </c>
      <c r="AP2371" t="inlineStr">
        <is>
          <t>No</t>
        </is>
      </c>
      <c r="AQ2371" t="inlineStr">
        <is>
          <t>No</t>
        </is>
      </c>
      <c r="AS2371">
        <f>HYPERLINK("https://creighton-primo.hosted.exlibrisgroup.com/primo-explore/search?tab=default_tab&amp;search_scope=EVERYTHING&amp;vid=01CRU&amp;lang=en_US&amp;offset=0&amp;query=any,contains,991001123949702656","Catalog Record")</f>
        <v/>
      </c>
      <c r="AT2371">
        <f>HYPERLINK("http://www.worldcat.org/oclc/16646456","WorldCat Record")</f>
        <v/>
      </c>
      <c r="AU2371" t="inlineStr">
        <is>
          <t>12794145:eng</t>
        </is>
      </c>
      <c r="AV2371" t="inlineStr">
        <is>
          <t>16646456</t>
        </is>
      </c>
      <c r="AW2371" t="inlineStr">
        <is>
          <t>991001123949702656</t>
        </is>
      </c>
      <c r="AX2371" t="inlineStr">
        <is>
          <t>991001123949702656</t>
        </is>
      </c>
      <c r="AY2371" t="inlineStr">
        <is>
          <t>2262935170002656</t>
        </is>
      </c>
      <c r="AZ2371" t="inlineStr">
        <is>
          <t>BOOK</t>
        </is>
      </c>
      <c r="BB2371" t="inlineStr">
        <is>
          <t>9780819166548</t>
        </is>
      </c>
      <c r="BC2371" t="inlineStr">
        <is>
          <t>32285000734615</t>
        </is>
      </c>
      <c r="BD2371" t="inlineStr">
        <is>
          <t>893237891</t>
        </is>
      </c>
    </row>
    <row r="2372">
      <c r="A2372" t="inlineStr">
        <is>
          <t>No</t>
        </is>
      </c>
      <c r="B2372" t="inlineStr">
        <is>
          <t>BX4705.L7133 A33 1982</t>
        </is>
      </c>
      <c r="C2372" t="inlineStr">
        <is>
          <t>0                      BX 4705000L  7133               A  33          1982</t>
        </is>
      </c>
      <c r="D2372" t="inlineStr">
        <is>
          <t>Caring about meaning : patterns in the life of Bernard Lonergan / edited by Pierrot Lambert, Charlotte Tansey, Cathleen Going.</t>
        </is>
      </c>
      <c r="F2372" t="inlineStr">
        <is>
          <t>No</t>
        </is>
      </c>
      <c r="G2372" t="inlineStr">
        <is>
          <t>1</t>
        </is>
      </c>
      <c r="H2372" t="inlineStr">
        <is>
          <t>No</t>
        </is>
      </c>
      <c r="I2372" t="inlineStr">
        <is>
          <t>No</t>
        </is>
      </c>
      <c r="J2372" t="inlineStr">
        <is>
          <t>0</t>
        </is>
      </c>
      <c r="K2372" t="inlineStr">
        <is>
          <t>Lonergan, Bernard J. F.</t>
        </is>
      </c>
      <c r="L2372" t="inlineStr">
        <is>
          <t>Montreal, Quebec, Canada : Thomas More Institute, c1982.</t>
        </is>
      </c>
      <c r="M2372" t="inlineStr">
        <is>
          <t>1982</t>
        </is>
      </c>
      <c r="O2372" t="inlineStr">
        <is>
          <t>eng</t>
        </is>
      </c>
      <c r="P2372" t="inlineStr">
        <is>
          <t>quc</t>
        </is>
      </c>
      <c r="Q2372" t="inlineStr">
        <is>
          <t>Thomas More Institute papers ; 82</t>
        </is>
      </c>
      <c r="R2372" t="inlineStr">
        <is>
          <t xml:space="preserve">BX </t>
        </is>
      </c>
      <c r="S2372" t="n">
        <v>4</v>
      </c>
      <c r="T2372" t="n">
        <v>4</v>
      </c>
      <c r="U2372" t="inlineStr">
        <is>
          <t>1998-12-17</t>
        </is>
      </c>
      <c r="V2372" t="inlineStr">
        <is>
          <t>1998-12-17</t>
        </is>
      </c>
      <c r="W2372" t="inlineStr">
        <is>
          <t>1992-02-04</t>
        </is>
      </c>
      <c r="X2372" t="inlineStr">
        <is>
          <t>1992-02-04</t>
        </is>
      </c>
      <c r="Y2372" t="n">
        <v>93</v>
      </c>
      <c r="Z2372" t="n">
        <v>60</v>
      </c>
      <c r="AA2372" t="n">
        <v>61</v>
      </c>
      <c r="AB2372" t="n">
        <v>1</v>
      </c>
      <c r="AC2372" t="n">
        <v>1</v>
      </c>
      <c r="AD2372" t="n">
        <v>11</v>
      </c>
      <c r="AE2372" t="n">
        <v>11</v>
      </c>
      <c r="AF2372" t="n">
        <v>4</v>
      </c>
      <c r="AG2372" t="n">
        <v>4</v>
      </c>
      <c r="AH2372" t="n">
        <v>2</v>
      </c>
      <c r="AI2372" t="n">
        <v>2</v>
      </c>
      <c r="AJ2372" t="n">
        <v>9</v>
      </c>
      <c r="AK2372" t="n">
        <v>9</v>
      </c>
      <c r="AL2372" t="n">
        <v>0</v>
      </c>
      <c r="AM2372" t="n">
        <v>0</v>
      </c>
      <c r="AN2372" t="n">
        <v>0</v>
      </c>
      <c r="AO2372" t="n">
        <v>0</v>
      </c>
      <c r="AP2372" t="inlineStr">
        <is>
          <t>No</t>
        </is>
      </c>
      <c r="AQ2372" t="inlineStr">
        <is>
          <t>Yes</t>
        </is>
      </c>
      <c r="AR2372">
        <f>HYPERLINK("http://catalog.hathitrust.org/Record/002200069","HathiTrust Record")</f>
        <v/>
      </c>
      <c r="AS2372">
        <f>HYPERLINK("https://creighton-primo.hosted.exlibrisgroup.com/primo-explore/search?tab=default_tab&amp;search_scope=EVERYTHING&amp;vid=01CRU&amp;lang=en_US&amp;offset=0&amp;query=any,contains,991000412779702656","Catalog Record")</f>
        <v/>
      </c>
      <c r="AT2372">
        <f>HYPERLINK("http://www.worldcat.org/oclc/10712037","WorldCat Record")</f>
        <v/>
      </c>
      <c r="AU2372" t="inlineStr">
        <is>
          <t>3143754:eng</t>
        </is>
      </c>
      <c r="AV2372" t="inlineStr">
        <is>
          <t>10712037</t>
        </is>
      </c>
      <c r="AW2372" t="inlineStr">
        <is>
          <t>991000412779702656</t>
        </is>
      </c>
      <c r="AX2372" t="inlineStr">
        <is>
          <t>991000412779702656</t>
        </is>
      </c>
      <c r="AY2372" t="inlineStr">
        <is>
          <t>2258424510002656</t>
        </is>
      </c>
      <c r="AZ2372" t="inlineStr">
        <is>
          <t>BOOK</t>
        </is>
      </c>
      <c r="BB2372" t="inlineStr">
        <is>
          <t>9780919409057</t>
        </is>
      </c>
      <c r="BC2372" t="inlineStr">
        <is>
          <t>32285000934496</t>
        </is>
      </c>
      <c r="BD2372" t="inlineStr">
        <is>
          <t>893237289</t>
        </is>
      </c>
    </row>
    <row r="2373">
      <c r="A2373" t="inlineStr">
        <is>
          <t>No</t>
        </is>
      </c>
      <c r="B2373" t="inlineStr">
        <is>
          <t>BX4705.L7133 C74</t>
        </is>
      </c>
      <c r="C2373" t="inlineStr">
        <is>
          <t>0                      BX 4705000L  7133               C  74</t>
        </is>
      </c>
      <c r="D2373" t="inlineStr">
        <is>
          <t>Creativity and method : essays in honor of Bernard Lonergan, S.J. / edited by Matthew L. Lamb.</t>
        </is>
      </c>
      <c r="F2373" t="inlineStr">
        <is>
          <t>No</t>
        </is>
      </c>
      <c r="G2373" t="inlineStr">
        <is>
          <t>1</t>
        </is>
      </c>
      <c r="H2373" t="inlineStr">
        <is>
          <t>No</t>
        </is>
      </c>
      <c r="I2373" t="inlineStr">
        <is>
          <t>No</t>
        </is>
      </c>
      <c r="J2373" t="inlineStr">
        <is>
          <t>0</t>
        </is>
      </c>
      <c r="L2373" t="inlineStr">
        <is>
          <t>Milwaukee, Wis. : Marguette University Press, 1981.</t>
        </is>
      </c>
      <c r="M2373" t="inlineStr">
        <is>
          <t>1981</t>
        </is>
      </c>
      <c r="O2373" t="inlineStr">
        <is>
          <t>eng</t>
        </is>
      </c>
      <c r="P2373" t="inlineStr">
        <is>
          <t>wiu</t>
        </is>
      </c>
      <c r="R2373" t="inlineStr">
        <is>
          <t xml:space="preserve">BX </t>
        </is>
      </c>
      <c r="S2373" t="n">
        <v>9</v>
      </c>
      <c r="T2373" t="n">
        <v>9</v>
      </c>
      <c r="U2373" t="inlineStr">
        <is>
          <t>2000-05-01</t>
        </is>
      </c>
      <c r="V2373" t="inlineStr">
        <is>
          <t>2000-05-01</t>
        </is>
      </c>
      <c r="W2373" t="inlineStr">
        <is>
          <t>1990-03-19</t>
        </is>
      </c>
      <c r="X2373" t="inlineStr">
        <is>
          <t>1990-03-19</t>
        </is>
      </c>
      <c r="Y2373" t="n">
        <v>380</v>
      </c>
      <c r="Z2373" t="n">
        <v>303</v>
      </c>
      <c r="AA2373" t="n">
        <v>305</v>
      </c>
      <c r="AB2373" t="n">
        <v>3</v>
      </c>
      <c r="AC2373" t="n">
        <v>3</v>
      </c>
      <c r="AD2373" t="n">
        <v>30</v>
      </c>
      <c r="AE2373" t="n">
        <v>30</v>
      </c>
      <c r="AF2373" t="n">
        <v>11</v>
      </c>
      <c r="AG2373" t="n">
        <v>11</v>
      </c>
      <c r="AH2373" t="n">
        <v>8</v>
      </c>
      <c r="AI2373" t="n">
        <v>8</v>
      </c>
      <c r="AJ2373" t="n">
        <v>21</v>
      </c>
      <c r="AK2373" t="n">
        <v>21</v>
      </c>
      <c r="AL2373" t="n">
        <v>1</v>
      </c>
      <c r="AM2373" t="n">
        <v>1</v>
      </c>
      <c r="AN2373" t="n">
        <v>0</v>
      </c>
      <c r="AO2373" t="n">
        <v>0</v>
      </c>
      <c r="AP2373" t="inlineStr">
        <is>
          <t>No</t>
        </is>
      </c>
      <c r="AQ2373" t="inlineStr">
        <is>
          <t>Yes</t>
        </is>
      </c>
      <c r="AR2373">
        <f>HYPERLINK("http://catalog.hathitrust.org/Record/000762176","HathiTrust Record")</f>
        <v/>
      </c>
      <c r="AS2373">
        <f>HYPERLINK("https://creighton-primo.hosted.exlibrisgroup.com/primo-explore/search?tab=default_tab&amp;search_scope=EVERYTHING&amp;vid=01CRU&amp;lang=en_US&amp;offset=0&amp;query=any,contains,991005160929702656","Catalog Record")</f>
        <v/>
      </c>
      <c r="AT2373">
        <f>HYPERLINK("http://www.worldcat.org/oclc/7788674","WorldCat Record")</f>
        <v/>
      </c>
      <c r="AU2373" t="inlineStr">
        <is>
          <t>375526684:eng</t>
        </is>
      </c>
      <c r="AV2373" t="inlineStr">
        <is>
          <t>7788674</t>
        </is>
      </c>
      <c r="AW2373" t="inlineStr">
        <is>
          <t>991005160929702656</t>
        </is>
      </c>
      <c r="AX2373" t="inlineStr">
        <is>
          <t>991005160929702656</t>
        </is>
      </c>
      <c r="AY2373" t="inlineStr">
        <is>
          <t>2272483480002656</t>
        </is>
      </c>
      <c r="AZ2373" t="inlineStr">
        <is>
          <t>BOOK</t>
        </is>
      </c>
      <c r="BB2373" t="inlineStr">
        <is>
          <t>9780874625332</t>
        </is>
      </c>
      <c r="BC2373" t="inlineStr">
        <is>
          <t>32285000087873</t>
        </is>
      </c>
      <c r="BD2373" t="inlineStr">
        <is>
          <t>893501423</t>
        </is>
      </c>
    </row>
    <row r="2374">
      <c r="A2374" t="inlineStr">
        <is>
          <t>No</t>
        </is>
      </c>
      <c r="B2374" t="inlineStr">
        <is>
          <t>BX4705.L7133 I57 1970, v.1</t>
        </is>
      </c>
      <c r="C2374" t="inlineStr">
        <is>
          <t>0                      BX 4705000L  7133               I  57          1970                  v.1</t>
        </is>
      </c>
      <c r="D2374" t="inlineStr">
        <is>
          <t>Foundations of theology / edited by Philip McShane.</t>
        </is>
      </c>
      <c r="E2374" t="inlineStr">
        <is>
          <t>V.1</t>
        </is>
      </c>
      <c r="F2374" t="inlineStr">
        <is>
          <t>No</t>
        </is>
      </c>
      <c r="G2374" t="inlineStr">
        <is>
          <t>1</t>
        </is>
      </c>
      <c r="H2374" t="inlineStr">
        <is>
          <t>No</t>
        </is>
      </c>
      <c r="I2374" t="inlineStr">
        <is>
          <t>No</t>
        </is>
      </c>
      <c r="J2374" t="inlineStr">
        <is>
          <t>0</t>
        </is>
      </c>
      <c r="K2374" t="inlineStr">
        <is>
          <t>International Lonergan Congress (1970 : Saint Leo College)</t>
        </is>
      </c>
      <c r="L2374" t="inlineStr">
        <is>
          <t>Notre Dame, Ind.] University of Notre Dame Press [1972, c1971]</t>
        </is>
      </c>
      <c r="M2374" t="inlineStr">
        <is>
          <t>1972</t>
        </is>
      </c>
      <c r="N2374" t="inlineStr">
        <is>
          <t>[American ed.</t>
        </is>
      </c>
      <c r="O2374" t="inlineStr">
        <is>
          <t>eng</t>
        </is>
      </c>
      <c r="P2374" t="inlineStr">
        <is>
          <t>inu</t>
        </is>
      </c>
      <c r="Q2374" t="inlineStr">
        <is>
          <t>Papers from the International Lonergan Congress, 1970, v. 1</t>
        </is>
      </c>
      <c r="R2374" t="inlineStr">
        <is>
          <t xml:space="preserve">BX </t>
        </is>
      </c>
      <c r="S2374" t="n">
        <v>3</v>
      </c>
      <c r="T2374" t="n">
        <v>3</v>
      </c>
      <c r="U2374" t="inlineStr">
        <is>
          <t>1993-08-24</t>
        </is>
      </c>
      <c r="V2374" t="inlineStr">
        <is>
          <t>1993-08-24</t>
        </is>
      </c>
      <c r="W2374" t="inlineStr">
        <is>
          <t>1990-03-20</t>
        </is>
      </c>
      <c r="X2374" t="inlineStr">
        <is>
          <t>1990-03-20</t>
        </is>
      </c>
      <c r="Y2374" t="n">
        <v>422</v>
      </c>
      <c r="Z2374" t="n">
        <v>387</v>
      </c>
      <c r="AA2374" t="n">
        <v>441</v>
      </c>
      <c r="AB2374" t="n">
        <v>2</v>
      </c>
      <c r="AC2374" t="n">
        <v>2</v>
      </c>
      <c r="AD2374" t="n">
        <v>28</v>
      </c>
      <c r="AE2374" t="n">
        <v>30</v>
      </c>
      <c r="AF2374" t="n">
        <v>10</v>
      </c>
      <c r="AG2374" t="n">
        <v>12</v>
      </c>
      <c r="AH2374" t="n">
        <v>5</v>
      </c>
      <c r="AI2374" t="n">
        <v>6</v>
      </c>
      <c r="AJ2374" t="n">
        <v>19</v>
      </c>
      <c r="AK2374" t="n">
        <v>20</v>
      </c>
      <c r="AL2374" t="n">
        <v>1</v>
      </c>
      <c r="AM2374" t="n">
        <v>1</v>
      </c>
      <c r="AN2374" t="n">
        <v>0</v>
      </c>
      <c r="AO2374" t="n">
        <v>0</v>
      </c>
      <c r="AP2374" t="inlineStr">
        <is>
          <t>No</t>
        </is>
      </c>
      <c r="AQ2374" t="inlineStr">
        <is>
          <t>Yes</t>
        </is>
      </c>
      <c r="AR2374">
        <f>HYPERLINK("http://catalog.hathitrust.org/Record/000229106","HathiTrust Record")</f>
        <v/>
      </c>
      <c r="AS2374">
        <f>HYPERLINK("https://creighton-primo.hosted.exlibrisgroup.com/primo-explore/search?tab=default_tab&amp;search_scope=EVERYTHING&amp;vid=01CRU&amp;lang=en_US&amp;offset=0&amp;query=any,contains,991001950429702656","Catalog Record")</f>
        <v/>
      </c>
      <c r="AT2374">
        <f>HYPERLINK("http://www.worldcat.org/oclc/251904","WorldCat Record")</f>
        <v/>
      </c>
      <c r="AU2374" t="inlineStr">
        <is>
          <t>365522545:eng</t>
        </is>
      </c>
      <c r="AV2374" t="inlineStr">
        <is>
          <t>251904</t>
        </is>
      </c>
      <c r="AW2374" t="inlineStr">
        <is>
          <t>991001950429702656</t>
        </is>
      </c>
      <c r="AX2374" t="inlineStr">
        <is>
          <t>991001950429702656</t>
        </is>
      </c>
      <c r="AY2374" t="inlineStr">
        <is>
          <t>2268849230002656</t>
        </is>
      </c>
      <c r="AZ2374" t="inlineStr">
        <is>
          <t>BOOK</t>
        </is>
      </c>
      <c r="BB2374" t="inlineStr">
        <is>
          <t>9780268004569</t>
        </is>
      </c>
      <c r="BC2374" t="inlineStr">
        <is>
          <t>32285000087444</t>
        </is>
      </c>
      <c r="BD2374" t="inlineStr">
        <is>
          <t>893534763</t>
        </is>
      </c>
    </row>
    <row r="2375">
      <c r="A2375" t="inlineStr">
        <is>
          <t>No</t>
        </is>
      </c>
      <c r="B2375" t="inlineStr">
        <is>
          <t>BX4705.L7133 I57 1970, v.2</t>
        </is>
      </c>
      <c r="C2375" t="inlineStr">
        <is>
          <t>0                      BX 4705000L  7133               I  57          1970                  v.2</t>
        </is>
      </c>
      <c r="D2375" t="inlineStr">
        <is>
          <t>Language, truth, and meaning / edited by Philip McShane.</t>
        </is>
      </c>
      <c r="E2375" t="inlineStr">
        <is>
          <t>V.2</t>
        </is>
      </c>
      <c r="F2375" t="inlineStr">
        <is>
          <t>No</t>
        </is>
      </c>
      <c r="G2375" t="inlineStr">
        <is>
          <t>1</t>
        </is>
      </c>
      <c r="H2375" t="inlineStr">
        <is>
          <t>No</t>
        </is>
      </c>
      <c r="I2375" t="inlineStr">
        <is>
          <t>No</t>
        </is>
      </c>
      <c r="J2375" t="inlineStr">
        <is>
          <t>0</t>
        </is>
      </c>
      <c r="K2375" t="inlineStr">
        <is>
          <t>International Lonergan Congress (1970 : Saint Leo College)</t>
        </is>
      </c>
      <c r="L2375" t="inlineStr">
        <is>
          <t>Notre Dame, Ind.] University of Notre Dame Press [1972, c1971]</t>
        </is>
      </c>
      <c r="M2375" t="inlineStr">
        <is>
          <t>1972</t>
        </is>
      </c>
      <c r="N2375" t="inlineStr">
        <is>
          <t>[American ed.</t>
        </is>
      </c>
      <c r="O2375" t="inlineStr">
        <is>
          <t>eng</t>
        </is>
      </c>
      <c r="P2375" t="inlineStr">
        <is>
          <t>inu</t>
        </is>
      </c>
      <c r="Q2375" t="inlineStr">
        <is>
          <t>Papers from the International Lonergan Congress, 1970, v.2.</t>
        </is>
      </c>
      <c r="R2375" t="inlineStr">
        <is>
          <t xml:space="preserve">BX </t>
        </is>
      </c>
      <c r="S2375" t="n">
        <v>6</v>
      </c>
      <c r="T2375" t="n">
        <v>6</v>
      </c>
      <c r="U2375" t="inlineStr">
        <is>
          <t>1998-11-03</t>
        </is>
      </c>
      <c r="V2375" t="inlineStr">
        <is>
          <t>1998-11-03</t>
        </is>
      </c>
      <c r="W2375" t="inlineStr">
        <is>
          <t>1990-03-20</t>
        </is>
      </c>
      <c r="X2375" t="inlineStr">
        <is>
          <t>1990-03-20</t>
        </is>
      </c>
      <c r="Y2375" t="n">
        <v>466</v>
      </c>
      <c r="Z2375" t="n">
        <v>422</v>
      </c>
      <c r="AA2375" t="n">
        <v>466</v>
      </c>
      <c r="AB2375" t="n">
        <v>2</v>
      </c>
      <c r="AC2375" t="n">
        <v>2</v>
      </c>
      <c r="AD2375" t="n">
        <v>23</v>
      </c>
      <c r="AE2375" t="n">
        <v>29</v>
      </c>
      <c r="AF2375" t="n">
        <v>9</v>
      </c>
      <c r="AG2375" t="n">
        <v>11</v>
      </c>
      <c r="AH2375" t="n">
        <v>4</v>
      </c>
      <c r="AI2375" t="n">
        <v>5</v>
      </c>
      <c r="AJ2375" t="n">
        <v>15</v>
      </c>
      <c r="AK2375" t="n">
        <v>20</v>
      </c>
      <c r="AL2375" t="n">
        <v>1</v>
      </c>
      <c r="AM2375" t="n">
        <v>1</v>
      </c>
      <c r="AN2375" t="n">
        <v>0</v>
      </c>
      <c r="AO2375" t="n">
        <v>0</v>
      </c>
      <c r="AP2375" t="inlineStr">
        <is>
          <t>No</t>
        </is>
      </c>
      <c r="AQ2375" t="inlineStr">
        <is>
          <t>No</t>
        </is>
      </c>
      <c r="AS2375">
        <f>HYPERLINK("https://creighton-primo.hosted.exlibrisgroup.com/primo-explore/search?tab=default_tab&amp;search_scope=EVERYTHING&amp;vid=01CRU&amp;lang=en_US&amp;offset=0&amp;query=any,contains,991003421479702656","Catalog Record")</f>
        <v/>
      </c>
      <c r="AT2375">
        <f>HYPERLINK("http://www.worldcat.org/oclc/962626","WorldCat Record")</f>
        <v/>
      </c>
      <c r="AU2375" t="inlineStr">
        <is>
          <t>1703804:eng</t>
        </is>
      </c>
      <c r="AV2375" t="inlineStr">
        <is>
          <t>962626</t>
        </is>
      </c>
      <c r="AW2375" t="inlineStr">
        <is>
          <t>991003421479702656</t>
        </is>
      </c>
      <c r="AX2375" t="inlineStr">
        <is>
          <t>991003421479702656</t>
        </is>
      </c>
      <c r="AY2375" t="inlineStr">
        <is>
          <t>2260504650002656</t>
        </is>
      </c>
      <c r="AZ2375" t="inlineStr">
        <is>
          <t>BOOK</t>
        </is>
      </c>
      <c r="BB2375" t="inlineStr">
        <is>
          <t>9780268004781</t>
        </is>
      </c>
      <c r="BC2375" t="inlineStr">
        <is>
          <t>32285000087451</t>
        </is>
      </c>
      <c r="BD2375" t="inlineStr">
        <is>
          <t>893416358</t>
        </is>
      </c>
    </row>
    <row r="2376">
      <c r="A2376" t="inlineStr">
        <is>
          <t>No</t>
        </is>
      </c>
      <c r="B2376" t="inlineStr">
        <is>
          <t>BX4705.L7133 K66 1995</t>
        </is>
      </c>
      <c r="C2376" t="inlineStr">
        <is>
          <t>0                      BX 4705000L  7133               K  66          1995</t>
        </is>
      </c>
      <c r="D2376" t="inlineStr">
        <is>
          <t>Foundations in ecclesiology / Joseph A. Komonchak.</t>
        </is>
      </c>
      <c r="F2376" t="inlineStr">
        <is>
          <t>No</t>
        </is>
      </c>
      <c r="G2376" t="inlineStr">
        <is>
          <t>1</t>
        </is>
      </c>
      <c r="H2376" t="inlineStr">
        <is>
          <t>No</t>
        </is>
      </c>
      <c r="I2376" t="inlineStr">
        <is>
          <t>No</t>
        </is>
      </c>
      <c r="J2376" t="inlineStr">
        <is>
          <t>0</t>
        </is>
      </c>
      <c r="K2376" t="inlineStr">
        <is>
          <t>Komonchak, Joseph A.</t>
        </is>
      </c>
      <c r="L2376" t="inlineStr">
        <is>
          <t>[Boston, Mass.] : Boston College, 1995.</t>
        </is>
      </c>
      <c r="M2376" t="inlineStr">
        <is>
          <t>1995</t>
        </is>
      </c>
      <c r="O2376" t="inlineStr">
        <is>
          <t>eng</t>
        </is>
      </c>
      <c r="P2376" t="inlineStr">
        <is>
          <t>mau</t>
        </is>
      </c>
      <c r="R2376" t="inlineStr">
        <is>
          <t xml:space="preserve">BX </t>
        </is>
      </c>
      <c r="S2376" t="n">
        <v>0</v>
      </c>
      <c r="T2376" t="n">
        <v>0</v>
      </c>
      <c r="U2376" t="inlineStr">
        <is>
          <t>2006-08-07</t>
        </is>
      </c>
      <c r="V2376" t="inlineStr">
        <is>
          <t>2006-08-07</t>
        </is>
      </c>
      <c r="W2376" t="inlineStr">
        <is>
          <t>2000-02-09</t>
        </is>
      </c>
      <c r="X2376" t="inlineStr">
        <is>
          <t>2000-02-09</t>
        </is>
      </c>
      <c r="Y2376" t="n">
        <v>29</v>
      </c>
      <c r="Z2376" t="n">
        <v>24</v>
      </c>
      <c r="AA2376" t="n">
        <v>25</v>
      </c>
      <c r="AB2376" t="n">
        <v>1</v>
      </c>
      <c r="AC2376" t="n">
        <v>1</v>
      </c>
      <c r="AD2376" t="n">
        <v>6</v>
      </c>
      <c r="AE2376" t="n">
        <v>6</v>
      </c>
      <c r="AF2376" t="n">
        <v>0</v>
      </c>
      <c r="AG2376" t="n">
        <v>0</v>
      </c>
      <c r="AH2376" t="n">
        <v>3</v>
      </c>
      <c r="AI2376" t="n">
        <v>3</v>
      </c>
      <c r="AJ2376" t="n">
        <v>4</v>
      </c>
      <c r="AK2376" t="n">
        <v>4</v>
      </c>
      <c r="AL2376" t="n">
        <v>0</v>
      </c>
      <c r="AM2376" t="n">
        <v>0</v>
      </c>
      <c r="AN2376" t="n">
        <v>0</v>
      </c>
      <c r="AO2376" t="n">
        <v>0</v>
      </c>
      <c r="AP2376" t="inlineStr">
        <is>
          <t>No</t>
        </is>
      </c>
      <c r="AQ2376" t="inlineStr">
        <is>
          <t>No</t>
        </is>
      </c>
      <c r="AS2376">
        <f>HYPERLINK("https://creighton-primo.hosted.exlibrisgroup.com/primo-explore/search?tab=default_tab&amp;search_scope=EVERYTHING&amp;vid=01CRU&amp;lang=en_US&amp;offset=0&amp;query=any,contains,991002769369702656","Catalog Record")</f>
        <v/>
      </c>
      <c r="AT2376">
        <f>HYPERLINK("http://www.worldcat.org/oclc/36347115","WorldCat Record")</f>
        <v/>
      </c>
      <c r="AU2376" t="inlineStr">
        <is>
          <t>45851694:eng</t>
        </is>
      </c>
      <c r="AV2376" t="inlineStr">
        <is>
          <t>36347115</t>
        </is>
      </c>
      <c r="AW2376" t="inlineStr">
        <is>
          <t>991002769369702656</t>
        </is>
      </c>
      <c r="AX2376" t="inlineStr">
        <is>
          <t>991002769369702656</t>
        </is>
      </c>
      <c r="AY2376" t="inlineStr">
        <is>
          <t>2270364720002656</t>
        </is>
      </c>
      <c r="AZ2376" t="inlineStr">
        <is>
          <t>BOOK</t>
        </is>
      </c>
      <c r="BC2376" t="inlineStr">
        <is>
          <t>32285003660866</t>
        </is>
      </c>
      <c r="BD2376" t="inlineStr">
        <is>
          <t>893886695</t>
        </is>
      </c>
    </row>
    <row r="2377">
      <c r="A2377" t="inlineStr">
        <is>
          <t>No</t>
        </is>
      </c>
      <c r="B2377" t="inlineStr">
        <is>
          <t>BX4705.L7133 M3 1988</t>
        </is>
      </c>
      <c r="C2377" t="inlineStr">
        <is>
          <t>0                      BX 4705000L  7133               M  3           1988</t>
        </is>
      </c>
      <c r="D2377" t="inlineStr">
        <is>
          <t>Mediation of deconstruction : Bernard Lonergan's method in philosophy : the argument from human operational development / Martin Joseph Matustik.</t>
        </is>
      </c>
      <c r="F2377" t="inlineStr">
        <is>
          <t>No</t>
        </is>
      </c>
      <c r="G2377" t="inlineStr">
        <is>
          <t>1</t>
        </is>
      </c>
      <c r="H2377" t="inlineStr">
        <is>
          <t>No</t>
        </is>
      </c>
      <c r="I2377" t="inlineStr">
        <is>
          <t>No</t>
        </is>
      </c>
      <c r="J2377" t="inlineStr">
        <is>
          <t>0</t>
        </is>
      </c>
      <c r="K2377" t="inlineStr">
        <is>
          <t>Matuštík, Martin Beck, 1957-</t>
        </is>
      </c>
      <c r="L2377" t="inlineStr">
        <is>
          <t>Lanham, MD : University Press of America, c1988.</t>
        </is>
      </c>
      <c r="M2377" t="inlineStr">
        <is>
          <t>1988</t>
        </is>
      </c>
      <c r="O2377" t="inlineStr">
        <is>
          <t>eng</t>
        </is>
      </c>
      <c r="P2377" t="inlineStr">
        <is>
          <t>mdu</t>
        </is>
      </c>
      <c r="R2377" t="inlineStr">
        <is>
          <t xml:space="preserve">BX </t>
        </is>
      </c>
      <c r="S2377" t="n">
        <v>2</v>
      </c>
      <c r="T2377" t="n">
        <v>2</v>
      </c>
      <c r="U2377" t="inlineStr">
        <is>
          <t>1993-08-24</t>
        </is>
      </c>
      <c r="V2377" t="inlineStr">
        <is>
          <t>1993-08-24</t>
        </is>
      </c>
      <c r="W2377" t="inlineStr">
        <is>
          <t>1992-03-23</t>
        </is>
      </c>
      <c r="X2377" t="inlineStr">
        <is>
          <t>1992-03-23</t>
        </is>
      </c>
      <c r="Y2377" t="n">
        <v>149</v>
      </c>
      <c r="Z2377" t="n">
        <v>109</v>
      </c>
      <c r="AA2377" t="n">
        <v>111</v>
      </c>
      <c r="AB2377" t="n">
        <v>2</v>
      </c>
      <c r="AC2377" t="n">
        <v>2</v>
      </c>
      <c r="AD2377" t="n">
        <v>11</v>
      </c>
      <c r="AE2377" t="n">
        <v>11</v>
      </c>
      <c r="AF2377" t="n">
        <v>4</v>
      </c>
      <c r="AG2377" t="n">
        <v>4</v>
      </c>
      <c r="AH2377" t="n">
        <v>1</v>
      </c>
      <c r="AI2377" t="n">
        <v>1</v>
      </c>
      <c r="AJ2377" t="n">
        <v>8</v>
      </c>
      <c r="AK2377" t="n">
        <v>8</v>
      </c>
      <c r="AL2377" t="n">
        <v>1</v>
      </c>
      <c r="AM2377" t="n">
        <v>1</v>
      </c>
      <c r="AN2377" t="n">
        <v>0</v>
      </c>
      <c r="AO2377" t="n">
        <v>0</v>
      </c>
      <c r="AP2377" t="inlineStr">
        <is>
          <t>No</t>
        </is>
      </c>
      <c r="AQ2377" t="inlineStr">
        <is>
          <t>Yes</t>
        </is>
      </c>
      <c r="AR2377">
        <f>HYPERLINK("http://catalog.hathitrust.org/Record/000878553","HathiTrust Record")</f>
        <v/>
      </c>
      <c r="AS2377">
        <f>HYPERLINK("https://creighton-primo.hosted.exlibrisgroup.com/primo-explore/search?tab=default_tab&amp;search_scope=EVERYTHING&amp;vid=01CRU&amp;lang=en_US&amp;offset=0&amp;query=any,contains,991001173979702656","Catalog Record")</f>
        <v/>
      </c>
      <c r="AT2377">
        <f>HYPERLINK("http://www.worldcat.org/oclc/16984580","WorldCat Record")</f>
        <v/>
      </c>
      <c r="AU2377" t="inlineStr">
        <is>
          <t>13879632:eng</t>
        </is>
      </c>
      <c r="AV2377" t="inlineStr">
        <is>
          <t>16984580</t>
        </is>
      </c>
      <c r="AW2377" t="inlineStr">
        <is>
          <t>991001173979702656</t>
        </is>
      </c>
      <c r="AX2377" t="inlineStr">
        <is>
          <t>991001173979702656</t>
        </is>
      </c>
      <c r="AY2377" t="inlineStr">
        <is>
          <t>2269866240002656</t>
        </is>
      </c>
      <c r="AZ2377" t="inlineStr">
        <is>
          <t>BOOK</t>
        </is>
      </c>
      <c r="BB2377" t="inlineStr">
        <is>
          <t>9780819167620</t>
        </is>
      </c>
      <c r="BC2377" t="inlineStr">
        <is>
          <t>32285001003176</t>
        </is>
      </c>
      <c r="BD2377" t="inlineStr">
        <is>
          <t>893225656</t>
        </is>
      </c>
    </row>
    <row r="2378">
      <c r="A2378" t="inlineStr">
        <is>
          <t>No</t>
        </is>
      </c>
      <c r="B2378" t="inlineStr">
        <is>
          <t>BX4705.L7133 M32</t>
        </is>
      </c>
      <c r="C2378" t="inlineStr">
        <is>
          <t>0                      BX 4705000L  7133               M  32</t>
        </is>
      </c>
      <c r="D2378" t="inlineStr">
        <is>
          <t>Lonergan's challenge to the university and the economy / Philip McShane.</t>
        </is>
      </c>
      <c r="F2378" t="inlineStr">
        <is>
          <t>No</t>
        </is>
      </c>
      <c r="G2378" t="inlineStr">
        <is>
          <t>1</t>
        </is>
      </c>
      <c r="H2378" t="inlineStr">
        <is>
          <t>No</t>
        </is>
      </c>
      <c r="I2378" t="inlineStr">
        <is>
          <t>No</t>
        </is>
      </c>
      <c r="J2378" t="inlineStr">
        <is>
          <t>0</t>
        </is>
      </c>
      <c r="K2378" t="inlineStr">
        <is>
          <t>McShane, Philip.</t>
        </is>
      </c>
      <c r="L2378" t="inlineStr">
        <is>
          <t>Washington : University Press of America, c1980.</t>
        </is>
      </c>
      <c r="M2378" t="inlineStr">
        <is>
          <t>1980</t>
        </is>
      </c>
      <c r="O2378" t="inlineStr">
        <is>
          <t>eng</t>
        </is>
      </c>
      <c r="P2378" t="inlineStr">
        <is>
          <t>dcu</t>
        </is>
      </c>
      <c r="R2378" t="inlineStr">
        <is>
          <t xml:space="preserve">BX </t>
        </is>
      </c>
      <c r="S2378" t="n">
        <v>2</v>
      </c>
      <c r="T2378" t="n">
        <v>2</v>
      </c>
      <c r="U2378" t="inlineStr">
        <is>
          <t>1993-08-24</t>
        </is>
      </c>
      <c r="V2378" t="inlineStr">
        <is>
          <t>1993-08-24</t>
        </is>
      </c>
      <c r="W2378" t="inlineStr">
        <is>
          <t>1992-03-23</t>
        </is>
      </c>
      <c r="X2378" t="inlineStr">
        <is>
          <t>1992-03-23</t>
        </is>
      </c>
      <c r="Y2378" t="n">
        <v>163</v>
      </c>
      <c r="Z2378" t="n">
        <v>136</v>
      </c>
      <c r="AA2378" t="n">
        <v>136</v>
      </c>
      <c r="AB2378" t="n">
        <v>2</v>
      </c>
      <c r="AC2378" t="n">
        <v>2</v>
      </c>
      <c r="AD2378" t="n">
        <v>19</v>
      </c>
      <c r="AE2378" t="n">
        <v>19</v>
      </c>
      <c r="AF2378" t="n">
        <v>2</v>
      </c>
      <c r="AG2378" t="n">
        <v>2</v>
      </c>
      <c r="AH2378" t="n">
        <v>6</v>
      </c>
      <c r="AI2378" t="n">
        <v>6</v>
      </c>
      <c r="AJ2378" t="n">
        <v>13</v>
      </c>
      <c r="AK2378" t="n">
        <v>13</v>
      </c>
      <c r="AL2378" t="n">
        <v>1</v>
      </c>
      <c r="AM2378" t="n">
        <v>1</v>
      </c>
      <c r="AN2378" t="n">
        <v>0</v>
      </c>
      <c r="AO2378" t="n">
        <v>0</v>
      </c>
      <c r="AP2378" t="inlineStr">
        <is>
          <t>No</t>
        </is>
      </c>
      <c r="AQ2378" t="inlineStr">
        <is>
          <t>No</t>
        </is>
      </c>
      <c r="AS2378">
        <f>HYPERLINK("https://creighton-primo.hosted.exlibrisgroup.com/primo-explore/search?tab=default_tab&amp;search_scope=EVERYTHING&amp;vid=01CRU&amp;lang=en_US&amp;offset=0&amp;query=any,contains,991004883359702656","Catalog Record")</f>
        <v/>
      </c>
      <c r="AT2378">
        <f>HYPERLINK("http://www.worldcat.org/oclc/5830083","WorldCat Record")</f>
        <v/>
      </c>
      <c r="AU2378" t="inlineStr">
        <is>
          <t>20025300:eng</t>
        </is>
      </c>
      <c r="AV2378" t="inlineStr">
        <is>
          <t>5830083</t>
        </is>
      </c>
      <c r="AW2378" t="inlineStr">
        <is>
          <t>991004883359702656</t>
        </is>
      </c>
      <c r="AX2378" t="inlineStr">
        <is>
          <t>991004883359702656</t>
        </is>
      </c>
      <c r="AY2378" t="inlineStr">
        <is>
          <t>2263873620002656</t>
        </is>
      </c>
      <c r="AZ2378" t="inlineStr">
        <is>
          <t>BOOK</t>
        </is>
      </c>
      <c r="BB2378" t="inlineStr">
        <is>
          <t>9780819109330</t>
        </is>
      </c>
      <c r="BC2378" t="inlineStr">
        <is>
          <t>32285001003184</t>
        </is>
      </c>
      <c r="BD2378" t="inlineStr">
        <is>
          <t>893776543</t>
        </is>
      </c>
    </row>
    <row r="2379">
      <c r="A2379" t="inlineStr">
        <is>
          <t>No</t>
        </is>
      </c>
      <c r="B2379" t="inlineStr">
        <is>
          <t>BX4705.L7133 R45 1988</t>
        </is>
      </c>
      <c r="C2379" t="inlineStr">
        <is>
          <t>0                      BX 4705000L  7133               R  45          1988</t>
        </is>
      </c>
      <c r="D2379" t="inlineStr">
        <is>
          <t>Religion in context : recent studies in Lonergan / [edited by] Timothy P. Fallon, Philip Boo Riley.</t>
        </is>
      </c>
      <c r="F2379" t="inlineStr">
        <is>
          <t>No</t>
        </is>
      </c>
      <c r="G2379" t="inlineStr">
        <is>
          <t>1</t>
        </is>
      </c>
      <c r="H2379" t="inlineStr">
        <is>
          <t>No</t>
        </is>
      </c>
      <c r="I2379" t="inlineStr">
        <is>
          <t>No</t>
        </is>
      </c>
      <c r="J2379" t="inlineStr">
        <is>
          <t>0</t>
        </is>
      </c>
      <c r="L2379" t="inlineStr">
        <is>
          <t>Lanham : University Press of America, c1988.</t>
        </is>
      </c>
      <c r="M2379" t="inlineStr">
        <is>
          <t>1988</t>
        </is>
      </c>
      <c r="O2379" t="inlineStr">
        <is>
          <t>eng</t>
        </is>
      </c>
      <c r="P2379" t="inlineStr">
        <is>
          <t>mdu</t>
        </is>
      </c>
      <c r="Q2379" t="inlineStr">
        <is>
          <t>Resources in religion / College Theology Society ; 4</t>
        </is>
      </c>
      <c r="R2379" t="inlineStr">
        <is>
          <t xml:space="preserve">BX </t>
        </is>
      </c>
      <c r="S2379" t="n">
        <v>2</v>
      </c>
      <c r="T2379" t="n">
        <v>2</v>
      </c>
      <c r="U2379" t="inlineStr">
        <is>
          <t>1993-08-24</t>
        </is>
      </c>
      <c r="V2379" t="inlineStr">
        <is>
          <t>1993-08-24</t>
        </is>
      </c>
      <c r="W2379" t="inlineStr">
        <is>
          <t>1990-03-20</t>
        </is>
      </c>
      <c r="X2379" t="inlineStr">
        <is>
          <t>1990-03-20</t>
        </is>
      </c>
      <c r="Y2379" t="n">
        <v>153</v>
      </c>
      <c r="Z2379" t="n">
        <v>121</v>
      </c>
      <c r="AA2379" t="n">
        <v>124</v>
      </c>
      <c r="AB2379" t="n">
        <v>2</v>
      </c>
      <c r="AC2379" t="n">
        <v>2</v>
      </c>
      <c r="AD2379" t="n">
        <v>19</v>
      </c>
      <c r="AE2379" t="n">
        <v>19</v>
      </c>
      <c r="AF2379" t="n">
        <v>5</v>
      </c>
      <c r="AG2379" t="n">
        <v>5</v>
      </c>
      <c r="AH2379" t="n">
        <v>5</v>
      </c>
      <c r="AI2379" t="n">
        <v>5</v>
      </c>
      <c r="AJ2379" t="n">
        <v>15</v>
      </c>
      <c r="AK2379" t="n">
        <v>15</v>
      </c>
      <c r="AL2379" t="n">
        <v>1</v>
      </c>
      <c r="AM2379" t="n">
        <v>1</v>
      </c>
      <c r="AN2379" t="n">
        <v>0</v>
      </c>
      <c r="AO2379" t="n">
        <v>0</v>
      </c>
      <c r="AP2379" t="inlineStr">
        <is>
          <t>No</t>
        </is>
      </c>
      <c r="AQ2379" t="inlineStr">
        <is>
          <t>Yes</t>
        </is>
      </c>
      <c r="AR2379">
        <f>HYPERLINK("http://catalog.hathitrust.org/Record/001536492","HathiTrust Record")</f>
        <v/>
      </c>
      <c r="AS2379">
        <f>HYPERLINK("https://creighton-primo.hosted.exlibrisgroup.com/primo-explore/search?tab=default_tab&amp;search_scope=EVERYTHING&amp;vid=01CRU&amp;lang=en_US&amp;offset=0&amp;query=any,contains,991001316479702656","Catalog Record")</f>
        <v/>
      </c>
      <c r="AT2379">
        <f>HYPERLINK("http://www.worldcat.org/oclc/18190954","WorldCat Record")</f>
        <v/>
      </c>
      <c r="AU2379" t="inlineStr">
        <is>
          <t>431751508:eng</t>
        </is>
      </c>
      <c r="AV2379" t="inlineStr">
        <is>
          <t>18190954</t>
        </is>
      </c>
      <c r="AW2379" t="inlineStr">
        <is>
          <t>991001316479702656</t>
        </is>
      </c>
      <c r="AX2379" t="inlineStr">
        <is>
          <t>991001316479702656</t>
        </is>
      </c>
      <c r="AY2379" t="inlineStr">
        <is>
          <t>2270590740002656</t>
        </is>
      </c>
      <c r="AZ2379" t="inlineStr">
        <is>
          <t>BOOK</t>
        </is>
      </c>
      <c r="BB2379" t="inlineStr">
        <is>
          <t>9780819171382</t>
        </is>
      </c>
      <c r="BC2379" t="inlineStr">
        <is>
          <t>32285000087469</t>
        </is>
      </c>
      <c r="BD2379" t="inlineStr">
        <is>
          <t>893346416</t>
        </is>
      </c>
    </row>
    <row r="2380">
      <c r="A2380" t="inlineStr">
        <is>
          <t>No</t>
        </is>
      </c>
      <c r="B2380" t="inlineStr">
        <is>
          <t>BX4705.L7133 T7</t>
        </is>
      </c>
      <c r="C2380" t="inlineStr">
        <is>
          <t>0                      BX 4705000L  7133               T  7</t>
        </is>
      </c>
      <c r="D2380" t="inlineStr">
        <is>
          <t>The achievement of Bernard Lonergan / David Tracy.</t>
        </is>
      </c>
      <c r="F2380" t="inlineStr">
        <is>
          <t>No</t>
        </is>
      </c>
      <c r="G2380" t="inlineStr">
        <is>
          <t>1</t>
        </is>
      </c>
      <c r="H2380" t="inlineStr">
        <is>
          <t>No</t>
        </is>
      </c>
      <c r="I2380" t="inlineStr">
        <is>
          <t>No</t>
        </is>
      </c>
      <c r="J2380" t="inlineStr">
        <is>
          <t>0</t>
        </is>
      </c>
      <c r="K2380" t="inlineStr">
        <is>
          <t>Tracy, David.</t>
        </is>
      </c>
      <c r="L2380" t="inlineStr">
        <is>
          <t>[New York] : Herder and Herder, [1970]</t>
        </is>
      </c>
      <c r="M2380" t="inlineStr">
        <is>
          <t>1970</t>
        </is>
      </c>
      <c r="O2380" t="inlineStr">
        <is>
          <t>eng</t>
        </is>
      </c>
      <c r="P2380" t="inlineStr">
        <is>
          <t>nyu</t>
        </is>
      </c>
      <c r="R2380" t="inlineStr">
        <is>
          <t xml:space="preserve">BX </t>
        </is>
      </c>
      <c r="S2380" t="n">
        <v>3</v>
      </c>
      <c r="T2380" t="n">
        <v>3</v>
      </c>
      <c r="U2380" t="inlineStr">
        <is>
          <t>1993-08-24</t>
        </is>
      </c>
      <c r="V2380" t="inlineStr">
        <is>
          <t>1993-08-24</t>
        </is>
      </c>
      <c r="W2380" t="inlineStr">
        <is>
          <t>1990-03-20</t>
        </is>
      </c>
      <c r="X2380" t="inlineStr">
        <is>
          <t>1990-03-20</t>
        </is>
      </c>
      <c r="Y2380" t="n">
        <v>469</v>
      </c>
      <c r="Z2380" t="n">
        <v>398</v>
      </c>
      <c r="AA2380" t="n">
        <v>404</v>
      </c>
      <c r="AB2380" t="n">
        <v>4</v>
      </c>
      <c r="AC2380" t="n">
        <v>4</v>
      </c>
      <c r="AD2380" t="n">
        <v>37</v>
      </c>
      <c r="AE2380" t="n">
        <v>37</v>
      </c>
      <c r="AF2380" t="n">
        <v>16</v>
      </c>
      <c r="AG2380" t="n">
        <v>16</v>
      </c>
      <c r="AH2380" t="n">
        <v>7</v>
      </c>
      <c r="AI2380" t="n">
        <v>7</v>
      </c>
      <c r="AJ2380" t="n">
        <v>24</v>
      </c>
      <c r="AK2380" t="n">
        <v>24</v>
      </c>
      <c r="AL2380" t="n">
        <v>2</v>
      </c>
      <c r="AM2380" t="n">
        <v>2</v>
      </c>
      <c r="AN2380" t="n">
        <v>0</v>
      </c>
      <c r="AO2380" t="n">
        <v>0</v>
      </c>
      <c r="AP2380" t="inlineStr">
        <is>
          <t>No</t>
        </is>
      </c>
      <c r="AQ2380" t="inlineStr">
        <is>
          <t>No</t>
        </is>
      </c>
      <c r="AS2380">
        <f>HYPERLINK("https://creighton-primo.hosted.exlibrisgroup.com/primo-explore/search?tab=default_tab&amp;search_scope=EVERYTHING&amp;vid=01CRU&amp;lang=en_US&amp;offset=0&amp;query=any,contains,991000333539702656","Catalog Record")</f>
        <v/>
      </c>
      <c r="AT2380">
        <f>HYPERLINK("http://www.worldcat.org/oclc/70085","WorldCat Record")</f>
        <v/>
      </c>
      <c r="AU2380" t="inlineStr">
        <is>
          <t>1238719:eng</t>
        </is>
      </c>
      <c r="AV2380" t="inlineStr">
        <is>
          <t>70085</t>
        </is>
      </c>
      <c r="AW2380" t="inlineStr">
        <is>
          <t>991000333539702656</t>
        </is>
      </c>
      <c r="AX2380" t="inlineStr">
        <is>
          <t>991000333539702656</t>
        </is>
      </c>
      <c r="AY2380" t="inlineStr">
        <is>
          <t>2270433030002656</t>
        </is>
      </c>
      <c r="AZ2380" t="inlineStr">
        <is>
          <t>BOOK</t>
        </is>
      </c>
      <c r="BC2380" t="inlineStr">
        <is>
          <t>32285000087477</t>
        </is>
      </c>
      <c r="BD2380" t="inlineStr">
        <is>
          <t>893714499</t>
        </is>
      </c>
    </row>
    <row r="2381">
      <c r="A2381" t="inlineStr">
        <is>
          <t>No</t>
        </is>
      </c>
      <c r="B2381" t="inlineStr">
        <is>
          <t>BX4705.L714 B35 1991</t>
        </is>
      </c>
      <c r="C2381" t="inlineStr">
        <is>
          <t>0                      BX 4705000L  714                B  35          1991</t>
        </is>
      </c>
      <c r="D2381" t="inlineStr">
        <is>
          <t>The theology of Henri de Lubac : an overview / Hans Urs von Balthasar.</t>
        </is>
      </c>
      <c r="F2381" t="inlineStr">
        <is>
          <t>No</t>
        </is>
      </c>
      <c r="G2381" t="inlineStr">
        <is>
          <t>1</t>
        </is>
      </c>
      <c r="H2381" t="inlineStr">
        <is>
          <t>No</t>
        </is>
      </c>
      <c r="I2381" t="inlineStr">
        <is>
          <t>No</t>
        </is>
      </c>
      <c r="J2381" t="inlineStr">
        <is>
          <t>0</t>
        </is>
      </c>
      <c r="K2381" t="inlineStr">
        <is>
          <t>Balthasar, Hans Urs von, 1905-1988.</t>
        </is>
      </c>
      <c r="L2381" t="inlineStr">
        <is>
          <t>San Francisco : Ignatius Press, c1991.</t>
        </is>
      </c>
      <c r="M2381" t="inlineStr">
        <is>
          <t>1991</t>
        </is>
      </c>
      <c r="O2381" t="inlineStr">
        <is>
          <t>eng</t>
        </is>
      </c>
      <c r="P2381" t="inlineStr">
        <is>
          <t>cau</t>
        </is>
      </c>
      <c r="Q2381" t="inlineStr">
        <is>
          <t>Communio books</t>
        </is>
      </c>
      <c r="R2381" t="inlineStr">
        <is>
          <t xml:space="preserve">BX </t>
        </is>
      </c>
      <c r="S2381" t="n">
        <v>8</v>
      </c>
      <c r="T2381" t="n">
        <v>8</v>
      </c>
      <c r="U2381" t="inlineStr">
        <is>
          <t>2008-05-05</t>
        </is>
      </c>
      <c r="V2381" t="inlineStr">
        <is>
          <t>2008-05-05</t>
        </is>
      </c>
      <c r="W2381" t="inlineStr">
        <is>
          <t>1992-08-25</t>
        </is>
      </c>
      <c r="X2381" t="inlineStr">
        <is>
          <t>1992-08-25</t>
        </is>
      </c>
      <c r="Y2381" t="n">
        <v>224</v>
      </c>
      <c r="Z2381" t="n">
        <v>182</v>
      </c>
      <c r="AA2381" t="n">
        <v>195</v>
      </c>
      <c r="AB2381" t="n">
        <v>2</v>
      </c>
      <c r="AC2381" t="n">
        <v>2</v>
      </c>
      <c r="AD2381" t="n">
        <v>20</v>
      </c>
      <c r="AE2381" t="n">
        <v>20</v>
      </c>
      <c r="AF2381" t="n">
        <v>7</v>
      </c>
      <c r="AG2381" t="n">
        <v>7</v>
      </c>
      <c r="AH2381" t="n">
        <v>4</v>
      </c>
      <c r="AI2381" t="n">
        <v>4</v>
      </c>
      <c r="AJ2381" t="n">
        <v>15</v>
      </c>
      <c r="AK2381" t="n">
        <v>15</v>
      </c>
      <c r="AL2381" t="n">
        <v>0</v>
      </c>
      <c r="AM2381" t="n">
        <v>0</v>
      </c>
      <c r="AN2381" t="n">
        <v>0</v>
      </c>
      <c r="AO2381" t="n">
        <v>0</v>
      </c>
      <c r="AP2381" t="inlineStr">
        <is>
          <t>No</t>
        </is>
      </c>
      <c r="AQ2381" t="inlineStr">
        <is>
          <t>No</t>
        </is>
      </c>
      <c r="AS2381">
        <f>HYPERLINK("https://creighton-primo.hosted.exlibrisgroup.com/primo-explore/search?tab=default_tab&amp;search_scope=EVERYTHING&amp;vid=01CRU&amp;lang=en_US&amp;offset=0&amp;query=any,contains,991001945239702656","Catalog Record")</f>
        <v/>
      </c>
      <c r="AT2381">
        <f>HYPERLINK("http://www.worldcat.org/oclc/24584738","WorldCat Record")</f>
        <v/>
      </c>
      <c r="AU2381" t="inlineStr">
        <is>
          <t>1151257776:eng</t>
        </is>
      </c>
      <c r="AV2381" t="inlineStr">
        <is>
          <t>24584738</t>
        </is>
      </c>
      <c r="AW2381" t="inlineStr">
        <is>
          <t>991001945239702656</t>
        </is>
      </c>
      <c r="AX2381" t="inlineStr">
        <is>
          <t>991001945239702656</t>
        </is>
      </c>
      <c r="AY2381" t="inlineStr">
        <is>
          <t>2258621520002656</t>
        </is>
      </c>
      <c r="AZ2381" t="inlineStr">
        <is>
          <t>BOOK</t>
        </is>
      </c>
      <c r="BB2381" t="inlineStr">
        <is>
          <t>9780898703504</t>
        </is>
      </c>
      <c r="BC2381" t="inlineStr">
        <is>
          <t>32285001198539</t>
        </is>
      </c>
      <c r="BD2381" t="inlineStr">
        <is>
          <t>893334746</t>
        </is>
      </c>
    </row>
    <row r="2382">
      <c r="A2382" t="inlineStr">
        <is>
          <t>No</t>
        </is>
      </c>
      <c r="B2382" t="inlineStr">
        <is>
          <t>BX4705.L791 L83 1985</t>
        </is>
      </c>
      <c r="C2382" t="inlineStr">
        <is>
          <t>0                      BX 4705000L  791                L  83          1985</t>
        </is>
      </c>
      <c r="D2382" t="inlineStr">
        <is>
          <t>De Lubac : a theologian speaks.</t>
        </is>
      </c>
      <c r="F2382" t="inlineStr">
        <is>
          <t>No</t>
        </is>
      </c>
      <c r="G2382" t="inlineStr">
        <is>
          <t>1</t>
        </is>
      </c>
      <c r="H2382" t="inlineStr">
        <is>
          <t>No</t>
        </is>
      </c>
      <c r="I2382" t="inlineStr">
        <is>
          <t>No</t>
        </is>
      </c>
      <c r="J2382" t="inlineStr">
        <is>
          <t>0</t>
        </is>
      </c>
      <c r="K2382" t="inlineStr">
        <is>
          <t>Lubac, Henri de, 1896-1991.</t>
        </is>
      </c>
      <c r="L2382" t="inlineStr">
        <is>
          <t>Los Angeles, Calif. : Twin Circle Publishing Co., c1985.</t>
        </is>
      </c>
      <c r="M2382" t="inlineStr">
        <is>
          <t>1985</t>
        </is>
      </c>
      <c r="O2382" t="inlineStr">
        <is>
          <t>eng</t>
        </is>
      </c>
      <c r="P2382" t="inlineStr">
        <is>
          <t>cau</t>
        </is>
      </c>
      <c r="R2382" t="inlineStr">
        <is>
          <t xml:space="preserve">BX </t>
        </is>
      </c>
      <c r="S2382" t="n">
        <v>1</v>
      </c>
      <c r="T2382" t="n">
        <v>1</v>
      </c>
      <c r="U2382" t="inlineStr">
        <is>
          <t>1992-10-27</t>
        </is>
      </c>
      <c r="V2382" t="inlineStr">
        <is>
          <t>1992-10-27</t>
        </is>
      </c>
      <c r="W2382" t="inlineStr">
        <is>
          <t>1990-03-02</t>
        </is>
      </c>
      <c r="X2382" t="inlineStr">
        <is>
          <t>1990-03-02</t>
        </is>
      </c>
      <c r="Y2382" t="n">
        <v>43</v>
      </c>
      <c r="Z2382" t="n">
        <v>34</v>
      </c>
      <c r="AA2382" t="n">
        <v>34</v>
      </c>
      <c r="AB2382" t="n">
        <v>2</v>
      </c>
      <c r="AC2382" t="n">
        <v>2</v>
      </c>
      <c r="AD2382" t="n">
        <v>7</v>
      </c>
      <c r="AE2382" t="n">
        <v>7</v>
      </c>
      <c r="AF2382" t="n">
        <v>2</v>
      </c>
      <c r="AG2382" t="n">
        <v>2</v>
      </c>
      <c r="AH2382" t="n">
        <v>2</v>
      </c>
      <c r="AI2382" t="n">
        <v>2</v>
      </c>
      <c r="AJ2382" t="n">
        <v>5</v>
      </c>
      <c r="AK2382" t="n">
        <v>5</v>
      </c>
      <c r="AL2382" t="n">
        <v>0</v>
      </c>
      <c r="AM2382" t="n">
        <v>0</v>
      </c>
      <c r="AN2382" t="n">
        <v>0</v>
      </c>
      <c r="AO2382" t="n">
        <v>0</v>
      </c>
      <c r="AP2382" t="inlineStr">
        <is>
          <t>No</t>
        </is>
      </c>
      <c r="AQ2382" t="inlineStr">
        <is>
          <t>No</t>
        </is>
      </c>
      <c r="AS2382">
        <f>HYPERLINK("https://creighton-primo.hosted.exlibrisgroup.com/primo-explore/search?tab=default_tab&amp;search_scope=EVERYTHING&amp;vid=01CRU&amp;lang=en_US&amp;offset=0&amp;query=any,contains,991000869259702656","Catalog Record")</f>
        <v/>
      </c>
      <c r="AT2382">
        <f>HYPERLINK("http://www.worldcat.org/oclc/13772386","WorldCat Record")</f>
        <v/>
      </c>
      <c r="AU2382" t="inlineStr">
        <is>
          <t>7331412:eng</t>
        </is>
      </c>
      <c r="AV2382" t="inlineStr">
        <is>
          <t>13772386</t>
        </is>
      </c>
      <c r="AW2382" t="inlineStr">
        <is>
          <t>991000869259702656</t>
        </is>
      </c>
      <c r="AX2382" t="inlineStr">
        <is>
          <t>991000869259702656</t>
        </is>
      </c>
      <c r="AY2382" t="inlineStr">
        <is>
          <t>2266200040002656</t>
        </is>
      </c>
      <c r="AZ2382" t="inlineStr">
        <is>
          <t>BOOK</t>
        </is>
      </c>
      <c r="BC2382" t="inlineStr">
        <is>
          <t>32285000074517</t>
        </is>
      </c>
      <c r="BD2382" t="inlineStr">
        <is>
          <t>893602132</t>
        </is>
      </c>
    </row>
    <row r="2383">
      <c r="A2383" t="inlineStr">
        <is>
          <t>No</t>
        </is>
      </c>
      <c r="B2383" t="inlineStr">
        <is>
          <t>BX4705.L7918 M55 2005</t>
        </is>
      </c>
      <c r="C2383" t="inlineStr">
        <is>
          <t>0                      BX 4705000L  7918               M  55          2005</t>
        </is>
      </c>
      <c r="D2383" t="inlineStr">
        <is>
          <t>The suspended middle : Henri de Lubac and the debate concerning the supernatural / John Milbank.</t>
        </is>
      </c>
      <c r="F2383" t="inlineStr">
        <is>
          <t>No</t>
        </is>
      </c>
      <c r="G2383" t="inlineStr">
        <is>
          <t>1</t>
        </is>
      </c>
      <c r="H2383" t="inlineStr">
        <is>
          <t>No</t>
        </is>
      </c>
      <c r="I2383" t="inlineStr">
        <is>
          <t>No</t>
        </is>
      </c>
      <c r="J2383" t="inlineStr">
        <is>
          <t>0</t>
        </is>
      </c>
      <c r="K2383" t="inlineStr">
        <is>
          <t>Milbank, John.</t>
        </is>
      </c>
      <c r="L2383" t="inlineStr">
        <is>
          <t>Grand Rapids, Mich. : William B. Eerdmans Pub., c2005.</t>
        </is>
      </c>
      <c r="M2383" t="inlineStr">
        <is>
          <t>2005</t>
        </is>
      </c>
      <c r="O2383" t="inlineStr">
        <is>
          <t>eng</t>
        </is>
      </c>
      <c r="P2383" t="inlineStr">
        <is>
          <t>miu</t>
        </is>
      </c>
      <c r="R2383" t="inlineStr">
        <is>
          <t xml:space="preserve">BX </t>
        </is>
      </c>
      <c r="S2383" t="n">
        <v>5</v>
      </c>
      <c r="T2383" t="n">
        <v>5</v>
      </c>
      <c r="U2383" t="inlineStr">
        <is>
          <t>2010-04-08</t>
        </is>
      </c>
      <c r="V2383" t="inlineStr">
        <is>
          <t>2010-04-08</t>
        </is>
      </c>
      <c r="W2383" t="inlineStr">
        <is>
          <t>2005-11-30</t>
        </is>
      </c>
      <c r="X2383" t="inlineStr">
        <is>
          <t>2005-11-30</t>
        </is>
      </c>
      <c r="Y2383" t="n">
        <v>251</v>
      </c>
      <c r="Z2383" t="n">
        <v>194</v>
      </c>
      <c r="AA2383" t="n">
        <v>207</v>
      </c>
      <c r="AB2383" t="n">
        <v>2</v>
      </c>
      <c r="AC2383" t="n">
        <v>2</v>
      </c>
      <c r="AD2383" t="n">
        <v>18</v>
      </c>
      <c r="AE2383" t="n">
        <v>18</v>
      </c>
      <c r="AF2383" t="n">
        <v>5</v>
      </c>
      <c r="AG2383" t="n">
        <v>5</v>
      </c>
      <c r="AH2383" t="n">
        <v>6</v>
      </c>
      <c r="AI2383" t="n">
        <v>6</v>
      </c>
      <c r="AJ2383" t="n">
        <v>10</v>
      </c>
      <c r="AK2383" t="n">
        <v>10</v>
      </c>
      <c r="AL2383" t="n">
        <v>1</v>
      </c>
      <c r="AM2383" t="n">
        <v>1</v>
      </c>
      <c r="AN2383" t="n">
        <v>0</v>
      </c>
      <c r="AO2383" t="n">
        <v>0</v>
      </c>
      <c r="AP2383" t="inlineStr">
        <is>
          <t>No</t>
        </is>
      </c>
      <c r="AQ2383" t="inlineStr">
        <is>
          <t>No</t>
        </is>
      </c>
      <c r="AS2383">
        <f>HYPERLINK("https://creighton-primo.hosted.exlibrisgroup.com/primo-explore/search?tab=default_tab&amp;search_scope=EVERYTHING&amp;vid=01CRU&amp;lang=en_US&amp;offset=0&amp;query=any,contains,991004684579702656","Catalog Record")</f>
        <v/>
      </c>
      <c r="AT2383">
        <f>HYPERLINK("http://www.worldcat.org/oclc/60321502","WorldCat Record")</f>
        <v/>
      </c>
      <c r="AU2383" t="inlineStr">
        <is>
          <t>890488876:eng</t>
        </is>
      </c>
      <c r="AV2383" t="inlineStr">
        <is>
          <t>60321502</t>
        </is>
      </c>
      <c r="AW2383" t="inlineStr">
        <is>
          <t>991004684579702656</t>
        </is>
      </c>
      <c r="AX2383" t="inlineStr">
        <is>
          <t>991004684579702656</t>
        </is>
      </c>
      <c r="AY2383" t="inlineStr">
        <is>
          <t>2257136950002656</t>
        </is>
      </c>
      <c r="AZ2383" t="inlineStr">
        <is>
          <t>BOOK</t>
        </is>
      </c>
      <c r="BB2383" t="inlineStr">
        <is>
          <t>9780802828996</t>
        </is>
      </c>
      <c r="BC2383" t="inlineStr">
        <is>
          <t>32285005149330</t>
        </is>
      </c>
      <c r="BD2383" t="inlineStr">
        <is>
          <t>893722552</t>
        </is>
      </c>
    </row>
    <row r="2384">
      <c r="A2384" t="inlineStr">
        <is>
          <t>No</t>
        </is>
      </c>
      <c r="B2384" t="inlineStr">
        <is>
          <t>BX4705.L795 A3 1970</t>
        </is>
      </c>
      <c r="C2384" t="inlineStr">
        <is>
          <t>0                      BX 4705000L  795                A  3           1970</t>
        </is>
      </c>
      <c r="D2384" t="inlineStr">
        <is>
          <t>Black priest/white church : Catholics and racism / by Lawrence Lucas.</t>
        </is>
      </c>
      <c r="F2384" t="inlineStr">
        <is>
          <t>No</t>
        </is>
      </c>
      <c r="G2384" t="inlineStr">
        <is>
          <t>1</t>
        </is>
      </c>
      <c r="H2384" t="inlineStr">
        <is>
          <t>No</t>
        </is>
      </c>
      <c r="I2384" t="inlineStr">
        <is>
          <t>No</t>
        </is>
      </c>
      <c r="J2384" t="inlineStr">
        <is>
          <t>0</t>
        </is>
      </c>
      <c r="K2384" t="inlineStr">
        <is>
          <t>Lucas, Lawrence E., 1933-</t>
        </is>
      </c>
      <c r="L2384" t="inlineStr">
        <is>
          <t>New York : Random House, [1970]</t>
        </is>
      </c>
      <c r="M2384" t="inlineStr">
        <is>
          <t>1970</t>
        </is>
      </c>
      <c r="N2384" t="inlineStr">
        <is>
          <t>[1st ed.]</t>
        </is>
      </c>
      <c r="O2384" t="inlineStr">
        <is>
          <t>eng</t>
        </is>
      </c>
      <c r="P2384" t="inlineStr">
        <is>
          <t>nyu</t>
        </is>
      </c>
      <c r="R2384" t="inlineStr">
        <is>
          <t xml:space="preserve">BX </t>
        </is>
      </c>
      <c r="S2384" t="n">
        <v>5</v>
      </c>
      <c r="T2384" t="n">
        <v>5</v>
      </c>
      <c r="U2384" t="inlineStr">
        <is>
          <t>2005-03-02</t>
        </is>
      </c>
      <c r="V2384" t="inlineStr">
        <is>
          <t>2005-03-02</t>
        </is>
      </c>
      <c r="W2384" t="inlineStr">
        <is>
          <t>1990-03-02</t>
        </is>
      </c>
      <c r="X2384" t="inlineStr">
        <is>
          <t>1990-03-02</t>
        </is>
      </c>
      <c r="Y2384" t="n">
        <v>562</v>
      </c>
      <c r="Z2384" t="n">
        <v>538</v>
      </c>
      <c r="AA2384" t="n">
        <v>591</v>
      </c>
      <c r="AB2384" t="n">
        <v>5</v>
      </c>
      <c r="AC2384" t="n">
        <v>5</v>
      </c>
      <c r="AD2384" t="n">
        <v>31</v>
      </c>
      <c r="AE2384" t="n">
        <v>35</v>
      </c>
      <c r="AF2384" t="n">
        <v>10</v>
      </c>
      <c r="AG2384" t="n">
        <v>12</v>
      </c>
      <c r="AH2384" t="n">
        <v>7</v>
      </c>
      <c r="AI2384" t="n">
        <v>8</v>
      </c>
      <c r="AJ2384" t="n">
        <v>20</v>
      </c>
      <c r="AK2384" t="n">
        <v>23</v>
      </c>
      <c r="AL2384" t="n">
        <v>2</v>
      </c>
      <c r="AM2384" t="n">
        <v>2</v>
      </c>
      <c r="AN2384" t="n">
        <v>0</v>
      </c>
      <c r="AO2384" t="n">
        <v>0</v>
      </c>
      <c r="AP2384" t="inlineStr">
        <is>
          <t>No</t>
        </is>
      </c>
      <c r="AQ2384" t="inlineStr">
        <is>
          <t>Yes</t>
        </is>
      </c>
      <c r="AR2384">
        <f>HYPERLINK("http://catalog.hathitrust.org/Record/001592040","HathiTrust Record")</f>
        <v/>
      </c>
      <c r="AS2384">
        <f>HYPERLINK("https://creighton-primo.hosted.exlibrisgroup.com/primo-explore/search?tab=default_tab&amp;search_scope=EVERYTHING&amp;vid=01CRU&amp;lang=en_US&amp;offset=0&amp;query=any,contains,991000587259702656","Catalog Record")</f>
        <v/>
      </c>
      <c r="AT2384">
        <f>HYPERLINK("http://www.worldcat.org/oclc/96397","WorldCat Record")</f>
        <v/>
      </c>
      <c r="AU2384" t="inlineStr">
        <is>
          <t>12480304:eng</t>
        </is>
      </c>
      <c r="AV2384" t="inlineStr">
        <is>
          <t>96397</t>
        </is>
      </c>
      <c r="AW2384" t="inlineStr">
        <is>
          <t>991000587259702656</t>
        </is>
      </c>
      <c r="AX2384" t="inlineStr">
        <is>
          <t>991000587259702656</t>
        </is>
      </c>
      <c r="AY2384" t="inlineStr">
        <is>
          <t>2271319730002656</t>
        </is>
      </c>
      <c r="AZ2384" t="inlineStr">
        <is>
          <t>BOOK</t>
        </is>
      </c>
      <c r="BC2384" t="inlineStr">
        <is>
          <t>32285000074525</t>
        </is>
      </c>
      <c r="BD2384" t="inlineStr">
        <is>
          <t>893790660</t>
        </is>
      </c>
    </row>
    <row r="2385">
      <c r="A2385" t="inlineStr">
        <is>
          <t>No</t>
        </is>
      </c>
      <c r="B2385" t="inlineStr">
        <is>
          <t>BX4705.L93 P4</t>
        </is>
      </c>
      <c r="C2385" t="inlineStr">
        <is>
          <t>0                      BX 4705000L  93                 P  4</t>
        </is>
      </c>
      <c r="D2385" t="inlineStr">
        <is>
          <t>Fool of love; the life of Ramon Lull [by] E. Allison Peers.</t>
        </is>
      </c>
      <c r="F2385" t="inlineStr">
        <is>
          <t>No</t>
        </is>
      </c>
      <c r="G2385" t="inlineStr">
        <is>
          <t>1</t>
        </is>
      </c>
      <c r="H2385" t="inlineStr">
        <is>
          <t>No</t>
        </is>
      </c>
      <c r="I2385" t="inlineStr">
        <is>
          <t>No</t>
        </is>
      </c>
      <c r="J2385" t="inlineStr">
        <is>
          <t>0</t>
        </is>
      </c>
      <c r="K2385" t="inlineStr">
        <is>
          <t>Peers, E. Allison (Edgar Allison), 1891-1952.</t>
        </is>
      </c>
      <c r="L2385" t="inlineStr">
        <is>
          <t>London, S.C.M. press limited [1946]</t>
        </is>
      </c>
      <c r="M2385" t="inlineStr">
        <is>
          <t>1946</t>
        </is>
      </c>
      <c r="O2385" t="inlineStr">
        <is>
          <t>eng</t>
        </is>
      </c>
      <c r="P2385" t="inlineStr">
        <is>
          <t>___</t>
        </is>
      </c>
      <c r="R2385" t="inlineStr">
        <is>
          <t xml:space="preserve">BX </t>
        </is>
      </c>
      <c r="S2385" t="n">
        <v>2</v>
      </c>
      <c r="T2385" t="n">
        <v>2</v>
      </c>
      <c r="U2385" t="inlineStr">
        <is>
          <t>1994-01-11</t>
        </is>
      </c>
      <c r="V2385" t="inlineStr">
        <is>
          <t>1994-01-11</t>
        </is>
      </c>
      <c r="W2385" t="inlineStr">
        <is>
          <t>1992-03-23</t>
        </is>
      </c>
      <c r="X2385" t="inlineStr">
        <is>
          <t>1992-03-23</t>
        </is>
      </c>
      <c r="Y2385" t="n">
        <v>358</v>
      </c>
      <c r="Z2385" t="n">
        <v>262</v>
      </c>
      <c r="AA2385" t="n">
        <v>271</v>
      </c>
      <c r="AB2385" t="n">
        <v>3</v>
      </c>
      <c r="AC2385" t="n">
        <v>3</v>
      </c>
      <c r="AD2385" t="n">
        <v>19</v>
      </c>
      <c r="AE2385" t="n">
        <v>19</v>
      </c>
      <c r="AF2385" t="n">
        <v>8</v>
      </c>
      <c r="AG2385" t="n">
        <v>8</v>
      </c>
      <c r="AH2385" t="n">
        <v>2</v>
      </c>
      <c r="AI2385" t="n">
        <v>2</v>
      </c>
      <c r="AJ2385" t="n">
        <v>15</v>
      </c>
      <c r="AK2385" t="n">
        <v>15</v>
      </c>
      <c r="AL2385" t="n">
        <v>1</v>
      </c>
      <c r="AM2385" t="n">
        <v>1</v>
      </c>
      <c r="AN2385" t="n">
        <v>0</v>
      </c>
      <c r="AO2385" t="n">
        <v>0</v>
      </c>
      <c r="AP2385" t="inlineStr">
        <is>
          <t>No</t>
        </is>
      </c>
      <c r="AQ2385" t="inlineStr">
        <is>
          <t>Yes</t>
        </is>
      </c>
      <c r="AR2385">
        <f>HYPERLINK("http://catalog.hathitrust.org/Record/001217818","HathiTrust Record")</f>
        <v/>
      </c>
      <c r="AS2385">
        <f>HYPERLINK("https://creighton-primo.hosted.exlibrisgroup.com/primo-explore/search?tab=default_tab&amp;search_scope=EVERYTHING&amp;vid=01CRU&amp;lang=en_US&amp;offset=0&amp;query=any,contains,991002186499702656","Catalog Record")</f>
        <v/>
      </c>
      <c r="AT2385">
        <f>HYPERLINK("http://www.worldcat.org/oclc/280019","WorldCat Record")</f>
        <v/>
      </c>
      <c r="AU2385" t="inlineStr">
        <is>
          <t>309148898:eng</t>
        </is>
      </c>
      <c r="AV2385" t="inlineStr">
        <is>
          <t>280019</t>
        </is>
      </c>
      <c r="AW2385" t="inlineStr">
        <is>
          <t>991002186499702656</t>
        </is>
      </c>
      <c r="AX2385" t="inlineStr">
        <is>
          <t>991002186499702656</t>
        </is>
      </c>
      <c r="AY2385" t="inlineStr">
        <is>
          <t>2265295750002656</t>
        </is>
      </c>
      <c r="AZ2385" t="inlineStr">
        <is>
          <t>BOOK</t>
        </is>
      </c>
      <c r="BC2385" t="inlineStr">
        <is>
          <t>32285001003275</t>
        </is>
      </c>
      <c r="BD2385" t="inlineStr">
        <is>
          <t>893433582</t>
        </is>
      </c>
    </row>
    <row r="2386">
      <c r="A2386" t="inlineStr">
        <is>
          <t>No</t>
        </is>
      </c>
      <c r="B2386" t="inlineStr">
        <is>
          <t>BX4705.M197 A34 1972</t>
        </is>
      </c>
      <c r="C2386" t="inlineStr">
        <is>
          <t>0                      BX 4705000M  197                A  34          1972</t>
        </is>
      </c>
      <c r="D2386" t="inlineStr">
        <is>
          <t>Living to beat hell! / by Joseph T. McGloin. Illustrated by Don Baumgart.</t>
        </is>
      </c>
      <c r="F2386" t="inlineStr">
        <is>
          <t>No</t>
        </is>
      </c>
      <c r="G2386" t="inlineStr">
        <is>
          <t>1</t>
        </is>
      </c>
      <c r="H2386" t="inlineStr">
        <is>
          <t>No</t>
        </is>
      </c>
      <c r="I2386" t="inlineStr">
        <is>
          <t>No</t>
        </is>
      </c>
      <c r="J2386" t="inlineStr">
        <is>
          <t>0</t>
        </is>
      </c>
      <c r="K2386" t="inlineStr">
        <is>
          <t>McGloin, Joseph T.</t>
        </is>
      </c>
      <c r="L2386" t="inlineStr">
        <is>
          <t>Englewood Cliffs, N.J. : Prentice-Hall, [1972]</t>
        </is>
      </c>
      <c r="M2386" t="inlineStr">
        <is>
          <t>1972</t>
        </is>
      </c>
      <c r="O2386" t="inlineStr">
        <is>
          <t>eng</t>
        </is>
      </c>
      <c r="P2386" t="inlineStr">
        <is>
          <t>nju</t>
        </is>
      </c>
      <c r="R2386" t="inlineStr">
        <is>
          <t xml:space="preserve">BX </t>
        </is>
      </c>
      <c r="S2386" t="n">
        <v>3</v>
      </c>
      <c r="T2386" t="n">
        <v>3</v>
      </c>
      <c r="U2386" t="inlineStr">
        <is>
          <t>1996-04-21</t>
        </is>
      </c>
      <c r="V2386" t="inlineStr">
        <is>
          <t>1996-04-21</t>
        </is>
      </c>
      <c r="W2386" t="inlineStr">
        <is>
          <t>1992-03-23</t>
        </is>
      </c>
      <c r="X2386" t="inlineStr">
        <is>
          <t>1992-03-23</t>
        </is>
      </c>
      <c r="Y2386" t="n">
        <v>125</v>
      </c>
      <c r="Z2386" t="n">
        <v>122</v>
      </c>
      <c r="AA2386" t="n">
        <v>160</v>
      </c>
      <c r="AB2386" t="n">
        <v>5</v>
      </c>
      <c r="AC2386" t="n">
        <v>5</v>
      </c>
      <c r="AD2386" t="n">
        <v>10</v>
      </c>
      <c r="AE2386" t="n">
        <v>14</v>
      </c>
      <c r="AF2386" t="n">
        <v>2</v>
      </c>
      <c r="AG2386" t="n">
        <v>3</v>
      </c>
      <c r="AH2386" t="n">
        <v>0</v>
      </c>
      <c r="AI2386" t="n">
        <v>2</v>
      </c>
      <c r="AJ2386" t="n">
        <v>7</v>
      </c>
      <c r="AK2386" t="n">
        <v>11</v>
      </c>
      <c r="AL2386" t="n">
        <v>2</v>
      </c>
      <c r="AM2386" t="n">
        <v>2</v>
      </c>
      <c r="AN2386" t="n">
        <v>0</v>
      </c>
      <c r="AO2386" t="n">
        <v>0</v>
      </c>
      <c r="AP2386" t="inlineStr">
        <is>
          <t>No</t>
        </is>
      </c>
      <c r="AQ2386" t="inlineStr">
        <is>
          <t>No</t>
        </is>
      </c>
      <c r="AS2386">
        <f>HYPERLINK("https://creighton-primo.hosted.exlibrisgroup.com/primo-explore/search?tab=default_tab&amp;search_scope=EVERYTHING&amp;vid=01CRU&amp;lang=en_US&amp;offset=0&amp;query=any,contains,991001950849702656","Catalog Record")</f>
        <v/>
      </c>
      <c r="AT2386">
        <f>HYPERLINK("http://www.worldcat.org/oclc/252143","WorldCat Record")</f>
        <v/>
      </c>
      <c r="AU2386" t="inlineStr">
        <is>
          <t>1342467:eng</t>
        </is>
      </c>
      <c r="AV2386" t="inlineStr">
        <is>
          <t>252143</t>
        </is>
      </c>
      <c r="AW2386" t="inlineStr">
        <is>
          <t>991001950849702656</t>
        </is>
      </c>
      <c r="AX2386" t="inlineStr">
        <is>
          <t>991001950849702656</t>
        </is>
      </c>
      <c r="AY2386" t="inlineStr">
        <is>
          <t>2270050140002656</t>
        </is>
      </c>
      <c r="AZ2386" t="inlineStr">
        <is>
          <t>BOOK</t>
        </is>
      </c>
      <c r="BB2386" t="inlineStr">
        <is>
          <t>9780135384961</t>
        </is>
      </c>
      <c r="BC2386" t="inlineStr">
        <is>
          <t>32285001003341</t>
        </is>
      </c>
      <c r="BD2386" t="inlineStr">
        <is>
          <t>893328495</t>
        </is>
      </c>
    </row>
    <row r="2387">
      <c r="A2387" t="inlineStr">
        <is>
          <t>No</t>
        </is>
      </c>
      <c r="B2387" t="inlineStr">
        <is>
          <t>BX4705.M233 J63</t>
        </is>
      </c>
      <c r="C2387" t="inlineStr">
        <is>
          <t>0                      BX 4705000M  233                J  63</t>
        </is>
      </c>
      <c r="D2387" t="inlineStr">
        <is>
          <t>Her life for His friends : a biography of Terry McHugh, 1950-1977 / Cecelia D. Johnson.</t>
        </is>
      </c>
      <c r="F2387" t="inlineStr">
        <is>
          <t>No</t>
        </is>
      </c>
      <c r="G2387" t="inlineStr">
        <is>
          <t>1</t>
        </is>
      </c>
      <c r="H2387" t="inlineStr">
        <is>
          <t>No</t>
        </is>
      </c>
      <c r="I2387" t="inlineStr">
        <is>
          <t>No</t>
        </is>
      </c>
      <c r="J2387" t="inlineStr">
        <is>
          <t>0</t>
        </is>
      </c>
      <c r="K2387" t="inlineStr">
        <is>
          <t>Johnson, Cecelia D.</t>
        </is>
      </c>
      <c r="L2387" t="inlineStr">
        <is>
          <t>Chicago, Ill. : Fides/Claretian, 1980.</t>
        </is>
      </c>
      <c r="M2387" t="inlineStr">
        <is>
          <t>1981</t>
        </is>
      </c>
      <c r="O2387" t="inlineStr">
        <is>
          <t>eng</t>
        </is>
      </c>
      <c r="P2387" t="inlineStr">
        <is>
          <t>ilu</t>
        </is>
      </c>
      <c r="R2387" t="inlineStr">
        <is>
          <t xml:space="preserve">BX </t>
        </is>
      </c>
      <c r="S2387" t="n">
        <v>1</v>
      </c>
      <c r="T2387" t="n">
        <v>1</v>
      </c>
      <c r="U2387" t="inlineStr">
        <is>
          <t>1992-10-12</t>
        </is>
      </c>
      <c r="V2387" t="inlineStr">
        <is>
          <t>1992-10-12</t>
        </is>
      </c>
      <c r="W2387" t="inlineStr">
        <is>
          <t>1992-03-23</t>
        </is>
      </c>
      <c r="X2387" t="inlineStr">
        <is>
          <t>1992-03-23</t>
        </is>
      </c>
      <c r="Y2387" t="n">
        <v>50</v>
      </c>
      <c r="Z2387" t="n">
        <v>49</v>
      </c>
      <c r="AA2387" t="n">
        <v>49</v>
      </c>
      <c r="AB2387" t="n">
        <v>1</v>
      </c>
      <c r="AC2387" t="n">
        <v>1</v>
      </c>
      <c r="AD2387" t="n">
        <v>7</v>
      </c>
      <c r="AE2387" t="n">
        <v>7</v>
      </c>
      <c r="AF2387" t="n">
        <v>2</v>
      </c>
      <c r="AG2387" t="n">
        <v>2</v>
      </c>
      <c r="AH2387" t="n">
        <v>3</v>
      </c>
      <c r="AI2387" t="n">
        <v>3</v>
      </c>
      <c r="AJ2387" t="n">
        <v>6</v>
      </c>
      <c r="AK2387" t="n">
        <v>6</v>
      </c>
      <c r="AL2387" t="n">
        <v>0</v>
      </c>
      <c r="AM2387" t="n">
        <v>0</v>
      </c>
      <c r="AN2387" t="n">
        <v>0</v>
      </c>
      <c r="AO2387" t="n">
        <v>0</v>
      </c>
      <c r="AP2387" t="inlineStr">
        <is>
          <t>No</t>
        </is>
      </c>
      <c r="AQ2387" t="inlineStr">
        <is>
          <t>No</t>
        </is>
      </c>
      <c r="AS2387">
        <f>HYPERLINK("https://creighton-primo.hosted.exlibrisgroup.com/primo-explore/search?tab=default_tab&amp;search_scope=EVERYTHING&amp;vid=01CRU&amp;lang=en_US&amp;offset=0&amp;query=any,contains,991005059909702656","Catalog Record")</f>
        <v/>
      </c>
      <c r="AT2387">
        <f>HYPERLINK("http://www.worldcat.org/oclc/6916339","WorldCat Record")</f>
        <v/>
      </c>
      <c r="AU2387" t="inlineStr">
        <is>
          <t>24740099:eng</t>
        </is>
      </c>
      <c r="AV2387" t="inlineStr">
        <is>
          <t>6916339</t>
        </is>
      </c>
      <c r="AW2387" t="inlineStr">
        <is>
          <t>991005059909702656</t>
        </is>
      </c>
      <c r="AX2387" t="inlineStr">
        <is>
          <t>991005059909702656</t>
        </is>
      </c>
      <c r="AY2387" t="inlineStr">
        <is>
          <t>2266263350002656</t>
        </is>
      </c>
      <c r="AZ2387" t="inlineStr">
        <is>
          <t>BOOK</t>
        </is>
      </c>
      <c r="BB2387" t="inlineStr">
        <is>
          <t>9780819006400</t>
        </is>
      </c>
      <c r="BC2387" t="inlineStr">
        <is>
          <t>32285001003366</t>
        </is>
      </c>
      <c r="BD2387" t="inlineStr">
        <is>
          <t>893533093</t>
        </is>
      </c>
    </row>
    <row r="2388">
      <c r="A2388" t="inlineStr">
        <is>
          <t>No</t>
        </is>
      </c>
      <c r="B2388" t="inlineStr">
        <is>
          <t>BX4705.M253 M4 1888</t>
        </is>
      </c>
      <c r="C2388" t="inlineStr">
        <is>
          <t>0                      BX 4705000M  253                M  4           1888</t>
        </is>
      </c>
      <c r="D2388" t="inlineStr">
        <is>
          <t>The life and writings of the Right Reverend John McMullen, D. D. : first bishop of Davenport, Iowa / by James J. McGovern. With an introduction by John Lancaster Spalding.</t>
        </is>
      </c>
      <c r="F2388" t="inlineStr">
        <is>
          <t>No</t>
        </is>
      </c>
      <c r="G2388" t="inlineStr">
        <is>
          <t>1</t>
        </is>
      </c>
      <c r="H2388" t="inlineStr">
        <is>
          <t>No</t>
        </is>
      </c>
      <c r="I2388" t="inlineStr">
        <is>
          <t>No</t>
        </is>
      </c>
      <c r="J2388" t="inlineStr">
        <is>
          <t>0</t>
        </is>
      </c>
      <c r="K2388" t="inlineStr">
        <is>
          <t>McGovern, James J. (James Joseph), 1839-1914.</t>
        </is>
      </c>
      <c r="L2388" t="inlineStr">
        <is>
          <t>Chicago ; Milwaukee : Hoffmann, 1888.</t>
        </is>
      </c>
      <c r="M2388" t="inlineStr">
        <is>
          <t>1888</t>
        </is>
      </c>
      <c r="O2388" t="inlineStr">
        <is>
          <t>eng</t>
        </is>
      </c>
      <c r="P2388" t="inlineStr">
        <is>
          <t>ilu</t>
        </is>
      </c>
      <c r="R2388" t="inlineStr">
        <is>
          <t xml:space="preserve">BX </t>
        </is>
      </c>
      <c r="S2388" t="n">
        <v>1</v>
      </c>
      <c r="T2388" t="n">
        <v>1</v>
      </c>
      <c r="U2388" t="inlineStr">
        <is>
          <t>1998-07-02</t>
        </is>
      </c>
      <c r="V2388" t="inlineStr">
        <is>
          <t>1998-07-02</t>
        </is>
      </c>
      <c r="W2388" t="inlineStr">
        <is>
          <t>1990-10-01</t>
        </is>
      </c>
      <c r="X2388" t="inlineStr">
        <is>
          <t>1990-10-01</t>
        </is>
      </c>
      <c r="Y2388" t="n">
        <v>51</v>
      </c>
      <c r="Z2388" t="n">
        <v>50</v>
      </c>
      <c r="AA2388" t="n">
        <v>66</v>
      </c>
      <c r="AB2388" t="n">
        <v>1</v>
      </c>
      <c r="AC2388" t="n">
        <v>1</v>
      </c>
      <c r="AD2388" t="n">
        <v>10</v>
      </c>
      <c r="AE2388" t="n">
        <v>10</v>
      </c>
      <c r="AF2388" t="n">
        <v>3</v>
      </c>
      <c r="AG2388" t="n">
        <v>3</v>
      </c>
      <c r="AH2388" t="n">
        <v>4</v>
      </c>
      <c r="AI2388" t="n">
        <v>4</v>
      </c>
      <c r="AJ2388" t="n">
        <v>7</v>
      </c>
      <c r="AK2388" t="n">
        <v>7</v>
      </c>
      <c r="AL2388" t="n">
        <v>0</v>
      </c>
      <c r="AM2388" t="n">
        <v>0</v>
      </c>
      <c r="AN2388" t="n">
        <v>0</v>
      </c>
      <c r="AO2388" t="n">
        <v>0</v>
      </c>
      <c r="AP2388" t="inlineStr">
        <is>
          <t>Yes</t>
        </is>
      </c>
      <c r="AQ2388" t="inlineStr">
        <is>
          <t>No</t>
        </is>
      </c>
      <c r="AR2388">
        <f>HYPERLINK("http://catalog.hathitrust.org/Record/008639621","HathiTrust Record")</f>
        <v/>
      </c>
      <c r="AS2388">
        <f>HYPERLINK("https://creighton-primo.hosted.exlibrisgroup.com/primo-explore/search?tab=default_tab&amp;search_scope=EVERYTHING&amp;vid=01CRU&amp;lang=en_US&amp;offset=0&amp;query=any,contains,991004490609702656","Catalog Record")</f>
        <v/>
      </c>
      <c r="AT2388">
        <f>HYPERLINK("http://www.worldcat.org/oclc/3658515","WorldCat Record")</f>
        <v/>
      </c>
      <c r="AU2388" t="inlineStr">
        <is>
          <t>11244960:eng</t>
        </is>
      </c>
      <c r="AV2388" t="inlineStr">
        <is>
          <t>3658515</t>
        </is>
      </c>
      <c r="AW2388" t="inlineStr">
        <is>
          <t>991004490609702656</t>
        </is>
      </c>
      <c r="AX2388" t="inlineStr">
        <is>
          <t>991004490609702656</t>
        </is>
      </c>
      <c r="AY2388" t="inlineStr">
        <is>
          <t>2254730170002656</t>
        </is>
      </c>
      <c r="AZ2388" t="inlineStr">
        <is>
          <t>BOOK</t>
        </is>
      </c>
      <c r="BC2388" t="inlineStr">
        <is>
          <t>32285000278548</t>
        </is>
      </c>
      <c r="BD2388" t="inlineStr">
        <is>
          <t>893869775</t>
        </is>
      </c>
    </row>
    <row r="2389">
      <c r="A2389" t="inlineStr">
        <is>
          <t>No</t>
        </is>
      </c>
      <c r="B2389" t="inlineStr">
        <is>
          <t>BX4705.M259 A35 1943</t>
        </is>
      </c>
      <c r="C2389" t="inlineStr">
        <is>
          <t>0                      BX 4705000M  259                A  35          1943</t>
        </is>
      </c>
      <c r="D2389" t="inlineStr">
        <is>
          <t>The captain wears a cross / by William A. Maguire.</t>
        </is>
      </c>
      <c r="F2389" t="inlineStr">
        <is>
          <t>No</t>
        </is>
      </c>
      <c r="G2389" t="inlineStr">
        <is>
          <t>1</t>
        </is>
      </c>
      <c r="H2389" t="inlineStr">
        <is>
          <t>No</t>
        </is>
      </c>
      <c r="I2389" t="inlineStr">
        <is>
          <t>No</t>
        </is>
      </c>
      <c r="J2389" t="inlineStr">
        <is>
          <t>0</t>
        </is>
      </c>
      <c r="K2389" t="inlineStr">
        <is>
          <t>Maguire, William A. (William Augustus), 1890-</t>
        </is>
      </c>
      <c r="L2389" t="inlineStr">
        <is>
          <t>New York : The Macmillan company, 1943.</t>
        </is>
      </c>
      <c r="M2389" t="inlineStr">
        <is>
          <t>1943</t>
        </is>
      </c>
      <c r="O2389" t="inlineStr">
        <is>
          <t>eng</t>
        </is>
      </c>
      <c r="P2389" t="inlineStr">
        <is>
          <t xml:space="preserve">xx </t>
        </is>
      </c>
      <c r="R2389" t="inlineStr">
        <is>
          <t xml:space="preserve">BX </t>
        </is>
      </c>
      <c r="S2389" t="n">
        <v>0</v>
      </c>
      <c r="T2389" t="n">
        <v>0</v>
      </c>
      <c r="U2389" t="inlineStr">
        <is>
          <t>2010-03-01</t>
        </is>
      </c>
      <c r="V2389" t="inlineStr">
        <is>
          <t>2010-03-01</t>
        </is>
      </c>
      <c r="W2389" t="inlineStr">
        <is>
          <t>1992-03-23</t>
        </is>
      </c>
      <c r="X2389" t="inlineStr">
        <is>
          <t>1992-03-23</t>
        </is>
      </c>
      <c r="Y2389" t="n">
        <v>198</v>
      </c>
      <c r="Z2389" t="n">
        <v>186</v>
      </c>
      <c r="AA2389" t="n">
        <v>208</v>
      </c>
      <c r="AB2389" t="n">
        <v>2</v>
      </c>
      <c r="AC2389" t="n">
        <v>2</v>
      </c>
      <c r="AD2389" t="n">
        <v>18</v>
      </c>
      <c r="AE2389" t="n">
        <v>19</v>
      </c>
      <c r="AF2389" t="n">
        <v>4</v>
      </c>
      <c r="AG2389" t="n">
        <v>5</v>
      </c>
      <c r="AH2389" t="n">
        <v>5</v>
      </c>
      <c r="AI2389" t="n">
        <v>6</v>
      </c>
      <c r="AJ2389" t="n">
        <v>15</v>
      </c>
      <c r="AK2389" t="n">
        <v>15</v>
      </c>
      <c r="AL2389" t="n">
        <v>0</v>
      </c>
      <c r="AM2389" t="n">
        <v>0</v>
      </c>
      <c r="AN2389" t="n">
        <v>0</v>
      </c>
      <c r="AO2389" t="n">
        <v>0</v>
      </c>
      <c r="AP2389" t="inlineStr">
        <is>
          <t>Yes</t>
        </is>
      </c>
      <c r="AQ2389" t="inlineStr">
        <is>
          <t>No</t>
        </is>
      </c>
      <c r="AR2389">
        <f>HYPERLINK("http://catalog.hathitrust.org/Record/005946123","HathiTrust Record")</f>
        <v/>
      </c>
      <c r="AS2389">
        <f>HYPERLINK("https://creighton-primo.hosted.exlibrisgroup.com/primo-explore/search?tab=default_tab&amp;search_scope=EVERYTHING&amp;vid=01CRU&amp;lang=en_US&amp;offset=0&amp;query=any,contains,991003740729702656","Catalog Record")</f>
        <v/>
      </c>
      <c r="AT2389">
        <f>HYPERLINK("http://www.worldcat.org/oclc/1404233","WorldCat Record")</f>
        <v/>
      </c>
      <c r="AU2389" t="inlineStr">
        <is>
          <t>2257359:eng</t>
        </is>
      </c>
      <c r="AV2389" t="inlineStr">
        <is>
          <t>1404233</t>
        </is>
      </c>
      <c r="AW2389" t="inlineStr">
        <is>
          <t>991003740729702656</t>
        </is>
      </c>
      <c r="AX2389" t="inlineStr">
        <is>
          <t>991003740729702656</t>
        </is>
      </c>
      <c r="AY2389" t="inlineStr">
        <is>
          <t>2260015520002656</t>
        </is>
      </c>
      <c r="AZ2389" t="inlineStr">
        <is>
          <t>BOOK</t>
        </is>
      </c>
      <c r="BC2389" t="inlineStr">
        <is>
          <t>32285001003457</t>
        </is>
      </c>
      <c r="BD2389" t="inlineStr">
        <is>
          <t>893234516</t>
        </is>
      </c>
    </row>
    <row r="2390">
      <c r="A2390" t="inlineStr">
        <is>
          <t>No</t>
        </is>
      </c>
      <c r="B2390" t="inlineStr">
        <is>
          <t>BX4705.M3214 M36 2005</t>
        </is>
      </c>
      <c r="C2390" t="inlineStr">
        <is>
          <t>0                      BX 4705000M  3214               M  36          2005</t>
        </is>
      </c>
      <c r="D2390" t="inlineStr">
        <is>
          <t>Vows : the story of a priest, a nun, and their son / Peter Manseau.</t>
        </is>
      </c>
      <c r="F2390" t="inlineStr">
        <is>
          <t>No</t>
        </is>
      </c>
      <c r="G2390" t="inlineStr">
        <is>
          <t>1</t>
        </is>
      </c>
      <c r="H2390" t="inlineStr">
        <is>
          <t>No</t>
        </is>
      </c>
      <c r="I2390" t="inlineStr">
        <is>
          <t>No</t>
        </is>
      </c>
      <c r="J2390" t="inlineStr">
        <is>
          <t>0</t>
        </is>
      </c>
      <c r="K2390" t="inlineStr">
        <is>
          <t>Manseau, Peter.</t>
        </is>
      </c>
      <c r="L2390" t="inlineStr">
        <is>
          <t>New York : Free Press, c2005.</t>
        </is>
      </c>
      <c r="M2390" t="inlineStr">
        <is>
          <t>2005</t>
        </is>
      </c>
      <c r="O2390" t="inlineStr">
        <is>
          <t>eng</t>
        </is>
      </c>
      <c r="P2390" t="inlineStr">
        <is>
          <t>nyu</t>
        </is>
      </c>
      <c r="R2390" t="inlineStr">
        <is>
          <t xml:space="preserve">BX </t>
        </is>
      </c>
      <c r="S2390" t="n">
        <v>3</v>
      </c>
      <c r="T2390" t="n">
        <v>3</v>
      </c>
      <c r="U2390" t="inlineStr">
        <is>
          <t>2009-06-15</t>
        </is>
      </c>
      <c r="V2390" t="inlineStr">
        <is>
          <t>2009-06-15</t>
        </is>
      </c>
      <c r="W2390" t="inlineStr">
        <is>
          <t>2006-02-22</t>
        </is>
      </c>
      <c r="X2390" t="inlineStr">
        <is>
          <t>2006-02-22</t>
        </is>
      </c>
      <c r="Y2390" t="n">
        <v>452</v>
      </c>
      <c r="Z2390" t="n">
        <v>418</v>
      </c>
      <c r="AA2390" t="n">
        <v>458</v>
      </c>
      <c r="AB2390" t="n">
        <v>6</v>
      </c>
      <c r="AC2390" t="n">
        <v>6</v>
      </c>
      <c r="AD2390" t="n">
        <v>10</v>
      </c>
      <c r="AE2390" t="n">
        <v>10</v>
      </c>
      <c r="AF2390" t="n">
        <v>4</v>
      </c>
      <c r="AG2390" t="n">
        <v>4</v>
      </c>
      <c r="AH2390" t="n">
        <v>3</v>
      </c>
      <c r="AI2390" t="n">
        <v>3</v>
      </c>
      <c r="AJ2390" t="n">
        <v>6</v>
      </c>
      <c r="AK2390" t="n">
        <v>6</v>
      </c>
      <c r="AL2390" t="n">
        <v>1</v>
      </c>
      <c r="AM2390" t="n">
        <v>1</v>
      </c>
      <c r="AN2390" t="n">
        <v>0</v>
      </c>
      <c r="AO2390" t="n">
        <v>0</v>
      </c>
      <c r="AP2390" t="inlineStr">
        <is>
          <t>No</t>
        </is>
      </c>
      <c r="AQ2390" t="inlineStr">
        <is>
          <t>No</t>
        </is>
      </c>
      <c r="AS2390">
        <f>HYPERLINK("https://creighton-primo.hosted.exlibrisgroup.com/primo-explore/search?tab=default_tab&amp;search_scope=EVERYTHING&amp;vid=01CRU&amp;lang=en_US&amp;offset=0&amp;query=any,contains,991004741559702656","Catalog Record")</f>
        <v/>
      </c>
      <c r="AT2390">
        <f>HYPERLINK("http://www.worldcat.org/oclc/60373489","WorldCat Record")</f>
        <v/>
      </c>
      <c r="AU2390" t="inlineStr">
        <is>
          <t>375212803:eng</t>
        </is>
      </c>
      <c r="AV2390" t="inlineStr">
        <is>
          <t>60373489</t>
        </is>
      </c>
      <c r="AW2390" t="inlineStr">
        <is>
          <t>991004741559702656</t>
        </is>
      </c>
      <c r="AX2390" t="inlineStr">
        <is>
          <t>991004741559702656</t>
        </is>
      </c>
      <c r="AY2390" t="inlineStr">
        <is>
          <t>2267125850002656</t>
        </is>
      </c>
      <c r="AZ2390" t="inlineStr">
        <is>
          <t>BOOK</t>
        </is>
      </c>
      <c r="BB2390" t="inlineStr">
        <is>
          <t>9780743249072</t>
        </is>
      </c>
      <c r="BC2390" t="inlineStr">
        <is>
          <t>32285005160386</t>
        </is>
      </c>
      <c r="BD2390" t="inlineStr">
        <is>
          <t>893331992</t>
        </is>
      </c>
    </row>
    <row r="2391">
      <c r="A2391" t="inlineStr">
        <is>
          <t>No</t>
        </is>
      </c>
      <c r="B2391" t="inlineStr">
        <is>
          <t>BX4705.M32545 M4 1948</t>
        </is>
      </c>
      <c r="C2391" t="inlineStr">
        <is>
          <t>0                      BX 4705000M  32545              M  4           1948</t>
        </is>
      </c>
      <c r="D2391" t="inlineStr">
        <is>
          <t>Exile ends in glory : the life of a Trappistine, Mother M. Berchmans, O.C.S.O.</t>
        </is>
      </c>
      <c r="F2391" t="inlineStr">
        <is>
          <t>No</t>
        </is>
      </c>
      <c r="G2391" t="inlineStr">
        <is>
          <t>1</t>
        </is>
      </c>
      <c r="H2391" t="inlineStr">
        <is>
          <t>No</t>
        </is>
      </c>
      <c r="I2391" t="inlineStr">
        <is>
          <t>No</t>
        </is>
      </c>
      <c r="J2391" t="inlineStr">
        <is>
          <t>0</t>
        </is>
      </c>
      <c r="K2391" t="inlineStr">
        <is>
          <t>Merton, Thomas, 1915-1968.</t>
        </is>
      </c>
      <c r="L2391" t="inlineStr">
        <is>
          <t>Milwaukee : Bruce Pub. Co., [1948]</t>
        </is>
      </c>
      <c r="M2391" t="inlineStr">
        <is>
          <t>1948</t>
        </is>
      </c>
      <c r="O2391" t="inlineStr">
        <is>
          <t>eng</t>
        </is>
      </c>
      <c r="P2391" t="inlineStr">
        <is>
          <t>wiu</t>
        </is>
      </c>
      <c r="R2391" t="inlineStr">
        <is>
          <t xml:space="preserve">BX </t>
        </is>
      </c>
      <c r="S2391" t="n">
        <v>1</v>
      </c>
      <c r="T2391" t="n">
        <v>1</v>
      </c>
      <c r="U2391" t="inlineStr">
        <is>
          <t>1993-08-06</t>
        </is>
      </c>
      <c r="V2391" t="inlineStr">
        <is>
          <t>1993-08-06</t>
        </is>
      </c>
      <c r="W2391" t="inlineStr">
        <is>
          <t>1992-03-23</t>
        </is>
      </c>
      <c r="X2391" t="inlineStr">
        <is>
          <t>1992-03-23</t>
        </is>
      </c>
      <c r="Y2391" t="n">
        <v>331</v>
      </c>
      <c r="Z2391" t="n">
        <v>304</v>
      </c>
      <c r="AA2391" t="n">
        <v>315</v>
      </c>
      <c r="AB2391" t="n">
        <v>3</v>
      </c>
      <c r="AC2391" t="n">
        <v>3</v>
      </c>
      <c r="AD2391" t="n">
        <v>32</v>
      </c>
      <c r="AE2391" t="n">
        <v>32</v>
      </c>
      <c r="AF2391" t="n">
        <v>11</v>
      </c>
      <c r="AG2391" t="n">
        <v>11</v>
      </c>
      <c r="AH2391" t="n">
        <v>8</v>
      </c>
      <c r="AI2391" t="n">
        <v>8</v>
      </c>
      <c r="AJ2391" t="n">
        <v>25</v>
      </c>
      <c r="AK2391" t="n">
        <v>25</v>
      </c>
      <c r="AL2391" t="n">
        <v>0</v>
      </c>
      <c r="AM2391" t="n">
        <v>0</v>
      </c>
      <c r="AN2391" t="n">
        <v>0</v>
      </c>
      <c r="AO2391" t="n">
        <v>0</v>
      </c>
      <c r="AP2391" t="inlineStr">
        <is>
          <t>No</t>
        </is>
      </c>
      <c r="AQ2391" t="inlineStr">
        <is>
          <t>Yes</t>
        </is>
      </c>
      <c r="AR2391">
        <f>HYPERLINK("http://catalog.hathitrust.org/Record/005789732","HathiTrust Record")</f>
        <v/>
      </c>
      <c r="AS2391">
        <f>HYPERLINK("https://creighton-primo.hosted.exlibrisgroup.com/primo-explore/search?tab=default_tab&amp;search_scope=EVERYTHING&amp;vid=01CRU&amp;lang=en_US&amp;offset=0&amp;query=any,contains,991003393469702656","Catalog Record")</f>
        <v/>
      </c>
      <c r="AT2391">
        <f>HYPERLINK("http://www.worldcat.org/oclc/932012","WorldCat Record")</f>
        <v/>
      </c>
      <c r="AU2391" t="inlineStr">
        <is>
          <t>4924312158:eng</t>
        </is>
      </c>
      <c r="AV2391" t="inlineStr">
        <is>
          <t>932012</t>
        </is>
      </c>
      <c r="AW2391" t="inlineStr">
        <is>
          <t>991003393469702656</t>
        </is>
      </c>
      <c r="AX2391" t="inlineStr">
        <is>
          <t>991003393469702656</t>
        </is>
      </c>
      <c r="AY2391" t="inlineStr">
        <is>
          <t>2272310270002656</t>
        </is>
      </c>
      <c r="AZ2391" t="inlineStr">
        <is>
          <t>BOOK</t>
        </is>
      </c>
      <c r="BC2391" t="inlineStr">
        <is>
          <t>32285001003556</t>
        </is>
      </c>
      <c r="BD2391" t="inlineStr">
        <is>
          <t>893692688</t>
        </is>
      </c>
    </row>
    <row r="2392">
      <c r="A2392" t="inlineStr">
        <is>
          <t>No</t>
        </is>
      </c>
      <c r="B2392" t="inlineStr">
        <is>
          <t>BX4705.M364 C5 1906</t>
        </is>
      </c>
      <c r="C2392" t="inlineStr">
        <is>
          <t>0                      BX 4705000M  364                C  5           1906</t>
        </is>
      </c>
      <c r="D2392" t="inlineStr">
        <is>
          <t>Sister Mary of the Divine Heart : Droste zu Vischering, religious of the Good Shepherd, 1863-1899 / by the Abbé Louis Chasle.</t>
        </is>
      </c>
      <c r="F2392" t="inlineStr">
        <is>
          <t>No</t>
        </is>
      </c>
      <c r="G2392" t="inlineStr">
        <is>
          <t>1</t>
        </is>
      </c>
      <c r="H2392" t="inlineStr">
        <is>
          <t>No</t>
        </is>
      </c>
      <c r="I2392" t="inlineStr">
        <is>
          <t>No</t>
        </is>
      </c>
      <c r="J2392" t="inlineStr">
        <is>
          <t>0</t>
        </is>
      </c>
      <c r="K2392" t="inlineStr">
        <is>
          <t>Chasle, Louis.</t>
        </is>
      </c>
      <c r="L2392" t="inlineStr">
        <is>
          <t>London : Burns &amp; Oates ; New York : Benziger, 1906.</t>
        </is>
      </c>
      <c r="M2392" t="inlineStr">
        <is>
          <t>1906</t>
        </is>
      </c>
      <c r="O2392" t="inlineStr">
        <is>
          <t>eng</t>
        </is>
      </c>
      <c r="P2392" t="inlineStr">
        <is>
          <t>enk</t>
        </is>
      </c>
      <c r="R2392" t="inlineStr">
        <is>
          <t xml:space="preserve">BX </t>
        </is>
      </c>
      <c r="S2392" t="n">
        <v>1</v>
      </c>
      <c r="T2392" t="n">
        <v>1</v>
      </c>
      <c r="U2392" t="inlineStr">
        <is>
          <t>2003-05-30</t>
        </is>
      </c>
      <c r="V2392" t="inlineStr">
        <is>
          <t>2003-05-30</t>
        </is>
      </c>
      <c r="W2392" t="inlineStr">
        <is>
          <t>1992-03-23</t>
        </is>
      </c>
      <c r="X2392" t="inlineStr">
        <is>
          <t>1992-03-23</t>
        </is>
      </c>
      <c r="Y2392" t="n">
        <v>19</v>
      </c>
      <c r="Z2392" t="n">
        <v>12</v>
      </c>
      <c r="AA2392" t="n">
        <v>29</v>
      </c>
      <c r="AB2392" t="n">
        <v>1</v>
      </c>
      <c r="AC2392" t="n">
        <v>1</v>
      </c>
      <c r="AD2392" t="n">
        <v>5</v>
      </c>
      <c r="AE2392" t="n">
        <v>11</v>
      </c>
      <c r="AF2392" t="n">
        <v>1</v>
      </c>
      <c r="AG2392" t="n">
        <v>2</v>
      </c>
      <c r="AH2392" t="n">
        <v>0</v>
      </c>
      <c r="AI2392" t="n">
        <v>2</v>
      </c>
      <c r="AJ2392" t="n">
        <v>5</v>
      </c>
      <c r="AK2392" t="n">
        <v>11</v>
      </c>
      <c r="AL2392" t="n">
        <v>0</v>
      </c>
      <c r="AM2392" t="n">
        <v>0</v>
      </c>
      <c r="AN2392" t="n">
        <v>0</v>
      </c>
      <c r="AO2392" t="n">
        <v>0</v>
      </c>
      <c r="AP2392" t="inlineStr">
        <is>
          <t>No</t>
        </is>
      </c>
      <c r="AQ2392" t="inlineStr">
        <is>
          <t>No</t>
        </is>
      </c>
      <c r="AS2392">
        <f>HYPERLINK("https://creighton-primo.hosted.exlibrisgroup.com/primo-explore/search?tab=default_tab&amp;search_scope=EVERYTHING&amp;vid=01CRU&amp;lang=en_US&amp;offset=0&amp;query=any,contains,991005173829702656","Catalog Record")</f>
        <v/>
      </c>
      <c r="AT2392">
        <f>HYPERLINK("http://www.worldcat.org/oclc/7882288","WorldCat Record")</f>
        <v/>
      </c>
      <c r="AU2392" t="inlineStr">
        <is>
          <t>18383441:eng</t>
        </is>
      </c>
      <c r="AV2392" t="inlineStr">
        <is>
          <t>7882288</t>
        </is>
      </c>
      <c r="AW2392" t="inlineStr">
        <is>
          <t>991005173829702656</t>
        </is>
      </c>
      <c r="AX2392" t="inlineStr">
        <is>
          <t>991005173829702656</t>
        </is>
      </c>
      <c r="AY2392" t="inlineStr">
        <is>
          <t>2263785850002656</t>
        </is>
      </c>
      <c r="AZ2392" t="inlineStr">
        <is>
          <t>BOOK</t>
        </is>
      </c>
      <c r="BC2392" t="inlineStr">
        <is>
          <t>32285001003648</t>
        </is>
      </c>
      <c r="BD2392" t="inlineStr">
        <is>
          <t>893332529</t>
        </is>
      </c>
    </row>
    <row r="2393">
      <c r="A2393" t="inlineStr">
        <is>
          <t>No</t>
        </is>
      </c>
      <c r="B2393" t="inlineStr">
        <is>
          <t>BX4705.M38 K63 1950</t>
        </is>
      </c>
      <c r="C2393" t="inlineStr">
        <is>
          <t>0                      BX 4705000M  38                 K  63          1950</t>
        </is>
      </c>
      <c r="D2393" t="inlineStr">
        <is>
          <t>Pater Rupert Mayer, ein Priester und Bekenner unserer Tage.</t>
        </is>
      </c>
      <c r="F2393" t="inlineStr">
        <is>
          <t>No</t>
        </is>
      </c>
      <c r="G2393" t="inlineStr">
        <is>
          <t>1</t>
        </is>
      </c>
      <c r="H2393" t="inlineStr">
        <is>
          <t>No</t>
        </is>
      </c>
      <c r="I2393" t="inlineStr">
        <is>
          <t>No</t>
        </is>
      </c>
      <c r="J2393" t="inlineStr">
        <is>
          <t>0</t>
        </is>
      </c>
      <c r="K2393" t="inlineStr">
        <is>
          <t>Koerbling, Anton, compiler.</t>
        </is>
      </c>
      <c r="L2393" t="inlineStr">
        <is>
          <t>München : Schnell &amp; Steiner, c1950.</t>
        </is>
      </c>
      <c r="M2393" t="inlineStr">
        <is>
          <t>1950</t>
        </is>
      </c>
      <c r="O2393" t="inlineStr">
        <is>
          <t>ger</t>
        </is>
      </c>
      <c r="P2393" t="inlineStr">
        <is>
          <t xml:space="preserve">gw </t>
        </is>
      </c>
      <c r="R2393" t="inlineStr">
        <is>
          <t xml:space="preserve">BX </t>
        </is>
      </c>
      <c r="S2393" t="n">
        <v>1</v>
      </c>
      <c r="T2393" t="n">
        <v>1</v>
      </c>
      <c r="U2393" t="inlineStr">
        <is>
          <t>1999-07-14</t>
        </is>
      </c>
      <c r="V2393" t="inlineStr">
        <is>
          <t>1999-07-14</t>
        </is>
      </c>
      <c r="W2393" t="inlineStr">
        <is>
          <t>1999-04-08</t>
        </is>
      </c>
      <c r="X2393" t="inlineStr">
        <is>
          <t>1999-04-08</t>
        </is>
      </c>
      <c r="Y2393" t="n">
        <v>9</v>
      </c>
      <c r="Z2393" t="n">
        <v>3</v>
      </c>
      <c r="AA2393" t="n">
        <v>11</v>
      </c>
      <c r="AB2393" t="n">
        <v>1</v>
      </c>
      <c r="AC2393" t="n">
        <v>1</v>
      </c>
      <c r="AD2393" t="n">
        <v>0</v>
      </c>
      <c r="AE2393" t="n">
        <v>2</v>
      </c>
      <c r="AF2393" t="n">
        <v>0</v>
      </c>
      <c r="AG2393" t="n">
        <v>0</v>
      </c>
      <c r="AH2393" t="n">
        <v>0</v>
      </c>
      <c r="AI2393" t="n">
        <v>1</v>
      </c>
      <c r="AJ2393" t="n">
        <v>0</v>
      </c>
      <c r="AK2393" t="n">
        <v>2</v>
      </c>
      <c r="AL2393" t="n">
        <v>0</v>
      </c>
      <c r="AM2393" t="n">
        <v>0</v>
      </c>
      <c r="AN2393" t="n">
        <v>0</v>
      </c>
      <c r="AO2393" t="n">
        <v>0</v>
      </c>
      <c r="AP2393" t="inlineStr">
        <is>
          <t>No</t>
        </is>
      </c>
      <c r="AQ2393" t="inlineStr">
        <is>
          <t>No</t>
        </is>
      </c>
      <c r="AS2393">
        <f>HYPERLINK("https://creighton-primo.hosted.exlibrisgroup.com/primo-explore/search?tab=default_tab&amp;search_scope=EVERYTHING&amp;vid=01CRU&amp;lang=en_US&amp;offset=0&amp;query=any,contains,991002758819702656","Catalog Record")</f>
        <v/>
      </c>
      <c r="AT2393">
        <f>HYPERLINK("http://www.worldcat.org/oclc/36182370","WorldCat Record")</f>
        <v/>
      </c>
      <c r="AU2393" t="inlineStr">
        <is>
          <t>3901325050:ger</t>
        </is>
      </c>
      <c r="AV2393" t="inlineStr">
        <is>
          <t>36182370</t>
        </is>
      </c>
      <c r="AW2393" t="inlineStr">
        <is>
          <t>991002758819702656</t>
        </is>
      </c>
      <c r="AX2393" t="inlineStr">
        <is>
          <t>991002758819702656</t>
        </is>
      </c>
      <c r="AY2393" t="inlineStr">
        <is>
          <t>2271960680002656</t>
        </is>
      </c>
      <c r="AZ2393" t="inlineStr">
        <is>
          <t>BOOK</t>
        </is>
      </c>
      <c r="BC2393" t="inlineStr">
        <is>
          <t>32285003549853</t>
        </is>
      </c>
      <c r="BD2393" t="inlineStr">
        <is>
          <t>893409491</t>
        </is>
      </c>
    </row>
    <row r="2394">
      <c r="A2394" t="inlineStr">
        <is>
          <t>No</t>
        </is>
      </c>
      <c r="B2394" t="inlineStr">
        <is>
          <t>BX4705.M3993 M45 1988</t>
        </is>
      </c>
      <c r="C2394" t="inlineStr">
        <is>
          <t>0                      BX 4705000M  3993               M  45          1988</t>
        </is>
      </c>
      <c r="D2394" t="inlineStr">
        <is>
          <t>Art and prudence : studies in the thought of Jacques Maritain / Ralph McInerny.</t>
        </is>
      </c>
      <c r="F2394" t="inlineStr">
        <is>
          <t>No</t>
        </is>
      </c>
      <c r="G2394" t="inlineStr">
        <is>
          <t>1</t>
        </is>
      </c>
      <c r="H2394" t="inlineStr">
        <is>
          <t>No</t>
        </is>
      </c>
      <c r="I2394" t="inlineStr">
        <is>
          <t>No</t>
        </is>
      </c>
      <c r="J2394" t="inlineStr">
        <is>
          <t>0</t>
        </is>
      </c>
      <c r="K2394" t="inlineStr">
        <is>
          <t>McInerny, Ralph, 1929-2010.</t>
        </is>
      </c>
      <c r="L2394" t="inlineStr">
        <is>
          <t>Notre Dame, Ind. : University of Notre Dame Press, c1988.</t>
        </is>
      </c>
      <c r="M2394" t="inlineStr">
        <is>
          <t>1988</t>
        </is>
      </c>
      <c r="O2394" t="inlineStr">
        <is>
          <t>eng</t>
        </is>
      </c>
      <c r="P2394" t="inlineStr">
        <is>
          <t>inu</t>
        </is>
      </c>
      <c r="Q2394" t="inlineStr">
        <is>
          <t>Publications of the Jacques Maritain Center ; 1</t>
        </is>
      </c>
      <c r="R2394" t="inlineStr">
        <is>
          <t xml:space="preserve">BX </t>
        </is>
      </c>
      <c r="S2394" t="n">
        <v>4</v>
      </c>
      <c r="T2394" t="n">
        <v>4</v>
      </c>
      <c r="U2394" t="inlineStr">
        <is>
          <t>1999-10-10</t>
        </is>
      </c>
      <c r="V2394" t="inlineStr">
        <is>
          <t>1999-10-10</t>
        </is>
      </c>
      <c r="W2394" t="inlineStr">
        <is>
          <t>1990-11-20</t>
        </is>
      </c>
      <c r="X2394" t="inlineStr">
        <is>
          <t>1990-11-20</t>
        </is>
      </c>
      <c r="Y2394" t="n">
        <v>317</v>
      </c>
      <c r="Z2394" t="n">
        <v>267</v>
      </c>
      <c r="AA2394" t="n">
        <v>278</v>
      </c>
      <c r="AB2394" t="n">
        <v>5</v>
      </c>
      <c r="AC2394" t="n">
        <v>5</v>
      </c>
      <c r="AD2394" t="n">
        <v>24</v>
      </c>
      <c r="AE2394" t="n">
        <v>24</v>
      </c>
      <c r="AF2394" t="n">
        <v>9</v>
      </c>
      <c r="AG2394" t="n">
        <v>9</v>
      </c>
      <c r="AH2394" t="n">
        <v>6</v>
      </c>
      <c r="AI2394" t="n">
        <v>6</v>
      </c>
      <c r="AJ2394" t="n">
        <v>16</v>
      </c>
      <c r="AK2394" t="n">
        <v>16</v>
      </c>
      <c r="AL2394" t="n">
        <v>2</v>
      </c>
      <c r="AM2394" t="n">
        <v>2</v>
      </c>
      <c r="AN2394" t="n">
        <v>0</v>
      </c>
      <c r="AO2394" t="n">
        <v>0</v>
      </c>
      <c r="AP2394" t="inlineStr">
        <is>
          <t>No</t>
        </is>
      </c>
      <c r="AQ2394" t="inlineStr">
        <is>
          <t>Yes</t>
        </is>
      </c>
      <c r="AR2394">
        <f>HYPERLINK("http://catalog.hathitrust.org/Record/001543987","HathiTrust Record")</f>
        <v/>
      </c>
      <c r="AS2394">
        <f>HYPERLINK("https://creighton-primo.hosted.exlibrisgroup.com/primo-explore/search?tab=default_tab&amp;search_scope=EVERYTHING&amp;vid=01CRU&amp;lang=en_US&amp;offset=0&amp;query=any,contains,991001306119702656","Catalog Record")</f>
        <v/>
      </c>
      <c r="AT2394">
        <f>HYPERLINK("http://www.worldcat.org/oclc/18106281","WorldCat Record")</f>
        <v/>
      </c>
      <c r="AU2394" t="inlineStr">
        <is>
          <t>376227451:eng</t>
        </is>
      </c>
      <c r="AV2394" t="inlineStr">
        <is>
          <t>18106281</t>
        </is>
      </c>
      <c r="AW2394" t="inlineStr">
        <is>
          <t>991001306119702656</t>
        </is>
      </c>
      <c r="AX2394" t="inlineStr">
        <is>
          <t>991001306119702656</t>
        </is>
      </c>
      <c r="AY2394" t="inlineStr">
        <is>
          <t>2257752630002656</t>
        </is>
      </c>
      <c r="AZ2394" t="inlineStr">
        <is>
          <t>BOOK</t>
        </is>
      </c>
      <c r="BB2394" t="inlineStr">
        <is>
          <t>9780268006204</t>
        </is>
      </c>
      <c r="BC2394" t="inlineStr">
        <is>
          <t>32285000356070</t>
        </is>
      </c>
      <c r="BD2394" t="inlineStr">
        <is>
          <t>893684240</t>
        </is>
      </c>
    </row>
    <row r="2395">
      <c r="A2395" t="inlineStr">
        <is>
          <t>No</t>
        </is>
      </c>
      <c r="B2395" t="inlineStr">
        <is>
          <t>BX4705.M411 A4 1962</t>
        </is>
      </c>
      <c r="C2395" t="inlineStr">
        <is>
          <t>0                      BX 4705000M  411                A  4           1962</t>
        </is>
      </c>
      <c r="D2395" t="inlineStr">
        <is>
          <t>The English letters of Abbot Marmion, 1858-1923 / With a foreword by Amleto G. Cardinal Cicognani.</t>
        </is>
      </c>
      <c r="F2395" t="inlineStr">
        <is>
          <t>No</t>
        </is>
      </c>
      <c r="G2395" t="inlineStr">
        <is>
          <t>1</t>
        </is>
      </c>
      <c r="H2395" t="inlineStr">
        <is>
          <t>No</t>
        </is>
      </c>
      <c r="I2395" t="inlineStr">
        <is>
          <t>No</t>
        </is>
      </c>
      <c r="J2395" t="inlineStr">
        <is>
          <t>0</t>
        </is>
      </c>
      <c r="K2395" t="inlineStr">
        <is>
          <t>Marmion, Columba, 1858-1923.</t>
        </is>
      </c>
      <c r="L2395" t="inlineStr">
        <is>
          <t>Baltimore : Helicon Press, [c1962]</t>
        </is>
      </c>
      <c r="M2395" t="inlineStr">
        <is>
          <t>1962</t>
        </is>
      </c>
      <c r="O2395" t="inlineStr">
        <is>
          <t>eng</t>
        </is>
      </c>
      <c r="P2395" t="inlineStr">
        <is>
          <t xml:space="preserve">xx </t>
        </is>
      </c>
      <c r="Q2395" t="inlineStr">
        <is>
          <t>Benedictine studies ; 4</t>
        </is>
      </c>
      <c r="R2395" t="inlineStr">
        <is>
          <t xml:space="preserve">BX </t>
        </is>
      </c>
      <c r="S2395" t="n">
        <v>3</v>
      </c>
      <c r="T2395" t="n">
        <v>3</v>
      </c>
      <c r="U2395" t="inlineStr">
        <is>
          <t>1993-03-15</t>
        </is>
      </c>
      <c r="V2395" t="inlineStr">
        <is>
          <t>1993-03-15</t>
        </is>
      </c>
      <c r="W2395" t="inlineStr">
        <is>
          <t>1992-03-23</t>
        </is>
      </c>
      <c r="X2395" t="inlineStr">
        <is>
          <t>1992-03-23</t>
        </is>
      </c>
      <c r="Y2395" t="n">
        <v>152</v>
      </c>
      <c r="Z2395" t="n">
        <v>124</v>
      </c>
      <c r="AA2395" t="n">
        <v>130</v>
      </c>
      <c r="AB2395" t="n">
        <v>1</v>
      </c>
      <c r="AC2395" t="n">
        <v>1</v>
      </c>
      <c r="AD2395" t="n">
        <v>17</v>
      </c>
      <c r="AE2395" t="n">
        <v>17</v>
      </c>
      <c r="AF2395" t="n">
        <v>4</v>
      </c>
      <c r="AG2395" t="n">
        <v>4</v>
      </c>
      <c r="AH2395" t="n">
        <v>5</v>
      </c>
      <c r="AI2395" t="n">
        <v>5</v>
      </c>
      <c r="AJ2395" t="n">
        <v>14</v>
      </c>
      <c r="AK2395" t="n">
        <v>14</v>
      </c>
      <c r="AL2395" t="n">
        <v>0</v>
      </c>
      <c r="AM2395" t="n">
        <v>0</v>
      </c>
      <c r="AN2395" t="n">
        <v>0</v>
      </c>
      <c r="AO2395" t="n">
        <v>0</v>
      </c>
      <c r="AP2395" t="inlineStr">
        <is>
          <t>No</t>
        </is>
      </c>
      <c r="AQ2395" t="inlineStr">
        <is>
          <t>No</t>
        </is>
      </c>
      <c r="AS2395">
        <f>HYPERLINK("https://creighton-primo.hosted.exlibrisgroup.com/primo-explore/search?tab=default_tab&amp;search_scope=EVERYTHING&amp;vid=01CRU&amp;lang=en_US&amp;offset=0&amp;query=any,contains,991002863459702656","Catalog Record")</f>
        <v/>
      </c>
      <c r="AT2395">
        <f>HYPERLINK("http://www.worldcat.org/oclc/494742","WorldCat Record")</f>
        <v/>
      </c>
      <c r="AU2395" t="inlineStr">
        <is>
          <t>20764805:eng</t>
        </is>
      </c>
      <c r="AV2395" t="inlineStr">
        <is>
          <t>494742</t>
        </is>
      </c>
      <c r="AW2395" t="inlineStr">
        <is>
          <t>991002863459702656</t>
        </is>
      </c>
      <c r="AX2395" t="inlineStr">
        <is>
          <t>991002863459702656</t>
        </is>
      </c>
      <c r="AY2395" t="inlineStr">
        <is>
          <t>2255716980002656</t>
        </is>
      </c>
      <c r="AZ2395" t="inlineStr">
        <is>
          <t>BOOK</t>
        </is>
      </c>
      <c r="BC2395" t="inlineStr">
        <is>
          <t>32285001003671</t>
        </is>
      </c>
      <c r="BD2395" t="inlineStr">
        <is>
          <t>893685879</t>
        </is>
      </c>
    </row>
    <row r="2396">
      <c r="A2396" t="inlineStr">
        <is>
          <t>No</t>
        </is>
      </c>
      <c r="B2396" t="inlineStr">
        <is>
          <t>BX4705.M4124 K4 1937</t>
        </is>
      </c>
      <c r="C2396" t="inlineStr">
        <is>
          <t>0                      BX 4705000M  4124               K  4           1937</t>
        </is>
      </c>
      <c r="D2396" t="inlineStr">
        <is>
          <t>The life of Blessed Martín de Porres : saintly American Negro and patron of social justice / by J. C. Kearns.</t>
        </is>
      </c>
      <c r="F2396" t="inlineStr">
        <is>
          <t>No</t>
        </is>
      </c>
      <c r="G2396" t="inlineStr">
        <is>
          <t>1</t>
        </is>
      </c>
      <c r="H2396" t="inlineStr">
        <is>
          <t>No</t>
        </is>
      </c>
      <c r="I2396" t="inlineStr">
        <is>
          <t>No</t>
        </is>
      </c>
      <c r="J2396" t="inlineStr">
        <is>
          <t>0</t>
        </is>
      </c>
      <c r="K2396" t="inlineStr">
        <is>
          <t>Kearns, John Chrysostom, 1894-</t>
        </is>
      </c>
      <c r="L2396" t="inlineStr">
        <is>
          <t>New York : P. J. Kenedy &amp; Sons, [c1937]</t>
        </is>
      </c>
      <c r="M2396" t="inlineStr">
        <is>
          <t>1937</t>
        </is>
      </c>
      <c r="O2396" t="inlineStr">
        <is>
          <t>eng</t>
        </is>
      </c>
      <c r="P2396" t="inlineStr">
        <is>
          <t xml:space="preserve">xx </t>
        </is>
      </c>
      <c r="R2396" t="inlineStr">
        <is>
          <t xml:space="preserve">BX </t>
        </is>
      </c>
      <c r="S2396" t="n">
        <v>6</v>
      </c>
      <c r="T2396" t="n">
        <v>6</v>
      </c>
      <c r="U2396" t="inlineStr">
        <is>
          <t>2006-11-19</t>
        </is>
      </c>
      <c r="V2396" t="inlineStr">
        <is>
          <t>2006-11-19</t>
        </is>
      </c>
      <c r="W2396" t="inlineStr">
        <is>
          <t>1990-07-30</t>
        </is>
      </c>
      <c r="X2396" t="inlineStr">
        <is>
          <t>1990-07-30</t>
        </is>
      </c>
      <c r="Y2396" t="n">
        <v>217</v>
      </c>
      <c r="Z2396" t="n">
        <v>197</v>
      </c>
      <c r="AA2396" t="n">
        <v>203</v>
      </c>
      <c r="AB2396" t="n">
        <v>4</v>
      </c>
      <c r="AC2396" t="n">
        <v>4</v>
      </c>
      <c r="AD2396" t="n">
        <v>20</v>
      </c>
      <c r="AE2396" t="n">
        <v>20</v>
      </c>
      <c r="AF2396" t="n">
        <v>6</v>
      </c>
      <c r="AG2396" t="n">
        <v>6</v>
      </c>
      <c r="AH2396" t="n">
        <v>5</v>
      </c>
      <c r="AI2396" t="n">
        <v>5</v>
      </c>
      <c r="AJ2396" t="n">
        <v>15</v>
      </c>
      <c r="AK2396" t="n">
        <v>15</v>
      </c>
      <c r="AL2396" t="n">
        <v>0</v>
      </c>
      <c r="AM2396" t="n">
        <v>0</v>
      </c>
      <c r="AN2396" t="n">
        <v>0</v>
      </c>
      <c r="AO2396" t="n">
        <v>0</v>
      </c>
      <c r="AP2396" t="inlineStr">
        <is>
          <t>Yes</t>
        </is>
      </c>
      <c r="AQ2396" t="inlineStr">
        <is>
          <t>No</t>
        </is>
      </c>
      <c r="AR2396">
        <f>HYPERLINK("http://catalog.hathitrust.org/Record/003960283","HathiTrust Record")</f>
        <v/>
      </c>
      <c r="AS2396">
        <f>HYPERLINK("https://creighton-primo.hosted.exlibrisgroup.com/primo-explore/search?tab=default_tab&amp;search_scope=EVERYTHING&amp;vid=01CRU&amp;lang=en_US&amp;offset=0&amp;query=any,contains,991003622819702656","Catalog Record")</f>
        <v/>
      </c>
      <c r="AT2396">
        <f>HYPERLINK("http://www.worldcat.org/oclc/1211394","WorldCat Record")</f>
        <v/>
      </c>
      <c r="AU2396" t="inlineStr">
        <is>
          <t>33995537:eng</t>
        </is>
      </c>
      <c r="AV2396" t="inlineStr">
        <is>
          <t>1211394</t>
        </is>
      </c>
      <c r="AW2396" t="inlineStr">
        <is>
          <t>991003622819702656</t>
        </is>
      </c>
      <c r="AX2396" t="inlineStr">
        <is>
          <t>991003622819702656</t>
        </is>
      </c>
      <c r="AY2396" t="inlineStr">
        <is>
          <t>2266436720002656</t>
        </is>
      </c>
      <c r="AZ2396" t="inlineStr">
        <is>
          <t>BOOK</t>
        </is>
      </c>
      <c r="BC2396" t="inlineStr">
        <is>
          <t>32285000229202</t>
        </is>
      </c>
      <c r="BD2396" t="inlineStr">
        <is>
          <t>893499489</t>
        </is>
      </c>
    </row>
    <row r="2397">
      <c r="A2397" t="inlineStr">
        <is>
          <t>No</t>
        </is>
      </c>
      <c r="B2397" t="inlineStr">
        <is>
          <t>BX4705.M47617 A3 2002</t>
        </is>
      </c>
      <c r="C2397" t="inlineStr">
        <is>
          <t>0                      BX 4705000M  47617              A  3           2002</t>
        </is>
      </c>
      <c r="D2397" t="inlineStr">
        <is>
          <t>Things you get for free / Michael McGirr.</t>
        </is>
      </c>
      <c r="F2397" t="inlineStr">
        <is>
          <t>No</t>
        </is>
      </c>
      <c r="G2397" t="inlineStr">
        <is>
          <t>1</t>
        </is>
      </c>
      <c r="H2397" t="inlineStr">
        <is>
          <t>No</t>
        </is>
      </c>
      <c r="I2397" t="inlineStr">
        <is>
          <t>No</t>
        </is>
      </c>
      <c r="J2397" t="inlineStr">
        <is>
          <t>0</t>
        </is>
      </c>
      <c r="K2397" t="inlineStr">
        <is>
          <t>McGirr, Michael, 1961-</t>
        </is>
      </c>
      <c r="L2397" t="inlineStr">
        <is>
          <t>New York : Atlantic Monthly Press, [2002].</t>
        </is>
      </c>
      <c r="M2397" t="inlineStr">
        <is>
          <t>2002</t>
        </is>
      </c>
      <c r="O2397" t="inlineStr">
        <is>
          <t>eng</t>
        </is>
      </c>
      <c r="P2397" t="inlineStr">
        <is>
          <t>nyu</t>
        </is>
      </c>
      <c r="R2397" t="inlineStr">
        <is>
          <t xml:space="preserve">BX </t>
        </is>
      </c>
      <c r="S2397" t="n">
        <v>2</v>
      </c>
      <c r="T2397" t="n">
        <v>2</v>
      </c>
      <c r="U2397" t="inlineStr">
        <is>
          <t>2002-03-26</t>
        </is>
      </c>
      <c r="V2397" t="inlineStr">
        <is>
          <t>2002-03-26</t>
        </is>
      </c>
      <c r="W2397" t="inlineStr">
        <is>
          <t>2002-02-11</t>
        </is>
      </c>
      <c r="X2397" t="inlineStr">
        <is>
          <t>2002-02-11</t>
        </is>
      </c>
      <c r="Y2397" t="n">
        <v>277</v>
      </c>
      <c r="Z2397" t="n">
        <v>264</v>
      </c>
      <c r="AA2397" t="n">
        <v>308</v>
      </c>
      <c r="AB2397" t="n">
        <v>1</v>
      </c>
      <c r="AC2397" t="n">
        <v>2</v>
      </c>
      <c r="AD2397" t="n">
        <v>5</v>
      </c>
      <c r="AE2397" t="n">
        <v>7</v>
      </c>
      <c r="AF2397" t="n">
        <v>1</v>
      </c>
      <c r="AG2397" t="n">
        <v>2</v>
      </c>
      <c r="AH2397" t="n">
        <v>1</v>
      </c>
      <c r="AI2397" t="n">
        <v>2</v>
      </c>
      <c r="AJ2397" t="n">
        <v>4</v>
      </c>
      <c r="AK2397" t="n">
        <v>4</v>
      </c>
      <c r="AL2397" t="n">
        <v>0</v>
      </c>
      <c r="AM2397" t="n">
        <v>1</v>
      </c>
      <c r="AN2397" t="n">
        <v>0</v>
      </c>
      <c r="AO2397" t="n">
        <v>0</v>
      </c>
      <c r="AP2397" t="inlineStr">
        <is>
          <t>No</t>
        </is>
      </c>
      <c r="AQ2397" t="inlineStr">
        <is>
          <t>No</t>
        </is>
      </c>
      <c r="AS2397">
        <f>HYPERLINK("https://creighton-primo.hosted.exlibrisgroup.com/primo-explore/search?tab=default_tab&amp;search_scope=EVERYTHING&amp;vid=01CRU&amp;lang=en_US&amp;offset=0&amp;query=any,contains,991003710079702656","Catalog Record")</f>
        <v/>
      </c>
      <c r="AT2397">
        <f>HYPERLINK("http://www.worldcat.org/oclc/47838170","WorldCat Record")</f>
        <v/>
      </c>
      <c r="AU2397" t="inlineStr">
        <is>
          <t>781539:eng</t>
        </is>
      </c>
      <c r="AV2397" t="inlineStr">
        <is>
          <t>47838170</t>
        </is>
      </c>
      <c r="AW2397" t="inlineStr">
        <is>
          <t>991003710079702656</t>
        </is>
      </c>
      <c r="AX2397" t="inlineStr">
        <is>
          <t>991003710079702656</t>
        </is>
      </c>
      <c r="AY2397" t="inlineStr">
        <is>
          <t>2266280250002656</t>
        </is>
      </c>
      <c r="AZ2397" t="inlineStr">
        <is>
          <t>BOOK</t>
        </is>
      </c>
      <c r="BB2397" t="inlineStr">
        <is>
          <t>9780871138378</t>
        </is>
      </c>
      <c r="BC2397" t="inlineStr">
        <is>
          <t>32285004453451</t>
        </is>
      </c>
      <c r="BD2397" t="inlineStr">
        <is>
          <t>893318310</t>
        </is>
      </c>
    </row>
    <row r="2398">
      <c r="A2398" t="inlineStr">
        <is>
          <t>No</t>
        </is>
      </c>
      <c r="B2398" t="inlineStr">
        <is>
          <t>BX4705.M4766 K86 1988</t>
        </is>
      </c>
      <c r="C2398" t="inlineStr">
        <is>
          <t>0                      BX 4705000M  4766               K  86          1988</t>
        </is>
      </c>
      <c r="D2398" t="inlineStr">
        <is>
          <t>Bishop Bernard J. McQuaid and Catholic education / Norlene M. Kunkel.</t>
        </is>
      </c>
      <c r="F2398" t="inlineStr">
        <is>
          <t>No</t>
        </is>
      </c>
      <c r="G2398" t="inlineStr">
        <is>
          <t>1</t>
        </is>
      </c>
      <c r="H2398" t="inlineStr">
        <is>
          <t>No</t>
        </is>
      </c>
      <c r="I2398" t="inlineStr">
        <is>
          <t>No</t>
        </is>
      </c>
      <c r="J2398" t="inlineStr">
        <is>
          <t>0</t>
        </is>
      </c>
      <c r="K2398" t="inlineStr">
        <is>
          <t>Kunkel, Norlene M. (Norlene Mary)</t>
        </is>
      </c>
      <c r="L2398" t="inlineStr">
        <is>
          <t>New York : Garland Pub., 1988.</t>
        </is>
      </c>
      <c r="M2398" t="inlineStr">
        <is>
          <t>1988</t>
        </is>
      </c>
      <c r="O2398" t="inlineStr">
        <is>
          <t>eng</t>
        </is>
      </c>
      <c r="P2398" t="inlineStr">
        <is>
          <t>nyu</t>
        </is>
      </c>
      <c r="Q2398" t="inlineStr">
        <is>
          <t>The Heritage of American Catholicism</t>
        </is>
      </c>
      <c r="R2398" t="inlineStr">
        <is>
          <t xml:space="preserve">BX </t>
        </is>
      </c>
      <c r="S2398" t="n">
        <v>1</v>
      </c>
      <c r="T2398" t="n">
        <v>1</v>
      </c>
      <c r="U2398" t="inlineStr">
        <is>
          <t>1998-10-27</t>
        </is>
      </c>
      <c r="V2398" t="inlineStr">
        <is>
          <t>1998-10-27</t>
        </is>
      </c>
      <c r="W2398" t="inlineStr">
        <is>
          <t>1992-03-23</t>
        </is>
      </c>
      <c r="X2398" t="inlineStr">
        <is>
          <t>1992-03-23</t>
        </is>
      </c>
      <c r="Y2398" t="n">
        <v>108</v>
      </c>
      <c r="Z2398" t="n">
        <v>98</v>
      </c>
      <c r="AA2398" t="n">
        <v>101</v>
      </c>
      <c r="AB2398" t="n">
        <v>2</v>
      </c>
      <c r="AC2398" t="n">
        <v>2</v>
      </c>
      <c r="AD2398" t="n">
        <v>17</v>
      </c>
      <c r="AE2398" t="n">
        <v>17</v>
      </c>
      <c r="AF2398" t="n">
        <v>4</v>
      </c>
      <c r="AG2398" t="n">
        <v>4</v>
      </c>
      <c r="AH2398" t="n">
        <v>4</v>
      </c>
      <c r="AI2398" t="n">
        <v>4</v>
      </c>
      <c r="AJ2398" t="n">
        <v>12</v>
      </c>
      <c r="AK2398" t="n">
        <v>12</v>
      </c>
      <c r="AL2398" t="n">
        <v>0</v>
      </c>
      <c r="AM2398" t="n">
        <v>0</v>
      </c>
      <c r="AN2398" t="n">
        <v>0</v>
      </c>
      <c r="AO2398" t="n">
        <v>0</v>
      </c>
      <c r="AP2398" t="inlineStr">
        <is>
          <t>No</t>
        </is>
      </c>
      <c r="AQ2398" t="inlineStr">
        <is>
          <t>No</t>
        </is>
      </c>
      <c r="AS2398">
        <f>HYPERLINK("https://creighton-primo.hosted.exlibrisgroup.com/primo-explore/search?tab=default_tab&amp;search_scope=EVERYTHING&amp;vid=01CRU&amp;lang=en_US&amp;offset=0&amp;query=any,contains,991001315209702656","Catalog Record")</f>
        <v/>
      </c>
      <c r="AT2398">
        <f>HYPERLINK("http://www.worldcat.org/oclc/18167261","WorldCat Record")</f>
        <v/>
      </c>
      <c r="AU2398" t="inlineStr">
        <is>
          <t>2045774:eng</t>
        </is>
      </c>
      <c r="AV2398" t="inlineStr">
        <is>
          <t>18167261</t>
        </is>
      </c>
      <c r="AW2398" t="inlineStr">
        <is>
          <t>991001315209702656</t>
        </is>
      </c>
      <c r="AX2398" t="inlineStr">
        <is>
          <t>991001315209702656</t>
        </is>
      </c>
      <c r="AY2398" t="inlineStr">
        <is>
          <t>2263979420002656</t>
        </is>
      </c>
      <c r="AZ2398" t="inlineStr">
        <is>
          <t>BOOK</t>
        </is>
      </c>
      <c r="BB2398" t="inlineStr">
        <is>
          <t>9780824040932</t>
        </is>
      </c>
      <c r="BC2398" t="inlineStr">
        <is>
          <t>32285001003812</t>
        </is>
      </c>
      <c r="BD2398" t="inlineStr">
        <is>
          <t>893778716</t>
        </is>
      </c>
    </row>
    <row r="2399">
      <c r="A2399" t="inlineStr">
        <is>
          <t>No</t>
        </is>
      </c>
      <c r="B2399" t="inlineStr">
        <is>
          <t>BX4705.M483 H33 1934</t>
        </is>
      </c>
      <c r="C2399" t="inlineStr">
        <is>
          <t>0                      BX 4705000M  483                H  33          1934</t>
        </is>
      </c>
      <c r="D2399" t="inlineStr">
        <is>
          <t>The Franciscan Père Marquette : a critical biography of Father Zénobe Membré, O.F.M., La Salle's chaplain and missionary companion, 1645 (ca.)-1689, with maps and original narratives / by Marion A. Habig.</t>
        </is>
      </c>
      <c r="F2399" t="inlineStr">
        <is>
          <t>No</t>
        </is>
      </c>
      <c r="G2399" t="inlineStr">
        <is>
          <t>1</t>
        </is>
      </c>
      <c r="H2399" t="inlineStr">
        <is>
          <t>No</t>
        </is>
      </c>
      <c r="I2399" t="inlineStr">
        <is>
          <t>No</t>
        </is>
      </c>
      <c r="J2399" t="inlineStr">
        <is>
          <t>0</t>
        </is>
      </c>
      <c r="K2399" t="inlineStr">
        <is>
          <t>Habig, Marion A. (Marion Alphonse), 1901-1985.</t>
        </is>
      </c>
      <c r="L2399" t="inlineStr">
        <is>
          <t>New York : J.F. Wagner, Inc. [1934]</t>
        </is>
      </c>
      <c r="M2399" t="inlineStr">
        <is>
          <t>1934</t>
        </is>
      </c>
      <c r="O2399" t="inlineStr">
        <is>
          <t>eng</t>
        </is>
      </c>
      <c r="P2399" t="inlineStr">
        <is>
          <t>nyu</t>
        </is>
      </c>
      <c r="Q2399" t="inlineStr">
        <is>
          <t>Franciscan studies ; no. 13</t>
        </is>
      </c>
      <c r="R2399" t="inlineStr">
        <is>
          <t xml:space="preserve">BX </t>
        </is>
      </c>
      <c r="S2399" t="n">
        <v>1</v>
      </c>
      <c r="T2399" t="n">
        <v>1</v>
      </c>
      <c r="U2399" t="inlineStr">
        <is>
          <t>2005-10-27</t>
        </is>
      </c>
      <c r="V2399" t="inlineStr">
        <is>
          <t>2005-10-27</t>
        </is>
      </c>
      <c r="W2399" t="inlineStr">
        <is>
          <t>2005-10-27</t>
        </is>
      </c>
      <c r="X2399" t="inlineStr">
        <is>
          <t>2005-10-27</t>
        </is>
      </c>
      <c r="Y2399" t="n">
        <v>71</v>
      </c>
      <c r="Z2399" t="n">
        <v>66</v>
      </c>
      <c r="AA2399" t="n">
        <v>73</v>
      </c>
      <c r="AB2399" t="n">
        <v>1</v>
      </c>
      <c r="AC2399" t="n">
        <v>1</v>
      </c>
      <c r="AD2399" t="n">
        <v>7</v>
      </c>
      <c r="AE2399" t="n">
        <v>7</v>
      </c>
      <c r="AF2399" t="n">
        <v>3</v>
      </c>
      <c r="AG2399" t="n">
        <v>3</v>
      </c>
      <c r="AH2399" t="n">
        <v>1</v>
      </c>
      <c r="AI2399" t="n">
        <v>1</v>
      </c>
      <c r="AJ2399" t="n">
        <v>6</v>
      </c>
      <c r="AK2399" t="n">
        <v>6</v>
      </c>
      <c r="AL2399" t="n">
        <v>0</v>
      </c>
      <c r="AM2399" t="n">
        <v>0</v>
      </c>
      <c r="AN2399" t="n">
        <v>0</v>
      </c>
      <c r="AO2399" t="n">
        <v>0</v>
      </c>
      <c r="AP2399" t="inlineStr">
        <is>
          <t>Yes</t>
        </is>
      </c>
      <c r="AQ2399" t="inlineStr">
        <is>
          <t>No</t>
        </is>
      </c>
      <c r="AR2399">
        <f>HYPERLINK("http://catalog.hathitrust.org/Record/001650226","HathiTrust Record")</f>
        <v/>
      </c>
      <c r="AS2399">
        <f>HYPERLINK("https://creighton-primo.hosted.exlibrisgroup.com/primo-explore/search?tab=default_tab&amp;search_scope=EVERYTHING&amp;vid=01CRU&amp;lang=en_US&amp;offset=0&amp;query=any,contains,991004685789702656","Catalog Record")</f>
        <v/>
      </c>
      <c r="AT2399">
        <f>HYPERLINK("http://www.worldcat.org/oclc/6594644","WorldCat Record")</f>
        <v/>
      </c>
      <c r="AU2399" t="inlineStr">
        <is>
          <t>23338427:eng</t>
        </is>
      </c>
      <c r="AV2399" t="inlineStr">
        <is>
          <t>6594644</t>
        </is>
      </c>
      <c r="AW2399" t="inlineStr">
        <is>
          <t>991004685789702656</t>
        </is>
      </c>
      <c r="AX2399" t="inlineStr">
        <is>
          <t>991004685789702656</t>
        </is>
      </c>
      <c r="AY2399" t="inlineStr">
        <is>
          <t>2257182070002656</t>
        </is>
      </c>
      <c r="AZ2399" t="inlineStr">
        <is>
          <t>BOOK</t>
        </is>
      </c>
      <c r="BC2399" t="inlineStr">
        <is>
          <t>32285005143127</t>
        </is>
      </c>
      <c r="BD2399" t="inlineStr">
        <is>
          <t>893593969</t>
        </is>
      </c>
    </row>
    <row r="2400">
      <c r="A2400" t="inlineStr">
        <is>
          <t>No</t>
        </is>
      </c>
      <c r="B2400" t="inlineStr">
        <is>
          <t>BX4705.M525 D312 1958</t>
        </is>
      </c>
      <c r="C2400" t="inlineStr">
        <is>
          <t>0                      BX 4705000M  525                D  312         1958</t>
        </is>
      </c>
      <c r="D2400" t="inlineStr">
        <is>
          <t>Rafael, Cardinal Merry del Val / with a foreword by John C. Heenan.</t>
        </is>
      </c>
      <c r="F2400" t="inlineStr">
        <is>
          <t>No</t>
        </is>
      </c>
      <c r="G2400" t="inlineStr">
        <is>
          <t>1</t>
        </is>
      </c>
      <c r="H2400" t="inlineStr">
        <is>
          <t>No</t>
        </is>
      </c>
      <c r="I2400" t="inlineStr">
        <is>
          <t>No</t>
        </is>
      </c>
      <c r="J2400" t="inlineStr">
        <is>
          <t>0</t>
        </is>
      </c>
      <c r="K2400" t="inlineStr">
        <is>
          <t>Buehrle, Marie Cecilia, 1887-</t>
        </is>
      </c>
      <c r="L2400" t="inlineStr">
        <is>
          <t>Milwaukee, Wisconsin : Bruce Publishing Company, 1957.</t>
        </is>
      </c>
      <c r="M2400" t="inlineStr">
        <is>
          <t>1957</t>
        </is>
      </c>
      <c r="O2400" t="inlineStr">
        <is>
          <t>eng</t>
        </is>
      </c>
      <c r="P2400" t="inlineStr">
        <is>
          <t xml:space="preserve">xx </t>
        </is>
      </c>
      <c r="R2400" t="inlineStr">
        <is>
          <t xml:space="preserve">BX </t>
        </is>
      </c>
      <c r="S2400" t="n">
        <v>3</v>
      </c>
      <c r="T2400" t="n">
        <v>3</v>
      </c>
      <c r="U2400" t="inlineStr">
        <is>
          <t>1992-05-12</t>
        </is>
      </c>
      <c r="V2400" t="inlineStr">
        <is>
          <t>1992-05-12</t>
        </is>
      </c>
      <c r="W2400" t="inlineStr">
        <is>
          <t>1990-06-08</t>
        </is>
      </c>
      <c r="X2400" t="inlineStr">
        <is>
          <t>1990-06-08</t>
        </is>
      </c>
      <c r="Y2400" t="n">
        <v>144</v>
      </c>
      <c r="Z2400" t="n">
        <v>143</v>
      </c>
      <c r="AA2400" t="n">
        <v>205</v>
      </c>
      <c r="AB2400" t="n">
        <v>4</v>
      </c>
      <c r="AC2400" t="n">
        <v>5</v>
      </c>
      <c r="AD2400" t="n">
        <v>25</v>
      </c>
      <c r="AE2400" t="n">
        <v>29</v>
      </c>
      <c r="AF2400" t="n">
        <v>5</v>
      </c>
      <c r="AG2400" t="n">
        <v>7</v>
      </c>
      <c r="AH2400" t="n">
        <v>6</v>
      </c>
      <c r="AI2400" t="n">
        <v>8</v>
      </c>
      <c r="AJ2400" t="n">
        <v>18</v>
      </c>
      <c r="AK2400" t="n">
        <v>19</v>
      </c>
      <c r="AL2400" t="n">
        <v>1</v>
      </c>
      <c r="AM2400" t="n">
        <v>2</v>
      </c>
      <c r="AN2400" t="n">
        <v>0</v>
      </c>
      <c r="AO2400" t="n">
        <v>0</v>
      </c>
      <c r="AP2400" t="inlineStr">
        <is>
          <t>No</t>
        </is>
      </c>
      <c r="AQ2400" t="inlineStr">
        <is>
          <t>Yes</t>
        </is>
      </c>
      <c r="AR2400">
        <f>HYPERLINK("http://catalog.hathitrust.org/Record/102469519","HathiTrust Record")</f>
        <v/>
      </c>
      <c r="AS2400">
        <f>HYPERLINK("https://creighton-primo.hosted.exlibrisgroup.com/primo-explore/search?tab=default_tab&amp;search_scope=EVERYTHING&amp;vid=01CRU&amp;lang=en_US&amp;offset=0&amp;query=any,contains,991004058169702656","Catalog Record")</f>
        <v/>
      </c>
      <c r="AT2400">
        <f>HYPERLINK("http://www.worldcat.org/oclc/2232815","WorldCat Record")</f>
        <v/>
      </c>
      <c r="AU2400" t="inlineStr">
        <is>
          <t>6488503:eng</t>
        </is>
      </c>
      <c r="AV2400" t="inlineStr">
        <is>
          <t>2232815</t>
        </is>
      </c>
      <c r="AW2400" t="inlineStr">
        <is>
          <t>991004058169702656</t>
        </is>
      </c>
      <c r="AX2400" t="inlineStr">
        <is>
          <t>991004058169702656</t>
        </is>
      </c>
      <c r="AY2400" t="inlineStr">
        <is>
          <t>2255439640002656</t>
        </is>
      </c>
      <c r="AZ2400" t="inlineStr">
        <is>
          <t>BOOK</t>
        </is>
      </c>
      <c r="BC2400" t="inlineStr">
        <is>
          <t>32285000184597</t>
        </is>
      </c>
      <c r="BD2400" t="inlineStr">
        <is>
          <t>893900741</t>
        </is>
      </c>
    </row>
    <row r="2401">
      <c r="A2401" t="inlineStr">
        <is>
          <t>No</t>
        </is>
      </c>
      <c r="B2401" t="inlineStr">
        <is>
          <t>BX4705.M525 D313 1959</t>
        </is>
      </c>
      <c r="C2401" t="inlineStr">
        <is>
          <t>0                      BX 4705000M  525                D  313         1959</t>
        </is>
      </c>
      <c r="D2401" t="inlineStr">
        <is>
          <t>The spiritual life of Cardinal Merry del Val / by Rev. Jerome Dal-Gal. Translated by Rev. Joseph A. McMullin.</t>
        </is>
      </c>
      <c r="F2401" t="inlineStr">
        <is>
          <t>No</t>
        </is>
      </c>
      <c r="G2401" t="inlineStr">
        <is>
          <t>1</t>
        </is>
      </c>
      <c r="H2401" t="inlineStr">
        <is>
          <t>No</t>
        </is>
      </c>
      <c r="I2401" t="inlineStr">
        <is>
          <t>No</t>
        </is>
      </c>
      <c r="J2401" t="inlineStr">
        <is>
          <t>0</t>
        </is>
      </c>
      <c r="K2401" t="inlineStr">
        <is>
          <t>Dal-Gal, Niccolò, 1875-1968.</t>
        </is>
      </c>
      <c r="L2401" t="inlineStr">
        <is>
          <t>New York : Benziger Brothers, inc., [1959]</t>
        </is>
      </c>
      <c r="M2401" t="inlineStr">
        <is>
          <t>1959</t>
        </is>
      </c>
      <c r="O2401" t="inlineStr">
        <is>
          <t>eng</t>
        </is>
      </c>
      <c r="P2401" t="inlineStr">
        <is>
          <t xml:space="preserve">xx </t>
        </is>
      </c>
      <c r="R2401" t="inlineStr">
        <is>
          <t xml:space="preserve">BX </t>
        </is>
      </c>
      <c r="S2401" t="n">
        <v>4</v>
      </c>
      <c r="T2401" t="n">
        <v>4</v>
      </c>
      <c r="U2401" t="inlineStr">
        <is>
          <t>1992-05-12</t>
        </is>
      </c>
      <c r="V2401" t="inlineStr">
        <is>
          <t>1992-05-12</t>
        </is>
      </c>
      <c r="W2401" t="inlineStr">
        <is>
          <t>1990-06-08</t>
        </is>
      </c>
      <c r="X2401" t="inlineStr">
        <is>
          <t>1990-06-08</t>
        </is>
      </c>
      <c r="Y2401" t="n">
        <v>114</v>
      </c>
      <c r="Z2401" t="n">
        <v>102</v>
      </c>
      <c r="AA2401" t="n">
        <v>110</v>
      </c>
      <c r="AB2401" t="n">
        <v>3</v>
      </c>
      <c r="AC2401" t="n">
        <v>3</v>
      </c>
      <c r="AD2401" t="n">
        <v>13</v>
      </c>
      <c r="AE2401" t="n">
        <v>14</v>
      </c>
      <c r="AF2401" t="n">
        <v>1</v>
      </c>
      <c r="AG2401" t="n">
        <v>2</v>
      </c>
      <c r="AH2401" t="n">
        <v>3</v>
      </c>
      <c r="AI2401" t="n">
        <v>3</v>
      </c>
      <c r="AJ2401" t="n">
        <v>9</v>
      </c>
      <c r="AK2401" t="n">
        <v>10</v>
      </c>
      <c r="AL2401" t="n">
        <v>0</v>
      </c>
      <c r="AM2401" t="n">
        <v>0</v>
      </c>
      <c r="AN2401" t="n">
        <v>0</v>
      </c>
      <c r="AO2401" t="n">
        <v>0</v>
      </c>
      <c r="AP2401" t="inlineStr">
        <is>
          <t>No</t>
        </is>
      </c>
      <c r="AQ2401" t="inlineStr">
        <is>
          <t>Yes</t>
        </is>
      </c>
      <c r="AR2401">
        <f>HYPERLINK("http://catalog.hathitrust.org/Record/100922303","HathiTrust Record")</f>
        <v/>
      </c>
      <c r="AS2401">
        <f>HYPERLINK("https://creighton-primo.hosted.exlibrisgroup.com/primo-explore/search?tab=default_tab&amp;search_scope=EVERYTHING&amp;vid=01CRU&amp;lang=en_US&amp;offset=0&amp;query=any,contains,991004169559702656","Catalog Record")</f>
        <v/>
      </c>
      <c r="AT2401">
        <f>HYPERLINK("http://www.worldcat.org/oclc/2577125","WorldCat Record")</f>
        <v/>
      </c>
      <c r="AU2401" t="inlineStr">
        <is>
          <t>423910046:eng</t>
        </is>
      </c>
      <c r="AV2401" t="inlineStr">
        <is>
          <t>2577125</t>
        </is>
      </c>
      <c r="AW2401" t="inlineStr">
        <is>
          <t>991004169559702656</t>
        </is>
      </c>
      <c r="AX2401" t="inlineStr">
        <is>
          <t>991004169559702656</t>
        </is>
      </c>
      <c r="AY2401" t="inlineStr">
        <is>
          <t>2256662370002656</t>
        </is>
      </c>
      <c r="AZ2401" t="inlineStr">
        <is>
          <t>BOOK</t>
        </is>
      </c>
      <c r="BC2401" t="inlineStr">
        <is>
          <t>32285000184605</t>
        </is>
      </c>
      <c r="BD2401" t="inlineStr">
        <is>
          <t>893624429</t>
        </is>
      </c>
    </row>
    <row r="2402">
      <c r="A2402" t="inlineStr">
        <is>
          <t>No</t>
        </is>
      </c>
      <c r="B2402" t="inlineStr">
        <is>
          <t>BX4705.M525 Q5 1958</t>
        </is>
      </c>
      <c r="C2402" t="inlineStr">
        <is>
          <t>0                      BX 4705000M  525                Q  5           1958</t>
        </is>
      </c>
      <c r="D2402" t="inlineStr">
        <is>
          <t>Give me souls : a life of Raphael Cardinal Merry del Val.</t>
        </is>
      </c>
      <c r="F2402" t="inlineStr">
        <is>
          <t>No</t>
        </is>
      </c>
      <c r="G2402" t="inlineStr">
        <is>
          <t>1</t>
        </is>
      </c>
      <c r="H2402" t="inlineStr">
        <is>
          <t>No</t>
        </is>
      </c>
      <c r="I2402" t="inlineStr">
        <is>
          <t>No</t>
        </is>
      </c>
      <c r="J2402" t="inlineStr">
        <is>
          <t>0</t>
        </is>
      </c>
      <c r="K2402" t="inlineStr">
        <is>
          <t>Quinn, Mary Bernetta.</t>
        </is>
      </c>
      <c r="L2402" t="inlineStr">
        <is>
          <t>Westminster, Md. : Newman Press, 1958.</t>
        </is>
      </c>
      <c r="M2402" t="inlineStr">
        <is>
          <t>1958</t>
        </is>
      </c>
      <c r="O2402" t="inlineStr">
        <is>
          <t>eng</t>
        </is>
      </c>
      <c r="P2402" t="inlineStr">
        <is>
          <t>mdu</t>
        </is>
      </c>
      <c r="R2402" t="inlineStr">
        <is>
          <t xml:space="preserve">BX </t>
        </is>
      </c>
      <c r="S2402" t="n">
        <v>4</v>
      </c>
      <c r="T2402" t="n">
        <v>4</v>
      </c>
      <c r="U2402" t="inlineStr">
        <is>
          <t>1992-05-12</t>
        </is>
      </c>
      <c r="V2402" t="inlineStr">
        <is>
          <t>1992-05-12</t>
        </is>
      </c>
      <c r="W2402" t="inlineStr">
        <is>
          <t>1990-06-08</t>
        </is>
      </c>
      <c r="X2402" t="inlineStr">
        <is>
          <t>1990-06-08</t>
        </is>
      </c>
      <c r="Y2402" t="n">
        <v>133</v>
      </c>
      <c r="Z2402" t="n">
        <v>123</v>
      </c>
      <c r="AA2402" t="n">
        <v>129</v>
      </c>
      <c r="AB2402" t="n">
        <v>3</v>
      </c>
      <c r="AC2402" t="n">
        <v>3</v>
      </c>
      <c r="AD2402" t="n">
        <v>17</v>
      </c>
      <c r="AE2402" t="n">
        <v>17</v>
      </c>
      <c r="AF2402" t="n">
        <v>5</v>
      </c>
      <c r="AG2402" t="n">
        <v>5</v>
      </c>
      <c r="AH2402" t="n">
        <v>4</v>
      </c>
      <c r="AI2402" t="n">
        <v>4</v>
      </c>
      <c r="AJ2402" t="n">
        <v>12</v>
      </c>
      <c r="AK2402" t="n">
        <v>12</v>
      </c>
      <c r="AL2402" t="n">
        <v>1</v>
      </c>
      <c r="AM2402" t="n">
        <v>1</v>
      </c>
      <c r="AN2402" t="n">
        <v>0</v>
      </c>
      <c r="AO2402" t="n">
        <v>0</v>
      </c>
      <c r="AP2402" t="inlineStr">
        <is>
          <t>No</t>
        </is>
      </c>
      <c r="AQ2402" t="inlineStr">
        <is>
          <t>Yes</t>
        </is>
      </c>
      <c r="AR2402">
        <f>HYPERLINK("http://catalog.hathitrust.org/Record/100926471","HathiTrust Record")</f>
        <v/>
      </c>
      <c r="AS2402">
        <f>HYPERLINK("https://creighton-primo.hosted.exlibrisgroup.com/primo-explore/search?tab=default_tab&amp;search_scope=EVERYTHING&amp;vid=01CRU&amp;lang=en_US&amp;offset=0&amp;query=any,contains,991004156019702656","Catalog Record")</f>
        <v/>
      </c>
      <c r="AT2402">
        <f>HYPERLINK("http://www.worldcat.org/oclc/2541681","WorldCat Record")</f>
        <v/>
      </c>
      <c r="AU2402" t="inlineStr">
        <is>
          <t>2911488692:eng</t>
        </is>
      </c>
      <c r="AV2402" t="inlineStr">
        <is>
          <t>2541681</t>
        </is>
      </c>
      <c r="AW2402" t="inlineStr">
        <is>
          <t>991004156019702656</t>
        </is>
      </c>
      <c r="AX2402" t="inlineStr">
        <is>
          <t>991004156019702656</t>
        </is>
      </c>
      <c r="AY2402" t="inlineStr">
        <is>
          <t>2272764430002656</t>
        </is>
      </c>
      <c r="AZ2402" t="inlineStr">
        <is>
          <t>BOOK</t>
        </is>
      </c>
      <c r="BC2402" t="inlineStr">
        <is>
          <t>32285000184613</t>
        </is>
      </c>
      <c r="BD2402" t="inlineStr">
        <is>
          <t>893349678</t>
        </is>
      </c>
    </row>
    <row r="2403">
      <c r="A2403" t="inlineStr">
        <is>
          <t>No</t>
        </is>
      </c>
      <c r="B2403" t="inlineStr">
        <is>
          <t>BX4705.M542 A27 1981</t>
        </is>
      </c>
      <c r="C2403" t="inlineStr">
        <is>
          <t>0                      BX 4705000M  542                A  27          1981</t>
        </is>
      </c>
      <c r="D2403" t="inlineStr">
        <is>
          <t>Day of a stranger / Thomas Merton ; introduction by Robert E. Daggy.</t>
        </is>
      </c>
      <c r="F2403" t="inlineStr">
        <is>
          <t>No</t>
        </is>
      </c>
      <c r="G2403" t="inlineStr">
        <is>
          <t>1</t>
        </is>
      </c>
      <c r="H2403" t="inlineStr">
        <is>
          <t>No</t>
        </is>
      </c>
      <c r="I2403" t="inlineStr">
        <is>
          <t>No</t>
        </is>
      </c>
      <c r="J2403" t="inlineStr">
        <is>
          <t>0</t>
        </is>
      </c>
      <c r="K2403" t="inlineStr">
        <is>
          <t>Merton, Thomas, 1915-1968.</t>
        </is>
      </c>
      <c r="L2403" t="inlineStr">
        <is>
          <t>Salt Lake City, Utah : Gibbs M. Smith, 1981.</t>
        </is>
      </c>
      <c r="M2403" t="inlineStr">
        <is>
          <t>1981</t>
        </is>
      </c>
      <c r="N2403" t="inlineStr">
        <is>
          <t>1st Peregrine Smith ed.</t>
        </is>
      </c>
      <c r="O2403" t="inlineStr">
        <is>
          <t>eng</t>
        </is>
      </c>
      <c r="P2403" t="inlineStr">
        <is>
          <t>utu</t>
        </is>
      </c>
      <c r="R2403" t="inlineStr">
        <is>
          <t xml:space="preserve">BX </t>
        </is>
      </c>
      <c r="S2403" t="n">
        <v>9</v>
      </c>
      <c r="T2403" t="n">
        <v>9</v>
      </c>
      <c r="U2403" t="inlineStr">
        <is>
          <t>2003-03-02</t>
        </is>
      </c>
      <c r="V2403" t="inlineStr">
        <is>
          <t>2003-03-02</t>
        </is>
      </c>
      <c r="W2403" t="inlineStr">
        <is>
          <t>1990-08-08</t>
        </is>
      </c>
      <c r="X2403" t="inlineStr">
        <is>
          <t>1990-08-08</t>
        </is>
      </c>
      <c r="Y2403" t="n">
        <v>122</v>
      </c>
      <c r="Z2403" t="n">
        <v>116</v>
      </c>
      <c r="AA2403" t="n">
        <v>121</v>
      </c>
      <c r="AB2403" t="n">
        <v>1</v>
      </c>
      <c r="AC2403" t="n">
        <v>1</v>
      </c>
      <c r="AD2403" t="n">
        <v>10</v>
      </c>
      <c r="AE2403" t="n">
        <v>11</v>
      </c>
      <c r="AF2403" t="n">
        <v>4</v>
      </c>
      <c r="AG2403" t="n">
        <v>4</v>
      </c>
      <c r="AH2403" t="n">
        <v>2</v>
      </c>
      <c r="AI2403" t="n">
        <v>2</v>
      </c>
      <c r="AJ2403" t="n">
        <v>7</v>
      </c>
      <c r="AK2403" t="n">
        <v>8</v>
      </c>
      <c r="AL2403" t="n">
        <v>0</v>
      </c>
      <c r="AM2403" t="n">
        <v>0</v>
      </c>
      <c r="AN2403" t="n">
        <v>0</v>
      </c>
      <c r="AO2403" t="n">
        <v>0</v>
      </c>
      <c r="AP2403" t="inlineStr">
        <is>
          <t>No</t>
        </is>
      </c>
      <c r="AQ2403" t="inlineStr">
        <is>
          <t>No</t>
        </is>
      </c>
      <c r="AS2403">
        <f>HYPERLINK("https://creighton-primo.hosted.exlibrisgroup.com/primo-explore/search?tab=default_tab&amp;search_scope=EVERYTHING&amp;vid=01CRU&amp;lang=en_US&amp;offset=0&amp;query=any,contains,991005144429702656","Catalog Record")</f>
        <v/>
      </c>
      <c r="AT2403">
        <f>HYPERLINK("http://www.worldcat.org/oclc/7653290","WorldCat Record")</f>
        <v/>
      </c>
      <c r="AU2403" t="inlineStr">
        <is>
          <t>2982185:eng</t>
        </is>
      </c>
      <c r="AV2403" t="inlineStr">
        <is>
          <t>7653290</t>
        </is>
      </c>
      <c r="AW2403" t="inlineStr">
        <is>
          <t>991005144429702656</t>
        </is>
      </c>
      <c r="AX2403" t="inlineStr">
        <is>
          <t>991005144429702656</t>
        </is>
      </c>
      <c r="AY2403" t="inlineStr">
        <is>
          <t>2258778560002656</t>
        </is>
      </c>
      <c r="AZ2403" t="inlineStr">
        <is>
          <t>BOOK</t>
        </is>
      </c>
      <c r="BB2403" t="inlineStr">
        <is>
          <t>9780879050924</t>
        </is>
      </c>
      <c r="BC2403" t="inlineStr">
        <is>
          <t>32285000270826</t>
        </is>
      </c>
      <c r="BD2403" t="inlineStr">
        <is>
          <t>893248437</t>
        </is>
      </c>
    </row>
    <row r="2404">
      <c r="A2404" t="inlineStr">
        <is>
          <t>No</t>
        </is>
      </c>
      <c r="B2404" t="inlineStr">
        <is>
          <t>BX4705.M542 A28 1959</t>
        </is>
      </c>
      <c r="C2404" t="inlineStr">
        <is>
          <t>0                      BX 4705000M  542                A  28          1959</t>
        </is>
      </c>
      <c r="D2404" t="inlineStr">
        <is>
          <t>Secular journal.</t>
        </is>
      </c>
      <c r="F2404" t="inlineStr">
        <is>
          <t>No</t>
        </is>
      </c>
      <c r="G2404" t="inlineStr">
        <is>
          <t>1</t>
        </is>
      </c>
      <c r="H2404" t="inlineStr">
        <is>
          <t>No</t>
        </is>
      </c>
      <c r="I2404" t="inlineStr">
        <is>
          <t>No</t>
        </is>
      </c>
      <c r="J2404" t="inlineStr">
        <is>
          <t>0</t>
        </is>
      </c>
      <c r="K2404" t="inlineStr">
        <is>
          <t>Merton, Thomas, 1915-1968.</t>
        </is>
      </c>
      <c r="L2404" t="inlineStr">
        <is>
          <t>New York : Farrar, Straus &amp; Cudahy, [1959]</t>
        </is>
      </c>
      <c r="M2404" t="inlineStr">
        <is>
          <t>1959</t>
        </is>
      </c>
      <c r="O2404" t="inlineStr">
        <is>
          <t>eng</t>
        </is>
      </c>
      <c r="P2404" t="inlineStr">
        <is>
          <t>nyu</t>
        </is>
      </c>
      <c r="R2404" t="inlineStr">
        <is>
          <t xml:space="preserve">BX </t>
        </is>
      </c>
      <c r="S2404" t="n">
        <v>7</v>
      </c>
      <c r="T2404" t="n">
        <v>7</v>
      </c>
      <c r="U2404" t="inlineStr">
        <is>
          <t>1999-09-03</t>
        </is>
      </c>
      <c r="V2404" t="inlineStr">
        <is>
          <t>1999-09-03</t>
        </is>
      </c>
      <c r="W2404" t="inlineStr">
        <is>
          <t>1992-03-30</t>
        </is>
      </c>
      <c r="X2404" t="inlineStr">
        <is>
          <t>1992-03-30</t>
        </is>
      </c>
      <c r="Y2404" t="n">
        <v>670</v>
      </c>
      <c r="Z2404" t="n">
        <v>628</v>
      </c>
      <c r="AA2404" t="n">
        <v>819</v>
      </c>
      <c r="AB2404" t="n">
        <v>7</v>
      </c>
      <c r="AC2404" t="n">
        <v>9</v>
      </c>
      <c r="AD2404" t="n">
        <v>39</v>
      </c>
      <c r="AE2404" t="n">
        <v>45</v>
      </c>
      <c r="AF2404" t="n">
        <v>16</v>
      </c>
      <c r="AG2404" t="n">
        <v>19</v>
      </c>
      <c r="AH2404" t="n">
        <v>7</v>
      </c>
      <c r="AI2404" t="n">
        <v>9</v>
      </c>
      <c r="AJ2404" t="n">
        <v>24</v>
      </c>
      <c r="AK2404" t="n">
        <v>24</v>
      </c>
      <c r="AL2404" t="n">
        <v>4</v>
      </c>
      <c r="AM2404" t="n">
        <v>6</v>
      </c>
      <c r="AN2404" t="n">
        <v>0</v>
      </c>
      <c r="AO2404" t="n">
        <v>0</v>
      </c>
      <c r="AP2404" t="inlineStr">
        <is>
          <t>No</t>
        </is>
      </c>
      <c r="AQ2404" t="inlineStr">
        <is>
          <t>No</t>
        </is>
      </c>
      <c r="AR2404">
        <f>HYPERLINK("http://catalog.hathitrust.org/Record/001592078","HathiTrust Record")</f>
        <v/>
      </c>
      <c r="AS2404">
        <f>HYPERLINK("https://creighton-primo.hosted.exlibrisgroup.com/primo-explore/search?tab=default_tab&amp;search_scope=EVERYTHING&amp;vid=01CRU&amp;lang=en_US&amp;offset=0&amp;query=any,contains,991002645299702656","Catalog Record")</f>
        <v/>
      </c>
      <c r="AT2404">
        <f>HYPERLINK("http://www.worldcat.org/oclc/385658","WorldCat Record")</f>
        <v/>
      </c>
      <c r="AU2404" t="inlineStr">
        <is>
          <t>3046462:eng</t>
        </is>
      </c>
      <c r="AV2404" t="inlineStr">
        <is>
          <t>385658</t>
        </is>
      </c>
      <c r="AW2404" t="inlineStr">
        <is>
          <t>991002645299702656</t>
        </is>
      </c>
      <c r="AX2404" t="inlineStr">
        <is>
          <t>991002645299702656</t>
        </is>
      </c>
      <c r="AY2404" t="inlineStr">
        <is>
          <t>2258797670002656</t>
        </is>
      </c>
      <c r="AZ2404" t="inlineStr">
        <is>
          <t>BOOK</t>
        </is>
      </c>
      <c r="BC2404" t="inlineStr">
        <is>
          <t>32285001004323</t>
        </is>
      </c>
      <c r="BD2404" t="inlineStr">
        <is>
          <t>893804847</t>
        </is>
      </c>
    </row>
    <row r="2405">
      <c r="A2405" t="inlineStr">
        <is>
          <t>No</t>
        </is>
      </c>
      <c r="B2405" t="inlineStr">
        <is>
          <t>BX4705.M542 A34 1989</t>
        </is>
      </c>
      <c r="C2405" t="inlineStr">
        <is>
          <t>0                      BX 4705000M  542                A  34          1989</t>
        </is>
      </c>
      <c r="D2405" t="inlineStr">
        <is>
          <t>Thomas Merton in Alaska : prelude to the Asian journal : the Alaskan conferences, journals, and letters / Thomas Merton.</t>
        </is>
      </c>
      <c r="F2405" t="inlineStr">
        <is>
          <t>No</t>
        </is>
      </c>
      <c r="G2405" t="inlineStr">
        <is>
          <t>1</t>
        </is>
      </c>
      <c r="H2405" t="inlineStr">
        <is>
          <t>No</t>
        </is>
      </c>
      <c r="I2405" t="inlineStr">
        <is>
          <t>No</t>
        </is>
      </c>
      <c r="J2405" t="inlineStr">
        <is>
          <t>0</t>
        </is>
      </c>
      <c r="K2405" t="inlineStr">
        <is>
          <t>Merton, Thomas, 1915-1968.</t>
        </is>
      </c>
      <c r="L2405" t="inlineStr">
        <is>
          <t>New York : New Directions Pub. Corp., 1989.</t>
        </is>
      </c>
      <c r="M2405" t="inlineStr">
        <is>
          <t>1989</t>
        </is>
      </c>
      <c r="O2405" t="inlineStr">
        <is>
          <t>eng</t>
        </is>
      </c>
      <c r="P2405" t="inlineStr">
        <is>
          <t>nyu</t>
        </is>
      </c>
      <c r="R2405" t="inlineStr">
        <is>
          <t xml:space="preserve">BX </t>
        </is>
      </c>
      <c r="S2405" t="n">
        <v>3</v>
      </c>
      <c r="T2405" t="n">
        <v>3</v>
      </c>
      <c r="U2405" t="inlineStr">
        <is>
          <t>1998-02-17</t>
        </is>
      </c>
      <c r="V2405" t="inlineStr">
        <is>
          <t>1998-02-17</t>
        </is>
      </c>
      <c r="W2405" t="inlineStr">
        <is>
          <t>1992-03-30</t>
        </is>
      </c>
      <c r="X2405" t="inlineStr">
        <is>
          <t>1992-03-30</t>
        </is>
      </c>
      <c r="Y2405" t="n">
        <v>327</v>
      </c>
      <c r="Z2405" t="n">
        <v>287</v>
      </c>
      <c r="AA2405" t="n">
        <v>289</v>
      </c>
      <c r="AB2405" t="n">
        <v>1</v>
      </c>
      <c r="AC2405" t="n">
        <v>1</v>
      </c>
      <c r="AD2405" t="n">
        <v>20</v>
      </c>
      <c r="AE2405" t="n">
        <v>20</v>
      </c>
      <c r="AF2405" t="n">
        <v>7</v>
      </c>
      <c r="AG2405" t="n">
        <v>7</v>
      </c>
      <c r="AH2405" t="n">
        <v>6</v>
      </c>
      <c r="AI2405" t="n">
        <v>6</v>
      </c>
      <c r="AJ2405" t="n">
        <v>13</v>
      </c>
      <c r="AK2405" t="n">
        <v>13</v>
      </c>
      <c r="AL2405" t="n">
        <v>0</v>
      </c>
      <c r="AM2405" t="n">
        <v>0</v>
      </c>
      <c r="AN2405" t="n">
        <v>0</v>
      </c>
      <c r="AO2405" t="n">
        <v>0</v>
      </c>
      <c r="AP2405" t="inlineStr">
        <is>
          <t>No</t>
        </is>
      </c>
      <c r="AQ2405" t="inlineStr">
        <is>
          <t>No</t>
        </is>
      </c>
      <c r="AS2405">
        <f>HYPERLINK("https://creighton-primo.hosted.exlibrisgroup.com/primo-explore/search?tab=default_tab&amp;search_scope=EVERYTHING&amp;vid=01CRU&amp;lang=en_US&amp;offset=0&amp;query=any,contains,991001126939702656","Catalog Record")</f>
        <v/>
      </c>
      <c r="AT2405">
        <f>HYPERLINK("http://www.worldcat.org/oclc/16649426","WorldCat Record")</f>
        <v/>
      </c>
      <c r="AU2405" t="inlineStr">
        <is>
          <t>196900263:eng</t>
        </is>
      </c>
      <c r="AV2405" t="inlineStr">
        <is>
          <t>16649426</t>
        </is>
      </c>
      <c r="AW2405" t="inlineStr">
        <is>
          <t>991001126939702656</t>
        </is>
      </c>
      <c r="AX2405" t="inlineStr">
        <is>
          <t>991001126939702656</t>
        </is>
      </c>
      <c r="AY2405" t="inlineStr">
        <is>
          <t>2266324720002656</t>
        </is>
      </c>
      <c r="AZ2405" t="inlineStr">
        <is>
          <t>BOOK</t>
        </is>
      </c>
      <c r="BB2405" t="inlineStr">
        <is>
          <t>9780811210386</t>
        </is>
      </c>
      <c r="BC2405" t="inlineStr">
        <is>
          <t>32285001004349</t>
        </is>
      </c>
      <c r="BD2405" t="inlineStr">
        <is>
          <t>893696487</t>
        </is>
      </c>
    </row>
    <row r="2406">
      <c r="A2406" t="inlineStr">
        <is>
          <t>No</t>
        </is>
      </c>
      <c r="B2406" t="inlineStr">
        <is>
          <t>BX4705.M542 A35 1995, v.3</t>
        </is>
      </c>
      <c r="C2406" t="inlineStr">
        <is>
          <t>0                      BX 4705000M  542                A  35          1995                  v.3</t>
        </is>
      </c>
      <c r="D2406" t="inlineStr">
        <is>
          <t>A search for solitude : pursuing the monk's true life / Thomas Merton ; edited by Lawrence S. Cunningham.</t>
        </is>
      </c>
      <c r="E2406" t="inlineStr">
        <is>
          <t>V.3</t>
        </is>
      </c>
      <c r="F2406" t="inlineStr">
        <is>
          <t>No</t>
        </is>
      </c>
      <c r="G2406" t="inlineStr">
        <is>
          <t>1</t>
        </is>
      </c>
      <c r="H2406" t="inlineStr">
        <is>
          <t>No</t>
        </is>
      </c>
      <c r="I2406" t="inlineStr">
        <is>
          <t>No</t>
        </is>
      </c>
      <c r="J2406" t="inlineStr">
        <is>
          <t>0</t>
        </is>
      </c>
      <c r="K2406" t="inlineStr">
        <is>
          <t>Merton, Thomas, 1915-1968.</t>
        </is>
      </c>
      <c r="L2406" t="inlineStr">
        <is>
          <t>San Francisco : HarperSanFrancisco, 1996.</t>
        </is>
      </c>
      <c r="M2406" t="inlineStr">
        <is>
          <t>1996</t>
        </is>
      </c>
      <c r="N2406" t="inlineStr">
        <is>
          <t>1st ed.</t>
        </is>
      </c>
      <c r="O2406" t="inlineStr">
        <is>
          <t>eng</t>
        </is>
      </c>
      <c r="P2406" t="inlineStr">
        <is>
          <t>cau</t>
        </is>
      </c>
      <c r="Q2406" t="inlineStr">
        <is>
          <t>The journals of Thomas Merton ; v. 3</t>
        </is>
      </c>
      <c r="R2406" t="inlineStr">
        <is>
          <t xml:space="preserve">BX </t>
        </is>
      </c>
      <c r="S2406" t="n">
        <v>9</v>
      </c>
      <c r="T2406" t="n">
        <v>9</v>
      </c>
      <c r="U2406" t="inlineStr">
        <is>
          <t>2008-04-11</t>
        </is>
      </c>
      <c r="V2406" t="inlineStr">
        <is>
          <t>2008-04-11</t>
        </is>
      </c>
      <c r="W2406" t="inlineStr">
        <is>
          <t>1996-07-16</t>
        </is>
      </c>
      <c r="X2406" t="inlineStr">
        <is>
          <t>1996-07-16</t>
        </is>
      </c>
      <c r="Y2406" t="n">
        <v>660</v>
      </c>
      <c r="Z2406" t="n">
        <v>605</v>
      </c>
      <c r="AA2406" t="n">
        <v>665</v>
      </c>
      <c r="AB2406" t="n">
        <v>4</v>
      </c>
      <c r="AC2406" t="n">
        <v>4</v>
      </c>
      <c r="AD2406" t="n">
        <v>25</v>
      </c>
      <c r="AE2406" t="n">
        <v>28</v>
      </c>
      <c r="AF2406" t="n">
        <v>12</v>
      </c>
      <c r="AG2406" t="n">
        <v>14</v>
      </c>
      <c r="AH2406" t="n">
        <v>3</v>
      </c>
      <c r="AI2406" t="n">
        <v>4</v>
      </c>
      <c r="AJ2406" t="n">
        <v>16</v>
      </c>
      <c r="AK2406" t="n">
        <v>17</v>
      </c>
      <c r="AL2406" t="n">
        <v>1</v>
      </c>
      <c r="AM2406" t="n">
        <v>1</v>
      </c>
      <c r="AN2406" t="n">
        <v>0</v>
      </c>
      <c r="AO2406" t="n">
        <v>0</v>
      </c>
      <c r="AP2406" t="inlineStr">
        <is>
          <t>No</t>
        </is>
      </c>
      <c r="AQ2406" t="inlineStr">
        <is>
          <t>Yes</t>
        </is>
      </c>
      <c r="AR2406">
        <f>HYPERLINK("http://catalog.hathitrust.org/Record/003091450","HathiTrust Record")</f>
        <v/>
      </c>
      <c r="AS2406">
        <f>HYPERLINK("https://creighton-primo.hosted.exlibrisgroup.com/primo-explore/search?tab=default_tab&amp;search_scope=EVERYTHING&amp;vid=01CRU&amp;lang=en_US&amp;offset=0&amp;query=any,contains,991002572239702656","Catalog Record")</f>
        <v/>
      </c>
      <c r="AT2406">
        <f>HYPERLINK("http://www.worldcat.org/oclc/33439106","WorldCat Record")</f>
        <v/>
      </c>
      <c r="AU2406" t="inlineStr">
        <is>
          <t>20679860:eng</t>
        </is>
      </c>
      <c r="AV2406" t="inlineStr">
        <is>
          <t>33439106</t>
        </is>
      </c>
      <c r="AW2406" t="inlineStr">
        <is>
          <t>991002572239702656</t>
        </is>
      </c>
      <c r="AX2406" t="inlineStr">
        <is>
          <t>991002572239702656</t>
        </is>
      </c>
      <c r="AY2406" t="inlineStr">
        <is>
          <t>2261926120002656</t>
        </is>
      </c>
      <c r="AZ2406" t="inlineStr">
        <is>
          <t>BOOK</t>
        </is>
      </c>
      <c r="BB2406" t="inlineStr">
        <is>
          <t>9780060654788</t>
        </is>
      </c>
      <c r="BC2406" t="inlineStr">
        <is>
          <t>32285002212545</t>
        </is>
      </c>
      <c r="BD2406" t="inlineStr">
        <is>
          <t>893804760</t>
        </is>
      </c>
    </row>
    <row r="2407">
      <c r="A2407" t="inlineStr">
        <is>
          <t>No</t>
        </is>
      </c>
      <c r="B2407" t="inlineStr">
        <is>
          <t>BX4705.M542 A35 1995, v.4</t>
        </is>
      </c>
      <c r="C2407" t="inlineStr">
        <is>
          <t>0                      BX 4705000M  542                A  35          1995                  v.4</t>
        </is>
      </c>
      <c r="D2407" t="inlineStr">
        <is>
          <t>Turning toward the world : the pivotal years / Thomas Merton ; edited by Victor A. Kramer.</t>
        </is>
      </c>
      <c r="E2407" t="inlineStr">
        <is>
          <t>V.4</t>
        </is>
      </c>
      <c r="F2407" t="inlineStr">
        <is>
          <t>No</t>
        </is>
      </c>
      <c r="G2407" t="inlineStr">
        <is>
          <t>1</t>
        </is>
      </c>
      <c r="H2407" t="inlineStr">
        <is>
          <t>No</t>
        </is>
      </c>
      <c r="I2407" t="inlineStr">
        <is>
          <t>No</t>
        </is>
      </c>
      <c r="J2407" t="inlineStr">
        <is>
          <t>0</t>
        </is>
      </c>
      <c r="K2407" t="inlineStr">
        <is>
          <t>Merton, Thomas, 1915-1968.</t>
        </is>
      </c>
      <c r="L2407" t="inlineStr">
        <is>
          <t>[San Francisco, Calif.] : HarperSanFrancisco, c1996.</t>
        </is>
      </c>
      <c r="M2407" t="inlineStr">
        <is>
          <t>1996</t>
        </is>
      </c>
      <c r="N2407" t="inlineStr">
        <is>
          <t>1st ed.</t>
        </is>
      </c>
      <c r="O2407" t="inlineStr">
        <is>
          <t>eng</t>
        </is>
      </c>
      <c r="P2407" t="inlineStr">
        <is>
          <t>cau</t>
        </is>
      </c>
      <c r="Q2407" t="inlineStr">
        <is>
          <t>The journals of Thomas Merton, 1960-1963 ; v. 4</t>
        </is>
      </c>
      <c r="R2407" t="inlineStr">
        <is>
          <t xml:space="preserve">BX </t>
        </is>
      </c>
      <c r="S2407" t="n">
        <v>9</v>
      </c>
      <c r="T2407" t="n">
        <v>9</v>
      </c>
      <c r="U2407" t="inlineStr">
        <is>
          <t>2006-04-02</t>
        </is>
      </c>
      <c r="V2407" t="inlineStr">
        <is>
          <t>2006-04-02</t>
        </is>
      </c>
      <c r="W2407" t="inlineStr">
        <is>
          <t>1997-01-02</t>
        </is>
      </c>
      <c r="X2407" t="inlineStr">
        <is>
          <t>1997-01-02</t>
        </is>
      </c>
      <c r="Y2407" t="n">
        <v>496</v>
      </c>
      <c r="Z2407" t="n">
        <v>450</v>
      </c>
      <c r="AA2407" t="n">
        <v>503</v>
      </c>
      <c r="AB2407" t="n">
        <v>4</v>
      </c>
      <c r="AC2407" t="n">
        <v>4</v>
      </c>
      <c r="AD2407" t="n">
        <v>24</v>
      </c>
      <c r="AE2407" t="n">
        <v>25</v>
      </c>
      <c r="AF2407" t="n">
        <v>9</v>
      </c>
      <c r="AG2407" t="n">
        <v>10</v>
      </c>
      <c r="AH2407" t="n">
        <v>5</v>
      </c>
      <c r="AI2407" t="n">
        <v>5</v>
      </c>
      <c r="AJ2407" t="n">
        <v>13</v>
      </c>
      <c r="AK2407" t="n">
        <v>13</v>
      </c>
      <c r="AL2407" t="n">
        <v>2</v>
      </c>
      <c r="AM2407" t="n">
        <v>2</v>
      </c>
      <c r="AN2407" t="n">
        <v>0</v>
      </c>
      <c r="AO2407" t="n">
        <v>0</v>
      </c>
      <c r="AP2407" t="inlineStr">
        <is>
          <t>No</t>
        </is>
      </c>
      <c r="AQ2407" t="inlineStr">
        <is>
          <t>Yes</t>
        </is>
      </c>
      <c r="AR2407">
        <f>HYPERLINK("http://catalog.hathitrust.org/Record/003141929","HathiTrust Record")</f>
        <v/>
      </c>
      <c r="AS2407">
        <f>HYPERLINK("https://creighton-primo.hosted.exlibrisgroup.com/primo-explore/search?tab=default_tab&amp;search_scope=EVERYTHING&amp;vid=01CRU&amp;lang=en_US&amp;offset=0&amp;query=any,contains,991002648279702656","Catalog Record")</f>
        <v/>
      </c>
      <c r="AT2407">
        <f>HYPERLINK("http://www.worldcat.org/oclc/34651477","WorldCat Record")</f>
        <v/>
      </c>
      <c r="AU2407" t="inlineStr">
        <is>
          <t>39419143:eng</t>
        </is>
      </c>
      <c r="AV2407" t="inlineStr">
        <is>
          <t>34651477</t>
        </is>
      </c>
      <c r="AW2407" t="inlineStr">
        <is>
          <t>991002648279702656</t>
        </is>
      </c>
      <c r="AX2407" t="inlineStr">
        <is>
          <t>991002648279702656</t>
        </is>
      </c>
      <c r="AY2407" t="inlineStr">
        <is>
          <t>2262411330002656</t>
        </is>
      </c>
      <c r="AZ2407" t="inlineStr">
        <is>
          <t>BOOK</t>
        </is>
      </c>
      <c r="BB2407" t="inlineStr">
        <is>
          <t>9780060654801</t>
        </is>
      </c>
      <c r="BC2407" t="inlineStr">
        <is>
          <t>32285002404415</t>
        </is>
      </c>
      <c r="BD2407" t="inlineStr">
        <is>
          <t>893873785</t>
        </is>
      </c>
    </row>
    <row r="2408">
      <c r="A2408" t="inlineStr">
        <is>
          <t>No</t>
        </is>
      </c>
      <c r="B2408" t="inlineStr">
        <is>
          <t>BX4705.M542 A35 1995, v.5</t>
        </is>
      </c>
      <c r="C2408" t="inlineStr">
        <is>
          <t>0                      BX 4705000M  542                A  35          1995                  v.5</t>
        </is>
      </c>
      <c r="D2408" t="inlineStr">
        <is>
          <t>Dancing in the water of life : seeking peace in the hermitage / Thomas Merton ; edited by Robert E. Daggy.</t>
        </is>
      </c>
      <c r="E2408" t="inlineStr">
        <is>
          <t>V.5</t>
        </is>
      </c>
      <c r="F2408" t="inlineStr">
        <is>
          <t>No</t>
        </is>
      </c>
      <c r="G2408" t="inlineStr">
        <is>
          <t>1</t>
        </is>
      </c>
      <c r="H2408" t="inlineStr">
        <is>
          <t>No</t>
        </is>
      </c>
      <c r="I2408" t="inlineStr">
        <is>
          <t>No</t>
        </is>
      </c>
      <c r="J2408" t="inlineStr">
        <is>
          <t>0</t>
        </is>
      </c>
      <c r="K2408" t="inlineStr">
        <is>
          <t>Merton, Thomas, 1915-1968.</t>
        </is>
      </c>
      <c r="L2408" t="inlineStr">
        <is>
          <t>[San Francisco] : HarperSanFrancisco, c1997.</t>
        </is>
      </c>
      <c r="M2408" t="inlineStr">
        <is>
          <t>1997</t>
        </is>
      </c>
      <c r="N2408" t="inlineStr">
        <is>
          <t>1st ed.</t>
        </is>
      </c>
      <c r="O2408" t="inlineStr">
        <is>
          <t>eng</t>
        </is>
      </c>
      <c r="P2408" t="inlineStr">
        <is>
          <t>nyu</t>
        </is>
      </c>
      <c r="Q2408" t="inlineStr">
        <is>
          <t>The journals of Thomas Merton ; v. 5</t>
        </is>
      </c>
      <c r="R2408" t="inlineStr">
        <is>
          <t xml:space="preserve">BX </t>
        </is>
      </c>
      <c r="S2408" t="n">
        <v>4</v>
      </c>
      <c r="T2408" t="n">
        <v>4</v>
      </c>
      <c r="U2408" t="inlineStr">
        <is>
          <t>2001-04-09</t>
        </is>
      </c>
      <c r="V2408" t="inlineStr">
        <is>
          <t>2001-04-09</t>
        </is>
      </c>
      <c r="W2408" t="inlineStr">
        <is>
          <t>1997-08-21</t>
        </is>
      </c>
      <c r="X2408" t="inlineStr">
        <is>
          <t>1997-08-21</t>
        </is>
      </c>
      <c r="Y2408" t="n">
        <v>587</v>
      </c>
      <c r="Z2408" t="n">
        <v>528</v>
      </c>
      <c r="AA2408" t="n">
        <v>563</v>
      </c>
      <c r="AB2408" t="n">
        <v>4</v>
      </c>
      <c r="AC2408" t="n">
        <v>4</v>
      </c>
      <c r="AD2408" t="n">
        <v>23</v>
      </c>
      <c r="AE2408" t="n">
        <v>23</v>
      </c>
      <c r="AF2408" t="n">
        <v>10</v>
      </c>
      <c r="AG2408" t="n">
        <v>10</v>
      </c>
      <c r="AH2408" t="n">
        <v>4</v>
      </c>
      <c r="AI2408" t="n">
        <v>4</v>
      </c>
      <c r="AJ2408" t="n">
        <v>14</v>
      </c>
      <c r="AK2408" t="n">
        <v>14</v>
      </c>
      <c r="AL2408" t="n">
        <v>1</v>
      </c>
      <c r="AM2408" t="n">
        <v>1</v>
      </c>
      <c r="AN2408" t="n">
        <v>0</v>
      </c>
      <c r="AO2408" t="n">
        <v>0</v>
      </c>
      <c r="AP2408" t="inlineStr">
        <is>
          <t>No</t>
        </is>
      </c>
      <c r="AQ2408" t="inlineStr">
        <is>
          <t>Yes</t>
        </is>
      </c>
      <c r="AR2408">
        <f>HYPERLINK("http://catalog.hathitrust.org/Record/003942946","HathiTrust Record")</f>
        <v/>
      </c>
      <c r="AS2408">
        <f>HYPERLINK("https://creighton-primo.hosted.exlibrisgroup.com/primo-explore/search?tab=default_tab&amp;search_scope=EVERYTHING&amp;vid=01CRU&amp;lang=en_US&amp;offset=0&amp;query=any,contains,991002733109702656","Catalog Record")</f>
        <v/>
      </c>
      <c r="AT2408">
        <f>HYPERLINK("http://www.worldcat.org/oclc/35849115","WorldCat Record")</f>
        <v/>
      </c>
      <c r="AU2408" t="inlineStr">
        <is>
          <t>797239237:eng</t>
        </is>
      </c>
      <c r="AV2408" t="inlineStr">
        <is>
          <t>35849115</t>
        </is>
      </c>
      <c r="AW2408" t="inlineStr">
        <is>
          <t>991002733109702656</t>
        </is>
      </c>
      <c r="AX2408" t="inlineStr">
        <is>
          <t>991002733109702656</t>
        </is>
      </c>
      <c r="AY2408" t="inlineStr">
        <is>
          <t>2261260900002656</t>
        </is>
      </c>
      <c r="AZ2408" t="inlineStr">
        <is>
          <t>BOOK</t>
        </is>
      </c>
      <c r="BB2408" t="inlineStr">
        <is>
          <t>9780060654825</t>
        </is>
      </c>
      <c r="BC2408" t="inlineStr">
        <is>
          <t>32285003001160</t>
        </is>
      </c>
      <c r="BD2408" t="inlineStr">
        <is>
          <t>893773966</t>
        </is>
      </c>
    </row>
    <row r="2409">
      <c r="A2409" t="inlineStr">
        <is>
          <t>No</t>
        </is>
      </c>
      <c r="B2409" t="inlineStr">
        <is>
          <t>BX4705.M542 A35 1995, v.7</t>
        </is>
      </c>
      <c r="C2409" t="inlineStr">
        <is>
          <t>0                      BX 4705000M  542                A  35          1995                  v.7</t>
        </is>
      </c>
      <c r="D2409" t="inlineStr">
        <is>
          <t>The other side of the mountain : the end of the journey / Thomas Merton ; edited by Patrick Hart.</t>
        </is>
      </c>
      <c r="E2409" t="inlineStr">
        <is>
          <t>V.7</t>
        </is>
      </c>
      <c r="F2409" t="inlineStr">
        <is>
          <t>No</t>
        </is>
      </c>
      <c r="G2409" t="inlineStr">
        <is>
          <t>1</t>
        </is>
      </c>
      <c r="H2409" t="inlineStr">
        <is>
          <t>No</t>
        </is>
      </c>
      <c r="I2409" t="inlineStr">
        <is>
          <t>No</t>
        </is>
      </c>
      <c r="J2409" t="inlineStr">
        <is>
          <t>0</t>
        </is>
      </c>
      <c r="K2409" t="inlineStr">
        <is>
          <t>Merton, Thomas, 1915-1968.</t>
        </is>
      </c>
      <c r="L2409" t="inlineStr">
        <is>
          <t>[San Francisco] : HarperSanFrancisco, c1998.</t>
        </is>
      </c>
      <c r="M2409" t="inlineStr">
        <is>
          <t>1998</t>
        </is>
      </c>
      <c r="N2409" t="inlineStr">
        <is>
          <t>1st ed.</t>
        </is>
      </c>
      <c r="O2409" t="inlineStr">
        <is>
          <t>eng</t>
        </is>
      </c>
      <c r="P2409" t="inlineStr">
        <is>
          <t>cau</t>
        </is>
      </c>
      <c r="Q2409" t="inlineStr">
        <is>
          <t>The journals of Thomas Merton ; v. 7</t>
        </is>
      </c>
      <c r="R2409" t="inlineStr">
        <is>
          <t xml:space="preserve">BX </t>
        </is>
      </c>
      <c r="S2409" t="n">
        <v>4</v>
      </c>
      <c r="T2409" t="n">
        <v>4</v>
      </c>
      <c r="U2409" t="inlineStr">
        <is>
          <t>2002-07-28</t>
        </is>
      </c>
      <c r="V2409" t="inlineStr">
        <is>
          <t>2002-07-28</t>
        </is>
      </c>
      <c r="W2409" t="inlineStr">
        <is>
          <t>1998-08-06</t>
        </is>
      </c>
      <c r="X2409" t="inlineStr">
        <is>
          <t>1998-08-06</t>
        </is>
      </c>
      <c r="Y2409" t="n">
        <v>639</v>
      </c>
      <c r="Z2409" t="n">
        <v>595</v>
      </c>
      <c r="AA2409" t="n">
        <v>609</v>
      </c>
      <c r="AB2409" t="n">
        <v>4</v>
      </c>
      <c r="AC2409" t="n">
        <v>4</v>
      </c>
      <c r="AD2409" t="n">
        <v>23</v>
      </c>
      <c r="AE2409" t="n">
        <v>23</v>
      </c>
      <c r="AF2409" t="n">
        <v>9</v>
      </c>
      <c r="AG2409" t="n">
        <v>9</v>
      </c>
      <c r="AH2409" t="n">
        <v>5</v>
      </c>
      <c r="AI2409" t="n">
        <v>5</v>
      </c>
      <c r="AJ2409" t="n">
        <v>14</v>
      </c>
      <c r="AK2409" t="n">
        <v>14</v>
      </c>
      <c r="AL2409" t="n">
        <v>1</v>
      </c>
      <c r="AM2409" t="n">
        <v>1</v>
      </c>
      <c r="AN2409" t="n">
        <v>0</v>
      </c>
      <c r="AO2409" t="n">
        <v>0</v>
      </c>
      <c r="AP2409" t="inlineStr">
        <is>
          <t>No</t>
        </is>
      </c>
      <c r="AQ2409" t="inlineStr">
        <is>
          <t>No</t>
        </is>
      </c>
      <c r="AS2409">
        <f>HYPERLINK("https://creighton-primo.hosted.exlibrisgroup.com/primo-explore/search?tab=default_tab&amp;search_scope=EVERYTHING&amp;vid=01CRU&amp;lang=en_US&amp;offset=0&amp;query=any,contains,991002913289702656","Catalog Record")</f>
        <v/>
      </c>
      <c r="AT2409">
        <f>HYPERLINK("http://www.worldcat.org/oclc/38521440","WorldCat Record")</f>
        <v/>
      </c>
      <c r="AU2409" t="inlineStr">
        <is>
          <t>19800168:eng</t>
        </is>
      </c>
      <c r="AV2409" t="inlineStr">
        <is>
          <t>38521440</t>
        </is>
      </c>
      <c r="AW2409" t="inlineStr">
        <is>
          <t>991002913289702656</t>
        </is>
      </c>
      <c r="AX2409" t="inlineStr">
        <is>
          <t>991002913289702656</t>
        </is>
      </c>
      <c r="AY2409" t="inlineStr">
        <is>
          <t>2264241740002656</t>
        </is>
      </c>
      <c r="AZ2409" t="inlineStr">
        <is>
          <t>BOOK</t>
        </is>
      </c>
      <c r="BB2409" t="inlineStr">
        <is>
          <t>9780060654863</t>
        </is>
      </c>
      <c r="BC2409" t="inlineStr">
        <is>
          <t>32285003449948</t>
        </is>
      </c>
      <c r="BD2409" t="inlineStr">
        <is>
          <t>893239662</t>
        </is>
      </c>
    </row>
    <row r="2410">
      <c r="A2410" t="inlineStr">
        <is>
          <t>No</t>
        </is>
      </c>
      <c r="B2410" t="inlineStr">
        <is>
          <t>BX4705.M542 A4 1989</t>
        </is>
      </c>
      <c r="C2410" t="inlineStr">
        <is>
          <t>0                      BX 4705000M  542                A  4           1989</t>
        </is>
      </c>
      <c r="D2410" t="inlineStr">
        <is>
          <t>The road to joy : the letters of Thomas Merton to new and old friends / selected and edited by Robert E. Daggy.</t>
        </is>
      </c>
      <c r="F2410" t="inlineStr">
        <is>
          <t>No</t>
        </is>
      </c>
      <c r="G2410" t="inlineStr">
        <is>
          <t>1</t>
        </is>
      </c>
      <c r="H2410" t="inlineStr">
        <is>
          <t>No</t>
        </is>
      </c>
      <c r="I2410" t="inlineStr">
        <is>
          <t>No</t>
        </is>
      </c>
      <c r="J2410" t="inlineStr">
        <is>
          <t>0</t>
        </is>
      </c>
      <c r="K2410" t="inlineStr">
        <is>
          <t>Merton, Thomas, 1915-1968.</t>
        </is>
      </c>
      <c r="L2410" t="inlineStr">
        <is>
          <t>New York : Farrar, Strauss, Giroux, 1989.</t>
        </is>
      </c>
      <c r="M2410" t="inlineStr">
        <is>
          <t>1989</t>
        </is>
      </c>
      <c r="O2410" t="inlineStr">
        <is>
          <t>eng</t>
        </is>
      </c>
      <c r="P2410" t="inlineStr">
        <is>
          <t>nyu</t>
        </is>
      </c>
      <c r="R2410" t="inlineStr">
        <is>
          <t xml:space="preserve">BX </t>
        </is>
      </c>
      <c r="S2410" t="n">
        <v>2</v>
      </c>
      <c r="T2410" t="n">
        <v>2</v>
      </c>
      <c r="U2410" t="inlineStr">
        <is>
          <t>2010-01-27</t>
        </is>
      </c>
      <c r="V2410" t="inlineStr">
        <is>
          <t>2010-01-27</t>
        </is>
      </c>
      <c r="W2410" t="inlineStr">
        <is>
          <t>1990-10-17</t>
        </is>
      </c>
      <c r="X2410" t="inlineStr">
        <is>
          <t>1990-10-17</t>
        </is>
      </c>
      <c r="Y2410" t="n">
        <v>591</v>
      </c>
      <c r="Z2410" t="n">
        <v>548</v>
      </c>
      <c r="AA2410" t="n">
        <v>593</v>
      </c>
      <c r="AB2410" t="n">
        <v>5</v>
      </c>
      <c r="AC2410" t="n">
        <v>5</v>
      </c>
      <c r="AD2410" t="n">
        <v>33</v>
      </c>
      <c r="AE2410" t="n">
        <v>37</v>
      </c>
      <c r="AF2410" t="n">
        <v>14</v>
      </c>
      <c r="AG2410" t="n">
        <v>16</v>
      </c>
      <c r="AH2410" t="n">
        <v>6</v>
      </c>
      <c r="AI2410" t="n">
        <v>7</v>
      </c>
      <c r="AJ2410" t="n">
        <v>18</v>
      </c>
      <c r="AK2410" t="n">
        <v>21</v>
      </c>
      <c r="AL2410" t="n">
        <v>3</v>
      </c>
      <c r="AM2410" t="n">
        <v>3</v>
      </c>
      <c r="AN2410" t="n">
        <v>0</v>
      </c>
      <c r="AO2410" t="n">
        <v>0</v>
      </c>
      <c r="AP2410" t="inlineStr">
        <is>
          <t>No</t>
        </is>
      </c>
      <c r="AQ2410" t="inlineStr">
        <is>
          <t>No</t>
        </is>
      </c>
      <c r="AS2410">
        <f>HYPERLINK("https://creighton-primo.hosted.exlibrisgroup.com/primo-explore/search?tab=default_tab&amp;search_scope=EVERYTHING&amp;vid=01CRU&amp;lang=en_US&amp;offset=0&amp;query=any,contains,991001544369702656","Catalog Record")</f>
        <v/>
      </c>
      <c r="AT2410">
        <f>HYPERLINK("http://www.worldcat.org/oclc/20143028","WorldCat Record")</f>
        <v/>
      </c>
      <c r="AU2410" t="inlineStr">
        <is>
          <t>6635020:eng</t>
        </is>
      </c>
      <c r="AV2410" t="inlineStr">
        <is>
          <t>20143028</t>
        </is>
      </c>
      <c r="AW2410" t="inlineStr">
        <is>
          <t>991001544369702656</t>
        </is>
      </c>
      <c r="AX2410" t="inlineStr">
        <is>
          <t>991001544369702656</t>
        </is>
      </c>
      <c r="AY2410" t="inlineStr">
        <is>
          <t>2259926470002656</t>
        </is>
      </c>
      <c r="AZ2410" t="inlineStr">
        <is>
          <t>BOOK</t>
        </is>
      </c>
      <c r="BB2410" t="inlineStr">
        <is>
          <t>9780374251239</t>
        </is>
      </c>
      <c r="BC2410" t="inlineStr">
        <is>
          <t>32285000311018</t>
        </is>
      </c>
      <c r="BD2410" t="inlineStr">
        <is>
          <t>893432914</t>
        </is>
      </c>
    </row>
    <row r="2411">
      <c r="A2411" t="inlineStr">
        <is>
          <t>No</t>
        </is>
      </c>
      <c r="B2411" t="inlineStr">
        <is>
          <t>BX4705.M542 A42 1990</t>
        </is>
      </c>
      <c r="C2411" t="inlineStr">
        <is>
          <t>0                      BX 4705000M  542                A  42          1990</t>
        </is>
      </c>
      <c r="D2411" t="inlineStr">
        <is>
          <t>The school of charity : the letters of Thomas Merton on religious renewal and spiritual direction / selected and edited by Patrick Hart.</t>
        </is>
      </c>
      <c r="F2411" t="inlineStr">
        <is>
          <t>No</t>
        </is>
      </c>
      <c r="G2411" t="inlineStr">
        <is>
          <t>1</t>
        </is>
      </c>
      <c r="H2411" t="inlineStr">
        <is>
          <t>No</t>
        </is>
      </c>
      <c r="I2411" t="inlineStr">
        <is>
          <t>No</t>
        </is>
      </c>
      <c r="J2411" t="inlineStr">
        <is>
          <t>0</t>
        </is>
      </c>
      <c r="K2411" t="inlineStr">
        <is>
          <t>Merton, Thomas, 1915-1968.</t>
        </is>
      </c>
      <c r="L2411" t="inlineStr">
        <is>
          <t>New York : Farrar, Straus, Giroux, 1990.</t>
        </is>
      </c>
      <c r="M2411" t="inlineStr">
        <is>
          <t>1990</t>
        </is>
      </c>
      <c r="N2411" t="inlineStr">
        <is>
          <t>1st ed.</t>
        </is>
      </c>
      <c r="O2411" t="inlineStr">
        <is>
          <t>eng</t>
        </is>
      </c>
      <c r="P2411" t="inlineStr">
        <is>
          <t>nyu</t>
        </is>
      </c>
      <c r="R2411" t="inlineStr">
        <is>
          <t xml:space="preserve">BX </t>
        </is>
      </c>
      <c r="S2411" t="n">
        <v>1</v>
      </c>
      <c r="T2411" t="n">
        <v>1</v>
      </c>
      <c r="U2411" t="inlineStr">
        <is>
          <t>1997-06-23</t>
        </is>
      </c>
      <c r="V2411" t="inlineStr">
        <is>
          <t>1997-06-23</t>
        </is>
      </c>
      <c r="W2411" t="inlineStr">
        <is>
          <t>1991-08-20</t>
        </is>
      </c>
      <c r="X2411" t="inlineStr">
        <is>
          <t>1991-08-20</t>
        </is>
      </c>
      <c r="Y2411" t="n">
        <v>566</v>
      </c>
      <c r="Z2411" t="n">
        <v>508</v>
      </c>
      <c r="AA2411" t="n">
        <v>561</v>
      </c>
      <c r="AB2411" t="n">
        <v>4</v>
      </c>
      <c r="AC2411" t="n">
        <v>4</v>
      </c>
      <c r="AD2411" t="n">
        <v>30</v>
      </c>
      <c r="AE2411" t="n">
        <v>35</v>
      </c>
      <c r="AF2411" t="n">
        <v>11</v>
      </c>
      <c r="AG2411" t="n">
        <v>14</v>
      </c>
      <c r="AH2411" t="n">
        <v>7</v>
      </c>
      <c r="AI2411" t="n">
        <v>7</v>
      </c>
      <c r="AJ2411" t="n">
        <v>20</v>
      </c>
      <c r="AK2411" t="n">
        <v>23</v>
      </c>
      <c r="AL2411" t="n">
        <v>2</v>
      </c>
      <c r="AM2411" t="n">
        <v>2</v>
      </c>
      <c r="AN2411" t="n">
        <v>0</v>
      </c>
      <c r="AO2411" t="n">
        <v>0</v>
      </c>
      <c r="AP2411" t="inlineStr">
        <is>
          <t>No</t>
        </is>
      </c>
      <c r="AQ2411" t="inlineStr">
        <is>
          <t>No</t>
        </is>
      </c>
      <c r="AS2411">
        <f>HYPERLINK("https://creighton-primo.hosted.exlibrisgroup.com/primo-explore/search?tab=default_tab&amp;search_scope=EVERYTHING&amp;vid=01CRU&amp;lang=en_US&amp;offset=0&amp;query=any,contains,991001729129702656","Catalog Record")</f>
        <v/>
      </c>
      <c r="AT2411">
        <f>HYPERLINK("http://www.worldcat.org/oclc/21908782","WorldCat Record")</f>
        <v/>
      </c>
      <c r="AU2411" t="inlineStr">
        <is>
          <t>6635099:eng</t>
        </is>
      </c>
      <c r="AV2411" t="inlineStr">
        <is>
          <t>21908782</t>
        </is>
      </c>
      <c r="AW2411" t="inlineStr">
        <is>
          <t>991001729129702656</t>
        </is>
      </c>
      <c r="AX2411" t="inlineStr">
        <is>
          <t>991001729129702656</t>
        </is>
      </c>
      <c r="AY2411" t="inlineStr">
        <is>
          <t>2271835280002656</t>
        </is>
      </c>
      <c r="AZ2411" t="inlineStr">
        <is>
          <t>BOOK</t>
        </is>
      </c>
      <c r="BB2411" t="inlineStr">
        <is>
          <t>9780374254490</t>
        </is>
      </c>
      <c r="BC2411" t="inlineStr">
        <is>
          <t>32285000701291</t>
        </is>
      </c>
      <c r="BD2411" t="inlineStr">
        <is>
          <t>893315992</t>
        </is>
      </c>
    </row>
    <row r="2412">
      <c r="A2412" t="inlineStr">
        <is>
          <t>No</t>
        </is>
      </c>
      <c r="B2412" t="inlineStr">
        <is>
          <t>BX4705.M542 A64</t>
        </is>
      </c>
      <c r="C2412" t="inlineStr">
        <is>
          <t>0                      BX 4705000M  542                A  64</t>
        </is>
      </c>
      <c r="D2412" t="inlineStr">
        <is>
          <t>Thomas Merton's shared contemplation : a Protestant perspective / Daniel J. Adams.</t>
        </is>
      </c>
      <c r="F2412" t="inlineStr">
        <is>
          <t>No</t>
        </is>
      </c>
      <c r="G2412" t="inlineStr">
        <is>
          <t>1</t>
        </is>
      </c>
      <c r="H2412" t="inlineStr">
        <is>
          <t>No</t>
        </is>
      </c>
      <c r="I2412" t="inlineStr">
        <is>
          <t>No</t>
        </is>
      </c>
      <c r="J2412" t="inlineStr">
        <is>
          <t>0</t>
        </is>
      </c>
      <c r="K2412" t="inlineStr">
        <is>
          <t>Adams, Daniel J.</t>
        </is>
      </c>
      <c r="L2412" t="inlineStr">
        <is>
          <t>Kalamazoo, Mich. : Cistercian Publications, 1979.</t>
        </is>
      </c>
      <c r="M2412" t="inlineStr">
        <is>
          <t>1979</t>
        </is>
      </c>
      <c r="O2412" t="inlineStr">
        <is>
          <t>eng</t>
        </is>
      </c>
      <c r="P2412" t="inlineStr">
        <is>
          <t>miu</t>
        </is>
      </c>
      <c r="Q2412" t="inlineStr">
        <is>
          <t>Cistercian studies series ; no. 62</t>
        </is>
      </c>
      <c r="R2412" t="inlineStr">
        <is>
          <t xml:space="preserve">BX </t>
        </is>
      </c>
      <c r="S2412" t="n">
        <v>2</v>
      </c>
      <c r="T2412" t="n">
        <v>2</v>
      </c>
      <c r="U2412" t="inlineStr">
        <is>
          <t>2000-10-03</t>
        </is>
      </c>
      <c r="V2412" t="inlineStr">
        <is>
          <t>2000-10-03</t>
        </is>
      </c>
      <c r="W2412" t="inlineStr">
        <is>
          <t>1992-03-30</t>
        </is>
      </c>
      <c r="X2412" t="inlineStr">
        <is>
          <t>1992-03-30</t>
        </is>
      </c>
      <c r="Y2412" t="n">
        <v>360</v>
      </c>
      <c r="Z2412" t="n">
        <v>309</v>
      </c>
      <c r="AA2412" t="n">
        <v>325</v>
      </c>
      <c r="AB2412" t="n">
        <v>1</v>
      </c>
      <c r="AC2412" t="n">
        <v>1</v>
      </c>
      <c r="AD2412" t="n">
        <v>22</v>
      </c>
      <c r="AE2412" t="n">
        <v>23</v>
      </c>
      <c r="AF2412" t="n">
        <v>6</v>
      </c>
      <c r="AG2412" t="n">
        <v>6</v>
      </c>
      <c r="AH2412" t="n">
        <v>6</v>
      </c>
      <c r="AI2412" t="n">
        <v>7</v>
      </c>
      <c r="AJ2412" t="n">
        <v>16</v>
      </c>
      <c r="AK2412" t="n">
        <v>17</v>
      </c>
      <c r="AL2412" t="n">
        <v>0</v>
      </c>
      <c r="AM2412" t="n">
        <v>0</v>
      </c>
      <c r="AN2412" t="n">
        <v>0</v>
      </c>
      <c r="AO2412" t="n">
        <v>0</v>
      </c>
      <c r="AP2412" t="inlineStr">
        <is>
          <t>No</t>
        </is>
      </c>
      <c r="AQ2412" t="inlineStr">
        <is>
          <t>Yes</t>
        </is>
      </c>
      <c r="AR2412">
        <f>HYPERLINK("http://catalog.hathitrust.org/Record/000086430","HathiTrust Record")</f>
        <v/>
      </c>
      <c r="AS2412">
        <f>HYPERLINK("https://creighton-primo.hosted.exlibrisgroup.com/primo-explore/search?tab=default_tab&amp;search_scope=EVERYTHING&amp;vid=01CRU&amp;lang=en_US&amp;offset=0&amp;query=any,contains,991004528709702656","Catalog Record")</f>
        <v/>
      </c>
      <c r="AT2412">
        <f>HYPERLINK("http://www.worldcat.org/oclc/3844417","WorldCat Record")</f>
        <v/>
      </c>
      <c r="AU2412" t="inlineStr">
        <is>
          <t>264855754:eng</t>
        </is>
      </c>
      <c r="AV2412" t="inlineStr">
        <is>
          <t>3844417</t>
        </is>
      </c>
      <c r="AW2412" t="inlineStr">
        <is>
          <t>991004528709702656</t>
        </is>
      </c>
      <c r="AX2412" t="inlineStr">
        <is>
          <t>991004528709702656</t>
        </is>
      </c>
      <c r="AY2412" t="inlineStr">
        <is>
          <t>2264758390002656</t>
        </is>
      </c>
      <c r="AZ2412" t="inlineStr">
        <is>
          <t>BOOK</t>
        </is>
      </c>
      <c r="BB2412" t="inlineStr">
        <is>
          <t>9780879078621</t>
        </is>
      </c>
      <c r="BC2412" t="inlineStr">
        <is>
          <t>32285001004356</t>
        </is>
      </c>
      <c r="BD2412" t="inlineStr">
        <is>
          <t>893882568</t>
        </is>
      </c>
    </row>
    <row r="2413">
      <c r="A2413" t="inlineStr">
        <is>
          <t>No</t>
        </is>
      </c>
      <c r="B2413" t="inlineStr">
        <is>
          <t>BX4705.M542 B28 1975</t>
        </is>
      </c>
      <c r="C2413" t="inlineStr">
        <is>
          <t>0                      BX 4705000M  542                B  28          1975</t>
        </is>
      </c>
      <c r="D2413" t="inlineStr">
        <is>
          <t>Thomas Merton on mysticism / Raymond Bailey.</t>
        </is>
      </c>
      <c r="F2413" t="inlineStr">
        <is>
          <t>No</t>
        </is>
      </c>
      <c r="G2413" t="inlineStr">
        <is>
          <t>1</t>
        </is>
      </c>
      <c r="H2413" t="inlineStr">
        <is>
          <t>No</t>
        </is>
      </c>
      <c r="I2413" t="inlineStr">
        <is>
          <t>No</t>
        </is>
      </c>
      <c r="J2413" t="inlineStr">
        <is>
          <t>0</t>
        </is>
      </c>
      <c r="K2413" t="inlineStr">
        <is>
          <t>Bailey, Raymond, 1938-</t>
        </is>
      </c>
      <c r="L2413" t="inlineStr">
        <is>
          <t>Garden City, N.Y. : Doubleday, 1975.</t>
        </is>
      </c>
      <c r="M2413" t="inlineStr">
        <is>
          <t>1975</t>
        </is>
      </c>
      <c r="N2413" t="inlineStr">
        <is>
          <t>1st ed.</t>
        </is>
      </c>
      <c r="O2413" t="inlineStr">
        <is>
          <t>eng</t>
        </is>
      </c>
      <c r="P2413" t="inlineStr">
        <is>
          <t>nyu</t>
        </is>
      </c>
      <c r="R2413" t="inlineStr">
        <is>
          <t xml:space="preserve">BX </t>
        </is>
      </c>
      <c r="S2413" t="n">
        <v>4</v>
      </c>
      <c r="T2413" t="n">
        <v>4</v>
      </c>
      <c r="U2413" t="inlineStr">
        <is>
          <t>2007-05-29</t>
        </is>
      </c>
      <c r="V2413" t="inlineStr">
        <is>
          <t>2007-05-29</t>
        </is>
      </c>
      <c r="W2413" t="inlineStr">
        <is>
          <t>1992-03-30</t>
        </is>
      </c>
      <c r="X2413" t="inlineStr">
        <is>
          <t>1992-03-30</t>
        </is>
      </c>
      <c r="Y2413" t="n">
        <v>334</v>
      </c>
      <c r="Z2413" t="n">
        <v>319</v>
      </c>
      <c r="AA2413" t="n">
        <v>703</v>
      </c>
      <c r="AB2413" t="n">
        <v>3</v>
      </c>
      <c r="AC2413" t="n">
        <v>4</v>
      </c>
      <c r="AD2413" t="n">
        <v>14</v>
      </c>
      <c r="AE2413" t="n">
        <v>35</v>
      </c>
      <c r="AF2413" t="n">
        <v>4</v>
      </c>
      <c r="AG2413" t="n">
        <v>13</v>
      </c>
      <c r="AH2413" t="n">
        <v>3</v>
      </c>
      <c r="AI2413" t="n">
        <v>10</v>
      </c>
      <c r="AJ2413" t="n">
        <v>10</v>
      </c>
      <c r="AK2413" t="n">
        <v>21</v>
      </c>
      <c r="AL2413" t="n">
        <v>1</v>
      </c>
      <c r="AM2413" t="n">
        <v>2</v>
      </c>
      <c r="AN2413" t="n">
        <v>0</v>
      </c>
      <c r="AO2413" t="n">
        <v>0</v>
      </c>
      <c r="AP2413" t="inlineStr">
        <is>
          <t>No</t>
        </is>
      </c>
      <c r="AQ2413" t="inlineStr">
        <is>
          <t>Yes</t>
        </is>
      </c>
      <c r="AR2413">
        <f>HYPERLINK("http://catalog.hathitrust.org/Record/000025205","HathiTrust Record")</f>
        <v/>
      </c>
      <c r="AS2413">
        <f>HYPERLINK("https://creighton-primo.hosted.exlibrisgroup.com/primo-explore/search?tab=default_tab&amp;search_scope=EVERYTHING&amp;vid=01CRU&amp;lang=en_US&amp;offset=0&amp;query=any,contains,991003650299702656","Catalog Record")</f>
        <v/>
      </c>
      <c r="AT2413">
        <f>HYPERLINK("http://www.worldcat.org/oclc/1253997","WorldCat Record")</f>
        <v/>
      </c>
      <c r="AU2413" t="inlineStr">
        <is>
          <t>2169874:eng</t>
        </is>
      </c>
      <c r="AV2413" t="inlineStr">
        <is>
          <t>1253997</t>
        </is>
      </c>
      <c r="AW2413" t="inlineStr">
        <is>
          <t>991003650299702656</t>
        </is>
      </c>
      <c r="AX2413" t="inlineStr">
        <is>
          <t>991003650299702656</t>
        </is>
      </c>
      <c r="AY2413" t="inlineStr">
        <is>
          <t>2261484620002656</t>
        </is>
      </c>
      <c r="AZ2413" t="inlineStr">
        <is>
          <t>BOOK</t>
        </is>
      </c>
      <c r="BB2413" t="inlineStr">
        <is>
          <t>9780385071734</t>
        </is>
      </c>
      <c r="BC2413" t="inlineStr">
        <is>
          <t>32285001004364</t>
        </is>
      </c>
      <c r="BD2413" t="inlineStr">
        <is>
          <t>893228276</t>
        </is>
      </c>
    </row>
    <row r="2414">
      <c r="A2414" t="inlineStr">
        <is>
          <t>No</t>
        </is>
      </c>
      <c r="B2414" t="inlineStr">
        <is>
          <t>BX4705.M542 B73 1986</t>
        </is>
      </c>
      <c r="C2414" t="inlineStr">
        <is>
          <t>0                      BX 4705000M  542                B  73          1986</t>
        </is>
      </c>
      <c r="D2414" t="inlineStr">
        <is>
          <t>Thomas Merton : a comprehensive bibliography / compiled and edited by Marquita E. Breit and Robert E. Daggy ; foreword by Patrick Hart.</t>
        </is>
      </c>
      <c r="F2414" t="inlineStr">
        <is>
          <t>No</t>
        </is>
      </c>
      <c r="G2414" t="inlineStr">
        <is>
          <t>1</t>
        </is>
      </c>
      <c r="H2414" t="inlineStr">
        <is>
          <t>No</t>
        </is>
      </c>
      <c r="I2414" t="inlineStr">
        <is>
          <t>Yes</t>
        </is>
      </c>
      <c r="J2414" t="inlineStr">
        <is>
          <t>0</t>
        </is>
      </c>
      <c r="K2414" t="inlineStr">
        <is>
          <t>Breit, Marquita, 1942-</t>
        </is>
      </c>
      <c r="L2414" t="inlineStr">
        <is>
          <t>New York : Garland Pub., 1986.</t>
        </is>
      </c>
      <c r="M2414" t="inlineStr">
        <is>
          <t>1986</t>
        </is>
      </c>
      <c r="N2414" t="inlineStr">
        <is>
          <t>New ed.</t>
        </is>
      </c>
      <c r="O2414" t="inlineStr">
        <is>
          <t>eng</t>
        </is>
      </c>
      <c r="P2414" t="inlineStr">
        <is>
          <t>nyu</t>
        </is>
      </c>
      <c r="Q2414" t="inlineStr">
        <is>
          <t>Garland reference library of the humanities ; vol. 659</t>
        </is>
      </c>
      <c r="R2414" t="inlineStr">
        <is>
          <t xml:space="preserve">BX </t>
        </is>
      </c>
      <c r="S2414" t="n">
        <v>8</v>
      </c>
      <c r="T2414" t="n">
        <v>8</v>
      </c>
      <c r="U2414" t="inlineStr">
        <is>
          <t>2000-10-03</t>
        </is>
      </c>
      <c r="V2414" t="inlineStr">
        <is>
          <t>2000-10-03</t>
        </is>
      </c>
      <c r="W2414" t="inlineStr">
        <is>
          <t>1992-03-30</t>
        </is>
      </c>
      <c r="X2414" t="inlineStr">
        <is>
          <t>1992-03-30</t>
        </is>
      </c>
      <c r="Y2414" t="n">
        <v>234</v>
      </c>
      <c r="Z2414" t="n">
        <v>199</v>
      </c>
      <c r="AA2414" t="n">
        <v>488</v>
      </c>
      <c r="AB2414" t="n">
        <v>1</v>
      </c>
      <c r="AC2414" t="n">
        <v>2</v>
      </c>
      <c r="AD2414" t="n">
        <v>20</v>
      </c>
      <c r="AE2414" t="n">
        <v>38</v>
      </c>
      <c r="AF2414" t="n">
        <v>6</v>
      </c>
      <c r="AG2414" t="n">
        <v>14</v>
      </c>
      <c r="AH2414" t="n">
        <v>4</v>
      </c>
      <c r="AI2414" t="n">
        <v>9</v>
      </c>
      <c r="AJ2414" t="n">
        <v>16</v>
      </c>
      <c r="AK2414" t="n">
        <v>26</v>
      </c>
      <c r="AL2414" t="n">
        <v>0</v>
      </c>
      <c r="AM2414" t="n">
        <v>1</v>
      </c>
      <c r="AN2414" t="n">
        <v>0</v>
      </c>
      <c r="AO2414" t="n">
        <v>0</v>
      </c>
      <c r="AP2414" t="inlineStr">
        <is>
          <t>No</t>
        </is>
      </c>
      <c r="AQ2414" t="inlineStr">
        <is>
          <t>No</t>
        </is>
      </c>
      <c r="AS2414">
        <f>HYPERLINK("https://creighton-primo.hosted.exlibrisgroup.com/primo-explore/search?tab=default_tab&amp;search_scope=EVERYTHING&amp;vid=01CRU&amp;lang=en_US&amp;offset=0&amp;query=any,contains,991000768329702656","Catalog Record")</f>
        <v/>
      </c>
      <c r="AT2414">
        <f>HYPERLINK("http://www.worldcat.org/oclc/13008234","WorldCat Record")</f>
        <v/>
      </c>
      <c r="AU2414" t="inlineStr">
        <is>
          <t>227566381:eng</t>
        </is>
      </c>
      <c r="AV2414" t="inlineStr">
        <is>
          <t>13008234</t>
        </is>
      </c>
      <c r="AW2414" t="inlineStr">
        <is>
          <t>991000768329702656</t>
        </is>
      </c>
      <c r="AX2414" t="inlineStr">
        <is>
          <t>991000768329702656</t>
        </is>
      </c>
      <c r="AY2414" t="inlineStr">
        <is>
          <t>2265405310002656</t>
        </is>
      </c>
      <c r="AZ2414" t="inlineStr">
        <is>
          <t>BOOK</t>
        </is>
      </c>
      <c r="BB2414" t="inlineStr">
        <is>
          <t>9780824089207</t>
        </is>
      </c>
      <c r="BC2414" t="inlineStr">
        <is>
          <t>32285001004380</t>
        </is>
      </c>
      <c r="BD2414" t="inlineStr">
        <is>
          <t>893614485</t>
        </is>
      </c>
    </row>
    <row r="2415">
      <c r="A2415" t="inlineStr">
        <is>
          <t>No</t>
        </is>
      </c>
      <c r="B2415" t="inlineStr">
        <is>
          <t>BX4705.M542 B74 1974</t>
        </is>
      </c>
      <c r="C2415" t="inlineStr">
        <is>
          <t>0                      BX 4705000M  542                B  74          1974</t>
        </is>
      </c>
      <c r="D2415" t="inlineStr">
        <is>
          <t>Thomas Merton : a bibliography / compiled and edited by Marquita Breit.</t>
        </is>
      </c>
      <c r="F2415" t="inlineStr">
        <is>
          <t>No</t>
        </is>
      </c>
      <c r="G2415" t="inlineStr">
        <is>
          <t>1</t>
        </is>
      </c>
      <c r="H2415" t="inlineStr">
        <is>
          <t>No</t>
        </is>
      </c>
      <c r="I2415" t="inlineStr">
        <is>
          <t>Yes</t>
        </is>
      </c>
      <c r="J2415" t="inlineStr">
        <is>
          <t>0</t>
        </is>
      </c>
      <c r="K2415" t="inlineStr">
        <is>
          <t>Breit, Marquita, 1942-</t>
        </is>
      </c>
      <c r="L2415" t="inlineStr">
        <is>
          <t>Metuchen, N.J. : Scarecrow Press, 1974.</t>
        </is>
      </c>
      <c r="M2415" t="inlineStr">
        <is>
          <t>1974</t>
        </is>
      </c>
      <c r="O2415" t="inlineStr">
        <is>
          <t>eng</t>
        </is>
      </c>
      <c r="P2415" t="inlineStr">
        <is>
          <t>nju</t>
        </is>
      </c>
      <c r="Q2415" t="inlineStr">
        <is>
          <t>ATLA bibliography series ; no. 2</t>
        </is>
      </c>
      <c r="R2415" t="inlineStr">
        <is>
          <t xml:space="preserve">BX </t>
        </is>
      </c>
      <c r="S2415" t="n">
        <v>2</v>
      </c>
      <c r="T2415" t="n">
        <v>2</v>
      </c>
      <c r="U2415" t="inlineStr">
        <is>
          <t>2001-06-18</t>
        </is>
      </c>
      <c r="V2415" t="inlineStr">
        <is>
          <t>2001-06-18</t>
        </is>
      </c>
      <c r="W2415" t="inlineStr">
        <is>
          <t>1992-03-30</t>
        </is>
      </c>
      <c r="X2415" t="inlineStr">
        <is>
          <t>1992-03-30</t>
        </is>
      </c>
      <c r="Y2415" t="n">
        <v>456</v>
      </c>
      <c r="Z2415" t="n">
        <v>404</v>
      </c>
      <c r="AA2415" t="n">
        <v>488</v>
      </c>
      <c r="AB2415" t="n">
        <v>2</v>
      </c>
      <c r="AC2415" t="n">
        <v>2</v>
      </c>
      <c r="AD2415" t="n">
        <v>33</v>
      </c>
      <c r="AE2415" t="n">
        <v>38</v>
      </c>
      <c r="AF2415" t="n">
        <v>12</v>
      </c>
      <c r="AG2415" t="n">
        <v>14</v>
      </c>
      <c r="AH2415" t="n">
        <v>9</v>
      </c>
      <c r="AI2415" t="n">
        <v>9</v>
      </c>
      <c r="AJ2415" t="n">
        <v>22</v>
      </c>
      <c r="AK2415" t="n">
        <v>26</v>
      </c>
      <c r="AL2415" t="n">
        <v>1</v>
      </c>
      <c r="AM2415" t="n">
        <v>1</v>
      </c>
      <c r="AN2415" t="n">
        <v>0</v>
      </c>
      <c r="AO2415" t="n">
        <v>0</v>
      </c>
      <c r="AP2415" t="inlineStr">
        <is>
          <t>No</t>
        </is>
      </c>
      <c r="AQ2415" t="inlineStr">
        <is>
          <t>Yes</t>
        </is>
      </c>
      <c r="AR2415">
        <f>HYPERLINK("http://catalog.hathitrust.org/Record/001180473","HathiTrust Record")</f>
        <v/>
      </c>
      <c r="AS2415">
        <f>HYPERLINK("https://creighton-primo.hosted.exlibrisgroup.com/primo-explore/search?tab=default_tab&amp;search_scope=EVERYTHING&amp;vid=01CRU&amp;lang=en_US&amp;offset=0&amp;query=any,contains,991003277089702656","Catalog Record")</f>
        <v/>
      </c>
      <c r="AT2415">
        <f>HYPERLINK("http://www.worldcat.org/oclc/800692","WorldCat Record")</f>
        <v/>
      </c>
      <c r="AU2415" t="inlineStr">
        <is>
          <t>227566381:eng</t>
        </is>
      </c>
      <c r="AV2415" t="inlineStr">
        <is>
          <t>800692</t>
        </is>
      </c>
      <c r="AW2415" t="inlineStr">
        <is>
          <t>991003277089702656</t>
        </is>
      </c>
      <c r="AX2415" t="inlineStr">
        <is>
          <t>991003277089702656</t>
        </is>
      </c>
      <c r="AY2415" t="inlineStr">
        <is>
          <t>2267008520002656</t>
        </is>
      </c>
      <c r="AZ2415" t="inlineStr">
        <is>
          <t>BOOK</t>
        </is>
      </c>
      <c r="BB2415" t="inlineStr">
        <is>
          <t>9780810807051</t>
        </is>
      </c>
      <c r="BC2415" t="inlineStr">
        <is>
          <t>32285001004398</t>
        </is>
      </c>
      <c r="BD2415" t="inlineStr">
        <is>
          <t>893787153</t>
        </is>
      </c>
    </row>
    <row r="2416">
      <c r="A2416" t="inlineStr">
        <is>
          <t>No</t>
        </is>
      </c>
      <c r="B2416" t="inlineStr">
        <is>
          <t>BX4705.M542 B78 1997</t>
        </is>
      </c>
      <c r="C2416" t="inlineStr">
        <is>
          <t>0                      BX 4705000M  542                B  78          1997</t>
        </is>
      </c>
      <c r="D2416" t="inlineStr">
        <is>
          <t>Thomas Merton : poet, prophet, priest / Jennifer Fisher Bryant.</t>
        </is>
      </c>
      <c r="F2416" t="inlineStr">
        <is>
          <t>No</t>
        </is>
      </c>
      <c r="G2416" t="inlineStr">
        <is>
          <t>1</t>
        </is>
      </c>
      <c r="H2416" t="inlineStr">
        <is>
          <t>No</t>
        </is>
      </c>
      <c r="I2416" t="inlineStr">
        <is>
          <t>No</t>
        </is>
      </c>
      <c r="J2416" t="inlineStr">
        <is>
          <t>0</t>
        </is>
      </c>
      <c r="K2416" t="inlineStr">
        <is>
          <t>Bryant, Jen, 1960-</t>
        </is>
      </c>
      <c r="L2416" t="inlineStr">
        <is>
          <t>Grand Rapids, Mich. : Eerdmans Books for Young Readers, c1997.</t>
        </is>
      </c>
      <c r="M2416" t="inlineStr">
        <is>
          <t>1997</t>
        </is>
      </c>
      <c r="O2416" t="inlineStr">
        <is>
          <t>eng</t>
        </is>
      </c>
      <c r="P2416" t="inlineStr">
        <is>
          <t>miu</t>
        </is>
      </c>
      <c r="R2416" t="inlineStr">
        <is>
          <t xml:space="preserve">BX </t>
        </is>
      </c>
      <c r="S2416" t="n">
        <v>4</v>
      </c>
      <c r="T2416" t="n">
        <v>4</v>
      </c>
      <c r="U2416" t="inlineStr">
        <is>
          <t>2003-06-18</t>
        </is>
      </c>
      <c r="V2416" t="inlineStr">
        <is>
          <t>2003-06-18</t>
        </is>
      </c>
      <c r="W2416" t="inlineStr">
        <is>
          <t>1999-01-20</t>
        </is>
      </c>
      <c r="X2416" t="inlineStr">
        <is>
          <t>1999-01-20</t>
        </is>
      </c>
      <c r="Y2416" t="n">
        <v>234</v>
      </c>
      <c r="Z2416" t="n">
        <v>218</v>
      </c>
      <c r="AA2416" t="n">
        <v>220</v>
      </c>
      <c r="AB2416" t="n">
        <v>1</v>
      </c>
      <c r="AC2416" t="n">
        <v>1</v>
      </c>
      <c r="AD2416" t="n">
        <v>5</v>
      </c>
      <c r="AE2416" t="n">
        <v>5</v>
      </c>
      <c r="AF2416" t="n">
        <v>3</v>
      </c>
      <c r="AG2416" t="n">
        <v>3</v>
      </c>
      <c r="AH2416" t="n">
        <v>0</v>
      </c>
      <c r="AI2416" t="n">
        <v>0</v>
      </c>
      <c r="AJ2416" t="n">
        <v>2</v>
      </c>
      <c r="AK2416" t="n">
        <v>2</v>
      </c>
      <c r="AL2416" t="n">
        <v>0</v>
      </c>
      <c r="AM2416" t="n">
        <v>0</v>
      </c>
      <c r="AN2416" t="n">
        <v>0</v>
      </c>
      <c r="AO2416" t="n">
        <v>0</v>
      </c>
      <c r="AP2416" t="inlineStr">
        <is>
          <t>No</t>
        </is>
      </c>
      <c r="AQ2416" t="inlineStr">
        <is>
          <t>No</t>
        </is>
      </c>
      <c r="AS2416">
        <f>HYPERLINK("https://creighton-primo.hosted.exlibrisgroup.com/primo-explore/search?tab=default_tab&amp;search_scope=EVERYTHING&amp;vid=01CRU&amp;lang=en_US&amp;offset=0&amp;query=any,contains,991004620579702656","Catalog Record")</f>
        <v/>
      </c>
      <c r="AT2416">
        <f>HYPERLINK("http://www.worldcat.org/oclc/34651313","WorldCat Record")</f>
        <v/>
      </c>
      <c r="AU2416" t="inlineStr">
        <is>
          <t>836952984:eng</t>
        </is>
      </c>
      <c r="AV2416" t="inlineStr">
        <is>
          <t>34651313</t>
        </is>
      </c>
      <c r="AW2416" t="inlineStr">
        <is>
          <t>991004620579702656</t>
        </is>
      </c>
      <c r="AX2416" t="inlineStr">
        <is>
          <t>991004620579702656</t>
        </is>
      </c>
      <c r="AY2416" t="inlineStr">
        <is>
          <t>2262353510002656</t>
        </is>
      </c>
      <c r="AZ2416" t="inlineStr">
        <is>
          <t>BOOK</t>
        </is>
      </c>
      <c r="BB2416" t="inlineStr">
        <is>
          <t>9780802851093</t>
        </is>
      </c>
      <c r="BC2416" t="inlineStr">
        <is>
          <t>32285003513776</t>
        </is>
      </c>
      <c r="BD2416" t="inlineStr">
        <is>
          <t>893403387</t>
        </is>
      </c>
    </row>
    <row r="2417">
      <c r="A2417" t="inlineStr">
        <is>
          <t>No</t>
        </is>
      </c>
      <c r="B2417" t="inlineStr">
        <is>
          <t>BX4705.M542 B87 2008</t>
        </is>
      </c>
      <c r="C2417" t="inlineStr">
        <is>
          <t>0                      BX 4705000M  542                B  87          2008</t>
        </is>
      </c>
      <c r="D2417" t="inlineStr">
        <is>
          <t>More than silence : a bibliography of Thomas Merton / Patricia A. Burton ; with a special section on rare books by Albert Romkema.</t>
        </is>
      </c>
      <c r="F2417" t="inlineStr">
        <is>
          <t>No</t>
        </is>
      </c>
      <c r="G2417" t="inlineStr">
        <is>
          <t>1</t>
        </is>
      </c>
      <c r="H2417" t="inlineStr">
        <is>
          <t>No</t>
        </is>
      </c>
      <c r="I2417" t="inlineStr">
        <is>
          <t>No</t>
        </is>
      </c>
      <c r="J2417" t="inlineStr">
        <is>
          <t>0</t>
        </is>
      </c>
      <c r="K2417" t="inlineStr">
        <is>
          <t>Burton, Patricia A.</t>
        </is>
      </c>
      <c r="L2417" t="inlineStr">
        <is>
          <t>Lanham, Md. : Scarecrow Press, 2008.</t>
        </is>
      </c>
      <c r="M2417" t="inlineStr">
        <is>
          <t>2008</t>
        </is>
      </c>
      <c r="O2417" t="inlineStr">
        <is>
          <t>eng</t>
        </is>
      </c>
      <c r="P2417" t="inlineStr">
        <is>
          <t>mdu</t>
        </is>
      </c>
      <c r="Q2417" t="inlineStr">
        <is>
          <t>ATLA bibliography series ; no. 55</t>
        </is>
      </c>
      <c r="R2417" t="inlineStr">
        <is>
          <t xml:space="preserve">BX </t>
        </is>
      </c>
      <c r="S2417" t="n">
        <v>1</v>
      </c>
      <c r="T2417" t="n">
        <v>1</v>
      </c>
      <c r="U2417" t="inlineStr">
        <is>
          <t>2009-05-20</t>
        </is>
      </c>
      <c r="V2417" t="inlineStr">
        <is>
          <t>2009-05-20</t>
        </is>
      </c>
      <c r="W2417" t="inlineStr">
        <is>
          <t>2009-05-20</t>
        </is>
      </c>
      <c r="X2417" t="inlineStr">
        <is>
          <t>2009-05-20</t>
        </is>
      </c>
      <c r="Y2417" t="n">
        <v>176</v>
      </c>
      <c r="Z2417" t="n">
        <v>152</v>
      </c>
      <c r="AA2417" t="n">
        <v>153</v>
      </c>
      <c r="AB2417" t="n">
        <v>1</v>
      </c>
      <c r="AC2417" t="n">
        <v>1</v>
      </c>
      <c r="AD2417" t="n">
        <v>9</v>
      </c>
      <c r="AE2417" t="n">
        <v>9</v>
      </c>
      <c r="AF2417" t="n">
        <v>2</v>
      </c>
      <c r="AG2417" t="n">
        <v>2</v>
      </c>
      <c r="AH2417" t="n">
        <v>4</v>
      </c>
      <c r="AI2417" t="n">
        <v>4</v>
      </c>
      <c r="AJ2417" t="n">
        <v>6</v>
      </c>
      <c r="AK2417" t="n">
        <v>6</v>
      </c>
      <c r="AL2417" t="n">
        <v>0</v>
      </c>
      <c r="AM2417" t="n">
        <v>0</v>
      </c>
      <c r="AN2417" t="n">
        <v>0</v>
      </c>
      <c r="AO2417" t="n">
        <v>0</v>
      </c>
      <c r="AP2417" t="inlineStr">
        <is>
          <t>No</t>
        </is>
      </c>
      <c r="AQ2417" t="inlineStr">
        <is>
          <t>No</t>
        </is>
      </c>
      <c r="AS2417">
        <f>HYPERLINK("https://creighton-primo.hosted.exlibrisgroup.com/primo-explore/search?tab=default_tab&amp;search_scope=EVERYTHING&amp;vid=01CRU&amp;lang=en_US&amp;offset=0&amp;query=any,contains,991005302829702656","Catalog Record")</f>
        <v/>
      </c>
      <c r="AT2417">
        <f>HYPERLINK("http://www.worldcat.org/oclc/191732307","WorldCat Record")</f>
        <v/>
      </c>
      <c r="AU2417" t="inlineStr">
        <is>
          <t>264834650:eng</t>
        </is>
      </c>
      <c r="AV2417" t="inlineStr">
        <is>
          <t>191732307</t>
        </is>
      </c>
      <c r="AW2417" t="inlineStr">
        <is>
          <t>991005302829702656</t>
        </is>
      </c>
      <c r="AX2417" t="inlineStr">
        <is>
          <t>991005302829702656</t>
        </is>
      </c>
      <c r="AY2417" t="inlineStr">
        <is>
          <t>2266916720002656</t>
        </is>
      </c>
      <c r="AZ2417" t="inlineStr">
        <is>
          <t>BOOK</t>
        </is>
      </c>
      <c r="BB2417" t="inlineStr">
        <is>
          <t>9780810860957</t>
        </is>
      </c>
      <c r="BC2417" t="inlineStr">
        <is>
          <t>32285005532998</t>
        </is>
      </c>
      <c r="BD2417" t="inlineStr">
        <is>
          <t>893607173</t>
        </is>
      </c>
    </row>
    <row r="2418">
      <c r="A2418" t="inlineStr">
        <is>
          <t>No</t>
        </is>
      </c>
      <c r="B2418" t="inlineStr">
        <is>
          <t>BX4705.M542 C37</t>
        </is>
      </c>
      <c r="C2418" t="inlineStr">
        <is>
          <t>0                      BX 4705000M  542                C  37</t>
        </is>
      </c>
      <c r="D2418" t="inlineStr">
        <is>
          <t>Solitude in the thought of Thomas Merton / by Richard Anthony Cashen.</t>
        </is>
      </c>
      <c r="F2418" t="inlineStr">
        <is>
          <t>No</t>
        </is>
      </c>
      <c r="G2418" t="inlineStr">
        <is>
          <t>1</t>
        </is>
      </c>
      <c r="H2418" t="inlineStr">
        <is>
          <t>No</t>
        </is>
      </c>
      <c r="I2418" t="inlineStr">
        <is>
          <t>No</t>
        </is>
      </c>
      <c r="J2418" t="inlineStr">
        <is>
          <t>0</t>
        </is>
      </c>
      <c r="K2418" t="inlineStr">
        <is>
          <t>Cashen, Richard Anthony.</t>
        </is>
      </c>
      <c r="L2418" t="inlineStr">
        <is>
          <t>Kalamazoo, Mich. : Cistercian Publications, 1981.</t>
        </is>
      </c>
      <c r="M2418" t="inlineStr">
        <is>
          <t>1981</t>
        </is>
      </c>
      <c r="O2418" t="inlineStr">
        <is>
          <t>eng</t>
        </is>
      </c>
      <c r="P2418" t="inlineStr">
        <is>
          <t>miu</t>
        </is>
      </c>
      <c r="Q2418" t="inlineStr">
        <is>
          <t>Cistercian studies series ; no. 40</t>
        </is>
      </c>
      <c r="R2418" t="inlineStr">
        <is>
          <t xml:space="preserve">BX </t>
        </is>
      </c>
      <c r="S2418" t="n">
        <v>10</v>
      </c>
      <c r="T2418" t="n">
        <v>10</v>
      </c>
      <c r="U2418" t="inlineStr">
        <is>
          <t>2009-03-01</t>
        </is>
      </c>
      <c r="V2418" t="inlineStr">
        <is>
          <t>2009-03-01</t>
        </is>
      </c>
      <c r="W2418" t="inlineStr">
        <is>
          <t>1997-09-30</t>
        </is>
      </c>
      <c r="X2418" t="inlineStr">
        <is>
          <t>1997-09-30</t>
        </is>
      </c>
      <c r="Y2418" t="n">
        <v>309</v>
      </c>
      <c r="Z2418" t="n">
        <v>260</v>
      </c>
      <c r="AA2418" t="n">
        <v>267</v>
      </c>
      <c r="AB2418" t="n">
        <v>1</v>
      </c>
      <c r="AC2418" t="n">
        <v>1</v>
      </c>
      <c r="AD2418" t="n">
        <v>27</v>
      </c>
      <c r="AE2418" t="n">
        <v>27</v>
      </c>
      <c r="AF2418" t="n">
        <v>8</v>
      </c>
      <c r="AG2418" t="n">
        <v>8</v>
      </c>
      <c r="AH2418" t="n">
        <v>9</v>
      </c>
      <c r="AI2418" t="n">
        <v>9</v>
      </c>
      <c r="AJ2418" t="n">
        <v>19</v>
      </c>
      <c r="AK2418" t="n">
        <v>19</v>
      </c>
      <c r="AL2418" t="n">
        <v>0</v>
      </c>
      <c r="AM2418" t="n">
        <v>0</v>
      </c>
      <c r="AN2418" t="n">
        <v>0</v>
      </c>
      <c r="AO2418" t="n">
        <v>0</v>
      </c>
      <c r="AP2418" t="inlineStr">
        <is>
          <t>No</t>
        </is>
      </c>
      <c r="AQ2418" t="inlineStr">
        <is>
          <t>Yes</t>
        </is>
      </c>
      <c r="AR2418">
        <f>HYPERLINK("http://catalog.hathitrust.org/Record/000746889","HathiTrust Record")</f>
        <v/>
      </c>
      <c r="AS2418">
        <f>HYPERLINK("https://creighton-primo.hosted.exlibrisgroup.com/primo-explore/search?tab=default_tab&amp;search_scope=EVERYTHING&amp;vid=01CRU&amp;lang=en_US&amp;offset=0&amp;query=any,contains,991005011909702656","Catalog Record")</f>
        <v/>
      </c>
      <c r="AT2418">
        <f>HYPERLINK("http://www.worldcat.org/oclc/6603288","WorldCat Record")</f>
        <v/>
      </c>
      <c r="AU2418" t="inlineStr">
        <is>
          <t>539124:eng</t>
        </is>
      </c>
      <c r="AV2418" t="inlineStr">
        <is>
          <t>6603288</t>
        </is>
      </c>
      <c r="AW2418" t="inlineStr">
        <is>
          <t>991005011909702656</t>
        </is>
      </c>
      <c r="AX2418" t="inlineStr">
        <is>
          <t>991005011909702656</t>
        </is>
      </c>
      <c r="AY2418" t="inlineStr">
        <is>
          <t>2255087050002656</t>
        </is>
      </c>
      <c r="AZ2418" t="inlineStr">
        <is>
          <t>BOOK</t>
        </is>
      </c>
      <c r="BB2418" t="inlineStr">
        <is>
          <t>9780879078409</t>
        </is>
      </c>
      <c r="BC2418" t="inlineStr">
        <is>
          <t>32285003204988</t>
        </is>
      </c>
      <c r="BD2418" t="inlineStr">
        <is>
          <t>893700912</t>
        </is>
      </c>
    </row>
    <row r="2419">
      <c r="A2419" t="inlineStr">
        <is>
          <t>No</t>
        </is>
      </c>
      <c r="B2419" t="inlineStr">
        <is>
          <t>BX4705.M542 D4</t>
        </is>
      </c>
      <c r="C2419" t="inlineStr">
        <is>
          <t>0                      BX 4705000M  542                D  4</t>
        </is>
      </c>
      <c r="D2419" t="inlineStr">
        <is>
          <t>Thomas Merton : a bibliography / by Frank Dell'Isola.</t>
        </is>
      </c>
      <c r="F2419" t="inlineStr">
        <is>
          <t>No</t>
        </is>
      </c>
      <c r="G2419" t="inlineStr">
        <is>
          <t>1</t>
        </is>
      </c>
      <c r="H2419" t="inlineStr">
        <is>
          <t>No</t>
        </is>
      </c>
      <c r="I2419" t="inlineStr">
        <is>
          <t>No</t>
        </is>
      </c>
      <c r="J2419" t="inlineStr">
        <is>
          <t>0</t>
        </is>
      </c>
      <c r="K2419" t="inlineStr">
        <is>
          <t>Dell'Isola, Frank.</t>
        </is>
      </c>
      <c r="L2419" t="inlineStr">
        <is>
          <t>[Kent, Ohio] : Kent State University Press, [1975]</t>
        </is>
      </c>
      <c r="M2419" t="inlineStr">
        <is>
          <t>1975</t>
        </is>
      </c>
      <c r="N2419" t="inlineStr">
        <is>
          <t>[1st rev. and expanded ed.]</t>
        </is>
      </c>
      <c r="O2419" t="inlineStr">
        <is>
          <t>eng</t>
        </is>
      </c>
      <c r="P2419" t="inlineStr">
        <is>
          <t>ohu</t>
        </is>
      </c>
      <c r="Q2419" t="inlineStr">
        <is>
          <t>The Serif series: bibliographies and checklists, no. 31</t>
        </is>
      </c>
      <c r="R2419" t="inlineStr">
        <is>
          <t xml:space="preserve">BX </t>
        </is>
      </c>
      <c r="S2419" t="n">
        <v>3</v>
      </c>
      <c r="T2419" t="n">
        <v>3</v>
      </c>
      <c r="U2419" t="inlineStr">
        <is>
          <t>2004-02-25</t>
        </is>
      </c>
      <c r="V2419" t="inlineStr">
        <is>
          <t>2004-02-25</t>
        </is>
      </c>
      <c r="W2419" t="inlineStr">
        <is>
          <t>1992-03-30</t>
        </is>
      </c>
      <c r="X2419" t="inlineStr">
        <is>
          <t>1992-03-30</t>
        </is>
      </c>
      <c r="Y2419" t="n">
        <v>408</v>
      </c>
      <c r="Z2419" t="n">
        <v>340</v>
      </c>
      <c r="AA2419" t="n">
        <v>492</v>
      </c>
      <c r="AB2419" t="n">
        <v>4</v>
      </c>
      <c r="AC2419" t="n">
        <v>5</v>
      </c>
      <c r="AD2419" t="n">
        <v>24</v>
      </c>
      <c r="AE2419" t="n">
        <v>33</v>
      </c>
      <c r="AF2419" t="n">
        <v>8</v>
      </c>
      <c r="AG2419" t="n">
        <v>12</v>
      </c>
      <c r="AH2419" t="n">
        <v>6</v>
      </c>
      <c r="AI2419" t="n">
        <v>8</v>
      </c>
      <c r="AJ2419" t="n">
        <v>14</v>
      </c>
      <c r="AK2419" t="n">
        <v>20</v>
      </c>
      <c r="AL2419" t="n">
        <v>2</v>
      </c>
      <c r="AM2419" t="n">
        <v>3</v>
      </c>
      <c r="AN2419" t="n">
        <v>0</v>
      </c>
      <c r="AO2419" t="n">
        <v>0</v>
      </c>
      <c r="AP2419" t="inlineStr">
        <is>
          <t>No</t>
        </is>
      </c>
      <c r="AQ2419" t="inlineStr">
        <is>
          <t>Yes</t>
        </is>
      </c>
      <c r="AR2419">
        <f>HYPERLINK("http://catalog.hathitrust.org/Record/000632101","HathiTrust Record")</f>
        <v/>
      </c>
      <c r="AS2419">
        <f>HYPERLINK("https://creighton-primo.hosted.exlibrisgroup.com/primo-explore/search?tab=default_tab&amp;search_scope=EVERYTHING&amp;vid=01CRU&amp;lang=en_US&amp;offset=0&amp;query=any,contains,991003586809702656","Catalog Record")</f>
        <v/>
      </c>
      <c r="AT2419">
        <f>HYPERLINK("http://www.worldcat.org/oclc/1167581","WorldCat Record")</f>
        <v/>
      </c>
      <c r="AU2419" t="inlineStr">
        <is>
          <t>894442018:eng</t>
        </is>
      </c>
      <c r="AV2419" t="inlineStr">
        <is>
          <t>1167581</t>
        </is>
      </c>
      <c r="AW2419" t="inlineStr">
        <is>
          <t>991003586809702656</t>
        </is>
      </c>
      <c r="AX2419" t="inlineStr">
        <is>
          <t>991003586809702656</t>
        </is>
      </c>
      <c r="AY2419" t="inlineStr">
        <is>
          <t>2267963320002656</t>
        </is>
      </c>
      <c r="AZ2419" t="inlineStr">
        <is>
          <t>BOOK</t>
        </is>
      </c>
      <c r="BB2419" t="inlineStr">
        <is>
          <t>9780873381567</t>
        </is>
      </c>
      <c r="BC2419" t="inlineStr">
        <is>
          <t>32285001004406</t>
        </is>
      </c>
      <c r="BD2419" t="inlineStr">
        <is>
          <t>893240376</t>
        </is>
      </c>
    </row>
    <row r="2420">
      <c r="A2420" t="inlineStr">
        <is>
          <t>No</t>
        </is>
      </c>
      <c r="B2420" t="inlineStr">
        <is>
          <t>BX4705.M542 D43 1999</t>
        </is>
      </c>
      <c r="C2420" t="inlineStr">
        <is>
          <t>0                      BX 4705000M  542                D  43          1999</t>
        </is>
      </c>
      <c r="D2420" t="inlineStr">
        <is>
          <t>The sound of listening : a retreat from Thomas Merton's hermitage / John Dear.</t>
        </is>
      </c>
      <c r="F2420" t="inlineStr">
        <is>
          <t>No</t>
        </is>
      </c>
      <c r="G2420" t="inlineStr">
        <is>
          <t>1</t>
        </is>
      </c>
      <c r="H2420" t="inlineStr">
        <is>
          <t>No</t>
        </is>
      </c>
      <c r="I2420" t="inlineStr">
        <is>
          <t>No</t>
        </is>
      </c>
      <c r="J2420" t="inlineStr">
        <is>
          <t>0</t>
        </is>
      </c>
      <c r="K2420" t="inlineStr">
        <is>
          <t>Dear, John, 1959-</t>
        </is>
      </c>
      <c r="L2420" t="inlineStr">
        <is>
          <t>New York : Continuum, 1999.</t>
        </is>
      </c>
      <c r="M2420" t="inlineStr">
        <is>
          <t>1999</t>
        </is>
      </c>
      <c r="O2420" t="inlineStr">
        <is>
          <t>eng</t>
        </is>
      </c>
      <c r="P2420" t="inlineStr">
        <is>
          <t>nyu</t>
        </is>
      </c>
      <c r="R2420" t="inlineStr">
        <is>
          <t xml:space="preserve">BX </t>
        </is>
      </c>
      <c r="S2420" t="n">
        <v>4</v>
      </c>
      <c r="T2420" t="n">
        <v>4</v>
      </c>
      <c r="U2420" t="inlineStr">
        <is>
          <t>2009-03-01</t>
        </is>
      </c>
      <c r="V2420" t="inlineStr">
        <is>
          <t>2009-03-01</t>
        </is>
      </c>
      <c r="W2420" t="inlineStr">
        <is>
          <t>2000-01-13</t>
        </is>
      </c>
      <c r="X2420" t="inlineStr">
        <is>
          <t>2000-01-13</t>
        </is>
      </c>
      <c r="Y2420" t="n">
        <v>80</v>
      </c>
      <c r="Z2420" t="n">
        <v>74</v>
      </c>
      <c r="AA2420" t="n">
        <v>77</v>
      </c>
      <c r="AB2420" t="n">
        <v>1</v>
      </c>
      <c r="AC2420" t="n">
        <v>1</v>
      </c>
      <c r="AD2420" t="n">
        <v>11</v>
      </c>
      <c r="AE2420" t="n">
        <v>11</v>
      </c>
      <c r="AF2420" t="n">
        <v>3</v>
      </c>
      <c r="AG2420" t="n">
        <v>3</v>
      </c>
      <c r="AH2420" t="n">
        <v>4</v>
      </c>
      <c r="AI2420" t="n">
        <v>4</v>
      </c>
      <c r="AJ2420" t="n">
        <v>8</v>
      </c>
      <c r="AK2420" t="n">
        <v>8</v>
      </c>
      <c r="AL2420" t="n">
        <v>0</v>
      </c>
      <c r="AM2420" t="n">
        <v>0</v>
      </c>
      <c r="AN2420" t="n">
        <v>0</v>
      </c>
      <c r="AO2420" t="n">
        <v>0</v>
      </c>
      <c r="AP2420" t="inlineStr">
        <is>
          <t>No</t>
        </is>
      </c>
      <c r="AQ2420" t="inlineStr">
        <is>
          <t>No</t>
        </is>
      </c>
      <c r="AS2420">
        <f>HYPERLINK("https://creighton-primo.hosted.exlibrisgroup.com/primo-explore/search?tab=default_tab&amp;search_scope=EVERYTHING&amp;vid=01CRU&amp;lang=en_US&amp;offset=0&amp;query=any,contains,991003023359702656","Catalog Record")</f>
        <v/>
      </c>
      <c r="AT2420">
        <f>HYPERLINK("http://www.worldcat.org/oclc/41266155","WorldCat Record")</f>
        <v/>
      </c>
      <c r="AU2420" t="inlineStr">
        <is>
          <t>292128384:eng</t>
        </is>
      </c>
      <c r="AV2420" t="inlineStr">
        <is>
          <t>41266155</t>
        </is>
      </c>
      <c r="AW2420" t="inlineStr">
        <is>
          <t>991003023359702656</t>
        </is>
      </c>
      <c r="AX2420" t="inlineStr">
        <is>
          <t>991003023359702656</t>
        </is>
      </c>
      <c r="AY2420" t="inlineStr">
        <is>
          <t>2262635820002656</t>
        </is>
      </c>
      <c r="AZ2420" t="inlineStr">
        <is>
          <t>BOOK</t>
        </is>
      </c>
      <c r="BB2420" t="inlineStr">
        <is>
          <t>9780826411891</t>
        </is>
      </c>
      <c r="BC2420" t="inlineStr">
        <is>
          <t>32285003641981</t>
        </is>
      </c>
      <c r="BD2420" t="inlineStr">
        <is>
          <t>893623065</t>
        </is>
      </c>
    </row>
    <row r="2421">
      <c r="A2421" t="inlineStr">
        <is>
          <t>No</t>
        </is>
      </c>
      <c r="B2421" t="inlineStr">
        <is>
          <t>BX4705.M542 G47 1984</t>
        </is>
      </c>
      <c r="C2421" t="inlineStr">
        <is>
          <t>0                      BX 4705000M  542                G  47          1984</t>
        </is>
      </c>
      <c r="D2421" t="inlineStr">
        <is>
          <t>Getting it all together : the heritage of Thomas Merton / by M. Basil Pennington ... [et al.] ; edited by Timothy Mulhearn.</t>
        </is>
      </c>
      <c r="F2421" t="inlineStr">
        <is>
          <t>No</t>
        </is>
      </c>
      <c r="G2421" t="inlineStr">
        <is>
          <t>1</t>
        </is>
      </c>
      <c r="H2421" t="inlineStr">
        <is>
          <t>No</t>
        </is>
      </c>
      <c r="I2421" t="inlineStr">
        <is>
          <t>No</t>
        </is>
      </c>
      <c r="J2421" t="inlineStr">
        <is>
          <t>0</t>
        </is>
      </c>
      <c r="L2421" t="inlineStr">
        <is>
          <t>Wilmington : Michael Glazier, c1984.</t>
        </is>
      </c>
      <c r="M2421" t="inlineStr">
        <is>
          <t>1984</t>
        </is>
      </c>
      <c r="O2421" t="inlineStr">
        <is>
          <t>eng</t>
        </is>
      </c>
      <c r="P2421" t="inlineStr">
        <is>
          <t>deu</t>
        </is>
      </c>
      <c r="R2421" t="inlineStr">
        <is>
          <t xml:space="preserve">BX </t>
        </is>
      </c>
      <c r="S2421" t="n">
        <v>3</v>
      </c>
      <c r="T2421" t="n">
        <v>3</v>
      </c>
      <c r="U2421" t="inlineStr">
        <is>
          <t>1993-07-07</t>
        </is>
      </c>
      <c r="V2421" t="inlineStr">
        <is>
          <t>1993-07-07</t>
        </is>
      </c>
      <c r="W2421" t="inlineStr">
        <is>
          <t>1992-03-30</t>
        </is>
      </c>
      <c r="X2421" t="inlineStr">
        <is>
          <t>1992-03-30</t>
        </is>
      </c>
      <c r="Y2421" t="n">
        <v>117</v>
      </c>
      <c r="Z2421" t="n">
        <v>104</v>
      </c>
      <c r="AA2421" t="n">
        <v>109</v>
      </c>
      <c r="AB2421" t="n">
        <v>1</v>
      </c>
      <c r="AC2421" t="n">
        <v>1</v>
      </c>
      <c r="AD2421" t="n">
        <v>12</v>
      </c>
      <c r="AE2421" t="n">
        <v>12</v>
      </c>
      <c r="AF2421" t="n">
        <v>5</v>
      </c>
      <c r="AG2421" t="n">
        <v>5</v>
      </c>
      <c r="AH2421" t="n">
        <v>3</v>
      </c>
      <c r="AI2421" t="n">
        <v>3</v>
      </c>
      <c r="AJ2421" t="n">
        <v>9</v>
      </c>
      <c r="AK2421" t="n">
        <v>9</v>
      </c>
      <c r="AL2421" t="n">
        <v>0</v>
      </c>
      <c r="AM2421" t="n">
        <v>0</v>
      </c>
      <c r="AN2421" t="n">
        <v>0</v>
      </c>
      <c r="AO2421" t="n">
        <v>0</v>
      </c>
      <c r="AP2421" t="inlineStr">
        <is>
          <t>No</t>
        </is>
      </c>
      <c r="AQ2421" t="inlineStr">
        <is>
          <t>No</t>
        </is>
      </c>
      <c r="AS2421">
        <f>HYPERLINK("https://creighton-primo.hosted.exlibrisgroup.com/primo-explore/search?tab=default_tab&amp;search_scope=EVERYTHING&amp;vid=01CRU&amp;lang=en_US&amp;offset=0&amp;query=any,contains,991000544459702656","Catalog Record")</f>
        <v/>
      </c>
      <c r="AT2421">
        <f>HYPERLINK("http://www.worldcat.org/oclc/11507590","WorldCat Record")</f>
        <v/>
      </c>
      <c r="AU2421" t="inlineStr">
        <is>
          <t>428745904:eng</t>
        </is>
      </c>
      <c r="AV2421" t="inlineStr">
        <is>
          <t>11507590</t>
        </is>
      </c>
      <c r="AW2421" t="inlineStr">
        <is>
          <t>991000544459702656</t>
        </is>
      </c>
      <c r="AX2421" t="inlineStr">
        <is>
          <t>991000544459702656</t>
        </is>
      </c>
      <c r="AY2421" t="inlineStr">
        <is>
          <t>2269977370002656</t>
        </is>
      </c>
      <c r="AZ2421" t="inlineStr">
        <is>
          <t>BOOK</t>
        </is>
      </c>
      <c r="BB2421" t="inlineStr">
        <is>
          <t>9780894533808</t>
        </is>
      </c>
      <c r="BC2421" t="inlineStr">
        <is>
          <t>32285001004414</t>
        </is>
      </c>
      <c r="BD2421" t="inlineStr">
        <is>
          <t>893878147</t>
        </is>
      </c>
    </row>
    <row r="2422">
      <c r="A2422" t="inlineStr">
        <is>
          <t>No</t>
        </is>
      </c>
      <c r="B2422" t="inlineStr">
        <is>
          <t>BX4705.M542 G7 1985</t>
        </is>
      </c>
      <c r="C2422" t="inlineStr">
        <is>
          <t>0                      BX 4705000M  542                G  7           1985</t>
        </is>
      </c>
      <c r="D2422" t="inlineStr">
        <is>
          <t>Thomas Merton, the development of a spiritual theologian / Donald Grayston.</t>
        </is>
      </c>
      <c r="F2422" t="inlineStr">
        <is>
          <t>No</t>
        </is>
      </c>
      <c r="G2422" t="inlineStr">
        <is>
          <t>1</t>
        </is>
      </c>
      <c r="H2422" t="inlineStr">
        <is>
          <t>No</t>
        </is>
      </c>
      <c r="I2422" t="inlineStr">
        <is>
          <t>No</t>
        </is>
      </c>
      <c r="J2422" t="inlineStr">
        <is>
          <t>0</t>
        </is>
      </c>
      <c r="K2422" t="inlineStr">
        <is>
          <t>Grayston, Donald.</t>
        </is>
      </c>
      <c r="L2422" t="inlineStr">
        <is>
          <t>New York : E. Mellen Press, c1985.</t>
        </is>
      </c>
      <c r="M2422" t="inlineStr">
        <is>
          <t>1985</t>
        </is>
      </c>
      <c r="O2422" t="inlineStr">
        <is>
          <t>eng</t>
        </is>
      </c>
      <c r="P2422" t="inlineStr">
        <is>
          <t>nyu</t>
        </is>
      </c>
      <c r="Q2422" t="inlineStr">
        <is>
          <t>Toronto studies in theology ; v. 20</t>
        </is>
      </c>
      <c r="R2422" t="inlineStr">
        <is>
          <t xml:space="preserve">BX </t>
        </is>
      </c>
      <c r="S2422" t="n">
        <v>9</v>
      </c>
      <c r="T2422" t="n">
        <v>9</v>
      </c>
      <c r="U2422" t="inlineStr">
        <is>
          <t>2001-11-14</t>
        </is>
      </c>
      <c r="V2422" t="inlineStr">
        <is>
          <t>2001-11-14</t>
        </is>
      </c>
      <c r="W2422" t="inlineStr">
        <is>
          <t>1992-03-30</t>
        </is>
      </c>
      <c r="X2422" t="inlineStr">
        <is>
          <t>1992-03-30</t>
        </is>
      </c>
      <c r="Y2422" t="n">
        <v>305</v>
      </c>
      <c r="Z2422" t="n">
        <v>260</v>
      </c>
      <c r="AA2422" t="n">
        <v>266</v>
      </c>
      <c r="AB2422" t="n">
        <v>1</v>
      </c>
      <c r="AC2422" t="n">
        <v>1</v>
      </c>
      <c r="AD2422" t="n">
        <v>22</v>
      </c>
      <c r="AE2422" t="n">
        <v>22</v>
      </c>
      <c r="AF2422" t="n">
        <v>6</v>
      </c>
      <c r="AG2422" t="n">
        <v>6</v>
      </c>
      <c r="AH2422" t="n">
        <v>7</v>
      </c>
      <c r="AI2422" t="n">
        <v>7</v>
      </c>
      <c r="AJ2422" t="n">
        <v>16</v>
      </c>
      <c r="AK2422" t="n">
        <v>16</v>
      </c>
      <c r="AL2422" t="n">
        <v>0</v>
      </c>
      <c r="AM2422" t="n">
        <v>0</v>
      </c>
      <c r="AN2422" t="n">
        <v>0</v>
      </c>
      <c r="AO2422" t="n">
        <v>0</v>
      </c>
      <c r="AP2422" t="inlineStr">
        <is>
          <t>No</t>
        </is>
      </c>
      <c r="AQ2422" t="inlineStr">
        <is>
          <t>Yes</t>
        </is>
      </c>
      <c r="AR2422">
        <f>HYPERLINK("http://catalog.hathitrust.org/Record/000375381","HathiTrust Record")</f>
        <v/>
      </c>
      <c r="AS2422">
        <f>HYPERLINK("https://creighton-primo.hosted.exlibrisgroup.com/primo-explore/search?tab=default_tab&amp;search_scope=EVERYTHING&amp;vid=01CRU&amp;lang=en_US&amp;offset=0&amp;query=any,contains,991000547749702656","Catalog Record")</f>
        <v/>
      </c>
      <c r="AT2422">
        <f>HYPERLINK("http://www.worldcat.org/oclc/11519661","WorldCat Record")</f>
        <v/>
      </c>
      <c r="AU2422" t="inlineStr">
        <is>
          <t>3979269:eng</t>
        </is>
      </c>
      <c r="AV2422" t="inlineStr">
        <is>
          <t>11519661</t>
        </is>
      </c>
      <c r="AW2422" t="inlineStr">
        <is>
          <t>991000547749702656</t>
        </is>
      </c>
      <c r="AX2422" t="inlineStr">
        <is>
          <t>991000547749702656</t>
        </is>
      </c>
      <c r="AY2422" t="inlineStr">
        <is>
          <t>2269973500002656</t>
        </is>
      </c>
      <c r="AZ2422" t="inlineStr">
        <is>
          <t>BOOK</t>
        </is>
      </c>
      <c r="BB2422" t="inlineStr">
        <is>
          <t>9780889467583</t>
        </is>
      </c>
      <c r="BC2422" t="inlineStr">
        <is>
          <t>32285001004422</t>
        </is>
      </c>
      <c r="BD2422" t="inlineStr">
        <is>
          <t>893225090</t>
        </is>
      </c>
    </row>
    <row r="2423">
      <c r="A2423" t="inlineStr">
        <is>
          <t>No</t>
        </is>
      </c>
      <c r="B2423" t="inlineStr">
        <is>
          <t>BX4705.M542 H37 1974</t>
        </is>
      </c>
      <c r="C2423" t="inlineStr">
        <is>
          <t>0                      BX 4705000M  542                H  37          1974</t>
        </is>
      </c>
      <c r="D2423" t="inlineStr">
        <is>
          <t>Thomas Merton, monk : a monastic tribute.</t>
        </is>
      </c>
      <c r="F2423" t="inlineStr">
        <is>
          <t>No</t>
        </is>
      </c>
      <c r="G2423" t="inlineStr">
        <is>
          <t>1</t>
        </is>
      </c>
      <c r="H2423" t="inlineStr">
        <is>
          <t>No</t>
        </is>
      </c>
      <c r="I2423" t="inlineStr">
        <is>
          <t>No</t>
        </is>
      </c>
      <c r="J2423" t="inlineStr">
        <is>
          <t>0</t>
        </is>
      </c>
      <c r="K2423" t="inlineStr">
        <is>
          <t>Hart, Patrick compiler.</t>
        </is>
      </c>
      <c r="L2423" t="inlineStr">
        <is>
          <t>[New York] : Sheed and Ward, [1974]</t>
        </is>
      </c>
      <c r="M2423" t="inlineStr">
        <is>
          <t>1974</t>
        </is>
      </c>
      <c r="O2423" t="inlineStr">
        <is>
          <t>eng</t>
        </is>
      </c>
      <c r="P2423" t="inlineStr">
        <is>
          <t>nyu</t>
        </is>
      </c>
      <c r="R2423" t="inlineStr">
        <is>
          <t xml:space="preserve">BX </t>
        </is>
      </c>
      <c r="S2423" t="n">
        <v>9</v>
      </c>
      <c r="T2423" t="n">
        <v>9</v>
      </c>
      <c r="U2423" t="inlineStr">
        <is>
          <t>2000-10-31</t>
        </is>
      </c>
      <c r="V2423" t="inlineStr">
        <is>
          <t>2000-10-31</t>
        </is>
      </c>
      <c r="W2423" t="inlineStr">
        <is>
          <t>1990-07-23</t>
        </is>
      </c>
      <c r="X2423" t="inlineStr">
        <is>
          <t>1990-07-23</t>
        </is>
      </c>
      <c r="Y2423" t="n">
        <v>632</v>
      </c>
      <c r="Z2423" t="n">
        <v>587</v>
      </c>
      <c r="AA2423" t="n">
        <v>697</v>
      </c>
      <c r="AB2423" t="n">
        <v>3</v>
      </c>
      <c r="AC2423" t="n">
        <v>3</v>
      </c>
      <c r="AD2423" t="n">
        <v>29</v>
      </c>
      <c r="AE2423" t="n">
        <v>34</v>
      </c>
      <c r="AF2423" t="n">
        <v>10</v>
      </c>
      <c r="AG2423" t="n">
        <v>12</v>
      </c>
      <c r="AH2423" t="n">
        <v>8</v>
      </c>
      <c r="AI2423" t="n">
        <v>8</v>
      </c>
      <c r="AJ2423" t="n">
        <v>20</v>
      </c>
      <c r="AK2423" t="n">
        <v>23</v>
      </c>
      <c r="AL2423" t="n">
        <v>1</v>
      </c>
      <c r="AM2423" t="n">
        <v>1</v>
      </c>
      <c r="AN2423" t="n">
        <v>0</v>
      </c>
      <c r="AO2423" t="n">
        <v>0</v>
      </c>
      <c r="AP2423" t="inlineStr">
        <is>
          <t>No</t>
        </is>
      </c>
      <c r="AQ2423" t="inlineStr">
        <is>
          <t>Yes</t>
        </is>
      </c>
      <c r="AR2423">
        <f>HYPERLINK("http://catalog.hathitrust.org/Record/001592081","HathiTrust Record")</f>
        <v/>
      </c>
      <c r="AS2423">
        <f>HYPERLINK("https://creighton-primo.hosted.exlibrisgroup.com/primo-explore/search?tab=default_tab&amp;search_scope=EVERYTHING&amp;vid=01CRU&amp;lang=en_US&amp;offset=0&amp;query=any,contains,991003453219702656","Catalog Record")</f>
        <v/>
      </c>
      <c r="AT2423">
        <f>HYPERLINK("http://www.worldcat.org/oclc/992540","WorldCat Record")</f>
        <v/>
      </c>
      <c r="AU2423" t="inlineStr">
        <is>
          <t>914690158:eng</t>
        </is>
      </c>
      <c r="AV2423" t="inlineStr">
        <is>
          <t>992540</t>
        </is>
      </c>
      <c r="AW2423" t="inlineStr">
        <is>
          <t>991003453219702656</t>
        </is>
      </c>
      <c r="AX2423" t="inlineStr">
        <is>
          <t>991003453219702656</t>
        </is>
      </c>
      <c r="AY2423" t="inlineStr">
        <is>
          <t>2255254680002656</t>
        </is>
      </c>
      <c r="AZ2423" t="inlineStr">
        <is>
          <t>BOOK</t>
        </is>
      </c>
      <c r="BB2423" t="inlineStr">
        <is>
          <t>9780863205712</t>
        </is>
      </c>
      <c r="BC2423" t="inlineStr">
        <is>
          <t>32285000247279</t>
        </is>
      </c>
      <c r="BD2423" t="inlineStr">
        <is>
          <t>893505583</t>
        </is>
      </c>
    </row>
    <row r="2424">
      <c r="A2424" t="inlineStr">
        <is>
          <t>No</t>
        </is>
      </c>
      <c r="B2424" t="inlineStr">
        <is>
          <t>BX4705.M542 H53 1998</t>
        </is>
      </c>
      <c r="C2424" t="inlineStr">
        <is>
          <t>0                      BX 4705000M  542                H  53          1998</t>
        </is>
      </c>
      <c r="D2424" t="inlineStr">
        <is>
          <t>Heretic blood : the spiritual geography of Thomas Merton / Michael W. Higgins.</t>
        </is>
      </c>
      <c r="F2424" t="inlineStr">
        <is>
          <t>No</t>
        </is>
      </c>
      <c r="G2424" t="inlineStr">
        <is>
          <t>1</t>
        </is>
      </c>
      <c r="H2424" t="inlineStr">
        <is>
          <t>No</t>
        </is>
      </c>
      <c r="I2424" t="inlineStr">
        <is>
          <t>No</t>
        </is>
      </c>
      <c r="J2424" t="inlineStr">
        <is>
          <t>0</t>
        </is>
      </c>
      <c r="K2424" t="inlineStr">
        <is>
          <t>Higgins, Michael W.</t>
        </is>
      </c>
      <c r="L2424" t="inlineStr">
        <is>
          <t>Toronto : Stoddart, 1998.</t>
        </is>
      </c>
      <c r="M2424" t="inlineStr">
        <is>
          <t>1998</t>
        </is>
      </c>
      <c r="O2424" t="inlineStr">
        <is>
          <t>eng</t>
        </is>
      </c>
      <c r="P2424" t="inlineStr">
        <is>
          <t>onc</t>
        </is>
      </c>
      <c r="R2424" t="inlineStr">
        <is>
          <t xml:space="preserve">BX </t>
        </is>
      </c>
      <c r="S2424" t="n">
        <v>8</v>
      </c>
      <c r="T2424" t="n">
        <v>8</v>
      </c>
      <c r="U2424" t="inlineStr">
        <is>
          <t>2001-11-14</t>
        </is>
      </c>
      <c r="V2424" t="inlineStr">
        <is>
          <t>2001-11-14</t>
        </is>
      </c>
      <c r="W2424" t="inlineStr">
        <is>
          <t>1999-02-25</t>
        </is>
      </c>
      <c r="X2424" t="inlineStr">
        <is>
          <t>1999-02-25</t>
        </is>
      </c>
      <c r="Y2424" t="n">
        <v>175</v>
      </c>
      <c r="Z2424" t="n">
        <v>128</v>
      </c>
      <c r="AA2424" t="n">
        <v>143</v>
      </c>
      <c r="AB2424" t="n">
        <v>1</v>
      </c>
      <c r="AC2424" t="n">
        <v>2</v>
      </c>
      <c r="AD2424" t="n">
        <v>19</v>
      </c>
      <c r="AE2424" t="n">
        <v>21</v>
      </c>
      <c r="AF2424" t="n">
        <v>10</v>
      </c>
      <c r="AG2424" t="n">
        <v>11</v>
      </c>
      <c r="AH2424" t="n">
        <v>3</v>
      </c>
      <c r="AI2424" t="n">
        <v>4</v>
      </c>
      <c r="AJ2424" t="n">
        <v>14</v>
      </c>
      <c r="AK2424" t="n">
        <v>14</v>
      </c>
      <c r="AL2424" t="n">
        <v>0</v>
      </c>
      <c r="AM2424" t="n">
        <v>1</v>
      </c>
      <c r="AN2424" t="n">
        <v>0</v>
      </c>
      <c r="AO2424" t="n">
        <v>0</v>
      </c>
      <c r="AP2424" t="inlineStr">
        <is>
          <t>No</t>
        </is>
      </c>
      <c r="AQ2424" t="inlineStr">
        <is>
          <t>Yes</t>
        </is>
      </c>
      <c r="AR2424">
        <f>HYPERLINK("http://catalog.hathitrust.org/Record/004054129","HathiTrust Record")</f>
        <v/>
      </c>
      <c r="AS2424">
        <f>HYPERLINK("https://creighton-primo.hosted.exlibrisgroup.com/primo-explore/search?tab=default_tab&amp;search_scope=EVERYTHING&amp;vid=01CRU&amp;lang=en_US&amp;offset=0&amp;query=any,contains,991002961319702656","Catalog Record")</f>
        <v/>
      </c>
      <c r="AT2424">
        <f>HYPERLINK("http://www.worldcat.org/oclc/39615267","WorldCat Record")</f>
        <v/>
      </c>
      <c r="AU2424" t="inlineStr">
        <is>
          <t>39569190:eng</t>
        </is>
      </c>
      <c r="AV2424" t="inlineStr">
        <is>
          <t>39615267</t>
        </is>
      </c>
      <c r="AW2424" t="inlineStr">
        <is>
          <t>991002961319702656</t>
        </is>
      </c>
      <c r="AX2424" t="inlineStr">
        <is>
          <t>991002961319702656</t>
        </is>
      </c>
      <c r="AY2424" t="inlineStr">
        <is>
          <t>2263680830002656</t>
        </is>
      </c>
      <c r="AZ2424" t="inlineStr">
        <is>
          <t>BOOK</t>
        </is>
      </c>
      <c r="BB2424" t="inlineStr">
        <is>
          <t>9780773731325</t>
        </is>
      </c>
      <c r="BC2424" t="inlineStr">
        <is>
          <t>32285003527321</t>
        </is>
      </c>
      <c r="BD2424" t="inlineStr">
        <is>
          <t>893335958</t>
        </is>
      </c>
    </row>
    <row r="2425">
      <c r="A2425" t="inlineStr">
        <is>
          <t>No</t>
        </is>
      </c>
      <c r="B2425" t="inlineStr">
        <is>
          <t>BX4705.M542 K68 1991</t>
        </is>
      </c>
      <c r="C2425" t="inlineStr">
        <is>
          <t>0                      BX 4705000M  542                K  68          1991</t>
        </is>
      </c>
      <c r="D2425" t="inlineStr">
        <is>
          <t>Thomas Merton as writer and monk : a cultural study, 1915-1951 / Peter Kountz ; preface by Martin E. Marty.</t>
        </is>
      </c>
      <c r="F2425" t="inlineStr">
        <is>
          <t>No</t>
        </is>
      </c>
      <c r="G2425" t="inlineStr">
        <is>
          <t>1</t>
        </is>
      </c>
      <c r="H2425" t="inlineStr">
        <is>
          <t>No</t>
        </is>
      </c>
      <c r="I2425" t="inlineStr">
        <is>
          <t>No</t>
        </is>
      </c>
      <c r="J2425" t="inlineStr">
        <is>
          <t>0</t>
        </is>
      </c>
      <c r="K2425" t="inlineStr">
        <is>
          <t>Kountz, Peter.</t>
        </is>
      </c>
      <c r="L2425" t="inlineStr">
        <is>
          <t>Brooklyn, N.Y. : Carlson Pub., 1991.</t>
        </is>
      </c>
      <c r="M2425" t="inlineStr">
        <is>
          <t>1991</t>
        </is>
      </c>
      <c r="O2425" t="inlineStr">
        <is>
          <t>eng</t>
        </is>
      </c>
      <c r="P2425" t="inlineStr">
        <is>
          <t>nyu</t>
        </is>
      </c>
      <c r="Q2425" t="inlineStr">
        <is>
          <t>Chicago studies in the history of American religion ; v. 11</t>
        </is>
      </c>
      <c r="R2425" t="inlineStr">
        <is>
          <t xml:space="preserve">BX </t>
        </is>
      </c>
      <c r="S2425" t="n">
        <v>3</v>
      </c>
      <c r="T2425" t="n">
        <v>3</v>
      </c>
      <c r="U2425" t="inlineStr">
        <is>
          <t>2000-10-03</t>
        </is>
      </c>
      <c r="V2425" t="inlineStr">
        <is>
          <t>2000-10-03</t>
        </is>
      </c>
      <c r="W2425" t="inlineStr">
        <is>
          <t>1992-08-25</t>
        </is>
      </c>
      <c r="X2425" t="inlineStr">
        <is>
          <t>1992-08-25</t>
        </is>
      </c>
      <c r="Y2425" t="n">
        <v>336</v>
      </c>
      <c r="Z2425" t="n">
        <v>296</v>
      </c>
      <c r="AA2425" t="n">
        <v>307</v>
      </c>
      <c r="AB2425" t="n">
        <v>3</v>
      </c>
      <c r="AC2425" t="n">
        <v>3</v>
      </c>
      <c r="AD2425" t="n">
        <v>28</v>
      </c>
      <c r="AE2425" t="n">
        <v>28</v>
      </c>
      <c r="AF2425" t="n">
        <v>10</v>
      </c>
      <c r="AG2425" t="n">
        <v>10</v>
      </c>
      <c r="AH2425" t="n">
        <v>8</v>
      </c>
      <c r="AI2425" t="n">
        <v>8</v>
      </c>
      <c r="AJ2425" t="n">
        <v>16</v>
      </c>
      <c r="AK2425" t="n">
        <v>16</v>
      </c>
      <c r="AL2425" t="n">
        <v>2</v>
      </c>
      <c r="AM2425" t="n">
        <v>2</v>
      </c>
      <c r="AN2425" t="n">
        <v>0</v>
      </c>
      <c r="AO2425" t="n">
        <v>0</v>
      </c>
      <c r="AP2425" t="inlineStr">
        <is>
          <t>No</t>
        </is>
      </c>
      <c r="AQ2425" t="inlineStr">
        <is>
          <t>Yes</t>
        </is>
      </c>
      <c r="AR2425">
        <f>HYPERLINK("http://catalog.hathitrust.org/Record/002704382","HathiTrust Record")</f>
        <v/>
      </c>
      <c r="AS2425">
        <f>HYPERLINK("https://creighton-primo.hosted.exlibrisgroup.com/primo-explore/search?tab=default_tab&amp;search_scope=EVERYTHING&amp;vid=01CRU&amp;lang=en_US&amp;offset=0&amp;query=any,contains,991001914829702656","Catalog Record")</f>
        <v/>
      </c>
      <c r="AT2425">
        <f>HYPERLINK("http://www.worldcat.org/oclc/24174429","WorldCat Record")</f>
        <v/>
      </c>
      <c r="AU2425" t="inlineStr">
        <is>
          <t>26459904:eng</t>
        </is>
      </c>
      <c r="AV2425" t="inlineStr">
        <is>
          <t>24174429</t>
        </is>
      </c>
      <c r="AW2425" t="inlineStr">
        <is>
          <t>991001914829702656</t>
        </is>
      </c>
      <c r="AX2425" t="inlineStr">
        <is>
          <t>991001914829702656</t>
        </is>
      </c>
      <c r="AY2425" t="inlineStr">
        <is>
          <t>2269356040002656</t>
        </is>
      </c>
      <c r="AZ2425" t="inlineStr">
        <is>
          <t>BOOK</t>
        </is>
      </c>
      <c r="BB2425" t="inlineStr">
        <is>
          <t>9780926019485</t>
        </is>
      </c>
      <c r="BC2425" t="inlineStr">
        <is>
          <t>32285001198596</t>
        </is>
      </c>
      <c r="BD2425" t="inlineStr">
        <is>
          <t>893444857</t>
        </is>
      </c>
    </row>
    <row r="2426">
      <c r="A2426" t="inlineStr">
        <is>
          <t>No</t>
        </is>
      </c>
      <c r="B2426" t="inlineStr">
        <is>
          <t>BX4705.M542 M3</t>
        </is>
      </c>
      <c r="C2426" t="inlineStr">
        <is>
          <t>0                      BX 4705000M  542                M  3</t>
        </is>
      </c>
      <c r="D2426" t="inlineStr">
        <is>
          <t>Thomas Merton; the man and his work / by Dennis Q. McInerny.</t>
        </is>
      </c>
      <c r="F2426" t="inlineStr">
        <is>
          <t>No</t>
        </is>
      </c>
      <c r="G2426" t="inlineStr">
        <is>
          <t>1</t>
        </is>
      </c>
      <c r="H2426" t="inlineStr">
        <is>
          <t>No</t>
        </is>
      </c>
      <c r="I2426" t="inlineStr">
        <is>
          <t>No</t>
        </is>
      </c>
      <c r="J2426" t="inlineStr">
        <is>
          <t>0</t>
        </is>
      </c>
      <c r="K2426" t="inlineStr">
        <is>
          <t>McInerny, Dennis Q.</t>
        </is>
      </c>
      <c r="L2426" t="inlineStr">
        <is>
          <t>[Spencer, Mass.] : Cistercian Publications; [distributed by] Consortium Press, Washington, 1974.</t>
        </is>
      </c>
      <c r="M2426" t="inlineStr">
        <is>
          <t>1974</t>
        </is>
      </c>
      <c r="O2426" t="inlineStr">
        <is>
          <t>eng</t>
        </is>
      </c>
      <c r="P2426" t="inlineStr">
        <is>
          <t>mau</t>
        </is>
      </c>
      <c r="Q2426" t="inlineStr">
        <is>
          <t>Cistercian studies series ; no. 27</t>
        </is>
      </c>
      <c r="R2426" t="inlineStr">
        <is>
          <t xml:space="preserve">BX </t>
        </is>
      </c>
      <c r="S2426" t="n">
        <v>4</v>
      </c>
      <c r="T2426" t="n">
        <v>4</v>
      </c>
      <c r="U2426" t="inlineStr">
        <is>
          <t>2001-06-18</t>
        </is>
      </c>
      <c r="V2426" t="inlineStr">
        <is>
          <t>2001-06-18</t>
        </is>
      </c>
      <c r="W2426" t="inlineStr">
        <is>
          <t>1992-03-30</t>
        </is>
      </c>
      <c r="X2426" t="inlineStr">
        <is>
          <t>1992-03-30</t>
        </is>
      </c>
      <c r="Y2426" t="n">
        <v>306</v>
      </c>
      <c r="Z2426" t="n">
        <v>262</v>
      </c>
      <c r="AA2426" t="n">
        <v>268</v>
      </c>
      <c r="AB2426" t="n">
        <v>1</v>
      </c>
      <c r="AC2426" t="n">
        <v>1</v>
      </c>
      <c r="AD2426" t="n">
        <v>26</v>
      </c>
      <c r="AE2426" t="n">
        <v>26</v>
      </c>
      <c r="AF2426" t="n">
        <v>8</v>
      </c>
      <c r="AG2426" t="n">
        <v>8</v>
      </c>
      <c r="AH2426" t="n">
        <v>7</v>
      </c>
      <c r="AI2426" t="n">
        <v>7</v>
      </c>
      <c r="AJ2426" t="n">
        <v>17</v>
      </c>
      <c r="AK2426" t="n">
        <v>17</v>
      </c>
      <c r="AL2426" t="n">
        <v>0</v>
      </c>
      <c r="AM2426" t="n">
        <v>0</v>
      </c>
      <c r="AN2426" t="n">
        <v>0</v>
      </c>
      <c r="AO2426" t="n">
        <v>0</v>
      </c>
      <c r="AP2426" t="inlineStr">
        <is>
          <t>No</t>
        </is>
      </c>
      <c r="AQ2426" t="inlineStr">
        <is>
          <t>No</t>
        </is>
      </c>
      <c r="AS2426">
        <f>HYPERLINK("https://creighton-primo.hosted.exlibrisgroup.com/primo-explore/search?tab=default_tab&amp;search_scope=EVERYTHING&amp;vid=01CRU&amp;lang=en_US&amp;offset=0&amp;query=any,contains,991003328899702656","Catalog Record")</f>
        <v/>
      </c>
      <c r="AT2426">
        <f>HYPERLINK("http://www.worldcat.org/oclc/858734","WorldCat Record")</f>
        <v/>
      </c>
      <c r="AU2426" t="inlineStr">
        <is>
          <t>503094831:eng</t>
        </is>
      </c>
      <c r="AV2426" t="inlineStr">
        <is>
          <t>858734</t>
        </is>
      </c>
      <c r="AW2426" t="inlineStr">
        <is>
          <t>991003328899702656</t>
        </is>
      </c>
      <c r="AX2426" t="inlineStr">
        <is>
          <t>991003328899702656</t>
        </is>
      </c>
      <c r="AY2426" t="inlineStr">
        <is>
          <t>2267169040002656</t>
        </is>
      </c>
      <c r="AZ2426" t="inlineStr">
        <is>
          <t>BOOK</t>
        </is>
      </c>
      <c r="BB2426" t="inlineStr">
        <is>
          <t>9780879078270</t>
        </is>
      </c>
      <c r="BC2426" t="inlineStr">
        <is>
          <t>32285001004463</t>
        </is>
      </c>
      <c r="BD2426" t="inlineStr">
        <is>
          <t>893227955</t>
        </is>
      </c>
    </row>
    <row r="2427">
      <c r="A2427" t="inlineStr">
        <is>
          <t>No</t>
        </is>
      </c>
      <c r="B2427" t="inlineStr">
        <is>
          <t>BX4705.M542 M34 1980</t>
        </is>
      </c>
      <c r="C2427" t="inlineStr">
        <is>
          <t>0                      BX 4705000M  542                M  34          1980</t>
        </is>
      </c>
      <c r="D2427" t="inlineStr">
        <is>
          <t>The solitary explorer : Thomas Merton's transforming journey / Elena Malits.</t>
        </is>
      </c>
      <c r="F2427" t="inlineStr">
        <is>
          <t>No</t>
        </is>
      </c>
      <c r="G2427" t="inlineStr">
        <is>
          <t>1</t>
        </is>
      </c>
      <c r="H2427" t="inlineStr">
        <is>
          <t>No</t>
        </is>
      </c>
      <c r="I2427" t="inlineStr">
        <is>
          <t>No</t>
        </is>
      </c>
      <c r="J2427" t="inlineStr">
        <is>
          <t>0</t>
        </is>
      </c>
      <c r="K2427" t="inlineStr">
        <is>
          <t>Malits, Elena.</t>
        </is>
      </c>
      <c r="L2427" t="inlineStr">
        <is>
          <t>San Francisco : Harper &amp; Row, c1980.</t>
        </is>
      </c>
      <c r="M2427" t="inlineStr">
        <is>
          <t>1980</t>
        </is>
      </c>
      <c r="N2427" t="inlineStr">
        <is>
          <t>1st ed.</t>
        </is>
      </c>
      <c r="O2427" t="inlineStr">
        <is>
          <t>eng</t>
        </is>
      </c>
      <c r="P2427" t="inlineStr">
        <is>
          <t>cau</t>
        </is>
      </c>
      <c r="R2427" t="inlineStr">
        <is>
          <t xml:space="preserve">BX </t>
        </is>
      </c>
      <c r="S2427" t="n">
        <v>6</v>
      </c>
      <c r="T2427" t="n">
        <v>6</v>
      </c>
      <c r="U2427" t="inlineStr">
        <is>
          <t>2004-07-18</t>
        </is>
      </c>
      <c r="V2427" t="inlineStr">
        <is>
          <t>2004-07-18</t>
        </is>
      </c>
      <c r="W2427" t="inlineStr">
        <is>
          <t>1990-07-17</t>
        </is>
      </c>
      <c r="X2427" t="inlineStr">
        <is>
          <t>1990-07-17</t>
        </is>
      </c>
      <c r="Y2427" t="n">
        <v>649</v>
      </c>
      <c r="Z2427" t="n">
        <v>597</v>
      </c>
      <c r="AA2427" t="n">
        <v>606</v>
      </c>
      <c r="AB2427" t="n">
        <v>5</v>
      </c>
      <c r="AC2427" t="n">
        <v>5</v>
      </c>
      <c r="AD2427" t="n">
        <v>38</v>
      </c>
      <c r="AE2427" t="n">
        <v>38</v>
      </c>
      <c r="AF2427" t="n">
        <v>15</v>
      </c>
      <c r="AG2427" t="n">
        <v>15</v>
      </c>
      <c r="AH2427" t="n">
        <v>9</v>
      </c>
      <c r="AI2427" t="n">
        <v>9</v>
      </c>
      <c r="AJ2427" t="n">
        <v>22</v>
      </c>
      <c r="AK2427" t="n">
        <v>22</v>
      </c>
      <c r="AL2427" t="n">
        <v>4</v>
      </c>
      <c r="AM2427" t="n">
        <v>4</v>
      </c>
      <c r="AN2427" t="n">
        <v>0</v>
      </c>
      <c r="AO2427" t="n">
        <v>0</v>
      </c>
      <c r="AP2427" t="inlineStr">
        <is>
          <t>No</t>
        </is>
      </c>
      <c r="AQ2427" t="inlineStr">
        <is>
          <t>Yes</t>
        </is>
      </c>
      <c r="AR2427">
        <f>HYPERLINK("http://catalog.hathitrust.org/Record/000140432","HathiTrust Record")</f>
        <v/>
      </c>
      <c r="AS2427">
        <f>HYPERLINK("https://creighton-primo.hosted.exlibrisgroup.com/primo-explore/search?tab=default_tab&amp;search_scope=EVERYTHING&amp;vid=01CRU&amp;lang=en_US&amp;offset=0&amp;query=any,contains,991004959989702656","Catalog Record")</f>
        <v/>
      </c>
      <c r="AT2427">
        <f>HYPERLINK("http://www.worldcat.org/oclc/6304300","WorldCat Record")</f>
        <v/>
      </c>
      <c r="AU2427" t="inlineStr">
        <is>
          <t>21900545:eng</t>
        </is>
      </c>
      <c r="AV2427" t="inlineStr">
        <is>
          <t>6304300</t>
        </is>
      </c>
      <c r="AW2427" t="inlineStr">
        <is>
          <t>991004959989702656</t>
        </is>
      </c>
      <c r="AX2427" t="inlineStr">
        <is>
          <t>991004959989702656</t>
        </is>
      </c>
      <c r="AY2427" t="inlineStr">
        <is>
          <t>2259185250002656</t>
        </is>
      </c>
      <c r="AZ2427" t="inlineStr">
        <is>
          <t>BOOK</t>
        </is>
      </c>
      <c r="BB2427" t="inlineStr">
        <is>
          <t>9780060654115</t>
        </is>
      </c>
      <c r="BC2427" t="inlineStr">
        <is>
          <t>32285000238666</t>
        </is>
      </c>
      <c r="BD2427" t="inlineStr">
        <is>
          <t>893236105</t>
        </is>
      </c>
    </row>
    <row r="2428">
      <c r="A2428" t="inlineStr">
        <is>
          <t>No</t>
        </is>
      </c>
      <c r="B2428" t="inlineStr">
        <is>
          <t>BX4705.M542 M39 1984</t>
        </is>
      </c>
      <c r="C2428" t="inlineStr">
        <is>
          <t>0                      BX 4705000M  542                M  39          1984</t>
        </is>
      </c>
      <c r="D2428" t="inlineStr">
        <is>
          <t>Merton, by those who knew him best / edited by Paul Wilkes.</t>
        </is>
      </c>
      <c r="F2428" t="inlineStr">
        <is>
          <t>No</t>
        </is>
      </c>
      <c r="G2428" t="inlineStr">
        <is>
          <t>1</t>
        </is>
      </c>
      <c r="H2428" t="inlineStr">
        <is>
          <t>No</t>
        </is>
      </c>
      <c r="I2428" t="inlineStr">
        <is>
          <t>No</t>
        </is>
      </c>
      <c r="J2428" t="inlineStr">
        <is>
          <t>0</t>
        </is>
      </c>
      <c r="L2428" t="inlineStr">
        <is>
          <t>San Francisco : Harper &amp; Row, c1984.</t>
        </is>
      </c>
      <c r="M2428" t="inlineStr">
        <is>
          <t>1984</t>
        </is>
      </c>
      <c r="N2428" t="inlineStr">
        <is>
          <t>1st ed.</t>
        </is>
      </c>
      <c r="O2428" t="inlineStr">
        <is>
          <t>eng</t>
        </is>
      </c>
      <c r="P2428" t="inlineStr">
        <is>
          <t>cau</t>
        </is>
      </c>
      <c r="R2428" t="inlineStr">
        <is>
          <t xml:space="preserve">BX </t>
        </is>
      </c>
      <c r="S2428" t="n">
        <v>5</v>
      </c>
      <c r="T2428" t="n">
        <v>5</v>
      </c>
      <c r="U2428" t="inlineStr">
        <is>
          <t>2005-11-22</t>
        </is>
      </c>
      <c r="V2428" t="inlineStr">
        <is>
          <t>2005-11-22</t>
        </is>
      </c>
      <c r="W2428" t="inlineStr">
        <is>
          <t>1992-03-30</t>
        </is>
      </c>
      <c r="X2428" t="inlineStr">
        <is>
          <t>1992-03-30</t>
        </is>
      </c>
      <c r="Y2428" t="n">
        <v>747</v>
      </c>
      <c r="Z2428" t="n">
        <v>695</v>
      </c>
      <c r="AA2428" t="n">
        <v>718</v>
      </c>
      <c r="AB2428" t="n">
        <v>6</v>
      </c>
      <c r="AC2428" t="n">
        <v>6</v>
      </c>
      <c r="AD2428" t="n">
        <v>30</v>
      </c>
      <c r="AE2428" t="n">
        <v>32</v>
      </c>
      <c r="AF2428" t="n">
        <v>10</v>
      </c>
      <c r="AG2428" t="n">
        <v>12</v>
      </c>
      <c r="AH2428" t="n">
        <v>10</v>
      </c>
      <c r="AI2428" t="n">
        <v>10</v>
      </c>
      <c r="AJ2428" t="n">
        <v>18</v>
      </c>
      <c r="AK2428" t="n">
        <v>18</v>
      </c>
      <c r="AL2428" t="n">
        <v>2</v>
      </c>
      <c r="AM2428" t="n">
        <v>2</v>
      </c>
      <c r="AN2428" t="n">
        <v>0</v>
      </c>
      <c r="AO2428" t="n">
        <v>0</v>
      </c>
      <c r="AP2428" t="inlineStr">
        <is>
          <t>No</t>
        </is>
      </c>
      <c r="AQ2428" t="inlineStr">
        <is>
          <t>Yes</t>
        </is>
      </c>
      <c r="AR2428">
        <f>HYPERLINK("http://catalog.hathitrust.org/Record/000363791","HathiTrust Record")</f>
        <v/>
      </c>
      <c r="AS2428">
        <f>HYPERLINK("https://creighton-primo.hosted.exlibrisgroup.com/primo-explore/search?tab=default_tab&amp;search_scope=EVERYTHING&amp;vid=01CRU&amp;lang=en_US&amp;offset=0&amp;query=any,contains,991000475309702656","Catalog Record")</f>
        <v/>
      </c>
      <c r="AT2428">
        <f>HYPERLINK("http://www.worldcat.org/oclc/11029419","WorldCat Record")</f>
        <v/>
      </c>
      <c r="AU2428" t="inlineStr">
        <is>
          <t>54655782:eng</t>
        </is>
      </c>
      <c r="AV2428" t="inlineStr">
        <is>
          <t>11029419</t>
        </is>
      </c>
      <c r="AW2428" t="inlineStr">
        <is>
          <t>991000475309702656</t>
        </is>
      </c>
      <c r="AX2428" t="inlineStr">
        <is>
          <t>991000475309702656</t>
        </is>
      </c>
      <c r="AY2428" t="inlineStr">
        <is>
          <t>2265969340002656</t>
        </is>
      </c>
      <c r="AZ2428" t="inlineStr">
        <is>
          <t>BOOK</t>
        </is>
      </c>
      <c r="BB2428" t="inlineStr">
        <is>
          <t>9780060694166</t>
        </is>
      </c>
      <c r="BC2428" t="inlineStr">
        <is>
          <t>32285001004471</t>
        </is>
      </c>
      <c r="BD2428" t="inlineStr">
        <is>
          <t>893243286</t>
        </is>
      </c>
    </row>
    <row r="2429">
      <c r="A2429" t="inlineStr">
        <is>
          <t>No</t>
        </is>
      </c>
      <c r="B2429" t="inlineStr">
        <is>
          <t>BX4705.M542 P33</t>
        </is>
      </c>
      <c r="C2429" t="inlineStr">
        <is>
          <t>0                      BX 4705000M  542                P  33</t>
        </is>
      </c>
      <c r="D2429" t="inlineStr">
        <is>
          <t>The human journey : Thomas Merton, symbol of a century / Anthony T. Padovano.</t>
        </is>
      </c>
      <c r="F2429" t="inlineStr">
        <is>
          <t>No</t>
        </is>
      </c>
      <c r="G2429" t="inlineStr">
        <is>
          <t>1</t>
        </is>
      </c>
      <c r="H2429" t="inlineStr">
        <is>
          <t>No</t>
        </is>
      </c>
      <c r="I2429" t="inlineStr">
        <is>
          <t>No</t>
        </is>
      </c>
      <c r="J2429" t="inlineStr">
        <is>
          <t>0</t>
        </is>
      </c>
      <c r="K2429" t="inlineStr">
        <is>
          <t>Padovano, Anthony T.</t>
        </is>
      </c>
      <c r="L2429" t="inlineStr">
        <is>
          <t>Garden City, N.Y. : Doubleday, 1982.</t>
        </is>
      </c>
      <c r="M2429" t="inlineStr">
        <is>
          <t>1982</t>
        </is>
      </c>
      <c r="N2429" t="inlineStr">
        <is>
          <t>1st ed.</t>
        </is>
      </c>
      <c r="O2429" t="inlineStr">
        <is>
          <t>eng</t>
        </is>
      </c>
      <c r="P2429" t="inlineStr">
        <is>
          <t>nyu</t>
        </is>
      </c>
      <c r="R2429" t="inlineStr">
        <is>
          <t xml:space="preserve">BX </t>
        </is>
      </c>
      <c r="S2429" t="n">
        <v>5</v>
      </c>
      <c r="T2429" t="n">
        <v>5</v>
      </c>
      <c r="U2429" t="inlineStr">
        <is>
          <t>1998-08-12</t>
        </is>
      </c>
      <c r="V2429" t="inlineStr">
        <is>
          <t>1998-08-12</t>
        </is>
      </c>
      <c r="W2429" t="inlineStr">
        <is>
          <t>1992-03-30</t>
        </is>
      </c>
      <c r="X2429" t="inlineStr">
        <is>
          <t>1992-03-30</t>
        </is>
      </c>
      <c r="Y2429" t="n">
        <v>631</v>
      </c>
      <c r="Z2429" t="n">
        <v>573</v>
      </c>
      <c r="AA2429" t="n">
        <v>608</v>
      </c>
      <c r="AB2429" t="n">
        <v>4</v>
      </c>
      <c r="AC2429" t="n">
        <v>4</v>
      </c>
      <c r="AD2429" t="n">
        <v>34</v>
      </c>
      <c r="AE2429" t="n">
        <v>34</v>
      </c>
      <c r="AF2429" t="n">
        <v>13</v>
      </c>
      <c r="AG2429" t="n">
        <v>13</v>
      </c>
      <c r="AH2429" t="n">
        <v>7</v>
      </c>
      <c r="AI2429" t="n">
        <v>7</v>
      </c>
      <c r="AJ2429" t="n">
        <v>23</v>
      </c>
      <c r="AK2429" t="n">
        <v>23</v>
      </c>
      <c r="AL2429" t="n">
        <v>3</v>
      </c>
      <c r="AM2429" t="n">
        <v>3</v>
      </c>
      <c r="AN2429" t="n">
        <v>0</v>
      </c>
      <c r="AO2429" t="n">
        <v>0</v>
      </c>
      <c r="AP2429" t="inlineStr">
        <is>
          <t>No</t>
        </is>
      </c>
      <c r="AQ2429" t="inlineStr">
        <is>
          <t>No</t>
        </is>
      </c>
      <c r="AS2429">
        <f>HYPERLINK("https://creighton-primo.hosted.exlibrisgroup.com/primo-explore/search?tab=default_tab&amp;search_scope=EVERYTHING&amp;vid=01CRU&amp;lang=en_US&amp;offset=0&amp;query=any,contains,991005144579702656","Catalog Record")</f>
        <v/>
      </c>
      <c r="AT2429">
        <f>HYPERLINK("http://www.worldcat.org/oclc/7653365","WorldCat Record")</f>
        <v/>
      </c>
      <c r="AU2429" t="inlineStr">
        <is>
          <t>3256216:eng</t>
        </is>
      </c>
      <c r="AV2429" t="inlineStr">
        <is>
          <t>7653365</t>
        </is>
      </c>
      <c r="AW2429" t="inlineStr">
        <is>
          <t>991005144579702656</t>
        </is>
      </c>
      <c r="AX2429" t="inlineStr">
        <is>
          <t>991005144579702656</t>
        </is>
      </c>
      <c r="AY2429" t="inlineStr">
        <is>
          <t>2258696790002656</t>
        </is>
      </c>
      <c r="AZ2429" t="inlineStr">
        <is>
          <t>BOOK</t>
        </is>
      </c>
      <c r="BB2429" t="inlineStr">
        <is>
          <t>9780385178792</t>
        </is>
      </c>
      <c r="BC2429" t="inlineStr">
        <is>
          <t>32285001004505</t>
        </is>
      </c>
      <c r="BD2429" t="inlineStr">
        <is>
          <t>893722796</t>
        </is>
      </c>
    </row>
    <row r="2430">
      <c r="A2430" t="inlineStr">
        <is>
          <t>No</t>
        </is>
      </c>
      <c r="B2430" t="inlineStr">
        <is>
          <t>BX4705.M542 P458 1988</t>
        </is>
      </c>
      <c r="C2430" t="inlineStr">
        <is>
          <t>0                      BX 4705000M  542                P  458         1988</t>
        </is>
      </c>
      <c r="D2430" t="inlineStr">
        <is>
          <t>A retreat with Thomas Merton / M. Basil Pennington.</t>
        </is>
      </c>
      <c r="F2430" t="inlineStr">
        <is>
          <t>No</t>
        </is>
      </c>
      <c r="G2430" t="inlineStr">
        <is>
          <t>1</t>
        </is>
      </c>
      <c r="H2430" t="inlineStr">
        <is>
          <t>No</t>
        </is>
      </c>
      <c r="I2430" t="inlineStr">
        <is>
          <t>Yes</t>
        </is>
      </c>
      <c r="J2430" t="inlineStr">
        <is>
          <t>0</t>
        </is>
      </c>
      <c r="K2430" t="inlineStr">
        <is>
          <t>Pennington, M. Basil.</t>
        </is>
      </c>
      <c r="L2430" t="inlineStr">
        <is>
          <t>Warwick, N.Y. : Amity House, c1988.</t>
        </is>
      </c>
      <c r="M2430" t="inlineStr">
        <is>
          <t>1988</t>
        </is>
      </c>
      <c r="O2430" t="inlineStr">
        <is>
          <t>eng</t>
        </is>
      </c>
      <c r="P2430" t="inlineStr">
        <is>
          <t>nyu</t>
        </is>
      </c>
      <c r="R2430" t="inlineStr">
        <is>
          <t xml:space="preserve">BX </t>
        </is>
      </c>
      <c r="S2430" t="n">
        <v>5</v>
      </c>
      <c r="T2430" t="n">
        <v>5</v>
      </c>
      <c r="U2430" t="inlineStr">
        <is>
          <t>1993-04-08</t>
        </is>
      </c>
      <c r="V2430" t="inlineStr">
        <is>
          <t>1993-04-08</t>
        </is>
      </c>
      <c r="W2430" t="inlineStr">
        <is>
          <t>1992-03-30</t>
        </is>
      </c>
      <c r="X2430" t="inlineStr">
        <is>
          <t>1992-03-30</t>
        </is>
      </c>
      <c r="Y2430" t="n">
        <v>90</v>
      </c>
      <c r="Z2430" t="n">
        <v>77</v>
      </c>
      <c r="AA2430" t="n">
        <v>187</v>
      </c>
      <c r="AB2430" t="n">
        <v>2</v>
      </c>
      <c r="AC2430" t="n">
        <v>2</v>
      </c>
      <c r="AD2430" t="n">
        <v>10</v>
      </c>
      <c r="AE2430" t="n">
        <v>16</v>
      </c>
      <c r="AF2430" t="n">
        <v>4</v>
      </c>
      <c r="AG2430" t="n">
        <v>6</v>
      </c>
      <c r="AH2430" t="n">
        <v>1</v>
      </c>
      <c r="AI2430" t="n">
        <v>3</v>
      </c>
      <c r="AJ2430" t="n">
        <v>8</v>
      </c>
      <c r="AK2430" t="n">
        <v>10</v>
      </c>
      <c r="AL2430" t="n">
        <v>0</v>
      </c>
      <c r="AM2430" t="n">
        <v>0</v>
      </c>
      <c r="AN2430" t="n">
        <v>0</v>
      </c>
      <c r="AO2430" t="n">
        <v>0</v>
      </c>
      <c r="AP2430" t="inlineStr">
        <is>
          <t>No</t>
        </is>
      </c>
      <c r="AQ2430" t="inlineStr">
        <is>
          <t>No</t>
        </is>
      </c>
      <c r="AS2430">
        <f>HYPERLINK("https://creighton-primo.hosted.exlibrisgroup.com/primo-explore/search?tab=default_tab&amp;search_scope=EVERYTHING&amp;vid=01CRU&amp;lang=en_US&amp;offset=0&amp;query=any,contains,991001258359702656","Catalog Record")</f>
        <v/>
      </c>
      <c r="AT2430">
        <f>HYPERLINK("http://www.worldcat.org/oclc/17754108","WorldCat Record")</f>
        <v/>
      </c>
      <c r="AU2430" t="inlineStr">
        <is>
          <t>1809324461:eng</t>
        </is>
      </c>
      <c r="AV2430" t="inlineStr">
        <is>
          <t>17754108</t>
        </is>
      </c>
      <c r="AW2430" t="inlineStr">
        <is>
          <t>991001258359702656</t>
        </is>
      </c>
      <c r="AX2430" t="inlineStr">
        <is>
          <t>991001258359702656</t>
        </is>
      </c>
      <c r="AY2430" t="inlineStr">
        <is>
          <t>2256076280002656</t>
        </is>
      </c>
      <c r="AZ2430" t="inlineStr">
        <is>
          <t>BOOK</t>
        </is>
      </c>
      <c r="BB2430" t="inlineStr">
        <is>
          <t>9780916349233</t>
        </is>
      </c>
      <c r="BC2430" t="inlineStr">
        <is>
          <t>32285001004513</t>
        </is>
      </c>
      <c r="BD2430" t="inlineStr">
        <is>
          <t>893590156</t>
        </is>
      </c>
    </row>
    <row r="2431">
      <c r="A2431" t="inlineStr">
        <is>
          <t>No</t>
        </is>
      </c>
      <c r="B2431" t="inlineStr">
        <is>
          <t>BX4705.M542 P46 1987</t>
        </is>
      </c>
      <c r="C2431" t="inlineStr">
        <is>
          <t>0                      BX 4705000M  542                P  46          1987</t>
        </is>
      </c>
      <c r="D2431" t="inlineStr">
        <is>
          <t>Thomas Merton, brother monk : the quest for true freedom / M. Basil Pennington.</t>
        </is>
      </c>
      <c r="F2431" t="inlineStr">
        <is>
          <t>No</t>
        </is>
      </c>
      <c r="G2431" t="inlineStr">
        <is>
          <t>1</t>
        </is>
      </c>
      <c r="H2431" t="inlineStr">
        <is>
          <t>No</t>
        </is>
      </c>
      <c r="I2431" t="inlineStr">
        <is>
          <t>No</t>
        </is>
      </c>
      <c r="J2431" t="inlineStr">
        <is>
          <t>0</t>
        </is>
      </c>
      <c r="K2431" t="inlineStr">
        <is>
          <t>Pennington, M. Basil.</t>
        </is>
      </c>
      <c r="L2431" t="inlineStr">
        <is>
          <t>San Francisco : Harper &amp; Row, 1987.</t>
        </is>
      </c>
      <c r="M2431" t="inlineStr">
        <is>
          <t>1987</t>
        </is>
      </c>
      <c r="O2431" t="inlineStr">
        <is>
          <t>eng</t>
        </is>
      </c>
      <c r="P2431" t="inlineStr">
        <is>
          <t>cau</t>
        </is>
      </c>
      <c r="R2431" t="inlineStr">
        <is>
          <t xml:space="preserve">BX </t>
        </is>
      </c>
      <c r="S2431" t="n">
        <v>2</v>
      </c>
      <c r="T2431" t="n">
        <v>2</v>
      </c>
      <c r="U2431" t="inlineStr">
        <is>
          <t>2000-10-31</t>
        </is>
      </c>
      <c r="V2431" t="inlineStr">
        <is>
          <t>2000-10-31</t>
        </is>
      </c>
      <c r="W2431" t="inlineStr">
        <is>
          <t>1992-03-30</t>
        </is>
      </c>
      <c r="X2431" t="inlineStr">
        <is>
          <t>1992-03-30</t>
        </is>
      </c>
      <c r="Y2431" t="n">
        <v>797</v>
      </c>
      <c r="Z2431" t="n">
        <v>733</v>
      </c>
      <c r="AA2431" t="n">
        <v>797</v>
      </c>
      <c r="AB2431" t="n">
        <v>4</v>
      </c>
      <c r="AC2431" t="n">
        <v>5</v>
      </c>
      <c r="AD2431" t="n">
        <v>33</v>
      </c>
      <c r="AE2431" t="n">
        <v>38</v>
      </c>
      <c r="AF2431" t="n">
        <v>10</v>
      </c>
      <c r="AG2431" t="n">
        <v>14</v>
      </c>
      <c r="AH2431" t="n">
        <v>9</v>
      </c>
      <c r="AI2431" t="n">
        <v>9</v>
      </c>
      <c r="AJ2431" t="n">
        <v>21</v>
      </c>
      <c r="AK2431" t="n">
        <v>23</v>
      </c>
      <c r="AL2431" t="n">
        <v>2</v>
      </c>
      <c r="AM2431" t="n">
        <v>2</v>
      </c>
      <c r="AN2431" t="n">
        <v>0</v>
      </c>
      <c r="AO2431" t="n">
        <v>0</v>
      </c>
      <c r="AP2431" t="inlineStr">
        <is>
          <t>No</t>
        </is>
      </c>
      <c r="AQ2431" t="inlineStr">
        <is>
          <t>Yes</t>
        </is>
      </c>
      <c r="AR2431">
        <f>HYPERLINK("http://catalog.hathitrust.org/Record/000853846","HathiTrust Record")</f>
        <v/>
      </c>
      <c r="AS2431">
        <f>HYPERLINK("https://creighton-primo.hosted.exlibrisgroup.com/primo-explore/search?tab=default_tab&amp;search_scope=EVERYTHING&amp;vid=01CRU&amp;lang=en_US&amp;offset=0&amp;query=any,contains,991001026709702656","Catalog Record")</f>
        <v/>
      </c>
      <c r="AT2431">
        <f>HYPERLINK("http://www.worldcat.org/oclc/15486537","WorldCat Record")</f>
        <v/>
      </c>
      <c r="AU2431" t="inlineStr">
        <is>
          <t>629521:eng</t>
        </is>
      </c>
      <c r="AV2431" t="inlineStr">
        <is>
          <t>15486537</t>
        </is>
      </c>
      <c r="AW2431" t="inlineStr">
        <is>
          <t>991001026709702656</t>
        </is>
      </c>
      <c r="AX2431" t="inlineStr">
        <is>
          <t>991001026709702656</t>
        </is>
      </c>
      <c r="AY2431" t="inlineStr">
        <is>
          <t>2272093510002656</t>
        </is>
      </c>
      <c r="AZ2431" t="inlineStr">
        <is>
          <t>BOOK</t>
        </is>
      </c>
      <c r="BB2431" t="inlineStr">
        <is>
          <t>9780060664978</t>
        </is>
      </c>
      <c r="BC2431" t="inlineStr">
        <is>
          <t>32285001004521</t>
        </is>
      </c>
      <c r="BD2431" t="inlineStr">
        <is>
          <t>893346179</t>
        </is>
      </c>
    </row>
    <row r="2432">
      <c r="A2432" t="inlineStr">
        <is>
          <t>No</t>
        </is>
      </c>
      <c r="B2432" t="inlineStr">
        <is>
          <t>BX4705.M542 R5</t>
        </is>
      </c>
      <c r="C2432" t="inlineStr">
        <is>
          <t>0                      BX 4705000M  542                R  5</t>
        </is>
      </c>
      <c r="D2432" t="inlineStr">
        <is>
          <t>The man in the sycamore tree : the good times and hard life of Thomas Merton / an entertainment, with photos., by Edward Rice.</t>
        </is>
      </c>
      <c r="F2432" t="inlineStr">
        <is>
          <t>No</t>
        </is>
      </c>
      <c r="G2432" t="inlineStr">
        <is>
          <t>1</t>
        </is>
      </c>
      <c r="H2432" t="inlineStr">
        <is>
          <t>No</t>
        </is>
      </c>
      <c r="I2432" t="inlineStr">
        <is>
          <t>No</t>
        </is>
      </c>
      <c r="J2432" t="inlineStr">
        <is>
          <t>0</t>
        </is>
      </c>
      <c r="K2432" t="inlineStr">
        <is>
          <t>Rice, Edward.</t>
        </is>
      </c>
      <c r="L2432" t="inlineStr">
        <is>
          <t>Garden City, N.Y. : Doubleday, 1970.</t>
        </is>
      </c>
      <c r="M2432" t="inlineStr">
        <is>
          <t>1970</t>
        </is>
      </c>
      <c r="N2432" t="inlineStr">
        <is>
          <t>[1st ed.]</t>
        </is>
      </c>
      <c r="O2432" t="inlineStr">
        <is>
          <t>eng</t>
        </is>
      </c>
      <c r="P2432" t="inlineStr">
        <is>
          <t>nyu</t>
        </is>
      </c>
      <c r="R2432" t="inlineStr">
        <is>
          <t xml:space="preserve">BX </t>
        </is>
      </c>
      <c r="S2432" t="n">
        <v>4</v>
      </c>
      <c r="T2432" t="n">
        <v>4</v>
      </c>
      <c r="U2432" t="inlineStr">
        <is>
          <t>2000-10-31</t>
        </is>
      </c>
      <c r="V2432" t="inlineStr">
        <is>
          <t>2000-10-31</t>
        </is>
      </c>
      <c r="W2432" t="inlineStr">
        <is>
          <t>1992-03-30</t>
        </is>
      </c>
      <c r="X2432" t="inlineStr">
        <is>
          <t>1992-03-30</t>
        </is>
      </c>
      <c r="Y2432" t="n">
        <v>797</v>
      </c>
      <c r="Z2432" t="n">
        <v>750</v>
      </c>
      <c r="AA2432" t="n">
        <v>856</v>
      </c>
      <c r="AB2432" t="n">
        <v>5</v>
      </c>
      <c r="AC2432" t="n">
        <v>6</v>
      </c>
      <c r="AD2432" t="n">
        <v>32</v>
      </c>
      <c r="AE2432" t="n">
        <v>38</v>
      </c>
      <c r="AF2432" t="n">
        <v>12</v>
      </c>
      <c r="AG2432" t="n">
        <v>12</v>
      </c>
      <c r="AH2432" t="n">
        <v>8</v>
      </c>
      <c r="AI2432" t="n">
        <v>10</v>
      </c>
      <c r="AJ2432" t="n">
        <v>20</v>
      </c>
      <c r="AK2432" t="n">
        <v>24</v>
      </c>
      <c r="AL2432" t="n">
        <v>3</v>
      </c>
      <c r="AM2432" t="n">
        <v>4</v>
      </c>
      <c r="AN2432" t="n">
        <v>0</v>
      </c>
      <c r="AO2432" t="n">
        <v>0</v>
      </c>
      <c r="AP2432" t="inlineStr">
        <is>
          <t>No</t>
        </is>
      </c>
      <c r="AQ2432" t="inlineStr">
        <is>
          <t>Yes</t>
        </is>
      </c>
      <c r="AR2432">
        <f>HYPERLINK("http://catalog.hathitrust.org/Record/001592083","HathiTrust Record")</f>
        <v/>
      </c>
      <c r="AS2432">
        <f>HYPERLINK("https://creighton-primo.hosted.exlibrisgroup.com/primo-explore/search?tab=default_tab&amp;search_scope=EVERYTHING&amp;vid=01CRU&amp;lang=en_US&amp;offset=0&amp;query=any,contains,991000627699702656","Catalog Record")</f>
        <v/>
      </c>
      <c r="AT2432">
        <f>HYPERLINK("http://www.worldcat.org/oclc/104866","WorldCat Record")</f>
        <v/>
      </c>
      <c r="AU2432" t="inlineStr">
        <is>
          <t>1183982:eng</t>
        </is>
      </c>
      <c r="AV2432" t="inlineStr">
        <is>
          <t>104866</t>
        </is>
      </c>
      <c r="AW2432" t="inlineStr">
        <is>
          <t>991000627699702656</t>
        </is>
      </c>
      <c r="AX2432" t="inlineStr">
        <is>
          <t>991000627699702656</t>
        </is>
      </c>
      <c r="AY2432" t="inlineStr">
        <is>
          <t>2260879530002656</t>
        </is>
      </c>
      <c r="AZ2432" t="inlineStr">
        <is>
          <t>BOOK</t>
        </is>
      </c>
      <c r="BC2432" t="inlineStr">
        <is>
          <t>32285001004539</t>
        </is>
      </c>
      <c r="BD2432" t="inlineStr">
        <is>
          <t>893413531</t>
        </is>
      </c>
    </row>
    <row r="2433">
      <c r="A2433" t="inlineStr">
        <is>
          <t>No</t>
        </is>
      </c>
      <c r="B2433" t="inlineStr">
        <is>
          <t>BX4705.M542 S48 1992</t>
        </is>
      </c>
      <c r="C2433" t="inlineStr">
        <is>
          <t>0                      BX 4705000M  542                S  48          1992</t>
        </is>
      </c>
      <c r="D2433" t="inlineStr">
        <is>
          <t>Silent lamp : the Thomas Merton story / William H. Shannon.</t>
        </is>
      </c>
      <c r="F2433" t="inlineStr">
        <is>
          <t>No</t>
        </is>
      </c>
      <c r="G2433" t="inlineStr">
        <is>
          <t>1</t>
        </is>
      </c>
      <c r="H2433" t="inlineStr">
        <is>
          <t>No</t>
        </is>
      </c>
      <c r="I2433" t="inlineStr">
        <is>
          <t>No</t>
        </is>
      </c>
      <c r="J2433" t="inlineStr">
        <is>
          <t>0</t>
        </is>
      </c>
      <c r="K2433" t="inlineStr">
        <is>
          <t>Shannon, William H. (William Henry), 1917-2012.</t>
        </is>
      </c>
      <c r="L2433" t="inlineStr">
        <is>
          <t>New York : Crossroad, 1992.</t>
        </is>
      </c>
      <c r="M2433" t="inlineStr">
        <is>
          <t>1992</t>
        </is>
      </c>
      <c r="O2433" t="inlineStr">
        <is>
          <t>eng</t>
        </is>
      </c>
      <c r="P2433" t="inlineStr">
        <is>
          <t>nyu</t>
        </is>
      </c>
      <c r="R2433" t="inlineStr">
        <is>
          <t xml:space="preserve">BX </t>
        </is>
      </c>
      <c r="S2433" t="n">
        <v>9</v>
      </c>
      <c r="T2433" t="n">
        <v>9</v>
      </c>
      <c r="U2433" t="inlineStr">
        <is>
          <t>2009-03-01</t>
        </is>
      </c>
      <c r="V2433" t="inlineStr">
        <is>
          <t>2009-03-01</t>
        </is>
      </c>
      <c r="W2433" t="inlineStr">
        <is>
          <t>1992-09-09</t>
        </is>
      </c>
      <c r="X2433" t="inlineStr">
        <is>
          <t>1992-09-09</t>
        </is>
      </c>
      <c r="Y2433" t="n">
        <v>595</v>
      </c>
      <c r="Z2433" t="n">
        <v>539</v>
      </c>
      <c r="AA2433" t="n">
        <v>575</v>
      </c>
      <c r="AB2433" t="n">
        <v>3</v>
      </c>
      <c r="AC2433" t="n">
        <v>3</v>
      </c>
      <c r="AD2433" t="n">
        <v>32</v>
      </c>
      <c r="AE2433" t="n">
        <v>32</v>
      </c>
      <c r="AF2433" t="n">
        <v>11</v>
      </c>
      <c r="AG2433" t="n">
        <v>11</v>
      </c>
      <c r="AH2433" t="n">
        <v>6</v>
      </c>
      <c r="AI2433" t="n">
        <v>6</v>
      </c>
      <c r="AJ2433" t="n">
        <v>22</v>
      </c>
      <c r="AK2433" t="n">
        <v>22</v>
      </c>
      <c r="AL2433" t="n">
        <v>2</v>
      </c>
      <c r="AM2433" t="n">
        <v>2</v>
      </c>
      <c r="AN2433" t="n">
        <v>0</v>
      </c>
      <c r="AO2433" t="n">
        <v>0</v>
      </c>
      <c r="AP2433" t="inlineStr">
        <is>
          <t>No</t>
        </is>
      </c>
      <c r="AQ2433" t="inlineStr">
        <is>
          <t>Yes</t>
        </is>
      </c>
      <c r="AR2433">
        <f>HYPERLINK("http://catalog.hathitrust.org/Record/002574912","HathiTrust Record")</f>
        <v/>
      </c>
      <c r="AS2433">
        <f>HYPERLINK("https://creighton-primo.hosted.exlibrisgroup.com/primo-explore/search?tab=default_tab&amp;search_scope=EVERYTHING&amp;vid=01CRU&amp;lang=en_US&amp;offset=0&amp;query=any,contains,991001967329702656","Catalog Record")</f>
        <v/>
      </c>
      <c r="AT2433">
        <f>HYPERLINK("http://www.worldcat.org/oclc/24952223","WorldCat Record")</f>
        <v/>
      </c>
      <c r="AU2433" t="inlineStr">
        <is>
          <t>26241866:eng</t>
        </is>
      </c>
      <c r="AV2433" t="inlineStr">
        <is>
          <t>24952223</t>
        </is>
      </c>
      <c r="AW2433" t="inlineStr">
        <is>
          <t>991001967329702656</t>
        </is>
      </c>
      <c r="AX2433" t="inlineStr">
        <is>
          <t>991001967329702656</t>
        </is>
      </c>
      <c r="AY2433" t="inlineStr">
        <is>
          <t>2267194870002656</t>
        </is>
      </c>
      <c r="AZ2433" t="inlineStr">
        <is>
          <t>BOOK</t>
        </is>
      </c>
      <c r="BB2433" t="inlineStr">
        <is>
          <t>9780824511661</t>
        </is>
      </c>
      <c r="BC2433" t="inlineStr">
        <is>
          <t>32285001286565</t>
        </is>
      </c>
      <c r="BD2433" t="inlineStr">
        <is>
          <t>893226279</t>
        </is>
      </c>
    </row>
    <row r="2434">
      <c r="A2434" t="inlineStr">
        <is>
          <t>No</t>
        </is>
      </c>
      <c r="B2434" t="inlineStr">
        <is>
          <t>BX4705.M542 S9 1980</t>
        </is>
      </c>
      <c r="C2434" t="inlineStr">
        <is>
          <t>0                      BX 4705000M  542                S  9           1980</t>
        </is>
      </c>
      <c r="D2434" t="inlineStr">
        <is>
          <t>Thomas Merton / Cornelia &amp; Irving Sussman.</t>
        </is>
      </c>
      <c r="F2434" t="inlineStr">
        <is>
          <t>No</t>
        </is>
      </c>
      <c r="G2434" t="inlineStr">
        <is>
          <t>1</t>
        </is>
      </c>
      <c r="H2434" t="inlineStr">
        <is>
          <t>No</t>
        </is>
      </c>
      <c r="I2434" t="inlineStr">
        <is>
          <t>No</t>
        </is>
      </c>
      <c r="J2434" t="inlineStr">
        <is>
          <t>0</t>
        </is>
      </c>
      <c r="K2434" t="inlineStr">
        <is>
          <t>Sussman, Cornelia, 1914-</t>
        </is>
      </c>
      <c r="L2434" t="inlineStr">
        <is>
          <t>Garden City, N.Y. : Image Books, 1980.</t>
        </is>
      </c>
      <c r="M2434" t="inlineStr">
        <is>
          <t>1980</t>
        </is>
      </c>
      <c r="N2434" t="inlineStr">
        <is>
          <t>Rev. ed.</t>
        </is>
      </c>
      <c r="O2434" t="inlineStr">
        <is>
          <t>eng</t>
        </is>
      </c>
      <c r="P2434" t="inlineStr">
        <is>
          <t>nyu</t>
        </is>
      </c>
      <c r="R2434" t="inlineStr">
        <is>
          <t xml:space="preserve">BX </t>
        </is>
      </c>
      <c r="S2434" t="n">
        <v>1</v>
      </c>
      <c r="T2434" t="n">
        <v>1</v>
      </c>
      <c r="U2434" t="inlineStr">
        <is>
          <t>2005-11-22</t>
        </is>
      </c>
      <c r="V2434" t="inlineStr">
        <is>
          <t>2005-11-22</t>
        </is>
      </c>
      <c r="W2434" t="inlineStr">
        <is>
          <t>1991-12-11</t>
        </is>
      </c>
      <c r="X2434" t="inlineStr">
        <is>
          <t>1991-12-11</t>
        </is>
      </c>
      <c r="Y2434" t="n">
        <v>133</v>
      </c>
      <c r="Z2434" t="n">
        <v>122</v>
      </c>
      <c r="AA2434" t="n">
        <v>441</v>
      </c>
      <c r="AB2434" t="n">
        <v>1</v>
      </c>
      <c r="AC2434" t="n">
        <v>4</v>
      </c>
      <c r="AD2434" t="n">
        <v>9</v>
      </c>
      <c r="AE2434" t="n">
        <v>17</v>
      </c>
      <c r="AF2434" t="n">
        <v>3</v>
      </c>
      <c r="AG2434" t="n">
        <v>6</v>
      </c>
      <c r="AH2434" t="n">
        <v>3</v>
      </c>
      <c r="AI2434" t="n">
        <v>5</v>
      </c>
      <c r="AJ2434" t="n">
        <v>6</v>
      </c>
      <c r="AK2434" t="n">
        <v>11</v>
      </c>
      <c r="AL2434" t="n">
        <v>0</v>
      </c>
      <c r="AM2434" t="n">
        <v>0</v>
      </c>
      <c r="AN2434" t="n">
        <v>0</v>
      </c>
      <c r="AO2434" t="n">
        <v>0</v>
      </c>
      <c r="AP2434" t="inlineStr">
        <is>
          <t>No</t>
        </is>
      </c>
      <c r="AQ2434" t="inlineStr">
        <is>
          <t>No</t>
        </is>
      </c>
      <c r="AS2434">
        <f>HYPERLINK("https://creighton-primo.hosted.exlibrisgroup.com/primo-explore/search?tab=default_tab&amp;search_scope=EVERYTHING&amp;vid=01CRU&amp;lang=en_US&amp;offset=0&amp;query=any,contains,991005073149702656","Catalog Record")</f>
        <v/>
      </c>
      <c r="AT2434">
        <f>HYPERLINK("http://www.worldcat.org/oclc/7064837","WorldCat Record")</f>
        <v/>
      </c>
      <c r="AU2434" t="inlineStr">
        <is>
          <t>358460868:eng</t>
        </is>
      </c>
      <c r="AV2434" t="inlineStr">
        <is>
          <t>7064837</t>
        </is>
      </c>
      <c r="AW2434" t="inlineStr">
        <is>
          <t>991005073149702656</t>
        </is>
      </c>
      <c r="AX2434" t="inlineStr">
        <is>
          <t>991005073149702656</t>
        </is>
      </c>
      <c r="AY2434" t="inlineStr">
        <is>
          <t>2266689610002656</t>
        </is>
      </c>
      <c r="AZ2434" t="inlineStr">
        <is>
          <t>BOOK</t>
        </is>
      </c>
      <c r="BB2434" t="inlineStr">
        <is>
          <t>9780385171724</t>
        </is>
      </c>
      <c r="BC2434" t="inlineStr">
        <is>
          <t>32285000890318</t>
        </is>
      </c>
      <c r="BD2434" t="inlineStr">
        <is>
          <t>893412270</t>
        </is>
      </c>
    </row>
    <row r="2435">
      <c r="A2435" t="inlineStr">
        <is>
          <t>No</t>
        </is>
      </c>
      <c r="B2435" t="inlineStr">
        <is>
          <t>BX4705.M542 T49</t>
        </is>
      </c>
      <c r="C2435" t="inlineStr">
        <is>
          <t>0                      BX 4705000M  542                T  49</t>
        </is>
      </c>
      <c r="D2435" t="inlineStr">
        <is>
          <t>Thomas Merton, prophet in the belly of a paradox / edited by Gerald Twomey.</t>
        </is>
      </c>
      <c r="F2435" t="inlineStr">
        <is>
          <t>No</t>
        </is>
      </c>
      <c r="G2435" t="inlineStr">
        <is>
          <t>1</t>
        </is>
      </c>
      <c r="H2435" t="inlineStr">
        <is>
          <t>No</t>
        </is>
      </c>
      <c r="I2435" t="inlineStr">
        <is>
          <t>No</t>
        </is>
      </c>
      <c r="J2435" t="inlineStr">
        <is>
          <t>0</t>
        </is>
      </c>
      <c r="L2435" t="inlineStr">
        <is>
          <t>New York : Paulist Press, c1978.</t>
        </is>
      </c>
      <c r="M2435" t="inlineStr">
        <is>
          <t>1978</t>
        </is>
      </c>
      <c r="O2435" t="inlineStr">
        <is>
          <t>eng</t>
        </is>
      </c>
      <c r="P2435" t="inlineStr">
        <is>
          <t>nyu</t>
        </is>
      </c>
      <c r="R2435" t="inlineStr">
        <is>
          <t xml:space="preserve">BX </t>
        </is>
      </c>
      <c r="S2435" t="n">
        <v>1</v>
      </c>
      <c r="T2435" t="n">
        <v>1</v>
      </c>
      <c r="U2435" t="inlineStr">
        <is>
          <t>2000-10-31</t>
        </is>
      </c>
      <c r="V2435" t="inlineStr">
        <is>
          <t>2000-10-31</t>
        </is>
      </c>
      <c r="W2435" t="inlineStr">
        <is>
          <t>1990-08-08</t>
        </is>
      </c>
      <c r="X2435" t="inlineStr">
        <is>
          <t>1990-08-08</t>
        </is>
      </c>
      <c r="Y2435" t="n">
        <v>594</v>
      </c>
      <c r="Z2435" t="n">
        <v>538</v>
      </c>
      <c r="AA2435" t="n">
        <v>545</v>
      </c>
      <c r="AB2435" t="n">
        <v>2</v>
      </c>
      <c r="AC2435" t="n">
        <v>2</v>
      </c>
      <c r="AD2435" t="n">
        <v>36</v>
      </c>
      <c r="AE2435" t="n">
        <v>36</v>
      </c>
      <c r="AF2435" t="n">
        <v>16</v>
      </c>
      <c r="AG2435" t="n">
        <v>16</v>
      </c>
      <c r="AH2435" t="n">
        <v>7</v>
      </c>
      <c r="AI2435" t="n">
        <v>7</v>
      </c>
      <c r="AJ2435" t="n">
        <v>21</v>
      </c>
      <c r="AK2435" t="n">
        <v>21</v>
      </c>
      <c r="AL2435" t="n">
        <v>1</v>
      </c>
      <c r="AM2435" t="n">
        <v>1</v>
      </c>
      <c r="AN2435" t="n">
        <v>0</v>
      </c>
      <c r="AO2435" t="n">
        <v>0</v>
      </c>
      <c r="AP2435" t="inlineStr">
        <is>
          <t>No</t>
        </is>
      </c>
      <c r="AQ2435" t="inlineStr">
        <is>
          <t>Yes</t>
        </is>
      </c>
      <c r="AR2435">
        <f>HYPERLINK("http://catalog.hathitrust.org/Record/000299068","HathiTrust Record")</f>
        <v/>
      </c>
      <c r="AS2435">
        <f>HYPERLINK("https://creighton-primo.hosted.exlibrisgroup.com/primo-explore/search?tab=default_tab&amp;search_scope=EVERYTHING&amp;vid=01CRU&amp;lang=en_US&amp;offset=0&amp;query=any,contains,991004731139702656","Catalog Record")</f>
        <v/>
      </c>
      <c r="AT2435">
        <f>HYPERLINK("http://www.worldcat.org/oclc/4834690","WorldCat Record")</f>
        <v/>
      </c>
      <c r="AU2435" t="inlineStr">
        <is>
          <t>15069378:eng</t>
        </is>
      </c>
      <c r="AV2435" t="inlineStr">
        <is>
          <t>4834690</t>
        </is>
      </c>
      <c r="AW2435" t="inlineStr">
        <is>
          <t>991004731139702656</t>
        </is>
      </c>
      <c r="AX2435" t="inlineStr">
        <is>
          <t>991004731139702656</t>
        </is>
      </c>
      <c r="AY2435" t="inlineStr">
        <is>
          <t>2267768380002656</t>
        </is>
      </c>
      <c r="AZ2435" t="inlineStr">
        <is>
          <t>BOOK</t>
        </is>
      </c>
      <c r="BB2435" t="inlineStr">
        <is>
          <t>9780809102686</t>
        </is>
      </c>
      <c r="BC2435" t="inlineStr">
        <is>
          <t>32285000270875</t>
        </is>
      </c>
      <c r="BD2435" t="inlineStr">
        <is>
          <t>893331979</t>
        </is>
      </c>
    </row>
    <row r="2436">
      <c r="A2436" t="inlineStr">
        <is>
          <t>No</t>
        </is>
      </c>
      <c r="B2436" t="inlineStr">
        <is>
          <t>BX4705.M5512 F73 1988</t>
        </is>
      </c>
      <c r="C2436" t="inlineStr">
        <is>
          <t>0                      BX 4705000M  5512               F  73          1988</t>
        </is>
      </c>
      <c r="D2436" t="inlineStr">
        <is>
          <t>Virgil Michel : American Catholic / R.W. Franklin, Robert L. Spaeth.</t>
        </is>
      </c>
      <c r="F2436" t="inlineStr">
        <is>
          <t>No</t>
        </is>
      </c>
      <c r="G2436" t="inlineStr">
        <is>
          <t>1</t>
        </is>
      </c>
      <c r="H2436" t="inlineStr">
        <is>
          <t>No</t>
        </is>
      </c>
      <c r="I2436" t="inlineStr">
        <is>
          <t>No</t>
        </is>
      </c>
      <c r="J2436" t="inlineStr">
        <is>
          <t>0</t>
        </is>
      </c>
      <c r="K2436" t="inlineStr">
        <is>
          <t>Franklin, R. W., 1947-</t>
        </is>
      </c>
      <c r="L2436" t="inlineStr">
        <is>
          <t>Collegeville, Minn. : Liturgical Press, c1988.</t>
        </is>
      </c>
      <c r="M2436" t="inlineStr">
        <is>
          <t>1988</t>
        </is>
      </c>
      <c r="O2436" t="inlineStr">
        <is>
          <t>eng</t>
        </is>
      </c>
      <c r="P2436" t="inlineStr">
        <is>
          <t>mnu</t>
        </is>
      </c>
      <c r="R2436" t="inlineStr">
        <is>
          <t xml:space="preserve">BX </t>
        </is>
      </c>
      <c r="S2436" t="n">
        <v>1</v>
      </c>
      <c r="T2436" t="n">
        <v>1</v>
      </c>
      <c r="U2436" t="inlineStr">
        <is>
          <t>2008-03-10</t>
        </is>
      </c>
      <c r="V2436" t="inlineStr">
        <is>
          <t>2008-03-10</t>
        </is>
      </c>
      <c r="W2436" t="inlineStr">
        <is>
          <t>1992-03-30</t>
        </is>
      </c>
      <c r="X2436" t="inlineStr">
        <is>
          <t>1992-03-30</t>
        </is>
      </c>
      <c r="Y2436" t="n">
        <v>118</v>
      </c>
      <c r="Z2436" t="n">
        <v>107</v>
      </c>
      <c r="AA2436" t="n">
        <v>107</v>
      </c>
      <c r="AB2436" t="n">
        <v>2</v>
      </c>
      <c r="AC2436" t="n">
        <v>2</v>
      </c>
      <c r="AD2436" t="n">
        <v>12</v>
      </c>
      <c r="AE2436" t="n">
        <v>12</v>
      </c>
      <c r="AF2436" t="n">
        <v>3</v>
      </c>
      <c r="AG2436" t="n">
        <v>3</v>
      </c>
      <c r="AH2436" t="n">
        <v>5</v>
      </c>
      <c r="AI2436" t="n">
        <v>5</v>
      </c>
      <c r="AJ2436" t="n">
        <v>8</v>
      </c>
      <c r="AK2436" t="n">
        <v>8</v>
      </c>
      <c r="AL2436" t="n">
        <v>0</v>
      </c>
      <c r="AM2436" t="n">
        <v>0</v>
      </c>
      <c r="AN2436" t="n">
        <v>0</v>
      </c>
      <c r="AO2436" t="n">
        <v>0</v>
      </c>
      <c r="AP2436" t="inlineStr">
        <is>
          <t>No</t>
        </is>
      </c>
      <c r="AQ2436" t="inlineStr">
        <is>
          <t>No</t>
        </is>
      </c>
      <c r="AS2436">
        <f>HYPERLINK("https://creighton-primo.hosted.exlibrisgroup.com/primo-explore/search?tab=default_tab&amp;search_scope=EVERYTHING&amp;vid=01CRU&amp;lang=en_US&amp;offset=0&amp;query=any,contains,991001267079702656","Catalog Record")</f>
        <v/>
      </c>
      <c r="AT2436">
        <f>HYPERLINK("http://www.worldcat.org/oclc/17807439","WorldCat Record")</f>
        <v/>
      </c>
      <c r="AU2436" t="inlineStr">
        <is>
          <t>16387986:eng</t>
        </is>
      </c>
      <c r="AV2436" t="inlineStr">
        <is>
          <t>17807439</t>
        </is>
      </c>
      <c r="AW2436" t="inlineStr">
        <is>
          <t>991001267079702656</t>
        </is>
      </c>
      <c r="AX2436" t="inlineStr">
        <is>
          <t>991001267079702656</t>
        </is>
      </c>
      <c r="AY2436" t="inlineStr">
        <is>
          <t>2266953240002656</t>
        </is>
      </c>
      <c r="AZ2436" t="inlineStr">
        <is>
          <t>BOOK</t>
        </is>
      </c>
      <c r="BB2436" t="inlineStr">
        <is>
          <t>9780814615843</t>
        </is>
      </c>
      <c r="BC2436" t="inlineStr">
        <is>
          <t>32285001004554</t>
        </is>
      </c>
      <c r="BD2436" t="inlineStr">
        <is>
          <t>893709150</t>
        </is>
      </c>
    </row>
    <row r="2437">
      <c r="A2437" t="inlineStr">
        <is>
          <t>No</t>
        </is>
      </c>
      <c r="B2437" t="inlineStr">
        <is>
          <t>BX4705.M5512 M3 1957</t>
        </is>
      </c>
      <c r="C2437" t="inlineStr">
        <is>
          <t>0                      BX 4705000M  5512               M  3           1957</t>
        </is>
      </c>
      <c r="D2437" t="inlineStr">
        <is>
          <t>Virgil Michel and the liturgical movement / by Paul B. Marx.</t>
        </is>
      </c>
      <c r="F2437" t="inlineStr">
        <is>
          <t>No</t>
        </is>
      </c>
      <c r="G2437" t="inlineStr">
        <is>
          <t>1</t>
        </is>
      </c>
      <c r="H2437" t="inlineStr">
        <is>
          <t>No</t>
        </is>
      </c>
      <c r="I2437" t="inlineStr">
        <is>
          <t>No</t>
        </is>
      </c>
      <c r="J2437" t="inlineStr">
        <is>
          <t>0</t>
        </is>
      </c>
      <c r="K2437" t="inlineStr">
        <is>
          <t>Marx, Paul B.</t>
        </is>
      </c>
      <c r="L2437" t="inlineStr">
        <is>
          <t>[Collegeville, Minn.] : Liturgical Press, [1957]</t>
        </is>
      </c>
      <c r="M2437" t="inlineStr">
        <is>
          <t>1957</t>
        </is>
      </c>
      <c r="O2437" t="inlineStr">
        <is>
          <t>eng</t>
        </is>
      </c>
      <c r="P2437" t="inlineStr">
        <is>
          <t>mnu</t>
        </is>
      </c>
      <c r="Q2437" t="inlineStr">
        <is>
          <t>American Benedictine Academy. Historical studies. Biographies, no. 1</t>
        </is>
      </c>
      <c r="R2437" t="inlineStr">
        <is>
          <t xml:space="preserve">BX </t>
        </is>
      </c>
      <c r="S2437" t="n">
        <v>4</v>
      </c>
      <c r="T2437" t="n">
        <v>4</v>
      </c>
      <c r="U2437" t="inlineStr">
        <is>
          <t>2008-03-10</t>
        </is>
      </c>
      <c r="V2437" t="inlineStr">
        <is>
          <t>2008-03-10</t>
        </is>
      </c>
      <c r="W2437" t="inlineStr">
        <is>
          <t>1992-03-30</t>
        </is>
      </c>
      <c r="X2437" t="inlineStr">
        <is>
          <t>1992-03-30</t>
        </is>
      </c>
      <c r="Y2437" t="n">
        <v>250</v>
      </c>
      <c r="Z2437" t="n">
        <v>218</v>
      </c>
      <c r="AA2437" t="n">
        <v>226</v>
      </c>
      <c r="AB2437" t="n">
        <v>3</v>
      </c>
      <c r="AC2437" t="n">
        <v>3</v>
      </c>
      <c r="AD2437" t="n">
        <v>30</v>
      </c>
      <c r="AE2437" t="n">
        <v>30</v>
      </c>
      <c r="AF2437" t="n">
        <v>10</v>
      </c>
      <c r="AG2437" t="n">
        <v>10</v>
      </c>
      <c r="AH2437" t="n">
        <v>8</v>
      </c>
      <c r="AI2437" t="n">
        <v>8</v>
      </c>
      <c r="AJ2437" t="n">
        <v>24</v>
      </c>
      <c r="AK2437" t="n">
        <v>24</v>
      </c>
      <c r="AL2437" t="n">
        <v>0</v>
      </c>
      <c r="AM2437" t="n">
        <v>0</v>
      </c>
      <c r="AN2437" t="n">
        <v>0</v>
      </c>
      <c r="AO2437" t="n">
        <v>0</v>
      </c>
      <c r="AP2437" t="inlineStr">
        <is>
          <t>No</t>
        </is>
      </c>
      <c r="AQ2437" t="inlineStr">
        <is>
          <t>No</t>
        </is>
      </c>
      <c r="AR2437">
        <f>HYPERLINK("http://catalog.hathitrust.org/Record/006776052","HathiTrust Record")</f>
        <v/>
      </c>
      <c r="AS2437">
        <f>HYPERLINK("https://creighton-primo.hosted.exlibrisgroup.com/primo-explore/search?tab=default_tab&amp;search_scope=EVERYTHING&amp;vid=01CRU&amp;lang=en_US&amp;offset=0&amp;query=any,contains,991002892629702656","Catalog Record")</f>
        <v/>
      </c>
      <c r="AT2437">
        <f>HYPERLINK("http://www.worldcat.org/oclc/512416","WorldCat Record")</f>
        <v/>
      </c>
      <c r="AU2437" t="inlineStr">
        <is>
          <t>181181924:eng</t>
        </is>
      </c>
      <c r="AV2437" t="inlineStr">
        <is>
          <t>512416</t>
        </is>
      </c>
      <c r="AW2437" t="inlineStr">
        <is>
          <t>991002892629702656</t>
        </is>
      </c>
      <c r="AX2437" t="inlineStr">
        <is>
          <t>991002892629702656</t>
        </is>
      </c>
      <c r="AY2437" t="inlineStr">
        <is>
          <t>2263334130002656</t>
        </is>
      </c>
      <c r="AZ2437" t="inlineStr">
        <is>
          <t>BOOK</t>
        </is>
      </c>
      <c r="BC2437" t="inlineStr">
        <is>
          <t>32285001004562</t>
        </is>
      </c>
      <c r="BD2437" t="inlineStr">
        <is>
          <t>893421920</t>
        </is>
      </c>
    </row>
    <row r="2438">
      <c r="A2438" t="inlineStr">
        <is>
          <t>No</t>
        </is>
      </c>
      <c r="B2438" t="inlineStr">
        <is>
          <t>BX4705.M5565 A2813 1974</t>
        </is>
      </c>
      <c r="C2438" t="inlineStr">
        <is>
          <t>0                      BX 4705000M  5565               A  2813        1974</t>
        </is>
      </c>
      <c r="D2438" t="inlineStr">
        <is>
          <t>Memoirs / József Cardinal Mindszenty ; translated by Richard and Clara Winston ; documents translated by Jan van Heurck.</t>
        </is>
      </c>
      <c r="F2438" t="inlineStr">
        <is>
          <t>No</t>
        </is>
      </c>
      <c r="G2438" t="inlineStr">
        <is>
          <t>1</t>
        </is>
      </c>
      <c r="H2438" t="inlineStr">
        <is>
          <t>No</t>
        </is>
      </c>
      <c r="I2438" t="inlineStr">
        <is>
          <t>No</t>
        </is>
      </c>
      <c r="J2438" t="inlineStr">
        <is>
          <t>0</t>
        </is>
      </c>
      <c r="K2438" t="inlineStr">
        <is>
          <t>Mindszenty, József, 1892-1975.</t>
        </is>
      </c>
      <c r="L2438" t="inlineStr">
        <is>
          <t>New York : Macmillan, 1974.</t>
        </is>
      </c>
      <c r="M2438" t="inlineStr">
        <is>
          <t>1974</t>
        </is>
      </c>
      <c r="O2438" t="inlineStr">
        <is>
          <t>eng</t>
        </is>
      </c>
      <c r="P2438" t="inlineStr">
        <is>
          <t>nyu</t>
        </is>
      </c>
      <c r="R2438" t="inlineStr">
        <is>
          <t xml:space="preserve">BX </t>
        </is>
      </c>
      <c r="S2438" t="n">
        <v>3</v>
      </c>
      <c r="T2438" t="n">
        <v>3</v>
      </c>
      <c r="U2438" t="inlineStr">
        <is>
          <t>2005-05-06</t>
        </is>
      </c>
      <c r="V2438" t="inlineStr">
        <is>
          <t>2005-05-06</t>
        </is>
      </c>
      <c r="W2438" t="inlineStr">
        <is>
          <t>1992-03-30</t>
        </is>
      </c>
      <c r="X2438" t="inlineStr">
        <is>
          <t>1992-03-30</t>
        </is>
      </c>
      <c r="Y2438" t="n">
        <v>1063</v>
      </c>
      <c r="Z2438" t="n">
        <v>987</v>
      </c>
      <c r="AA2438" t="n">
        <v>1005</v>
      </c>
      <c r="AB2438" t="n">
        <v>7</v>
      </c>
      <c r="AC2438" t="n">
        <v>7</v>
      </c>
      <c r="AD2438" t="n">
        <v>42</v>
      </c>
      <c r="AE2438" t="n">
        <v>42</v>
      </c>
      <c r="AF2438" t="n">
        <v>17</v>
      </c>
      <c r="AG2438" t="n">
        <v>17</v>
      </c>
      <c r="AH2438" t="n">
        <v>9</v>
      </c>
      <c r="AI2438" t="n">
        <v>9</v>
      </c>
      <c r="AJ2438" t="n">
        <v>25</v>
      </c>
      <c r="AK2438" t="n">
        <v>25</v>
      </c>
      <c r="AL2438" t="n">
        <v>4</v>
      </c>
      <c r="AM2438" t="n">
        <v>4</v>
      </c>
      <c r="AN2438" t="n">
        <v>0</v>
      </c>
      <c r="AO2438" t="n">
        <v>0</v>
      </c>
      <c r="AP2438" t="inlineStr">
        <is>
          <t>No</t>
        </is>
      </c>
      <c r="AQ2438" t="inlineStr">
        <is>
          <t>Yes</t>
        </is>
      </c>
      <c r="AR2438">
        <f>HYPERLINK("http://catalog.hathitrust.org/Record/001592085","HathiTrust Record")</f>
        <v/>
      </c>
      <c r="AS2438">
        <f>HYPERLINK("https://creighton-primo.hosted.exlibrisgroup.com/primo-explore/search?tab=default_tab&amp;search_scope=EVERYTHING&amp;vid=01CRU&amp;lang=en_US&amp;offset=0&amp;query=any,contains,991003498379702656","Catalog Record")</f>
        <v/>
      </c>
      <c r="AT2438">
        <f>HYPERLINK("http://www.worldcat.org/oclc/1049853","WorldCat Record")</f>
        <v/>
      </c>
      <c r="AU2438" t="inlineStr">
        <is>
          <t>4020045707:eng</t>
        </is>
      </c>
      <c r="AV2438" t="inlineStr">
        <is>
          <t>1049853</t>
        </is>
      </c>
      <c r="AW2438" t="inlineStr">
        <is>
          <t>991003498379702656</t>
        </is>
      </c>
      <c r="AX2438" t="inlineStr">
        <is>
          <t>991003498379702656</t>
        </is>
      </c>
      <c r="AY2438" t="inlineStr">
        <is>
          <t>2264566490002656</t>
        </is>
      </c>
      <c r="AZ2438" t="inlineStr">
        <is>
          <t>BOOK</t>
        </is>
      </c>
      <c r="BB2438" t="inlineStr">
        <is>
          <t>9780025850507</t>
        </is>
      </c>
      <c r="BC2438" t="inlineStr">
        <is>
          <t>32285001004588</t>
        </is>
      </c>
      <c r="BD2438" t="inlineStr">
        <is>
          <t>893617392</t>
        </is>
      </c>
    </row>
    <row r="2439">
      <c r="A2439" t="inlineStr">
        <is>
          <t>No</t>
        </is>
      </c>
      <c r="B2439" t="inlineStr">
        <is>
          <t>BX4705.M7113 N44 2000</t>
        </is>
      </c>
      <c r="C2439" t="inlineStr">
        <is>
          <t>0                      BX 4705000M  7113               N  44          2000</t>
        </is>
      </c>
      <c r="D2439" t="inlineStr">
        <is>
          <t>Thomas Verner Moore : psychiatrist, educator, and monk / Benedict Neenan.</t>
        </is>
      </c>
      <c r="F2439" t="inlineStr">
        <is>
          <t>No</t>
        </is>
      </c>
      <c r="G2439" t="inlineStr">
        <is>
          <t>1</t>
        </is>
      </c>
      <c r="H2439" t="inlineStr">
        <is>
          <t>No</t>
        </is>
      </c>
      <c r="I2439" t="inlineStr">
        <is>
          <t>No</t>
        </is>
      </c>
      <c r="J2439" t="inlineStr">
        <is>
          <t>0</t>
        </is>
      </c>
      <c r="K2439" t="inlineStr">
        <is>
          <t>Neenan, Benedict.</t>
        </is>
      </c>
      <c r="L2439" t="inlineStr">
        <is>
          <t>New York : Paulist Press, c2000.</t>
        </is>
      </c>
      <c r="M2439" t="inlineStr">
        <is>
          <t>2000</t>
        </is>
      </c>
      <c r="O2439" t="inlineStr">
        <is>
          <t>eng</t>
        </is>
      </c>
      <c r="P2439" t="inlineStr">
        <is>
          <t>nyu</t>
        </is>
      </c>
      <c r="R2439" t="inlineStr">
        <is>
          <t xml:space="preserve">BX </t>
        </is>
      </c>
      <c r="S2439" t="n">
        <v>2</v>
      </c>
      <c r="T2439" t="n">
        <v>2</v>
      </c>
      <c r="U2439" t="inlineStr">
        <is>
          <t>2009-04-13</t>
        </is>
      </c>
      <c r="V2439" t="inlineStr">
        <is>
          <t>2009-04-13</t>
        </is>
      </c>
      <c r="W2439" t="inlineStr">
        <is>
          <t>2001-05-01</t>
        </is>
      </c>
      <c r="X2439" t="inlineStr">
        <is>
          <t>2001-05-01</t>
        </is>
      </c>
      <c r="Y2439" t="n">
        <v>105</v>
      </c>
      <c r="Z2439" t="n">
        <v>99</v>
      </c>
      <c r="AA2439" t="n">
        <v>99</v>
      </c>
      <c r="AB2439" t="n">
        <v>2</v>
      </c>
      <c r="AC2439" t="n">
        <v>2</v>
      </c>
      <c r="AD2439" t="n">
        <v>12</v>
      </c>
      <c r="AE2439" t="n">
        <v>12</v>
      </c>
      <c r="AF2439" t="n">
        <v>2</v>
      </c>
      <c r="AG2439" t="n">
        <v>2</v>
      </c>
      <c r="AH2439" t="n">
        <v>3</v>
      </c>
      <c r="AI2439" t="n">
        <v>3</v>
      </c>
      <c r="AJ2439" t="n">
        <v>9</v>
      </c>
      <c r="AK2439" t="n">
        <v>9</v>
      </c>
      <c r="AL2439" t="n">
        <v>1</v>
      </c>
      <c r="AM2439" t="n">
        <v>1</v>
      </c>
      <c r="AN2439" t="n">
        <v>0</v>
      </c>
      <c r="AO2439" t="n">
        <v>0</v>
      </c>
      <c r="AP2439" t="inlineStr">
        <is>
          <t>No</t>
        </is>
      </c>
      <c r="AQ2439" t="inlineStr">
        <is>
          <t>No</t>
        </is>
      </c>
      <c r="AS2439">
        <f>HYPERLINK("https://creighton-primo.hosted.exlibrisgroup.com/primo-explore/search?tab=default_tab&amp;search_scope=EVERYTHING&amp;vid=01CRU&amp;lang=en_US&amp;offset=0&amp;query=any,contains,991003530709702656","Catalog Record")</f>
        <v/>
      </c>
      <c r="AT2439">
        <f>HYPERLINK("http://www.worldcat.org/oclc/44732385","WorldCat Record")</f>
        <v/>
      </c>
      <c r="AU2439" t="inlineStr">
        <is>
          <t>8941400127:eng</t>
        </is>
      </c>
      <c r="AV2439" t="inlineStr">
        <is>
          <t>44732385</t>
        </is>
      </c>
      <c r="AW2439" t="inlineStr">
        <is>
          <t>991003530709702656</t>
        </is>
      </c>
      <c r="AX2439" t="inlineStr">
        <is>
          <t>991003530709702656</t>
        </is>
      </c>
      <c r="AY2439" t="inlineStr">
        <is>
          <t>2269084790002656</t>
        </is>
      </c>
      <c r="AZ2439" t="inlineStr">
        <is>
          <t>BOOK</t>
        </is>
      </c>
      <c r="BB2439" t="inlineStr">
        <is>
          <t>9780809139873</t>
        </is>
      </c>
      <c r="BC2439" t="inlineStr">
        <is>
          <t>32285004315544</t>
        </is>
      </c>
      <c r="BD2439" t="inlineStr">
        <is>
          <t>893324155</t>
        </is>
      </c>
    </row>
    <row r="2440">
      <c r="A2440" t="inlineStr">
        <is>
          <t>No</t>
        </is>
      </c>
      <c r="B2440" t="inlineStr">
        <is>
          <t>BX4705.M7253 A3 1999</t>
        </is>
      </c>
      <c r="C2440" t="inlineStr">
        <is>
          <t>0                      BX 4705000M  7253               A  3           1999</t>
        </is>
      </c>
      <c r="D2440" t="inlineStr">
        <is>
          <t>Beyond gay / David Morrison.</t>
        </is>
      </c>
      <c r="F2440" t="inlineStr">
        <is>
          <t>No</t>
        </is>
      </c>
      <c r="G2440" t="inlineStr">
        <is>
          <t>1</t>
        </is>
      </c>
      <c r="H2440" t="inlineStr">
        <is>
          <t>No</t>
        </is>
      </c>
      <c r="I2440" t="inlineStr">
        <is>
          <t>No</t>
        </is>
      </c>
      <c r="J2440" t="inlineStr">
        <is>
          <t>0</t>
        </is>
      </c>
      <c r="K2440" t="inlineStr">
        <is>
          <t>Morrison, David, 1963-</t>
        </is>
      </c>
      <c r="L2440" t="inlineStr">
        <is>
          <t>Huntington, Ind. : Our Sunday Visitor Pub., c1999.</t>
        </is>
      </c>
      <c r="M2440" t="inlineStr">
        <is>
          <t>1999</t>
        </is>
      </c>
      <c r="O2440" t="inlineStr">
        <is>
          <t>eng</t>
        </is>
      </c>
      <c r="P2440" t="inlineStr">
        <is>
          <t>inu</t>
        </is>
      </c>
      <c r="R2440" t="inlineStr">
        <is>
          <t xml:space="preserve">BX </t>
        </is>
      </c>
      <c r="S2440" t="n">
        <v>4</v>
      </c>
      <c r="T2440" t="n">
        <v>4</v>
      </c>
      <c r="U2440" t="inlineStr">
        <is>
          <t>2007-06-28</t>
        </is>
      </c>
      <c r="V2440" t="inlineStr">
        <is>
          <t>2007-06-28</t>
        </is>
      </c>
      <c r="W2440" t="inlineStr">
        <is>
          <t>2002-08-13</t>
        </is>
      </c>
      <c r="X2440" t="inlineStr">
        <is>
          <t>2002-08-13</t>
        </is>
      </c>
      <c r="Y2440" t="n">
        <v>120</v>
      </c>
      <c r="Z2440" t="n">
        <v>100</v>
      </c>
      <c r="AA2440" t="n">
        <v>101</v>
      </c>
      <c r="AB2440" t="n">
        <v>3</v>
      </c>
      <c r="AC2440" t="n">
        <v>3</v>
      </c>
      <c r="AD2440" t="n">
        <v>6</v>
      </c>
      <c r="AE2440" t="n">
        <v>7</v>
      </c>
      <c r="AF2440" t="n">
        <v>0</v>
      </c>
      <c r="AG2440" t="n">
        <v>1</v>
      </c>
      <c r="AH2440" t="n">
        <v>1</v>
      </c>
      <c r="AI2440" t="n">
        <v>1</v>
      </c>
      <c r="AJ2440" t="n">
        <v>5</v>
      </c>
      <c r="AK2440" t="n">
        <v>6</v>
      </c>
      <c r="AL2440" t="n">
        <v>1</v>
      </c>
      <c r="AM2440" t="n">
        <v>1</v>
      </c>
      <c r="AN2440" t="n">
        <v>0</v>
      </c>
      <c r="AO2440" t="n">
        <v>0</v>
      </c>
      <c r="AP2440" t="inlineStr">
        <is>
          <t>No</t>
        </is>
      </c>
      <c r="AQ2440" t="inlineStr">
        <is>
          <t>No</t>
        </is>
      </c>
      <c r="AS2440">
        <f>HYPERLINK("https://creighton-primo.hosted.exlibrisgroup.com/primo-explore/search?tab=default_tab&amp;search_scope=EVERYTHING&amp;vid=01CRU&amp;lang=en_US&amp;offset=0&amp;query=any,contains,991003855829702656","Catalog Record")</f>
        <v/>
      </c>
      <c r="AT2440">
        <f>HYPERLINK("http://www.worldcat.org/oclc/42714780","WorldCat Record")</f>
        <v/>
      </c>
      <c r="AU2440" t="inlineStr">
        <is>
          <t>27814922:eng</t>
        </is>
      </c>
      <c r="AV2440" t="inlineStr">
        <is>
          <t>42714780</t>
        </is>
      </c>
      <c r="AW2440" t="inlineStr">
        <is>
          <t>991003855829702656</t>
        </is>
      </c>
      <c r="AX2440" t="inlineStr">
        <is>
          <t>991003855829702656</t>
        </is>
      </c>
      <c r="AY2440" t="inlineStr">
        <is>
          <t>2260405440002656</t>
        </is>
      </c>
      <c r="AZ2440" t="inlineStr">
        <is>
          <t>BOOK</t>
        </is>
      </c>
      <c r="BB2440" t="inlineStr">
        <is>
          <t>9780879736903</t>
        </is>
      </c>
      <c r="BC2440" t="inlineStr">
        <is>
          <t>32285004642434</t>
        </is>
      </c>
      <c r="BD2440" t="inlineStr">
        <is>
          <t>893888001</t>
        </is>
      </c>
    </row>
    <row r="2441">
      <c r="A2441" t="inlineStr">
        <is>
          <t>No</t>
        </is>
      </c>
      <c r="B2441" t="inlineStr">
        <is>
          <t>BX4705.M977 J64 1992</t>
        </is>
      </c>
      <c r="C2441" t="inlineStr">
        <is>
          <t>0                      BX 4705000M  977                J  64          1992</t>
        </is>
      </c>
      <c r="D2441" t="inlineStr">
        <is>
          <t>John Courtney Murray and the American civil conversation / edited by Robert P. Hunt and Kenneth L. Grasso.</t>
        </is>
      </c>
      <c r="F2441" t="inlineStr">
        <is>
          <t>No</t>
        </is>
      </c>
      <c r="G2441" t="inlineStr">
        <is>
          <t>1</t>
        </is>
      </c>
      <c r="H2441" t="inlineStr">
        <is>
          <t>No</t>
        </is>
      </c>
      <c r="I2441" t="inlineStr">
        <is>
          <t>No</t>
        </is>
      </c>
      <c r="J2441" t="inlineStr">
        <is>
          <t>0</t>
        </is>
      </c>
      <c r="L2441" t="inlineStr">
        <is>
          <t>Grand Rapids, Mich. : W.B. Eerdmans Pub. Co., c1992.</t>
        </is>
      </c>
      <c r="M2441" t="inlineStr">
        <is>
          <t>1992</t>
        </is>
      </c>
      <c r="O2441" t="inlineStr">
        <is>
          <t>eng</t>
        </is>
      </c>
      <c r="P2441" t="inlineStr">
        <is>
          <t>miu</t>
        </is>
      </c>
      <c r="R2441" t="inlineStr">
        <is>
          <t xml:space="preserve">BX </t>
        </is>
      </c>
      <c r="S2441" t="n">
        <v>6</v>
      </c>
      <c r="T2441" t="n">
        <v>6</v>
      </c>
      <c r="U2441" t="inlineStr">
        <is>
          <t>2005-01-13</t>
        </is>
      </c>
      <c r="V2441" t="inlineStr">
        <is>
          <t>2005-01-13</t>
        </is>
      </c>
      <c r="W2441" t="inlineStr">
        <is>
          <t>1992-11-09</t>
        </is>
      </c>
      <c r="X2441" t="inlineStr">
        <is>
          <t>1992-11-09</t>
        </is>
      </c>
      <c r="Y2441" t="n">
        <v>238</v>
      </c>
      <c r="Z2441" t="n">
        <v>215</v>
      </c>
      <c r="AA2441" t="n">
        <v>217</v>
      </c>
      <c r="AB2441" t="n">
        <v>2</v>
      </c>
      <c r="AC2441" t="n">
        <v>2</v>
      </c>
      <c r="AD2441" t="n">
        <v>25</v>
      </c>
      <c r="AE2441" t="n">
        <v>25</v>
      </c>
      <c r="AF2441" t="n">
        <v>7</v>
      </c>
      <c r="AG2441" t="n">
        <v>7</v>
      </c>
      <c r="AH2441" t="n">
        <v>6</v>
      </c>
      <c r="AI2441" t="n">
        <v>6</v>
      </c>
      <c r="AJ2441" t="n">
        <v>17</v>
      </c>
      <c r="AK2441" t="n">
        <v>17</v>
      </c>
      <c r="AL2441" t="n">
        <v>0</v>
      </c>
      <c r="AM2441" t="n">
        <v>0</v>
      </c>
      <c r="AN2441" t="n">
        <v>1</v>
      </c>
      <c r="AO2441" t="n">
        <v>1</v>
      </c>
      <c r="AP2441" t="inlineStr">
        <is>
          <t>No</t>
        </is>
      </c>
      <c r="AQ2441" t="inlineStr">
        <is>
          <t>Yes</t>
        </is>
      </c>
      <c r="AR2441">
        <f>HYPERLINK("http://catalog.hathitrust.org/Record/002581595","HathiTrust Record")</f>
        <v/>
      </c>
      <c r="AS2441">
        <f>HYPERLINK("https://creighton-primo.hosted.exlibrisgroup.com/primo-explore/search?tab=default_tab&amp;search_scope=EVERYTHING&amp;vid=01CRU&amp;lang=en_US&amp;offset=0&amp;query=any,contains,991005415039702656","Catalog Record")</f>
        <v/>
      </c>
      <c r="AT2441">
        <f>HYPERLINK("http://www.worldcat.org/oclc/25409546","WorldCat Record")</f>
        <v/>
      </c>
      <c r="AU2441" t="inlineStr">
        <is>
          <t>27821363:eng</t>
        </is>
      </c>
      <c r="AV2441" t="inlineStr">
        <is>
          <t>25409546</t>
        </is>
      </c>
      <c r="AW2441" t="inlineStr">
        <is>
          <t>991005415039702656</t>
        </is>
      </c>
      <c r="AX2441" t="inlineStr">
        <is>
          <t>991005415039702656</t>
        </is>
      </c>
      <c r="AY2441" t="inlineStr">
        <is>
          <t>2266771620002656</t>
        </is>
      </c>
      <c r="AZ2441" t="inlineStr">
        <is>
          <t>BOOK</t>
        </is>
      </c>
      <c r="BB2441" t="inlineStr">
        <is>
          <t>9780802805386</t>
        </is>
      </c>
      <c r="BC2441" t="inlineStr">
        <is>
          <t>32285001361483</t>
        </is>
      </c>
      <c r="BD2441" t="inlineStr">
        <is>
          <t>893521162</t>
        </is>
      </c>
    </row>
    <row r="2442">
      <c r="A2442" t="inlineStr">
        <is>
          <t>No</t>
        </is>
      </c>
      <c r="B2442" t="inlineStr">
        <is>
          <t>BX4705.M977 P44 1976</t>
        </is>
      </c>
      <c r="C2442" t="inlineStr">
        <is>
          <t>0                      BX 4705000M  977                P  44          1976</t>
        </is>
      </c>
      <c r="D2442" t="inlineStr">
        <is>
          <t>John Courtney Murray : theologian in conflict / by Donald E. Pelotte.</t>
        </is>
      </c>
      <c r="F2442" t="inlineStr">
        <is>
          <t>No</t>
        </is>
      </c>
      <c r="G2442" t="inlineStr">
        <is>
          <t>1</t>
        </is>
      </c>
      <c r="H2442" t="inlineStr">
        <is>
          <t>No</t>
        </is>
      </c>
      <c r="I2442" t="inlineStr">
        <is>
          <t>No</t>
        </is>
      </c>
      <c r="J2442" t="inlineStr">
        <is>
          <t>0</t>
        </is>
      </c>
      <c r="K2442" t="inlineStr">
        <is>
          <t>Pelotte, Donald E. (Donald Edmond), 1945-2010.</t>
        </is>
      </c>
      <c r="L2442" t="inlineStr">
        <is>
          <t>New York : Paulist Press, c1976.</t>
        </is>
      </c>
      <c r="M2442" t="inlineStr">
        <is>
          <t>1976</t>
        </is>
      </c>
      <c r="O2442" t="inlineStr">
        <is>
          <t>eng</t>
        </is>
      </c>
      <c r="P2442" t="inlineStr">
        <is>
          <t>nyu</t>
        </is>
      </c>
      <c r="R2442" t="inlineStr">
        <is>
          <t xml:space="preserve">BX </t>
        </is>
      </c>
      <c r="S2442" t="n">
        <v>2</v>
      </c>
      <c r="T2442" t="n">
        <v>2</v>
      </c>
      <c r="U2442" t="inlineStr">
        <is>
          <t>1999-10-11</t>
        </is>
      </c>
      <c r="V2442" t="inlineStr">
        <is>
          <t>1999-10-11</t>
        </is>
      </c>
      <c r="W2442" t="inlineStr">
        <is>
          <t>1992-03-30</t>
        </is>
      </c>
      <c r="X2442" t="inlineStr">
        <is>
          <t>1992-03-30</t>
        </is>
      </c>
      <c r="Y2442" t="n">
        <v>456</v>
      </c>
      <c r="Z2442" t="n">
        <v>414</v>
      </c>
      <c r="AA2442" t="n">
        <v>421</v>
      </c>
      <c r="AB2442" t="n">
        <v>3</v>
      </c>
      <c r="AC2442" t="n">
        <v>3</v>
      </c>
      <c r="AD2442" t="n">
        <v>35</v>
      </c>
      <c r="AE2442" t="n">
        <v>35</v>
      </c>
      <c r="AF2442" t="n">
        <v>13</v>
      </c>
      <c r="AG2442" t="n">
        <v>13</v>
      </c>
      <c r="AH2442" t="n">
        <v>10</v>
      </c>
      <c r="AI2442" t="n">
        <v>10</v>
      </c>
      <c r="AJ2442" t="n">
        <v>22</v>
      </c>
      <c r="AK2442" t="n">
        <v>22</v>
      </c>
      <c r="AL2442" t="n">
        <v>1</v>
      </c>
      <c r="AM2442" t="n">
        <v>1</v>
      </c>
      <c r="AN2442" t="n">
        <v>0</v>
      </c>
      <c r="AO2442" t="n">
        <v>0</v>
      </c>
      <c r="AP2442" t="inlineStr">
        <is>
          <t>No</t>
        </is>
      </c>
      <c r="AQ2442" t="inlineStr">
        <is>
          <t>Yes</t>
        </is>
      </c>
      <c r="AR2442">
        <f>HYPERLINK("http://catalog.hathitrust.org/Record/006923158","HathiTrust Record")</f>
        <v/>
      </c>
      <c r="AS2442">
        <f>HYPERLINK("https://creighton-primo.hosted.exlibrisgroup.com/primo-explore/search?tab=default_tab&amp;search_scope=EVERYTHING&amp;vid=01CRU&amp;lang=en_US&amp;offset=0&amp;query=any,contains,991004150889702656","Catalog Record")</f>
        <v/>
      </c>
      <c r="AT2442">
        <f>HYPERLINK("http://www.worldcat.org/oclc/2524340","WorldCat Record")</f>
        <v/>
      </c>
      <c r="AU2442" t="inlineStr">
        <is>
          <t>370587219:eng</t>
        </is>
      </c>
      <c r="AV2442" t="inlineStr">
        <is>
          <t>2524340</t>
        </is>
      </c>
      <c r="AW2442" t="inlineStr">
        <is>
          <t>991004150889702656</t>
        </is>
      </c>
      <c r="AX2442" t="inlineStr">
        <is>
          <t>991004150889702656</t>
        </is>
      </c>
      <c r="AY2442" t="inlineStr">
        <is>
          <t>2270509880002656</t>
        </is>
      </c>
      <c r="AZ2442" t="inlineStr">
        <is>
          <t>BOOK</t>
        </is>
      </c>
      <c r="BB2442" t="inlineStr">
        <is>
          <t>9780809102129</t>
        </is>
      </c>
      <c r="BC2442" t="inlineStr">
        <is>
          <t>32285001004703</t>
        </is>
      </c>
      <c r="BD2442" t="inlineStr">
        <is>
          <t>893500177</t>
        </is>
      </c>
    </row>
    <row r="2443">
      <c r="A2443" t="inlineStr">
        <is>
          <t>No</t>
        </is>
      </c>
      <c r="B2443" t="inlineStr">
        <is>
          <t>BX4705.N17 C66 2003</t>
        </is>
      </c>
      <c r="C2443" t="inlineStr">
        <is>
          <t>0                      BX 4705000N  17                 C  66          2003</t>
        </is>
      </c>
      <c r="D2443" t="inlineStr">
        <is>
          <t>Walking in the spirit : a reflection on Jerónimo Nadal's phrase "Contemplative likewise in action" / Joseph F. Conwell.</t>
        </is>
      </c>
      <c r="F2443" t="inlineStr">
        <is>
          <t>No</t>
        </is>
      </c>
      <c r="G2443" t="inlineStr">
        <is>
          <t>1</t>
        </is>
      </c>
      <c r="H2443" t="inlineStr">
        <is>
          <t>No</t>
        </is>
      </c>
      <c r="I2443" t="inlineStr">
        <is>
          <t>No</t>
        </is>
      </c>
      <c r="J2443" t="inlineStr">
        <is>
          <t>0</t>
        </is>
      </c>
      <c r="K2443" t="inlineStr">
        <is>
          <t>Conwell, Joseph F.</t>
        </is>
      </c>
      <c r="L2443" t="inlineStr">
        <is>
          <t>St. Louis, MO : Institute of Jesuit Sources, c2003.</t>
        </is>
      </c>
      <c r="M2443" t="inlineStr">
        <is>
          <t>2003</t>
        </is>
      </c>
      <c r="O2443" t="inlineStr">
        <is>
          <t>eng</t>
        </is>
      </c>
      <c r="P2443" t="inlineStr">
        <is>
          <t>mou</t>
        </is>
      </c>
      <c r="Q2443" t="inlineStr">
        <is>
          <t>No. 17 in series 3: Original studies composed in English</t>
        </is>
      </c>
      <c r="R2443" t="inlineStr">
        <is>
          <t xml:space="preserve">BX </t>
        </is>
      </c>
      <c r="S2443" t="n">
        <v>8</v>
      </c>
      <c r="T2443" t="n">
        <v>8</v>
      </c>
      <c r="U2443" t="inlineStr">
        <is>
          <t>2009-04-07</t>
        </is>
      </c>
      <c r="V2443" t="inlineStr">
        <is>
          <t>2009-04-07</t>
        </is>
      </c>
      <c r="W2443" t="inlineStr">
        <is>
          <t>2005-11-30</t>
        </is>
      </c>
      <c r="X2443" t="inlineStr">
        <is>
          <t>2005-11-30</t>
        </is>
      </c>
      <c r="Y2443" t="n">
        <v>51</v>
      </c>
      <c r="Z2443" t="n">
        <v>40</v>
      </c>
      <c r="AA2443" t="n">
        <v>40</v>
      </c>
      <c r="AB2443" t="n">
        <v>1</v>
      </c>
      <c r="AC2443" t="n">
        <v>1</v>
      </c>
      <c r="AD2443" t="n">
        <v>17</v>
      </c>
      <c r="AE2443" t="n">
        <v>17</v>
      </c>
      <c r="AF2443" t="n">
        <v>5</v>
      </c>
      <c r="AG2443" t="n">
        <v>5</v>
      </c>
      <c r="AH2443" t="n">
        <v>3</v>
      </c>
      <c r="AI2443" t="n">
        <v>3</v>
      </c>
      <c r="AJ2443" t="n">
        <v>17</v>
      </c>
      <c r="AK2443" t="n">
        <v>17</v>
      </c>
      <c r="AL2443" t="n">
        <v>0</v>
      </c>
      <c r="AM2443" t="n">
        <v>0</v>
      </c>
      <c r="AN2443" t="n">
        <v>0</v>
      </c>
      <c r="AO2443" t="n">
        <v>0</v>
      </c>
      <c r="AP2443" t="inlineStr">
        <is>
          <t>No</t>
        </is>
      </c>
      <c r="AQ2443" t="inlineStr">
        <is>
          <t>No</t>
        </is>
      </c>
      <c r="AS2443">
        <f>HYPERLINK("https://creighton-primo.hosted.exlibrisgroup.com/primo-explore/search?tab=default_tab&amp;search_scope=EVERYTHING&amp;vid=01CRU&amp;lang=en_US&amp;offset=0&amp;query=any,contains,991004668799702656","Catalog Record")</f>
        <v/>
      </c>
      <c r="AT2443">
        <f>HYPERLINK("http://www.worldcat.org/oclc/73497480","WorldCat Record")</f>
        <v/>
      </c>
      <c r="AU2443" t="inlineStr">
        <is>
          <t>10624537148:eng</t>
        </is>
      </c>
      <c r="AV2443" t="inlineStr">
        <is>
          <t>73497480</t>
        </is>
      </c>
      <c r="AW2443" t="inlineStr">
        <is>
          <t>991004668799702656</t>
        </is>
      </c>
      <c r="AX2443" t="inlineStr">
        <is>
          <t>991004668799702656</t>
        </is>
      </c>
      <c r="AY2443" t="inlineStr">
        <is>
          <t>2255109350002656</t>
        </is>
      </c>
      <c r="AZ2443" t="inlineStr">
        <is>
          <t>BOOK</t>
        </is>
      </c>
      <c r="BB2443" t="inlineStr">
        <is>
          <t>9781880810521</t>
        </is>
      </c>
      <c r="BC2443" t="inlineStr">
        <is>
          <t>32285005149348</t>
        </is>
      </c>
      <c r="BD2443" t="inlineStr">
        <is>
          <t>893712887</t>
        </is>
      </c>
    </row>
    <row r="2444">
      <c r="A2444" t="inlineStr">
        <is>
          <t>No</t>
        </is>
      </c>
      <c r="B2444" t="inlineStr">
        <is>
          <t>BX4705.N47 G7 1951</t>
        </is>
      </c>
      <c r="C2444" t="inlineStr">
        <is>
          <t>0                      BX 4705000N  47                 G  7           1951</t>
        </is>
      </c>
      <c r="D2444" t="inlineStr">
        <is>
          <t>The case of Therese Neumann.</t>
        </is>
      </c>
      <c r="F2444" t="inlineStr">
        <is>
          <t>No</t>
        </is>
      </c>
      <c r="G2444" t="inlineStr">
        <is>
          <t>1</t>
        </is>
      </c>
      <c r="H2444" t="inlineStr">
        <is>
          <t>No</t>
        </is>
      </c>
      <c r="I2444" t="inlineStr">
        <is>
          <t>No</t>
        </is>
      </c>
      <c r="J2444" t="inlineStr">
        <is>
          <t>0</t>
        </is>
      </c>
      <c r="K2444" t="inlineStr">
        <is>
          <t>Graef, Hilda C.</t>
        </is>
      </c>
      <c r="L2444" t="inlineStr">
        <is>
          <t>Westminster, Md. : Newman Press, 1951.</t>
        </is>
      </c>
      <c r="M2444" t="inlineStr">
        <is>
          <t>1951</t>
        </is>
      </c>
      <c r="O2444" t="inlineStr">
        <is>
          <t>eng</t>
        </is>
      </c>
      <c r="P2444" t="inlineStr">
        <is>
          <t>mdu</t>
        </is>
      </c>
      <c r="R2444" t="inlineStr">
        <is>
          <t xml:space="preserve">BX </t>
        </is>
      </c>
      <c r="S2444" t="n">
        <v>3</v>
      </c>
      <c r="T2444" t="n">
        <v>3</v>
      </c>
      <c r="U2444" t="inlineStr">
        <is>
          <t>2003-02-27</t>
        </is>
      </c>
      <c r="V2444" t="inlineStr">
        <is>
          <t>2003-02-27</t>
        </is>
      </c>
      <c r="W2444" t="inlineStr">
        <is>
          <t>1992-03-30</t>
        </is>
      </c>
      <c r="X2444" t="inlineStr">
        <is>
          <t>1992-03-30</t>
        </is>
      </c>
      <c r="Y2444" t="n">
        <v>209</v>
      </c>
      <c r="Z2444" t="n">
        <v>191</v>
      </c>
      <c r="AA2444" t="n">
        <v>205</v>
      </c>
      <c r="AB2444" t="n">
        <v>3</v>
      </c>
      <c r="AC2444" t="n">
        <v>3</v>
      </c>
      <c r="AD2444" t="n">
        <v>29</v>
      </c>
      <c r="AE2444" t="n">
        <v>31</v>
      </c>
      <c r="AF2444" t="n">
        <v>8</v>
      </c>
      <c r="AG2444" t="n">
        <v>9</v>
      </c>
      <c r="AH2444" t="n">
        <v>8</v>
      </c>
      <c r="AI2444" t="n">
        <v>8</v>
      </c>
      <c r="AJ2444" t="n">
        <v>23</v>
      </c>
      <c r="AK2444" t="n">
        <v>25</v>
      </c>
      <c r="AL2444" t="n">
        <v>0</v>
      </c>
      <c r="AM2444" t="n">
        <v>0</v>
      </c>
      <c r="AN2444" t="n">
        <v>0</v>
      </c>
      <c r="AO2444" t="n">
        <v>0</v>
      </c>
      <c r="AP2444" t="inlineStr">
        <is>
          <t>No</t>
        </is>
      </c>
      <c r="AQ2444" t="inlineStr">
        <is>
          <t>No</t>
        </is>
      </c>
      <c r="AS2444">
        <f>HYPERLINK("https://creighton-primo.hosted.exlibrisgroup.com/primo-explore/search?tab=default_tab&amp;search_scope=EVERYTHING&amp;vid=01CRU&amp;lang=en_US&amp;offset=0&amp;query=any,contains,991003888059702656","Catalog Record")</f>
        <v/>
      </c>
      <c r="AT2444">
        <f>HYPERLINK("http://www.worldcat.org/oclc/1743571","WorldCat Record")</f>
        <v/>
      </c>
      <c r="AU2444" t="inlineStr">
        <is>
          <t>2893698:eng</t>
        </is>
      </c>
      <c r="AV2444" t="inlineStr">
        <is>
          <t>1743571</t>
        </is>
      </c>
      <c r="AW2444" t="inlineStr">
        <is>
          <t>991003888059702656</t>
        </is>
      </c>
      <c r="AX2444" t="inlineStr">
        <is>
          <t>991003888059702656</t>
        </is>
      </c>
      <c r="AY2444" t="inlineStr">
        <is>
          <t>2261736820002656</t>
        </is>
      </c>
      <c r="AZ2444" t="inlineStr">
        <is>
          <t>BOOK</t>
        </is>
      </c>
      <c r="BC2444" t="inlineStr">
        <is>
          <t>32285001004752</t>
        </is>
      </c>
      <c r="BD2444" t="inlineStr">
        <is>
          <t>893900492</t>
        </is>
      </c>
    </row>
    <row r="2445">
      <c r="A2445" t="inlineStr">
        <is>
          <t>No</t>
        </is>
      </c>
      <c r="B2445" t="inlineStr">
        <is>
          <t>BX4705.N47 L3 1929</t>
        </is>
      </c>
      <c r="C2445" t="inlineStr">
        <is>
          <t>0                      BX 4705000N  47                 L  3           1929</t>
        </is>
      </c>
      <c r="D2445" t="inlineStr">
        <is>
          <t>Therese Neumann : a stigmatist of our day / by Friedrich Ritter von Lama. Translated by Albert Paul Schimberg.</t>
        </is>
      </c>
      <c r="F2445" t="inlineStr">
        <is>
          <t>No</t>
        </is>
      </c>
      <c r="G2445" t="inlineStr">
        <is>
          <t>1</t>
        </is>
      </c>
      <c r="H2445" t="inlineStr">
        <is>
          <t>No</t>
        </is>
      </c>
      <c r="I2445" t="inlineStr">
        <is>
          <t>No</t>
        </is>
      </c>
      <c r="J2445" t="inlineStr">
        <is>
          <t>0</t>
        </is>
      </c>
      <c r="K2445" t="inlineStr">
        <is>
          <t>Von Lama, Friedrich, 1876-1944.</t>
        </is>
      </c>
      <c r="L2445" t="inlineStr">
        <is>
          <t>New York, Milwaukee : Bruce, 1929.</t>
        </is>
      </c>
      <c r="M2445" t="inlineStr">
        <is>
          <t>1929</t>
        </is>
      </c>
      <c r="O2445" t="inlineStr">
        <is>
          <t>eng</t>
        </is>
      </c>
      <c r="P2445" t="inlineStr">
        <is>
          <t xml:space="preserve">xx </t>
        </is>
      </c>
      <c r="R2445" t="inlineStr">
        <is>
          <t xml:space="preserve">BX </t>
        </is>
      </c>
      <c r="S2445" t="n">
        <v>2</v>
      </c>
      <c r="T2445" t="n">
        <v>2</v>
      </c>
      <c r="U2445" t="inlineStr">
        <is>
          <t>2010-02-23</t>
        </is>
      </c>
      <c r="V2445" t="inlineStr">
        <is>
          <t>2010-02-23</t>
        </is>
      </c>
      <c r="W2445" t="inlineStr">
        <is>
          <t>1992-03-30</t>
        </is>
      </c>
      <c r="X2445" t="inlineStr">
        <is>
          <t>1992-03-30</t>
        </is>
      </c>
      <c r="Y2445" t="n">
        <v>97</v>
      </c>
      <c r="Z2445" t="n">
        <v>95</v>
      </c>
      <c r="AA2445" t="n">
        <v>102</v>
      </c>
      <c r="AB2445" t="n">
        <v>3</v>
      </c>
      <c r="AC2445" t="n">
        <v>3</v>
      </c>
      <c r="AD2445" t="n">
        <v>18</v>
      </c>
      <c r="AE2445" t="n">
        <v>19</v>
      </c>
      <c r="AF2445" t="n">
        <v>2</v>
      </c>
      <c r="AG2445" t="n">
        <v>2</v>
      </c>
      <c r="AH2445" t="n">
        <v>5</v>
      </c>
      <c r="AI2445" t="n">
        <v>5</v>
      </c>
      <c r="AJ2445" t="n">
        <v>14</v>
      </c>
      <c r="AK2445" t="n">
        <v>15</v>
      </c>
      <c r="AL2445" t="n">
        <v>1</v>
      </c>
      <c r="AM2445" t="n">
        <v>1</v>
      </c>
      <c r="AN2445" t="n">
        <v>0</v>
      </c>
      <c r="AO2445" t="n">
        <v>0</v>
      </c>
      <c r="AP2445" t="inlineStr">
        <is>
          <t>No</t>
        </is>
      </c>
      <c r="AQ2445" t="inlineStr">
        <is>
          <t>No</t>
        </is>
      </c>
      <c r="AS2445">
        <f>HYPERLINK("https://creighton-primo.hosted.exlibrisgroup.com/primo-explore/search?tab=default_tab&amp;search_scope=EVERYTHING&amp;vid=01CRU&amp;lang=en_US&amp;offset=0&amp;query=any,contains,991004408259702656","Catalog Record")</f>
        <v/>
      </c>
      <c r="AT2445">
        <f>HYPERLINK("http://www.worldcat.org/oclc/3329262","WorldCat Record")</f>
        <v/>
      </c>
      <c r="AU2445" t="inlineStr">
        <is>
          <t>4757716709:eng</t>
        </is>
      </c>
      <c r="AV2445" t="inlineStr">
        <is>
          <t>3329262</t>
        </is>
      </c>
      <c r="AW2445" t="inlineStr">
        <is>
          <t>991004408259702656</t>
        </is>
      </c>
      <c r="AX2445" t="inlineStr">
        <is>
          <t>991004408259702656</t>
        </is>
      </c>
      <c r="AY2445" t="inlineStr">
        <is>
          <t>2268332090002656</t>
        </is>
      </c>
      <c r="AZ2445" t="inlineStr">
        <is>
          <t>BOOK</t>
        </is>
      </c>
      <c r="BC2445" t="inlineStr">
        <is>
          <t>32285001004760</t>
        </is>
      </c>
      <c r="BD2445" t="inlineStr">
        <is>
          <t>893807030</t>
        </is>
      </c>
    </row>
    <row r="2446">
      <c r="A2446" t="inlineStr">
        <is>
          <t>No</t>
        </is>
      </c>
      <c r="B2446" t="inlineStr">
        <is>
          <t>BX4705.N47 S34 1947</t>
        </is>
      </c>
      <c r="C2446" t="inlineStr">
        <is>
          <t>0                      BX 4705000N  47                 S  34          1947</t>
        </is>
      </c>
      <c r="D2446" t="inlineStr">
        <is>
          <t>The story of Therese Neumann.</t>
        </is>
      </c>
      <c r="F2446" t="inlineStr">
        <is>
          <t>No</t>
        </is>
      </c>
      <c r="G2446" t="inlineStr">
        <is>
          <t>1</t>
        </is>
      </c>
      <c r="H2446" t="inlineStr">
        <is>
          <t>No</t>
        </is>
      </c>
      <c r="I2446" t="inlineStr">
        <is>
          <t>No</t>
        </is>
      </c>
      <c r="J2446" t="inlineStr">
        <is>
          <t>0</t>
        </is>
      </c>
      <c r="K2446" t="inlineStr">
        <is>
          <t>Schimberg, Albert Paul, 1885-</t>
        </is>
      </c>
      <c r="L2446" t="inlineStr">
        <is>
          <t>Milwaukee : Bruce Pub. Co., [1947]</t>
        </is>
      </c>
      <c r="M2446" t="inlineStr">
        <is>
          <t>1947</t>
        </is>
      </c>
      <c r="O2446" t="inlineStr">
        <is>
          <t>eng</t>
        </is>
      </c>
      <c r="P2446" t="inlineStr">
        <is>
          <t>wiu</t>
        </is>
      </c>
      <c r="R2446" t="inlineStr">
        <is>
          <t xml:space="preserve">BX </t>
        </is>
      </c>
      <c r="S2446" t="n">
        <v>2</v>
      </c>
      <c r="T2446" t="n">
        <v>2</v>
      </c>
      <c r="U2446" t="inlineStr">
        <is>
          <t>2001-10-25</t>
        </is>
      </c>
      <c r="V2446" t="inlineStr">
        <is>
          <t>2001-10-25</t>
        </is>
      </c>
      <c r="W2446" t="inlineStr">
        <is>
          <t>1992-03-30</t>
        </is>
      </c>
      <c r="X2446" t="inlineStr">
        <is>
          <t>1992-03-30</t>
        </is>
      </c>
      <c r="Y2446" t="n">
        <v>285</v>
      </c>
      <c r="Z2446" t="n">
        <v>259</v>
      </c>
      <c r="AA2446" t="n">
        <v>272</v>
      </c>
      <c r="AB2446" t="n">
        <v>7</v>
      </c>
      <c r="AC2446" t="n">
        <v>7</v>
      </c>
      <c r="AD2446" t="n">
        <v>30</v>
      </c>
      <c r="AE2446" t="n">
        <v>31</v>
      </c>
      <c r="AF2446" t="n">
        <v>10</v>
      </c>
      <c r="AG2446" t="n">
        <v>10</v>
      </c>
      <c r="AH2446" t="n">
        <v>7</v>
      </c>
      <c r="AI2446" t="n">
        <v>7</v>
      </c>
      <c r="AJ2446" t="n">
        <v>22</v>
      </c>
      <c r="AK2446" t="n">
        <v>23</v>
      </c>
      <c r="AL2446" t="n">
        <v>2</v>
      </c>
      <c r="AM2446" t="n">
        <v>2</v>
      </c>
      <c r="AN2446" t="n">
        <v>0</v>
      </c>
      <c r="AO2446" t="n">
        <v>0</v>
      </c>
      <c r="AP2446" t="inlineStr">
        <is>
          <t>No</t>
        </is>
      </c>
      <c r="AQ2446" t="inlineStr">
        <is>
          <t>Yes</t>
        </is>
      </c>
      <c r="AR2446">
        <f>HYPERLINK("http://catalog.hathitrust.org/Record/100953746","HathiTrust Record")</f>
        <v/>
      </c>
      <c r="AS2446">
        <f>HYPERLINK("https://creighton-primo.hosted.exlibrisgroup.com/primo-explore/search?tab=default_tab&amp;search_scope=EVERYTHING&amp;vid=01CRU&amp;lang=en_US&amp;offset=0&amp;query=any,contains,991003924309702656","Catalog Record")</f>
        <v/>
      </c>
      <c r="AT2446">
        <f>HYPERLINK("http://www.worldcat.org/oclc/1878785","WorldCat Record")</f>
        <v/>
      </c>
      <c r="AU2446" t="inlineStr">
        <is>
          <t>12082180:eng</t>
        </is>
      </c>
      <c r="AV2446" t="inlineStr">
        <is>
          <t>1878785</t>
        </is>
      </c>
      <c r="AW2446" t="inlineStr">
        <is>
          <t>991003924309702656</t>
        </is>
      </c>
      <c r="AX2446" t="inlineStr">
        <is>
          <t>991003924309702656</t>
        </is>
      </c>
      <c r="AY2446" t="inlineStr">
        <is>
          <t>2260285880002656</t>
        </is>
      </c>
      <c r="AZ2446" t="inlineStr">
        <is>
          <t>BOOK</t>
        </is>
      </c>
      <c r="BC2446" t="inlineStr">
        <is>
          <t>32285001004778</t>
        </is>
      </c>
      <c r="BD2446" t="inlineStr">
        <is>
          <t>893894365</t>
        </is>
      </c>
    </row>
    <row r="2447">
      <c r="A2447" t="inlineStr">
        <is>
          <t>No</t>
        </is>
      </c>
      <c r="B2447" t="inlineStr">
        <is>
          <t>BX4705.N5 A25 1990</t>
        </is>
      </c>
      <c r="C2447" t="inlineStr">
        <is>
          <t>0                      BX 4705000N  5                  A  25          1990</t>
        </is>
      </c>
      <c r="D2447" t="inlineStr">
        <is>
          <t>Newman the theologian : a reader / [edited by] Ian Ker.</t>
        </is>
      </c>
      <c r="F2447" t="inlineStr">
        <is>
          <t>No</t>
        </is>
      </c>
      <c r="G2447" t="inlineStr">
        <is>
          <t>1</t>
        </is>
      </c>
      <c r="H2447" t="inlineStr">
        <is>
          <t>No</t>
        </is>
      </c>
      <c r="I2447" t="inlineStr">
        <is>
          <t>No</t>
        </is>
      </c>
      <c r="J2447" t="inlineStr">
        <is>
          <t>0</t>
        </is>
      </c>
      <c r="K2447" t="inlineStr">
        <is>
          <t>Newman, John Henry, 1801-1890.</t>
        </is>
      </c>
      <c r="L2447" t="inlineStr">
        <is>
          <t>Notre Dame, Indiana : University of Notre Dame Press, 1990.</t>
        </is>
      </c>
      <c r="M2447" t="inlineStr">
        <is>
          <t>1990</t>
        </is>
      </c>
      <c r="O2447" t="inlineStr">
        <is>
          <t>eng</t>
        </is>
      </c>
      <c r="P2447" t="inlineStr">
        <is>
          <t>inu</t>
        </is>
      </c>
      <c r="R2447" t="inlineStr">
        <is>
          <t xml:space="preserve">BX </t>
        </is>
      </c>
      <c r="S2447" t="n">
        <v>6</v>
      </c>
      <c r="T2447" t="n">
        <v>6</v>
      </c>
      <c r="U2447" t="inlineStr">
        <is>
          <t>2008-04-12</t>
        </is>
      </c>
      <c r="V2447" t="inlineStr">
        <is>
          <t>2008-04-12</t>
        </is>
      </c>
      <c r="W2447" t="inlineStr">
        <is>
          <t>1994-02-01</t>
        </is>
      </c>
      <c r="X2447" t="inlineStr">
        <is>
          <t>1994-02-01</t>
        </is>
      </c>
      <c r="Y2447" t="n">
        <v>236</v>
      </c>
      <c r="Z2447" t="n">
        <v>208</v>
      </c>
      <c r="AA2447" t="n">
        <v>226</v>
      </c>
      <c r="AB2447" t="n">
        <v>2</v>
      </c>
      <c r="AC2447" t="n">
        <v>2</v>
      </c>
      <c r="AD2447" t="n">
        <v>19</v>
      </c>
      <c r="AE2447" t="n">
        <v>21</v>
      </c>
      <c r="AF2447" t="n">
        <v>6</v>
      </c>
      <c r="AG2447" t="n">
        <v>7</v>
      </c>
      <c r="AH2447" t="n">
        <v>5</v>
      </c>
      <c r="AI2447" t="n">
        <v>6</v>
      </c>
      <c r="AJ2447" t="n">
        <v>13</v>
      </c>
      <c r="AK2447" t="n">
        <v>14</v>
      </c>
      <c r="AL2447" t="n">
        <v>1</v>
      </c>
      <c r="AM2447" t="n">
        <v>1</v>
      </c>
      <c r="AN2447" t="n">
        <v>0</v>
      </c>
      <c r="AO2447" t="n">
        <v>0</v>
      </c>
      <c r="AP2447" t="inlineStr">
        <is>
          <t>No</t>
        </is>
      </c>
      <c r="AQ2447" t="inlineStr">
        <is>
          <t>Yes</t>
        </is>
      </c>
      <c r="AR2447">
        <f>HYPERLINK("http://catalog.hathitrust.org/Record/002972513","HathiTrust Record")</f>
        <v/>
      </c>
      <c r="AS2447">
        <f>HYPERLINK("https://creighton-primo.hosted.exlibrisgroup.com/primo-explore/search?tab=default_tab&amp;search_scope=EVERYTHING&amp;vid=01CRU&amp;lang=en_US&amp;offset=0&amp;query=any,contains,991001774689702656","Catalog Record")</f>
        <v/>
      </c>
      <c r="AT2447">
        <f>HYPERLINK("http://www.worldcat.org/oclc/22412967","WorldCat Record")</f>
        <v/>
      </c>
      <c r="AU2447" t="inlineStr">
        <is>
          <t>476677862:eng</t>
        </is>
      </c>
      <c r="AV2447" t="inlineStr">
        <is>
          <t>22412967</t>
        </is>
      </c>
      <c r="AW2447" t="inlineStr">
        <is>
          <t>991001774689702656</t>
        </is>
      </c>
      <c r="AX2447" t="inlineStr">
        <is>
          <t>991001774689702656</t>
        </is>
      </c>
      <c r="AY2447" t="inlineStr">
        <is>
          <t>2267848000002656</t>
        </is>
      </c>
      <c r="AZ2447" t="inlineStr">
        <is>
          <t>BOOK</t>
        </is>
      </c>
      <c r="BB2447" t="inlineStr">
        <is>
          <t>9780268014698</t>
        </is>
      </c>
      <c r="BC2447" t="inlineStr">
        <is>
          <t>32285001834570</t>
        </is>
      </c>
      <c r="BD2447" t="inlineStr">
        <is>
          <t>893872791</t>
        </is>
      </c>
    </row>
    <row r="2448">
      <c r="A2448" t="inlineStr">
        <is>
          <t>No</t>
        </is>
      </c>
      <c r="B2448" t="inlineStr">
        <is>
          <t>BX4705.N5 A41 1983</t>
        </is>
      </c>
      <c r="C2448" t="inlineStr">
        <is>
          <t>0                      BX 4705000N  5                  A  41          1983</t>
        </is>
      </c>
      <c r="D2448" t="inlineStr">
        <is>
          <t>A packet of letters : a selection from the correspondence of John Henry Newman / edited with an introduction by Joyce Sugg.</t>
        </is>
      </c>
      <c r="F2448" t="inlineStr">
        <is>
          <t>No</t>
        </is>
      </c>
      <c r="G2448" t="inlineStr">
        <is>
          <t>1</t>
        </is>
      </c>
      <c r="H2448" t="inlineStr">
        <is>
          <t>No</t>
        </is>
      </c>
      <c r="I2448" t="inlineStr">
        <is>
          <t>No</t>
        </is>
      </c>
      <c r="J2448" t="inlineStr">
        <is>
          <t>0</t>
        </is>
      </c>
      <c r="K2448" t="inlineStr">
        <is>
          <t>Newman, John Henry, 1801-1890.</t>
        </is>
      </c>
      <c r="L2448" t="inlineStr">
        <is>
          <t>Oxford [Oxfordshire] : Clarendon Press, 1983.</t>
        </is>
      </c>
      <c r="M2448" t="inlineStr">
        <is>
          <t>1983</t>
        </is>
      </c>
      <c r="O2448" t="inlineStr">
        <is>
          <t>eng</t>
        </is>
      </c>
      <c r="P2448" t="inlineStr">
        <is>
          <t>enk</t>
        </is>
      </c>
      <c r="R2448" t="inlineStr">
        <is>
          <t xml:space="preserve">BX </t>
        </is>
      </c>
      <c r="S2448" t="n">
        <v>5</v>
      </c>
      <c r="T2448" t="n">
        <v>5</v>
      </c>
      <c r="U2448" t="inlineStr">
        <is>
          <t>1996-09-16</t>
        </is>
      </c>
      <c r="V2448" t="inlineStr">
        <is>
          <t>1996-09-16</t>
        </is>
      </c>
      <c r="W2448" t="inlineStr">
        <is>
          <t>1992-03-30</t>
        </is>
      </c>
      <c r="X2448" t="inlineStr">
        <is>
          <t>1992-03-30</t>
        </is>
      </c>
      <c r="Y2448" t="n">
        <v>462</v>
      </c>
      <c r="Z2448" t="n">
        <v>360</v>
      </c>
      <c r="AA2448" t="n">
        <v>362</v>
      </c>
      <c r="AB2448" t="n">
        <v>3</v>
      </c>
      <c r="AC2448" t="n">
        <v>3</v>
      </c>
      <c r="AD2448" t="n">
        <v>25</v>
      </c>
      <c r="AE2448" t="n">
        <v>25</v>
      </c>
      <c r="AF2448" t="n">
        <v>11</v>
      </c>
      <c r="AG2448" t="n">
        <v>11</v>
      </c>
      <c r="AH2448" t="n">
        <v>7</v>
      </c>
      <c r="AI2448" t="n">
        <v>7</v>
      </c>
      <c r="AJ2448" t="n">
        <v>15</v>
      </c>
      <c r="AK2448" t="n">
        <v>15</v>
      </c>
      <c r="AL2448" t="n">
        <v>1</v>
      </c>
      <c r="AM2448" t="n">
        <v>1</v>
      </c>
      <c r="AN2448" t="n">
        <v>0</v>
      </c>
      <c r="AO2448" t="n">
        <v>0</v>
      </c>
      <c r="AP2448" t="inlineStr">
        <is>
          <t>No</t>
        </is>
      </c>
      <c r="AQ2448" t="inlineStr">
        <is>
          <t>Yes</t>
        </is>
      </c>
      <c r="AR2448">
        <f>HYPERLINK("http://catalog.hathitrust.org/Record/000153776","HathiTrust Record")</f>
        <v/>
      </c>
      <c r="AS2448">
        <f>HYPERLINK("https://creighton-primo.hosted.exlibrisgroup.com/primo-explore/search?tab=default_tab&amp;search_scope=EVERYTHING&amp;vid=01CRU&amp;lang=en_US&amp;offset=0&amp;query=any,contains,991005240179702656","Catalog Record")</f>
        <v/>
      </c>
      <c r="AT2448">
        <f>HYPERLINK("http://www.worldcat.org/oclc/8410296","WorldCat Record")</f>
        <v/>
      </c>
      <c r="AU2448" t="inlineStr">
        <is>
          <t>836692578:eng</t>
        </is>
      </c>
      <c r="AV2448" t="inlineStr">
        <is>
          <t>8410296</t>
        </is>
      </c>
      <c r="AW2448" t="inlineStr">
        <is>
          <t>991005240179702656</t>
        </is>
      </c>
      <c r="AX2448" t="inlineStr">
        <is>
          <t>991005240179702656</t>
        </is>
      </c>
      <c r="AY2448" t="inlineStr">
        <is>
          <t>2259142040002656</t>
        </is>
      </c>
      <c r="AZ2448" t="inlineStr">
        <is>
          <t>BOOK</t>
        </is>
      </c>
      <c r="BB2448" t="inlineStr">
        <is>
          <t>9780198264422</t>
        </is>
      </c>
      <c r="BC2448" t="inlineStr">
        <is>
          <t>32285001046019</t>
        </is>
      </c>
      <c r="BD2448" t="inlineStr">
        <is>
          <t>893694969</t>
        </is>
      </c>
    </row>
    <row r="2449">
      <c r="A2449" t="inlineStr">
        <is>
          <t>No</t>
        </is>
      </c>
      <c r="B2449" t="inlineStr">
        <is>
          <t>BX4705.N5 B37</t>
        </is>
      </c>
      <c r="C2449" t="inlineStr">
        <is>
          <t>0                      BX 4705000N  5                  B  37</t>
        </is>
      </c>
      <c r="D2449" t="inlineStr">
        <is>
          <t>Newman and Gladstone : centennial essays / edited by James D. Bastable.</t>
        </is>
      </c>
      <c r="F2449" t="inlineStr">
        <is>
          <t>No</t>
        </is>
      </c>
      <c r="G2449" t="inlineStr">
        <is>
          <t>1</t>
        </is>
      </c>
      <c r="H2449" t="inlineStr">
        <is>
          <t>No</t>
        </is>
      </c>
      <c r="I2449" t="inlineStr">
        <is>
          <t>No</t>
        </is>
      </c>
      <c r="J2449" t="inlineStr">
        <is>
          <t>0</t>
        </is>
      </c>
      <c r="L2449" t="inlineStr">
        <is>
          <t>Dublin : Veritas Publications, 1978.</t>
        </is>
      </c>
      <c r="M2449" t="inlineStr">
        <is>
          <t>1978</t>
        </is>
      </c>
      <c r="O2449" t="inlineStr">
        <is>
          <t>eng</t>
        </is>
      </c>
      <c r="P2449" t="inlineStr">
        <is>
          <t>iek</t>
        </is>
      </c>
      <c r="R2449" t="inlineStr">
        <is>
          <t xml:space="preserve">BX </t>
        </is>
      </c>
      <c r="S2449" t="n">
        <v>7</v>
      </c>
      <c r="T2449" t="n">
        <v>7</v>
      </c>
      <c r="U2449" t="inlineStr">
        <is>
          <t>2007-06-26</t>
        </is>
      </c>
      <c r="V2449" t="inlineStr">
        <is>
          <t>2007-06-26</t>
        </is>
      </c>
      <c r="W2449" t="inlineStr">
        <is>
          <t>1993-07-12</t>
        </is>
      </c>
      <c r="X2449" t="inlineStr">
        <is>
          <t>1993-07-12</t>
        </is>
      </c>
      <c r="Y2449" t="n">
        <v>101</v>
      </c>
      <c r="Z2449" t="n">
        <v>55</v>
      </c>
      <c r="AA2449" t="n">
        <v>55</v>
      </c>
      <c r="AB2449" t="n">
        <v>1</v>
      </c>
      <c r="AC2449" t="n">
        <v>1</v>
      </c>
      <c r="AD2449" t="n">
        <v>7</v>
      </c>
      <c r="AE2449" t="n">
        <v>7</v>
      </c>
      <c r="AF2449" t="n">
        <v>2</v>
      </c>
      <c r="AG2449" t="n">
        <v>2</v>
      </c>
      <c r="AH2449" t="n">
        <v>1</v>
      </c>
      <c r="AI2449" t="n">
        <v>1</v>
      </c>
      <c r="AJ2449" t="n">
        <v>7</v>
      </c>
      <c r="AK2449" t="n">
        <v>7</v>
      </c>
      <c r="AL2449" t="n">
        <v>0</v>
      </c>
      <c r="AM2449" t="n">
        <v>0</v>
      </c>
      <c r="AN2449" t="n">
        <v>0</v>
      </c>
      <c r="AO2449" t="n">
        <v>0</v>
      </c>
      <c r="AP2449" t="inlineStr">
        <is>
          <t>No</t>
        </is>
      </c>
      <c r="AQ2449" t="inlineStr">
        <is>
          <t>No</t>
        </is>
      </c>
      <c r="AS2449">
        <f>HYPERLINK("https://creighton-primo.hosted.exlibrisgroup.com/primo-explore/search?tab=default_tab&amp;search_scope=EVERYTHING&amp;vid=01CRU&amp;lang=en_US&amp;offset=0&amp;query=any,contains,991004905969702656","Catalog Record")</f>
        <v/>
      </c>
      <c r="AT2449">
        <f>HYPERLINK("http://www.worldcat.org/oclc/6093397","WorldCat Record")</f>
        <v/>
      </c>
      <c r="AU2449" t="inlineStr">
        <is>
          <t>21071320:eng</t>
        </is>
      </c>
      <c r="AV2449" t="inlineStr">
        <is>
          <t>6093397</t>
        </is>
      </c>
      <c r="AW2449" t="inlineStr">
        <is>
          <t>991004905969702656</t>
        </is>
      </c>
      <c r="AX2449" t="inlineStr">
        <is>
          <t>991004905969702656</t>
        </is>
      </c>
      <c r="AY2449" t="inlineStr">
        <is>
          <t>2259810620002656</t>
        </is>
      </c>
      <c r="AZ2449" t="inlineStr">
        <is>
          <t>BOOK</t>
        </is>
      </c>
      <c r="BB2449" t="inlineStr">
        <is>
          <t>9780905092638</t>
        </is>
      </c>
      <c r="BC2449" t="inlineStr">
        <is>
          <t>32285001046027</t>
        </is>
      </c>
      <c r="BD2449" t="inlineStr">
        <is>
          <t>893713189</t>
        </is>
      </c>
    </row>
    <row r="2450">
      <c r="A2450" t="inlineStr">
        <is>
          <t>No</t>
        </is>
      </c>
      <c r="B2450" t="inlineStr">
        <is>
          <t>BX4705.N5 B56 1993</t>
        </is>
      </c>
      <c r="C2450" t="inlineStr">
        <is>
          <t>0                      BX 4705000N  5                  B  56          1993</t>
        </is>
      </c>
      <c r="D2450" t="inlineStr">
        <is>
          <t>The white stone : the spiritual theology of John Henry Newman / Vincent Ferrer Blehl.</t>
        </is>
      </c>
      <c r="F2450" t="inlineStr">
        <is>
          <t>No</t>
        </is>
      </c>
      <c r="G2450" t="inlineStr">
        <is>
          <t>1</t>
        </is>
      </c>
      <c r="H2450" t="inlineStr">
        <is>
          <t>No</t>
        </is>
      </c>
      <c r="I2450" t="inlineStr">
        <is>
          <t>No</t>
        </is>
      </c>
      <c r="J2450" t="inlineStr">
        <is>
          <t>0</t>
        </is>
      </c>
      <c r="K2450" t="inlineStr">
        <is>
          <t>Blehl, Vincent Ferrer.</t>
        </is>
      </c>
      <c r="L2450" t="inlineStr">
        <is>
          <t>Petersham, Mass. : St. Bede's Publications, [1993].</t>
        </is>
      </c>
      <c r="M2450" t="inlineStr">
        <is>
          <t>1993</t>
        </is>
      </c>
      <c r="O2450" t="inlineStr">
        <is>
          <t>eng</t>
        </is>
      </c>
      <c r="P2450" t="inlineStr">
        <is>
          <t>mau</t>
        </is>
      </c>
      <c r="R2450" t="inlineStr">
        <is>
          <t xml:space="preserve">BX </t>
        </is>
      </c>
      <c r="S2450" t="n">
        <v>3</v>
      </c>
      <c r="T2450" t="n">
        <v>3</v>
      </c>
      <c r="U2450" t="inlineStr">
        <is>
          <t>2002-12-03</t>
        </is>
      </c>
      <c r="V2450" t="inlineStr">
        <is>
          <t>2002-12-03</t>
        </is>
      </c>
      <c r="W2450" t="inlineStr">
        <is>
          <t>1996-10-11</t>
        </is>
      </c>
      <c r="X2450" t="inlineStr">
        <is>
          <t>1996-10-11</t>
        </is>
      </c>
      <c r="Y2450" t="n">
        <v>137</v>
      </c>
      <c r="Z2450" t="n">
        <v>111</v>
      </c>
      <c r="AA2450" t="n">
        <v>111</v>
      </c>
      <c r="AB2450" t="n">
        <v>2</v>
      </c>
      <c r="AC2450" t="n">
        <v>2</v>
      </c>
      <c r="AD2450" t="n">
        <v>16</v>
      </c>
      <c r="AE2450" t="n">
        <v>16</v>
      </c>
      <c r="AF2450" t="n">
        <v>6</v>
      </c>
      <c r="AG2450" t="n">
        <v>6</v>
      </c>
      <c r="AH2450" t="n">
        <v>3</v>
      </c>
      <c r="AI2450" t="n">
        <v>3</v>
      </c>
      <c r="AJ2450" t="n">
        <v>12</v>
      </c>
      <c r="AK2450" t="n">
        <v>12</v>
      </c>
      <c r="AL2450" t="n">
        <v>0</v>
      </c>
      <c r="AM2450" t="n">
        <v>0</v>
      </c>
      <c r="AN2450" t="n">
        <v>0</v>
      </c>
      <c r="AO2450" t="n">
        <v>0</v>
      </c>
      <c r="AP2450" t="inlineStr">
        <is>
          <t>No</t>
        </is>
      </c>
      <c r="AQ2450" t="inlineStr">
        <is>
          <t>No</t>
        </is>
      </c>
      <c r="AS2450">
        <f>HYPERLINK("https://creighton-primo.hosted.exlibrisgroup.com/primo-explore/search?tab=default_tab&amp;search_scope=EVERYTHING&amp;vid=01CRU&amp;lang=en_US&amp;offset=0&amp;query=any,contains,991002234529702656","Catalog Record")</f>
        <v/>
      </c>
      <c r="AT2450">
        <f>HYPERLINK("http://www.worldcat.org/oclc/28800169","WorldCat Record")</f>
        <v/>
      </c>
      <c r="AU2450" t="inlineStr">
        <is>
          <t>434583514:eng</t>
        </is>
      </c>
      <c r="AV2450" t="inlineStr">
        <is>
          <t>28800169</t>
        </is>
      </c>
      <c r="AW2450" t="inlineStr">
        <is>
          <t>991002234529702656</t>
        </is>
      </c>
      <c r="AX2450" t="inlineStr">
        <is>
          <t>991002234529702656</t>
        </is>
      </c>
      <c r="AY2450" t="inlineStr">
        <is>
          <t>2258729370002656</t>
        </is>
      </c>
      <c r="AZ2450" t="inlineStr">
        <is>
          <t>BOOK</t>
        </is>
      </c>
      <c r="BB2450" t="inlineStr">
        <is>
          <t>9781879007031</t>
        </is>
      </c>
      <c r="BC2450" t="inlineStr">
        <is>
          <t>32285002365624</t>
        </is>
      </c>
      <c r="BD2450" t="inlineStr">
        <is>
          <t>893257053</t>
        </is>
      </c>
    </row>
    <row r="2451">
      <c r="A2451" t="inlineStr">
        <is>
          <t>No</t>
        </is>
      </c>
      <c r="B2451" t="inlineStr">
        <is>
          <t>BX4705.N5 C37 1989</t>
        </is>
      </c>
      <c r="C2451" t="inlineStr">
        <is>
          <t>0                      BX 4705000N  5                  C  37          1989</t>
        </is>
      </c>
      <c r="D2451" t="inlineStr">
        <is>
          <t>John Henry Cardinal Newman, 1801-1890, founder of the English Oratories : positio super virtutibus / Congregation for the Causes of the Saints.</t>
        </is>
      </c>
      <c r="E2451" t="inlineStr">
        <is>
          <t>V.1</t>
        </is>
      </c>
      <c r="F2451" t="inlineStr">
        <is>
          <t>Yes</t>
        </is>
      </c>
      <c r="G2451" t="inlineStr">
        <is>
          <t>1</t>
        </is>
      </c>
      <c r="H2451" t="inlineStr">
        <is>
          <t>No</t>
        </is>
      </c>
      <c r="I2451" t="inlineStr">
        <is>
          <t>No</t>
        </is>
      </c>
      <c r="J2451" t="inlineStr">
        <is>
          <t>0</t>
        </is>
      </c>
      <c r="K2451" t="inlineStr">
        <is>
          <t>Catholic Church. Congregatio pro Causis Sanctorum.</t>
        </is>
      </c>
      <c r="L2451" t="inlineStr">
        <is>
          <t>Rome ; Birmingham : V.F. Blehl : The Oratory, 1989.</t>
        </is>
      </c>
      <c r="M2451" t="inlineStr">
        <is>
          <t>1989</t>
        </is>
      </c>
      <c r="O2451" t="inlineStr">
        <is>
          <t>eng</t>
        </is>
      </c>
      <c r="P2451" t="inlineStr">
        <is>
          <t xml:space="preserve">it </t>
        </is>
      </c>
      <c r="R2451" t="inlineStr">
        <is>
          <t xml:space="preserve">BX </t>
        </is>
      </c>
      <c r="S2451" t="n">
        <v>4</v>
      </c>
      <c r="T2451" t="n">
        <v>5</v>
      </c>
      <c r="U2451" t="inlineStr">
        <is>
          <t>1993-04-28</t>
        </is>
      </c>
      <c r="V2451" t="inlineStr">
        <is>
          <t>1993-04-28</t>
        </is>
      </c>
      <c r="W2451" t="inlineStr">
        <is>
          <t>1991-11-05</t>
        </is>
      </c>
      <c r="X2451" t="inlineStr">
        <is>
          <t>1991-11-05</t>
        </is>
      </c>
      <c r="Y2451" t="n">
        <v>25</v>
      </c>
      <c r="Z2451" t="n">
        <v>23</v>
      </c>
      <c r="AA2451" t="n">
        <v>23</v>
      </c>
      <c r="AB2451" t="n">
        <v>1</v>
      </c>
      <c r="AC2451" t="n">
        <v>1</v>
      </c>
      <c r="AD2451" t="n">
        <v>9</v>
      </c>
      <c r="AE2451" t="n">
        <v>9</v>
      </c>
      <c r="AF2451" t="n">
        <v>3</v>
      </c>
      <c r="AG2451" t="n">
        <v>3</v>
      </c>
      <c r="AH2451" t="n">
        <v>2</v>
      </c>
      <c r="AI2451" t="n">
        <v>2</v>
      </c>
      <c r="AJ2451" t="n">
        <v>7</v>
      </c>
      <c r="AK2451" t="n">
        <v>7</v>
      </c>
      <c r="AL2451" t="n">
        <v>0</v>
      </c>
      <c r="AM2451" t="n">
        <v>0</v>
      </c>
      <c r="AN2451" t="n">
        <v>0</v>
      </c>
      <c r="AO2451" t="n">
        <v>0</v>
      </c>
      <c r="AP2451" t="inlineStr">
        <is>
          <t>No</t>
        </is>
      </c>
      <c r="AQ2451" t="inlineStr">
        <is>
          <t>No</t>
        </is>
      </c>
      <c r="AS2451">
        <f>HYPERLINK("https://creighton-primo.hosted.exlibrisgroup.com/primo-explore/search?tab=default_tab&amp;search_scope=EVERYTHING&amp;vid=01CRU&amp;lang=en_US&amp;offset=0&amp;query=any,contains,991001916239702656","Catalog Record")</f>
        <v/>
      </c>
      <c r="AT2451">
        <f>HYPERLINK("http://www.worldcat.org/oclc/24193204","WorldCat Record")</f>
        <v/>
      </c>
      <c r="AU2451" t="inlineStr">
        <is>
          <t>1812301113:eng</t>
        </is>
      </c>
      <c r="AV2451" t="inlineStr">
        <is>
          <t>24193204</t>
        </is>
      </c>
      <c r="AW2451" t="inlineStr">
        <is>
          <t>991001916239702656</t>
        </is>
      </c>
      <c r="AX2451" t="inlineStr">
        <is>
          <t>991001916239702656</t>
        </is>
      </c>
      <c r="AY2451" t="inlineStr">
        <is>
          <t>2272478650002656</t>
        </is>
      </c>
      <c r="AZ2451" t="inlineStr">
        <is>
          <t>BOOK</t>
        </is>
      </c>
      <c r="BC2451" t="inlineStr">
        <is>
          <t>32285000717305</t>
        </is>
      </c>
      <c r="BD2451" t="inlineStr">
        <is>
          <t>893773018</t>
        </is>
      </c>
    </row>
    <row r="2452">
      <c r="A2452" t="inlineStr">
        <is>
          <t>No</t>
        </is>
      </c>
      <c r="B2452" t="inlineStr">
        <is>
          <t>BX4705.N5 C37 1989</t>
        </is>
      </c>
      <c r="C2452" t="inlineStr">
        <is>
          <t>0                      BX 4705000N  5                  C  37          1989</t>
        </is>
      </c>
      <c r="D2452" t="inlineStr">
        <is>
          <t>John Henry Cardinal Newman, 1801-1890, founder of the English Oratories : positio super virtutibus / Congregation for the Causes of the Saints.</t>
        </is>
      </c>
      <c r="E2452" t="inlineStr">
        <is>
          <t>V.2</t>
        </is>
      </c>
      <c r="F2452" t="inlineStr">
        <is>
          <t>Yes</t>
        </is>
      </c>
      <c r="G2452" t="inlineStr">
        <is>
          <t>1</t>
        </is>
      </c>
      <c r="H2452" t="inlineStr">
        <is>
          <t>No</t>
        </is>
      </c>
      <c r="I2452" t="inlineStr">
        <is>
          <t>No</t>
        </is>
      </c>
      <c r="J2452" t="inlineStr">
        <is>
          <t>0</t>
        </is>
      </c>
      <c r="K2452" t="inlineStr">
        <is>
          <t>Catholic Church. Congregatio pro Causis Sanctorum.</t>
        </is>
      </c>
      <c r="L2452" t="inlineStr">
        <is>
          <t>Rome ; Birmingham : V.F. Blehl : The Oratory, 1989.</t>
        </is>
      </c>
      <c r="M2452" t="inlineStr">
        <is>
          <t>1989</t>
        </is>
      </c>
      <c r="O2452" t="inlineStr">
        <is>
          <t>eng</t>
        </is>
      </c>
      <c r="P2452" t="inlineStr">
        <is>
          <t xml:space="preserve">it </t>
        </is>
      </c>
      <c r="R2452" t="inlineStr">
        <is>
          <t xml:space="preserve">BX </t>
        </is>
      </c>
      <c r="S2452" t="n">
        <v>1</v>
      </c>
      <c r="T2452" t="n">
        <v>5</v>
      </c>
      <c r="V2452" t="inlineStr">
        <is>
          <t>1993-04-28</t>
        </is>
      </c>
      <c r="W2452" t="inlineStr">
        <is>
          <t>1991-11-05</t>
        </is>
      </c>
      <c r="X2452" t="inlineStr">
        <is>
          <t>1991-11-05</t>
        </is>
      </c>
      <c r="Y2452" t="n">
        <v>25</v>
      </c>
      <c r="Z2452" t="n">
        <v>23</v>
      </c>
      <c r="AA2452" t="n">
        <v>23</v>
      </c>
      <c r="AB2452" t="n">
        <v>1</v>
      </c>
      <c r="AC2452" t="n">
        <v>1</v>
      </c>
      <c r="AD2452" t="n">
        <v>9</v>
      </c>
      <c r="AE2452" t="n">
        <v>9</v>
      </c>
      <c r="AF2452" t="n">
        <v>3</v>
      </c>
      <c r="AG2452" t="n">
        <v>3</v>
      </c>
      <c r="AH2452" t="n">
        <v>2</v>
      </c>
      <c r="AI2452" t="n">
        <v>2</v>
      </c>
      <c r="AJ2452" t="n">
        <v>7</v>
      </c>
      <c r="AK2452" t="n">
        <v>7</v>
      </c>
      <c r="AL2452" t="n">
        <v>0</v>
      </c>
      <c r="AM2452" t="n">
        <v>0</v>
      </c>
      <c r="AN2452" t="n">
        <v>0</v>
      </c>
      <c r="AO2452" t="n">
        <v>0</v>
      </c>
      <c r="AP2452" t="inlineStr">
        <is>
          <t>No</t>
        </is>
      </c>
      <c r="AQ2452" t="inlineStr">
        <is>
          <t>No</t>
        </is>
      </c>
      <c r="AS2452">
        <f>HYPERLINK("https://creighton-primo.hosted.exlibrisgroup.com/primo-explore/search?tab=default_tab&amp;search_scope=EVERYTHING&amp;vid=01CRU&amp;lang=en_US&amp;offset=0&amp;query=any,contains,991001916239702656","Catalog Record")</f>
        <v/>
      </c>
      <c r="AT2452">
        <f>HYPERLINK("http://www.worldcat.org/oclc/24193204","WorldCat Record")</f>
        <v/>
      </c>
      <c r="AU2452" t="inlineStr">
        <is>
          <t>1812301113:eng</t>
        </is>
      </c>
      <c r="AV2452" t="inlineStr">
        <is>
          <t>24193204</t>
        </is>
      </c>
      <c r="AW2452" t="inlineStr">
        <is>
          <t>991001916239702656</t>
        </is>
      </c>
      <c r="AX2452" t="inlineStr">
        <is>
          <t>991001916239702656</t>
        </is>
      </c>
      <c r="AY2452" t="inlineStr">
        <is>
          <t>2272478650002656</t>
        </is>
      </c>
      <c r="AZ2452" t="inlineStr">
        <is>
          <t>BOOK</t>
        </is>
      </c>
      <c r="BC2452" t="inlineStr">
        <is>
          <t>32285000717313</t>
        </is>
      </c>
      <c r="BD2452" t="inlineStr">
        <is>
          <t>893773017</t>
        </is>
      </c>
    </row>
    <row r="2453">
      <c r="A2453" t="inlineStr">
        <is>
          <t>No</t>
        </is>
      </c>
      <c r="B2453" t="inlineStr">
        <is>
          <t>BX4705.N5 C5 1983</t>
        </is>
      </c>
      <c r="C2453" t="inlineStr">
        <is>
          <t>0                      BX 4705000N  5                  C  5           1983</t>
        </is>
      </c>
      <c r="D2453" t="inlineStr">
        <is>
          <t>Newman / Owen Chadwick.</t>
        </is>
      </c>
      <c r="F2453" t="inlineStr">
        <is>
          <t>No</t>
        </is>
      </c>
      <c r="G2453" t="inlineStr">
        <is>
          <t>1</t>
        </is>
      </c>
      <c r="H2453" t="inlineStr">
        <is>
          <t>No</t>
        </is>
      </c>
      <c r="I2453" t="inlineStr">
        <is>
          <t>No</t>
        </is>
      </c>
      <c r="J2453" t="inlineStr">
        <is>
          <t>0</t>
        </is>
      </c>
      <c r="K2453" t="inlineStr">
        <is>
          <t>Chadwick, Owen.</t>
        </is>
      </c>
      <c r="L2453" t="inlineStr">
        <is>
          <t>Oxford ; New York : Oxford University Press, 1983.</t>
        </is>
      </c>
      <c r="M2453" t="inlineStr">
        <is>
          <t>1983</t>
        </is>
      </c>
      <c r="O2453" t="inlineStr">
        <is>
          <t>eng</t>
        </is>
      </c>
      <c r="P2453" t="inlineStr">
        <is>
          <t>enk</t>
        </is>
      </c>
      <c r="Q2453" t="inlineStr">
        <is>
          <t>Past masters</t>
        </is>
      </c>
      <c r="R2453" t="inlineStr">
        <is>
          <t xml:space="preserve">BX </t>
        </is>
      </c>
      <c r="S2453" t="n">
        <v>7</v>
      </c>
      <c r="T2453" t="n">
        <v>7</v>
      </c>
      <c r="U2453" t="inlineStr">
        <is>
          <t>2008-04-12</t>
        </is>
      </c>
      <c r="V2453" t="inlineStr">
        <is>
          <t>2008-04-12</t>
        </is>
      </c>
      <c r="W2453" t="inlineStr">
        <is>
          <t>1992-03-30</t>
        </is>
      </c>
      <c r="X2453" t="inlineStr">
        <is>
          <t>1992-03-30</t>
        </is>
      </c>
      <c r="Y2453" t="n">
        <v>710</v>
      </c>
      <c r="Z2453" t="n">
        <v>529</v>
      </c>
      <c r="AA2453" t="n">
        <v>533</v>
      </c>
      <c r="AB2453" t="n">
        <v>5</v>
      </c>
      <c r="AC2453" t="n">
        <v>5</v>
      </c>
      <c r="AD2453" t="n">
        <v>35</v>
      </c>
      <c r="AE2453" t="n">
        <v>35</v>
      </c>
      <c r="AF2453" t="n">
        <v>15</v>
      </c>
      <c r="AG2453" t="n">
        <v>15</v>
      </c>
      <c r="AH2453" t="n">
        <v>8</v>
      </c>
      <c r="AI2453" t="n">
        <v>8</v>
      </c>
      <c r="AJ2453" t="n">
        <v>20</v>
      </c>
      <c r="AK2453" t="n">
        <v>20</v>
      </c>
      <c r="AL2453" t="n">
        <v>3</v>
      </c>
      <c r="AM2453" t="n">
        <v>3</v>
      </c>
      <c r="AN2453" t="n">
        <v>0</v>
      </c>
      <c r="AO2453" t="n">
        <v>0</v>
      </c>
      <c r="AP2453" t="inlineStr">
        <is>
          <t>No</t>
        </is>
      </c>
      <c r="AQ2453" t="inlineStr">
        <is>
          <t>Yes</t>
        </is>
      </c>
      <c r="AR2453">
        <f>HYPERLINK("http://catalog.hathitrust.org/Record/002551157","HathiTrust Record")</f>
        <v/>
      </c>
      <c r="AS2453">
        <f>HYPERLINK("https://creighton-primo.hosted.exlibrisgroup.com/primo-explore/search?tab=default_tab&amp;search_scope=EVERYTHING&amp;vid=01CRU&amp;lang=en_US&amp;offset=0&amp;query=any,contains,991000217429702656","Catalog Record")</f>
        <v/>
      </c>
      <c r="AT2453">
        <f>HYPERLINK("http://www.worldcat.org/oclc/9573147","WorldCat Record")</f>
        <v/>
      </c>
      <c r="AU2453" t="inlineStr">
        <is>
          <t>43344835:eng</t>
        </is>
      </c>
      <c r="AV2453" t="inlineStr">
        <is>
          <t>9573147</t>
        </is>
      </c>
      <c r="AW2453" t="inlineStr">
        <is>
          <t>991000217429702656</t>
        </is>
      </c>
      <c r="AX2453" t="inlineStr">
        <is>
          <t>991000217429702656</t>
        </is>
      </c>
      <c r="AY2453" t="inlineStr">
        <is>
          <t>2258106230002656</t>
        </is>
      </c>
      <c r="AZ2453" t="inlineStr">
        <is>
          <t>BOOK</t>
        </is>
      </c>
      <c r="BB2453" t="inlineStr">
        <is>
          <t>9780192875679</t>
        </is>
      </c>
      <c r="BC2453" t="inlineStr">
        <is>
          <t>32285001046035</t>
        </is>
      </c>
      <c r="BD2453" t="inlineStr">
        <is>
          <t>893689538</t>
        </is>
      </c>
    </row>
    <row r="2454">
      <c r="A2454" t="inlineStr">
        <is>
          <t>No</t>
        </is>
      </c>
      <c r="B2454" t="inlineStr">
        <is>
          <t>BX4705.N5 C6</t>
        </is>
      </c>
      <c r="C2454" t="inlineStr">
        <is>
          <t>0                      BX 4705000N  5                  C  6</t>
        </is>
      </c>
      <c r="D2454" t="inlineStr">
        <is>
          <t>Newman: a portrait restored : an ecumenical revaluation / [by] John Coulson, A. M. Allchin [and] Meriol Trevor.</t>
        </is>
      </c>
      <c r="F2454" t="inlineStr">
        <is>
          <t>No</t>
        </is>
      </c>
      <c r="G2454" t="inlineStr">
        <is>
          <t>1</t>
        </is>
      </c>
      <c r="H2454" t="inlineStr">
        <is>
          <t>No</t>
        </is>
      </c>
      <c r="I2454" t="inlineStr">
        <is>
          <t>No</t>
        </is>
      </c>
      <c r="J2454" t="inlineStr">
        <is>
          <t>0</t>
        </is>
      </c>
      <c r="K2454" t="inlineStr">
        <is>
          <t>Coulson, John.</t>
        </is>
      </c>
      <c r="L2454" t="inlineStr">
        <is>
          <t>London : Sheed and Ward, 1965.</t>
        </is>
      </c>
      <c r="M2454" t="inlineStr">
        <is>
          <t>1965</t>
        </is>
      </c>
      <c r="O2454" t="inlineStr">
        <is>
          <t>eng</t>
        </is>
      </c>
      <c r="P2454" t="inlineStr">
        <is>
          <t>enk</t>
        </is>
      </c>
      <c r="R2454" t="inlineStr">
        <is>
          <t xml:space="preserve">BX </t>
        </is>
      </c>
      <c r="S2454" t="n">
        <v>4</v>
      </c>
      <c r="T2454" t="n">
        <v>4</v>
      </c>
      <c r="U2454" t="inlineStr">
        <is>
          <t>1999-09-14</t>
        </is>
      </c>
      <c r="V2454" t="inlineStr">
        <is>
          <t>1999-09-14</t>
        </is>
      </c>
      <c r="W2454" t="inlineStr">
        <is>
          <t>1992-03-30</t>
        </is>
      </c>
      <c r="X2454" t="inlineStr">
        <is>
          <t>1992-03-30</t>
        </is>
      </c>
      <c r="Y2454" t="n">
        <v>108</v>
      </c>
      <c r="Z2454" t="n">
        <v>63</v>
      </c>
      <c r="AA2454" t="n">
        <v>63</v>
      </c>
      <c r="AB2454" t="n">
        <v>2</v>
      </c>
      <c r="AC2454" t="n">
        <v>2</v>
      </c>
      <c r="AD2454" t="n">
        <v>9</v>
      </c>
      <c r="AE2454" t="n">
        <v>9</v>
      </c>
      <c r="AF2454" t="n">
        <v>0</v>
      </c>
      <c r="AG2454" t="n">
        <v>0</v>
      </c>
      <c r="AH2454" t="n">
        <v>3</v>
      </c>
      <c r="AI2454" t="n">
        <v>3</v>
      </c>
      <c r="AJ2454" t="n">
        <v>7</v>
      </c>
      <c r="AK2454" t="n">
        <v>7</v>
      </c>
      <c r="AL2454" t="n">
        <v>0</v>
      </c>
      <c r="AM2454" t="n">
        <v>0</v>
      </c>
      <c r="AN2454" t="n">
        <v>0</v>
      </c>
      <c r="AO2454" t="n">
        <v>0</v>
      </c>
      <c r="AP2454" t="inlineStr">
        <is>
          <t>No</t>
        </is>
      </c>
      <c r="AQ2454" t="inlineStr">
        <is>
          <t>No</t>
        </is>
      </c>
      <c r="AS2454">
        <f>HYPERLINK("https://creighton-primo.hosted.exlibrisgroup.com/primo-explore/search?tab=default_tab&amp;search_scope=EVERYTHING&amp;vid=01CRU&amp;lang=en_US&amp;offset=0&amp;query=any,contains,991004105399702656","Catalog Record")</f>
        <v/>
      </c>
      <c r="AT2454">
        <f>HYPERLINK("http://www.worldcat.org/oclc/2382164","WorldCat Record")</f>
        <v/>
      </c>
      <c r="AU2454" t="inlineStr">
        <is>
          <t>4876060:eng</t>
        </is>
      </c>
      <c r="AV2454" t="inlineStr">
        <is>
          <t>2382164</t>
        </is>
      </c>
      <c r="AW2454" t="inlineStr">
        <is>
          <t>991004105399702656</t>
        </is>
      </c>
      <c r="AX2454" t="inlineStr">
        <is>
          <t>991004105399702656</t>
        </is>
      </c>
      <c r="AY2454" t="inlineStr">
        <is>
          <t>2269988400002656</t>
        </is>
      </c>
      <c r="AZ2454" t="inlineStr">
        <is>
          <t>BOOK</t>
        </is>
      </c>
      <c r="BC2454" t="inlineStr">
        <is>
          <t>32285001046043</t>
        </is>
      </c>
      <c r="BD2454" t="inlineStr">
        <is>
          <t>893875682</t>
        </is>
      </c>
    </row>
    <row r="2455">
      <c r="A2455" t="inlineStr">
        <is>
          <t>No</t>
        </is>
      </c>
      <c r="B2455" t="inlineStr">
        <is>
          <t>BX4705.N5 C8 1952</t>
        </is>
      </c>
      <c r="C2455" t="inlineStr">
        <is>
          <t>0                      BX 4705000N  5                  C  8           1952</t>
        </is>
      </c>
      <c r="D2455" t="inlineStr">
        <is>
          <t>Bishop John Neumann, C.SS.R., : fourth bishop of Philadelphia / by Michael J. Curley.</t>
        </is>
      </c>
      <c r="F2455" t="inlineStr">
        <is>
          <t>No</t>
        </is>
      </c>
      <c r="G2455" t="inlineStr">
        <is>
          <t>1</t>
        </is>
      </c>
      <c r="H2455" t="inlineStr">
        <is>
          <t>No</t>
        </is>
      </c>
      <c r="I2455" t="inlineStr">
        <is>
          <t>No</t>
        </is>
      </c>
      <c r="J2455" t="inlineStr">
        <is>
          <t>0</t>
        </is>
      </c>
      <c r="K2455" t="inlineStr">
        <is>
          <t>Curley, Michael J. (Michael Joseph), 1900-1972.</t>
        </is>
      </c>
      <c r="L2455" t="inlineStr">
        <is>
          <t>Philadelphia : Bishop Neumann Center, [197-] c1952.</t>
        </is>
      </c>
      <c r="M2455" t="inlineStr">
        <is>
          <t>1970</t>
        </is>
      </c>
      <c r="O2455" t="inlineStr">
        <is>
          <t>eng</t>
        </is>
      </c>
      <c r="P2455" t="inlineStr">
        <is>
          <t xml:space="preserve">xx </t>
        </is>
      </c>
      <c r="R2455" t="inlineStr">
        <is>
          <t xml:space="preserve">BX </t>
        </is>
      </c>
      <c r="S2455" t="n">
        <v>2</v>
      </c>
      <c r="T2455" t="n">
        <v>2</v>
      </c>
      <c r="U2455" t="inlineStr">
        <is>
          <t>1996-09-11</t>
        </is>
      </c>
      <c r="V2455" t="inlineStr">
        <is>
          <t>1996-09-11</t>
        </is>
      </c>
      <c r="W2455" t="inlineStr">
        <is>
          <t>1992-03-30</t>
        </is>
      </c>
      <c r="X2455" t="inlineStr">
        <is>
          <t>1992-03-30</t>
        </is>
      </c>
      <c r="Y2455" t="n">
        <v>58</v>
      </c>
      <c r="Z2455" t="n">
        <v>56</v>
      </c>
      <c r="AA2455" t="n">
        <v>65</v>
      </c>
      <c r="AB2455" t="n">
        <v>3</v>
      </c>
      <c r="AC2455" t="n">
        <v>3</v>
      </c>
      <c r="AD2455" t="n">
        <v>6</v>
      </c>
      <c r="AE2455" t="n">
        <v>6</v>
      </c>
      <c r="AF2455" t="n">
        <v>3</v>
      </c>
      <c r="AG2455" t="n">
        <v>3</v>
      </c>
      <c r="AH2455" t="n">
        <v>3</v>
      </c>
      <c r="AI2455" t="n">
        <v>3</v>
      </c>
      <c r="AJ2455" t="n">
        <v>3</v>
      </c>
      <c r="AK2455" t="n">
        <v>3</v>
      </c>
      <c r="AL2455" t="n">
        <v>0</v>
      </c>
      <c r="AM2455" t="n">
        <v>0</v>
      </c>
      <c r="AN2455" t="n">
        <v>0</v>
      </c>
      <c r="AO2455" t="n">
        <v>0</v>
      </c>
      <c r="AP2455" t="inlineStr">
        <is>
          <t>No</t>
        </is>
      </c>
      <c r="AQ2455" t="inlineStr">
        <is>
          <t>No</t>
        </is>
      </c>
      <c r="AS2455">
        <f>HYPERLINK("https://creighton-primo.hosted.exlibrisgroup.com/primo-explore/search?tab=default_tab&amp;search_scope=EVERYTHING&amp;vid=01CRU&amp;lang=en_US&amp;offset=0&amp;query=any,contains,991004097719702656","Catalog Record")</f>
        <v/>
      </c>
      <c r="AT2455">
        <f>HYPERLINK("http://www.worldcat.org/oclc/2363373","WorldCat Record")</f>
        <v/>
      </c>
      <c r="AU2455" t="inlineStr">
        <is>
          <t>1866111116:eng</t>
        </is>
      </c>
      <c r="AV2455" t="inlineStr">
        <is>
          <t>2363373</t>
        </is>
      </c>
      <c r="AW2455" t="inlineStr">
        <is>
          <t>991004097719702656</t>
        </is>
      </c>
      <c r="AX2455" t="inlineStr">
        <is>
          <t>991004097719702656</t>
        </is>
      </c>
      <c r="AY2455" t="inlineStr">
        <is>
          <t>2264936310002656</t>
        </is>
      </c>
      <c r="AZ2455" t="inlineStr">
        <is>
          <t>BOOK</t>
        </is>
      </c>
      <c r="BC2455" t="inlineStr">
        <is>
          <t>32285001046050</t>
        </is>
      </c>
      <c r="BD2455" t="inlineStr">
        <is>
          <t>893775615</t>
        </is>
      </c>
    </row>
    <row r="2456">
      <c r="A2456" t="inlineStr">
        <is>
          <t>No</t>
        </is>
      </c>
      <c r="B2456" t="inlineStr">
        <is>
          <t>BX4705.N5 G73 1989</t>
        </is>
      </c>
      <c r="C2456" t="inlineStr">
        <is>
          <t>0                      BX 4705000N  5                  G  73          1989</t>
        </is>
      </c>
      <c r="D2456" t="inlineStr">
        <is>
          <t>Conscience in Newman's thought / S. A. Grave.</t>
        </is>
      </c>
      <c r="F2456" t="inlineStr">
        <is>
          <t>No</t>
        </is>
      </c>
      <c r="G2456" t="inlineStr">
        <is>
          <t>1</t>
        </is>
      </c>
      <c r="H2456" t="inlineStr">
        <is>
          <t>No</t>
        </is>
      </c>
      <c r="I2456" t="inlineStr">
        <is>
          <t>No</t>
        </is>
      </c>
      <c r="J2456" t="inlineStr">
        <is>
          <t>0</t>
        </is>
      </c>
      <c r="K2456" t="inlineStr">
        <is>
          <t>Grave, S. A.</t>
        </is>
      </c>
      <c r="L2456" t="inlineStr">
        <is>
          <t>Oxford : Clarendon, 1989.</t>
        </is>
      </c>
      <c r="M2456" t="inlineStr">
        <is>
          <t>1989</t>
        </is>
      </c>
      <c r="O2456" t="inlineStr">
        <is>
          <t>eng</t>
        </is>
      </c>
      <c r="P2456" t="inlineStr">
        <is>
          <t>enk</t>
        </is>
      </c>
      <c r="R2456" t="inlineStr">
        <is>
          <t xml:space="preserve">BX </t>
        </is>
      </c>
      <c r="S2456" t="n">
        <v>2</v>
      </c>
      <c r="T2456" t="n">
        <v>2</v>
      </c>
      <c r="U2456" t="inlineStr">
        <is>
          <t>1993-02-21</t>
        </is>
      </c>
      <c r="V2456" t="inlineStr">
        <is>
          <t>1993-02-21</t>
        </is>
      </c>
      <c r="W2456" t="inlineStr">
        <is>
          <t>1990-05-17</t>
        </is>
      </c>
      <c r="X2456" t="inlineStr">
        <is>
          <t>1990-05-17</t>
        </is>
      </c>
      <c r="Y2456" t="n">
        <v>269</v>
      </c>
      <c r="Z2456" t="n">
        <v>206</v>
      </c>
      <c r="AA2456" t="n">
        <v>212</v>
      </c>
      <c r="AB2456" t="n">
        <v>1</v>
      </c>
      <c r="AC2456" t="n">
        <v>1</v>
      </c>
      <c r="AD2456" t="n">
        <v>18</v>
      </c>
      <c r="AE2456" t="n">
        <v>18</v>
      </c>
      <c r="AF2456" t="n">
        <v>5</v>
      </c>
      <c r="AG2456" t="n">
        <v>5</v>
      </c>
      <c r="AH2456" t="n">
        <v>5</v>
      </c>
      <c r="AI2456" t="n">
        <v>5</v>
      </c>
      <c r="AJ2456" t="n">
        <v>15</v>
      </c>
      <c r="AK2456" t="n">
        <v>15</v>
      </c>
      <c r="AL2456" t="n">
        <v>0</v>
      </c>
      <c r="AM2456" t="n">
        <v>0</v>
      </c>
      <c r="AN2456" t="n">
        <v>0</v>
      </c>
      <c r="AO2456" t="n">
        <v>0</v>
      </c>
      <c r="AP2456" t="inlineStr">
        <is>
          <t>No</t>
        </is>
      </c>
      <c r="AQ2456" t="inlineStr">
        <is>
          <t>Yes</t>
        </is>
      </c>
      <c r="AR2456">
        <f>HYPERLINK("http://catalog.hathitrust.org/Record/001822969","HathiTrust Record")</f>
        <v/>
      </c>
      <c r="AS2456">
        <f>HYPERLINK("https://creighton-primo.hosted.exlibrisgroup.com/primo-explore/search?tab=default_tab&amp;search_scope=EVERYTHING&amp;vid=01CRU&amp;lang=en_US&amp;offset=0&amp;query=any,contains,991001455369702656","Catalog Record")</f>
        <v/>
      </c>
      <c r="AT2456">
        <f>HYPERLINK("http://www.worldcat.org/oclc/19354533","WorldCat Record")</f>
        <v/>
      </c>
      <c r="AU2456" t="inlineStr">
        <is>
          <t>21161070:eng</t>
        </is>
      </c>
      <c r="AV2456" t="inlineStr">
        <is>
          <t>19354533</t>
        </is>
      </c>
      <c r="AW2456" t="inlineStr">
        <is>
          <t>991001455369702656</t>
        </is>
      </c>
      <c r="AX2456" t="inlineStr">
        <is>
          <t>991001455369702656</t>
        </is>
      </c>
      <c r="AY2456" t="inlineStr">
        <is>
          <t>2270450430002656</t>
        </is>
      </c>
      <c r="AZ2456" t="inlineStr">
        <is>
          <t>BOOK</t>
        </is>
      </c>
      <c r="BB2456" t="inlineStr">
        <is>
          <t>9780198248569</t>
        </is>
      </c>
      <c r="BC2456" t="inlineStr">
        <is>
          <t>32285000138015</t>
        </is>
      </c>
      <c r="BD2456" t="inlineStr">
        <is>
          <t>893225861</t>
        </is>
      </c>
    </row>
    <row r="2457">
      <c r="A2457" t="inlineStr">
        <is>
          <t>No</t>
        </is>
      </c>
      <c r="B2457" t="inlineStr">
        <is>
          <t>BX4705.N5 G74 1967</t>
        </is>
      </c>
      <c r="C2457" t="inlineStr">
        <is>
          <t>0                      BX 4705000N  5                  G  74          1967</t>
        </is>
      </c>
      <c r="D2457" t="inlineStr">
        <is>
          <t>God and myself: the spirituality of John Henry Newman / [by] Hilda Graef.</t>
        </is>
      </c>
      <c r="F2457" t="inlineStr">
        <is>
          <t>No</t>
        </is>
      </c>
      <c r="G2457" t="inlineStr">
        <is>
          <t>1</t>
        </is>
      </c>
      <c r="H2457" t="inlineStr">
        <is>
          <t>No</t>
        </is>
      </c>
      <c r="I2457" t="inlineStr">
        <is>
          <t>No</t>
        </is>
      </c>
      <c r="J2457" t="inlineStr">
        <is>
          <t>0</t>
        </is>
      </c>
      <c r="K2457" t="inlineStr">
        <is>
          <t>Graef, Hilda C.</t>
        </is>
      </c>
      <c r="L2457" t="inlineStr">
        <is>
          <t>London : P. Davies, 1967.</t>
        </is>
      </c>
      <c r="M2457" t="inlineStr">
        <is>
          <t>1967</t>
        </is>
      </c>
      <c r="O2457" t="inlineStr">
        <is>
          <t>eng</t>
        </is>
      </c>
      <c r="P2457" t="inlineStr">
        <is>
          <t>enk</t>
        </is>
      </c>
      <c r="R2457" t="inlineStr">
        <is>
          <t xml:space="preserve">BX </t>
        </is>
      </c>
      <c r="S2457" t="n">
        <v>5</v>
      </c>
      <c r="T2457" t="n">
        <v>5</v>
      </c>
      <c r="U2457" t="inlineStr">
        <is>
          <t>1994-03-30</t>
        </is>
      </c>
      <c r="V2457" t="inlineStr">
        <is>
          <t>1994-03-30</t>
        </is>
      </c>
      <c r="W2457" t="inlineStr">
        <is>
          <t>1992-03-30</t>
        </is>
      </c>
      <c r="X2457" t="inlineStr">
        <is>
          <t>1992-03-30</t>
        </is>
      </c>
      <c r="Y2457" t="n">
        <v>136</v>
      </c>
      <c r="Z2457" t="n">
        <v>68</v>
      </c>
      <c r="AA2457" t="n">
        <v>331</v>
      </c>
      <c r="AB2457" t="n">
        <v>1</v>
      </c>
      <c r="AC2457" t="n">
        <v>2</v>
      </c>
      <c r="AD2457" t="n">
        <v>10</v>
      </c>
      <c r="AE2457" t="n">
        <v>30</v>
      </c>
      <c r="AF2457" t="n">
        <v>3</v>
      </c>
      <c r="AG2457" t="n">
        <v>11</v>
      </c>
      <c r="AH2457" t="n">
        <v>2</v>
      </c>
      <c r="AI2457" t="n">
        <v>7</v>
      </c>
      <c r="AJ2457" t="n">
        <v>9</v>
      </c>
      <c r="AK2457" t="n">
        <v>24</v>
      </c>
      <c r="AL2457" t="n">
        <v>0</v>
      </c>
      <c r="AM2457" t="n">
        <v>0</v>
      </c>
      <c r="AN2457" t="n">
        <v>0</v>
      </c>
      <c r="AO2457" t="n">
        <v>0</v>
      </c>
      <c r="AP2457" t="inlineStr">
        <is>
          <t>No</t>
        </is>
      </c>
      <c r="AQ2457" t="inlineStr">
        <is>
          <t>Yes</t>
        </is>
      </c>
      <c r="AR2457">
        <f>HYPERLINK("http://catalog.hathitrust.org/Record/001592125","HathiTrust Record")</f>
        <v/>
      </c>
      <c r="AS2457">
        <f>HYPERLINK("https://creighton-primo.hosted.exlibrisgroup.com/primo-explore/search?tab=default_tab&amp;search_scope=EVERYTHING&amp;vid=01CRU&amp;lang=en_US&amp;offset=0&amp;query=any,contains,991002815209702656","Catalog Record")</f>
        <v/>
      </c>
      <c r="AT2457">
        <f>HYPERLINK("http://www.worldcat.org/oclc/458135","WorldCat Record")</f>
        <v/>
      </c>
      <c r="AU2457" t="inlineStr">
        <is>
          <t>1477325:eng</t>
        </is>
      </c>
      <c r="AV2457" t="inlineStr">
        <is>
          <t>458135</t>
        </is>
      </c>
      <c r="AW2457" t="inlineStr">
        <is>
          <t>991002815209702656</t>
        </is>
      </c>
      <c r="AX2457" t="inlineStr">
        <is>
          <t>991002815209702656</t>
        </is>
      </c>
      <c r="AY2457" t="inlineStr">
        <is>
          <t>2265807000002656</t>
        </is>
      </c>
      <c r="AZ2457" t="inlineStr">
        <is>
          <t>BOOK</t>
        </is>
      </c>
      <c r="BC2457" t="inlineStr">
        <is>
          <t>32285001046068</t>
        </is>
      </c>
      <c r="BD2457" t="inlineStr">
        <is>
          <t>893415681</t>
        </is>
      </c>
    </row>
    <row r="2458">
      <c r="A2458" t="inlineStr">
        <is>
          <t>No</t>
        </is>
      </c>
      <c r="B2458" t="inlineStr">
        <is>
          <t>BX4705.N5 G75</t>
        </is>
      </c>
      <c r="C2458" t="inlineStr">
        <is>
          <t>0                      BX 4705000N  5                  G  75</t>
        </is>
      </c>
      <c r="D2458" t="inlineStr">
        <is>
          <t>Newman : a bibliography of secondary studies / John R. Griffin.</t>
        </is>
      </c>
      <c r="F2458" t="inlineStr">
        <is>
          <t>No</t>
        </is>
      </c>
      <c r="G2458" t="inlineStr">
        <is>
          <t>1</t>
        </is>
      </c>
      <c r="H2458" t="inlineStr">
        <is>
          <t>No</t>
        </is>
      </c>
      <c r="I2458" t="inlineStr">
        <is>
          <t>No</t>
        </is>
      </c>
      <c r="J2458" t="inlineStr">
        <is>
          <t>0</t>
        </is>
      </c>
      <c r="K2458" t="inlineStr">
        <is>
          <t>Griffin, John R.</t>
        </is>
      </c>
      <c r="L2458" t="inlineStr">
        <is>
          <t>Front Royal, Va. : Christendom Publications, c1980.</t>
        </is>
      </c>
      <c r="M2458" t="inlineStr">
        <is>
          <t>1980</t>
        </is>
      </c>
      <c r="O2458" t="inlineStr">
        <is>
          <t>eng</t>
        </is>
      </c>
      <c r="P2458" t="inlineStr">
        <is>
          <t>vau</t>
        </is>
      </c>
      <c r="R2458" t="inlineStr">
        <is>
          <t xml:space="preserve">BX </t>
        </is>
      </c>
      <c r="S2458" t="n">
        <v>4</v>
      </c>
      <c r="T2458" t="n">
        <v>4</v>
      </c>
      <c r="U2458" t="inlineStr">
        <is>
          <t>2000-03-27</t>
        </is>
      </c>
      <c r="V2458" t="inlineStr">
        <is>
          <t>2000-03-27</t>
        </is>
      </c>
      <c r="W2458" t="inlineStr">
        <is>
          <t>1992-03-30</t>
        </is>
      </c>
      <c r="X2458" t="inlineStr">
        <is>
          <t>1992-03-30</t>
        </is>
      </c>
      <c r="Y2458" t="n">
        <v>277</v>
      </c>
      <c r="Z2458" t="n">
        <v>217</v>
      </c>
      <c r="AA2458" t="n">
        <v>219</v>
      </c>
      <c r="AB2458" t="n">
        <v>3</v>
      </c>
      <c r="AC2458" t="n">
        <v>3</v>
      </c>
      <c r="AD2458" t="n">
        <v>23</v>
      </c>
      <c r="AE2458" t="n">
        <v>23</v>
      </c>
      <c r="AF2458" t="n">
        <v>6</v>
      </c>
      <c r="AG2458" t="n">
        <v>6</v>
      </c>
      <c r="AH2458" t="n">
        <v>5</v>
      </c>
      <c r="AI2458" t="n">
        <v>5</v>
      </c>
      <c r="AJ2458" t="n">
        <v>18</v>
      </c>
      <c r="AK2458" t="n">
        <v>18</v>
      </c>
      <c r="AL2458" t="n">
        <v>1</v>
      </c>
      <c r="AM2458" t="n">
        <v>1</v>
      </c>
      <c r="AN2458" t="n">
        <v>0</v>
      </c>
      <c r="AO2458" t="n">
        <v>0</v>
      </c>
      <c r="AP2458" t="inlineStr">
        <is>
          <t>No</t>
        </is>
      </c>
      <c r="AQ2458" t="inlineStr">
        <is>
          <t>Yes</t>
        </is>
      </c>
      <c r="AR2458">
        <f>HYPERLINK("http://catalog.hathitrust.org/Record/000308354","HathiTrust Record")</f>
        <v/>
      </c>
      <c r="AS2458">
        <f>HYPERLINK("https://creighton-primo.hosted.exlibrisgroup.com/primo-explore/search?tab=default_tab&amp;search_scope=EVERYTHING&amp;vid=01CRU&amp;lang=en_US&amp;offset=0&amp;query=any,contains,991005051579702656","Catalog Record")</f>
        <v/>
      </c>
      <c r="AT2458">
        <f>HYPERLINK("http://www.worldcat.org/oclc/6868738","WorldCat Record")</f>
        <v/>
      </c>
      <c r="AU2458" t="inlineStr">
        <is>
          <t>234979185:eng</t>
        </is>
      </c>
      <c r="AV2458" t="inlineStr">
        <is>
          <t>6868738</t>
        </is>
      </c>
      <c r="AW2458" t="inlineStr">
        <is>
          <t>991005051579702656</t>
        </is>
      </c>
      <c r="AX2458" t="inlineStr">
        <is>
          <t>991005051579702656</t>
        </is>
      </c>
      <c r="AY2458" t="inlineStr">
        <is>
          <t>2267230780002656</t>
        </is>
      </c>
      <c r="AZ2458" t="inlineStr">
        <is>
          <t>BOOK</t>
        </is>
      </c>
      <c r="BB2458" t="inlineStr">
        <is>
          <t>9780931888045</t>
        </is>
      </c>
      <c r="BC2458" t="inlineStr">
        <is>
          <t>32285001046076</t>
        </is>
      </c>
      <c r="BD2458" t="inlineStr">
        <is>
          <t>893889605</t>
        </is>
      </c>
    </row>
    <row r="2459">
      <c r="A2459" t="inlineStr">
        <is>
          <t>No</t>
        </is>
      </c>
      <c r="B2459" t="inlineStr">
        <is>
          <t>BX4705.N5 J63</t>
        </is>
      </c>
      <c r="C2459" t="inlineStr">
        <is>
          <t>0                      BX 4705000N  5                  J  63</t>
        </is>
      </c>
      <c r="D2459" t="inlineStr">
        <is>
          <t>John Henry Newman, theologian and cardinal : symposium 9-12 October 1979.</t>
        </is>
      </c>
      <c r="F2459" t="inlineStr">
        <is>
          <t>No</t>
        </is>
      </c>
      <c r="G2459" t="inlineStr">
        <is>
          <t>1</t>
        </is>
      </c>
      <c r="H2459" t="inlineStr">
        <is>
          <t>No</t>
        </is>
      </c>
      <c r="I2459" t="inlineStr">
        <is>
          <t>No</t>
        </is>
      </c>
      <c r="J2459" t="inlineStr">
        <is>
          <t>0</t>
        </is>
      </c>
      <c r="L2459" t="inlineStr">
        <is>
          <t>Roma : Urbaniana University Press ; Brescia : Paideia, [1981]</t>
        </is>
      </c>
      <c r="M2459" t="inlineStr">
        <is>
          <t>1981</t>
        </is>
      </c>
      <c r="O2459" t="inlineStr">
        <is>
          <t>eng</t>
        </is>
      </c>
      <c r="P2459" t="inlineStr">
        <is>
          <t xml:space="preserve">it </t>
        </is>
      </c>
      <c r="Q2459" t="inlineStr">
        <is>
          <t>Studia Urbaniana ; 10</t>
        </is>
      </c>
      <c r="R2459" t="inlineStr">
        <is>
          <t xml:space="preserve">BX </t>
        </is>
      </c>
      <c r="S2459" t="n">
        <v>2</v>
      </c>
      <c r="T2459" t="n">
        <v>2</v>
      </c>
      <c r="U2459" t="inlineStr">
        <is>
          <t>2009-09-24</t>
        </is>
      </c>
      <c r="V2459" t="inlineStr">
        <is>
          <t>2009-09-24</t>
        </is>
      </c>
      <c r="W2459" t="inlineStr">
        <is>
          <t>1992-03-30</t>
        </is>
      </c>
      <c r="X2459" t="inlineStr">
        <is>
          <t>1992-03-30</t>
        </is>
      </c>
      <c r="Y2459" t="n">
        <v>59</v>
      </c>
      <c r="Z2459" t="n">
        <v>48</v>
      </c>
      <c r="AA2459" t="n">
        <v>48</v>
      </c>
      <c r="AB2459" t="n">
        <v>1</v>
      </c>
      <c r="AC2459" t="n">
        <v>1</v>
      </c>
      <c r="AD2459" t="n">
        <v>5</v>
      </c>
      <c r="AE2459" t="n">
        <v>5</v>
      </c>
      <c r="AF2459" t="n">
        <v>0</v>
      </c>
      <c r="AG2459" t="n">
        <v>0</v>
      </c>
      <c r="AH2459" t="n">
        <v>1</v>
      </c>
      <c r="AI2459" t="n">
        <v>1</v>
      </c>
      <c r="AJ2459" t="n">
        <v>5</v>
      </c>
      <c r="AK2459" t="n">
        <v>5</v>
      </c>
      <c r="AL2459" t="n">
        <v>0</v>
      </c>
      <c r="AM2459" t="n">
        <v>0</v>
      </c>
      <c r="AN2459" t="n">
        <v>0</v>
      </c>
      <c r="AO2459" t="n">
        <v>0</v>
      </c>
      <c r="AP2459" t="inlineStr">
        <is>
          <t>No</t>
        </is>
      </c>
      <c r="AQ2459" t="inlineStr">
        <is>
          <t>No</t>
        </is>
      </c>
      <c r="AS2459">
        <f>HYPERLINK("https://creighton-primo.hosted.exlibrisgroup.com/primo-explore/search?tab=default_tab&amp;search_scope=EVERYTHING&amp;vid=01CRU&amp;lang=en_US&amp;offset=0&amp;query=any,contains,991005238259702656","Catalog Record")</f>
        <v/>
      </c>
      <c r="AT2459">
        <f>HYPERLINK("http://www.worldcat.org/oclc/8389731","WorldCat Record")</f>
        <v/>
      </c>
      <c r="AU2459" t="inlineStr">
        <is>
          <t>8911690367:eng</t>
        </is>
      </c>
      <c r="AV2459" t="inlineStr">
        <is>
          <t>8389731</t>
        </is>
      </c>
      <c r="AW2459" t="inlineStr">
        <is>
          <t>991005238259702656</t>
        </is>
      </c>
      <c r="AX2459" t="inlineStr">
        <is>
          <t>991005238259702656</t>
        </is>
      </c>
      <c r="AY2459" t="inlineStr">
        <is>
          <t>2260957190002656</t>
        </is>
      </c>
      <c r="AZ2459" t="inlineStr">
        <is>
          <t>BOOK</t>
        </is>
      </c>
      <c r="BC2459" t="inlineStr">
        <is>
          <t>32285001046084</t>
        </is>
      </c>
      <c r="BD2459" t="inlineStr">
        <is>
          <t>893418597</t>
        </is>
      </c>
    </row>
    <row r="2460">
      <c r="A2460" t="inlineStr">
        <is>
          <t>No</t>
        </is>
      </c>
      <c r="B2460" t="inlineStr">
        <is>
          <t>BX4705.N5 J635 1992</t>
        </is>
      </c>
      <c r="C2460" t="inlineStr">
        <is>
          <t>0                      BX 4705000N  5                  J  635         1992</t>
        </is>
      </c>
      <c r="D2460" t="inlineStr">
        <is>
          <t>John Henry Newman : theology and reform / edited by Michael E. Allsopp and Ronald R. Burke.</t>
        </is>
      </c>
      <c r="F2460" t="inlineStr">
        <is>
          <t>No</t>
        </is>
      </c>
      <c r="G2460" t="inlineStr">
        <is>
          <t>1</t>
        </is>
      </c>
      <c r="H2460" t="inlineStr">
        <is>
          <t>No</t>
        </is>
      </c>
      <c r="I2460" t="inlineStr">
        <is>
          <t>No</t>
        </is>
      </c>
      <c r="J2460" t="inlineStr">
        <is>
          <t>0</t>
        </is>
      </c>
      <c r="L2460" t="inlineStr">
        <is>
          <t>New York : Garland, 1992.</t>
        </is>
      </c>
      <c r="M2460" t="inlineStr">
        <is>
          <t>1992</t>
        </is>
      </c>
      <c r="O2460" t="inlineStr">
        <is>
          <t>eng</t>
        </is>
      </c>
      <c r="P2460" t="inlineStr">
        <is>
          <t>nyu</t>
        </is>
      </c>
      <c r="Q2460" t="inlineStr">
        <is>
          <t>Garland reference library of the humanities ; v. 1475</t>
        </is>
      </c>
      <c r="R2460" t="inlineStr">
        <is>
          <t xml:space="preserve">BX </t>
        </is>
      </c>
      <c r="S2460" t="n">
        <v>7</v>
      </c>
      <c r="T2460" t="n">
        <v>7</v>
      </c>
      <c r="U2460" t="inlineStr">
        <is>
          <t>2010-03-02</t>
        </is>
      </c>
      <c r="V2460" t="inlineStr">
        <is>
          <t>2010-03-02</t>
        </is>
      </c>
      <c r="W2460" t="inlineStr">
        <is>
          <t>1993-10-12</t>
        </is>
      </c>
      <c r="X2460" t="inlineStr">
        <is>
          <t>1993-10-12</t>
        </is>
      </c>
      <c r="Y2460" t="n">
        <v>162</v>
      </c>
      <c r="Z2460" t="n">
        <v>125</v>
      </c>
      <c r="AA2460" t="n">
        <v>154</v>
      </c>
      <c r="AB2460" t="n">
        <v>2</v>
      </c>
      <c r="AC2460" t="n">
        <v>2</v>
      </c>
      <c r="AD2460" t="n">
        <v>14</v>
      </c>
      <c r="AE2460" t="n">
        <v>14</v>
      </c>
      <c r="AF2460" t="n">
        <v>4</v>
      </c>
      <c r="AG2460" t="n">
        <v>4</v>
      </c>
      <c r="AH2460" t="n">
        <v>4</v>
      </c>
      <c r="AI2460" t="n">
        <v>4</v>
      </c>
      <c r="AJ2460" t="n">
        <v>10</v>
      </c>
      <c r="AK2460" t="n">
        <v>10</v>
      </c>
      <c r="AL2460" t="n">
        <v>1</v>
      </c>
      <c r="AM2460" t="n">
        <v>1</v>
      </c>
      <c r="AN2460" t="n">
        <v>0</v>
      </c>
      <c r="AO2460" t="n">
        <v>0</v>
      </c>
      <c r="AP2460" t="inlineStr">
        <is>
          <t>No</t>
        </is>
      </c>
      <c r="AQ2460" t="inlineStr">
        <is>
          <t>No</t>
        </is>
      </c>
      <c r="AS2460">
        <f>HYPERLINK("https://creighton-primo.hosted.exlibrisgroup.com/primo-explore/search?tab=default_tab&amp;search_scope=EVERYTHING&amp;vid=01CRU&amp;lang=en_US&amp;offset=0&amp;query=any,contains,991002041869702656","Catalog Record")</f>
        <v/>
      </c>
      <c r="AT2460">
        <f>HYPERLINK("http://www.worldcat.org/oclc/26054592","WorldCat Record")</f>
        <v/>
      </c>
      <c r="AU2460" t="inlineStr">
        <is>
          <t>836910674:eng</t>
        </is>
      </c>
      <c r="AV2460" t="inlineStr">
        <is>
          <t>26054592</t>
        </is>
      </c>
      <c r="AW2460" t="inlineStr">
        <is>
          <t>991002041869702656</t>
        </is>
      </c>
      <c r="AX2460" t="inlineStr">
        <is>
          <t>991002041869702656</t>
        </is>
      </c>
      <c r="AY2460" t="inlineStr">
        <is>
          <t>2256418740002656</t>
        </is>
      </c>
      <c r="AZ2460" t="inlineStr">
        <is>
          <t>BOOK</t>
        </is>
      </c>
      <c r="BB2460" t="inlineStr">
        <is>
          <t>9780815303848</t>
        </is>
      </c>
      <c r="BC2460" t="inlineStr">
        <is>
          <t>32285001785863</t>
        </is>
      </c>
      <c r="BD2460" t="inlineStr">
        <is>
          <t>893226389</t>
        </is>
      </c>
    </row>
    <row r="2461">
      <c r="A2461" t="inlineStr">
        <is>
          <t>No</t>
        </is>
      </c>
      <c r="B2461" t="inlineStr">
        <is>
          <t>BX4705.N5 J65 1990</t>
        </is>
      </c>
      <c r="C2461" t="inlineStr">
        <is>
          <t>0                      BX 4705000N  5                  J  65          1990</t>
        </is>
      </c>
      <c r="D2461" t="inlineStr">
        <is>
          <t>John Henry Newman and modernism / edited by Arthur Hilary Jenkins.</t>
        </is>
      </c>
      <c r="F2461" t="inlineStr">
        <is>
          <t>No</t>
        </is>
      </c>
      <c r="G2461" t="inlineStr">
        <is>
          <t>1</t>
        </is>
      </c>
      <c r="H2461" t="inlineStr">
        <is>
          <t>No</t>
        </is>
      </c>
      <c r="I2461" t="inlineStr">
        <is>
          <t>No</t>
        </is>
      </c>
      <c r="J2461" t="inlineStr">
        <is>
          <t>0</t>
        </is>
      </c>
      <c r="L2461" t="inlineStr">
        <is>
          <t>Sigmaringendorf [Germany] : regio Verlag Glock und Lutz, c1990.</t>
        </is>
      </c>
      <c r="M2461" t="inlineStr">
        <is>
          <t>1990</t>
        </is>
      </c>
      <c r="O2461" t="inlineStr">
        <is>
          <t>eng</t>
        </is>
      </c>
      <c r="P2461" t="inlineStr">
        <is>
          <t xml:space="preserve">gw </t>
        </is>
      </c>
      <c r="Q2461" t="inlineStr">
        <is>
          <t>Internationale Cardinal-Newman-Studien, 0934-7259 ; 14. Folge</t>
        </is>
      </c>
      <c r="R2461" t="inlineStr">
        <is>
          <t xml:space="preserve">BX </t>
        </is>
      </c>
      <c r="S2461" t="n">
        <v>6</v>
      </c>
      <c r="T2461" t="n">
        <v>6</v>
      </c>
      <c r="U2461" t="inlineStr">
        <is>
          <t>2001-04-19</t>
        </is>
      </c>
      <c r="V2461" t="inlineStr">
        <is>
          <t>2001-04-19</t>
        </is>
      </c>
      <c r="W2461" t="inlineStr">
        <is>
          <t>1993-10-21</t>
        </is>
      </c>
      <c r="X2461" t="inlineStr">
        <is>
          <t>1993-10-21</t>
        </is>
      </c>
      <c r="Y2461" t="n">
        <v>88</v>
      </c>
      <c r="Z2461" t="n">
        <v>43</v>
      </c>
      <c r="AA2461" t="n">
        <v>43</v>
      </c>
      <c r="AB2461" t="n">
        <v>1</v>
      </c>
      <c r="AC2461" t="n">
        <v>1</v>
      </c>
      <c r="AD2461" t="n">
        <v>5</v>
      </c>
      <c r="AE2461" t="n">
        <v>5</v>
      </c>
      <c r="AF2461" t="n">
        <v>1</v>
      </c>
      <c r="AG2461" t="n">
        <v>1</v>
      </c>
      <c r="AH2461" t="n">
        <v>1</v>
      </c>
      <c r="AI2461" t="n">
        <v>1</v>
      </c>
      <c r="AJ2461" t="n">
        <v>3</v>
      </c>
      <c r="AK2461" t="n">
        <v>3</v>
      </c>
      <c r="AL2461" t="n">
        <v>0</v>
      </c>
      <c r="AM2461" t="n">
        <v>0</v>
      </c>
      <c r="AN2461" t="n">
        <v>0</v>
      </c>
      <c r="AO2461" t="n">
        <v>0</v>
      </c>
      <c r="AP2461" t="inlineStr">
        <is>
          <t>No</t>
        </is>
      </c>
      <c r="AQ2461" t="inlineStr">
        <is>
          <t>No</t>
        </is>
      </c>
      <c r="AS2461">
        <f>HYPERLINK("https://creighton-primo.hosted.exlibrisgroup.com/primo-explore/search?tab=default_tab&amp;search_scope=EVERYTHING&amp;vid=01CRU&amp;lang=en_US&amp;offset=0&amp;query=any,contains,991001825809702656","Catalog Record")</f>
        <v/>
      </c>
      <c r="AT2461">
        <f>HYPERLINK("http://www.worldcat.org/oclc/22942574","WorldCat Record")</f>
        <v/>
      </c>
      <c r="AU2461" t="inlineStr">
        <is>
          <t>504885831:eng</t>
        </is>
      </c>
      <c r="AV2461" t="inlineStr">
        <is>
          <t>22942574</t>
        </is>
      </c>
      <c r="AW2461" t="inlineStr">
        <is>
          <t>991001825809702656</t>
        </is>
      </c>
      <c r="AX2461" t="inlineStr">
        <is>
          <t>991001825809702656</t>
        </is>
      </c>
      <c r="AY2461" t="inlineStr">
        <is>
          <t>2264304000002656</t>
        </is>
      </c>
      <c r="AZ2461" t="inlineStr">
        <is>
          <t>BOOK</t>
        </is>
      </c>
      <c r="BB2461" t="inlineStr">
        <is>
          <t>9783823530145</t>
        </is>
      </c>
      <c r="BC2461" t="inlineStr">
        <is>
          <t>32285001787679</t>
        </is>
      </c>
      <c r="BD2461" t="inlineStr">
        <is>
          <t>893522900</t>
        </is>
      </c>
    </row>
    <row r="2462">
      <c r="A2462" t="inlineStr">
        <is>
          <t>No</t>
        </is>
      </c>
      <c r="B2462" t="inlineStr">
        <is>
          <t>BX4705.N5 M37</t>
        </is>
      </c>
      <c r="C2462" t="inlineStr">
        <is>
          <t>0                      BX 4705000N  5                  M  37</t>
        </is>
      </c>
      <c r="D2462" t="inlineStr">
        <is>
          <t>John Henry Newman : his life and work / Brian Martin.</t>
        </is>
      </c>
      <c r="F2462" t="inlineStr">
        <is>
          <t>No</t>
        </is>
      </c>
      <c r="G2462" t="inlineStr">
        <is>
          <t>1</t>
        </is>
      </c>
      <c r="H2462" t="inlineStr">
        <is>
          <t>No</t>
        </is>
      </c>
      <c r="I2462" t="inlineStr">
        <is>
          <t>No</t>
        </is>
      </c>
      <c r="J2462" t="inlineStr">
        <is>
          <t>0</t>
        </is>
      </c>
      <c r="K2462" t="inlineStr">
        <is>
          <t>Martin, Brian.</t>
        </is>
      </c>
      <c r="L2462" t="inlineStr">
        <is>
          <t>New York : Oxford University Press, 1982.</t>
        </is>
      </c>
      <c r="M2462" t="inlineStr">
        <is>
          <t>1982</t>
        </is>
      </c>
      <c r="O2462" t="inlineStr">
        <is>
          <t>eng</t>
        </is>
      </c>
      <c r="P2462" t="inlineStr">
        <is>
          <t>nyu</t>
        </is>
      </c>
      <c r="R2462" t="inlineStr">
        <is>
          <t xml:space="preserve">BX </t>
        </is>
      </c>
      <c r="S2462" t="n">
        <v>6</v>
      </c>
      <c r="T2462" t="n">
        <v>6</v>
      </c>
      <c r="U2462" t="inlineStr">
        <is>
          <t>1993-11-16</t>
        </is>
      </c>
      <c r="V2462" t="inlineStr">
        <is>
          <t>1993-11-16</t>
        </is>
      </c>
      <c r="W2462" t="inlineStr">
        <is>
          <t>1991-08-08</t>
        </is>
      </c>
      <c r="X2462" t="inlineStr">
        <is>
          <t>1991-08-08</t>
        </is>
      </c>
      <c r="Y2462" t="n">
        <v>507</v>
      </c>
      <c r="Z2462" t="n">
        <v>486</v>
      </c>
      <c r="AA2462" t="n">
        <v>931</v>
      </c>
      <c r="AB2462" t="n">
        <v>1</v>
      </c>
      <c r="AC2462" t="n">
        <v>6</v>
      </c>
      <c r="AD2462" t="n">
        <v>30</v>
      </c>
      <c r="AE2462" t="n">
        <v>44</v>
      </c>
      <c r="AF2462" t="n">
        <v>13</v>
      </c>
      <c r="AG2462" t="n">
        <v>17</v>
      </c>
      <c r="AH2462" t="n">
        <v>8</v>
      </c>
      <c r="AI2462" t="n">
        <v>10</v>
      </c>
      <c r="AJ2462" t="n">
        <v>19</v>
      </c>
      <c r="AK2462" t="n">
        <v>27</v>
      </c>
      <c r="AL2462" t="n">
        <v>0</v>
      </c>
      <c r="AM2462" t="n">
        <v>3</v>
      </c>
      <c r="AN2462" t="n">
        <v>0</v>
      </c>
      <c r="AO2462" t="n">
        <v>0</v>
      </c>
      <c r="AP2462" t="inlineStr">
        <is>
          <t>No</t>
        </is>
      </c>
      <c r="AQ2462" t="inlineStr">
        <is>
          <t>Yes</t>
        </is>
      </c>
      <c r="AR2462">
        <f>HYPERLINK("http://catalog.hathitrust.org/Record/000149479","HathiTrust Record")</f>
        <v/>
      </c>
      <c r="AS2462">
        <f>HYPERLINK("https://creighton-primo.hosted.exlibrisgroup.com/primo-explore/search?tab=default_tab&amp;search_scope=EVERYTHING&amp;vid=01CRU&amp;lang=en_US&amp;offset=0&amp;query=any,contains,991000039089702656","Catalog Record")</f>
        <v/>
      </c>
      <c r="AT2462">
        <f>HYPERLINK("http://www.worldcat.org/oclc/8629862","WorldCat Record")</f>
        <v/>
      </c>
      <c r="AU2462" t="inlineStr">
        <is>
          <t>60458:eng</t>
        </is>
      </c>
      <c r="AV2462" t="inlineStr">
        <is>
          <t>8629862</t>
        </is>
      </c>
      <c r="AW2462" t="inlineStr">
        <is>
          <t>991000039089702656</t>
        </is>
      </c>
      <c r="AX2462" t="inlineStr">
        <is>
          <t>991000039089702656</t>
        </is>
      </c>
      <c r="AY2462" t="inlineStr">
        <is>
          <t>2262323210002656</t>
        </is>
      </c>
      <c r="AZ2462" t="inlineStr">
        <is>
          <t>BOOK</t>
        </is>
      </c>
      <c r="BB2462" t="inlineStr">
        <is>
          <t>9780195203875</t>
        </is>
      </c>
      <c r="BC2462" t="inlineStr">
        <is>
          <t>32285000681840</t>
        </is>
      </c>
      <c r="BD2462" t="inlineStr">
        <is>
          <t>893527736</t>
        </is>
      </c>
    </row>
    <row r="2463">
      <c r="A2463" t="inlineStr">
        <is>
          <t>No</t>
        </is>
      </c>
      <c r="B2463" t="inlineStr">
        <is>
          <t>BX4705.N5 M43 1930</t>
        </is>
      </c>
      <c r="C2463" t="inlineStr">
        <is>
          <t>0                      BX 4705000N  5                  M  43          1930</t>
        </is>
      </c>
      <c r="D2463" t="inlineStr">
        <is>
          <t>Cardinal Newman / by J. Lewis May.</t>
        </is>
      </c>
      <c r="F2463" t="inlineStr">
        <is>
          <t>No</t>
        </is>
      </c>
      <c r="G2463" t="inlineStr">
        <is>
          <t>1</t>
        </is>
      </c>
      <c r="H2463" t="inlineStr">
        <is>
          <t>No</t>
        </is>
      </c>
      <c r="I2463" t="inlineStr">
        <is>
          <t>Yes</t>
        </is>
      </c>
      <c r="J2463" t="inlineStr">
        <is>
          <t>0</t>
        </is>
      </c>
      <c r="K2463" t="inlineStr">
        <is>
          <t>May, J. Lewis (James Lewis), 1873-1961.</t>
        </is>
      </c>
      <c r="L2463" t="inlineStr">
        <is>
          <t>New York : L. MacVeagh, The Dial Press ; Toronto : Longmans, Green &amp; Co., [1930]</t>
        </is>
      </c>
      <c r="M2463" t="inlineStr">
        <is>
          <t>1930</t>
        </is>
      </c>
      <c r="O2463" t="inlineStr">
        <is>
          <t>eng</t>
        </is>
      </c>
      <c r="P2463" t="inlineStr">
        <is>
          <t>nyu</t>
        </is>
      </c>
      <c r="R2463" t="inlineStr">
        <is>
          <t xml:space="preserve">BX </t>
        </is>
      </c>
      <c r="S2463" t="n">
        <v>3</v>
      </c>
      <c r="T2463" t="n">
        <v>3</v>
      </c>
      <c r="U2463" t="inlineStr">
        <is>
          <t>1998-11-27</t>
        </is>
      </c>
      <c r="V2463" t="inlineStr">
        <is>
          <t>1998-11-27</t>
        </is>
      </c>
      <c r="W2463" t="inlineStr">
        <is>
          <t>1992-03-30</t>
        </is>
      </c>
      <c r="X2463" t="inlineStr">
        <is>
          <t>1992-03-30</t>
        </is>
      </c>
      <c r="Y2463" t="n">
        <v>285</v>
      </c>
      <c r="Z2463" t="n">
        <v>266</v>
      </c>
      <c r="AA2463" t="n">
        <v>474</v>
      </c>
      <c r="AB2463" t="n">
        <v>2</v>
      </c>
      <c r="AC2463" t="n">
        <v>4</v>
      </c>
      <c r="AD2463" t="n">
        <v>28</v>
      </c>
      <c r="AE2463" t="n">
        <v>37</v>
      </c>
      <c r="AF2463" t="n">
        <v>10</v>
      </c>
      <c r="AG2463" t="n">
        <v>15</v>
      </c>
      <c r="AH2463" t="n">
        <v>8</v>
      </c>
      <c r="AI2463" t="n">
        <v>8</v>
      </c>
      <c r="AJ2463" t="n">
        <v>20</v>
      </c>
      <c r="AK2463" t="n">
        <v>24</v>
      </c>
      <c r="AL2463" t="n">
        <v>1</v>
      </c>
      <c r="AM2463" t="n">
        <v>2</v>
      </c>
      <c r="AN2463" t="n">
        <v>0</v>
      </c>
      <c r="AO2463" t="n">
        <v>0</v>
      </c>
      <c r="AP2463" t="inlineStr">
        <is>
          <t>No</t>
        </is>
      </c>
      <c r="AQ2463" t="inlineStr">
        <is>
          <t>No</t>
        </is>
      </c>
      <c r="AR2463">
        <f>HYPERLINK("http://catalog.hathitrust.org/Record/001592133","HathiTrust Record")</f>
        <v/>
      </c>
      <c r="AS2463">
        <f>HYPERLINK("https://creighton-primo.hosted.exlibrisgroup.com/primo-explore/search?tab=default_tab&amp;search_scope=EVERYTHING&amp;vid=01CRU&amp;lang=en_US&amp;offset=0&amp;query=any,contains,991003370749702656","Catalog Record")</f>
        <v/>
      </c>
      <c r="AT2463">
        <f>HYPERLINK("http://www.worldcat.org/oclc/906806","WorldCat Record")</f>
        <v/>
      </c>
      <c r="AU2463" t="inlineStr">
        <is>
          <t>2188828:eng</t>
        </is>
      </c>
      <c r="AV2463" t="inlineStr">
        <is>
          <t>906806</t>
        </is>
      </c>
      <c r="AW2463" t="inlineStr">
        <is>
          <t>991003370749702656</t>
        </is>
      </c>
      <c r="AX2463" t="inlineStr">
        <is>
          <t>991003370749702656</t>
        </is>
      </c>
      <c r="AY2463" t="inlineStr">
        <is>
          <t>2262231580002656</t>
        </is>
      </c>
      <c r="AZ2463" t="inlineStr">
        <is>
          <t>BOOK</t>
        </is>
      </c>
      <c r="BC2463" t="inlineStr">
        <is>
          <t>32285001046100</t>
        </is>
      </c>
      <c r="BD2463" t="inlineStr">
        <is>
          <t>893422516</t>
        </is>
      </c>
    </row>
    <row r="2464">
      <c r="A2464" t="inlineStr">
        <is>
          <t>No</t>
        </is>
      </c>
      <c r="B2464" t="inlineStr">
        <is>
          <t>BX4705.N5 M43 1951</t>
        </is>
      </c>
      <c r="C2464" t="inlineStr">
        <is>
          <t>0                      BX 4705000N  5                  M  43          1951</t>
        </is>
      </c>
      <c r="D2464" t="inlineStr">
        <is>
          <t>Cardinal Newman / by J. Lewis May.</t>
        </is>
      </c>
      <c r="F2464" t="inlineStr">
        <is>
          <t>No</t>
        </is>
      </c>
      <c r="G2464" t="inlineStr">
        <is>
          <t>1</t>
        </is>
      </c>
      <c r="H2464" t="inlineStr">
        <is>
          <t>No</t>
        </is>
      </c>
      <c r="I2464" t="inlineStr">
        <is>
          <t>Yes</t>
        </is>
      </c>
      <c r="J2464" t="inlineStr">
        <is>
          <t>0</t>
        </is>
      </c>
      <c r="K2464" t="inlineStr">
        <is>
          <t>May, J. Lewis (James Lewis), 1873-1961.</t>
        </is>
      </c>
      <c r="L2464" t="inlineStr">
        <is>
          <t>Westminster, Md. : Newman Press, 1951.</t>
        </is>
      </c>
      <c r="M2464" t="inlineStr">
        <is>
          <t>1951</t>
        </is>
      </c>
      <c r="O2464" t="inlineStr">
        <is>
          <t>eng</t>
        </is>
      </c>
      <c r="P2464" t="inlineStr">
        <is>
          <t>___</t>
        </is>
      </c>
      <c r="R2464" t="inlineStr">
        <is>
          <t xml:space="preserve">BX </t>
        </is>
      </c>
      <c r="S2464" t="n">
        <v>1</v>
      </c>
      <c r="T2464" t="n">
        <v>1</v>
      </c>
      <c r="U2464" t="inlineStr">
        <is>
          <t>1992-07-21</t>
        </is>
      </c>
      <c r="V2464" t="inlineStr">
        <is>
          <t>1992-07-21</t>
        </is>
      </c>
      <c r="W2464" t="inlineStr">
        <is>
          <t>1992-03-30</t>
        </is>
      </c>
      <c r="X2464" t="inlineStr">
        <is>
          <t>1992-03-30</t>
        </is>
      </c>
      <c r="Y2464" t="n">
        <v>98</v>
      </c>
      <c r="Z2464" t="n">
        <v>90</v>
      </c>
      <c r="AA2464" t="n">
        <v>474</v>
      </c>
      <c r="AB2464" t="n">
        <v>2</v>
      </c>
      <c r="AC2464" t="n">
        <v>4</v>
      </c>
      <c r="AD2464" t="n">
        <v>15</v>
      </c>
      <c r="AE2464" t="n">
        <v>37</v>
      </c>
      <c r="AF2464" t="n">
        <v>4</v>
      </c>
      <c r="AG2464" t="n">
        <v>15</v>
      </c>
      <c r="AH2464" t="n">
        <v>4</v>
      </c>
      <c r="AI2464" t="n">
        <v>8</v>
      </c>
      <c r="AJ2464" t="n">
        <v>12</v>
      </c>
      <c r="AK2464" t="n">
        <v>24</v>
      </c>
      <c r="AL2464" t="n">
        <v>0</v>
      </c>
      <c r="AM2464" t="n">
        <v>2</v>
      </c>
      <c r="AN2464" t="n">
        <v>0</v>
      </c>
      <c r="AO2464" t="n">
        <v>0</v>
      </c>
      <c r="AP2464" t="inlineStr">
        <is>
          <t>Yes</t>
        </is>
      </c>
      <c r="AQ2464" t="inlineStr">
        <is>
          <t>No</t>
        </is>
      </c>
      <c r="AR2464">
        <f>HYPERLINK("http://catalog.hathitrust.org/Record/009907048","HathiTrust Record")</f>
        <v/>
      </c>
      <c r="AS2464">
        <f>HYPERLINK("https://creighton-primo.hosted.exlibrisgroup.com/primo-explore/search?tab=default_tab&amp;search_scope=EVERYTHING&amp;vid=01CRU&amp;lang=en_US&amp;offset=0&amp;query=any,contains,991003542519702656","Catalog Record")</f>
        <v/>
      </c>
      <c r="AT2464">
        <f>HYPERLINK("http://www.worldcat.org/oclc/1107271","WorldCat Record")</f>
        <v/>
      </c>
      <c r="AU2464" t="inlineStr">
        <is>
          <t>2188828:eng</t>
        </is>
      </c>
      <c r="AV2464" t="inlineStr">
        <is>
          <t>1107271</t>
        </is>
      </c>
      <c r="AW2464" t="inlineStr">
        <is>
          <t>991003542519702656</t>
        </is>
      </c>
      <c r="AX2464" t="inlineStr">
        <is>
          <t>991003542519702656</t>
        </is>
      </c>
      <c r="AY2464" t="inlineStr">
        <is>
          <t>2257805010002656</t>
        </is>
      </c>
      <c r="AZ2464" t="inlineStr">
        <is>
          <t>BOOK</t>
        </is>
      </c>
      <c r="BC2464" t="inlineStr">
        <is>
          <t>32285001046126</t>
        </is>
      </c>
      <c r="BD2464" t="inlineStr">
        <is>
          <t>893352875</t>
        </is>
      </c>
    </row>
    <row r="2465">
      <c r="A2465" t="inlineStr">
        <is>
          <t>No</t>
        </is>
      </c>
      <c r="B2465" t="inlineStr">
        <is>
          <t>BX4705.N5 M46 1990</t>
        </is>
      </c>
      <c r="C2465" t="inlineStr">
        <is>
          <t>0                      BX 4705000N  5                  M  46          1990</t>
        </is>
      </c>
      <c r="D2465" t="inlineStr">
        <is>
          <t>Thrown among strangers : John Henry Newman in Ireland / Louis McRedmond.</t>
        </is>
      </c>
      <c r="F2465" t="inlineStr">
        <is>
          <t>No</t>
        </is>
      </c>
      <c r="G2465" t="inlineStr">
        <is>
          <t>1</t>
        </is>
      </c>
      <c r="H2465" t="inlineStr">
        <is>
          <t>No</t>
        </is>
      </c>
      <c r="I2465" t="inlineStr">
        <is>
          <t>No</t>
        </is>
      </c>
      <c r="J2465" t="inlineStr">
        <is>
          <t>0</t>
        </is>
      </c>
      <c r="K2465" t="inlineStr">
        <is>
          <t>McRedmond, Louis.</t>
        </is>
      </c>
      <c r="L2465" t="inlineStr">
        <is>
          <t>Dublin : Veritas, 1990.</t>
        </is>
      </c>
      <c r="M2465" t="inlineStr">
        <is>
          <t>1990</t>
        </is>
      </c>
      <c r="O2465" t="inlineStr">
        <is>
          <t>eng</t>
        </is>
      </c>
      <c r="P2465" t="inlineStr">
        <is>
          <t>nik</t>
        </is>
      </c>
      <c r="R2465" t="inlineStr">
        <is>
          <t xml:space="preserve">BX </t>
        </is>
      </c>
      <c r="S2465" t="n">
        <v>4</v>
      </c>
      <c r="T2465" t="n">
        <v>4</v>
      </c>
      <c r="U2465" t="inlineStr">
        <is>
          <t>2008-06-16</t>
        </is>
      </c>
      <c r="V2465" t="inlineStr">
        <is>
          <t>2008-06-16</t>
        </is>
      </c>
      <c r="W2465" t="inlineStr">
        <is>
          <t>1991-01-17</t>
        </is>
      </c>
      <c r="X2465" t="inlineStr">
        <is>
          <t>1991-01-17</t>
        </is>
      </c>
      <c r="Y2465" t="n">
        <v>156</v>
      </c>
      <c r="Z2465" t="n">
        <v>104</v>
      </c>
      <c r="AA2465" t="n">
        <v>106</v>
      </c>
      <c r="AB2465" t="n">
        <v>2</v>
      </c>
      <c r="AC2465" t="n">
        <v>2</v>
      </c>
      <c r="AD2465" t="n">
        <v>11</v>
      </c>
      <c r="AE2465" t="n">
        <v>11</v>
      </c>
      <c r="AF2465" t="n">
        <v>2</v>
      </c>
      <c r="AG2465" t="n">
        <v>2</v>
      </c>
      <c r="AH2465" t="n">
        <v>4</v>
      </c>
      <c r="AI2465" t="n">
        <v>4</v>
      </c>
      <c r="AJ2465" t="n">
        <v>8</v>
      </c>
      <c r="AK2465" t="n">
        <v>8</v>
      </c>
      <c r="AL2465" t="n">
        <v>0</v>
      </c>
      <c r="AM2465" t="n">
        <v>0</v>
      </c>
      <c r="AN2465" t="n">
        <v>0</v>
      </c>
      <c r="AO2465" t="n">
        <v>0</v>
      </c>
      <c r="AP2465" t="inlineStr">
        <is>
          <t>No</t>
        </is>
      </c>
      <c r="AQ2465" t="inlineStr">
        <is>
          <t>Yes</t>
        </is>
      </c>
      <c r="AR2465">
        <f>HYPERLINK("http://catalog.hathitrust.org/Record/002207697","HathiTrust Record")</f>
        <v/>
      </c>
      <c r="AS2465">
        <f>HYPERLINK("https://creighton-primo.hosted.exlibrisgroup.com/primo-explore/search?tab=default_tab&amp;search_scope=EVERYTHING&amp;vid=01CRU&amp;lang=en_US&amp;offset=0&amp;query=any,contains,991001757219702656","Catalog Record")</f>
        <v/>
      </c>
      <c r="AT2465">
        <f>HYPERLINK("http://www.worldcat.org/oclc/22222773","WorldCat Record")</f>
        <v/>
      </c>
      <c r="AU2465" t="inlineStr">
        <is>
          <t>233007409:eng</t>
        </is>
      </c>
      <c r="AV2465" t="inlineStr">
        <is>
          <t>22222773</t>
        </is>
      </c>
      <c r="AW2465" t="inlineStr">
        <is>
          <t>991001757219702656</t>
        </is>
      </c>
      <c r="AX2465" t="inlineStr">
        <is>
          <t>991001757219702656</t>
        </is>
      </c>
      <c r="AY2465" t="inlineStr">
        <is>
          <t>2255789300002656</t>
        </is>
      </c>
      <c r="AZ2465" t="inlineStr">
        <is>
          <t>BOOK</t>
        </is>
      </c>
      <c r="BB2465" t="inlineStr">
        <is>
          <t>9781853901805</t>
        </is>
      </c>
      <c r="BC2465" t="inlineStr">
        <is>
          <t>32285000409242</t>
        </is>
      </c>
      <c r="BD2465" t="inlineStr">
        <is>
          <t>893621587</t>
        </is>
      </c>
    </row>
    <row r="2466">
      <c r="A2466" t="inlineStr">
        <is>
          <t>No</t>
        </is>
      </c>
      <c r="B2466" t="inlineStr">
        <is>
          <t>BX4705.N5 N497 1993</t>
        </is>
      </c>
      <c r="C2466" t="inlineStr">
        <is>
          <t>0                      BX 4705000N  5                  N  497         1993</t>
        </is>
      </c>
      <c r="D2466" t="inlineStr">
        <is>
          <t>The convert cardinals : John Henry Newman and Henry Edward Manning / David Newsome.</t>
        </is>
      </c>
      <c r="F2466" t="inlineStr">
        <is>
          <t>No</t>
        </is>
      </c>
      <c r="G2466" t="inlineStr">
        <is>
          <t>1</t>
        </is>
      </c>
      <c r="H2466" t="inlineStr">
        <is>
          <t>No</t>
        </is>
      </c>
      <c r="I2466" t="inlineStr">
        <is>
          <t>No</t>
        </is>
      </c>
      <c r="J2466" t="inlineStr">
        <is>
          <t>0</t>
        </is>
      </c>
      <c r="K2466" t="inlineStr">
        <is>
          <t>Newsome, David, 1929-</t>
        </is>
      </c>
      <c r="L2466" t="inlineStr">
        <is>
          <t>London : John Murray, c1993.</t>
        </is>
      </c>
      <c r="M2466" t="inlineStr">
        <is>
          <t>1993</t>
        </is>
      </c>
      <c r="O2466" t="inlineStr">
        <is>
          <t>eng</t>
        </is>
      </c>
      <c r="P2466" t="inlineStr">
        <is>
          <t>enk</t>
        </is>
      </c>
      <c r="R2466" t="inlineStr">
        <is>
          <t xml:space="preserve">BX </t>
        </is>
      </c>
      <c r="S2466" t="n">
        <v>6</v>
      </c>
      <c r="T2466" t="n">
        <v>6</v>
      </c>
      <c r="U2466" t="inlineStr">
        <is>
          <t>1999-08-02</t>
        </is>
      </c>
      <c r="V2466" t="inlineStr">
        <is>
          <t>1999-08-02</t>
        </is>
      </c>
      <c r="W2466" t="inlineStr">
        <is>
          <t>1994-03-23</t>
        </is>
      </c>
      <c r="X2466" t="inlineStr">
        <is>
          <t>1994-03-23</t>
        </is>
      </c>
      <c r="Y2466" t="n">
        <v>235</v>
      </c>
      <c r="Z2466" t="n">
        <v>128</v>
      </c>
      <c r="AA2466" t="n">
        <v>128</v>
      </c>
      <c r="AB2466" t="n">
        <v>1</v>
      </c>
      <c r="AC2466" t="n">
        <v>1</v>
      </c>
      <c r="AD2466" t="n">
        <v>13</v>
      </c>
      <c r="AE2466" t="n">
        <v>13</v>
      </c>
      <c r="AF2466" t="n">
        <v>2</v>
      </c>
      <c r="AG2466" t="n">
        <v>2</v>
      </c>
      <c r="AH2466" t="n">
        <v>4</v>
      </c>
      <c r="AI2466" t="n">
        <v>4</v>
      </c>
      <c r="AJ2466" t="n">
        <v>10</v>
      </c>
      <c r="AK2466" t="n">
        <v>10</v>
      </c>
      <c r="AL2466" t="n">
        <v>0</v>
      </c>
      <c r="AM2466" t="n">
        <v>0</v>
      </c>
      <c r="AN2466" t="n">
        <v>0</v>
      </c>
      <c r="AO2466" t="n">
        <v>0</v>
      </c>
      <c r="AP2466" t="inlineStr">
        <is>
          <t>No</t>
        </is>
      </c>
      <c r="AQ2466" t="inlineStr">
        <is>
          <t>No</t>
        </is>
      </c>
      <c r="AS2466">
        <f>HYPERLINK("https://creighton-primo.hosted.exlibrisgroup.com/primo-explore/search?tab=default_tab&amp;search_scope=EVERYTHING&amp;vid=01CRU&amp;lang=en_US&amp;offset=0&amp;query=any,contains,991002256609702656","Catalog Record")</f>
        <v/>
      </c>
      <c r="AT2466">
        <f>HYPERLINK("http://www.worldcat.org/oclc/29239507","WorldCat Record")</f>
        <v/>
      </c>
      <c r="AU2466" t="inlineStr">
        <is>
          <t>31710876:eng</t>
        </is>
      </c>
      <c r="AV2466" t="inlineStr">
        <is>
          <t>29239507</t>
        </is>
      </c>
      <c r="AW2466" t="inlineStr">
        <is>
          <t>991002256609702656</t>
        </is>
      </c>
      <c r="AX2466" t="inlineStr">
        <is>
          <t>991002256609702656</t>
        </is>
      </c>
      <c r="AY2466" t="inlineStr">
        <is>
          <t>2265477550002656</t>
        </is>
      </c>
      <c r="AZ2466" t="inlineStr">
        <is>
          <t>BOOK</t>
        </is>
      </c>
      <c r="BB2466" t="inlineStr">
        <is>
          <t>9780719546358</t>
        </is>
      </c>
      <c r="BC2466" t="inlineStr">
        <is>
          <t>32285001857795</t>
        </is>
      </c>
      <c r="BD2466" t="inlineStr">
        <is>
          <t>893517072</t>
        </is>
      </c>
    </row>
    <row r="2467">
      <c r="A2467" t="inlineStr">
        <is>
          <t>No</t>
        </is>
      </c>
      <c r="B2467" t="inlineStr">
        <is>
          <t>BX4705.N5 N498 1989</t>
        </is>
      </c>
      <c r="C2467" t="inlineStr">
        <is>
          <t>0                      BX 4705000N  5                  N  498         1989</t>
        </is>
      </c>
      <c r="D2467" t="inlineStr">
        <is>
          <t>Newman today : papers presented at a conference on John Henry Cardinal Newman / sponsored by the Wethersfield Institute, New York City, October 14-15, 1988 ; edited, with an introduction by Stanley L. Jaki.</t>
        </is>
      </c>
      <c r="F2467" t="inlineStr">
        <is>
          <t>No</t>
        </is>
      </c>
      <c r="G2467" t="inlineStr">
        <is>
          <t>1</t>
        </is>
      </c>
      <c r="H2467" t="inlineStr">
        <is>
          <t>No</t>
        </is>
      </c>
      <c r="I2467" t="inlineStr">
        <is>
          <t>No</t>
        </is>
      </c>
      <c r="J2467" t="inlineStr">
        <is>
          <t>0</t>
        </is>
      </c>
      <c r="L2467" t="inlineStr">
        <is>
          <t>San Francisco : Ignatius Press, c1989.</t>
        </is>
      </c>
      <c r="M2467" t="inlineStr">
        <is>
          <t>1989</t>
        </is>
      </c>
      <c r="O2467" t="inlineStr">
        <is>
          <t>eng</t>
        </is>
      </c>
      <c r="P2467" t="inlineStr">
        <is>
          <t>cau</t>
        </is>
      </c>
      <c r="Q2467" t="inlineStr">
        <is>
          <t>The Proceedings of the Wethersfield Institute ; v. 1</t>
        </is>
      </c>
      <c r="R2467" t="inlineStr">
        <is>
          <t xml:space="preserve">BX </t>
        </is>
      </c>
      <c r="S2467" t="n">
        <v>3</v>
      </c>
      <c r="T2467" t="n">
        <v>3</v>
      </c>
      <c r="U2467" t="inlineStr">
        <is>
          <t>1998-09-08</t>
        </is>
      </c>
      <c r="V2467" t="inlineStr">
        <is>
          <t>1998-09-08</t>
        </is>
      </c>
      <c r="W2467" t="inlineStr">
        <is>
          <t>1990-01-25</t>
        </is>
      </c>
      <c r="X2467" t="inlineStr">
        <is>
          <t>1990-01-25</t>
        </is>
      </c>
      <c r="Y2467" t="n">
        <v>253</v>
      </c>
      <c r="Z2467" t="n">
        <v>223</v>
      </c>
      <c r="AA2467" t="n">
        <v>230</v>
      </c>
      <c r="AB2467" t="n">
        <v>5</v>
      </c>
      <c r="AC2467" t="n">
        <v>5</v>
      </c>
      <c r="AD2467" t="n">
        <v>32</v>
      </c>
      <c r="AE2467" t="n">
        <v>32</v>
      </c>
      <c r="AF2467" t="n">
        <v>10</v>
      </c>
      <c r="AG2467" t="n">
        <v>10</v>
      </c>
      <c r="AH2467" t="n">
        <v>8</v>
      </c>
      <c r="AI2467" t="n">
        <v>8</v>
      </c>
      <c r="AJ2467" t="n">
        <v>25</v>
      </c>
      <c r="AK2467" t="n">
        <v>25</v>
      </c>
      <c r="AL2467" t="n">
        <v>2</v>
      </c>
      <c r="AM2467" t="n">
        <v>2</v>
      </c>
      <c r="AN2467" t="n">
        <v>0</v>
      </c>
      <c r="AO2467" t="n">
        <v>0</v>
      </c>
      <c r="AP2467" t="inlineStr">
        <is>
          <t>No</t>
        </is>
      </c>
      <c r="AQ2467" t="inlineStr">
        <is>
          <t>Yes</t>
        </is>
      </c>
      <c r="AR2467">
        <f>HYPERLINK("http://catalog.hathitrust.org/Record/002879900","HathiTrust Record")</f>
        <v/>
      </c>
      <c r="AS2467">
        <f>HYPERLINK("https://creighton-primo.hosted.exlibrisgroup.com/primo-explore/search?tab=default_tab&amp;search_scope=EVERYTHING&amp;vid=01CRU&amp;lang=en_US&amp;offset=0&amp;query=any,contains,991001586839702656","Catalog Record")</f>
        <v/>
      </c>
      <c r="AT2467">
        <f>HYPERLINK("http://www.worldcat.org/oclc/20549562","WorldCat Record")</f>
        <v/>
      </c>
      <c r="AU2467" t="inlineStr">
        <is>
          <t>1807205680:eng</t>
        </is>
      </c>
      <c r="AV2467" t="inlineStr">
        <is>
          <t>20549562</t>
        </is>
      </c>
      <c r="AW2467" t="inlineStr">
        <is>
          <t>991001586839702656</t>
        </is>
      </c>
      <c r="AX2467" t="inlineStr">
        <is>
          <t>991001586839702656</t>
        </is>
      </c>
      <c r="AY2467" t="inlineStr">
        <is>
          <t>2270017230002656</t>
        </is>
      </c>
      <c r="AZ2467" t="inlineStr">
        <is>
          <t>BOOK</t>
        </is>
      </c>
      <c r="BB2467" t="inlineStr">
        <is>
          <t>9780898702422</t>
        </is>
      </c>
      <c r="BC2467" t="inlineStr">
        <is>
          <t>32285000035450</t>
        </is>
      </c>
      <c r="BD2467" t="inlineStr">
        <is>
          <t>893797647</t>
        </is>
      </c>
    </row>
    <row r="2468">
      <c r="A2468" t="inlineStr">
        <is>
          <t>No</t>
        </is>
      </c>
      <c r="B2468" t="inlineStr">
        <is>
          <t>BX4705.N5 N5 1997</t>
        </is>
      </c>
      <c r="C2468" t="inlineStr">
        <is>
          <t>0                      BX 4705000N  5                  N  5           1997</t>
        </is>
      </c>
      <c r="D2468" t="inlineStr">
        <is>
          <t>Newman and conversion / edited by Ian Ker.</t>
        </is>
      </c>
      <c r="F2468" t="inlineStr">
        <is>
          <t>No</t>
        </is>
      </c>
      <c r="G2468" t="inlineStr">
        <is>
          <t>1</t>
        </is>
      </c>
      <c r="H2468" t="inlineStr">
        <is>
          <t>No</t>
        </is>
      </c>
      <c r="I2468" t="inlineStr">
        <is>
          <t>No</t>
        </is>
      </c>
      <c r="J2468" t="inlineStr">
        <is>
          <t>0</t>
        </is>
      </c>
      <c r="L2468" t="inlineStr">
        <is>
          <t>Edinburgh : T&amp;T Clark, 1997.</t>
        </is>
      </c>
      <c r="M2468" t="inlineStr">
        <is>
          <t>1997</t>
        </is>
      </c>
      <c r="O2468" t="inlineStr">
        <is>
          <t>eng</t>
        </is>
      </c>
      <c r="P2468" t="inlineStr">
        <is>
          <t>stk</t>
        </is>
      </c>
      <c r="R2468" t="inlineStr">
        <is>
          <t xml:space="preserve">BX </t>
        </is>
      </c>
      <c r="S2468" t="n">
        <v>5</v>
      </c>
      <c r="T2468" t="n">
        <v>5</v>
      </c>
      <c r="U2468" t="inlineStr">
        <is>
          <t>2010-03-02</t>
        </is>
      </c>
      <c r="V2468" t="inlineStr">
        <is>
          <t>2010-03-02</t>
        </is>
      </c>
      <c r="W2468" t="inlineStr">
        <is>
          <t>1998-02-10</t>
        </is>
      </c>
      <c r="X2468" t="inlineStr">
        <is>
          <t>1998-02-10</t>
        </is>
      </c>
      <c r="Y2468" t="n">
        <v>135</v>
      </c>
      <c r="Z2468" t="n">
        <v>94</v>
      </c>
      <c r="AA2468" t="n">
        <v>143</v>
      </c>
      <c r="AB2468" t="n">
        <v>2</v>
      </c>
      <c r="AC2468" t="n">
        <v>2</v>
      </c>
      <c r="AD2468" t="n">
        <v>14</v>
      </c>
      <c r="AE2468" t="n">
        <v>20</v>
      </c>
      <c r="AF2468" t="n">
        <v>4</v>
      </c>
      <c r="AG2468" t="n">
        <v>8</v>
      </c>
      <c r="AH2468" t="n">
        <v>5</v>
      </c>
      <c r="AI2468" t="n">
        <v>5</v>
      </c>
      <c r="AJ2468" t="n">
        <v>7</v>
      </c>
      <c r="AK2468" t="n">
        <v>11</v>
      </c>
      <c r="AL2468" t="n">
        <v>1</v>
      </c>
      <c r="AM2468" t="n">
        <v>1</v>
      </c>
      <c r="AN2468" t="n">
        <v>0</v>
      </c>
      <c r="AO2468" t="n">
        <v>0</v>
      </c>
      <c r="AP2468" t="inlineStr">
        <is>
          <t>No</t>
        </is>
      </c>
      <c r="AQ2468" t="inlineStr">
        <is>
          <t>Yes</t>
        </is>
      </c>
      <c r="AR2468">
        <f>HYPERLINK("http://catalog.hathitrust.org/Record/003942775","HathiTrust Record")</f>
        <v/>
      </c>
      <c r="AS2468">
        <f>HYPERLINK("https://creighton-primo.hosted.exlibrisgroup.com/primo-explore/search?tab=default_tab&amp;search_scope=EVERYTHING&amp;vid=01CRU&amp;lang=en_US&amp;offset=0&amp;query=any,contains,991002867499702656","Catalog Record")</f>
        <v/>
      </c>
      <c r="AT2468">
        <f>HYPERLINK("http://www.worldcat.org/oclc/37801833","WorldCat Record")</f>
        <v/>
      </c>
      <c r="AU2468" t="inlineStr">
        <is>
          <t>56220809:eng</t>
        </is>
      </c>
      <c r="AV2468" t="inlineStr">
        <is>
          <t>37801833</t>
        </is>
      </c>
      <c r="AW2468" t="inlineStr">
        <is>
          <t>991002867499702656</t>
        </is>
      </c>
      <c r="AX2468" t="inlineStr">
        <is>
          <t>991002867499702656</t>
        </is>
      </c>
      <c r="AY2468" t="inlineStr">
        <is>
          <t>2255490030002656</t>
        </is>
      </c>
      <c r="AZ2468" t="inlineStr">
        <is>
          <t>BOOK</t>
        </is>
      </c>
      <c r="BB2468" t="inlineStr">
        <is>
          <t>9780567085535</t>
        </is>
      </c>
      <c r="BC2468" t="inlineStr">
        <is>
          <t>32285003313300</t>
        </is>
      </c>
      <c r="BD2468" t="inlineStr">
        <is>
          <t>893329652</t>
        </is>
      </c>
    </row>
    <row r="2469">
      <c r="A2469" t="inlineStr">
        <is>
          <t>No</t>
        </is>
      </c>
      <c r="B2469" t="inlineStr">
        <is>
          <t>BX4705.N5 Y4</t>
        </is>
      </c>
      <c r="C2469" t="inlineStr">
        <is>
          <t>0                      BX 4705000N  5                  Y  4</t>
        </is>
      </c>
      <c r="D2469" t="inlineStr">
        <is>
          <t>The ideas of Newman : Christianity and human religiosity / Lee H. Yearley.</t>
        </is>
      </c>
      <c r="F2469" t="inlineStr">
        <is>
          <t>No</t>
        </is>
      </c>
      <c r="G2469" t="inlineStr">
        <is>
          <t>1</t>
        </is>
      </c>
      <c r="H2469" t="inlineStr">
        <is>
          <t>No</t>
        </is>
      </c>
      <c r="I2469" t="inlineStr">
        <is>
          <t>No</t>
        </is>
      </c>
      <c r="J2469" t="inlineStr">
        <is>
          <t>0</t>
        </is>
      </c>
      <c r="K2469" t="inlineStr">
        <is>
          <t>Yearley, Lee H.</t>
        </is>
      </c>
      <c r="L2469" t="inlineStr">
        <is>
          <t>University Park : Pennsylvania State University Press, c1978.</t>
        </is>
      </c>
      <c r="M2469" t="inlineStr">
        <is>
          <t>1978</t>
        </is>
      </c>
      <c r="O2469" t="inlineStr">
        <is>
          <t>eng</t>
        </is>
      </c>
      <c r="P2469" t="inlineStr">
        <is>
          <t>pau</t>
        </is>
      </c>
      <c r="R2469" t="inlineStr">
        <is>
          <t xml:space="preserve">BX </t>
        </is>
      </c>
      <c r="S2469" t="n">
        <v>8</v>
      </c>
      <c r="T2469" t="n">
        <v>8</v>
      </c>
      <c r="U2469" t="inlineStr">
        <is>
          <t>1994-02-20</t>
        </is>
      </c>
      <c r="V2469" t="inlineStr">
        <is>
          <t>1994-02-20</t>
        </is>
      </c>
      <c r="W2469" t="inlineStr">
        <is>
          <t>1992-03-30</t>
        </is>
      </c>
      <c r="X2469" t="inlineStr">
        <is>
          <t>1992-03-30</t>
        </is>
      </c>
      <c r="Y2469" t="n">
        <v>438</v>
      </c>
      <c r="Z2469" t="n">
        <v>355</v>
      </c>
      <c r="AA2469" t="n">
        <v>357</v>
      </c>
      <c r="AB2469" t="n">
        <v>4</v>
      </c>
      <c r="AC2469" t="n">
        <v>4</v>
      </c>
      <c r="AD2469" t="n">
        <v>32</v>
      </c>
      <c r="AE2469" t="n">
        <v>32</v>
      </c>
      <c r="AF2469" t="n">
        <v>11</v>
      </c>
      <c r="AG2469" t="n">
        <v>11</v>
      </c>
      <c r="AH2469" t="n">
        <v>9</v>
      </c>
      <c r="AI2469" t="n">
        <v>9</v>
      </c>
      <c r="AJ2469" t="n">
        <v>21</v>
      </c>
      <c r="AK2469" t="n">
        <v>21</v>
      </c>
      <c r="AL2469" t="n">
        <v>2</v>
      </c>
      <c r="AM2469" t="n">
        <v>2</v>
      </c>
      <c r="AN2469" t="n">
        <v>0</v>
      </c>
      <c r="AO2469" t="n">
        <v>0</v>
      </c>
      <c r="AP2469" t="inlineStr">
        <is>
          <t>No</t>
        </is>
      </c>
      <c r="AQ2469" t="inlineStr">
        <is>
          <t>Yes</t>
        </is>
      </c>
      <c r="AR2469">
        <f>HYPERLINK("http://catalog.hathitrust.org/Record/000749110","HathiTrust Record")</f>
        <v/>
      </c>
      <c r="AS2469">
        <f>HYPERLINK("https://creighton-primo.hosted.exlibrisgroup.com/primo-explore/search?tab=default_tab&amp;search_scope=EVERYTHING&amp;vid=01CRU&amp;lang=en_US&amp;offset=0&amp;query=any,contains,991004407819702656","Catalog Record")</f>
        <v/>
      </c>
      <c r="AT2469">
        <f>HYPERLINK("http://www.worldcat.org/oclc/3327900","WorldCat Record")</f>
        <v/>
      </c>
      <c r="AU2469" t="inlineStr">
        <is>
          <t>890885370:eng</t>
        </is>
      </c>
      <c r="AV2469" t="inlineStr">
        <is>
          <t>3327900</t>
        </is>
      </c>
      <c r="AW2469" t="inlineStr">
        <is>
          <t>991004407819702656</t>
        </is>
      </c>
      <c r="AX2469" t="inlineStr">
        <is>
          <t>991004407819702656</t>
        </is>
      </c>
      <c r="AY2469" t="inlineStr">
        <is>
          <t>2267364710002656</t>
        </is>
      </c>
      <c r="AZ2469" t="inlineStr">
        <is>
          <t>BOOK</t>
        </is>
      </c>
      <c r="BB2469" t="inlineStr">
        <is>
          <t>9780271005263</t>
        </is>
      </c>
      <c r="BC2469" t="inlineStr">
        <is>
          <t>32285001046175</t>
        </is>
      </c>
      <c r="BD2469" t="inlineStr">
        <is>
          <t>893869684</t>
        </is>
      </c>
    </row>
    <row r="2470">
      <c r="A2470" t="inlineStr">
        <is>
          <t>No</t>
        </is>
      </c>
      <c r="B2470" t="inlineStr">
        <is>
          <t>BX4705.N5 Z46 1987</t>
        </is>
      </c>
      <c r="C2470" t="inlineStr">
        <is>
          <t>0                      BX 4705000N  5                  Z  46          1987</t>
        </is>
      </c>
      <c r="D2470" t="inlineStr">
        <is>
          <t>John Henry Newman : his inner life / Dr. Zeno.</t>
        </is>
      </c>
      <c r="F2470" t="inlineStr">
        <is>
          <t>No</t>
        </is>
      </c>
      <c r="G2470" t="inlineStr">
        <is>
          <t>1</t>
        </is>
      </c>
      <c r="H2470" t="inlineStr">
        <is>
          <t>No</t>
        </is>
      </c>
      <c r="I2470" t="inlineStr">
        <is>
          <t>No</t>
        </is>
      </c>
      <c r="J2470" t="inlineStr">
        <is>
          <t>0</t>
        </is>
      </c>
      <c r="K2470" t="inlineStr">
        <is>
          <t>Zeno, Dr., O.F.M. Cap.</t>
        </is>
      </c>
      <c r="L2470" t="inlineStr">
        <is>
          <t>San Francisco : Ignatius Press, 1987.</t>
        </is>
      </c>
      <c r="M2470" t="inlineStr">
        <is>
          <t>1987</t>
        </is>
      </c>
      <c r="O2470" t="inlineStr">
        <is>
          <t>eng</t>
        </is>
      </c>
      <c r="P2470" t="inlineStr">
        <is>
          <t>cau</t>
        </is>
      </c>
      <c r="R2470" t="inlineStr">
        <is>
          <t xml:space="preserve">BX </t>
        </is>
      </c>
      <c r="S2470" t="n">
        <v>2</v>
      </c>
      <c r="T2470" t="n">
        <v>2</v>
      </c>
      <c r="U2470" t="inlineStr">
        <is>
          <t>2005-08-17</t>
        </is>
      </c>
      <c r="V2470" t="inlineStr">
        <is>
          <t>2005-08-17</t>
        </is>
      </c>
      <c r="W2470" t="inlineStr">
        <is>
          <t>1992-03-30</t>
        </is>
      </c>
      <c r="X2470" t="inlineStr">
        <is>
          <t>1992-03-30</t>
        </is>
      </c>
      <c r="Y2470" t="n">
        <v>214</v>
      </c>
      <c r="Z2470" t="n">
        <v>180</v>
      </c>
      <c r="AA2470" t="n">
        <v>182</v>
      </c>
      <c r="AB2470" t="n">
        <v>4</v>
      </c>
      <c r="AC2470" t="n">
        <v>4</v>
      </c>
      <c r="AD2470" t="n">
        <v>17</v>
      </c>
      <c r="AE2470" t="n">
        <v>17</v>
      </c>
      <c r="AF2470" t="n">
        <v>7</v>
      </c>
      <c r="AG2470" t="n">
        <v>7</v>
      </c>
      <c r="AH2470" t="n">
        <v>3</v>
      </c>
      <c r="AI2470" t="n">
        <v>3</v>
      </c>
      <c r="AJ2470" t="n">
        <v>12</v>
      </c>
      <c r="AK2470" t="n">
        <v>12</v>
      </c>
      <c r="AL2470" t="n">
        <v>1</v>
      </c>
      <c r="AM2470" t="n">
        <v>1</v>
      </c>
      <c r="AN2470" t="n">
        <v>0</v>
      </c>
      <c r="AO2470" t="n">
        <v>0</v>
      </c>
      <c r="AP2470" t="inlineStr">
        <is>
          <t>No</t>
        </is>
      </c>
      <c r="AQ2470" t="inlineStr">
        <is>
          <t>Yes</t>
        </is>
      </c>
      <c r="AR2470">
        <f>HYPERLINK("http://catalog.hathitrust.org/Record/000849728","HathiTrust Record")</f>
        <v/>
      </c>
      <c r="AS2470">
        <f>HYPERLINK("https://creighton-primo.hosted.exlibrisgroup.com/primo-explore/search?tab=default_tab&amp;search_scope=EVERYTHING&amp;vid=01CRU&amp;lang=en_US&amp;offset=0&amp;query=any,contains,991001072419702656","Catalog Record")</f>
        <v/>
      </c>
      <c r="AT2470">
        <f>HYPERLINK("http://www.worldcat.org/oclc/15709441","WorldCat Record")</f>
        <v/>
      </c>
      <c r="AU2470" t="inlineStr">
        <is>
          <t>3127722:eng</t>
        </is>
      </c>
      <c r="AV2470" t="inlineStr">
        <is>
          <t>15709441</t>
        </is>
      </c>
      <c r="AW2470" t="inlineStr">
        <is>
          <t>991001072419702656</t>
        </is>
      </c>
      <c r="AX2470" t="inlineStr">
        <is>
          <t>991001072419702656</t>
        </is>
      </c>
      <c r="AY2470" t="inlineStr">
        <is>
          <t>2258654050002656</t>
        </is>
      </c>
      <c r="AZ2470" t="inlineStr">
        <is>
          <t>BOOK</t>
        </is>
      </c>
      <c r="BB2470" t="inlineStr">
        <is>
          <t>9780898701128</t>
        </is>
      </c>
      <c r="BC2470" t="inlineStr">
        <is>
          <t>32285001046183</t>
        </is>
      </c>
      <c r="BD2470" t="inlineStr">
        <is>
          <t>893496792</t>
        </is>
      </c>
    </row>
    <row r="2471">
      <c r="A2471" t="inlineStr">
        <is>
          <t>No</t>
        </is>
      </c>
      <c r="B2471" t="inlineStr">
        <is>
          <t>BX4705.N58 V3</t>
        </is>
      </c>
      <c r="C2471" t="inlineStr">
        <is>
          <t>0                      BX 4705000N  58                 V  3</t>
        </is>
      </c>
      <c r="D2471" t="inlineStr">
        <is>
          <t>Le cardinal Nicolas de Cues (1401-1464) l'action - la pensée.</t>
        </is>
      </c>
      <c r="F2471" t="inlineStr">
        <is>
          <t>No</t>
        </is>
      </c>
      <c r="G2471" t="inlineStr">
        <is>
          <t>1</t>
        </is>
      </c>
      <c r="H2471" t="inlineStr">
        <is>
          <t>No</t>
        </is>
      </c>
      <c r="I2471" t="inlineStr">
        <is>
          <t>No</t>
        </is>
      </c>
      <c r="J2471" t="inlineStr">
        <is>
          <t>0</t>
        </is>
      </c>
      <c r="K2471" t="inlineStr">
        <is>
          <t>Vansteenberghe, E.</t>
        </is>
      </c>
      <c r="L2471" t="inlineStr">
        <is>
          <t>Frankfurt am Main, Minerva GMBH, 1963.</t>
        </is>
      </c>
      <c r="M2471" t="inlineStr">
        <is>
          <t>1963</t>
        </is>
      </c>
      <c r="O2471" t="inlineStr">
        <is>
          <t>fre</t>
        </is>
      </c>
      <c r="P2471" t="inlineStr">
        <is>
          <t>___</t>
        </is>
      </c>
      <c r="Q2471" t="inlineStr">
        <is>
          <t>Bibliothèque du XVe siècle, t. XXIV</t>
        </is>
      </c>
      <c r="R2471" t="inlineStr">
        <is>
          <t xml:space="preserve">BX </t>
        </is>
      </c>
      <c r="S2471" t="n">
        <v>0</v>
      </c>
      <c r="T2471" t="n">
        <v>0</v>
      </c>
      <c r="U2471" t="inlineStr">
        <is>
          <t>2000-07-20</t>
        </is>
      </c>
      <c r="V2471" t="inlineStr">
        <is>
          <t>2000-07-20</t>
        </is>
      </c>
      <c r="W2471" t="inlineStr">
        <is>
          <t>1992-04-02</t>
        </is>
      </c>
      <c r="X2471" t="inlineStr">
        <is>
          <t>1992-04-02</t>
        </is>
      </c>
      <c r="Y2471" t="n">
        <v>94</v>
      </c>
      <c r="Z2471" t="n">
        <v>72</v>
      </c>
      <c r="AA2471" t="n">
        <v>139</v>
      </c>
      <c r="AB2471" t="n">
        <v>1</v>
      </c>
      <c r="AC2471" t="n">
        <v>2</v>
      </c>
      <c r="AD2471" t="n">
        <v>7</v>
      </c>
      <c r="AE2471" t="n">
        <v>12</v>
      </c>
      <c r="AF2471" t="n">
        <v>2</v>
      </c>
      <c r="AG2471" t="n">
        <v>2</v>
      </c>
      <c r="AH2471" t="n">
        <v>1</v>
      </c>
      <c r="AI2471" t="n">
        <v>3</v>
      </c>
      <c r="AJ2471" t="n">
        <v>7</v>
      </c>
      <c r="AK2471" t="n">
        <v>10</v>
      </c>
      <c r="AL2471" t="n">
        <v>0</v>
      </c>
      <c r="AM2471" t="n">
        <v>1</v>
      </c>
      <c r="AN2471" t="n">
        <v>0</v>
      </c>
      <c r="AO2471" t="n">
        <v>0</v>
      </c>
      <c r="AP2471" t="inlineStr">
        <is>
          <t>No</t>
        </is>
      </c>
      <c r="AQ2471" t="inlineStr">
        <is>
          <t>No</t>
        </is>
      </c>
      <c r="AS2471">
        <f>HYPERLINK("https://creighton-primo.hosted.exlibrisgroup.com/primo-explore/search?tab=default_tab&amp;search_scope=EVERYTHING&amp;vid=01CRU&amp;lang=en_US&amp;offset=0&amp;query=any,contains,991003736119702656","Catalog Record")</f>
        <v/>
      </c>
      <c r="AT2471">
        <f>HYPERLINK("http://www.worldcat.org/oclc/1393030","WorldCat Record")</f>
        <v/>
      </c>
      <c r="AU2471" t="inlineStr">
        <is>
          <t>390419892:fre</t>
        </is>
      </c>
      <c r="AV2471" t="inlineStr">
        <is>
          <t>1393030</t>
        </is>
      </c>
      <c r="AW2471" t="inlineStr">
        <is>
          <t>991003736119702656</t>
        </is>
      </c>
      <c r="AX2471" t="inlineStr">
        <is>
          <t>991003736119702656</t>
        </is>
      </c>
      <c r="AY2471" t="inlineStr">
        <is>
          <t>2258337740002656</t>
        </is>
      </c>
      <c r="AZ2471" t="inlineStr">
        <is>
          <t>BOOK</t>
        </is>
      </c>
      <c r="BC2471" t="inlineStr">
        <is>
          <t>32285001046274</t>
        </is>
      </c>
      <c r="BD2471" t="inlineStr">
        <is>
          <t>893422881</t>
        </is>
      </c>
    </row>
    <row r="2472">
      <c r="A2472" t="inlineStr">
        <is>
          <t>No</t>
        </is>
      </c>
      <c r="B2472" t="inlineStr">
        <is>
          <t>BX4705.N87 A3 1998</t>
        </is>
      </c>
      <c r="C2472" t="inlineStr">
        <is>
          <t>0                      BX 4705000N  87                 A  3           1998</t>
        </is>
      </c>
      <c r="D2472" t="inlineStr">
        <is>
          <t>Sabbatical journey : the diary of his final year / Henri J.M. Nouwen.</t>
        </is>
      </c>
      <c r="F2472" t="inlineStr">
        <is>
          <t>No</t>
        </is>
      </c>
      <c r="G2472" t="inlineStr">
        <is>
          <t>1</t>
        </is>
      </c>
      <c r="H2472" t="inlineStr">
        <is>
          <t>No</t>
        </is>
      </c>
      <c r="I2472" t="inlineStr">
        <is>
          <t>No</t>
        </is>
      </c>
      <c r="J2472" t="inlineStr">
        <is>
          <t>0</t>
        </is>
      </c>
      <c r="K2472" t="inlineStr">
        <is>
          <t>Nouwen, Henri J. M.</t>
        </is>
      </c>
      <c r="L2472" t="inlineStr">
        <is>
          <t>New York : Crossroad Pub., c1998.</t>
        </is>
      </c>
      <c r="M2472" t="inlineStr">
        <is>
          <t>1998</t>
        </is>
      </c>
      <c r="O2472" t="inlineStr">
        <is>
          <t>eng</t>
        </is>
      </c>
      <c r="P2472" t="inlineStr">
        <is>
          <t>nyu</t>
        </is>
      </c>
      <c r="R2472" t="inlineStr">
        <is>
          <t xml:space="preserve">BX </t>
        </is>
      </c>
      <c r="S2472" t="n">
        <v>6</v>
      </c>
      <c r="T2472" t="n">
        <v>6</v>
      </c>
      <c r="U2472" t="inlineStr">
        <is>
          <t>2006-06-18</t>
        </is>
      </c>
      <c r="V2472" t="inlineStr">
        <is>
          <t>2006-06-18</t>
        </is>
      </c>
      <c r="W2472" t="inlineStr">
        <is>
          <t>1998-12-02</t>
        </is>
      </c>
      <c r="X2472" t="inlineStr">
        <is>
          <t>1998-12-02</t>
        </is>
      </c>
      <c r="Y2472" t="n">
        <v>428</v>
      </c>
      <c r="Z2472" t="n">
        <v>384</v>
      </c>
      <c r="AA2472" t="n">
        <v>409</v>
      </c>
      <c r="AB2472" t="n">
        <v>3</v>
      </c>
      <c r="AC2472" t="n">
        <v>4</v>
      </c>
      <c r="AD2472" t="n">
        <v>20</v>
      </c>
      <c r="AE2472" t="n">
        <v>22</v>
      </c>
      <c r="AF2472" t="n">
        <v>9</v>
      </c>
      <c r="AG2472" t="n">
        <v>10</v>
      </c>
      <c r="AH2472" t="n">
        <v>3</v>
      </c>
      <c r="AI2472" t="n">
        <v>4</v>
      </c>
      <c r="AJ2472" t="n">
        <v>11</v>
      </c>
      <c r="AK2472" t="n">
        <v>11</v>
      </c>
      <c r="AL2472" t="n">
        <v>1</v>
      </c>
      <c r="AM2472" t="n">
        <v>2</v>
      </c>
      <c r="AN2472" t="n">
        <v>0</v>
      </c>
      <c r="AO2472" t="n">
        <v>0</v>
      </c>
      <c r="AP2472" t="inlineStr">
        <is>
          <t>No</t>
        </is>
      </c>
      <c r="AQ2472" t="inlineStr">
        <is>
          <t>Yes</t>
        </is>
      </c>
      <c r="AR2472">
        <f>HYPERLINK("http://catalog.hathitrust.org/Record/005992963","HathiTrust Record")</f>
        <v/>
      </c>
      <c r="AS2472">
        <f>HYPERLINK("https://creighton-primo.hosted.exlibrisgroup.com/primo-explore/search?tab=default_tab&amp;search_scope=EVERYTHING&amp;vid=01CRU&amp;lang=en_US&amp;offset=0&amp;query=any,contains,991005428779702656","Catalog Record")</f>
        <v/>
      </c>
      <c r="AT2472">
        <f>HYPERLINK("http://www.worldcat.org/oclc/39261954","WorldCat Record")</f>
        <v/>
      </c>
      <c r="AU2472" t="inlineStr">
        <is>
          <t>628175:eng</t>
        </is>
      </c>
      <c r="AV2472" t="inlineStr">
        <is>
          <t>39261954</t>
        </is>
      </c>
      <c r="AW2472" t="inlineStr">
        <is>
          <t>991005428779702656</t>
        </is>
      </c>
      <c r="AX2472" t="inlineStr">
        <is>
          <t>991005428779702656</t>
        </is>
      </c>
      <c r="AY2472" t="inlineStr">
        <is>
          <t>2265647120002656</t>
        </is>
      </c>
      <c r="AZ2472" t="inlineStr">
        <is>
          <t>BOOK</t>
        </is>
      </c>
      <c r="BB2472" t="inlineStr">
        <is>
          <t>9780824517083</t>
        </is>
      </c>
      <c r="BC2472" t="inlineStr">
        <is>
          <t>32285003492757</t>
        </is>
      </c>
      <c r="BD2472" t="inlineStr">
        <is>
          <t>893790007</t>
        </is>
      </c>
    </row>
    <row r="2473">
      <c r="A2473" t="inlineStr">
        <is>
          <t>No</t>
        </is>
      </c>
      <c r="B2473" t="inlineStr">
        <is>
          <t>BX4705.O29 F63 1974</t>
        </is>
      </c>
      <c r="C2473" t="inlineStr">
        <is>
          <t>0                      BX 4705000O  29                 F  63          1974</t>
        </is>
      </c>
      <c r="D2473" t="inlineStr">
        <is>
          <t>The Vatican and the Americanist crisis : Denis J. O'Connell, American agent in Rome, 1885-1903 / [by] Gerald P. Fogarty.</t>
        </is>
      </c>
      <c r="F2473" t="inlineStr">
        <is>
          <t>No</t>
        </is>
      </c>
      <c r="G2473" t="inlineStr">
        <is>
          <t>1</t>
        </is>
      </c>
      <c r="H2473" t="inlineStr">
        <is>
          <t>No</t>
        </is>
      </c>
      <c r="I2473" t="inlineStr">
        <is>
          <t>No</t>
        </is>
      </c>
      <c r="J2473" t="inlineStr">
        <is>
          <t>0</t>
        </is>
      </c>
      <c r="K2473" t="inlineStr">
        <is>
          <t>Fogarty, Gerald P.</t>
        </is>
      </c>
      <c r="L2473" t="inlineStr">
        <is>
          <t>Roma : Università gregoriana, 1974.</t>
        </is>
      </c>
      <c r="M2473" t="inlineStr">
        <is>
          <t>1974</t>
        </is>
      </c>
      <c r="O2473" t="inlineStr">
        <is>
          <t>eng</t>
        </is>
      </c>
      <c r="P2473" t="inlineStr">
        <is>
          <t xml:space="preserve">it </t>
        </is>
      </c>
      <c r="Q2473" t="inlineStr">
        <is>
          <t>Miscellanea historiae pontificiae edita a Facultate historiae ecclesiasticae in Pontificia Universitate gregoriana, v. 36</t>
        </is>
      </c>
      <c r="R2473" t="inlineStr">
        <is>
          <t xml:space="preserve">BX </t>
        </is>
      </c>
      <c r="S2473" t="n">
        <v>9</v>
      </c>
      <c r="T2473" t="n">
        <v>9</v>
      </c>
      <c r="U2473" t="inlineStr">
        <is>
          <t>2000-03-19</t>
        </is>
      </c>
      <c r="V2473" t="inlineStr">
        <is>
          <t>2000-03-19</t>
        </is>
      </c>
      <c r="W2473" t="inlineStr">
        <is>
          <t>1992-04-02</t>
        </is>
      </c>
      <c r="X2473" t="inlineStr">
        <is>
          <t>1992-04-02</t>
        </is>
      </c>
      <c r="Y2473" t="n">
        <v>248</v>
      </c>
      <c r="Z2473" t="n">
        <v>204</v>
      </c>
      <c r="AA2473" t="n">
        <v>208</v>
      </c>
      <c r="AB2473" t="n">
        <v>1</v>
      </c>
      <c r="AC2473" t="n">
        <v>1</v>
      </c>
      <c r="AD2473" t="n">
        <v>26</v>
      </c>
      <c r="AE2473" t="n">
        <v>27</v>
      </c>
      <c r="AF2473" t="n">
        <v>7</v>
      </c>
      <c r="AG2473" t="n">
        <v>7</v>
      </c>
      <c r="AH2473" t="n">
        <v>8</v>
      </c>
      <c r="AI2473" t="n">
        <v>8</v>
      </c>
      <c r="AJ2473" t="n">
        <v>20</v>
      </c>
      <c r="AK2473" t="n">
        <v>21</v>
      </c>
      <c r="AL2473" t="n">
        <v>0</v>
      </c>
      <c r="AM2473" t="n">
        <v>0</v>
      </c>
      <c r="AN2473" t="n">
        <v>0</v>
      </c>
      <c r="AO2473" t="n">
        <v>0</v>
      </c>
      <c r="AP2473" t="inlineStr">
        <is>
          <t>No</t>
        </is>
      </c>
      <c r="AQ2473" t="inlineStr">
        <is>
          <t>Yes</t>
        </is>
      </c>
      <c r="AR2473">
        <f>HYPERLINK("http://catalog.hathitrust.org/Record/002881963","HathiTrust Record")</f>
        <v/>
      </c>
      <c r="AS2473">
        <f>HYPERLINK("https://creighton-primo.hosted.exlibrisgroup.com/primo-explore/search?tab=default_tab&amp;search_scope=EVERYTHING&amp;vid=01CRU&amp;lang=en_US&amp;offset=0&amp;query=any,contains,991003419999702656","Catalog Record")</f>
        <v/>
      </c>
      <c r="AT2473">
        <f>HYPERLINK("http://www.worldcat.org/oclc/960454","WorldCat Record")</f>
        <v/>
      </c>
      <c r="AU2473" t="inlineStr">
        <is>
          <t>1911253:eng</t>
        </is>
      </c>
      <c r="AV2473" t="inlineStr">
        <is>
          <t>960454</t>
        </is>
      </c>
      <c r="AW2473" t="inlineStr">
        <is>
          <t>991003419999702656</t>
        </is>
      </c>
      <c r="AX2473" t="inlineStr">
        <is>
          <t>991003419999702656</t>
        </is>
      </c>
      <c r="AY2473" t="inlineStr">
        <is>
          <t>2258940640002656</t>
        </is>
      </c>
      <c r="AZ2473" t="inlineStr">
        <is>
          <t>BOOK</t>
        </is>
      </c>
      <c r="BC2473" t="inlineStr">
        <is>
          <t>32285001046290</t>
        </is>
      </c>
      <c r="BD2473" t="inlineStr">
        <is>
          <t>893686532</t>
        </is>
      </c>
    </row>
    <row r="2474">
      <c r="A2474" t="inlineStr">
        <is>
          <t>No</t>
        </is>
      </c>
      <c r="B2474" t="inlineStr">
        <is>
          <t>BX4705.O335 H46 1988</t>
        </is>
      </c>
      <c r="C2474" t="inlineStr">
        <is>
          <t>0                      BX 4705000O  335                H  46          1988</t>
        </is>
      </c>
      <c r="D2474" t="inlineStr">
        <is>
          <t>John Cardinal O'Connor : at the storm center of a changing American Catholic Church / Nat Hentoff.</t>
        </is>
      </c>
      <c r="F2474" t="inlineStr">
        <is>
          <t>No</t>
        </is>
      </c>
      <c r="G2474" t="inlineStr">
        <is>
          <t>1</t>
        </is>
      </c>
      <c r="H2474" t="inlineStr">
        <is>
          <t>No</t>
        </is>
      </c>
      <c r="I2474" t="inlineStr">
        <is>
          <t>No</t>
        </is>
      </c>
      <c r="J2474" t="inlineStr">
        <is>
          <t>0</t>
        </is>
      </c>
      <c r="K2474" t="inlineStr">
        <is>
          <t>Hentoff, Nat.</t>
        </is>
      </c>
      <c r="L2474" t="inlineStr">
        <is>
          <t>New York : Scribner, c1988.</t>
        </is>
      </c>
      <c r="M2474" t="inlineStr">
        <is>
          <t>1988</t>
        </is>
      </c>
      <c r="O2474" t="inlineStr">
        <is>
          <t>eng</t>
        </is>
      </c>
      <c r="P2474" t="inlineStr">
        <is>
          <t>nyu</t>
        </is>
      </c>
      <c r="R2474" t="inlineStr">
        <is>
          <t xml:space="preserve">BX </t>
        </is>
      </c>
      <c r="S2474" t="n">
        <v>2</v>
      </c>
      <c r="T2474" t="n">
        <v>2</v>
      </c>
      <c r="U2474" t="inlineStr">
        <is>
          <t>2004-05-05</t>
        </is>
      </c>
      <c r="V2474" t="inlineStr">
        <is>
          <t>2004-05-05</t>
        </is>
      </c>
      <c r="W2474" t="inlineStr">
        <is>
          <t>2004-05-05</t>
        </is>
      </c>
      <c r="X2474" t="inlineStr">
        <is>
          <t>2004-05-05</t>
        </is>
      </c>
      <c r="Y2474" t="n">
        <v>642</v>
      </c>
      <c r="Z2474" t="n">
        <v>617</v>
      </c>
      <c r="AA2474" t="n">
        <v>633</v>
      </c>
      <c r="AB2474" t="n">
        <v>5</v>
      </c>
      <c r="AC2474" t="n">
        <v>5</v>
      </c>
      <c r="AD2474" t="n">
        <v>28</v>
      </c>
      <c r="AE2474" t="n">
        <v>29</v>
      </c>
      <c r="AF2474" t="n">
        <v>9</v>
      </c>
      <c r="AG2474" t="n">
        <v>10</v>
      </c>
      <c r="AH2474" t="n">
        <v>9</v>
      </c>
      <c r="AI2474" t="n">
        <v>9</v>
      </c>
      <c r="AJ2474" t="n">
        <v>19</v>
      </c>
      <c r="AK2474" t="n">
        <v>19</v>
      </c>
      <c r="AL2474" t="n">
        <v>1</v>
      </c>
      <c r="AM2474" t="n">
        <v>1</v>
      </c>
      <c r="AN2474" t="n">
        <v>0</v>
      </c>
      <c r="AO2474" t="n">
        <v>0</v>
      </c>
      <c r="AP2474" t="inlineStr">
        <is>
          <t>No</t>
        </is>
      </c>
      <c r="AQ2474" t="inlineStr">
        <is>
          <t>Yes</t>
        </is>
      </c>
      <c r="AR2474">
        <f>HYPERLINK("http://catalog.hathitrust.org/Record/000919359","HathiTrust Record")</f>
        <v/>
      </c>
      <c r="AS2474">
        <f>HYPERLINK("https://creighton-primo.hosted.exlibrisgroup.com/primo-explore/search?tab=default_tab&amp;search_scope=EVERYTHING&amp;vid=01CRU&amp;lang=en_US&amp;offset=0&amp;query=any,contains,991004295369702656","Catalog Record")</f>
        <v/>
      </c>
      <c r="AT2474">
        <f>HYPERLINK("http://www.worldcat.org/oclc/17234083","WorldCat Record")</f>
        <v/>
      </c>
      <c r="AU2474" t="inlineStr">
        <is>
          <t>863823388:eng</t>
        </is>
      </c>
      <c r="AV2474" t="inlineStr">
        <is>
          <t>17234083</t>
        </is>
      </c>
      <c r="AW2474" t="inlineStr">
        <is>
          <t>991004295369702656</t>
        </is>
      </c>
      <c r="AX2474" t="inlineStr">
        <is>
          <t>991004295369702656</t>
        </is>
      </c>
      <c r="AY2474" t="inlineStr">
        <is>
          <t>2271931660002656</t>
        </is>
      </c>
      <c r="AZ2474" t="inlineStr">
        <is>
          <t>BOOK</t>
        </is>
      </c>
      <c r="BB2474" t="inlineStr">
        <is>
          <t>9780684189444</t>
        </is>
      </c>
      <c r="BC2474" t="inlineStr">
        <is>
          <t>32285004904073</t>
        </is>
      </c>
      <c r="BD2474" t="inlineStr">
        <is>
          <t>893442450</t>
        </is>
      </c>
    </row>
    <row r="2475">
      <c r="A2475" t="inlineStr">
        <is>
          <t>No</t>
        </is>
      </c>
      <c r="B2475" t="inlineStr">
        <is>
          <t>BX4705.O4 C6 1956</t>
        </is>
      </c>
      <c r="C2475" t="inlineStr">
        <is>
          <t>0                      BX 4705000O  4                  C  6           1956</t>
        </is>
      </c>
      <c r="D2475" t="inlineStr">
        <is>
          <t>Martyr in Scotland : the life and times of John Ogilvie.</t>
        </is>
      </c>
      <c r="F2475" t="inlineStr">
        <is>
          <t>No</t>
        </is>
      </c>
      <c r="G2475" t="inlineStr">
        <is>
          <t>1</t>
        </is>
      </c>
      <c r="H2475" t="inlineStr">
        <is>
          <t>No</t>
        </is>
      </c>
      <c r="I2475" t="inlineStr">
        <is>
          <t>No</t>
        </is>
      </c>
      <c r="J2475" t="inlineStr">
        <is>
          <t>0</t>
        </is>
      </c>
      <c r="K2475" t="inlineStr">
        <is>
          <t>Collins, Thomas, 1913-</t>
        </is>
      </c>
      <c r="L2475" t="inlineStr">
        <is>
          <t>New York : Macmillan, [1956]</t>
        </is>
      </c>
      <c r="M2475" t="inlineStr">
        <is>
          <t>1956</t>
        </is>
      </c>
      <c r="N2475" t="inlineStr">
        <is>
          <t>[First American edition]</t>
        </is>
      </c>
      <c r="O2475" t="inlineStr">
        <is>
          <t>eng</t>
        </is>
      </c>
      <c r="P2475" t="inlineStr">
        <is>
          <t xml:space="preserve">xx </t>
        </is>
      </c>
      <c r="R2475" t="inlineStr">
        <is>
          <t xml:space="preserve">BX </t>
        </is>
      </c>
      <c r="S2475" t="n">
        <v>3</v>
      </c>
      <c r="T2475" t="n">
        <v>3</v>
      </c>
      <c r="U2475" t="inlineStr">
        <is>
          <t>2006-04-10</t>
        </is>
      </c>
      <c r="V2475" t="inlineStr">
        <is>
          <t>2006-04-10</t>
        </is>
      </c>
      <c r="W2475" t="inlineStr">
        <is>
          <t>1992-04-02</t>
        </is>
      </c>
      <c r="X2475" t="inlineStr">
        <is>
          <t>1992-04-02</t>
        </is>
      </c>
      <c r="Y2475" t="n">
        <v>61</v>
      </c>
      <c r="Z2475" t="n">
        <v>59</v>
      </c>
      <c r="AA2475" t="n">
        <v>198</v>
      </c>
      <c r="AB2475" t="n">
        <v>1</v>
      </c>
      <c r="AC2475" t="n">
        <v>1</v>
      </c>
      <c r="AD2475" t="n">
        <v>13</v>
      </c>
      <c r="AE2475" t="n">
        <v>30</v>
      </c>
      <c r="AF2475" t="n">
        <v>6</v>
      </c>
      <c r="AG2475" t="n">
        <v>12</v>
      </c>
      <c r="AH2475" t="n">
        <v>0</v>
      </c>
      <c r="AI2475" t="n">
        <v>6</v>
      </c>
      <c r="AJ2475" t="n">
        <v>11</v>
      </c>
      <c r="AK2475" t="n">
        <v>24</v>
      </c>
      <c r="AL2475" t="n">
        <v>0</v>
      </c>
      <c r="AM2475" t="n">
        <v>0</v>
      </c>
      <c r="AN2475" t="n">
        <v>0</v>
      </c>
      <c r="AO2475" t="n">
        <v>0</v>
      </c>
      <c r="AP2475" t="inlineStr">
        <is>
          <t>No</t>
        </is>
      </c>
      <c r="AQ2475" t="inlineStr">
        <is>
          <t>No</t>
        </is>
      </c>
      <c r="AR2475">
        <f>HYPERLINK("http://catalog.hathitrust.org/Record/001941947","HathiTrust Record")</f>
        <v/>
      </c>
      <c r="AS2475">
        <f>HYPERLINK("https://creighton-primo.hosted.exlibrisgroup.com/primo-explore/search?tab=default_tab&amp;search_scope=EVERYTHING&amp;vid=01CRU&amp;lang=en_US&amp;offset=0&amp;query=any,contains,991003472119702656","Catalog Record")</f>
        <v/>
      </c>
      <c r="AT2475">
        <f>HYPERLINK("http://www.worldcat.org/oclc/1015288","WorldCat Record")</f>
        <v/>
      </c>
      <c r="AU2475" t="inlineStr">
        <is>
          <t>197270682:eng</t>
        </is>
      </c>
      <c r="AV2475" t="inlineStr">
        <is>
          <t>1015288</t>
        </is>
      </c>
      <c r="AW2475" t="inlineStr">
        <is>
          <t>991003472119702656</t>
        </is>
      </c>
      <c r="AX2475" t="inlineStr">
        <is>
          <t>991003472119702656</t>
        </is>
      </c>
      <c r="AY2475" t="inlineStr">
        <is>
          <t>2255817600002656</t>
        </is>
      </c>
      <c r="AZ2475" t="inlineStr">
        <is>
          <t>BOOK</t>
        </is>
      </c>
      <c r="BC2475" t="inlineStr">
        <is>
          <t>32285001046316</t>
        </is>
      </c>
      <c r="BD2475" t="inlineStr">
        <is>
          <t>893330326</t>
        </is>
      </c>
    </row>
    <row r="2476">
      <c r="A2476" t="inlineStr">
        <is>
          <t>No</t>
        </is>
      </c>
      <c r="B2476" t="inlineStr">
        <is>
          <t>BX4705.O475 A3 1987</t>
        </is>
      </c>
      <c r="C2476" t="inlineStr">
        <is>
          <t>0                      BX 4705000O  475                A  3           1987</t>
        </is>
      </c>
      <c r="D2476" t="inlineStr">
        <is>
          <t>My story / by Peter O'Leary ; a translation of the famous Irish classic by Cyril T. Ó Céirín.</t>
        </is>
      </c>
      <c r="F2476" t="inlineStr">
        <is>
          <t>No</t>
        </is>
      </c>
      <c r="G2476" t="inlineStr">
        <is>
          <t>1</t>
        </is>
      </c>
      <c r="H2476" t="inlineStr">
        <is>
          <t>No</t>
        </is>
      </c>
      <c r="I2476" t="inlineStr">
        <is>
          <t>No</t>
        </is>
      </c>
      <c r="J2476" t="inlineStr">
        <is>
          <t>0</t>
        </is>
      </c>
      <c r="K2476" t="inlineStr">
        <is>
          <t>O'Leary, Peter, 1839-1920.</t>
        </is>
      </c>
      <c r="L2476" t="inlineStr">
        <is>
          <t>Oxford [Oxfordshire] ; New York : Oxford University Press, 1987, c1970.</t>
        </is>
      </c>
      <c r="M2476" t="inlineStr">
        <is>
          <t>1987</t>
        </is>
      </c>
      <c r="O2476" t="inlineStr">
        <is>
          <t>eng</t>
        </is>
      </c>
      <c r="P2476" t="inlineStr">
        <is>
          <t>enk</t>
        </is>
      </c>
      <c r="R2476" t="inlineStr">
        <is>
          <t xml:space="preserve">BX </t>
        </is>
      </c>
      <c r="S2476" t="n">
        <v>1</v>
      </c>
      <c r="T2476" t="n">
        <v>1</v>
      </c>
      <c r="U2476" t="inlineStr">
        <is>
          <t>2000-08-09</t>
        </is>
      </c>
      <c r="V2476" t="inlineStr">
        <is>
          <t>2000-08-09</t>
        </is>
      </c>
      <c r="W2476" t="inlineStr">
        <is>
          <t>1990-04-23</t>
        </is>
      </c>
      <c r="X2476" t="inlineStr">
        <is>
          <t>1990-04-23</t>
        </is>
      </c>
      <c r="Y2476" t="n">
        <v>110</v>
      </c>
      <c r="Z2476" t="n">
        <v>70</v>
      </c>
      <c r="AA2476" t="n">
        <v>87</v>
      </c>
      <c r="AB2476" t="n">
        <v>1</v>
      </c>
      <c r="AC2476" t="n">
        <v>1</v>
      </c>
      <c r="AD2476" t="n">
        <v>5</v>
      </c>
      <c r="AE2476" t="n">
        <v>6</v>
      </c>
      <c r="AF2476" t="n">
        <v>2</v>
      </c>
      <c r="AG2476" t="n">
        <v>2</v>
      </c>
      <c r="AH2476" t="n">
        <v>2</v>
      </c>
      <c r="AI2476" t="n">
        <v>3</v>
      </c>
      <c r="AJ2476" t="n">
        <v>3</v>
      </c>
      <c r="AK2476" t="n">
        <v>3</v>
      </c>
      <c r="AL2476" t="n">
        <v>0</v>
      </c>
      <c r="AM2476" t="n">
        <v>0</v>
      </c>
      <c r="AN2476" t="n">
        <v>0</v>
      </c>
      <c r="AO2476" t="n">
        <v>0</v>
      </c>
      <c r="AP2476" t="inlineStr">
        <is>
          <t>No</t>
        </is>
      </c>
      <c r="AQ2476" t="inlineStr">
        <is>
          <t>No</t>
        </is>
      </c>
      <c r="AS2476">
        <f>HYPERLINK("https://creighton-primo.hosted.exlibrisgroup.com/primo-explore/search?tab=default_tab&amp;search_scope=EVERYTHING&amp;vid=01CRU&amp;lang=en_US&amp;offset=0&amp;query=any,contains,991001083389702656","Catalog Record")</f>
        <v/>
      </c>
      <c r="AT2476">
        <f>HYPERLINK("http://www.worldcat.org/oclc/16091676","WorldCat Record")</f>
        <v/>
      </c>
      <c r="AU2476" t="inlineStr">
        <is>
          <t>4159932632:eng</t>
        </is>
      </c>
      <c r="AV2476" t="inlineStr">
        <is>
          <t>16091676</t>
        </is>
      </c>
      <c r="AW2476" t="inlineStr">
        <is>
          <t>991001083389702656</t>
        </is>
      </c>
      <c r="AX2476" t="inlineStr">
        <is>
          <t>991001083389702656</t>
        </is>
      </c>
      <c r="AY2476" t="inlineStr">
        <is>
          <t>2263298690002656</t>
        </is>
      </c>
      <c r="AZ2476" t="inlineStr">
        <is>
          <t>BOOK</t>
        </is>
      </c>
      <c r="BB2476" t="inlineStr">
        <is>
          <t>9780192820532</t>
        </is>
      </c>
      <c r="BC2476" t="inlineStr">
        <is>
          <t>32285000115542</t>
        </is>
      </c>
      <c r="BD2476" t="inlineStr">
        <is>
          <t>893621066</t>
        </is>
      </c>
    </row>
    <row r="2477">
      <c r="A2477" t="inlineStr">
        <is>
          <t>No</t>
        </is>
      </c>
      <c r="B2477" t="inlineStr">
        <is>
          <t>BX4705.O7183 A3 2002</t>
        </is>
      </c>
      <c r="C2477" t="inlineStr">
        <is>
          <t>0                      BX 4705000O  7183               A  3           2002</t>
        </is>
      </c>
      <c r="D2477" t="inlineStr">
        <is>
          <t>The blindfold's eyes : my journey from torture to truth / Dianna Ortiz with Patricia Davis.</t>
        </is>
      </c>
      <c r="F2477" t="inlineStr">
        <is>
          <t>No</t>
        </is>
      </c>
      <c r="G2477" t="inlineStr">
        <is>
          <t>1</t>
        </is>
      </c>
      <c r="H2477" t="inlineStr">
        <is>
          <t>No</t>
        </is>
      </c>
      <c r="I2477" t="inlineStr">
        <is>
          <t>No</t>
        </is>
      </c>
      <c r="J2477" t="inlineStr">
        <is>
          <t>0</t>
        </is>
      </c>
      <c r="K2477" t="inlineStr">
        <is>
          <t>Ortiz, Dianna.</t>
        </is>
      </c>
      <c r="L2477" t="inlineStr">
        <is>
          <t>Maryknoll, N.Y. : Orbis Books, c2002.</t>
        </is>
      </c>
      <c r="M2477" t="inlineStr">
        <is>
          <t>2002</t>
        </is>
      </c>
      <c r="O2477" t="inlineStr">
        <is>
          <t>eng</t>
        </is>
      </c>
      <c r="P2477" t="inlineStr">
        <is>
          <t>nyu</t>
        </is>
      </c>
      <c r="R2477" t="inlineStr">
        <is>
          <t xml:space="preserve">BX </t>
        </is>
      </c>
      <c r="S2477" t="n">
        <v>6</v>
      </c>
      <c r="T2477" t="n">
        <v>6</v>
      </c>
      <c r="U2477" t="inlineStr">
        <is>
          <t>2006-07-11</t>
        </is>
      </c>
      <c r="V2477" t="inlineStr">
        <is>
          <t>2006-07-11</t>
        </is>
      </c>
      <c r="W2477" t="inlineStr">
        <is>
          <t>2004-01-22</t>
        </is>
      </c>
      <c r="X2477" t="inlineStr">
        <is>
          <t>2004-01-22</t>
        </is>
      </c>
      <c r="Y2477" t="n">
        <v>610</v>
      </c>
      <c r="Z2477" t="n">
        <v>567</v>
      </c>
      <c r="AA2477" t="n">
        <v>651</v>
      </c>
      <c r="AB2477" t="n">
        <v>7</v>
      </c>
      <c r="AC2477" t="n">
        <v>8</v>
      </c>
      <c r="AD2477" t="n">
        <v>29</v>
      </c>
      <c r="AE2477" t="n">
        <v>32</v>
      </c>
      <c r="AF2477" t="n">
        <v>10</v>
      </c>
      <c r="AG2477" t="n">
        <v>12</v>
      </c>
      <c r="AH2477" t="n">
        <v>7</v>
      </c>
      <c r="AI2477" t="n">
        <v>8</v>
      </c>
      <c r="AJ2477" t="n">
        <v>18</v>
      </c>
      <c r="AK2477" t="n">
        <v>18</v>
      </c>
      <c r="AL2477" t="n">
        <v>1</v>
      </c>
      <c r="AM2477" t="n">
        <v>2</v>
      </c>
      <c r="AN2477" t="n">
        <v>1</v>
      </c>
      <c r="AO2477" t="n">
        <v>1</v>
      </c>
      <c r="AP2477" t="inlineStr">
        <is>
          <t>No</t>
        </is>
      </c>
      <c r="AQ2477" t="inlineStr">
        <is>
          <t>No</t>
        </is>
      </c>
      <c r="AS2477">
        <f>HYPERLINK("https://creighton-primo.hosted.exlibrisgroup.com/primo-explore/search?tab=default_tab&amp;search_scope=EVERYTHING&amp;vid=01CRU&amp;lang=en_US&amp;offset=0&amp;query=any,contains,991004217609702656","Catalog Record")</f>
        <v/>
      </c>
      <c r="AT2477">
        <f>HYPERLINK("http://www.worldcat.org/oclc/50041251","WorldCat Record")</f>
        <v/>
      </c>
      <c r="AU2477" t="inlineStr">
        <is>
          <t>840509741:eng</t>
        </is>
      </c>
      <c r="AV2477" t="inlineStr">
        <is>
          <t>50041251</t>
        </is>
      </c>
      <c r="AW2477" t="inlineStr">
        <is>
          <t>991004217609702656</t>
        </is>
      </c>
      <c r="AX2477" t="inlineStr">
        <is>
          <t>991004217609702656</t>
        </is>
      </c>
      <c r="AY2477" t="inlineStr">
        <is>
          <t>2259477890002656</t>
        </is>
      </c>
      <c r="AZ2477" t="inlineStr">
        <is>
          <t>BOOK</t>
        </is>
      </c>
      <c r="BB2477" t="inlineStr">
        <is>
          <t>9781570754357</t>
        </is>
      </c>
      <c r="BC2477" t="inlineStr">
        <is>
          <t>32285004636105</t>
        </is>
      </c>
      <c r="BD2477" t="inlineStr">
        <is>
          <t>893806808</t>
        </is>
      </c>
    </row>
    <row r="2478">
      <c r="A2478" t="inlineStr">
        <is>
          <t>No</t>
        </is>
      </c>
      <c r="B2478" t="inlineStr">
        <is>
          <t>BX4705.O8 A4 1986</t>
        </is>
      </c>
      <c r="C2478" t="inlineStr">
        <is>
          <t>0                      BX 4705000O  8                  A  4           1986</t>
        </is>
      </c>
      <c r="D2478" t="inlineStr">
        <is>
          <t>Frédéric Ozanam, a life in letters / translated and edited by Joseph I. Dirvin.</t>
        </is>
      </c>
      <c r="F2478" t="inlineStr">
        <is>
          <t>No</t>
        </is>
      </c>
      <c r="G2478" t="inlineStr">
        <is>
          <t>1</t>
        </is>
      </c>
      <c r="H2478" t="inlineStr">
        <is>
          <t>No</t>
        </is>
      </c>
      <c r="I2478" t="inlineStr">
        <is>
          <t>No</t>
        </is>
      </c>
      <c r="J2478" t="inlineStr">
        <is>
          <t>0</t>
        </is>
      </c>
      <c r="K2478" t="inlineStr">
        <is>
          <t>Ozanam, Frédéric, 1813-1853.</t>
        </is>
      </c>
      <c r="L2478" t="inlineStr">
        <is>
          <t>St. Louis, MO : Society of St. Vincent dePaul, Council of the United States, c1986.</t>
        </is>
      </c>
      <c r="M2478" t="inlineStr">
        <is>
          <t>1986</t>
        </is>
      </c>
      <c r="O2478" t="inlineStr">
        <is>
          <t>eng</t>
        </is>
      </c>
      <c r="P2478" t="inlineStr">
        <is>
          <t>mou</t>
        </is>
      </c>
      <c r="R2478" t="inlineStr">
        <is>
          <t xml:space="preserve">BX </t>
        </is>
      </c>
      <c r="S2478" t="n">
        <v>1</v>
      </c>
      <c r="T2478" t="n">
        <v>1</v>
      </c>
      <c r="U2478" t="inlineStr">
        <is>
          <t>2008-08-26</t>
        </is>
      </c>
      <c r="V2478" t="inlineStr">
        <is>
          <t>2008-08-26</t>
        </is>
      </c>
      <c r="W2478" t="inlineStr">
        <is>
          <t>1991-02-22</t>
        </is>
      </c>
      <c r="X2478" t="inlineStr">
        <is>
          <t>1991-02-22</t>
        </is>
      </c>
      <c r="Y2478" t="n">
        <v>40</v>
      </c>
      <c r="Z2478" t="n">
        <v>35</v>
      </c>
      <c r="AA2478" t="n">
        <v>35</v>
      </c>
      <c r="AB2478" t="n">
        <v>2</v>
      </c>
      <c r="AC2478" t="n">
        <v>2</v>
      </c>
      <c r="AD2478" t="n">
        <v>5</v>
      </c>
      <c r="AE2478" t="n">
        <v>5</v>
      </c>
      <c r="AF2478" t="n">
        <v>0</v>
      </c>
      <c r="AG2478" t="n">
        <v>0</v>
      </c>
      <c r="AH2478" t="n">
        <v>2</v>
      </c>
      <c r="AI2478" t="n">
        <v>2</v>
      </c>
      <c r="AJ2478" t="n">
        <v>4</v>
      </c>
      <c r="AK2478" t="n">
        <v>4</v>
      </c>
      <c r="AL2478" t="n">
        <v>0</v>
      </c>
      <c r="AM2478" t="n">
        <v>0</v>
      </c>
      <c r="AN2478" t="n">
        <v>0</v>
      </c>
      <c r="AO2478" t="n">
        <v>0</v>
      </c>
      <c r="AP2478" t="inlineStr">
        <is>
          <t>No</t>
        </is>
      </c>
      <c r="AQ2478" t="inlineStr">
        <is>
          <t>No</t>
        </is>
      </c>
      <c r="AS2478">
        <f>HYPERLINK("https://creighton-primo.hosted.exlibrisgroup.com/primo-explore/search?tab=default_tab&amp;search_scope=EVERYTHING&amp;vid=01CRU&amp;lang=en_US&amp;offset=0&amp;query=any,contains,991000942659702656","Catalog Record")</f>
        <v/>
      </c>
      <c r="AT2478">
        <f>HYPERLINK("http://www.worldcat.org/oclc/14414033","WorldCat Record")</f>
        <v/>
      </c>
      <c r="AU2478" t="inlineStr">
        <is>
          <t>1059241809:eng</t>
        </is>
      </c>
      <c r="AV2478" t="inlineStr">
        <is>
          <t>14414033</t>
        </is>
      </c>
      <c r="AW2478" t="inlineStr">
        <is>
          <t>991000942659702656</t>
        </is>
      </c>
      <c r="AX2478" t="inlineStr">
        <is>
          <t>991000942659702656</t>
        </is>
      </c>
      <c r="AY2478" t="inlineStr">
        <is>
          <t>2264673800002656</t>
        </is>
      </c>
      <c r="AZ2478" t="inlineStr">
        <is>
          <t>BOOK</t>
        </is>
      </c>
      <c r="BC2478" t="inlineStr">
        <is>
          <t>32285000491125</t>
        </is>
      </c>
      <c r="BD2478" t="inlineStr">
        <is>
          <t>893702584</t>
        </is>
      </c>
    </row>
    <row r="2479">
      <c r="A2479" t="inlineStr">
        <is>
          <t>No</t>
        </is>
      </c>
      <c r="B2479" t="inlineStr">
        <is>
          <t>BX4705.O8 D4</t>
        </is>
      </c>
      <c r="C2479" t="inlineStr">
        <is>
          <t>0                      BX 4705000O  8                  D  4</t>
        </is>
      </c>
      <c r="D2479" t="inlineStr">
        <is>
          <t>Apostle in a top hat : the story of Frederic Ozanam founder of the Society of St. Vincent de Paul / James Patrick Derum.</t>
        </is>
      </c>
      <c r="F2479" t="inlineStr">
        <is>
          <t>No</t>
        </is>
      </c>
      <c r="G2479" t="inlineStr">
        <is>
          <t>1</t>
        </is>
      </c>
      <c r="H2479" t="inlineStr">
        <is>
          <t>No</t>
        </is>
      </c>
      <c r="I2479" t="inlineStr">
        <is>
          <t>No</t>
        </is>
      </c>
      <c r="J2479" t="inlineStr">
        <is>
          <t>0</t>
        </is>
      </c>
      <c r="K2479" t="inlineStr">
        <is>
          <t>Derum, James Patrick.</t>
        </is>
      </c>
      <c r="L2479" t="inlineStr">
        <is>
          <t>St. Clair, MI : Fidelity Publishing Co., 1962.</t>
        </is>
      </c>
      <c r="M2479" t="inlineStr">
        <is>
          <t>1962</t>
        </is>
      </c>
      <c r="O2479" t="inlineStr">
        <is>
          <t>eng</t>
        </is>
      </c>
      <c r="P2479" t="inlineStr">
        <is>
          <t>miu</t>
        </is>
      </c>
      <c r="R2479" t="inlineStr">
        <is>
          <t xml:space="preserve">BX </t>
        </is>
      </c>
      <c r="S2479" t="n">
        <v>2</v>
      </c>
      <c r="T2479" t="n">
        <v>2</v>
      </c>
      <c r="U2479" t="inlineStr">
        <is>
          <t>2008-08-26</t>
        </is>
      </c>
      <c r="V2479" t="inlineStr">
        <is>
          <t>2008-08-26</t>
        </is>
      </c>
      <c r="W2479" t="inlineStr">
        <is>
          <t>1992-04-02</t>
        </is>
      </c>
      <c r="X2479" t="inlineStr">
        <is>
          <t>1992-04-02</t>
        </is>
      </c>
      <c r="Y2479" t="n">
        <v>43</v>
      </c>
      <c r="Z2479" t="n">
        <v>39</v>
      </c>
      <c r="AA2479" t="n">
        <v>55</v>
      </c>
      <c r="AB2479" t="n">
        <v>3</v>
      </c>
      <c r="AC2479" t="n">
        <v>3</v>
      </c>
      <c r="AD2479" t="n">
        <v>5</v>
      </c>
      <c r="AE2479" t="n">
        <v>7</v>
      </c>
      <c r="AF2479" t="n">
        <v>2</v>
      </c>
      <c r="AG2479" t="n">
        <v>2</v>
      </c>
      <c r="AH2479" t="n">
        <v>0</v>
      </c>
      <c r="AI2479" t="n">
        <v>1</v>
      </c>
      <c r="AJ2479" t="n">
        <v>3</v>
      </c>
      <c r="AK2479" t="n">
        <v>5</v>
      </c>
      <c r="AL2479" t="n">
        <v>1</v>
      </c>
      <c r="AM2479" t="n">
        <v>1</v>
      </c>
      <c r="AN2479" t="n">
        <v>0</v>
      </c>
      <c r="AO2479" t="n">
        <v>0</v>
      </c>
      <c r="AP2479" t="inlineStr">
        <is>
          <t>No</t>
        </is>
      </c>
      <c r="AQ2479" t="inlineStr">
        <is>
          <t>No</t>
        </is>
      </c>
      <c r="AS2479">
        <f>HYPERLINK("https://creighton-primo.hosted.exlibrisgroup.com/primo-explore/search?tab=default_tab&amp;search_scope=EVERYTHING&amp;vid=01CRU&amp;lang=en_US&amp;offset=0&amp;query=any,contains,991004953569702656","Catalog Record")</f>
        <v/>
      </c>
      <c r="AT2479">
        <f>HYPERLINK("http://www.worldcat.org/oclc/6262796","WorldCat Record")</f>
        <v/>
      </c>
      <c r="AU2479" t="inlineStr">
        <is>
          <t>9381630571:eng</t>
        </is>
      </c>
      <c r="AV2479" t="inlineStr">
        <is>
          <t>6262796</t>
        </is>
      </c>
      <c r="AW2479" t="inlineStr">
        <is>
          <t>991004953569702656</t>
        </is>
      </c>
      <c r="AX2479" t="inlineStr">
        <is>
          <t>991004953569702656</t>
        </is>
      </c>
      <c r="AY2479" t="inlineStr">
        <is>
          <t>2263926030002656</t>
        </is>
      </c>
      <c r="AZ2479" t="inlineStr">
        <is>
          <t>BOOK</t>
        </is>
      </c>
      <c r="BC2479" t="inlineStr">
        <is>
          <t>32285001046324</t>
        </is>
      </c>
      <c r="BD2479" t="inlineStr">
        <is>
          <t>893628430</t>
        </is>
      </c>
    </row>
    <row r="2480">
      <c r="A2480" t="inlineStr">
        <is>
          <t>No</t>
        </is>
      </c>
      <c r="B2480" t="inlineStr">
        <is>
          <t>BX4705.O8 H77 1933</t>
        </is>
      </c>
      <c r="C2480" t="inlineStr">
        <is>
          <t>0                      BX 4705000O  8                  H  77          1933</t>
        </is>
      </c>
      <c r="D2480" t="inlineStr">
        <is>
          <t>Frederick Ozanam / by Rev. Henry Louis Hughes.</t>
        </is>
      </c>
      <c r="F2480" t="inlineStr">
        <is>
          <t>No</t>
        </is>
      </c>
      <c r="G2480" t="inlineStr">
        <is>
          <t>1</t>
        </is>
      </c>
      <c r="H2480" t="inlineStr">
        <is>
          <t>No</t>
        </is>
      </c>
      <c r="I2480" t="inlineStr">
        <is>
          <t>No</t>
        </is>
      </c>
      <c r="J2480" t="inlineStr">
        <is>
          <t>0</t>
        </is>
      </c>
      <c r="K2480" t="inlineStr">
        <is>
          <t>Hughes, Henry Louis.</t>
        </is>
      </c>
      <c r="M2480" t="inlineStr">
        <is>
          <t>1933</t>
        </is>
      </c>
      <c r="O2480" t="inlineStr">
        <is>
          <t>eng</t>
        </is>
      </c>
      <c r="P2480" t="inlineStr">
        <is>
          <t>mou</t>
        </is>
      </c>
      <c r="R2480" t="inlineStr">
        <is>
          <t xml:space="preserve">BX </t>
        </is>
      </c>
      <c r="S2480" t="n">
        <v>1</v>
      </c>
      <c r="T2480" t="n">
        <v>1</v>
      </c>
      <c r="U2480" t="inlineStr">
        <is>
          <t>2008-08-26</t>
        </is>
      </c>
      <c r="V2480" t="inlineStr">
        <is>
          <t>2008-08-26</t>
        </is>
      </c>
      <c r="W2480" t="inlineStr">
        <is>
          <t>1992-04-02</t>
        </is>
      </c>
      <c r="X2480" t="inlineStr">
        <is>
          <t>1992-04-02</t>
        </is>
      </c>
      <c r="Y2480" t="n">
        <v>32</v>
      </c>
      <c r="Z2480" t="n">
        <v>32</v>
      </c>
      <c r="AA2480" t="n">
        <v>49</v>
      </c>
      <c r="AB2480" t="n">
        <v>1</v>
      </c>
      <c r="AC2480" t="n">
        <v>1</v>
      </c>
      <c r="AD2480" t="n">
        <v>6</v>
      </c>
      <c r="AE2480" t="n">
        <v>9</v>
      </c>
      <c r="AF2480" t="n">
        <v>1</v>
      </c>
      <c r="AG2480" t="n">
        <v>2</v>
      </c>
      <c r="AH2480" t="n">
        <v>1</v>
      </c>
      <c r="AI2480" t="n">
        <v>2</v>
      </c>
      <c r="AJ2480" t="n">
        <v>6</v>
      </c>
      <c r="AK2480" t="n">
        <v>7</v>
      </c>
      <c r="AL2480" t="n">
        <v>0</v>
      </c>
      <c r="AM2480" t="n">
        <v>0</v>
      </c>
      <c r="AN2480" t="n">
        <v>0</v>
      </c>
      <c r="AO2480" t="n">
        <v>0</v>
      </c>
      <c r="AP2480" t="inlineStr">
        <is>
          <t>No</t>
        </is>
      </c>
      <c r="AQ2480" t="inlineStr">
        <is>
          <t>No</t>
        </is>
      </c>
      <c r="AS2480">
        <f>HYPERLINK("https://creighton-primo.hosted.exlibrisgroup.com/primo-explore/search?tab=default_tab&amp;search_scope=EVERYTHING&amp;vid=01CRU&amp;lang=en_US&amp;offset=0&amp;query=any,contains,991004416369702656","Catalog Record")</f>
        <v/>
      </c>
      <c r="AT2480">
        <f>HYPERLINK("http://www.worldcat.org/oclc/3363162","WorldCat Record")</f>
        <v/>
      </c>
      <c r="AU2480" t="inlineStr">
        <is>
          <t>1909211443:eng</t>
        </is>
      </c>
      <c r="AV2480" t="inlineStr">
        <is>
          <t>3363162</t>
        </is>
      </c>
      <c r="AW2480" t="inlineStr">
        <is>
          <t>991004416369702656</t>
        </is>
      </c>
      <c r="AX2480" t="inlineStr">
        <is>
          <t>991004416369702656</t>
        </is>
      </c>
      <c r="AY2480" t="inlineStr">
        <is>
          <t>2259095080002656</t>
        </is>
      </c>
      <c r="AZ2480" t="inlineStr">
        <is>
          <t>BOOK</t>
        </is>
      </c>
      <c r="BC2480" t="inlineStr">
        <is>
          <t>32285001046332</t>
        </is>
      </c>
      <c r="BD2480" t="inlineStr">
        <is>
          <t>893718872</t>
        </is>
      </c>
    </row>
    <row r="2481">
      <c r="A2481" t="inlineStr">
        <is>
          <t>No</t>
        </is>
      </c>
      <c r="B2481" t="inlineStr">
        <is>
          <t>BX4705.P27 S4 1942</t>
        </is>
      </c>
      <c r="C2481" t="inlineStr">
        <is>
          <t>0                      BX 4705000P  27                 S  4           1942</t>
        </is>
      </c>
      <c r="D2481" t="inlineStr">
        <is>
          <t>Los conversos : d. Pablo de Santa María y d. Alfonso de Cartagena, obispos de Burgos, gobernantes, diplomáticos y escritores / por el R. P. Luciano Serrano.</t>
        </is>
      </c>
      <c r="F2481" t="inlineStr">
        <is>
          <t>No</t>
        </is>
      </c>
      <c r="G2481" t="inlineStr">
        <is>
          <t>1</t>
        </is>
      </c>
      <c r="H2481" t="inlineStr">
        <is>
          <t>No</t>
        </is>
      </c>
      <c r="I2481" t="inlineStr">
        <is>
          <t>No</t>
        </is>
      </c>
      <c r="J2481" t="inlineStr">
        <is>
          <t>0</t>
        </is>
      </c>
      <c r="K2481" t="inlineStr">
        <is>
          <t>Serrano, Luciano, 1879-1944.</t>
        </is>
      </c>
      <c r="L2481" t="inlineStr">
        <is>
          <t>Madrid : [C. Bermejo, impresor], 1942.</t>
        </is>
      </c>
      <c r="M2481" t="inlineStr">
        <is>
          <t>1942</t>
        </is>
      </c>
      <c r="O2481" t="inlineStr">
        <is>
          <t>spa</t>
        </is>
      </c>
      <c r="P2481" t="inlineStr">
        <is>
          <t xml:space="preserve">sp </t>
        </is>
      </c>
      <c r="Q2481" t="inlineStr">
        <is>
          <t>[Madrid] Escuela de estudios hebraicos. [Publicaciones] Ser. B., núm. 1</t>
        </is>
      </c>
      <c r="R2481" t="inlineStr">
        <is>
          <t xml:space="preserve">BX </t>
        </is>
      </c>
      <c r="S2481" t="n">
        <v>0</v>
      </c>
      <c r="T2481" t="n">
        <v>0</v>
      </c>
      <c r="U2481" t="inlineStr">
        <is>
          <t>2002-03-06</t>
        </is>
      </c>
      <c r="V2481" t="inlineStr">
        <is>
          <t>2002-03-06</t>
        </is>
      </c>
      <c r="W2481" t="inlineStr">
        <is>
          <t>1992-04-02</t>
        </is>
      </c>
      <c r="X2481" t="inlineStr">
        <is>
          <t>1992-04-02</t>
        </is>
      </c>
      <c r="Y2481" t="n">
        <v>88</v>
      </c>
      <c r="Z2481" t="n">
        <v>73</v>
      </c>
      <c r="AA2481" t="n">
        <v>75</v>
      </c>
      <c r="AB2481" t="n">
        <v>1</v>
      </c>
      <c r="AC2481" t="n">
        <v>1</v>
      </c>
      <c r="AD2481" t="n">
        <v>2</v>
      </c>
      <c r="AE2481" t="n">
        <v>2</v>
      </c>
      <c r="AF2481" t="n">
        <v>1</v>
      </c>
      <c r="AG2481" t="n">
        <v>1</v>
      </c>
      <c r="AH2481" t="n">
        <v>1</v>
      </c>
      <c r="AI2481" t="n">
        <v>1</v>
      </c>
      <c r="AJ2481" t="n">
        <v>1</v>
      </c>
      <c r="AK2481" t="n">
        <v>1</v>
      </c>
      <c r="AL2481" t="n">
        <v>0</v>
      </c>
      <c r="AM2481" t="n">
        <v>0</v>
      </c>
      <c r="AN2481" t="n">
        <v>0</v>
      </c>
      <c r="AO2481" t="n">
        <v>0</v>
      </c>
      <c r="AP2481" t="inlineStr">
        <is>
          <t>No</t>
        </is>
      </c>
      <c r="AQ2481" t="inlineStr">
        <is>
          <t>Yes</t>
        </is>
      </c>
      <c r="AR2481">
        <f>HYPERLINK("http://catalog.hathitrust.org/Record/001941956","HathiTrust Record")</f>
        <v/>
      </c>
      <c r="AS2481">
        <f>HYPERLINK("https://creighton-primo.hosted.exlibrisgroup.com/primo-explore/search?tab=default_tab&amp;search_scope=EVERYTHING&amp;vid=01CRU&amp;lang=en_US&amp;offset=0&amp;query=any,contains,991004357979702656","Catalog Record")</f>
        <v/>
      </c>
      <c r="AT2481">
        <f>HYPERLINK("http://www.worldcat.org/oclc/3150796","WorldCat Record")</f>
        <v/>
      </c>
      <c r="AU2481" t="inlineStr">
        <is>
          <t>449587612:spa</t>
        </is>
      </c>
      <c r="AV2481" t="inlineStr">
        <is>
          <t>3150796</t>
        </is>
      </c>
      <c r="AW2481" t="inlineStr">
        <is>
          <t>991004357979702656</t>
        </is>
      </c>
      <c r="AX2481" t="inlineStr">
        <is>
          <t>991004357979702656</t>
        </is>
      </c>
      <c r="AY2481" t="inlineStr">
        <is>
          <t>2260210240002656</t>
        </is>
      </c>
      <c r="AZ2481" t="inlineStr">
        <is>
          <t>BOOK</t>
        </is>
      </c>
      <c r="BC2481" t="inlineStr">
        <is>
          <t>32285001046373</t>
        </is>
      </c>
      <c r="BD2481" t="inlineStr">
        <is>
          <t>893706308</t>
        </is>
      </c>
    </row>
    <row r="2482">
      <c r="A2482" t="inlineStr">
        <is>
          <t>No</t>
        </is>
      </c>
      <c r="B2482" t="inlineStr">
        <is>
          <t>BX4705.P423 A35 1982</t>
        </is>
      </c>
      <c r="C2482" t="inlineStr">
        <is>
          <t>0                      BX 4705000P  423                A  35          1982</t>
        </is>
      </c>
      <c r="D2482" t="inlineStr">
        <is>
          <t>Monastic journey to India / M. Basil Pennington.</t>
        </is>
      </c>
      <c r="F2482" t="inlineStr">
        <is>
          <t>No</t>
        </is>
      </c>
      <c r="G2482" t="inlineStr">
        <is>
          <t>1</t>
        </is>
      </c>
      <c r="H2482" t="inlineStr">
        <is>
          <t>No</t>
        </is>
      </c>
      <c r="I2482" t="inlineStr">
        <is>
          <t>No</t>
        </is>
      </c>
      <c r="J2482" t="inlineStr">
        <is>
          <t>0</t>
        </is>
      </c>
      <c r="K2482" t="inlineStr">
        <is>
          <t>Pennington, M. Basil.</t>
        </is>
      </c>
      <c r="L2482" t="inlineStr">
        <is>
          <t>New York : Seabury Press, 1982.</t>
        </is>
      </c>
      <c r="M2482" t="inlineStr">
        <is>
          <t>1982</t>
        </is>
      </c>
      <c r="O2482" t="inlineStr">
        <is>
          <t>eng</t>
        </is>
      </c>
      <c r="P2482" t="inlineStr">
        <is>
          <t>nyu</t>
        </is>
      </c>
      <c r="R2482" t="inlineStr">
        <is>
          <t xml:space="preserve">BX </t>
        </is>
      </c>
      <c r="S2482" t="n">
        <v>3</v>
      </c>
      <c r="T2482" t="n">
        <v>3</v>
      </c>
      <c r="U2482" t="inlineStr">
        <is>
          <t>2007-07-18</t>
        </is>
      </c>
      <c r="V2482" t="inlineStr">
        <is>
          <t>2007-07-18</t>
        </is>
      </c>
      <c r="W2482" t="inlineStr">
        <is>
          <t>1990-04-25</t>
        </is>
      </c>
      <c r="X2482" t="inlineStr">
        <is>
          <t>1990-04-25</t>
        </is>
      </c>
      <c r="Y2482" t="n">
        <v>117</v>
      </c>
      <c r="Z2482" t="n">
        <v>97</v>
      </c>
      <c r="AA2482" t="n">
        <v>102</v>
      </c>
      <c r="AB2482" t="n">
        <v>1</v>
      </c>
      <c r="AC2482" t="n">
        <v>1</v>
      </c>
      <c r="AD2482" t="n">
        <v>7</v>
      </c>
      <c r="AE2482" t="n">
        <v>7</v>
      </c>
      <c r="AF2482" t="n">
        <v>2</v>
      </c>
      <c r="AG2482" t="n">
        <v>2</v>
      </c>
      <c r="AH2482" t="n">
        <v>2</v>
      </c>
      <c r="AI2482" t="n">
        <v>2</v>
      </c>
      <c r="AJ2482" t="n">
        <v>5</v>
      </c>
      <c r="AK2482" t="n">
        <v>5</v>
      </c>
      <c r="AL2482" t="n">
        <v>0</v>
      </c>
      <c r="AM2482" t="n">
        <v>0</v>
      </c>
      <c r="AN2482" t="n">
        <v>0</v>
      </c>
      <c r="AO2482" t="n">
        <v>0</v>
      </c>
      <c r="AP2482" t="inlineStr">
        <is>
          <t>No</t>
        </is>
      </c>
      <c r="AQ2482" t="inlineStr">
        <is>
          <t>No</t>
        </is>
      </c>
      <c r="AS2482">
        <f>HYPERLINK("https://creighton-primo.hosted.exlibrisgroup.com/primo-explore/search?tab=default_tab&amp;search_scope=EVERYTHING&amp;vid=01CRU&amp;lang=en_US&amp;offset=0&amp;query=any,contains,991005160149702656","Catalog Record")</f>
        <v/>
      </c>
      <c r="AT2482">
        <f>HYPERLINK("http://www.worldcat.org/oclc/7774713","WorldCat Record")</f>
        <v/>
      </c>
      <c r="AU2482" t="inlineStr">
        <is>
          <t>479546:eng</t>
        </is>
      </c>
      <c r="AV2482" t="inlineStr">
        <is>
          <t>7774713</t>
        </is>
      </c>
      <c r="AW2482" t="inlineStr">
        <is>
          <t>991005160149702656</t>
        </is>
      </c>
      <c r="AX2482" t="inlineStr">
        <is>
          <t>991005160149702656</t>
        </is>
      </c>
      <c r="AY2482" t="inlineStr">
        <is>
          <t>2267037930002656</t>
        </is>
      </c>
      <c r="AZ2482" t="inlineStr">
        <is>
          <t>BOOK</t>
        </is>
      </c>
      <c r="BB2482" t="inlineStr">
        <is>
          <t>9780816423675</t>
        </is>
      </c>
      <c r="BC2482" t="inlineStr">
        <is>
          <t>32285000132398</t>
        </is>
      </c>
      <c r="BD2482" t="inlineStr">
        <is>
          <t>893248460</t>
        </is>
      </c>
    </row>
    <row r="2483">
      <c r="A2483" t="inlineStr">
        <is>
          <t>No</t>
        </is>
      </c>
      <c r="B2483" t="inlineStr">
        <is>
          <t>BX4705.P423 A36</t>
        </is>
      </c>
      <c r="C2483" t="inlineStr">
        <is>
          <t>0                      BX 4705000P  423                A  36</t>
        </is>
      </c>
      <c r="D2483" t="inlineStr">
        <is>
          <t>O holy mountain! : Journal of a retreat on Mount Athos / M. Basil Pennington.</t>
        </is>
      </c>
      <c r="F2483" t="inlineStr">
        <is>
          <t>No</t>
        </is>
      </c>
      <c r="G2483" t="inlineStr">
        <is>
          <t>1</t>
        </is>
      </c>
      <c r="H2483" t="inlineStr">
        <is>
          <t>No</t>
        </is>
      </c>
      <c r="I2483" t="inlineStr">
        <is>
          <t>No</t>
        </is>
      </c>
      <c r="J2483" t="inlineStr">
        <is>
          <t>0</t>
        </is>
      </c>
      <c r="K2483" t="inlineStr">
        <is>
          <t>Pennington, M. Basil.</t>
        </is>
      </c>
      <c r="L2483" t="inlineStr">
        <is>
          <t>Garden City, N.Y. : Doubleday, 1978.</t>
        </is>
      </c>
      <c r="M2483" t="inlineStr">
        <is>
          <t>1978</t>
        </is>
      </c>
      <c r="N2483" t="inlineStr">
        <is>
          <t>1st ed.</t>
        </is>
      </c>
      <c r="O2483" t="inlineStr">
        <is>
          <t>eng</t>
        </is>
      </c>
      <c r="P2483" t="inlineStr">
        <is>
          <t>nyu</t>
        </is>
      </c>
      <c r="R2483" t="inlineStr">
        <is>
          <t xml:space="preserve">BX </t>
        </is>
      </c>
      <c r="S2483" t="n">
        <v>3</v>
      </c>
      <c r="T2483" t="n">
        <v>3</v>
      </c>
      <c r="U2483" t="inlineStr">
        <is>
          <t>2002-01-22</t>
        </is>
      </c>
      <c r="V2483" t="inlineStr">
        <is>
          <t>2002-01-22</t>
        </is>
      </c>
      <c r="W2483" t="inlineStr">
        <is>
          <t>1992-04-02</t>
        </is>
      </c>
      <c r="X2483" t="inlineStr">
        <is>
          <t>1992-04-02</t>
        </is>
      </c>
      <c r="Y2483" t="n">
        <v>356</v>
      </c>
      <c r="Z2483" t="n">
        <v>332</v>
      </c>
      <c r="AA2483" t="n">
        <v>359</v>
      </c>
      <c r="AB2483" t="n">
        <v>3</v>
      </c>
      <c r="AC2483" t="n">
        <v>4</v>
      </c>
      <c r="AD2483" t="n">
        <v>19</v>
      </c>
      <c r="AE2483" t="n">
        <v>21</v>
      </c>
      <c r="AF2483" t="n">
        <v>5</v>
      </c>
      <c r="AG2483" t="n">
        <v>6</v>
      </c>
      <c r="AH2483" t="n">
        <v>6</v>
      </c>
      <c r="AI2483" t="n">
        <v>7</v>
      </c>
      <c r="AJ2483" t="n">
        <v>12</v>
      </c>
      <c r="AK2483" t="n">
        <v>13</v>
      </c>
      <c r="AL2483" t="n">
        <v>1</v>
      </c>
      <c r="AM2483" t="n">
        <v>1</v>
      </c>
      <c r="AN2483" t="n">
        <v>0</v>
      </c>
      <c r="AO2483" t="n">
        <v>0</v>
      </c>
      <c r="AP2483" t="inlineStr">
        <is>
          <t>No</t>
        </is>
      </c>
      <c r="AQ2483" t="inlineStr">
        <is>
          <t>No</t>
        </is>
      </c>
      <c r="AS2483">
        <f>HYPERLINK("https://creighton-primo.hosted.exlibrisgroup.com/primo-explore/search?tab=default_tab&amp;search_scope=EVERYTHING&amp;vid=01CRU&amp;lang=en_US&amp;offset=0&amp;query=any,contains,991004575569702656","Catalog Record")</f>
        <v/>
      </c>
      <c r="AT2483">
        <f>HYPERLINK("http://www.worldcat.org/oclc/4037394","WorldCat Record")</f>
        <v/>
      </c>
      <c r="AU2483" t="inlineStr">
        <is>
          <t>4160065362:eng</t>
        </is>
      </c>
      <c r="AV2483" t="inlineStr">
        <is>
          <t>4037394</t>
        </is>
      </c>
      <c r="AW2483" t="inlineStr">
        <is>
          <t>991004575569702656</t>
        </is>
      </c>
      <c r="AX2483" t="inlineStr">
        <is>
          <t>991004575569702656</t>
        </is>
      </c>
      <c r="AY2483" t="inlineStr">
        <is>
          <t>2269076130002656</t>
        </is>
      </c>
      <c r="AZ2483" t="inlineStr">
        <is>
          <t>BOOK</t>
        </is>
      </c>
      <c r="BB2483" t="inlineStr">
        <is>
          <t>9780385135306</t>
        </is>
      </c>
      <c r="BC2483" t="inlineStr">
        <is>
          <t>32285001046423</t>
        </is>
      </c>
      <c r="BD2483" t="inlineStr">
        <is>
          <t>893593868</t>
        </is>
      </c>
    </row>
    <row r="2484">
      <c r="A2484" t="inlineStr">
        <is>
          <t>No</t>
        </is>
      </c>
      <c r="B2484" t="inlineStr">
        <is>
          <t>BX4705.P439 B3</t>
        </is>
      </c>
      <c r="C2484" t="inlineStr">
        <is>
          <t>0                      BX 4705000P  439                B  3</t>
        </is>
      </c>
      <c r="D2484" t="inlineStr">
        <is>
          <t>Masters, princes, and merchants : the social views of Peter the Chanter &amp; his circle / by John W. Baldwin.</t>
        </is>
      </c>
      <c r="F2484" t="inlineStr">
        <is>
          <t>Yes</t>
        </is>
      </c>
      <c r="G2484" t="inlineStr">
        <is>
          <t>1</t>
        </is>
      </c>
      <c r="H2484" t="inlineStr">
        <is>
          <t>Yes</t>
        </is>
      </c>
      <c r="I2484" t="inlineStr">
        <is>
          <t>No</t>
        </is>
      </c>
      <c r="J2484" t="inlineStr">
        <is>
          <t>0</t>
        </is>
      </c>
      <c r="K2484" t="inlineStr">
        <is>
          <t>Baldwin, John W.</t>
        </is>
      </c>
      <c r="L2484" t="inlineStr">
        <is>
          <t>Princeton : Princeton University Press, 1970.</t>
        </is>
      </c>
      <c r="M2484" t="inlineStr">
        <is>
          <t>1970</t>
        </is>
      </c>
      <c r="O2484" t="inlineStr">
        <is>
          <t>eng</t>
        </is>
      </c>
      <c r="P2484" t="inlineStr">
        <is>
          <t>nju</t>
        </is>
      </c>
      <c r="R2484" t="inlineStr">
        <is>
          <t xml:space="preserve">BX </t>
        </is>
      </c>
      <c r="S2484" t="n">
        <v>1</v>
      </c>
      <c r="T2484" t="n">
        <v>1</v>
      </c>
      <c r="U2484" t="inlineStr">
        <is>
          <t>1992-09-28</t>
        </is>
      </c>
      <c r="V2484" t="inlineStr">
        <is>
          <t>1992-09-28</t>
        </is>
      </c>
      <c r="W2484" t="inlineStr">
        <is>
          <t>1992-04-02</t>
        </is>
      </c>
      <c r="X2484" t="inlineStr">
        <is>
          <t>1992-04-02</t>
        </is>
      </c>
      <c r="Y2484" t="n">
        <v>567</v>
      </c>
      <c r="Z2484" t="n">
        <v>463</v>
      </c>
      <c r="AA2484" t="n">
        <v>473</v>
      </c>
      <c r="AB2484" t="n">
        <v>5</v>
      </c>
      <c r="AC2484" t="n">
        <v>5</v>
      </c>
      <c r="AD2484" t="n">
        <v>30</v>
      </c>
      <c r="AE2484" t="n">
        <v>30</v>
      </c>
      <c r="AF2484" t="n">
        <v>10</v>
      </c>
      <c r="AG2484" t="n">
        <v>10</v>
      </c>
      <c r="AH2484" t="n">
        <v>8</v>
      </c>
      <c r="AI2484" t="n">
        <v>8</v>
      </c>
      <c r="AJ2484" t="n">
        <v>18</v>
      </c>
      <c r="AK2484" t="n">
        <v>18</v>
      </c>
      <c r="AL2484" t="n">
        <v>4</v>
      </c>
      <c r="AM2484" t="n">
        <v>4</v>
      </c>
      <c r="AN2484" t="n">
        <v>0</v>
      </c>
      <c r="AO2484" t="n">
        <v>0</v>
      </c>
      <c r="AP2484" t="inlineStr">
        <is>
          <t>No</t>
        </is>
      </c>
      <c r="AQ2484" t="inlineStr">
        <is>
          <t>No</t>
        </is>
      </c>
      <c r="AS2484">
        <f>HYPERLINK("https://creighton-primo.hosted.exlibrisgroup.com/primo-explore/search?tab=default_tab&amp;search_scope=EVERYTHING&amp;vid=01CRU&amp;lang=en_US&amp;offset=0&amp;query=any,contains,991000219419702656","Catalog Record")</f>
        <v/>
      </c>
      <c r="AT2484">
        <f>HYPERLINK("http://www.worldcat.org/oclc/67567","WorldCat Record")</f>
        <v/>
      </c>
      <c r="AU2484" t="inlineStr">
        <is>
          <t>212313743:eng</t>
        </is>
      </c>
      <c r="AV2484" t="inlineStr">
        <is>
          <t>67567</t>
        </is>
      </c>
      <c r="AW2484" t="inlineStr">
        <is>
          <t>991000219419702656</t>
        </is>
      </c>
      <c r="AX2484" t="inlineStr">
        <is>
          <t>991000219419702656</t>
        </is>
      </c>
      <c r="AY2484" t="inlineStr">
        <is>
          <t>2258115980002656</t>
        </is>
      </c>
      <c r="AZ2484" t="inlineStr">
        <is>
          <t>BOOK</t>
        </is>
      </c>
      <c r="BB2484" t="inlineStr">
        <is>
          <t>9780691051789</t>
        </is>
      </c>
      <c r="BC2484" t="inlineStr">
        <is>
          <t>32285001046456</t>
        </is>
      </c>
      <c r="BD2484" t="inlineStr">
        <is>
          <t>893502351</t>
        </is>
      </c>
    </row>
    <row r="2485">
      <c r="A2485" t="inlineStr">
        <is>
          <t>No</t>
        </is>
      </c>
      <c r="B2485" t="inlineStr">
        <is>
          <t>BX4705.P477 E39 1995</t>
        </is>
      </c>
      <c r="C2485" t="inlineStr">
        <is>
          <t>0                      BX 4705000P  477                E  39          1995</t>
        </is>
      </c>
      <c r="D2485" t="inlineStr">
        <is>
          <t>Robert Persons : the biography of an Elizabethan Jesuit, 1546-1610 / Francis Edwards.</t>
        </is>
      </c>
      <c r="F2485" t="inlineStr">
        <is>
          <t>No</t>
        </is>
      </c>
      <c r="G2485" t="inlineStr">
        <is>
          <t>1</t>
        </is>
      </c>
      <c r="H2485" t="inlineStr">
        <is>
          <t>No</t>
        </is>
      </c>
      <c r="I2485" t="inlineStr">
        <is>
          <t>No</t>
        </is>
      </c>
      <c r="J2485" t="inlineStr">
        <is>
          <t>0</t>
        </is>
      </c>
      <c r="K2485" t="inlineStr">
        <is>
          <t>Edwards, Francis.</t>
        </is>
      </c>
      <c r="L2485" t="inlineStr">
        <is>
          <t>St. Louis, Mo. : Institute of Jesuit Resources, [1995]</t>
        </is>
      </c>
      <c r="M2485" t="inlineStr">
        <is>
          <t>1995</t>
        </is>
      </c>
      <c r="O2485" t="inlineStr">
        <is>
          <t>eng</t>
        </is>
      </c>
      <c r="P2485" t="inlineStr">
        <is>
          <t>mou</t>
        </is>
      </c>
      <c r="R2485" t="inlineStr">
        <is>
          <t xml:space="preserve">BX </t>
        </is>
      </c>
      <c r="S2485" t="n">
        <v>1</v>
      </c>
      <c r="T2485" t="n">
        <v>1</v>
      </c>
      <c r="U2485" t="inlineStr">
        <is>
          <t>2005-03-22</t>
        </is>
      </c>
      <c r="V2485" t="inlineStr">
        <is>
          <t>2005-03-22</t>
        </is>
      </c>
      <c r="W2485" t="inlineStr">
        <is>
          <t>1996-01-19</t>
        </is>
      </c>
      <c r="X2485" t="inlineStr">
        <is>
          <t>1996-01-19</t>
        </is>
      </c>
      <c r="Y2485" t="n">
        <v>107</v>
      </c>
      <c r="Z2485" t="n">
        <v>83</v>
      </c>
      <c r="AA2485" t="n">
        <v>85</v>
      </c>
      <c r="AB2485" t="n">
        <v>1</v>
      </c>
      <c r="AC2485" t="n">
        <v>1</v>
      </c>
      <c r="AD2485" t="n">
        <v>20</v>
      </c>
      <c r="AE2485" t="n">
        <v>20</v>
      </c>
      <c r="AF2485" t="n">
        <v>4</v>
      </c>
      <c r="AG2485" t="n">
        <v>4</v>
      </c>
      <c r="AH2485" t="n">
        <v>4</v>
      </c>
      <c r="AI2485" t="n">
        <v>4</v>
      </c>
      <c r="AJ2485" t="n">
        <v>19</v>
      </c>
      <c r="AK2485" t="n">
        <v>19</v>
      </c>
      <c r="AL2485" t="n">
        <v>0</v>
      </c>
      <c r="AM2485" t="n">
        <v>0</v>
      </c>
      <c r="AN2485" t="n">
        <v>0</v>
      </c>
      <c r="AO2485" t="n">
        <v>0</v>
      </c>
      <c r="AP2485" t="inlineStr">
        <is>
          <t>No</t>
        </is>
      </c>
      <c r="AQ2485" t="inlineStr">
        <is>
          <t>Yes</t>
        </is>
      </c>
      <c r="AR2485">
        <f>HYPERLINK("http://catalog.hathitrust.org/Record/003021456","HathiTrust Record")</f>
        <v/>
      </c>
      <c r="AS2485">
        <f>HYPERLINK("https://creighton-primo.hosted.exlibrisgroup.com/primo-explore/search?tab=default_tab&amp;search_scope=EVERYTHING&amp;vid=01CRU&amp;lang=en_US&amp;offset=0&amp;query=any,contains,991002565149702656","Catalog Record")</f>
        <v/>
      </c>
      <c r="AT2485">
        <f>HYPERLINK("http://www.worldcat.org/oclc/33342963","WorldCat Record")</f>
        <v/>
      </c>
      <c r="AU2485" t="inlineStr">
        <is>
          <t>38291903:eng</t>
        </is>
      </c>
      <c r="AV2485" t="inlineStr">
        <is>
          <t>33342963</t>
        </is>
      </c>
      <c r="AW2485" t="inlineStr">
        <is>
          <t>991002565149702656</t>
        </is>
      </c>
      <c r="AX2485" t="inlineStr">
        <is>
          <t>991002565149702656</t>
        </is>
      </c>
      <c r="AY2485" t="inlineStr">
        <is>
          <t>2261290570002656</t>
        </is>
      </c>
      <c r="AZ2485" t="inlineStr">
        <is>
          <t>BOOK</t>
        </is>
      </c>
      <c r="BB2485" t="inlineStr">
        <is>
          <t>9781880810101</t>
        </is>
      </c>
      <c r="BC2485" t="inlineStr">
        <is>
          <t>32285002119674</t>
        </is>
      </c>
      <c r="BD2485" t="inlineStr">
        <is>
          <t>893504539</t>
        </is>
      </c>
    </row>
    <row r="2486">
      <c r="A2486" t="inlineStr">
        <is>
          <t>No</t>
        </is>
      </c>
      <c r="B2486" t="inlineStr">
        <is>
          <t>BX4705.P49 C37 1951</t>
        </is>
      </c>
      <c r="C2486" t="inlineStr">
        <is>
          <t>0                      BX 4705000P  49                 C  37          1951</t>
        </is>
      </c>
      <c r="D2486" t="inlineStr">
        <is>
          <t>Padre Pio : the stigmatist / by Charles Mortimer Carty.</t>
        </is>
      </c>
      <c r="F2486" t="inlineStr">
        <is>
          <t>No</t>
        </is>
      </c>
      <c r="G2486" t="inlineStr">
        <is>
          <t>1</t>
        </is>
      </c>
      <c r="H2486" t="inlineStr">
        <is>
          <t>No</t>
        </is>
      </c>
      <c r="I2486" t="inlineStr">
        <is>
          <t>Yes</t>
        </is>
      </c>
      <c r="J2486" t="inlineStr">
        <is>
          <t>0</t>
        </is>
      </c>
      <c r="K2486" t="inlineStr">
        <is>
          <t>Carty, Charles Mortimer.</t>
        </is>
      </c>
      <c r="L2486" t="inlineStr">
        <is>
          <t>St. Paul, Minn. : Radio Replies Press, c1951.</t>
        </is>
      </c>
      <c r="M2486" t="inlineStr">
        <is>
          <t>1951</t>
        </is>
      </c>
      <c r="O2486" t="inlineStr">
        <is>
          <t>eng</t>
        </is>
      </c>
      <c r="P2486" t="inlineStr">
        <is>
          <t>mnu</t>
        </is>
      </c>
      <c r="R2486" t="inlineStr">
        <is>
          <t xml:space="preserve">BX </t>
        </is>
      </c>
      <c r="S2486" t="n">
        <v>8</v>
      </c>
      <c r="T2486" t="n">
        <v>8</v>
      </c>
      <c r="U2486" t="inlineStr">
        <is>
          <t>2000-10-09</t>
        </is>
      </c>
      <c r="V2486" t="inlineStr">
        <is>
          <t>2000-10-09</t>
        </is>
      </c>
      <c r="W2486" t="inlineStr">
        <is>
          <t>1992-04-02</t>
        </is>
      </c>
      <c r="X2486" t="inlineStr">
        <is>
          <t>1992-04-02</t>
        </is>
      </c>
      <c r="Y2486" t="n">
        <v>27</v>
      </c>
      <c r="Z2486" t="n">
        <v>25</v>
      </c>
      <c r="AA2486" t="n">
        <v>287</v>
      </c>
      <c r="AB2486" t="n">
        <v>1</v>
      </c>
      <c r="AC2486" t="n">
        <v>4</v>
      </c>
      <c r="AD2486" t="n">
        <v>5</v>
      </c>
      <c r="AE2486" t="n">
        <v>26</v>
      </c>
      <c r="AF2486" t="n">
        <v>1</v>
      </c>
      <c r="AG2486" t="n">
        <v>8</v>
      </c>
      <c r="AH2486" t="n">
        <v>1</v>
      </c>
      <c r="AI2486" t="n">
        <v>7</v>
      </c>
      <c r="AJ2486" t="n">
        <v>4</v>
      </c>
      <c r="AK2486" t="n">
        <v>19</v>
      </c>
      <c r="AL2486" t="n">
        <v>0</v>
      </c>
      <c r="AM2486" t="n">
        <v>0</v>
      </c>
      <c r="AN2486" t="n">
        <v>0</v>
      </c>
      <c r="AO2486" t="n">
        <v>0</v>
      </c>
      <c r="AP2486" t="inlineStr">
        <is>
          <t>No</t>
        </is>
      </c>
      <c r="AQ2486" t="inlineStr">
        <is>
          <t>No</t>
        </is>
      </c>
      <c r="AS2486">
        <f>HYPERLINK("https://creighton-primo.hosted.exlibrisgroup.com/primo-explore/search?tab=default_tab&amp;search_scope=EVERYTHING&amp;vid=01CRU&amp;lang=en_US&amp;offset=0&amp;query=any,contains,991004921929702656","Catalog Record")</f>
        <v/>
      </c>
      <c r="AT2486">
        <f>HYPERLINK("http://www.worldcat.org/oclc/6051747","WorldCat Record")</f>
        <v/>
      </c>
      <c r="AU2486" t="inlineStr">
        <is>
          <t>2967115:eng</t>
        </is>
      </c>
      <c r="AV2486" t="inlineStr">
        <is>
          <t>6051747</t>
        </is>
      </c>
      <c r="AW2486" t="inlineStr">
        <is>
          <t>991004921929702656</t>
        </is>
      </c>
      <c r="AX2486" t="inlineStr">
        <is>
          <t>991004921929702656</t>
        </is>
      </c>
      <c r="AY2486" t="inlineStr">
        <is>
          <t>2270297770002656</t>
        </is>
      </c>
      <c r="AZ2486" t="inlineStr">
        <is>
          <t>BOOK</t>
        </is>
      </c>
      <c r="BC2486" t="inlineStr">
        <is>
          <t>32285001046514</t>
        </is>
      </c>
      <c r="BD2486" t="inlineStr">
        <is>
          <t>893625243</t>
        </is>
      </c>
    </row>
    <row r="2487">
      <c r="A2487" t="inlineStr">
        <is>
          <t>No</t>
        </is>
      </c>
      <c r="B2487" t="inlineStr">
        <is>
          <t>BX4705.P56 P37 1987</t>
        </is>
      </c>
      <c r="C2487" t="inlineStr">
        <is>
          <t>0                      BX 4705000P  56                 P  37          1987</t>
        </is>
      </c>
      <c r="D2487" t="inlineStr">
        <is>
          <t>Edmund Plowden : an Elizabethan Recusant lawyer / by Geoffrey de C. Parmiter.</t>
        </is>
      </c>
      <c r="F2487" t="inlineStr">
        <is>
          <t>No</t>
        </is>
      </c>
      <c r="G2487" t="inlineStr">
        <is>
          <t>1</t>
        </is>
      </c>
      <c r="H2487" t="inlineStr">
        <is>
          <t>No</t>
        </is>
      </c>
      <c r="I2487" t="inlineStr">
        <is>
          <t>No</t>
        </is>
      </c>
      <c r="J2487" t="inlineStr">
        <is>
          <t>0</t>
        </is>
      </c>
      <c r="K2487" t="inlineStr">
        <is>
          <t>Parmiter, Geoffrey de C.</t>
        </is>
      </c>
      <c r="L2487" t="inlineStr">
        <is>
          <t>[S.l.] : Catholic Record Society, 1987.</t>
        </is>
      </c>
      <c r="M2487" t="inlineStr">
        <is>
          <t>1987</t>
        </is>
      </c>
      <c r="O2487" t="inlineStr">
        <is>
          <t>eng</t>
        </is>
      </c>
      <c r="P2487" t="inlineStr">
        <is>
          <t>enk</t>
        </is>
      </c>
      <c r="Q2487" t="inlineStr">
        <is>
          <t>Publications - monograph series / Catholic Record Society ; v. 4</t>
        </is>
      </c>
      <c r="R2487" t="inlineStr">
        <is>
          <t xml:space="preserve">BX </t>
        </is>
      </c>
      <c r="S2487" t="n">
        <v>1</v>
      </c>
      <c r="T2487" t="n">
        <v>1</v>
      </c>
      <c r="U2487" t="inlineStr">
        <is>
          <t>2001-09-27</t>
        </is>
      </c>
      <c r="V2487" t="inlineStr">
        <is>
          <t>2001-09-27</t>
        </is>
      </c>
      <c r="W2487" t="inlineStr">
        <is>
          <t>1992-04-02</t>
        </is>
      </c>
      <c r="X2487" t="inlineStr">
        <is>
          <t>1992-04-02</t>
        </is>
      </c>
      <c r="Y2487" t="n">
        <v>248</v>
      </c>
      <c r="Z2487" t="n">
        <v>161</v>
      </c>
      <c r="AA2487" t="n">
        <v>166</v>
      </c>
      <c r="AB2487" t="n">
        <v>2</v>
      </c>
      <c r="AC2487" t="n">
        <v>2</v>
      </c>
      <c r="AD2487" t="n">
        <v>17</v>
      </c>
      <c r="AE2487" t="n">
        <v>17</v>
      </c>
      <c r="AF2487" t="n">
        <v>6</v>
      </c>
      <c r="AG2487" t="n">
        <v>6</v>
      </c>
      <c r="AH2487" t="n">
        <v>2</v>
      </c>
      <c r="AI2487" t="n">
        <v>2</v>
      </c>
      <c r="AJ2487" t="n">
        <v>12</v>
      </c>
      <c r="AK2487" t="n">
        <v>12</v>
      </c>
      <c r="AL2487" t="n">
        <v>1</v>
      </c>
      <c r="AM2487" t="n">
        <v>1</v>
      </c>
      <c r="AN2487" t="n">
        <v>1</v>
      </c>
      <c r="AO2487" t="n">
        <v>1</v>
      </c>
      <c r="AP2487" t="inlineStr">
        <is>
          <t>No</t>
        </is>
      </c>
      <c r="AQ2487" t="inlineStr">
        <is>
          <t>Yes</t>
        </is>
      </c>
      <c r="AR2487">
        <f>HYPERLINK("http://catalog.hathitrust.org/Record/000847477","HathiTrust Record")</f>
        <v/>
      </c>
      <c r="AS2487">
        <f>HYPERLINK("https://creighton-primo.hosted.exlibrisgroup.com/primo-explore/search?tab=default_tab&amp;search_scope=EVERYTHING&amp;vid=01CRU&amp;lang=en_US&amp;offset=0&amp;query=any,contains,991001182509702656","Catalog Record")</f>
        <v/>
      </c>
      <c r="AT2487">
        <f>HYPERLINK("http://www.worldcat.org/oclc/17160798","WorldCat Record")</f>
        <v/>
      </c>
      <c r="AU2487" t="inlineStr">
        <is>
          <t>312172082:eng</t>
        </is>
      </c>
      <c r="AV2487" t="inlineStr">
        <is>
          <t>17160798</t>
        </is>
      </c>
      <c r="AW2487" t="inlineStr">
        <is>
          <t>991001182509702656</t>
        </is>
      </c>
      <c r="AX2487" t="inlineStr">
        <is>
          <t>991001182509702656</t>
        </is>
      </c>
      <c r="AY2487" t="inlineStr">
        <is>
          <t>2260734490002656</t>
        </is>
      </c>
      <c r="AZ2487" t="inlineStr">
        <is>
          <t>BOOK</t>
        </is>
      </c>
      <c r="BB2487" t="inlineStr">
        <is>
          <t>9780902832114</t>
        </is>
      </c>
      <c r="BC2487" t="inlineStr">
        <is>
          <t>32285001046548</t>
        </is>
      </c>
      <c r="BD2487" t="inlineStr">
        <is>
          <t>893690412</t>
        </is>
      </c>
    </row>
    <row r="2488">
      <c r="A2488" t="inlineStr">
        <is>
          <t>No</t>
        </is>
      </c>
      <c r="B2488" t="inlineStr">
        <is>
          <t>BX4705.Q39 B68 2002</t>
        </is>
      </c>
      <c r="C2488" t="inlineStr">
        <is>
          <t>0                      BX 4705000Q  39                 B  68          2002</t>
        </is>
      </c>
      <c r="D2488" t="inlineStr">
        <is>
          <t>Reform before the Reformation : Vincenzo Querini and the religious Renaissance in Italy / by Stephen D. Bowd.</t>
        </is>
      </c>
      <c r="F2488" t="inlineStr">
        <is>
          <t>No</t>
        </is>
      </c>
      <c r="G2488" t="inlineStr">
        <is>
          <t>1</t>
        </is>
      </c>
      <c r="H2488" t="inlineStr">
        <is>
          <t>No</t>
        </is>
      </c>
      <c r="I2488" t="inlineStr">
        <is>
          <t>No</t>
        </is>
      </c>
      <c r="J2488" t="inlineStr">
        <is>
          <t>0</t>
        </is>
      </c>
      <c r="K2488" t="inlineStr">
        <is>
          <t>Bowd, Stephen D.</t>
        </is>
      </c>
      <c r="L2488" t="inlineStr">
        <is>
          <t>Leiden ; Boston : Brill, 2002.</t>
        </is>
      </c>
      <c r="M2488" t="inlineStr">
        <is>
          <t>2002</t>
        </is>
      </c>
      <c r="O2488" t="inlineStr">
        <is>
          <t>eng</t>
        </is>
      </c>
      <c r="P2488" t="inlineStr">
        <is>
          <t xml:space="preserve">ne </t>
        </is>
      </c>
      <c r="Q2488" t="inlineStr">
        <is>
          <t>Studies in medieval and Reformation thought, 0585-6914 ; v. 87</t>
        </is>
      </c>
      <c r="R2488" t="inlineStr">
        <is>
          <t xml:space="preserve">BX </t>
        </is>
      </c>
      <c r="S2488" t="n">
        <v>2</v>
      </c>
      <c r="T2488" t="n">
        <v>2</v>
      </c>
      <c r="U2488" t="inlineStr">
        <is>
          <t>2004-03-26</t>
        </is>
      </c>
      <c r="V2488" t="inlineStr">
        <is>
          <t>2004-03-26</t>
        </is>
      </c>
      <c r="W2488" t="inlineStr">
        <is>
          <t>2002-03-27</t>
        </is>
      </c>
      <c r="X2488" t="inlineStr">
        <is>
          <t>2002-03-27</t>
        </is>
      </c>
      <c r="Y2488" t="n">
        <v>242</v>
      </c>
      <c r="Z2488" t="n">
        <v>178</v>
      </c>
      <c r="AA2488" t="n">
        <v>179</v>
      </c>
      <c r="AB2488" t="n">
        <v>2</v>
      </c>
      <c r="AC2488" t="n">
        <v>2</v>
      </c>
      <c r="AD2488" t="n">
        <v>14</v>
      </c>
      <c r="AE2488" t="n">
        <v>14</v>
      </c>
      <c r="AF2488" t="n">
        <v>2</v>
      </c>
      <c r="AG2488" t="n">
        <v>2</v>
      </c>
      <c r="AH2488" t="n">
        <v>4</v>
      </c>
      <c r="AI2488" t="n">
        <v>4</v>
      </c>
      <c r="AJ2488" t="n">
        <v>10</v>
      </c>
      <c r="AK2488" t="n">
        <v>10</v>
      </c>
      <c r="AL2488" t="n">
        <v>1</v>
      </c>
      <c r="AM2488" t="n">
        <v>1</v>
      </c>
      <c r="AN2488" t="n">
        <v>0</v>
      </c>
      <c r="AO2488" t="n">
        <v>0</v>
      </c>
      <c r="AP2488" t="inlineStr">
        <is>
          <t>No</t>
        </is>
      </c>
      <c r="AQ2488" t="inlineStr">
        <is>
          <t>No</t>
        </is>
      </c>
      <c r="AS2488">
        <f>HYPERLINK("https://creighton-primo.hosted.exlibrisgroup.com/primo-explore/search?tab=default_tab&amp;search_scope=EVERYTHING&amp;vid=01CRU&amp;lang=en_US&amp;offset=0&amp;query=any,contains,991003772889702656","Catalog Record")</f>
        <v/>
      </c>
      <c r="AT2488">
        <f>HYPERLINK("http://www.worldcat.org/oclc/48144436","WorldCat Record")</f>
        <v/>
      </c>
      <c r="AU2488" t="inlineStr">
        <is>
          <t>257259789:eng</t>
        </is>
      </c>
      <c r="AV2488" t="inlineStr">
        <is>
          <t>48144436</t>
        </is>
      </c>
      <c r="AW2488" t="inlineStr">
        <is>
          <t>991003772889702656</t>
        </is>
      </c>
      <c r="AX2488" t="inlineStr">
        <is>
          <t>991003772889702656</t>
        </is>
      </c>
      <c r="AY2488" t="inlineStr">
        <is>
          <t>2255490140002656</t>
        </is>
      </c>
      <c r="AZ2488" t="inlineStr">
        <is>
          <t>BOOK</t>
        </is>
      </c>
      <c r="BB2488" t="inlineStr">
        <is>
          <t>9789004123793</t>
        </is>
      </c>
      <c r="BC2488" t="inlineStr">
        <is>
          <t>32285004464979</t>
        </is>
      </c>
      <c r="BD2488" t="inlineStr">
        <is>
          <t>893775175</t>
        </is>
      </c>
    </row>
    <row r="2489">
      <c r="A2489" t="inlineStr">
        <is>
          <t>No</t>
        </is>
      </c>
      <c r="B2489" t="inlineStr">
        <is>
          <t>BX4705.Q57 B69</t>
        </is>
      </c>
      <c r="C2489" t="inlineStr">
        <is>
          <t>0                      BX 4705000Q  57                 B  69</t>
        </is>
      </c>
      <c r="D2489" t="inlineStr">
        <is>
          <t>Cardinal Quiroga, inquisitor general of Spain / Maurice Boyd.</t>
        </is>
      </c>
      <c r="F2489" t="inlineStr">
        <is>
          <t>No</t>
        </is>
      </c>
      <c r="G2489" t="inlineStr">
        <is>
          <t>1</t>
        </is>
      </c>
      <c r="H2489" t="inlineStr">
        <is>
          <t>No</t>
        </is>
      </c>
      <c r="I2489" t="inlineStr">
        <is>
          <t>No</t>
        </is>
      </c>
      <c r="J2489" t="inlineStr">
        <is>
          <t>0</t>
        </is>
      </c>
      <c r="K2489" t="inlineStr">
        <is>
          <t>Boyd, Maurice, 1921-1999.</t>
        </is>
      </c>
      <c r="L2489" t="inlineStr">
        <is>
          <t>Dubuque, Iowa : W.C. Brown Co. [c1954]</t>
        </is>
      </c>
      <c r="M2489" t="inlineStr">
        <is>
          <t>1954</t>
        </is>
      </c>
      <c r="O2489" t="inlineStr">
        <is>
          <t>eng</t>
        </is>
      </c>
      <c r="P2489" t="inlineStr">
        <is>
          <t>___</t>
        </is>
      </c>
      <c r="R2489" t="inlineStr">
        <is>
          <t xml:space="preserve">BX </t>
        </is>
      </c>
      <c r="S2489" t="n">
        <v>0</v>
      </c>
      <c r="T2489" t="n">
        <v>0</v>
      </c>
      <c r="U2489" t="inlineStr">
        <is>
          <t>2009-01-15</t>
        </is>
      </c>
      <c r="V2489" t="inlineStr">
        <is>
          <t>2009-01-15</t>
        </is>
      </c>
      <c r="W2489" t="inlineStr">
        <is>
          <t>1992-04-02</t>
        </is>
      </c>
      <c r="X2489" t="inlineStr">
        <is>
          <t>1992-04-02</t>
        </is>
      </c>
      <c r="Y2489" t="n">
        <v>111</v>
      </c>
      <c r="Z2489" t="n">
        <v>103</v>
      </c>
      <c r="AA2489" t="n">
        <v>116</v>
      </c>
      <c r="AB2489" t="n">
        <v>1</v>
      </c>
      <c r="AC2489" t="n">
        <v>1</v>
      </c>
      <c r="AD2489" t="n">
        <v>10</v>
      </c>
      <c r="AE2489" t="n">
        <v>11</v>
      </c>
      <c r="AF2489" t="n">
        <v>4</v>
      </c>
      <c r="AG2489" t="n">
        <v>4</v>
      </c>
      <c r="AH2489" t="n">
        <v>3</v>
      </c>
      <c r="AI2489" t="n">
        <v>4</v>
      </c>
      <c r="AJ2489" t="n">
        <v>6</v>
      </c>
      <c r="AK2489" t="n">
        <v>7</v>
      </c>
      <c r="AL2489" t="n">
        <v>0</v>
      </c>
      <c r="AM2489" t="n">
        <v>0</v>
      </c>
      <c r="AN2489" t="n">
        <v>0</v>
      </c>
      <c r="AO2489" t="n">
        <v>0</v>
      </c>
      <c r="AP2489" t="inlineStr">
        <is>
          <t>Yes</t>
        </is>
      </c>
      <c r="AQ2489" t="inlineStr">
        <is>
          <t>No</t>
        </is>
      </c>
      <c r="AR2489">
        <f>HYPERLINK("http://catalog.hathitrust.org/Record/001592200","HathiTrust Record")</f>
        <v/>
      </c>
      <c r="AS2489">
        <f>HYPERLINK("https://creighton-primo.hosted.exlibrisgroup.com/primo-explore/search?tab=default_tab&amp;search_scope=EVERYTHING&amp;vid=01CRU&amp;lang=en_US&amp;offset=0&amp;query=any,contains,991003252899702656","Catalog Record")</f>
        <v/>
      </c>
      <c r="AT2489">
        <f>HYPERLINK("http://www.worldcat.org/oclc/777573","WorldCat Record")</f>
        <v/>
      </c>
      <c r="AU2489" t="inlineStr">
        <is>
          <t>131845563:eng</t>
        </is>
      </c>
      <c r="AV2489" t="inlineStr">
        <is>
          <t>777573</t>
        </is>
      </c>
      <c r="AW2489" t="inlineStr">
        <is>
          <t>991003252899702656</t>
        </is>
      </c>
      <c r="AX2489" t="inlineStr">
        <is>
          <t>991003252899702656</t>
        </is>
      </c>
      <c r="AY2489" t="inlineStr">
        <is>
          <t>2268013660002656</t>
        </is>
      </c>
      <c r="AZ2489" t="inlineStr">
        <is>
          <t>BOOK</t>
        </is>
      </c>
      <c r="BC2489" t="inlineStr">
        <is>
          <t>32285001046621</t>
        </is>
      </c>
      <c r="BD2489" t="inlineStr">
        <is>
          <t>893787124</t>
        </is>
      </c>
    </row>
    <row r="2490">
      <c r="A2490" t="inlineStr">
        <is>
          <t>No</t>
        </is>
      </c>
      <c r="B2490" t="inlineStr">
        <is>
          <t>BX4705.R287 A33 1985</t>
        </is>
      </c>
      <c r="C2490" t="inlineStr">
        <is>
          <t>0                      BX 4705000R  287                A  33          1985</t>
        </is>
      </c>
      <c r="D2490" t="inlineStr">
        <is>
          <t>I remember : an autobiographical interview with Meinold Krauss / Karl Rahner ; translated by Harvey D. Egan.</t>
        </is>
      </c>
      <c r="F2490" t="inlineStr">
        <is>
          <t>No</t>
        </is>
      </c>
      <c r="G2490" t="inlineStr">
        <is>
          <t>1</t>
        </is>
      </c>
      <c r="H2490" t="inlineStr">
        <is>
          <t>No</t>
        </is>
      </c>
      <c r="I2490" t="inlineStr">
        <is>
          <t>No</t>
        </is>
      </c>
      <c r="J2490" t="inlineStr">
        <is>
          <t>0</t>
        </is>
      </c>
      <c r="K2490" t="inlineStr">
        <is>
          <t>Rahner, Karl, 1904-1984.</t>
        </is>
      </c>
      <c r="L2490" t="inlineStr">
        <is>
          <t>New York : Crossroad, 1985.</t>
        </is>
      </c>
      <c r="M2490" t="inlineStr">
        <is>
          <t>1985</t>
        </is>
      </c>
      <c r="O2490" t="inlineStr">
        <is>
          <t>eng</t>
        </is>
      </c>
      <c r="P2490" t="inlineStr">
        <is>
          <t>nyu</t>
        </is>
      </c>
      <c r="R2490" t="inlineStr">
        <is>
          <t xml:space="preserve">BX </t>
        </is>
      </c>
      <c r="S2490" t="n">
        <v>9</v>
      </c>
      <c r="T2490" t="n">
        <v>9</v>
      </c>
      <c r="U2490" t="inlineStr">
        <is>
          <t>2007-07-05</t>
        </is>
      </c>
      <c r="V2490" t="inlineStr">
        <is>
          <t>2007-07-05</t>
        </is>
      </c>
      <c r="W2490" t="inlineStr">
        <is>
          <t>1992-04-02</t>
        </is>
      </c>
      <c r="X2490" t="inlineStr">
        <is>
          <t>1992-04-02</t>
        </is>
      </c>
      <c r="Y2490" t="n">
        <v>327</v>
      </c>
      <c r="Z2490" t="n">
        <v>292</v>
      </c>
      <c r="AA2490" t="n">
        <v>302</v>
      </c>
      <c r="AB2490" t="n">
        <v>3</v>
      </c>
      <c r="AC2490" t="n">
        <v>3</v>
      </c>
      <c r="AD2490" t="n">
        <v>27</v>
      </c>
      <c r="AE2490" t="n">
        <v>27</v>
      </c>
      <c r="AF2490" t="n">
        <v>8</v>
      </c>
      <c r="AG2490" t="n">
        <v>8</v>
      </c>
      <c r="AH2490" t="n">
        <v>5</v>
      </c>
      <c r="AI2490" t="n">
        <v>5</v>
      </c>
      <c r="AJ2490" t="n">
        <v>20</v>
      </c>
      <c r="AK2490" t="n">
        <v>20</v>
      </c>
      <c r="AL2490" t="n">
        <v>0</v>
      </c>
      <c r="AM2490" t="n">
        <v>0</v>
      </c>
      <c r="AN2490" t="n">
        <v>0</v>
      </c>
      <c r="AO2490" t="n">
        <v>0</v>
      </c>
      <c r="AP2490" t="inlineStr">
        <is>
          <t>No</t>
        </is>
      </c>
      <c r="AQ2490" t="inlineStr">
        <is>
          <t>Yes</t>
        </is>
      </c>
      <c r="AR2490">
        <f>HYPERLINK("http://catalog.hathitrust.org/Record/009491374","HathiTrust Record")</f>
        <v/>
      </c>
      <c r="AS2490">
        <f>HYPERLINK("https://creighton-primo.hosted.exlibrisgroup.com/primo-explore/search?tab=default_tab&amp;search_scope=EVERYTHING&amp;vid=01CRU&amp;lang=en_US&amp;offset=0&amp;query=any,contains,991000669659702656","Catalog Record")</f>
        <v/>
      </c>
      <c r="AT2490">
        <f>HYPERLINK("http://www.worldcat.org/oclc/12313679","WorldCat Record")</f>
        <v/>
      </c>
      <c r="AU2490" t="inlineStr">
        <is>
          <t>4972033:eng</t>
        </is>
      </c>
      <c r="AV2490" t="inlineStr">
        <is>
          <t>12313679</t>
        </is>
      </c>
      <c r="AW2490" t="inlineStr">
        <is>
          <t>991000669659702656</t>
        </is>
      </c>
      <c r="AX2490" t="inlineStr">
        <is>
          <t>991000669659702656</t>
        </is>
      </c>
      <c r="AY2490" t="inlineStr">
        <is>
          <t>2271732800002656</t>
        </is>
      </c>
      <c r="AZ2490" t="inlineStr">
        <is>
          <t>BOOK</t>
        </is>
      </c>
      <c r="BB2490" t="inlineStr">
        <is>
          <t>9780824507343</t>
        </is>
      </c>
      <c r="BC2490" t="inlineStr">
        <is>
          <t>32285001046647</t>
        </is>
      </c>
      <c r="BD2490" t="inlineStr">
        <is>
          <t>893802984</t>
        </is>
      </c>
    </row>
    <row r="2491">
      <c r="A2491" t="inlineStr">
        <is>
          <t>No</t>
        </is>
      </c>
      <c r="B2491" t="inlineStr">
        <is>
          <t>BX4705.R287 A5 1990</t>
        </is>
      </c>
      <c r="C2491" t="inlineStr">
        <is>
          <t>0                      BX 4705000R  287                A  5           1990</t>
        </is>
      </c>
      <c r="D2491" t="inlineStr">
        <is>
          <t>Faith in a wintry season : conversations and interviews with Karl Rahner in the last years of his life / edited by Paul Imhof and Hubert Biallowons ; translation edited by Harvey D. Egan.</t>
        </is>
      </c>
      <c r="F2491" t="inlineStr">
        <is>
          <t>No</t>
        </is>
      </c>
      <c r="G2491" t="inlineStr">
        <is>
          <t>1</t>
        </is>
      </c>
      <c r="H2491" t="inlineStr">
        <is>
          <t>No</t>
        </is>
      </c>
      <c r="I2491" t="inlineStr">
        <is>
          <t>No</t>
        </is>
      </c>
      <c r="J2491" t="inlineStr">
        <is>
          <t>0</t>
        </is>
      </c>
      <c r="K2491" t="inlineStr">
        <is>
          <t>Rahner, Karl, 1904-1984.</t>
        </is>
      </c>
      <c r="L2491" t="inlineStr">
        <is>
          <t>New York : Crossroad, 1990.</t>
        </is>
      </c>
      <c r="M2491" t="inlineStr">
        <is>
          <t>1990</t>
        </is>
      </c>
      <c r="O2491" t="inlineStr">
        <is>
          <t>eng</t>
        </is>
      </c>
      <c r="P2491" t="inlineStr">
        <is>
          <t>nyu</t>
        </is>
      </c>
      <c r="R2491" t="inlineStr">
        <is>
          <t xml:space="preserve">BX </t>
        </is>
      </c>
      <c r="S2491" t="n">
        <v>5</v>
      </c>
      <c r="T2491" t="n">
        <v>5</v>
      </c>
      <c r="U2491" t="inlineStr">
        <is>
          <t>2007-07-05</t>
        </is>
      </c>
      <c r="V2491" t="inlineStr">
        <is>
          <t>2007-07-05</t>
        </is>
      </c>
      <c r="W2491" t="inlineStr">
        <is>
          <t>1990-08-15</t>
        </is>
      </c>
      <c r="X2491" t="inlineStr">
        <is>
          <t>1990-08-15</t>
        </is>
      </c>
      <c r="Y2491" t="n">
        <v>285</v>
      </c>
      <c r="Z2491" t="n">
        <v>237</v>
      </c>
      <c r="AA2491" t="n">
        <v>246</v>
      </c>
      <c r="AB2491" t="n">
        <v>1</v>
      </c>
      <c r="AC2491" t="n">
        <v>1</v>
      </c>
      <c r="AD2491" t="n">
        <v>22</v>
      </c>
      <c r="AE2491" t="n">
        <v>22</v>
      </c>
      <c r="AF2491" t="n">
        <v>6</v>
      </c>
      <c r="AG2491" t="n">
        <v>6</v>
      </c>
      <c r="AH2491" t="n">
        <v>6</v>
      </c>
      <c r="AI2491" t="n">
        <v>6</v>
      </c>
      <c r="AJ2491" t="n">
        <v>17</v>
      </c>
      <c r="AK2491" t="n">
        <v>17</v>
      </c>
      <c r="AL2491" t="n">
        <v>0</v>
      </c>
      <c r="AM2491" t="n">
        <v>0</v>
      </c>
      <c r="AN2491" t="n">
        <v>0</v>
      </c>
      <c r="AO2491" t="n">
        <v>0</v>
      </c>
      <c r="AP2491" t="inlineStr">
        <is>
          <t>No</t>
        </is>
      </c>
      <c r="AQ2491" t="inlineStr">
        <is>
          <t>Yes</t>
        </is>
      </c>
      <c r="AR2491">
        <f>HYPERLINK("http://catalog.hathitrust.org/Record/011806580","HathiTrust Record")</f>
        <v/>
      </c>
      <c r="AS2491">
        <f>HYPERLINK("https://creighton-primo.hosted.exlibrisgroup.com/primo-explore/search?tab=default_tab&amp;search_scope=EVERYTHING&amp;vid=01CRU&amp;lang=en_US&amp;offset=0&amp;query=any,contains,991001478089702656","Catalog Record")</f>
        <v/>
      </c>
      <c r="AT2491">
        <f>HYPERLINK("http://www.worldcat.org/oclc/19589674","WorldCat Record")</f>
        <v/>
      </c>
      <c r="AU2491" t="inlineStr">
        <is>
          <t>4495007208:eng</t>
        </is>
      </c>
      <c r="AV2491" t="inlineStr">
        <is>
          <t>19589674</t>
        </is>
      </c>
      <c r="AW2491" t="inlineStr">
        <is>
          <t>991001478089702656</t>
        </is>
      </c>
      <c r="AX2491" t="inlineStr">
        <is>
          <t>991001478089702656</t>
        </is>
      </c>
      <c r="AY2491" t="inlineStr">
        <is>
          <t>2264192180002656</t>
        </is>
      </c>
      <c r="AZ2491" t="inlineStr">
        <is>
          <t>BOOK</t>
        </is>
      </c>
      <c r="BB2491" t="inlineStr">
        <is>
          <t>9780824509095</t>
        </is>
      </c>
      <c r="BC2491" t="inlineStr">
        <is>
          <t>32285000243807</t>
        </is>
      </c>
      <c r="BD2491" t="inlineStr">
        <is>
          <t>893626707</t>
        </is>
      </c>
    </row>
    <row r="2492">
      <c r="A2492" t="inlineStr">
        <is>
          <t>No</t>
        </is>
      </c>
      <c r="B2492" t="inlineStr">
        <is>
          <t>BX4705.R287 C37 1977</t>
        </is>
      </c>
      <c r="C2492" t="inlineStr">
        <is>
          <t>0                      BX 4705000R  287                C  37          1977</t>
        </is>
      </c>
      <c r="D2492" t="inlineStr">
        <is>
          <t>The theological method of Karl Rahner / by Anne Carr.</t>
        </is>
      </c>
      <c r="F2492" t="inlineStr">
        <is>
          <t>No</t>
        </is>
      </c>
      <c r="G2492" t="inlineStr">
        <is>
          <t>1</t>
        </is>
      </c>
      <c r="H2492" t="inlineStr">
        <is>
          <t>No</t>
        </is>
      </c>
      <c r="I2492" t="inlineStr">
        <is>
          <t>No</t>
        </is>
      </c>
      <c r="J2492" t="inlineStr">
        <is>
          <t>0</t>
        </is>
      </c>
      <c r="K2492" t="inlineStr">
        <is>
          <t>Carr, Anne E., 1934-2008.</t>
        </is>
      </c>
      <c r="L2492" t="inlineStr">
        <is>
          <t>Missoula, Mont. : Published by Scholars Press for the American Academy of Religion, c1977.</t>
        </is>
      </c>
      <c r="M2492" t="inlineStr">
        <is>
          <t>1977</t>
        </is>
      </c>
      <c r="O2492" t="inlineStr">
        <is>
          <t>eng</t>
        </is>
      </c>
      <c r="P2492" t="inlineStr">
        <is>
          <t>mtu</t>
        </is>
      </c>
      <c r="Q2492" t="inlineStr">
        <is>
          <t>Dissertation series (American Academy of Religion) ; no. 19</t>
        </is>
      </c>
      <c r="R2492" t="inlineStr">
        <is>
          <t xml:space="preserve">BX </t>
        </is>
      </c>
      <c r="S2492" t="n">
        <v>5</v>
      </c>
      <c r="T2492" t="n">
        <v>5</v>
      </c>
      <c r="U2492" t="inlineStr">
        <is>
          <t>2004-04-06</t>
        </is>
      </c>
      <c r="V2492" t="inlineStr">
        <is>
          <t>2004-04-06</t>
        </is>
      </c>
      <c r="W2492" t="inlineStr">
        <is>
          <t>1992-04-02</t>
        </is>
      </c>
      <c r="X2492" t="inlineStr">
        <is>
          <t>1992-04-02</t>
        </is>
      </c>
      <c r="Y2492" t="n">
        <v>230</v>
      </c>
      <c r="Z2492" t="n">
        <v>181</v>
      </c>
      <c r="AA2492" t="n">
        <v>185</v>
      </c>
      <c r="AB2492" t="n">
        <v>1</v>
      </c>
      <c r="AC2492" t="n">
        <v>1</v>
      </c>
      <c r="AD2492" t="n">
        <v>17</v>
      </c>
      <c r="AE2492" t="n">
        <v>17</v>
      </c>
      <c r="AF2492" t="n">
        <v>5</v>
      </c>
      <c r="AG2492" t="n">
        <v>5</v>
      </c>
      <c r="AH2492" t="n">
        <v>5</v>
      </c>
      <c r="AI2492" t="n">
        <v>5</v>
      </c>
      <c r="AJ2492" t="n">
        <v>11</v>
      </c>
      <c r="AK2492" t="n">
        <v>11</v>
      </c>
      <c r="AL2492" t="n">
        <v>0</v>
      </c>
      <c r="AM2492" t="n">
        <v>0</v>
      </c>
      <c r="AN2492" t="n">
        <v>0</v>
      </c>
      <c r="AO2492" t="n">
        <v>0</v>
      </c>
      <c r="AP2492" t="inlineStr">
        <is>
          <t>No</t>
        </is>
      </c>
      <c r="AQ2492" t="inlineStr">
        <is>
          <t>No</t>
        </is>
      </c>
      <c r="AS2492">
        <f>HYPERLINK("https://creighton-primo.hosted.exlibrisgroup.com/primo-explore/search?tab=default_tab&amp;search_scope=EVERYTHING&amp;vid=01CRU&amp;lang=en_US&amp;offset=0&amp;query=any,contains,991004195759702656","Catalog Record")</f>
        <v/>
      </c>
      <c r="AT2492">
        <f>HYPERLINK("http://www.worldcat.org/oclc/2644451","WorldCat Record")</f>
        <v/>
      </c>
      <c r="AU2492" t="inlineStr">
        <is>
          <t>292033182:eng</t>
        </is>
      </c>
      <c r="AV2492" t="inlineStr">
        <is>
          <t>2644451</t>
        </is>
      </c>
      <c r="AW2492" t="inlineStr">
        <is>
          <t>991004195759702656</t>
        </is>
      </c>
      <c r="AX2492" t="inlineStr">
        <is>
          <t>991004195759702656</t>
        </is>
      </c>
      <c r="AY2492" t="inlineStr">
        <is>
          <t>2255404010002656</t>
        </is>
      </c>
      <c r="AZ2492" t="inlineStr">
        <is>
          <t>BOOK</t>
        </is>
      </c>
      <c r="BB2492" t="inlineStr">
        <is>
          <t>9780891301295</t>
        </is>
      </c>
      <c r="BC2492" t="inlineStr">
        <is>
          <t>32285001046662</t>
        </is>
      </c>
      <c r="BD2492" t="inlineStr">
        <is>
          <t>893500255</t>
        </is>
      </c>
    </row>
    <row r="2493">
      <c r="A2493" t="inlineStr">
        <is>
          <t>No</t>
        </is>
      </c>
      <c r="B2493" t="inlineStr">
        <is>
          <t>BX4705.R287 E37 1998</t>
        </is>
      </c>
      <c r="C2493" t="inlineStr">
        <is>
          <t>0                      BX 4705000R  287                E  37          1998</t>
        </is>
      </c>
      <c r="D2493" t="inlineStr">
        <is>
          <t>Karl Rahner : the mystic of everyday life / Harvey D. Egan.</t>
        </is>
      </c>
      <c r="F2493" t="inlineStr">
        <is>
          <t>No</t>
        </is>
      </c>
      <c r="G2493" t="inlineStr">
        <is>
          <t>1</t>
        </is>
      </c>
      <c r="H2493" t="inlineStr">
        <is>
          <t>No</t>
        </is>
      </c>
      <c r="I2493" t="inlineStr">
        <is>
          <t>No</t>
        </is>
      </c>
      <c r="J2493" t="inlineStr">
        <is>
          <t>0</t>
        </is>
      </c>
      <c r="K2493" t="inlineStr">
        <is>
          <t>Egan, Harvey D.</t>
        </is>
      </c>
      <c r="L2493" t="inlineStr">
        <is>
          <t>New York : Crossroad Pub. Co., c1998.</t>
        </is>
      </c>
      <c r="M2493" t="inlineStr">
        <is>
          <t>1998</t>
        </is>
      </c>
      <c r="O2493" t="inlineStr">
        <is>
          <t>eng</t>
        </is>
      </c>
      <c r="P2493" t="inlineStr">
        <is>
          <t>nyu</t>
        </is>
      </c>
      <c r="Q2493" t="inlineStr">
        <is>
          <t>The Crossroad spiritual legacy series</t>
        </is>
      </c>
      <c r="R2493" t="inlineStr">
        <is>
          <t xml:space="preserve">BX </t>
        </is>
      </c>
      <c r="S2493" t="n">
        <v>7</v>
      </c>
      <c r="T2493" t="n">
        <v>7</v>
      </c>
      <c r="U2493" t="inlineStr">
        <is>
          <t>2007-10-06</t>
        </is>
      </c>
      <c r="V2493" t="inlineStr">
        <is>
          <t>2007-10-06</t>
        </is>
      </c>
      <c r="W2493" t="inlineStr">
        <is>
          <t>1998-08-26</t>
        </is>
      </c>
      <c r="X2493" t="inlineStr">
        <is>
          <t>1998-08-26</t>
        </is>
      </c>
      <c r="Y2493" t="n">
        <v>281</v>
      </c>
      <c r="Z2493" t="n">
        <v>232</v>
      </c>
      <c r="AA2493" t="n">
        <v>233</v>
      </c>
      <c r="AB2493" t="n">
        <v>3</v>
      </c>
      <c r="AC2493" t="n">
        <v>3</v>
      </c>
      <c r="AD2493" t="n">
        <v>25</v>
      </c>
      <c r="AE2493" t="n">
        <v>25</v>
      </c>
      <c r="AF2493" t="n">
        <v>6</v>
      </c>
      <c r="AG2493" t="n">
        <v>6</v>
      </c>
      <c r="AH2493" t="n">
        <v>7</v>
      </c>
      <c r="AI2493" t="n">
        <v>7</v>
      </c>
      <c r="AJ2493" t="n">
        <v>18</v>
      </c>
      <c r="AK2493" t="n">
        <v>18</v>
      </c>
      <c r="AL2493" t="n">
        <v>1</v>
      </c>
      <c r="AM2493" t="n">
        <v>1</v>
      </c>
      <c r="AN2493" t="n">
        <v>0</v>
      </c>
      <c r="AO2493" t="n">
        <v>0</v>
      </c>
      <c r="AP2493" t="inlineStr">
        <is>
          <t>No</t>
        </is>
      </c>
      <c r="AQ2493" t="inlineStr">
        <is>
          <t>Yes</t>
        </is>
      </c>
      <c r="AR2493">
        <f>HYPERLINK("http://catalog.hathitrust.org/Record/003268573","HathiTrust Record")</f>
        <v/>
      </c>
      <c r="AS2493">
        <f>HYPERLINK("https://creighton-primo.hosted.exlibrisgroup.com/primo-explore/search?tab=default_tab&amp;search_scope=EVERYTHING&amp;vid=01CRU&amp;lang=en_US&amp;offset=0&amp;query=any,contains,991002878889702656","Catalog Record")</f>
        <v/>
      </c>
      <c r="AT2493">
        <f>HYPERLINK("http://www.worldcat.org/oclc/37935207","WorldCat Record")</f>
        <v/>
      </c>
      <c r="AU2493" t="inlineStr">
        <is>
          <t>898349601:eng</t>
        </is>
      </c>
      <c r="AV2493" t="inlineStr">
        <is>
          <t>37935207</t>
        </is>
      </c>
      <c r="AW2493" t="inlineStr">
        <is>
          <t>991002878889702656</t>
        </is>
      </c>
      <c r="AX2493" t="inlineStr">
        <is>
          <t>991002878889702656</t>
        </is>
      </c>
      <c r="AY2493" t="inlineStr">
        <is>
          <t>2266303630002656</t>
        </is>
      </c>
      <c r="AZ2493" t="inlineStr">
        <is>
          <t>BOOK</t>
        </is>
      </c>
      <c r="BB2493" t="inlineStr">
        <is>
          <t>9780824525118</t>
        </is>
      </c>
      <c r="BC2493" t="inlineStr">
        <is>
          <t>32285003462677</t>
        </is>
      </c>
      <c r="BD2493" t="inlineStr">
        <is>
          <t>893685895</t>
        </is>
      </c>
    </row>
    <row r="2494">
      <c r="A2494" t="inlineStr">
        <is>
          <t>No</t>
        </is>
      </c>
      <c r="B2494" t="inlineStr">
        <is>
          <t>BX4705.R287 G4</t>
        </is>
      </c>
      <c r="C2494" t="inlineStr">
        <is>
          <t>0                      BX 4705000R  287                G  4</t>
        </is>
      </c>
      <c r="D2494" t="inlineStr">
        <is>
          <t>Life and light : a guide to the theology of Karl Rahner / by Donald L. Gelpi.</t>
        </is>
      </c>
      <c r="F2494" t="inlineStr">
        <is>
          <t>No</t>
        </is>
      </c>
      <c r="G2494" t="inlineStr">
        <is>
          <t>1</t>
        </is>
      </c>
      <c r="H2494" t="inlineStr">
        <is>
          <t>No</t>
        </is>
      </c>
      <c r="I2494" t="inlineStr">
        <is>
          <t>No</t>
        </is>
      </c>
      <c r="J2494" t="inlineStr">
        <is>
          <t>0</t>
        </is>
      </c>
      <c r="K2494" t="inlineStr">
        <is>
          <t>Gelpi, Donald L., 1934-2011.</t>
        </is>
      </c>
      <c r="L2494" t="inlineStr">
        <is>
          <t>New York, Sheed and Ward [1966]</t>
        </is>
      </c>
      <c r="M2494" t="inlineStr">
        <is>
          <t>1966</t>
        </is>
      </c>
      <c r="O2494" t="inlineStr">
        <is>
          <t>eng</t>
        </is>
      </c>
      <c r="P2494" t="inlineStr">
        <is>
          <t>___</t>
        </is>
      </c>
      <c r="R2494" t="inlineStr">
        <is>
          <t xml:space="preserve">BX </t>
        </is>
      </c>
      <c r="S2494" t="n">
        <v>2</v>
      </c>
      <c r="T2494" t="n">
        <v>2</v>
      </c>
      <c r="U2494" t="inlineStr">
        <is>
          <t>2007-05-07</t>
        </is>
      </c>
      <c r="V2494" t="inlineStr">
        <is>
          <t>2007-05-07</t>
        </is>
      </c>
      <c r="W2494" t="inlineStr">
        <is>
          <t>1992-04-02</t>
        </is>
      </c>
      <c r="X2494" t="inlineStr">
        <is>
          <t>1992-04-02</t>
        </is>
      </c>
      <c r="Y2494" t="n">
        <v>445</v>
      </c>
      <c r="Z2494" t="n">
        <v>396</v>
      </c>
      <c r="AA2494" t="n">
        <v>408</v>
      </c>
      <c r="AB2494" t="n">
        <v>3</v>
      </c>
      <c r="AC2494" t="n">
        <v>3</v>
      </c>
      <c r="AD2494" t="n">
        <v>36</v>
      </c>
      <c r="AE2494" t="n">
        <v>37</v>
      </c>
      <c r="AF2494" t="n">
        <v>13</v>
      </c>
      <c r="AG2494" t="n">
        <v>14</v>
      </c>
      <c r="AH2494" t="n">
        <v>9</v>
      </c>
      <c r="AI2494" t="n">
        <v>9</v>
      </c>
      <c r="AJ2494" t="n">
        <v>25</v>
      </c>
      <c r="AK2494" t="n">
        <v>26</v>
      </c>
      <c r="AL2494" t="n">
        <v>1</v>
      </c>
      <c r="AM2494" t="n">
        <v>1</v>
      </c>
      <c r="AN2494" t="n">
        <v>0</v>
      </c>
      <c r="AO2494" t="n">
        <v>0</v>
      </c>
      <c r="AP2494" t="inlineStr">
        <is>
          <t>No</t>
        </is>
      </c>
      <c r="AQ2494" t="inlineStr">
        <is>
          <t>Yes</t>
        </is>
      </c>
      <c r="AR2494">
        <f>HYPERLINK("http://catalog.hathitrust.org/Record/001592207","HathiTrust Record")</f>
        <v/>
      </c>
      <c r="AS2494">
        <f>HYPERLINK("https://creighton-primo.hosted.exlibrisgroup.com/primo-explore/search?tab=default_tab&amp;search_scope=EVERYTHING&amp;vid=01CRU&amp;lang=en_US&amp;offset=0&amp;query=any,contains,991002650659702656","Catalog Record")</f>
        <v/>
      </c>
      <c r="AT2494">
        <f>HYPERLINK("http://www.worldcat.org/oclc/17522374","WorldCat Record")</f>
        <v/>
      </c>
      <c r="AU2494" t="inlineStr">
        <is>
          <t>10469981:eng</t>
        </is>
      </c>
      <c r="AV2494" t="inlineStr">
        <is>
          <t>17522374</t>
        </is>
      </c>
      <c r="AW2494" t="inlineStr">
        <is>
          <t>991002650659702656</t>
        </is>
      </c>
      <c r="AX2494" t="inlineStr">
        <is>
          <t>991002650659702656</t>
        </is>
      </c>
      <c r="AY2494" t="inlineStr">
        <is>
          <t>2259536850002656</t>
        </is>
      </c>
      <c r="AZ2494" t="inlineStr">
        <is>
          <t>BOOK</t>
        </is>
      </c>
      <c r="BC2494" t="inlineStr">
        <is>
          <t>32285001046688</t>
        </is>
      </c>
      <c r="BD2494" t="inlineStr">
        <is>
          <t>893427825</t>
        </is>
      </c>
    </row>
    <row r="2495">
      <c r="A2495" t="inlineStr">
        <is>
          <t>No</t>
        </is>
      </c>
      <c r="B2495" t="inlineStr">
        <is>
          <t>BX4705.R287 L46 1995</t>
        </is>
      </c>
      <c r="C2495" t="inlineStr">
        <is>
          <t>0                      BX 4705000R  287                L  46          1995</t>
        </is>
      </c>
      <c r="D2495" t="inlineStr">
        <is>
          <t>The ecclesiology of Karl Rahner / Richard Lennan.</t>
        </is>
      </c>
      <c r="F2495" t="inlineStr">
        <is>
          <t>No</t>
        </is>
      </c>
      <c r="G2495" t="inlineStr">
        <is>
          <t>1</t>
        </is>
      </c>
      <c r="H2495" t="inlineStr">
        <is>
          <t>No</t>
        </is>
      </c>
      <c r="I2495" t="inlineStr">
        <is>
          <t>No</t>
        </is>
      </c>
      <c r="J2495" t="inlineStr">
        <is>
          <t>0</t>
        </is>
      </c>
      <c r="K2495" t="inlineStr">
        <is>
          <t>Lennan, Richard.</t>
        </is>
      </c>
      <c r="L2495" t="inlineStr">
        <is>
          <t>Oxford : Clarendon Press ; New York : Oxford University Press, 1995.</t>
        </is>
      </c>
      <c r="M2495" t="inlineStr">
        <is>
          <t>1995</t>
        </is>
      </c>
      <c r="O2495" t="inlineStr">
        <is>
          <t>eng</t>
        </is>
      </c>
      <c r="P2495" t="inlineStr">
        <is>
          <t>enk</t>
        </is>
      </c>
      <c r="R2495" t="inlineStr">
        <is>
          <t xml:space="preserve">BX </t>
        </is>
      </c>
      <c r="S2495" t="n">
        <v>2</v>
      </c>
      <c r="T2495" t="n">
        <v>2</v>
      </c>
      <c r="U2495" t="inlineStr">
        <is>
          <t>2007-08-22</t>
        </is>
      </c>
      <c r="V2495" t="inlineStr">
        <is>
          <t>2007-08-22</t>
        </is>
      </c>
      <c r="W2495" t="inlineStr">
        <is>
          <t>1996-03-29</t>
        </is>
      </c>
      <c r="X2495" t="inlineStr">
        <is>
          <t>1996-03-29</t>
        </is>
      </c>
      <c r="Y2495" t="n">
        <v>350</v>
      </c>
      <c r="Z2495" t="n">
        <v>272</v>
      </c>
      <c r="AA2495" t="n">
        <v>329</v>
      </c>
      <c r="AB2495" t="n">
        <v>3</v>
      </c>
      <c r="AC2495" t="n">
        <v>3</v>
      </c>
      <c r="AD2495" t="n">
        <v>29</v>
      </c>
      <c r="AE2495" t="n">
        <v>30</v>
      </c>
      <c r="AF2495" t="n">
        <v>9</v>
      </c>
      <c r="AG2495" t="n">
        <v>10</v>
      </c>
      <c r="AH2495" t="n">
        <v>7</v>
      </c>
      <c r="AI2495" t="n">
        <v>7</v>
      </c>
      <c r="AJ2495" t="n">
        <v>22</v>
      </c>
      <c r="AK2495" t="n">
        <v>22</v>
      </c>
      <c r="AL2495" t="n">
        <v>2</v>
      </c>
      <c r="AM2495" t="n">
        <v>2</v>
      </c>
      <c r="AN2495" t="n">
        <v>0</v>
      </c>
      <c r="AO2495" t="n">
        <v>0</v>
      </c>
      <c r="AP2495" t="inlineStr">
        <is>
          <t>No</t>
        </is>
      </c>
      <c r="AQ2495" t="inlineStr">
        <is>
          <t>Yes</t>
        </is>
      </c>
      <c r="AR2495">
        <f>HYPERLINK("http://catalog.hathitrust.org/Record/002992350","HathiTrust Record")</f>
        <v/>
      </c>
      <c r="AS2495">
        <f>HYPERLINK("https://creighton-primo.hosted.exlibrisgroup.com/primo-explore/search?tab=default_tab&amp;search_scope=EVERYTHING&amp;vid=01CRU&amp;lang=en_US&amp;offset=0&amp;query=any,contains,991002399019702656","Catalog Record")</f>
        <v/>
      </c>
      <c r="AT2495">
        <f>HYPERLINK("http://www.worldcat.org/oclc/31172770","WorldCat Record")</f>
        <v/>
      </c>
      <c r="AU2495" t="inlineStr">
        <is>
          <t>20682029:eng</t>
        </is>
      </c>
      <c r="AV2495" t="inlineStr">
        <is>
          <t>31172770</t>
        </is>
      </c>
      <c r="AW2495" t="inlineStr">
        <is>
          <t>991002399019702656</t>
        </is>
      </c>
      <c r="AX2495" t="inlineStr">
        <is>
          <t>991002399019702656</t>
        </is>
      </c>
      <c r="AY2495" t="inlineStr">
        <is>
          <t>2258070740002656</t>
        </is>
      </c>
      <c r="AZ2495" t="inlineStr">
        <is>
          <t>BOOK</t>
        </is>
      </c>
      <c r="BB2495" t="inlineStr">
        <is>
          <t>9780198263586</t>
        </is>
      </c>
      <c r="BC2495" t="inlineStr">
        <is>
          <t>32285002148442</t>
        </is>
      </c>
      <c r="BD2495" t="inlineStr">
        <is>
          <t>893335257</t>
        </is>
      </c>
    </row>
    <row r="2496">
      <c r="A2496" t="inlineStr">
        <is>
          <t>No</t>
        </is>
      </c>
      <c r="B2496" t="inlineStr">
        <is>
          <t>BX4705.R287 M33</t>
        </is>
      </c>
      <c r="C2496" t="inlineStr">
        <is>
          <t>0                      BX 4705000R  287                M  33</t>
        </is>
      </c>
      <c r="D2496" t="inlineStr">
        <is>
          <t>The theology of Karl Rahner / Gerald A. McCool.</t>
        </is>
      </c>
      <c r="F2496" t="inlineStr">
        <is>
          <t>No</t>
        </is>
      </c>
      <c r="G2496" t="inlineStr">
        <is>
          <t>1</t>
        </is>
      </c>
      <c r="H2496" t="inlineStr">
        <is>
          <t>No</t>
        </is>
      </c>
      <c r="I2496" t="inlineStr">
        <is>
          <t>No</t>
        </is>
      </c>
      <c r="J2496" t="inlineStr">
        <is>
          <t>0</t>
        </is>
      </c>
      <c r="K2496" t="inlineStr">
        <is>
          <t>McCool, Gerald A.</t>
        </is>
      </c>
      <c r="L2496" t="inlineStr">
        <is>
          <t>Albany, N.Y., Magi Books [1969]</t>
        </is>
      </c>
      <c r="M2496" t="inlineStr">
        <is>
          <t>1969</t>
        </is>
      </c>
      <c r="O2496" t="inlineStr">
        <is>
          <t>eng</t>
        </is>
      </c>
      <c r="P2496" t="inlineStr">
        <is>
          <t xml:space="preserve">xx </t>
        </is>
      </c>
      <c r="Q2496" t="inlineStr">
        <is>
          <t>Overview studies</t>
        </is>
      </c>
      <c r="R2496" t="inlineStr">
        <is>
          <t xml:space="preserve">BX </t>
        </is>
      </c>
      <c r="S2496" t="n">
        <v>4</v>
      </c>
      <c r="T2496" t="n">
        <v>4</v>
      </c>
      <c r="U2496" t="inlineStr">
        <is>
          <t>2006-12-08</t>
        </is>
      </c>
      <c r="V2496" t="inlineStr">
        <is>
          <t>2006-12-08</t>
        </is>
      </c>
      <c r="W2496" t="inlineStr">
        <is>
          <t>1992-04-02</t>
        </is>
      </c>
      <c r="X2496" t="inlineStr">
        <is>
          <t>1992-04-02</t>
        </is>
      </c>
      <c r="Y2496" t="n">
        <v>41</v>
      </c>
      <c r="Z2496" t="n">
        <v>36</v>
      </c>
      <c r="AA2496" t="n">
        <v>86</v>
      </c>
      <c r="AB2496" t="n">
        <v>1</v>
      </c>
      <c r="AC2496" t="n">
        <v>1</v>
      </c>
      <c r="AD2496" t="n">
        <v>8</v>
      </c>
      <c r="AE2496" t="n">
        <v>16</v>
      </c>
      <c r="AF2496" t="n">
        <v>1</v>
      </c>
      <c r="AG2496" t="n">
        <v>4</v>
      </c>
      <c r="AH2496" t="n">
        <v>2</v>
      </c>
      <c r="AI2496" t="n">
        <v>4</v>
      </c>
      <c r="AJ2496" t="n">
        <v>7</v>
      </c>
      <c r="AK2496" t="n">
        <v>13</v>
      </c>
      <c r="AL2496" t="n">
        <v>0</v>
      </c>
      <c r="AM2496" t="n">
        <v>0</v>
      </c>
      <c r="AN2496" t="n">
        <v>0</v>
      </c>
      <c r="AO2496" t="n">
        <v>0</v>
      </c>
      <c r="AP2496" t="inlineStr">
        <is>
          <t>No</t>
        </is>
      </c>
      <c r="AQ2496" t="inlineStr">
        <is>
          <t>No</t>
        </is>
      </c>
      <c r="AS2496">
        <f>HYPERLINK("https://creighton-primo.hosted.exlibrisgroup.com/primo-explore/search?tab=default_tab&amp;search_scope=EVERYTHING&amp;vid=01CRU&amp;lang=en_US&amp;offset=0&amp;query=any,contains,991003195429702656","Catalog Record")</f>
        <v/>
      </c>
      <c r="AT2496">
        <f>HYPERLINK("http://www.worldcat.org/oclc/720628","WorldCat Record")</f>
        <v/>
      </c>
      <c r="AU2496" t="inlineStr">
        <is>
          <t>1701876:eng</t>
        </is>
      </c>
      <c r="AV2496" t="inlineStr">
        <is>
          <t>720628</t>
        </is>
      </c>
      <c r="AW2496" t="inlineStr">
        <is>
          <t>991003195429702656</t>
        </is>
      </c>
      <c r="AX2496" t="inlineStr">
        <is>
          <t>991003195429702656</t>
        </is>
      </c>
      <c r="AY2496" t="inlineStr">
        <is>
          <t>2256292300002656</t>
        </is>
      </c>
      <c r="AZ2496" t="inlineStr">
        <is>
          <t>BOOK</t>
        </is>
      </c>
      <c r="BC2496" t="inlineStr">
        <is>
          <t>32285001046704</t>
        </is>
      </c>
      <c r="BD2496" t="inlineStr">
        <is>
          <t>893805510</t>
        </is>
      </c>
    </row>
    <row r="2497">
      <c r="A2497" t="inlineStr">
        <is>
          <t>No</t>
        </is>
      </c>
      <c r="B2497" t="inlineStr">
        <is>
          <t>BX4705.R287 M37 1998</t>
        </is>
      </c>
      <c r="C2497" t="inlineStr">
        <is>
          <t>0                      BX 4705000R  287                M  37          1998</t>
        </is>
      </c>
      <c r="D2497" t="inlineStr">
        <is>
          <t>A spirituality of everyday faith : a theological investigation of the notion of spirituality in Karl Rahner / Declan Marmion.</t>
        </is>
      </c>
      <c r="F2497" t="inlineStr">
        <is>
          <t>No</t>
        </is>
      </c>
      <c r="G2497" t="inlineStr">
        <is>
          <t>1</t>
        </is>
      </c>
      <c r="H2497" t="inlineStr">
        <is>
          <t>No</t>
        </is>
      </c>
      <c r="I2497" t="inlineStr">
        <is>
          <t>No</t>
        </is>
      </c>
      <c r="J2497" t="inlineStr">
        <is>
          <t>0</t>
        </is>
      </c>
      <c r="K2497" t="inlineStr">
        <is>
          <t>Marmion, Declan.</t>
        </is>
      </c>
      <c r="L2497" t="inlineStr">
        <is>
          <t>Louvain : Peeters Press, c1998.</t>
        </is>
      </c>
      <c r="M2497" t="inlineStr">
        <is>
          <t>1998</t>
        </is>
      </c>
      <c r="O2497" t="inlineStr">
        <is>
          <t>eng</t>
        </is>
      </c>
      <c r="P2497" t="inlineStr">
        <is>
          <t xml:space="preserve">be </t>
        </is>
      </c>
      <c r="Q2497" t="inlineStr">
        <is>
          <t>Louvain theological &amp; pastoral monographs ; 23</t>
        </is>
      </c>
      <c r="R2497" t="inlineStr">
        <is>
          <t xml:space="preserve">BX </t>
        </is>
      </c>
      <c r="S2497" t="n">
        <v>8</v>
      </c>
      <c r="T2497" t="n">
        <v>8</v>
      </c>
      <c r="U2497" t="inlineStr">
        <is>
          <t>2008-11-20</t>
        </is>
      </c>
      <c r="V2497" t="inlineStr">
        <is>
          <t>2008-11-20</t>
        </is>
      </c>
      <c r="W2497" t="inlineStr">
        <is>
          <t>1999-11-11</t>
        </is>
      </c>
      <c r="X2497" t="inlineStr">
        <is>
          <t>1999-11-11</t>
        </is>
      </c>
      <c r="Y2497" t="n">
        <v>150</v>
      </c>
      <c r="Z2497" t="n">
        <v>133</v>
      </c>
      <c r="AA2497" t="n">
        <v>171</v>
      </c>
      <c r="AB2497" t="n">
        <v>1</v>
      </c>
      <c r="AC2497" t="n">
        <v>1</v>
      </c>
      <c r="AD2497" t="n">
        <v>13</v>
      </c>
      <c r="AE2497" t="n">
        <v>18</v>
      </c>
      <c r="AF2497" t="n">
        <v>4</v>
      </c>
      <c r="AG2497" t="n">
        <v>6</v>
      </c>
      <c r="AH2497" t="n">
        <v>5</v>
      </c>
      <c r="AI2497" t="n">
        <v>7</v>
      </c>
      <c r="AJ2497" t="n">
        <v>9</v>
      </c>
      <c r="AK2497" t="n">
        <v>11</v>
      </c>
      <c r="AL2497" t="n">
        <v>0</v>
      </c>
      <c r="AM2497" t="n">
        <v>0</v>
      </c>
      <c r="AN2497" t="n">
        <v>0</v>
      </c>
      <c r="AO2497" t="n">
        <v>1</v>
      </c>
      <c r="AP2497" t="inlineStr">
        <is>
          <t>No</t>
        </is>
      </c>
      <c r="AQ2497" t="inlineStr">
        <is>
          <t>No</t>
        </is>
      </c>
      <c r="AS2497">
        <f>HYPERLINK("https://creighton-primo.hosted.exlibrisgroup.com/primo-explore/search?tab=default_tab&amp;search_scope=EVERYTHING&amp;vid=01CRU&amp;lang=en_US&amp;offset=0&amp;query=any,contains,991002969099702656","Catalog Record")</f>
        <v/>
      </c>
      <c r="AT2497">
        <f>HYPERLINK("http://www.worldcat.org/oclc/39740461","WorldCat Record")</f>
        <v/>
      </c>
      <c r="AU2497" t="inlineStr">
        <is>
          <t>807292071:eng</t>
        </is>
      </c>
      <c r="AV2497" t="inlineStr">
        <is>
          <t>39740461</t>
        </is>
      </c>
      <c r="AW2497" t="inlineStr">
        <is>
          <t>991002969099702656</t>
        </is>
      </c>
      <c r="AX2497" t="inlineStr">
        <is>
          <t>991002969099702656</t>
        </is>
      </c>
      <c r="AY2497" t="inlineStr">
        <is>
          <t>2260233970002656</t>
        </is>
      </c>
      <c r="AZ2497" t="inlineStr">
        <is>
          <t>BOOK</t>
        </is>
      </c>
      <c r="BB2497" t="inlineStr">
        <is>
          <t>9789068319880</t>
        </is>
      </c>
      <c r="BC2497" t="inlineStr">
        <is>
          <t>32285003621165</t>
        </is>
      </c>
      <c r="BD2497" t="inlineStr">
        <is>
          <t>893627394</t>
        </is>
      </c>
    </row>
    <row r="2498">
      <c r="A2498" t="inlineStr">
        <is>
          <t>No</t>
        </is>
      </c>
      <c r="B2498" t="inlineStr">
        <is>
          <t>BX4705.R287 O36 2004</t>
        </is>
      </c>
      <c r="C2498" t="inlineStr">
        <is>
          <t>0                      BX 4705000R  287                O  36          2004</t>
        </is>
      </c>
      <c r="D2498" t="inlineStr">
        <is>
          <t>Karl Rahner : life in the spirit / John J. O'Donnell.</t>
        </is>
      </c>
      <c r="F2498" t="inlineStr">
        <is>
          <t>No</t>
        </is>
      </c>
      <c r="G2498" t="inlineStr">
        <is>
          <t>1</t>
        </is>
      </c>
      <c r="H2498" t="inlineStr">
        <is>
          <t>No</t>
        </is>
      </c>
      <c r="I2498" t="inlineStr">
        <is>
          <t>No</t>
        </is>
      </c>
      <c r="J2498" t="inlineStr">
        <is>
          <t>0</t>
        </is>
      </c>
      <c r="K2498" t="inlineStr">
        <is>
          <t>O'Donnell, John J. (John Joseph), 1944-</t>
        </is>
      </c>
      <c r="L2498" t="inlineStr">
        <is>
          <t>Roma : Gregorian University Press, 2004.</t>
        </is>
      </c>
      <c r="M2498" t="inlineStr">
        <is>
          <t>2004</t>
        </is>
      </c>
      <c r="O2498" t="inlineStr">
        <is>
          <t>eng</t>
        </is>
      </c>
      <c r="P2498" t="inlineStr">
        <is>
          <t xml:space="preserve">it </t>
        </is>
      </c>
      <c r="R2498" t="inlineStr">
        <is>
          <t xml:space="preserve">BX </t>
        </is>
      </c>
      <c r="S2498" t="n">
        <v>8</v>
      </c>
      <c r="T2498" t="n">
        <v>8</v>
      </c>
      <c r="U2498" t="inlineStr">
        <is>
          <t>2009-01-26</t>
        </is>
      </c>
      <c r="V2498" t="inlineStr">
        <is>
          <t>2009-01-26</t>
        </is>
      </c>
      <c r="W2498" t="inlineStr">
        <is>
          <t>2005-11-16</t>
        </is>
      </c>
      <c r="X2498" t="inlineStr">
        <is>
          <t>2005-11-16</t>
        </is>
      </c>
      <c r="Y2498" t="n">
        <v>78</v>
      </c>
      <c r="Z2498" t="n">
        <v>63</v>
      </c>
      <c r="AA2498" t="n">
        <v>63</v>
      </c>
      <c r="AB2498" t="n">
        <v>1</v>
      </c>
      <c r="AC2498" t="n">
        <v>1</v>
      </c>
      <c r="AD2498" t="n">
        <v>10</v>
      </c>
      <c r="AE2498" t="n">
        <v>10</v>
      </c>
      <c r="AF2498" t="n">
        <v>2</v>
      </c>
      <c r="AG2498" t="n">
        <v>2</v>
      </c>
      <c r="AH2498" t="n">
        <v>2</v>
      </c>
      <c r="AI2498" t="n">
        <v>2</v>
      </c>
      <c r="AJ2498" t="n">
        <v>8</v>
      </c>
      <c r="AK2498" t="n">
        <v>8</v>
      </c>
      <c r="AL2498" t="n">
        <v>0</v>
      </c>
      <c r="AM2498" t="n">
        <v>0</v>
      </c>
      <c r="AN2498" t="n">
        <v>0</v>
      </c>
      <c r="AO2498" t="n">
        <v>0</v>
      </c>
      <c r="AP2498" t="inlineStr">
        <is>
          <t>No</t>
        </is>
      </c>
      <c r="AQ2498" t="inlineStr">
        <is>
          <t>No</t>
        </is>
      </c>
      <c r="AS2498">
        <f>HYPERLINK("https://creighton-primo.hosted.exlibrisgroup.com/primo-explore/search?tab=default_tab&amp;search_scope=EVERYTHING&amp;vid=01CRU&amp;lang=en_US&amp;offset=0&amp;query=any,contains,991004666009702656","Catalog Record")</f>
        <v/>
      </c>
      <c r="AT2498">
        <f>HYPERLINK("http://www.worldcat.org/oclc/56533601","WorldCat Record")</f>
        <v/>
      </c>
      <c r="AU2498" t="inlineStr">
        <is>
          <t>17670438:eng</t>
        </is>
      </c>
      <c r="AV2498" t="inlineStr">
        <is>
          <t>56533601</t>
        </is>
      </c>
      <c r="AW2498" t="inlineStr">
        <is>
          <t>991004666009702656</t>
        </is>
      </c>
      <c r="AX2498" t="inlineStr">
        <is>
          <t>991004666009702656</t>
        </is>
      </c>
      <c r="AY2498" t="inlineStr">
        <is>
          <t>2263304390002656</t>
        </is>
      </c>
      <c r="AZ2498" t="inlineStr">
        <is>
          <t>BOOK</t>
        </is>
      </c>
      <c r="BB2498" t="inlineStr">
        <is>
          <t>9788876529825</t>
        </is>
      </c>
      <c r="BC2498" t="inlineStr">
        <is>
          <t>32285005147391</t>
        </is>
      </c>
      <c r="BD2498" t="inlineStr">
        <is>
          <t>893807339</t>
        </is>
      </c>
    </row>
    <row r="2499">
      <c r="A2499" t="inlineStr">
        <is>
          <t>No</t>
        </is>
      </c>
      <c r="B2499" t="inlineStr">
        <is>
          <t>BX4705.R287 V29 1985</t>
        </is>
      </c>
      <c r="C2499" t="inlineStr">
        <is>
          <t>0                      BX 4705000R  287                V  29          1985</t>
        </is>
      </c>
      <c r="D2499" t="inlineStr">
        <is>
          <t>The mystery of man and the foundations of a theological system / George Vass.</t>
        </is>
      </c>
      <c r="F2499" t="inlineStr">
        <is>
          <t>No</t>
        </is>
      </c>
      <c r="G2499" t="inlineStr">
        <is>
          <t>1</t>
        </is>
      </c>
      <c r="H2499" t="inlineStr">
        <is>
          <t>No</t>
        </is>
      </c>
      <c r="I2499" t="inlineStr">
        <is>
          <t>No</t>
        </is>
      </c>
      <c r="J2499" t="inlineStr">
        <is>
          <t>0</t>
        </is>
      </c>
      <c r="K2499" t="inlineStr">
        <is>
          <t>Vass, George, 1928-</t>
        </is>
      </c>
      <c r="L2499" t="inlineStr">
        <is>
          <t>Westminster [Md.] : Christian Classics ; London [England] : Sheed &amp; Ward, 1985.</t>
        </is>
      </c>
      <c r="M2499" t="inlineStr">
        <is>
          <t>1985</t>
        </is>
      </c>
      <c r="O2499" t="inlineStr">
        <is>
          <t>eng</t>
        </is>
      </c>
      <c r="P2499" t="inlineStr">
        <is>
          <t>mdu</t>
        </is>
      </c>
      <c r="Q2499" t="inlineStr">
        <is>
          <t>Understanding Karl Rahner ; v. 2</t>
        </is>
      </c>
      <c r="R2499" t="inlineStr">
        <is>
          <t xml:space="preserve">BX </t>
        </is>
      </c>
      <c r="S2499" t="n">
        <v>7</v>
      </c>
      <c r="T2499" t="n">
        <v>7</v>
      </c>
      <c r="U2499" t="inlineStr">
        <is>
          <t>1996-11-16</t>
        </is>
      </c>
      <c r="V2499" t="inlineStr">
        <is>
          <t>1996-11-16</t>
        </is>
      </c>
      <c r="W2499" t="inlineStr">
        <is>
          <t>1991-07-22</t>
        </is>
      </c>
      <c r="X2499" t="inlineStr">
        <is>
          <t>1991-07-22</t>
        </is>
      </c>
      <c r="Y2499" t="n">
        <v>156</v>
      </c>
      <c r="Z2499" t="n">
        <v>117</v>
      </c>
      <c r="AA2499" t="n">
        <v>117</v>
      </c>
      <c r="AB2499" t="n">
        <v>1</v>
      </c>
      <c r="AC2499" t="n">
        <v>1</v>
      </c>
      <c r="AD2499" t="n">
        <v>16</v>
      </c>
      <c r="AE2499" t="n">
        <v>16</v>
      </c>
      <c r="AF2499" t="n">
        <v>4</v>
      </c>
      <c r="AG2499" t="n">
        <v>4</v>
      </c>
      <c r="AH2499" t="n">
        <v>5</v>
      </c>
      <c r="AI2499" t="n">
        <v>5</v>
      </c>
      <c r="AJ2499" t="n">
        <v>11</v>
      </c>
      <c r="AK2499" t="n">
        <v>11</v>
      </c>
      <c r="AL2499" t="n">
        <v>0</v>
      </c>
      <c r="AM2499" t="n">
        <v>0</v>
      </c>
      <c r="AN2499" t="n">
        <v>0</v>
      </c>
      <c r="AO2499" t="n">
        <v>0</v>
      </c>
      <c r="AP2499" t="inlineStr">
        <is>
          <t>No</t>
        </is>
      </c>
      <c r="AQ2499" t="inlineStr">
        <is>
          <t>No</t>
        </is>
      </c>
      <c r="AS2499">
        <f>HYPERLINK("https://creighton-primo.hosted.exlibrisgroup.com/primo-explore/search?tab=default_tab&amp;search_scope=EVERYTHING&amp;vid=01CRU&amp;lang=en_US&amp;offset=0&amp;query=any,contains,991000708739702656","Catalog Record")</f>
        <v/>
      </c>
      <c r="AT2499">
        <f>HYPERLINK("http://www.worldcat.org/oclc/12565210","WorldCat Record")</f>
        <v/>
      </c>
      <c r="AU2499" t="inlineStr">
        <is>
          <t>20741277:eng</t>
        </is>
      </c>
      <c r="AV2499" t="inlineStr">
        <is>
          <t>12565210</t>
        </is>
      </c>
      <c r="AW2499" t="inlineStr">
        <is>
          <t>991000708739702656</t>
        </is>
      </c>
      <c r="AX2499" t="inlineStr">
        <is>
          <t>991000708739702656</t>
        </is>
      </c>
      <c r="AY2499" t="inlineStr">
        <is>
          <t>2268850530002656</t>
        </is>
      </c>
      <c r="AZ2499" t="inlineStr">
        <is>
          <t>BOOK</t>
        </is>
      </c>
      <c r="BB2499" t="inlineStr">
        <is>
          <t>9780722093221</t>
        </is>
      </c>
      <c r="BC2499" t="inlineStr">
        <is>
          <t>32285000677954</t>
        </is>
      </c>
      <c r="BD2499" t="inlineStr">
        <is>
          <t>893702366</t>
        </is>
      </c>
    </row>
    <row r="2500">
      <c r="A2500" t="inlineStr">
        <is>
          <t>No</t>
        </is>
      </c>
      <c r="B2500" t="inlineStr">
        <is>
          <t>BX4705.R3 K7</t>
        </is>
      </c>
      <c r="C2500" t="inlineStr">
        <is>
          <t>0                      BX 4705000R  3                  K  7</t>
        </is>
      </c>
      <c r="D2500" t="inlineStr">
        <is>
          <t>Armand-Jean de Rancé, Abbot of La Trappe : his influence in the cloister and the world / by A. J. Krailsheimer.</t>
        </is>
      </c>
      <c r="F2500" t="inlineStr">
        <is>
          <t>No</t>
        </is>
      </c>
      <c r="G2500" t="inlineStr">
        <is>
          <t>1</t>
        </is>
      </c>
      <c r="H2500" t="inlineStr">
        <is>
          <t>No</t>
        </is>
      </c>
      <c r="I2500" t="inlineStr">
        <is>
          <t>No</t>
        </is>
      </c>
      <c r="J2500" t="inlineStr">
        <is>
          <t>0</t>
        </is>
      </c>
      <c r="K2500" t="inlineStr">
        <is>
          <t>Krailsheimer, A. J.</t>
        </is>
      </c>
      <c r="L2500" t="inlineStr">
        <is>
          <t>Oxford : Clarendon Press, 1974.</t>
        </is>
      </c>
      <c r="M2500" t="inlineStr">
        <is>
          <t>1974</t>
        </is>
      </c>
      <c r="O2500" t="inlineStr">
        <is>
          <t>eng</t>
        </is>
      </c>
      <c r="P2500" t="inlineStr">
        <is>
          <t>enk</t>
        </is>
      </c>
      <c r="R2500" t="inlineStr">
        <is>
          <t xml:space="preserve">BX </t>
        </is>
      </c>
      <c r="S2500" t="n">
        <v>1</v>
      </c>
      <c r="T2500" t="n">
        <v>1</v>
      </c>
      <c r="U2500" t="inlineStr">
        <is>
          <t>1994-06-26</t>
        </is>
      </c>
      <c r="V2500" t="inlineStr">
        <is>
          <t>1994-06-26</t>
        </is>
      </c>
      <c r="W2500" t="inlineStr">
        <is>
          <t>1992-04-02</t>
        </is>
      </c>
      <c r="X2500" t="inlineStr">
        <is>
          <t>1992-04-02</t>
        </is>
      </c>
      <c r="Y2500" t="n">
        <v>305</v>
      </c>
      <c r="Z2500" t="n">
        <v>208</v>
      </c>
      <c r="AA2500" t="n">
        <v>210</v>
      </c>
      <c r="AB2500" t="n">
        <v>3</v>
      </c>
      <c r="AC2500" t="n">
        <v>3</v>
      </c>
      <c r="AD2500" t="n">
        <v>18</v>
      </c>
      <c r="AE2500" t="n">
        <v>18</v>
      </c>
      <c r="AF2500" t="n">
        <v>4</v>
      </c>
      <c r="AG2500" t="n">
        <v>4</v>
      </c>
      <c r="AH2500" t="n">
        <v>4</v>
      </c>
      <c r="AI2500" t="n">
        <v>4</v>
      </c>
      <c r="AJ2500" t="n">
        <v>12</v>
      </c>
      <c r="AK2500" t="n">
        <v>12</v>
      </c>
      <c r="AL2500" t="n">
        <v>2</v>
      </c>
      <c r="AM2500" t="n">
        <v>2</v>
      </c>
      <c r="AN2500" t="n">
        <v>0</v>
      </c>
      <c r="AO2500" t="n">
        <v>0</v>
      </c>
      <c r="AP2500" t="inlineStr">
        <is>
          <t>No</t>
        </is>
      </c>
      <c r="AQ2500" t="inlineStr">
        <is>
          <t>Yes</t>
        </is>
      </c>
      <c r="AR2500">
        <f>HYPERLINK("http://catalog.hathitrust.org/Record/001592213","HathiTrust Record")</f>
        <v/>
      </c>
      <c r="AS2500">
        <f>HYPERLINK("https://creighton-primo.hosted.exlibrisgroup.com/primo-explore/search?tab=default_tab&amp;search_scope=EVERYTHING&amp;vid=01CRU&amp;lang=en_US&amp;offset=0&amp;query=any,contains,991003538789702656","Catalog Record")</f>
        <v/>
      </c>
      <c r="AT2500">
        <f>HYPERLINK("http://www.worldcat.org/oclc/1103573","WorldCat Record")</f>
        <v/>
      </c>
      <c r="AU2500" t="inlineStr">
        <is>
          <t>890176566:eng</t>
        </is>
      </c>
      <c r="AV2500" t="inlineStr">
        <is>
          <t>1103573</t>
        </is>
      </c>
      <c r="AW2500" t="inlineStr">
        <is>
          <t>991003538789702656</t>
        </is>
      </c>
      <c r="AX2500" t="inlineStr">
        <is>
          <t>991003538789702656</t>
        </is>
      </c>
      <c r="AY2500" t="inlineStr">
        <is>
          <t>2267432450002656</t>
        </is>
      </c>
      <c r="AZ2500" t="inlineStr">
        <is>
          <t>BOOK</t>
        </is>
      </c>
      <c r="BB2500" t="inlineStr">
        <is>
          <t>9780198157441</t>
        </is>
      </c>
      <c r="BC2500" t="inlineStr">
        <is>
          <t>32285001046787</t>
        </is>
      </c>
      <c r="BD2500" t="inlineStr">
        <is>
          <t>893598680</t>
        </is>
      </c>
    </row>
    <row r="2501">
      <c r="A2501" t="inlineStr">
        <is>
          <t>No</t>
        </is>
      </c>
      <c r="B2501" t="inlineStr">
        <is>
          <t>BX4705.R345 A79 2000</t>
        </is>
      </c>
      <c r="C2501" t="inlineStr">
        <is>
          <t>0                      BX 4705000R  345                A  79          2000</t>
        </is>
      </c>
      <c r="D2501" t="inlineStr">
        <is>
          <t>Cardinal Ratzinger : the Vatican's enforcer of the faith / John L. Allen, Jr.</t>
        </is>
      </c>
      <c r="F2501" t="inlineStr">
        <is>
          <t>No</t>
        </is>
      </c>
      <c r="G2501" t="inlineStr">
        <is>
          <t>1</t>
        </is>
      </c>
      <c r="H2501" t="inlineStr">
        <is>
          <t>No</t>
        </is>
      </c>
      <c r="I2501" t="inlineStr">
        <is>
          <t>No</t>
        </is>
      </c>
      <c r="J2501" t="inlineStr">
        <is>
          <t>0</t>
        </is>
      </c>
      <c r="K2501" t="inlineStr">
        <is>
          <t>Allen, John L., Jr., 1965-</t>
        </is>
      </c>
      <c r="L2501" t="inlineStr">
        <is>
          <t>New York : Continuum, 2000.</t>
        </is>
      </c>
      <c r="M2501" t="inlineStr">
        <is>
          <t>2000</t>
        </is>
      </c>
      <c r="O2501" t="inlineStr">
        <is>
          <t>eng</t>
        </is>
      </c>
      <c r="P2501" t="inlineStr">
        <is>
          <t>nyu</t>
        </is>
      </c>
      <c r="R2501" t="inlineStr">
        <is>
          <t xml:space="preserve">BX </t>
        </is>
      </c>
      <c r="S2501" t="n">
        <v>5</v>
      </c>
      <c r="T2501" t="n">
        <v>5</v>
      </c>
      <c r="U2501" t="inlineStr">
        <is>
          <t>2005-04-19</t>
        </is>
      </c>
      <c r="V2501" t="inlineStr">
        <is>
          <t>2005-04-19</t>
        </is>
      </c>
      <c r="W2501" t="inlineStr">
        <is>
          <t>2000-12-05</t>
        </is>
      </c>
      <c r="X2501" t="inlineStr">
        <is>
          <t>2000-12-05</t>
        </is>
      </c>
      <c r="Y2501" t="n">
        <v>398</v>
      </c>
      <c r="Z2501" t="n">
        <v>316</v>
      </c>
      <c r="AA2501" t="n">
        <v>324</v>
      </c>
      <c r="AB2501" t="n">
        <v>3</v>
      </c>
      <c r="AC2501" t="n">
        <v>3</v>
      </c>
      <c r="AD2501" t="n">
        <v>23</v>
      </c>
      <c r="AE2501" t="n">
        <v>24</v>
      </c>
      <c r="AF2501" t="n">
        <v>7</v>
      </c>
      <c r="AG2501" t="n">
        <v>7</v>
      </c>
      <c r="AH2501" t="n">
        <v>4</v>
      </c>
      <c r="AI2501" t="n">
        <v>4</v>
      </c>
      <c r="AJ2501" t="n">
        <v>16</v>
      </c>
      <c r="AK2501" t="n">
        <v>17</v>
      </c>
      <c r="AL2501" t="n">
        <v>2</v>
      </c>
      <c r="AM2501" t="n">
        <v>2</v>
      </c>
      <c r="AN2501" t="n">
        <v>0</v>
      </c>
      <c r="AO2501" t="n">
        <v>0</v>
      </c>
      <c r="AP2501" t="inlineStr">
        <is>
          <t>No</t>
        </is>
      </c>
      <c r="AQ2501" t="inlineStr">
        <is>
          <t>Yes</t>
        </is>
      </c>
      <c r="AR2501">
        <f>HYPERLINK("http://catalog.hathitrust.org/Record/004133312","HathiTrust Record")</f>
        <v/>
      </c>
      <c r="AS2501">
        <f>HYPERLINK("https://creighton-primo.hosted.exlibrisgroup.com/primo-explore/search?tab=default_tab&amp;search_scope=EVERYTHING&amp;vid=01CRU&amp;lang=en_US&amp;offset=0&amp;query=any,contains,991003347849702656","Catalog Record")</f>
        <v/>
      </c>
      <c r="AT2501">
        <f>HYPERLINK("http://www.worldcat.org/oclc/44066919","WorldCat Record")</f>
        <v/>
      </c>
      <c r="AU2501" t="inlineStr">
        <is>
          <t>2864409036:eng</t>
        </is>
      </c>
      <c r="AV2501" t="inlineStr">
        <is>
          <t>44066919</t>
        </is>
      </c>
      <c r="AW2501" t="inlineStr">
        <is>
          <t>991003347849702656</t>
        </is>
      </c>
      <c r="AX2501" t="inlineStr">
        <is>
          <t>991003347849702656</t>
        </is>
      </c>
      <c r="AY2501" t="inlineStr">
        <is>
          <t>2257683730002656</t>
        </is>
      </c>
      <c r="AZ2501" t="inlineStr">
        <is>
          <t>BOOK</t>
        </is>
      </c>
      <c r="BB2501" t="inlineStr">
        <is>
          <t>9780826412652</t>
        </is>
      </c>
      <c r="BC2501" t="inlineStr">
        <is>
          <t>32285004275193</t>
        </is>
      </c>
      <c r="BD2501" t="inlineStr">
        <is>
          <t>893252288</t>
        </is>
      </c>
    </row>
    <row r="2502">
      <c r="A2502" t="inlineStr">
        <is>
          <t>No</t>
        </is>
      </c>
      <c r="B2502" t="inlineStr">
        <is>
          <t>BX4705.R37 N53 1988</t>
        </is>
      </c>
      <c r="C2502" t="inlineStr">
        <is>
          <t>0                      BX 4705000R  37                 N  53          1988</t>
        </is>
      </c>
      <c r="D2502" t="inlineStr">
        <is>
          <t>The theology of Joseph Ratzinger : an introductory study / by Aidan Nichols.</t>
        </is>
      </c>
      <c r="F2502" t="inlineStr">
        <is>
          <t>No</t>
        </is>
      </c>
      <c r="G2502" t="inlineStr">
        <is>
          <t>1</t>
        </is>
      </c>
      <c r="H2502" t="inlineStr">
        <is>
          <t>No</t>
        </is>
      </c>
      <c r="I2502" t="inlineStr">
        <is>
          <t>No</t>
        </is>
      </c>
      <c r="J2502" t="inlineStr">
        <is>
          <t>0</t>
        </is>
      </c>
      <c r="K2502" t="inlineStr">
        <is>
          <t>Nichols, Aidan.</t>
        </is>
      </c>
      <c r="L2502" t="inlineStr">
        <is>
          <t>Edinburgh : T. &amp; T. Clark, 1988.</t>
        </is>
      </c>
      <c r="M2502" t="inlineStr">
        <is>
          <t>1988</t>
        </is>
      </c>
      <c r="O2502" t="inlineStr">
        <is>
          <t>eng</t>
        </is>
      </c>
      <c r="P2502" t="inlineStr">
        <is>
          <t>enk</t>
        </is>
      </c>
      <c r="R2502" t="inlineStr">
        <is>
          <t xml:space="preserve">BX </t>
        </is>
      </c>
      <c r="S2502" t="n">
        <v>7</v>
      </c>
      <c r="T2502" t="n">
        <v>7</v>
      </c>
      <c r="U2502" t="inlineStr">
        <is>
          <t>2005-04-21</t>
        </is>
      </c>
      <c r="V2502" t="inlineStr">
        <is>
          <t>2005-04-21</t>
        </is>
      </c>
      <c r="W2502" t="inlineStr">
        <is>
          <t>1990-05-03</t>
        </is>
      </c>
      <c r="X2502" t="inlineStr">
        <is>
          <t>1990-05-03</t>
        </is>
      </c>
      <c r="Y2502" t="n">
        <v>236</v>
      </c>
      <c r="Z2502" t="n">
        <v>171</v>
      </c>
      <c r="AA2502" t="n">
        <v>172</v>
      </c>
      <c r="AB2502" t="n">
        <v>1</v>
      </c>
      <c r="AC2502" t="n">
        <v>1</v>
      </c>
      <c r="AD2502" t="n">
        <v>13</v>
      </c>
      <c r="AE2502" t="n">
        <v>13</v>
      </c>
      <c r="AF2502" t="n">
        <v>2</v>
      </c>
      <c r="AG2502" t="n">
        <v>2</v>
      </c>
      <c r="AH2502" t="n">
        <v>5</v>
      </c>
      <c r="AI2502" t="n">
        <v>5</v>
      </c>
      <c r="AJ2502" t="n">
        <v>8</v>
      </c>
      <c r="AK2502" t="n">
        <v>8</v>
      </c>
      <c r="AL2502" t="n">
        <v>0</v>
      </c>
      <c r="AM2502" t="n">
        <v>0</v>
      </c>
      <c r="AN2502" t="n">
        <v>0</v>
      </c>
      <c r="AO2502" t="n">
        <v>0</v>
      </c>
      <c r="AP2502" t="inlineStr">
        <is>
          <t>No</t>
        </is>
      </c>
      <c r="AQ2502" t="inlineStr">
        <is>
          <t>No</t>
        </is>
      </c>
      <c r="AS2502">
        <f>HYPERLINK("https://creighton-primo.hosted.exlibrisgroup.com/primo-explore/search?tab=default_tab&amp;search_scope=EVERYTHING&amp;vid=01CRU&amp;lang=en_US&amp;offset=0&amp;query=any,contains,991001191909702656","Catalog Record")</f>
        <v/>
      </c>
      <c r="AT2502">
        <f>HYPERLINK("http://www.worldcat.org/oclc/22955325","WorldCat Record")</f>
        <v/>
      </c>
      <c r="AU2502" t="inlineStr">
        <is>
          <t>2908711388:eng</t>
        </is>
      </c>
      <c r="AV2502" t="inlineStr">
        <is>
          <t>22955325</t>
        </is>
      </c>
      <c r="AW2502" t="inlineStr">
        <is>
          <t>991001191909702656</t>
        </is>
      </c>
      <c r="AX2502" t="inlineStr">
        <is>
          <t>991001191909702656</t>
        </is>
      </c>
      <c r="AY2502" t="inlineStr">
        <is>
          <t>2267807660002656</t>
        </is>
      </c>
      <c r="AZ2502" t="inlineStr">
        <is>
          <t>BOOK</t>
        </is>
      </c>
      <c r="BB2502" t="inlineStr">
        <is>
          <t>9780567291486</t>
        </is>
      </c>
      <c r="BC2502" t="inlineStr">
        <is>
          <t>32285000147487</t>
        </is>
      </c>
      <c r="BD2502" t="inlineStr">
        <is>
          <t>893414035</t>
        </is>
      </c>
    </row>
    <row r="2503">
      <c r="A2503" t="inlineStr">
        <is>
          <t>No</t>
        </is>
      </c>
      <c r="B2503" t="inlineStr">
        <is>
          <t>BX4705.R5 F54 1996</t>
        </is>
      </c>
      <c r="C2503" t="inlineStr">
        <is>
          <t>0                      BX 4705000R  5                  F  54          1996</t>
        </is>
      </c>
      <c r="D2503" t="inlineStr">
        <is>
          <t>Fighter with a heart : writings of Charles Owen Rice, Pittsburgh labor priest / edited by Charles J. McCollester.</t>
        </is>
      </c>
      <c r="F2503" t="inlineStr">
        <is>
          <t>No</t>
        </is>
      </c>
      <c r="G2503" t="inlineStr">
        <is>
          <t>1</t>
        </is>
      </c>
      <c r="H2503" t="inlineStr">
        <is>
          <t>No</t>
        </is>
      </c>
      <c r="I2503" t="inlineStr">
        <is>
          <t>No</t>
        </is>
      </c>
      <c r="J2503" t="inlineStr">
        <is>
          <t>0</t>
        </is>
      </c>
      <c r="K2503" t="inlineStr">
        <is>
          <t>Rice, Charles Owen, 1908-2005.</t>
        </is>
      </c>
      <c r="L2503" t="inlineStr">
        <is>
          <t>Pittsburgh : University of Pittsburgh Press, 1996.</t>
        </is>
      </c>
      <c r="M2503" t="inlineStr">
        <is>
          <t>1996</t>
        </is>
      </c>
      <c r="O2503" t="inlineStr">
        <is>
          <t>eng</t>
        </is>
      </c>
      <c r="P2503" t="inlineStr">
        <is>
          <t>pau</t>
        </is>
      </c>
      <c r="R2503" t="inlineStr">
        <is>
          <t xml:space="preserve">BX </t>
        </is>
      </c>
      <c r="S2503" t="n">
        <v>1</v>
      </c>
      <c r="T2503" t="n">
        <v>1</v>
      </c>
      <c r="U2503" t="inlineStr">
        <is>
          <t>2003-07-16</t>
        </is>
      </c>
      <c r="V2503" t="inlineStr">
        <is>
          <t>2003-07-16</t>
        </is>
      </c>
      <c r="W2503" t="inlineStr">
        <is>
          <t>1997-02-12</t>
        </is>
      </c>
      <c r="X2503" t="inlineStr">
        <is>
          <t>1997-02-12</t>
        </is>
      </c>
      <c r="Y2503" t="n">
        <v>219</v>
      </c>
      <c r="Z2503" t="n">
        <v>209</v>
      </c>
      <c r="AA2503" t="n">
        <v>211</v>
      </c>
      <c r="AB2503" t="n">
        <v>2</v>
      </c>
      <c r="AC2503" t="n">
        <v>2</v>
      </c>
      <c r="AD2503" t="n">
        <v>17</v>
      </c>
      <c r="AE2503" t="n">
        <v>17</v>
      </c>
      <c r="AF2503" t="n">
        <v>5</v>
      </c>
      <c r="AG2503" t="n">
        <v>5</v>
      </c>
      <c r="AH2503" t="n">
        <v>5</v>
      </c>
      <c r="AI2503" t="n">
        <v>5</v>
      </c>
      <c r="AJ2503" t="n">
        <v>13</v>
      </c>
      <c r="AK2503" t="n">
        <v>13</v>
      </c>
      <c r="AL2503" t="n">
        <v>1</v>
      </c>
      <c r="AM2503" t="n">
        <v>1</v>
      </c>
      <c r="AN2503" t="n">
        <v>0</v>
      </c>
      <c r="AO2503" t="n">
        <v>0</v>
      </c>
      <c r="AP2503" t="inlineStr">
        <is>
          <t>No</t>
        </is>
      </c>
      <c r="AQ2503" t="inlineStr">
        <is>
          <t>Yes</t>
        </is>
      </c>
      <c r="AR2503">
        <f>HYPERLINK("http://catalog.hathitrust.org/Record/003138210","HathiTrust Record")</f>
        <v/>
      </c>
      <c r="AS2503">
        <f>HYPERLINK("https://creighton-primo.hosted.exlibrisgroup.com/primo-explore/search?tab=default_tab&amp;search_scope=EVERYTHING&amp;vid=01CRU&amp;lang=en_US&amp;offset=0&amp;query=any,contains,991002761289702656","Catalog Record")</f>
        <v/>
      </c>
      <c r="AT2503">
        <f>HYPERLINK("http://www.worldcat.org/oclc/36224131","WorldCat Record")</f>
        <v/>
      </c>
      <c r="AU2503" t="inlineStr">
        <is>
          <t>41153749:eng</t>
        </is>
      </c>
      <c r="AV2503" t="inlineStr">
        <is>
          <t>36224131</t>
        </is>
      </c>
      <c r="AW2503" t="inlineStr">
        <is>
          <t>991002761289702656</t>
        </is>
      </c>
      <c r="AX2503" t="inlineStr">
        <is>
          <t>991002761289702656</t>
        </is>
      </c>
      <c r="AY2503" t="inlineStr">
        <is>
          <t>2265934770002656</t>
        </is>
      </c>
      <c r="AZ2503" t="inlineStr">
        <is>
          <t>BOOK</t>
        </is>
      </c>
      <c r="BB2503" t="inlineStr">
        <is>
          <t>9780822939665</t>
        </is>
      </c>
      <c r="BC2503" t="inlineStr">
        <is>
          <t>32285002430626</t>
        </is>
      </c>
      <c r="BD2503" t="inlineStr">
        <is>
          <t>893591743</t>
        </is>
      </c>
    </row>
    <row r="2504">
      <c r="A2504" t="inlineStr">
        <is>
          <t>No</t>
        </is>
      </c>
      <c r="B2504" t="inlineStr">
        <is>
          <t>BX4705.R54 D35 2006</t>
        </is>
      </c>
      <c r="C2504" t="inlineStr">
        <is>
          <t>0                      BX 4705000R  54                 D  35          2006</t>
        </is>
      </c>
      <c r="D2504" t="inlineStr">
        <is>
          <t>The holy bureaucrat : Eudes Rigaud and religious reform in thirteenth-century Normandy / Adam J. Davis.</t>
        </is>
      </c>
      <c r="F2504" t="inlineStr">
        <is>
          <t>No</t>
        </is>
      </c>
      <c r="G2504" t="inlineStr">
        <is>
          <t>1</t>
        </is>
      </c>
      <c r="H2504" t="inlineStr">
        <is>
          <t>No</t>
        </is>
      </c>
      <c r="I2504" t="inlineStr">
        <is>
          <t>No</t>
        </is>
      </c>
      <c r="J2504" t="inlineStr">
        <is>
          <t>0</t>
        </is>
      </c>
      <c r="K2504" t="inlineStr">
        <is>
          <t>Davis, Adam Jeffrey, 1973-</t>
        </is>
      </c>
      <c r="L2504" t="inlineStr">
        <is>
          <t>Ithaca, N.Y. : Cornell University Press, c2006.</t>
        </is>
      </c>
      <c r="M2504" t="inlineStr">
        <is>
          <t>2006</t>
        </is>
      </c>
      <c r="O2504" t="inlineStr">
        <is>
          <t>eng</t>
        </is>
      </c>
      <c r="P2504" t="inlineStr">
        <is>
          <t>nyu</t>
        </is>
      </c>
      <c r="R2504" t="inlineStr">
        <is>
          <t xml:space="preserve">BX </t>
        </is>
      </c>
      <c r="S2504" t="n">
        <v>3</v>
      </c>
      <c r="T2504" t="n">
        <v>3</v>
      </c>
      <c r="U2504" t="inlineStr">
        <is>
          <t>2008-03-05</t>
        </is>
      </c>
      <c r="V2504" t="inlineStr">
        <is>
          <t>2008-03-05</t>
        </is>
      </c>
      <c r="W2504" t="inlineStr">
        <is>
          <t>2007-02-15</t>
        </is>
      </c>
      <c r="X2504" t="inlineStr">
        <is>
          <t>2007-02-15</t>
        </is>
      </c>
      <c r="Y2504" t="n">
        <v>197</v>
      </c>
      <c r="Z2504" t="n">
        <v>155</v>
      </c>
      <c r="AA2504" t="n">
        <v>617</v>
      </c>
      <c r="AB2504" t="n">
        <v>1</v>
      </c>
      <c r="AC2504" t="n">
        <v>5</v>
      </c>
      <c r="AD2504" t="n">
        <v>14</v>
      </c>
      <c r="AE2504" t="n">
        <v>33</v>
      </c>
      <c r="AF2504" t="n">
        <v>2</v>
      </c>
      <c r="AG2504" t="n">
        <v>12</v>
      </c>
      <c r="AH2504" t="n">
        <v>7</v>
      </c>
      <c r="AI2504" t="n">
        <v>10</v>
      </c>
      <c r="AJ2504" t="n">
        <v>9</v>
      </c>
      <c r="AK2504" t="n">
        <v>16</v>
      </c>
      <c r="AL2504" t="n">
        <v>0</v>
      </c>
      <c r="AM2504" t="n">
        <v>4</v>
      </c>
      <c r="AN2504" t="n">
        <v>0</v>
      </c>
      <c r="AO2504" t="n">
        <v>0</v>
      </c>
      <c r="AP2504" t="inlineStr">
        <is>
          <t>No</t>
        </is>
      </c>
      <c r="AQ2504" t="inlineStr">
        <is>
          <t>No</t>
        </is>
      </c>
      <c r="AS2504">
        <f>HYPERLINK("https://creighton-primo.hosted.exlibrisgroup.com/primo-explore/search?tab=default_tab&amp;search_scope=EVERYTHING&amp;vid=01CRU&amp;lang=en_US&amp;offset=0&amp;query=any,contains,991005021989702656","Catalog Record")</f>
        <v/>
      </c>
      <c r="AT2504">
        <f>HYPERLINK("http://www.worldcat.org/oclc/64453358","WorldCat Record")</f>
        <v/>
      </c>
      <c r="AU2504" t="inlineStr">
        <is>
          <t>48412155:eng</t>
        </is>
      </c>
      <c r="AV2504" t="inlineStr">
        <is>
          <t>64453358</t>
        </is>
      </c>
      <c r="AW2504" t="inlineStr">
        <is>
          <t>991005021989702656</t>
        </is>
      </c>
      <c r="AX2504" t="inlineStr">
        <is>
          <t>991005021989702656</t>
        </is>
      </c>
      <c r="AY2504" t="inlineStr">
        <is>
          <t>2268627240002656</t>
        </is>
      </c>
      <c r="AZ2504" t="inlineStr">
        <is>
          <t>BOOK</t>
        </is>
      </c>
      <c r="BB2504" t="inlineStr">
        <is>
          <t>9780801444746</t>
        </is>
      </c>
      <c r="BC2504" t="inlineStr">
        <is>
          <t>32285005277206</t>
        </is>
      </c>
      <c r="BD2504" t="inlineStr">
        <is>
          <t>893889556</t>
        </is>
      </c>
    </row>
    <row r="2505">
      <c r="A2505" t="inlineStr">
        <is>
          <t>No</t>
        </is>
      </c>
      <c r="B2505" t="inlineStr">
        <is>
          <t>BX4705.R713 A33 1985</t>
        </is>
      </c>
      <c r="C2505" t="inlineStr">
        <is>
          <t>0                      BX 4705000R  713                A  33          1985</t>
        </is>
      </c>
      <c r="D2505" t="inlineStr">
        <is>
          <t>Christwalk / Richard Roos.</t>
        </is>
      </c>
      <c r="F2505" t="inlineStr">
        <is>
          <t>No</t>
        </is>
      </c>
      <c r="G2505" t="inlineStr">
        <is>
          <t>1</t>
        </is>
      </c>
      <c r="H2505" t="inlineStr">
        <is>
          <t>No</t>
        </is>
      </c>
      <c r="I2505" t="inlineStr">
        <is>
          <t>No</t>
        </is>
      </c>
      <c r="J2505" t="inlineStr">
        <is>
          <t>0</t>
        </is>
      </c>
      <c r="K2505" t="inlineStr">
        <is>
          <t>Roos, Richard.</t>
        </is>
      </c>
      <c r="L2505" t="inlineStr">
        <is>
          <t>New York : Mahwah, N.J. : Paulist Press, c1985.</t>
        </is>
      </c>
      <c r="M2505" t="inlineStr">
        <is>
          <t>1985</t>
        </is>
      </c>
      <c r="O2505" t="inlineStr">
        <is>
          <t>eng</t>
        </is>
      </c>
      <c r="P2505" t="inlineStr">
        <is>
          <t>nyu</t>
        </is>
      </c>
      <c r="R2505" t="inlineStr">
        <is>
          <t xml:space="preserve">BX </t>
        </is>
      </c>
      <c r="S2505" t="n">
        <v>3</v>
      </c>
      <c r="T2505" t="n">
        <v>3</v>
      </c>
      <c r="U2505" t="inlineStr">
        <is>
          <t>2006-07-01</t>
        </is>
      </c>
      <c r="V2505" t="inlineStr">
        <is>
          <t>2006-07-01</t>
        </is>
      </c>
      <c r="W2505" t="inlineStr">
        <is>
          <t>1992-04-02</t>
        </is>
      </c>
      <c r="X2505" t="inlineStr">
        <is>
          <t>1992-04-02</t>
        </is>
      </c>
      <c r="Y2505" t="n">
        <v>73</v>
      </c>
      <c r="Z2505" t="n">
        <v>68</v>
      </c>
      <c r="AA2505" t="n">
        <v>68</v>
      </c>
      <c r="AB2505" t="n">
        <v>3</v>
      </c>
      <c r="AC2505" t="n">
        <v>3</v>
      </c>
      <c r="AD2505" t="n">
        <v>13</v>
      </c>
      <c r="AE2505" t="n">
        <v>13</v>
      </c>
      <c r="AF2505" t="n">
        <v>3</v>
      </c>
      <c r="AG2505" t="n">
        <v>3</v>
      </c>
      <c r="AH2505" t="n">
        <v>3</v>
      </c>
      <c r="AI2505" t="n">
        <v>3</v>
      </c>
      <c r="AJ2505" t="n">
        <v>10</v>
      </c>
      <c r="AK2505" t="n">
        <v>10</v>
      </c>
      <c r="AL2505" t="n">
        <v>1</v>
      </c>
      <c r="AM2505" t="n">
        <v>1</v>
      </c>
      <c r="AN2505" t="n">
        <v>0</v>
      </c>
      <c r="AO2505" t="n">
        <v>0</v>
      </c>
      <c r="AP2505" t="inlineStr">
        <is>
          <t>No</t>
        </is>
      </c>
      <c r="AQ2505" t="inlineStr">
        <is>
          <t>No</t>
        </is>
      </c>
      <c r="AS2505">
        <f>HYPERLINK("https://creighton-primo.hosted.exlibrisgroup.com/primo-explore/search?tab=default_tab&amp;search_scope=EVERYTHING&amp;vid=01CRU&amp;lang=en_US&amp;offset=0&amp;query=any,contains,991000688669702656","Catalog Record")</f>
        <v/>
      </c>
      <c r="AT2505">
        <f>HYPERLINK("http://www.worldcat.org/oclc/12422708","WorldCat Record")</f>
        <v/>
      </c>
      <c r="AU2505" t="inlineStr">
        <is>
          <t>1758282929:eng</t>
        </is>
      </c>
      <c r="AV2505" t="inlineStr">
        <is>
          <t>12422708</t>
        </is>
      </c>
      <c r="AW2505" t="inlineStr">
        <is>
          <t>991000688669702656</t>
        </is>
      </c>
      <c r="AX2505" t="inlineStr">
        <is>
          <t>991000688669702656</t>
        </is>
      </c>
      <c r="AY2505" t="inlineStr">
        <is>
          <t>2255933110002656</t>
        </is>
      </c>
      <c r="AZ2505" t="inlineStr">
        <is>
          <t>BOOK</t>
        </is>
      </c>
      <c r="BB2505" t="inlineStr">
        <is>
          <t>9780809126675</t>
        </is>
      </c>
      <c r="BC2505" t="inlineStr">
        <is>
          <t>32285001046837</t>
        </is>
      </c>
      <c r="BD2505" t="inlineStr">
        <is>
          <t>893778149</t>
        </is>
      </c>
    </row>
    <row r="2506">
      <c r="A2506" t="inlineStr">
        <is>
          <t>No</t>
        </is>
      </c>
      <c r="B2506" t="inlineStr">
        <is>
          <t>BX4705.R715 L5413</t>
        </is>
      </c>
      <c r="C2506" t="inlineStr">
        <is>
          <t>0                      BX 4705000R  715                L  5413</t>
        </is>
      </c>
      <c r="D2506" t="inlineStr">
        <is>
          <t>The return of the Jesuits / C. J. Ligthart ; translated from the Dutch by Jan J. Slijkerman.</t>
        </is>
      </c>
      <c r="F2506" t="inlineStr">
        <is>
          <t>No</t>
        </is>
      </c>
      <c r="G2506" t="inlineStr">
        <is>
          <t>1</t>
        </is>
      </c>
      <c r="H2506" t="inlineStr">
        <is>
          <t>No</t>
        </is>
      </c>
      <c r="I2506" t="inlineStr">
        <is>
          <t>No</t>
        </is>
      </c>
      <c r="J2506" t="inlineStr">
        <is>
          <t>0</t>
        </is>
      </c>
      <c r="K2506" t="inlineStr">
        <is>
          <t>Ligthart, C. J.</t>
        </is>
      </c>
      <c r="L2506" t="inlineStr">
        <is>
          <t>London : T. Shand, 1978.</t>
        </is>
      </c>
      <c r="M2506" t="inlineStr">
        <is>
          <t>1978</t>
        </is>
      </c>
      <c r="O2506" t="inlineStr">
        <is>
          <t>eng</t>
        </is>
      </c>
      <c r="P2506" t="inlineStr">
        <is>
          <t>enk</t>
        </is>
      </c>
      <c r="R2506" t="inlineStr">
        <is>
          <t xml:space="preserve">BX </t>
        </is>
      </c>
      <c r="S2506" t="n">
        <v>6</v>
      </c>
      <c r="T2506" t="n">
        <v>6</v>
      </c>
      <c r="U2506" t="inlineStr">
        <is>
          <t>1995-08-28</t>
        </is>
      </c>
      <c r="V2506" t="inlineStr">
        <is>
          <t>1995-08-28</t>
        </is>
      </c>
      <c r="W2506" t="inlineStr">
        <is>
          <t>1992-04-02</t>
        </is>
      </c>
      <c r="X2506" t="inlineStr">
        <is>
          <t>1992-04-02</t>
        </is>
      </c>
      <c r="Y2506" t="n">
        <v>63</v>
      </c>
      <c r="Z2506" t="n">
        <v>36</v>
      </c>
      <c r="AA2506" t="n">
        <v>36</v>
      </c>
      <c r="AB2506" t="n">
        <v>2</v>
      </c>
      <c r="AC2506" t="n">
        <v>2</v>
      </c>
      <c r="AD2506" t="n">
        <v>13</v>
      </c>
      <c r="AE2506" t="n">
        <v>13</v>
      </c>
      <c r="AF2506" t="n">
        <v>5</v>
      </c>
      <c r="AG2506" t="n">
        <v>5</v>
      </c>
      <c r="AH2506" t="n">
        <v>0</v>
      </c>
      <c r="AI2506" t="n">
        <v>0</v>
      </c>
      <c r="AJ2506" t="n">
        <v>13</v>
      </c>
      <c r="AK2506" t="n">
        <v>13</v>
      </c>
      <c r="AL2506" t="n">
        <v>0</v>
      </c>
      <c r="AM2506" t="n">
        <v>0</v>
      </c>
      <c r="AN2506" t="n">
        <v>0</v>
      </c>
      <c r="AO2506" t="n">
        <v>0</v>
      </c>
      <c r="AP2506" t="inlineStr">
        <is>
          <t>No</t>
        </is>
      </c>
      <c r="AQ2506" t="inlineStr">
        <is>
          <t>No</t>
        </is>
      </c>
      <c r="AS2506">
        <f>HYPERLINK("https://creighton-primo.hosted.exlibrisgroup.com/primo-explore/search?tab=default_tab&amp;search_scope=EVERYTHING&amp;vid=01CRU&amp;lang=en_US&amp;offset=0&amp;query=any,contains,991004837489702656","Catalog Record")</f>
        <v/>
      </c>
      <c r="AT2506">
        <f>HYPERLINK("http://www.worldcat.org/oclc/6196804","WorldCat Record")</f>
        <v/>
      </c>
      <c r="AU2506" t="inlineStr">
        <is>
          <t>21802358:eng</t>
        </is>
      </c>
      <c r="AV2506" t="inlineStr">
        <is>
          <t>6196804</t>
        </is>
      </c>
      <c r="AW2506" t="inlineStr">
        <is>
          <t>991004837489702656</t>
        </is>
      </c>
      <c r="AX2506" t="inlineStr">
        <is>
          <t>991004837489702656</t>
        </is>
      </c>
      <c r="AY2506" t="inlineStr">
        <is>
          <t>2264506800002656</t>
        </is>
      </c>
      <c r="AZ2506" t="inlineStr">
        <is>
          <t>BOOK</t>
        </is>
      </c>
      <c r="BC2506" t="inlineStr">
        <is>
          <t>32285001046845</t>
        </is>
      </c>
      <c r="BD2506" t="inlineStr">
        <is>
          <t>893254151</t>
        </is>
      </c>
    </row>
    <row r="2507">
      <c r="A2507" t="inlineStr">
        <is>
          <t>No</t>
        </is>
      </c>
      <c r="B2507" t="inlineStr">
        <is>
          <t>BX4705.R715 N6 1944</t>
        </is>
      </c>
      <c r="C2507" t="inlineStr">
        <is>
          <t>0                      BX 4705000R  715                N  6           1944</t>
        </is>
      </c>
      <c r="D2507" t="inlineStr">
        <is>
          <t>The general who rebuilt the Jesuits / [by] Robert G. North, S.J.</t>
        </is>
      </c>
      <c r="F2507" t="inlineStr">
        <is>
          <t>No</t>
        </is>
      </c>
      <c r="G2507" t="inlineStr">
        <is>
          <t>1</t>
        </is>
      </c>
      <c r="H2507" t="inlineStr">
        <is>
          <t>No</t>
        </is>
      </c>
      <c r="I2507" t="inlineStr">
        <is>
          <t>No</t>
        </is>
      </c>
      <c r="J2507" t="inlineStr">
        <is>
          <t>0</t>
        </is>
      </c>
      <c r="K2507" t="inlineStr">
        <is>
          <t>North, Robert, 1916-2007.</t>
        </is>
      </c>
      <c r="L2507" t="inlineStr">
        <is>
          <t>Milwaukee : The Bruce Publishing Company, [1944]</t>
        </is>
      </c>
      <c r="M2507" t="inlineStr">
        <is>
          <t>1944</t>
        </is>
      </c>
      <c r="O2507" t="inlineStr">
        <is>
          <t>eng</t>
        </is>
      </c>
      <c r="P2507" t="inlineStr">
        <is>
          <t xml:space="preserve">xx </t>
        </is>
      </c>
      <c r="R2507" t="inlineStr">
        <is>
          <t xml:space="preserve">BX </t>
        </is>
      </c>
      <c r="S2507" t="n">
        <v>1</v>
      </c>
      <c r="T2507" t="n">
        <v>1</v>
      </c>
      <c r="U2507" t="inlineStr">
        <is>
          <t>2010-09-13</t>
        </is>
      </c>
      <c r="V2507" t="inlineStr">
        <is>
          <t>2010-09-13</t>
        </is>
      </c>
      <c r="W2507" t="inlineStr">
        <is>
          <t>1992-04-02</t>
        </is>
      </c>
      <c r="X2507" t="inlineStr">
        <is>
          <t>1992-04-02</t>
        </is>
      </c>
      <c r="Y2507" t="n">
        <v>186</v>
      </c>
      <c r="Z2507" t="n">
        <v>159</v>
      </c>
      <c r="AA2507" t="n">
        <v>169</v>
      </c>
      <c r="AB2507" t="n">
        <v>2</v>
      </c>
      <c r="AC2507" t="n">
        <v>2</v>
      </c>
      <c r="AD2507" t="n">
        <v>29</v>
      </c>
      <c r="AE2507" t="n">
        <v>29</v>
      </c>
      <c r="AF2507" t="n">
        <v>10</v>
      </c>
      <c r="AG2507" t="n">
        <v>10</v>
      </c>
      <c r="AH2507" t="n">
        <v>6</v>
      </c>
      <c r="AI2507" t="n">
        <v>6</v>
      </c>
      <c r="AJ2507" t="n">
        <v>26</v>
      </c>
      <c r="AK2507" t="n">
        <v>26</v>
      </c>
      <c r="AL2507" t="n">
        <v>0</v>
      </c>
      <c r="AM2507" t="n">
        <v>0</v>
      </c>
      <c r="AN2507" t="n">
        <v>0</v>
      </c>
      <c r="AO2507" t="n">
        <v>0</v>
      </c>
      <c r="AP2507" t="inlineStr">
        <is>
          <t>Yes</t>
        </is>
      </c>
      <c r="AQ2507" t="inlineStr">
        <is>
          <t>No</t>
        </is>
      </c>
      <c r="AR2507">
        <f>HYPERLINK("http://catalog.hathitrust.org/Record/005797540","HathiTrust Record")</f>
        <v/>
      </c>
      <c r="AS2507">
        <f>HYPERLINK("https://creighton-primo.hosted.exlibrisgroup.com/primo-explore/search?tab=default_tab&amp;search_scope=EVERYTHING&amp;vid=01CRU&amp;lang=en_US&amp;offset=0&amp;query=any,contains,991001065269702656","Catalog Record")</f>
        <v/>
      </c>
      <c r="AT2507">
        <f>HYPERLINK("http://www.worldcat.org/oclc/178209","WorldCat Record")</f>
        <v/>
      </c>
      <c r="AU2507" t="inlineStr">
        <is>
          <t>1316121:eng</t>
        </is>
      </c>
      <c r="AV2507" t="inlineStr">
        <is>
          <t>178209</t>
        </is>
      </c>
      <c r="AW2507" t="inlineStr">
        <is>
          <t>991001065269702656</t>
        </is>
      </c>
      <c r="AX2507" t="inlineStr">
        <is>
          <t>991001065269702656</t>
        </is>
      </c>
      <c r="AY2507" t="inlineStr">
        <is>
          <t>2264333420002656</t>
        </is>
      </c>
      <c r="AZ2507" t="inlineStr">
        <is>
          <t>BOOK</t>
        </is>
      </c>
      <c r="BC2507" t="inlineStr">
        <is>
          <t>32285001046852</t>
        </is>
      </c>
      <c r="BD2507" t="inlineStr">
        <is>
          <t>893690295</t>
        </is>
      </c>
    </row>
    <row r="2508">
      <c r="A2508" t="inlineStr">
        <is>
          <t>No</t>
        </is>
      </c>
      <c r="B2508" t="inlineStr">
        <is>
          <t>BX4705.R7252 G5 1951</t>
        </is>
      </c>
      <c r="C2508" t="inlineStr">
        <is>
          <t>0                      BX 4705000R  7252               G  5           1951</t>
        </is>
      </c>
      <c r="D2508" t="inlineStr">
        <is>
          <t>Come north! The life-story of Mother Xavier Ross, foundress of the Sisters of Charity of Leavenworth / by Sister Julia Gilmore. Illus. by Patricia De Buck.</t>
        </is>
      </c>
      <c r="F2508" t="inlineStr">
        <is>
          <t>No</t>
        </is>
      </c>
      <c r="G2508" t="inlineStr">
        <is>
          <t>1</t>
        </is>
      </c>
      <c r="H2508" t="inlineStr">
        <is>
          <t>No</t>
        </is>
      </c>
      <c r="I2508" t="inlineStr">
        <is>
          <t>No</t>
        </is>
      </c>
      <c r="J2508" t="inlineStr">
        <is>
          <t>0</t>
        </is>
      </c>
      <c r="K2508" t="inlineStr">
        <is>
          <t>Gilmore, Julia.</t>
        </is>
      </c>
      <c r="L2508" t="inlineStr">
        <is>
          <t>New York : McMullen Books, 1951.</t>
        </is>
      </c>
      <c r="M2508" t="inlineStr">
        <is>
          <t>1951</t>
        </is>
      </c>
      <c r="O2508" t="inlineStr">
        <is>
          <t>eng</t>
        </is>
      </c>
      <c r="P2508" t="inlineStr">
        <is>
          <t>nyu</t>
        </is>
      </c>
      <c r="R2508" t="inlineStr">
        <is>
          <t xml:space="preserve">BX </t>
        </is>
      </c>
      <c r="S2508" t="n">
        <v>3</v>
      </c>
      <c r="T2508" t="n">
        <v>3</v>
      </c>
      <c r="U2508" t="inlineStr">
        <is>
          <t>1999-10-30</t>
        </is>
      </c>
      <c r="V2508" t="inlineStr">
        <is>
          <t>1999-10-30</t>
        </is>
      </c>
      <c r="W2508" t="inlineStr">
        <is>
          <t>1992-04-02</t>
        </is>
      </c>
      <c r="X2508" t="inlineStr">
        <is>
          <t>1992-04-02</t>
        </is>
      </c>
      <c r="Y2508" t="n">
        <v>81</v>
      </c>
      <c r="Z2508" t="n">
        <v>81</v>
      </c>
      <c r="AA2508" t="n">
        <v>83</v>
      </c>
      <c r="AB2508" t="n">
        <v>1</v>
      </c>
      <c r="AC2508" t="n">
        <v>1</v>
      </c>
      <c r="AD2508" t="n">
        <v>11</v>
      </c>
      <c r="AE2508" t="n">
        <v>11</v>
      </c>
      <c r="AF2508" t="n">
        <v>3</v>
      </c>
      <c r="AG2508" t="n">
        <v>3</v>
      </c>
      <c r="AH2508" t="n">
        <v>1</v>
      </c>
      <c r="AI2508" t="n">
        <v>1</v>
      </c>
      <c r="AJ2508" t="n">
        <v>10</v>
      </c>
      <c r="AK2508" t="n">
        <v>10</v>
      </c>
      <c r="AL2508" t="n">
        <v>0</v>
      </c>
      <c r="AM2508" t="n">
        <v>0</v>
      </c>
      <c r="AN2508" t="n">
        <v>0</v>
      </c>
      <c r="AO2508" t="n">
        <v>0</v>
      </c>
      <c r="AP2508" t="inlineStr">
        <is>
          <t>No</t>
        </is>
      </c>
      <c r="AQ2508" t="inlineStr">
        <is>
          <t>Yes</t>
        </is>
      </c>
      <c r="AR2508">
        <f>HYPERLINK("http://catalog.hathitrust.org/Record/005946185","HathiTrust Record")</f>
        <v/>
      </c>
      <c r="AS2508">
        <f>HYPERLINK("https://creighton-primo.hosted.exlibrisgroup.com/primo-explore/search?tab=default_tab&amp;search_scope=EVERYTHING&amp;vid=01CRU&amp;lang=en_US&amp;offset=0&amp;query=any,contains,991004496569702656","Catalog Record")</f>
        <v/>
      </c>
      <c r="AT2508">
        <f>HYPERLINK("http://www.worldcat.org/oclc/3702752","WorldCat Record")</f>
        <v/>
      </c>
      <c r="AU2508" t="inlineStr">
        <is>
          <t>11669452:eng</t>
        </is>
      </c>
      <c r="AV2508" t="inlineStr">
        <is>
          <t>3702752</t>
        </is>
      </c>
      <c r="AW2508" t="inlineStr">
        <is>
          <t>991004496569702656</t>
        </is>
      </c>
      <c r="AX2508" t="inlineStr">
        <is>
          <t>991004496569702656</t>
        </is>
      </c>
      <c r="AY2508" t="inlineStr">
        <is>
          <t>2266698030002656</t>
        </is>
      </c>
      <c r="AZ2508" t="inlineStr">
        <is>
          <t>BOOK</t>
        </is>
      </c>
      <c r="BC2508" t="inlineStr">
        <is>
          <t>32285001046860</t>
        </is>
      </c>
      <c r="BD2508" t="inlineStr">
        <is>
          <t>893869782</t>
        </is>
      </c>
    </row>
    <row r="2509">
      <c r="A2509" t="inlineStr">
        <is>
          <t>No</t>
        </is>
      </c>
      <c r="B2509" t="inlineStr">
        <is>
          <t>BX4705.R7277 A33 1989</t>
        </is>
      </c>
      <c r="C2509" t="inlineStr">
        <is>
          <t>0                      BX 4705000R  7277               A  33          1989</t>
        </is>
      </c>
      <c r="D2509" t="inlineStr">
        <is>
          <t>Disputed questions : on being a Christian / Rosemary Radford Ruether.</t>
        </is>
      </c>
      <c r="F2509" t="inlineStr">
        <is>
          <t>No</t>
        </is>
      </c>
      <c r="G2509" t="inlineStr">
        <is>
          <t>1</t>
        </is>
      </c>
      <c r="H2509" t="inlineStr">
        <is>
          <t>No</t>
        </is>
      </c>
      <c r="I2509" t="inlineStr">
        <is>
          <t>No</t>
        </is>
      </c>
      <c r="J2509" t="inlineStr">
        <is>
          <t>0</t>
        </is>
      </c>
      <c r="K2509" t="inlineStr">
        <is>
          <t>Ruether, Rosemary Radford.</t>
        </is>
      </c>
      <c r="L2509" t="inlineStr">
        <is>
          <t>Maryknoll, NY : Orbis, c1989.</t>
        </is>
      </c>
      <c r="M2509" t="inlineStr">
        <is>
          <t>1989</t>
        </is>
      </c>
      <c r="N2509" t="inlineStr">
        <is>
          <t>[New ed.]</t>
        </is>
      </c>
      <c r="O2509" t="inlineStr">
        <is>
          <t>eng</t>
        </is>
      </c>
      <c r="P2509" t="inlineStr">
        <is>
          <t>nyu</t>
        </is>
      </c>
      <c r="R2509" t="inlineStr">
        <is>
          <t xml:space="preserve">BX </t>
        </is>
      </c>
      <c r="S2509" t="n">
        <v>4</v>
      </c>
      <c r="T2509" t="n">
        <v>4</v>
      </c>
      <c r="U2509" t="inlineStr">
        <is>
          <t>2005-11-13</t>
        </is>
      </c>
      <c r="V2509" t="inlineStr">
        <is>
          <t>2005-11-13</t>
        </is>
      </c>
      <c r="W2509" t="inlineStr">
        <is>
          <t>1992-08-07</t>
        </is>
      </c>
      <c r="X2509" t="inlineStr">
        <is>
          <t>1992-08-07</t>
        </is>
      </c>
      <c r="Y2509" t="n">
        <v>231</v>
      </c>
      <c r="Z2509" t="n">
        <v>197</v>
      </c>
      <c r="AA2509" t="n">
        <v>442</v>
      </c>
      <c r="AB2509" t="n">
        <v>2</v>
      </c>
      <c r="AC2509" t="n">
        <v>2</v>
      </c>
      <c r="AD2509" t="n">
        <v>21</v>
      </c>
      <c r="AE2509" t="n">
        <v>31</v>
      </c>
      <c r="AF2509" t="n">
        <v>7</v>
      </c>
      <c r="AG2509" t="n">
        <v>10</v>
      </c>
      <c r="AH2509" t="n">
        <v>5</v>
      </c>
      <c r="AI2509" t="n">
        <v>10</v>
      </c>
      <c r="AJ2509" t="n">
        <v>12</v>
      </c>
      <c r="AK2509" t="n">
        <v>18</v>
      </c>
      <c r="AL2509" t="n">
        <v>1</v>
      </c>
      <c r="AM2509" t="n">
        <v>1</v>
      </c>
      <c r="AN2509" t="n">
        <v>0</v>
      </c>
      <c r="AO2509" t="n">
        <v>0</v>
      </c>
      <c r="AP2509" t="inlineStr">
        <is>
          <t>No</t>
        </is>
      </c>
      <c r="AQ2509" t="inlineStr">
        <is>
          <t>No</t>
        </is>
      </c>
      <c r="AS2509">
        <f>HYPERLINK("https://creighton-primo.hosted.exlibrisgroup.com/primo-explore/search?tab=default_tab&amp;search_scope=EVERYTHING&amp;vid=01CRU&amp;lang=en_US&amp;offset=0&amp;query=any,contains,991001431309702656","Catalog Record")</f>
        <v/>
      </c>
      <c r="AT2509">
        <f>HYPERLINK("http://www.worldcat.org/oclc/19116531","WorldCat Record")</f>
        <v/>
      </c>
      <c r="AU2509" t="inlineStr">
        <is>
          <t>18699923:eng</t>
        </is>
      </c>
      <c r="AV2509" t="inlineStr">
        <is>
          <t>19116531</t>
        </is>
      </c>
      <c r="AW2509" t="inlineStr">
        <is>
          <t>991001431309702656</t>
        </is>
      </c>
      <c r="AX2509" t="inlineStr">
        <is>
          <t>991001431309702656</t>
        </is>
      </c>
      <c r="AY2509" t="inlineStr">
        <is>
          <t>2257217710002656</t>
        </is>
      </c>
      <c r="AZ2509" t="inlineStr">
        <is>
          <t>BOOK</t>
        </is>
      </c>
      <c r="BB2509" t="inlineStr">
        <is>
          <t>9780883445495</t>
        </is>
      </c>
      <c r="BC2509" t="inlineStr">
        <is>
          <t>32285001243152</t>
        </is>
      </c>
      <c r="BD2509" t="inlineStr">
        <is>
          <t>893703033</t>
        </is>
      </c>
    </row>
    <row r="2510">
      <c r="A2510" t="inlineStr">
        <is>
          <t>No</t>
        </is>
      </c>
      <c r="B2510" t="inlineStr">
        <is>
          <t>BX4705.R83 B7 1963</t>
        </is>
      </c>
      <c r="C2510" t="inlineStr">
        <is>
          <t>0                      BX 4705000R  83                 B  7           1963</t>
        </is>
      </c>
      <c r="D2510" t="inlineStr">
        <is>
          <t>Right Reverend New Dealer, John A. Ryan / Francis L. Broderick.</t>
        </is>
      </c>
      <c r="F2510" t="inlineStr">
        <is>
          <t>No</t>
        </is>
      </c>
      <c r="G2510" t="inlineStr">
        <is>
          <t>1</t>
        </is>
      </c>
      <c r="H2510" t="inlineStr">
        <is>
          <t>No</t>
        </is>
      </c>
      <c r="I2510" t="inlineStr">
        <is>
          <t>No</t>
        </is>
      </c>
      <c r="J2510" t="inlineStr">
        <is>
          <t>0</t>
        </is>
      </c>
      <c r="K2510" t="inlineStr">
        <is>
          <t>Broderick, Francis L.</t>
        </is>
      </c>
      <c r="L2510" t="inlineStr">
        <is>
          <t>New York : Macmillan, c1963.</t>
        </is>
      </c>
      <c r="M2510" t="inlineStr">
        <is>
          <t>1963</t>
        </is>
      </c>
      <c r="O2510" t="inlineStr">
        <is>
          <t>eng</t>
        </is>
      </c>
      <c r="P2510" t="inlineStr">
        <is>
          <t>nyu</t>
        </is>
      </c>
      <c r="R2510" t="inlineStr">
        <is>
          <t xml:space="preserve">BX </t>
        </is>
      </c>
      <c r="S2510" t="n">
        <v>2</v>
      </c>
      <c r="T2510" t="n">
        <v>2</v>
      </c>
      <c r="U2510" t="inlineStr">
        <is>
          <t>2006-04-15</t>
        </is>
      </c>
      <c r="V2510" t="inlineStr">
        <is>
          <t>2006-04-15</t>
        </is>
      </c>
      <c r="W2510" t="inlineStr">
        <is>
          <t>1992-04-02</t>
        </is>
      </c>
      <c r="X2510" t="inlineStr">
        <is>
          <t>1992-04-02</t>
        </is>
      </c>
      <c r="Y2510" t="n">
        <v>409</v>
      </c>
      <c r="Z2510" t="n">
        <v>385</v>
      </c>
      <c r="AA2510" t="n">
        <v>403</v>
      </c>
      <c r="AB2510" t="n">
        <v>4</v>
      </c>
      <c r="AC2510" t="n">
        <v>4</v>
      </c>
      <c r="AD2510" t="n">
        <v>32</v>
      </c>
      <c r="AE2510" t="n">
        <v>34</v>
      </c>
      <c r="AF2510" t="n">
        <v>9</v>
      </c>
      <c r="AG2510" t="n">
        <v>11</v>
      </c>
      <c r="AH2510" t="n">
        <v>8</v>
      </c>
      <c r="AI2510" t="n">
        <v>9</v>
      </c>
      <c r="AJ2510" t="n">
        <v>22</v>
      </c>
      <c r="AK2510" t="n">
        <v>23</v>
      </c>
      <c r="AL2510" t="n">
        <v>1</v>
      </c>
      <c r="AM2510" t="n">
        <v>1</v>
      </c>
      <c r="AN2510" t="n">
        <v>1</v>
      </c>
      <c r="AO2510" t="n">
        <v>1</v>
      </c>
      <c r="AP2510" t="inlineStr">
        <is>
          <t>No</t>
        </is>
      </c>
      <c r="AQ2510" t="inlineStr">
        <is>
          <t>Yes</t>
        </is>
      </c>
      <c r="AR2510">
        <f>HYPERLINK("http://catalog.hathitrust.org/Record/001592230","HathiTrust Record")</f>
        <v/>
      </c>
      <c r="AS2510">
        <f>HYPERLINK("https://creighton-primo.hosted.exlibrisgroup.com/primo-explore/search?tab=default_tab&amp;search_scope=EVERYTHING&amp;vid=01CRU&amp;lang=en_US&amp;offset=0&amp;query=any,contains,991003991299702656","Catalog Record")</f>
        <v/>
      </c>
      <c r="AT2510">
        <f>HYPERLINK("http://www.worldcat.org/oclc/2047098","WorldCat Record")</f>
        <v/>
      </c>
      <c r="AU2510" t="inlineStr">
        <is>
          <t>3332016:eng</t>
        </is>
      </c>
      <c r="AV2510" t="inlineStr">
        <is>
          <t>2047098</t>
        </is>
      </c>
      <c r="AW2510" t="inlineStr">
        <is>
          <t>991003991299702656</t>
        </is>
      </c>
      <c r="AX2510" t="inlineStr">
        <is>
          <t>991003991299702656</t>
        </is>
      </c>
      <c r="AY2510" t="inlineStr">
        <is>
          <t>2270899520002656</t>
        </is>
      </c>
      <c r="AZ2510" t="inlineStr">
        <is>
          <t>BOOK</t>
        </is>
      </c>
      <c r="BC2510" t="inlineStr">
        <is>
          <t>32285001046886</t>
        </is>
      </c>
      <c r="BD2510" t="inlineStr">
        <is>
          <t>893253115</t>
        </is>
      </c>
    </row>
    <row r="2511">
      <c r="A2511" t="inlineStr">
        <is>
          <t>No</t>
        </is>
      </c>
      <c r="B2511" t="inlineStr">
        <is>
          <t>BX4705.S51314 H4 1980</t>
        </is>
      </c>
      <c r="C2511" t="inlineStr">
        <is>
          <t>0                      BX 4705000S  51314              H  4           1980</t>
        </is>
      </c>
      <c r="D2511" t="inlineStr">
        <is>
          <t>The New inquisition? : the case of Edward Schillebeeckx and Hans Küng / Peter Hebblethwaite.</t>
        </is>
      </c>
      <c r="F2511" t="inlineStr">
        <is>
          <t>No</t>
        </is>
      </c>
      <c r="G2511" t="inlineStr">
        <is>
          <t>1</t>
        </is>
      </c>
      <c r="H2511" t="inlineStr">
        <is>
          <t>No</t>
        </is>
      </c>
      <c r="I2511" t="inlineStr">
        <is>
          <t>No</t>
        </is>
      </c>
      <c r="J2511" t="inlineStr">
        <is>
          <t>0</t>
        </is>
      </c>
      <c r="K2511" t="inlineStr">
        <is>
          <t>Hebblethwaite, Peter.</t>
        </is>
      </c>
      <c r="L2511" t="inlineStr">
        <is>
          <t>San Francisco : Harper &amp; Row, c1980.</t>
        </is>
      </c>
      <c r="M2511" t="inlineStr">
        <is>
          <t>1980</t>
        </is>
      </c>
      <c r="N2511" t="inlineStr">
        <is>
          <t>1st U.S. ed.</t>
        </is>
      </c>
      <c r="O2511" t="inlineStr">
        <is>
          <t>eng</t>
        </is>
      </c>
      <c r="P2511" t="inlineStr">
        <is>
          <t>cau</t>
        </is>
      </c>
      <c r="R2511" t="inlineStr">
        <is>
          <t xml:space="preserve">BX </t>
        </is>
      </c>
      <c r="S2511" t="n">
        <v>2</v>
      </c>
      <c r="T2511" t="n">
        <v>2</v>
      </c>
      <c r="U2511" t="inlineStr">
        <is>
          <t>1994-09-01</t>
        </is>
      </c>
      <c r="V2511" t="inlineStr">
        <is>
          <t>1994-09-01</t>
        </is>
      </c>
      <c r="W2511" t="inlineStr">
        <is>
          <t>1992-04-02</t>
        </is>
      </c>
      <c r="X2511" t="inlineStr">
        <is>
          <t>1992-04-02</t>
        </is>
      </c>
      <c r="Y2511" t="n">
        <v>558</v>
      </c>
      <c r="Z2511" t="n">
        <v>513</v>
      </c>
      <c r="AA2511" t="n">
        <v>557</v>
      </c>
      <c r="AB2511" t="n">
        <v>4</v>
      </c>
      <c r="AC2511" t="n">
        <v>4</v>
      </c>
      <c r="AD2511" t="n">
        <v>34</v>
      </c>
      <c r="AE2511" t="n">
        <v>34</v>
      </c>
      <c r="AF2511" t="n">
        <v>15</v>
      </c>
      <c r="AG2511" t="n">
        <v>15</v>
      </c>
      <c r="AH2511" t="n">
        <v>9</v>
      </c>
      <c r="AI2511" t="n">
        <v>9</v>
      </c>
      <c r="AJ2511" t="n">
        <v>19</v>
      </c>
      <c r="AK2511" t="n">
        <v>19</v>
      </c>
      <c r="AL2511" t="n">
        <v>2</v>
      </c>
      <c r="AM2511" t="n">
        <v>2</v>
      </c>
      <c r="AN2511" t="n">
        <v>0</v>
      </c>
      <c r="AO2511" t="n">
        <v>0</v>
      </c>
      <c r="AP2511" t="inlineStr">
        <is>
          <t>No</t>
        </is>
      </c>
      <c r="AQ2511" t="inlineStr">
        <is>
          <t>Yes</t>
        </is>
      </c>
      <c r="AR2511">
        <f>HYPERLINK("http://catalog.hathitrust.org/Record/000085322","HathiTrust Record")</f>
        <v/>
      </c>
      <c r="AS2511">
        <f>HYPERLINK("https://creighton-primo.hosted.exlibrisgroup.com/primo-explore/search?tab=default_tab&amp;search_scope=EVERYTHING&amp;vid=01CRU&amp;lang=en_US&amp;offset=0&amp;query=any,contains,991005025979702656","Catalog Record")</f>
        <v/>
      </c>
      <c r="AT2511">
        <f>HYPERLINK("http://www.worldcat.org/oclc/6697352","WorldCat Record")</f>
        <v/>
      </c>
      <c r="AU2511" t="inlineStr">
        <is>
          <t>804674541:eng</t>
        </is>
      </c>
      <c r="AV2511" t="inlineStr">
        <is>
          <t>6697352</t>
        </is>
      </c>
      <c r="AW2511" t="inlineStr">
        <is>
          <t>991005025979702656</t>
        </is>
      </c>
      <c r="AX2511" t="inlineStr">
        <is>
          <t>991005025979702656</t>
        </is>
      </c>
      <c r="AY2511" t="inlineStr">
        <is>
          <t>2264702060002656</t>
        </is>
      </c>
      <c r="AZ2511" t="inlineStr">
        <is>
          <t>BOOK</t>
        </is>
      </c>
      <c r="BB2511" t="inlineStr">
        <is>
          <t>9780060637958</t>
        </is>
      </c>
      <c r="BC2511" t="inlineStr">
        <is>
          <t>32285001047728</t>
        </is>
      </c>
      <c r="BD2511" t="inlineStr">
        <is>
          <t>893536312</t>
        </is>
      </c>
    </row>
    <row r="2512">
      <c r="A2512" t="inlineStr">
        <is>
          <t>No</t>
        </is>
      </c>
      <c r="B2512" t="inlineStr">
        <is>
          <t>BX4705.S52 Z213 1984</t>
        </is>
      </c>
      <c r="C2512" t="inlineStr">
        <is>
          <t>0                      BX 4705000S  52                 Z  213         1984</t>
        </is>
      </c>
      <c r="D2512" t="inlineStr">
        <is>
          <t>The Schillebeeckx case / official exchange of letters and documents in the investigation of Fr. Edward Schillebeeckx, O.P., by the Sacred Congregation for the Doctrine of the Faith, 1976-1980 ; edited, with introduction and notes, by Ted Schoof ; translated by Matthew J. O'Connell.</t>
        </is>
      </c>
      <c r="F2512" t="inlineStr">
        <is>
          <t>No</t>
        </is>
      </c>
      <c r="G2512" t="inlineStr">
        <is>
          <t>1</t>
        </is>
      </c>
      <c r="H2512" t="inlineStr">
        <is>
          <t>No</t>
        </is>
      </c>
      <c r="I2512" t="inlineStr">
        <is>
          <t>No</t>
        </is>
      </c>
      <c r="J2512" t="inlineStr">
        <is>
          <t>0</t>
        </is>
      </c>
      <c r="K2512" t="inlineStr">
        <is>
          <t>Schillebeeckx, Edward, 1914-2009.</t>
        </is>
      </c>
      <c r="L2512" t="inlineStr">
        <is>
          <t>New York : Paulist Press, c1984.</t>
        </is>
      </c>
      <c r="M2512" t="inlineStr">
        <is>
          <t>1984</t>
        </is>
      </c>
      <c r="O2512" t="inlineStr">
        <is>
          <t>eng</t>
        </is>
      </c>
      <c r="P2512" t="inlineStr">
        <is>
          <t>nyu</t>
        </is>
      </c>
      <c r="R2512" t="inlineStr">
        <is>
          <t xml:space="preserve">BX </t>
        </is>
      </c>
      <c r="S2512" t="n">
        <v>5</v>
      </c>
      <c r="T2512" t="n">
        <v>5</v>
      </c>
      <c r="U2512" t="inlineStr">
        <is>
          <t>1994-09-01</t>
        </is>
      </c>
      <c r="V2512" t="inlineStr">
        <is>
          <t>1994-09-01</t>
        </is>
      </c>
      <c r="W2512" t="inlineStr">
        <is>
          <t>1992-04-02</t>
        </is>
      </c>
      <c r="X2512" t="inlineStr">
        <is>
          <t>1992-04-02</t>
        </is>
      </c>
      <c r="Y2512" t="n">
        <v>264</v>
      </c>
      <c r="Z2512" t="n">
        <v>225</v>
      </c>
      <c r="AA2512" t="n">
        <v>227</v>
      </c>
      <c r="AB2512" t="n">
        <v>1</v>
      </c>
      <c r="AC2512" t="n">
        <v>1</v>
      </c>
      <c r="AD2512" t="n">
        <v>23</v>
      </c>
      <c r="AE2512" t="n">
        <v>23</v>
      </c>
      <c r="AF2512" t="n">
        <v>6</v>
      </c>
      <c r="AG2512" t="n">
        <v>6</v>
      </c>
      <c r="AH2512" t="n">
        <v>8</v>
      </c>
      <c r="AI2512" t="n">
        <v>8</v>
      </c>
      <c r="AJ2512" t="n">
        <v>18</v>
      </c>
      <c r="AK2512" t="n">
        <v>18</v>
      </c>
      <c r="AL2512" t="n">
        <v>0</v>
      </c>
      <c r="AM2512" t="n">
        <v>0</v>
      </c>
      <c r="AN2512" t="n">
        <v>0</v>
      </c>
      <c r="AO2512" t="n">
        <v>0</v>
      </c>
      <c r="AP2512" t="inlineStr">
        <is>
          <t>No</t>
        </is>
      </c>
      <c r="AQ2512" t="inlineStr">
        <is>
          <t>No</t>
        </is>
      </c>
      <c r="AS2512">
        <f>HYPERLINK("https://creighton-primo.hosted.exlibrisgroup.com/primo-explore/search?tab=default_tab&amp;search_scope=EVERYTHING&amp;vid=01CRU&amp;lang=en_US&amp;offset=0&amp;query=any,contains,991000486359702656","Catalog Record")</f>
        <v/>
      </c>
      <c r="AT2512">
        <f>HYPERLINK("http://www.worldcat.org/oclc/11621117","WorldCat Record")</f>
        <v/>
      </c>
      <c r="AU2512" t="inlineStr">
        <is>
          <t>428793027:eng</t>
        </is>
      </c>
      <c r="AV2512" t="inlineStr">
        <is>
          <t>11621117</t>
        </is>
      </c>
      <c r="AW2512" t="inlineStr">
        <is>
          <t>991000486359702656</t>
        </is>
      </c>
      <c r="AX2512" t="inlineStr">
        <is>
          <t>991000486359702656</t>
        </is>
      </c>
      <c r="AY2512" t="inlineStr">
        <is>
          <t>2266128460002656</t>
        </is>
      </c>
      <c r="AZ2512" t="inlineStr">
        <is>
          <t>BOOK</t>
        </is>
      </c>
      <c r="BB2512" t="inlineStr">
        <is>
          <t>9780809126071</t>
        </is>
      </c>
      <c r="BC2512" t="inlineStr">
        <is>
          <t>32285001047751</t>
        </is>
      </c>
      <c r="BD2512" t="inlineStr">
        <is>
          <t>893601786</t>
        </is>
      </c>
    </row>
    <row r="2513">
      <c r="A2513" t="inlineStr">
        <is>
          <t>No</t>
        </is>
      </c>
      <c r="B2513" t="inlineStr">
        <is>
          <t>BX4705.S54 J42 1947</t>
        </is>
      </c>
      <c r="C2513" t="inlineStr">
        <is>
          <t>0                      BX 4705000S  54                 J  42          1947</t>
        </is>
      </c>
      <c r="D2513" t="inlineStr">
        <is>
          <t>Papal legate at the Council of Trent, Cardinal Seripando / tr. by Frederic C. Eckhoff.</t>
        </is>
      </c>
      <c r="F2513" t="inlineStr">
        <is>
          <t>No</t>
        </is>
      </c>
      <c r="G2513" t="inlineStr">
        <is>
          <t>1</t>
        </is>
      </c>
      <c r="H2513" t="inlineStr">
        <is>
          <t>No</t>
        </is>
      </c>
      <c r="I2513" t="inlineStr">
        <is>
          <t>No</t>
        </is>
      </c>
      <c r="J2513" t="inlineStr">
        <is>
          <t>0</t>
        </is>
      </c>
      <c r="K2513" t="inlineStr">
        <is>
          <t>Jedin, Hubert, 1900-1980.</t>
        </is>
      </c>
      <c r="L2513" t="inlineStr">
        <is>
          <t>St. Louis : B. Herder Book Co., 1947.</t>
        </is>
      </c>
      <c r="M2513" t="inlineStr">
        <is>
          <t>1947</t>
        </is>
      </c>
      <c r="O2513" t="inlineStr">
        <is>
          <t>eng</t>
        </is>
      </c>
      <c r="P2513" t="inlineStr">
        <is>
          <t>mou</t>
        </is>
      </c>
      <c r="R2513" t="inlineStr">
        <is>
          <t xml:space="preserve">BX </t>
        </is>
      </c>
      <c r="S2513" t="n">
        <v>0</v>
      </c>
      <c r="T2513" t="n">
        <v>0</v>
      </c>
      <c r="U2513" t="inlineStr">
        <is>
          <t>2008-12-01</t>
        </is>
      </c>
      <c r="V2513" t="inlineStr">
        <is>
          <t>2008-12-01</t>
        </is>
      </c>
      <c r="W2513" t="inlineStr">
        <is>
          <t>1990-04-20</t>
        </is>
      </c>
      <c r="X2513" t="inlineStr">
        <is>
          <t>1990-04-20</t>
        </is>
      </c>
      <c r="Y2513" t="n">
        <v>265</v>
      </c>
      <c r="Z2513" t="n">
        <v>225</v>
      </c>
      <c r="AA2513" t="n">
        <v>232</v>
      </c>
      <c r="AB2513" t="n">
        <v>5</v>
      </c>
      <c r="AC2513" t="n">
        <v>5</v>
      </c>
      <c r="AD2513" t="n">
        <v>34</v>
      </c>
      <c r="AE2513" t="n">
        <v>34</v>
      </c>
      <c r="AF2513" t="n">
        <v>10</v>
      </c>
      <c r="AG2513" t="n">
        <v>10</v>
      </c>
      <c r="AH2513" t="n">
        <v>10</v>
      </c>
      <c r="AI2513" t="n">
        <v>10</v>
      </c>
      <c r="AJ2513" t="n">
        <v>22</v>
      </c>
      <c r="AK2513" t="n">
        <v>22</v>
      </c>
      <c r="AL2513" t="n">
        <v>2</v>
      </c>
      <c r="AM2513" t="n">
        <v>2</v>
      </c>
      <c r="AN2513" t="n">
        <v>0</v>
      </c>
      <c r="AO2513" t="n">
        <v>0</v>
      </c>
      <c r="AP2513" t="inlineStr">
        <is>
          <t>No</t>
        </is>
      </c>
      <c r="AQ2513" t="inlineStr">
        <is>
          <t>No</t>
        </is>
      </c>
      <c r="AR2513">
        <f>HYPERLINK("http://catalog.hathitrust.org/Record/001592243","HathiTrust Record")</f>
        <v/>
      </c>
      <c r="AS2513">
        <f>HYPERLINK("https://creighton-primo.hosted.exlibrisgroup.com/primo-explore/search?tab=default_tab&amp;search_scope=EVERYTHING&amp;vid=01CRU&amp;lang=en_US&amp;offset=0&amp;query=any,contains,991004285309702656","Catalog Record")</f>
        <v/>
      </c>
      <c r="AT2513">
        <f>HYPERLINK("http://www.worldcat.org/oclc/2923018","WorldCat Record")</f>
        <v/>
      </c>
      <c r="AU2513" t="inlineStr">
        <is>
          <t>2869494286:eng</t>
        </is>
      </c>
      <c r="AV2513" t="inlineStr">
        <is>
          <t>2923018</t>
        </is>
      </c>
      <c r="AW2513" t="inlineStr">
        <is>
          <t>991004285309702656</t>
        </is>
      </c>
      <c r="AX2513" t="inlineStr">
        <is>
          <t>991004285309702656</t>
        </is>
      </c>
      <c r="AY2513" t="inlineStr">
        <is>
          <t>2266307080002656</t>
        </is>
      </c>
      <c r="AZ2513" t="inlineStr">
        <is>
          <t>BOOK</t>
        </is>
      </c>
      <c r="BC2513" t="inlineStr">
        <is>
          <t>32285000130327</t>
        </is>
      </c>
      <c r="BD2513" t="inlineStr">
        <is>
          <t>893882291</t>
        </is>
      </c>
    </row>
    <row r="2514">
      <c r="A2514" t="inlineStr">
        <is>
          <t>No</t>
        </is>
      </c>
      <c r="B2514" t="inlineStr">
        <is>
          <t>BX4705.S612 A25 1969</t>
        </is>
      </c>
      <c r="C2514" t="inlineStr">
        <is>
          <t>0                      BX 4705000S  612                A  25          1969</t>
        </is>
      </c>
      <c r="D2514" t="inlineStr">
        <is>
          <t>The wit and wisdom of Bishop Fulton J. Sheen / edited by Bill Adler.</t>
        </is>
      </c>
      <c r="F2514" t="inlineStr">
        <is>
          <t>No</t>
        </is>
      </c>
      <c r="G2514" t="inlineStr">
        <is>
          <t>1</t>
        </is>
      </c>
      <c r="H2514" t="inlineStr">
        <is>
          <t>No</t>
        </is>
      </c>
      <c r="I2514" t="inlineStr">
        <is>
          <t>No</t>
        </is>
      </c>
      <c r="J2514" t="inlineStr">
        <is>
          <t>0</t>
        </is>
      </c>
      <c r="K2514" t="inlineStr">
        <is>
          <t>Sheen, Fulton J. (Fulton John), 1895-1979.</t>
        </is>
      </c>
      <c r="L2514" t="inlineStr">
        <is>
          <t>Garden City, N.Y. : Image Books, [1969]</t>
        </is>
      </c>
      <c r="M2514" t="inlineStr">
        <is>
          <t>1969</t>
        </is>
      </c>
      <c r="O2514" t="inlineStr">
        <is>
          <t>eng</t>
        </is>
      </c>
      <c r="P2514" t="inlineStr">
        <is>
          <t>nyu</t>
        </is>
      </c>
      <c r="R2514" t="inlineStr">
        <is>
          <t xml:space="preserve">BX </t>
        </is>
      </c>
      <c r="S2514" t="n">
        <v>2</v>
      </c>
      <c r="T2514" t="n">
        <v>2</v>
      </c>
      <c r="U2514" t="inlineStr">
        <is>
          <t>2008-06-13</t>
        </is>
      </c>
      <c r="V2514" t="inlineStr">
        <is>
          <t>2008-06-13</t>
        </is>
      </c>
      <c r="W2514" t="inlineStr">
        <is>
          <t>2007-11-15</t>
        </is>
      </c>
      <c r="X2514" t="inlineStr">
        <is>
          <t>2007-11-15</t>
        </is>
      </c>
      <c r="Y2514" t="n">
        <v>61</v>
      </c>
      <c r="Z2514" t="n">
        <v>57</v>
      </c>
      <c r="AA2514" t="n">
        <v>292</v>
      </c>
      <c r="AB2514" t="n">
        <v>1</v>
      </c>
      <c r="AC2514" t="n">
        <v>3</v>
      </c>
      <c r="AD2514" t="n">
        <v>6</v>
      </c>
      <c r="AE2514" t="n">
        <v>9</v>
      </c>
      <c r="AF2514" t="n">
        <v>1</v>
      </c>
      <c r="AG2514" t="n">
        <v>2</v>
      </c>
      <c r="AH2514" t="n">
        <v>4</v>
      </c>
      <c r="AI2514" t="n">
        <v>4</v>
      </c>
      <c r="AJ2514" t="n">
        <v>3</v>
      </c>
      <c r="AK2514" t="n">
        <v>5</v>
      </c>
      <c r="AL2514" t="n">
        <v>0</v>
      </c>
      <c r="AM2514" t="n">
        <v>0</v>
      </c>
      <c r="AN2514" t="n">
        <v>0</v>
      </c>
      <c r="AO2514" t="n">
        <v>0</v>
      </c>
      <c r="AP2514" t="inlineStr">
        <is>
          <t>No</t>
        </is>
      </c>
      <c r="AQ2514" t="inlineStr">
        <is>
          <t>No</t>
        </is>
      </c>
      <c r="AS2514">
        <f>HYPERLINK("https://creighton-primo.hosted.exlibrisgroup.com/primo-explore/search?tab=default_tab&amp;search_scope=EVERYTHING&amp;vid=01CRU&amp;lang=en_US&amp;offset=0&amp;query=any,contains,991005150189702656","Catalog Record")</f>
        <v/>
      </c>
      <c r="AT2514">
        <f>HYPERLINK("http://www.worldcat.org/oclc/33507","WorldCat Record")</f>
        <v/>
      </c>
      <c r="AU2514" t="inlineStr">
        <is>
          <t>453384:eng</t>
        </is>
      </c>
      <c r="AV2514" t="inlineStr">
        <is>
          <t>33507</t>
        </is>
      </c>
      <c r="AW2514" t="inlineStr">
        <is>
          <t>991005150189702656</t>
        </is>
      </c>
      <c r="AX2514" t="inlineStr">
        <is>
          <t>991005150189702656</t>
        </is>
      </c>
      <c r="AY2514" t="inlineStr">
        <is>
          <t>2261268710002656</t>
        </is>
      </c>
      <c r="AZ2514" t="inlineStr">
        <is>
          <t>BOOK</t>
        </is>
      </c>
      <c r="BB2514" t="inlineStr">
        <is>
          <t>9780385026918</t>
        </is>
      </c>
      <c r="BC2514" t="inlineStr">
        <is>
          <t>32285005367288</t>
        </is>
      </c>
      <c r="BD2514" t="inlineStr">
        <is>
          <t>893688678</t>
        </is>
      </c>
    </row>
    <row r="2515">
      <c r="A2515" t="inlineStr">
        <is>
          <t>No</t>
        </is>
      </c>
      <c r="B2515" t="inlineStr">
        <is>
          <t>BX4705.S6143 D8 1959</t>
        </is>
      </c>
      <c r="C2515" t="inlineStr">
        <is>
          <t>0                      BX 4705000S  6143               D  8           1959</t>
        </is>
      </c>
      <c r="D2515" t="inlineStr">
        <is>
          <t>General Sherman's son.</t>
        </is>
      </c>
      <c r="F2515" t="inlineStr">
        <is>
          <t>No</t>
        </is>
      </c>
      <c r="G2515" t="inlineStr">
        <is>
          <t>1</t>
        </is>
      </c>
      <c r="H2515" t="inlineStr">
        <is>
          <t>No</t>
        </is>
      </c>
      <c r="I2515" t="inlineStr">
        <is>
          <t>No</t>
        </is>
      </c>
      <c r="J2515" t="inlineStr">
        <is>
          <t>0</t>
        </is>
      </c>
      <c r="K2515" t="inlineStr">
        <is>
          <t>Durkin, Joseph T. (Joseph Thomas), 1903-2003.</t>
        </is>
      </c>
      <c r="L2515" t="inlineStr">
        <is>
          <t>New York : Farrar, Straus and Cudahy, [1959]</t>
        </is>
      </c>
      <c r="M2515" t="inlineStr">
        <is>
          <t>1959</t>
        </is>
      </c>
      <c r="O2515" t="inlineStr">
        <is>
          <t>eng</t>
        </is>
      </c>
      <c r="P2515" t="inlineStr">
        <is>
          <t>nyu</t>
        </is>
      </c>
      <c r="R2515" t="inlineStr">
        <is>
          <t xml:space="preserve">BX </t>
        </is>
      </c>
      <c r="S2515" t="n">
        <v>4</v>
      </c>
      <c r="T2515" t="n">
        <v>4</v>
      </c>
      <c r="U2515" t="inlineStr">
        <is>
          <t>1995-06-28</t>
        </is>
      </c>
      <c r="V2515" t="inlineStr">
        <is>
          <t>1995-06-28</t>
        </is>
      </c>
      <c r="W2515" t="inlineStr">
        <is>
          <t>1992-04-02</t>
        </is>
      </c>
      <c r="X2515" t="inlineStr">
        <is>
          <t>1992-04-02</t>
        </is>
      </c>
      <c r="Y2515" t="n">
        <v>365</v>
      </c>
      <c r="Z2515" t="n">
        <v>351</v>
      </c>
      <c r="AA2515" t="n">
        <v>370</v>
      </c>
      <c r="AB2515" t="n">
        <v>2</v>
      </c>
      <c r="AC2515" t="n">
        <v>2</v>
      </c>
      <c r="AD2515" t="n">
        <v>33</v>
      </c>
      <c r="AE2515" t="n">
        <v>33</v>
      </c>
      <c r="AF2515" t="n">
        <v>11</v>
      </c>
      <c r="AG2515" t="n">
        <v>11</v>
      </c>
      <c r="AH2515" t="n">
        <v>9</v>
      </c>
      <c r="AI2515" t="n">
        <v>9</v>
      </c>
      <c r="AJ2515" t="n">
        <v>25</v>
      </c>
      <c r="AK2515" t="n">
        <v>25</v>
      </c>
      <c r="AL2515" t="n">
        <v>1</v>
      </c>
      <c r="AM2515" t="n">
        <v>1</v>
      </c>
      <c r="AN2515" t="n">
        <v>0</v>
      </c>
      <c r="AO2515" t="n">
        <v>0</v>
      </c>
      <c r="AP2515" t="inlineStr">
        <is>
          <t>Yes</t>
        </is>
      </c>
      <c r="AQ2515" t="inlineStr">
        <is>
          <t>No</t>
        </is>
      </c>
      <c r="AR2515">
        <f>HYPERLINK("http://catalog.hathitrust.org/Record/005946193","HathiTrust Record")</f>
        <v/>
      </c>
      <c r="AS2515">
        <f>HYPERLINK("https://creighton-primo.hosted.exlibrisgroup.com/primo-explore/search?tab=default_tab&amp;search_scope=EVERYTHING&amp;vid=01CRU&amp;lang=en_US&amp;offset=0&amp;query=any,contains,991003498919702656","Catalog Record")</f>
        <v/>
      </c>
      <c r="AT2515">
        <f>HYPERLINK("http://www.worldcat.org/oclc/1050699","WorldCat Record")</f>
        <v/>
      </c>
      <c r="AU2515" t="inlineStr">
        <is>
          <t>1960286:eng</t>
        </is>
      </c>
      <c r="AV2515" t="inlineStr">
        <is>
          <t>1050699</t>
        </is>
      </c>
      <c r="AW2515" t="inlineStr">
        <is>
          <t>991003498919702656</t>
        </is>
      </c>
      <c r="AX2515" t="inlineStr">
        <is>
          <t>991003498919702656</t>
        </is>
      </c>
      <c r="AY2515" t="inlineStr">
        <is>
          <t>2267649480002656</t>
        </is>
      </c>
      <c r="AZ2515" t="inlineStr">
        <is>
          <t>BOOK</t>
        </is>
      </c>
      <c r="BC2515" t="inlineStr">
        <is>
          <t>32285001047918</t>
        </is>
      </c>
      <c r="BD2515" t="inlineStr">
        <is>
          <t>893512008</t>
        </is>
      </c>
    </row>
    <row r="2516">
      <c r="A2516" t="inlineStr">
        <is>
          <t>No</t>
        </is>
      </c>
      <c r="B2516" t="inlineStr">
        <is>
          <t>BX4705.S615 K3 1945</t>
        </is>
      </c>
      <c r="C2516" t="inlineStr">
        <is>
          <t>0                      BX 4705000S  615                K  3           1945</t>
        </is>
      </c>
      <c r="D2516" t="inlineStr">
        <is>
          <t>Cornelius Shyne, S.J. / by W. Kane.</t>
        </is>
      </c>
      <c r="F2516" t="inlineStr">
        <is>
          <t>No</t>
        </is>
      </c>
      <c r="G2516" t="inlineStr">
        <is>
          <t>1</t>
        </is>
      </c>
      <c r="H2516" t="inlineStr">
        <is>
          <t>No</t>
        </is>
      </c>
      <c r="I2516" t="inlineStr">
        <is>
          <t>No</t>
        </is>
      </c>
      <c r="J2516" t="inlineStr">
        <is>
          <t>0</t>
        </is>
      </c>
      <c r="K2516" t="inlineStr">
        <is>
          <t>Kane, William T. (William Terence), 1880-1946.</t>
        </is>
      </c>
      <c r="L2516" t="inlineStr">
        <is>
          <t>Chicago : Cudahy Library, Loyola University, 1945.</t>
        </is>
      </c>
      <c r="M2516" t="inlineStr">
        <is>
          <t>1945</t>
        </is>
      </c>
      <c r="O2516" t="inlineStr">
        <is>
          <t>eng</t>
        </is>
      </c>
      <c r="P2516" t="inlineStr">
        <is>
          <t>ilu</t>
        </is>
      </c>
      <c r="R2516" t="inlineStr">
        <is>
          <t xml:space="preserve">BX </t>
        </is>
      </c>
      <c r="S2516" t="n">
        <v>3</v>
      </c>
      <c r="T2516" t="n">
        <v>3</v>
      </c>
      <c r="U2516" t="inlineStr">
        <is>
          <t>2000-01-20</t>
        </is>
      </c>
      <c r="V2516" t="inlineStr">
        <is>
          <t>2000-01-20</t>
        </is>
      </c>
      <c r="W2516" t="inlineStr">
        <is>
          <t>1992-04-02</t>
        </is>
      </c>
      <c r="X2516" t="inlineStr">
        <is>
          <t>1992-04-02</t>
        </is>
      </c>
      <c r="Y2516" t="n">
        <v>29</v>
      </c>
      <c r="Z2516" t="n">
        <v>27</v>
      </c>
      <c r="AA2516" t="n">
        <v>27</v>
      </c>
      <c r="AB2516" t="n">
        <v>1</v>
      </c>
      <c r="AC2516" t="n">
        <v>1</v>
      </c>
      <c r="AD2516" t="n">
        <v>15</v>
      </c>
      <c r="AE2516" t="n">
        <v>15</v>
      </c>
      <c r="AF2516" t="n">
        <v>3</v>
      </c>
      <c r="AG2516" t="n">
        <v>3</v>
      </c>
      <c r="AH2516" t="n">
        <v>2</v>
      </c>
      <c r="AI2516" t="n">
        <v>2</v>
      </c>
      <c r="AJ2516" t="n">
        <v>15</v>
      </c>
      <c r="AK2516" t="n">
        <v>15</v>
      </c>
      <c r="AL2516" t="n">
        <v>0</v>
      </c>
      <c r="AM2516" t="n">
        <v>0</v>
      </c>
      <c r="AN2516" t="n">
        <v>0</v>
      </c>
      <c r="AO2516" t="n">
        <v>0</v>
      </c>
      <c r="AP2516" t="inlineStr">
        <is>
          <t>No</t>
        </is>
      </c>
      <c r="AQ2516" t="inlineStr">
        <is>
          <t>No</t>
        </is>
      </c>
      <c r="AS2516">
        <f>HYPERLINK("https://creighton-primo.hosted.exlibrisgroup.com/primo-explore/search?tab=default_tab&amp;search_scope=EVERYTHING&amp;vid=01CRU&amp;lang=en_US&amp;offset=0&amp;query=any,contains,991000615139702656","Catalog Record")</f>
        <v/>
      </c>
      <c r="AT2516">
        <f>HYPERLINK("http://www.worldcat.org/oclc/11925691","WorldCat Record")</f>
        <v/>
      </c>
      <c r="AU2516" t="inlineStr">
        <is>
          <t>8933789094:eng</t>
        </is>
      </c>
      <c r="AV2516" t="inlineStr">
        <is>
          <t>11925691</t>
        </is>
      </c>
      <c r="AW2516" t="inlineStr">
        <is>
          <t>991000615139702656</t>
        </is>
      </c>
      <c r="AX2516" t="inlineStr">
        <is>
          <t>991000615139702656</t>
        </is>
      </c>
      <c r="AY2516" t="inlineStr">
        <is>
          <t>2269877660002656</t>
        </is>
      </c>
      <c r="AZ2516" t="inlineStr">
        <is>
          <t>BOOK</t>
        </is>
      </c>
      <c r="BC2516" t="inlineStr">
        <is>
          <t>32285001047926</t>
        </is>
      </c>
      <c r="BD2516" t="inlineStr">
        <is>
          <t>893695993</t>
        </is>
      </c>
    </row>
    <row r="2517">
      <c r="A2517" t="inlineStr">
        <is>
          <t>No</t>
        </is>
      </c>
      <c r="B2517" t="inlineStr">
        <is>
          <t>BX4705.S72 B36 1988</t>
        </is>
      </c>
      <c r="C2517" t="inlineStr">
        <is>
          <t>0                      BX 4705000S  72                 B  36          1988</t>
        </is>
      </c>
      <c r="D2517" t="inlineStr">
        <is>
          <t>John Lancaster Spalding, Catholic educator and social emissary / Robert N. Barger.</t>
        </is>
      </c>
      <c r="F2517" t="inlineStr">
        <is>
          <t>No</t>
        </is>
      </c>
      <c r="G2517" t="inlineStr">
        <is>
          <t>1</t>
        </is>
      </c>
      <c r="H2517" t="inlineStr">
        <is>
          <t>No</t>
        </is>
      </c>
      <c r="I2517" t="inlineStr">
        <is>
          <t>No</t>
        </is>
      </c>
      <c r="J2517" t="inlineStr">
        <is>
          <t>0</t>
        </is>
      </c>
      <c r="K2517" t="inlineStr">
        <is>
          <t>Barger, Robert N.</t>
        </is>
      </c>
      <c r="L2517" t="inlineStr">
        <is>
          <t>New York : Garland, 1988.</t>
        </is>
      </c>
      <c r="M2517" t="inlineStr">
        <is>
          <t>1988</t>
        </is>
      </c>
      <c r="O2517" t="inlineStr">
        <is>
          <t>eng</t>
        </is>
      </c>
      <c r="P2517" t="inlineStr">
        <is>
          <t>nyu</t>
        </is>
      </c>
      <c r="Q2517" t="inlineStr">
        <is>
          <t>The Heritage of American Catholicism</t>
        </is>
      </c>
      <c r="R2517" t="inlineStr">
        <is>
          <t xml:space="preserve">BX </t>
        </is>
      </c>
      <c r="S2517" t="n">
        <v>1</v>
      </c>
      <c r="T2517" t="n">
        <v>1</v>
      </c>
      <c r="U2517" t="inlineStr">
        <is>
          <t>1993-02-17</t>
        </is>
      </c>
      <c r="V2517" t="inlineStr">
        <is>
          <t>1993-02-17</t>
        </is>
      </c>
      <c r="W2517" t="inlineStr">
        <is>
          <t>1992-04-03</t>
        </is>
      </c>
      <c r="X2517" t="inlineStr">
        <is>
          <t>1992-04-03</t>
        </is>
      </c>
      <c r="Y2517" t="n">
        <v>124</v>
      </c>
      <c r="Z2517" t="n">
        <v>112</v>
      </c>
      <c r="AA2517" t="n">
        <v>116</v>
      </c>
      <c r="AB2517" t="n">
        <v>2</v>
      </c>
      <c r="AC2517" t="n">
        <v>2</v>
      </c>
      <c r="AD2517" t="n">
        <v>22</v>
      </c>
      <c r="AE2517" t="n">
        <v>22</v>
      </c>
      <c r="AF2517" t="n">
        <v>8</v>
      </c>
      <c r="AG2517" t="n">
        <v>8</v>
      </c>
      <c r="AH2517" t="n">
        <v>4</v>
      </c>
      <c r="AI2517" t="n">
        <v>4</v>
      </c>
      <c r="AJ2517" t="n">
        <v>15</v>
      </c>
      <c r="AK2517" t="n">
        <v>15</v>
      </c>
      <c r="AL2517" t="n">
        <v>1</v>
      </c>
      <c r="AM2517" t="n">
        <v>1</v>
      </c>
      <c r="AN2517" t="n">
        <v>0</v>
      </c>
      <c r="AO2517" t="n">
        <v>0</v>
      </c>
      <c r="AP2517" t="inlineStr">
        <is>
          <t>No</t>
        </is>
      </c>
      <c r="AQ2517" t="inlineStr">
        <is>
          <t>No</t>
        </is>
      </c>
      <c r="AS2517">
        <f>HYPERLINK("https://creighton-primo.hosted.exlibrisgroup.com/primo-explore/search?tab=default_tab&amp;search_scope=EVERYTHING&amp;vid=01CRU&amp;lang=en_US&amp;offset=0&amp;query=any,contains,991001257029702656","Catalog Record")</f>
        <v/>
      </c>
      <c r="AT2517">
        <f>HYPERLINK("http://www.worldcat.org/oclc/17732275","WorldCat Record")</f>
        <v/>
      </c>
      <c r="AU2517" t="inlineStr">
        <is>
          <t>227891144:eng</t>
        </is>
      </c>
      <c r="AV2517" t="inlineStr">
        <is>
          <t>17732275</t>
        </is>
      </c>
      <c r="AW2517" t="inlineStr">
        <is>
          <t>991001257029702656</t>
        </is>
      </c>
      <c r="AX2517" t="inlineStr">
        <is>
          <t>991001257029702656</t>
        </is>
      </c>
      <c r="AY2517" t="inlineStr">
        <is>
          <t>2271000160002656</t>
        </is>
      </c>
      <c r="AZ2517" t="inlineStr">
        <is>
          <t>BOOK</t>
        </is>
      </c>
      <c r="BB2517" t="inlineStr">
        <is>
          <t>9780824040857</t>
        </is>
      </c>
      <c r="BC2517" t="inlineStr">
        <is>
          <t>32285001047975</t>
        </is>
      </c>
      <c r="BD2517" t="inlineStr">
        <is>
          <t>893866089</t>
        </is>
      </c>
    </row>
    <row r="2518">
      <c r="A2518" t="inlineStr">
        <is>
          <t>No</t>
        </is>
      </c>
      <c r="B2518" t="inlineStr">
        <is>
          <t>BX4705.S72 E4 1961</t>
        </is>
      </c>
      <c r="C2518" t="inlineStr">
        <is>
          <t>0                      BX 4705000S  72                 E  4           1961</t>
        </is>
      </c>
      <c r="D2518" t="inlineStr">
        <is>
          <t>John Lancaster Spalding, first bishop of Peoria, American educator.</t>
        </is>
      </c>
      <c r="F2518" t="inlineStr">
        <is>
          <t>No</t>
        </is>
      </c>
      <c r="G2518" t="inlineStr">
        <is>
          <t>1</t>
        </is>
      </c>
      <c r="H2518" t="inlineStr">
        <is>
          <t>No</t>
        </is>
      </c>
      <c r="I2518" t="inlineStr">
        <is>
          <t>No</t>
        </is>
      </c>
      <c r="J2518" t="inlineStr">
        <is>
          <t>0</t>
        </is>
      </c>
      <c r="K2518" t="inlineStr">
        <is>
          <t>Ellis, John Tracy, 1905-1992.</t>
        </is>
      </c>
      <c r="L2518" t="inlineStr">
        <is>
          <t>Milwaukee : Bruce Pub. Co., 1961.</t>
        </is>
      </c>
      <c r="M2518" t="inlineStr">
        <is>
          <t>1961</t>
        </is>
      </c>
      <c r="O2518" t="inlineStr">
        <is>
          <t>eng</t>
        </is>
      </c>
      <c r="P2518" t="inlineStr">
        <is>
          <t xml:space="preserve">xx </t>
        </is>
      </c>
      <c r="Q2518" t="inlineStr">
        <is>
          <t>The Gabriel Richard lecture</t>
        </is>
      </c>
      <c r="R2518" t="inlineStr">
        <is>
          <t xml:space="preserve">BX </t>
        </is>
      </c>
      <c r="S2518" t="n">
        <v>1</v>
      </c>
      <c r="T2518" t="n">
        <v>1</v>
      </c>
      <c r="U2518" t="inlineStr">
        <is>
          <t>1993-02-17</t>
        </is>
      </c>
      <c r="V2518" t="inlineStr">
        <is>
          <t>1993-02-17</t>
        </is>
      </c>
      <c r="W2518" t="inlineStr">
        <is>
          <t>1992-04-03</t>
        </is>
      </c>
      <c r="X2518" t="inlineStr">
        <is>
          <t>1992-04-03</t>
        </is>
      </c>
      <c r="Y2518" t="n">
        <v>252</v>
      </c>
      <c r="Z2518" t="n">
        <v>236</v>
      </c>
      <c r="AA2518" t="n">
        <v>262</v>
      </c>
      <c r="AB2518" t="n">
        <v>3</v>
      </c>
      <c r="AC2518" t="n">
        <v>3</v>
      </c>
      <c r="AD2518" t="n">
        <v>31</v>
      </c>
      <c r="AE2518" t="n">
        <v>31</v>
      </c>
      <c r="AF2518" t="n">
        <v>11</v>
      </c>
      <c r="AG2518" t="n">
        <v>11</v>
      </c>
      <c r="AH2518" t="n">
        <v>8</v>
      </c>
      <c r="AI2518" t="n">
        <v>8</v>
      </c>
      <c r="AJ2518" t="n">
        <v>23</v>
      </c>
      <c r="AK2518" t="n">
        <v>23</v>
      </c>
      <c r="AL2518" t="n">
        <v>0</v>
      </c>
      <c r="AM2518" t="n">
        <v>0</v>
      </c>
      <c r="AN2518" t="n">
        <v>0</v>
      </c>
      <c r="AO2518" t="n">
        <v>0</v>
      </c>
      <c r="AP2518" t="inlineStr">
        <is>
          <t>No</t>
        </is>
      </c>
      <c r="AQ2518" t="inlineStr">
        <is>
          <t>No</t>
        </is>
      </c>
      <c r="AR2518">
        <f>HYPERLINK("http://catalog.hathitrust.org/Record/005946196","HathiTrust Record")</f>
        <v/>
      </c>
      <c r="AS2518">
        <f>HYPERLINK("https://creighton-primo.hosted.exlibrisgroup.com/primo-explore/search?tab=default_tab&amp;search_scope=EVERYTHING&amp;vid=01CRU&amp;lang=en_US&amp;offset=0&amp;query=any,contains,991003281859702656","Catalog Record")</f>
        <v/>
      </c>
      <c r="AT2518">
        <f>HYPERLINK("http://www.worldcat.org/oclc/804168","WorldCat Record")</f>
        <v/>
      </c>
      <c r="AU2518" t="inlineStr">
        <is>
          <t>135946496:eng</t>
        </is>
      </c>
      <c r="AV2518" t="inlineStr">
        <is>
          <t>804168</t>
        </is>
      </c>
      <c r="AW2518" t="inlineStr">
        <is>
          <t>991003281859702656</t>
        </is>
      </c>
      <c r="AX2518" t="inlineStr">
        <is>
          <t>991003281859702656</t>
        </is>
      </c>
      <c r="AY2518" t="inlineStr">
        <is>
          <t>2269526960002656</t>
        </is>
      </c>
      <c r="AZ2518" t="inlineStr">
        <is>
          <t>BOOK</t>
        </is>
      </c>
      <c r="BC2518" t="inlineStr">
        <is>
          <t>32285001047983</t>
        </is>
      </c>
      <c r="BD2518" t="inlineStr">
        <is>
          <t>893874609</t>
        </is>
      </c>
    </row>
    <row r="2519">
      <c r="A2519" t="inlineStr">
        <is>
          <t>No</t>
        </is>
      </c>
      <c r="B2519" t="inlineStr">
        <is>
          <t>BX4705.S73 S9 1966</t>
        </is>
      </c>
      <c r="C2519" t="inlineStr">
        <is>
          <t>0                      BX 4705000S  73                 S  9           1966</t>
        </is>
      </c>
      <c r="D2519" t="inlineStr">
        <is>
          <t>The Life of John Lancaster Spalding : first Bishop of Peoria, 1840-1916 / David Francis Sweeney.</t>
        </is>
      </c>
      <c r="F2519" t="inlineStr">
        <is>
          <t>No</t>
        </is>
      </c>
      <c r="G2519" t="inlineStr">
        <is>
          <t>1</t>
        </is>
      </c>
      <c r="H2519" t="inlineStr">
        <is>
          <t>No</t>
        </is>
      </c>
      <c r="I2519" t="inlineStr">
        <is>
          <t>No</t>
        </is>
      </c>
      <c r="J2519" t="inlineStr">
        <is>
          <t>0</t>
        </is>
      </c>
      <c r="K2519" t="inlineStr">
        <is>
          <t>Sweeney, David Francis.</t>
        </is>
      </c>
      <c r="L2519" t="inlineStr">
        <is>
          <t>New York : Herder and Herder, 1966, c1965.</t>
        </is>
      </c>
      <c r="M2519" t="inlineStr">
        <is>
          <t>1966</t>
        </is>
      </c>
      <c r="O2519" t="inlineStr">
        <is>
          <t>eng</t>
        </is>
      </c>
      <c r="P2519" t="inlineStr">
        <is>
          <t>nyu</t>
        </is>
      </c>
      <c r="Q2519" t="inlineStr">
        <is>
          <t>Makers of American Catholicism ; v. 1</t>
        </is>
      </c>
      <c r="R2519" t="inlineStr">
        <is>
          <t xml:space="preserve">BX </t>
        </is>
      </c>
      <c r="S2519" t="n">
        <v>1</v>
      </c>
      <c r="T2519" t="n">
        <v>1</v>
      </c>
      <c r="U2519" t="inlineStr">
        <is>
          <t>1993-02-17</t>
        </is>
      </c>
      <c r="V2519" t="inlineStr">
        <is>
          <t>1993-02-17</t>
        </is>
      </c>
      <c r="W2519" t="inlineStr">
        <is>
          <t>1992-04-03</t>
        </is>
      </c>
      <c r="X2519" t="inlineStr">
        <is>
          <t>1992-04-03</t>
        </is>
      </c>
      <c r="Y2519" t="n">
        <v>183</v>
      </c>
      <c r="Z2519" t="n">
        <v>175</v>
      </c>
      <c r="AA2519" t="n">
        <v>256</v>
      </c>
      <c r="AB2519" t="n">
        <v>4</v>
      </c>
      <c r="AC2519" t="n">
        <v>4</v>
      </c>
      <c r="AD2519" t="n">
        <v>23</v>
      </c>
      <c r="AE2519" t="n">
        <v>32</v>
      </c>
      <c r="AF2519" t="n">
        <v>6</v>
      </c>
      <c r="AG2519" t="n">
        <v>10</v>
      </c>
      <c r="AH2519" t="n">
        <v>7</v>
      </c>
      <c r="AI2519" t="n">
        <v>9</v>
      </c>
      <c r="AJ2519" t="n">
        <v>16</v>
      </c>
      <c r="AK2519" t="n">
        <v>23</v>
      </c>
      <c r="AL2519" t="n">
        <v>1</v>
      </c>
      <c r="AM2519" t="n">
        <v>1</v>
      </c>
      <c r="AN2519" t="n">
        <v>0</v>
      </c>
      <c r="AO2519" t="n">
        <v>0</v>
      </c>
      <c r="AP2519" t="inlineStr">
        <is>
          <t>No</t>
        </is>
      </c>
      <c r="AQ2519" t="inlineStr">
        <is>
          <t>Yes</t>
        </is>
      </c>
      <c r="AR2519">
        <f>HYPERLINK("http://catalog.hathitrust.org/Record/006923131","HathiTrust Record")</f>
        <v/>
      </c>
      <c r="AS2519">
        <f>HYPERLINK("https://creighton-primo.hosted.exlibrisgroup.com/primo-explore/search?tab=default_tab&amp;search_scope=EVERYTHING&amp;vid=01CRU&amp;lang=en_US&amp;offset=0&amp;query=any,contains,991004908219702656","Catalog Record")</f>
        <v/>
      </c>
      <c r="AT2519">
        <f>HYPERLINK("http://www.worldcat.org/oclc/5968718","WorldCat Record")</f>
        <v/>
      </c>
      <c r="AU2519" t="inlineStr">
        <is>
          <t>7091921:eng</t>
        </is>
      </c>
      <c r="AV2519" t="inlineStr">
        <is>
          <t>5968718</t>
        </is>
      </c>
      <c r="AW2519" t="inlineStr">
        <is>
          <t>991004908219702656</t>
        </is>
      </c>
      <c r="AX2519" t="inlineStr">
        <is>
          <t>991004908219702656</t>
        </is>
      </c>
      <c r="AY2519" t="inlineStr">
        <is>
          <t>2269968970002656</t>
        </is>
      </c>
      <c r="AZ2519" t="inlineStr">
        <is>
          <t>BOOK</t>
        </is>
      </c>
      <c r="BC2519" t="inlineStr">
        <is>
          <t>32285001047991</t>
        </is>
      </c>
      <c r="BD2519" t="inlineStr">
        <is>
          <t>893424331</t>
        </is>
      </c>
    </row>
    <row r="2520">
      <c r="A2520" t="inlineStr">
        <is>
          <t>No</t>
        </is>
      </c>
      <c r="B2520" t="inlineStr">
        <is>
          <t>BX4705.S812 O2 1964</t>
        </is>
      </c>
      <c r="C2520" t="inlineStr">
        <is>
          <t>0                      BX 4705000S  812                O  2           1964</t>
        </is>
      </c>
      <c r="D2520" t="inlineStr">
        <is>
          <t>Thomas Stapleton and the Counter Reformation.</t>
        </is>
      </c>
      <c r="F2520" t="inlineStr">
        <is>
          <t>No</t>
        </is>
      </c>
      <c r="G2520" t="inlineStr">
        <is>
          <t>1</t>
        </is>
      </c>
      <c r="H2520" t="inlineStr">
        <is>
          <t>No</t>
        </is>
      </c>
      <c r="I2520" t="inlineStr">
        <is>
          <t>No</t>
        </is>
      </c>
      <c r="J2520" t="inlineStr">
        <is>
          <t>0</t>
        </is>
      </c>
      <c r="K2520" t="inlineStr">
        <is>
          <t>O'Connell, Marvin R., 1930-2016.</t>
        </is>
      </c>
      <c r="L2520" t="inlineStr">
        <is>
          <t>New Haven : Yale University Press, 1964.</t>
        </is>
      </c>
      <c r="M2520" t="inlineStr">
        <is>
          <t>1964</t>
        </is>
      </c>
      <c r="O2520" t="inlineStr">
        <is>
          <t>eng</t>
        </is>
      </c>
      <c r="P2520" t="inlineStr">
        <is>
          <t xml:space="preserve">xx </t>
        </is>
      </c>
      <c r="Q2520" t="inlineStr">
        <is>
          <t>Yale publications in religion ; 9</t>
        </is>
      </c>
      <c r="R2520" t="inlineStr">
        <is>
          <t xml:space="preserve">BX </t>
        </is>
      </c>
      <c r="S2520" t="n">
        <v>2</v>
      </c>
      <c r="T2520" t="n">
        <v>2</v>
      </c>
      <c r="U2520" t="inlineStr">
        <is>
          <t>1997-02-08</t>
        </is>
      </c>
      <c r="V2520" t="inlineStr">
        <is>
          <t>1997-02-08</t>
        </is>
      </c>
      <c r="W2520" t="inlineStr">
        <is>
          <t>1992-04-03</t>
        </is>
      </c>
      <c r="X2520" t="inlineStr">
        <is>
          <t>1992-04-03</t>
        </is>
      </c>
      <c r="Y2520" t="n">
        <v>566</v>
      </c>
      <c r="Z2520" t="n">
        <v>481</v>
      </c>
      <c r="AA2520" t="n">
        <v>490</v>
      </c>
      <c r="AB2520" t="n">
        <v>5</v>
      </c>
      <c r="AC2520" t="n">
        <v>5</v>
      </c>
      <c r="AD2520" t="n">
        <v>33</v>
      </c>
      <c r="AE2520" t="n">
        <v>33</v>
      </c>
      <c r="AF2520" t="n">
        <v>11</v>
      </c>
      <c r="AG2520" t="n">
        <v>11</v>
      </c>
      <c r="AH2520" t="n">
        <v>7</v>
      </c>
      <c r="AI2520" t="n">
        <v>7</v>
      </c>
      <c r="AJ2520" t="n">
        <v>21</v>
      </c>
      <c r="AK2520" t="n">
        <v>21</v>
      </c>
      <c r="AL2520" t="n">
        <v>4</v>
      </c>
      <c r="AM2520" t="n">
        <v>4</v>
      </c>
      <c r="AN2520" t="n">
        <v>0</v>
      </c>
      <c r="AO2520" t="n">
        <v>0</v>
      </c>
      <c r="AP2520" t="inlineStr">
        <is>
          <t>No</t>
        </is>
      </c>
      <c r="AQ2520" t="inlineStr">
        <is>
          <t>Yes</t>
        </is>
      </c>
      <c r="AR2520">
        <f>HYPERLINK("http://catalog.hathitrust.org/Record/001592258","HathiTrust Record")</f>
        <v/>
      </c>
      <c r="AS2520">
        <f>HYPERLINK("https://creighton-primo.hosted.exlibrisgroup.com/primo-explore/search?tab=default_tab&amp;search_scope=EVERYTHING&amp;vid=01CRU&amp;lang=en_US&amp;offset=0&amp;query=any,contains,991003265989702656","Catalog Record")</f>
        <v/>
      </c>
      <c r="AT2520">
        <f>HYPERLINK("http://www.worldcat.org/oclc/792408","WorldCat Record")</f>
        <v/>
      </c>
      <c r="AU2520" t="inlineStr">
        <is>
          <t>1745951:eng</t>
        </is>
      </c>
      <c r="AV2520" t="inlineStr">
        <is>
          <t>792408</t>
        </is>
      </c>
      <c r="AW2520" t="inlineStr">
        <is>
          <t>991003265989702656</t>
        </is>
      </c>
      <c r="AX2520" t="inlineStr">
        <is>
          <t>991003265989702656</t>
        </is>
      </c>
      <c r="AY2520" t="inlineStr">
        <is>
          <t>2262356600002656</t>
        </is>
      </c>
      <c r="AZ2520" t="inlineStr">
        <is>
          <t>BOOK</t>
        </is>
      </c>
      <c r="BC2520" t="inlineStr">
        <is>
          <t>32285001048056</t>
        </is>
      </c>
      <c r="BD2520" t="inlineStr">
        <is>
          <t>893330149</t>
        </is>
      </c>
    </row>
    <row r="2521">
      <c r="A2521" t="inlineStr">
        <is>
          <t>No</t>
        </is>
      </c>
      <c r="B2521" t="inlineStr">
        <is>
          <t>BX4705.S814 F313 1965</t>
        </is>
      </c>
      <c r="C2521" t="inlineStr">
        <is>
          <t>0                      BX 4705000S  814                F  313         1965</t>
        </is>
      </c>
      <c r="D2521" t="inlineStr">
        <is>
          <t>Edith Stein / Jean de Fabreques. [Translated from the French by Donald M. Antoine]</t>
        </is>
      </c>
      <c r="F2521" t="inlineStr">
        <is>
          <t>No</t>
        </is>
      </c>
      <c r="G2521" t="inlineStr">
        <is>
          <t>1</t>
        </is>
      </c>
      <c r="H2521" t="inlineStr">
        <is>
          <t>No</t>
        </is>
      </c>
      <c r="I2521" t="inlineStr">
        <is>
          <t>No</t>
        </is>
      </c>
      <c r="J2521" t="inlineStr">
        <is>
          <t>0</t>
        </is>
      </c>
      <c r="K2521" t="inlineStr">
        <is>
          <t>Fabrègues, Jean de.</t>
        </is>
      </c>
      <c r="L2521" t="inlineStr">
        <is>
          <t>Staten Island, N. Y. : Alba House, [1965]</t>
        </is>
      </c>
      <c r="M2521" t="inlineStr">
        <is>
          <t>1965</t>
        </is>
      </c>
      <c r="O2521" t="inlineStr">
        <is>
          <t>eng</t>
        </is>
      </c>
      <c r="P2521" t="inlineStr">
        <is>
          <t xml:space="preserve">xx </t>
        </is>
      </c>
      <c r="R2521" t="inlineStr">
        <is>
          <t xml:space="preserve">BX </t>
        </is>
      </c>
      <c r="S2521" t="n">
        <v>7</v>
      </c>
      <c r="T2521" t="n">
        <v>7</v>
      </c>
      <c r="U2521" t="inlineStr">
        <is>
          <t>2005-03-17</t>
        </is>
      </c>
      <c r="V2521" t="inlineStr">
        <is>
          <t>2005-03-17</t>
        </is>
      </c>
      <c r="W2521" t="inlineStr">
        <is>
          <t>1992-04-03</t>
        </is>
      </c>
      <c r="X2521" t="inlineStr">
        <is>
          <t>1992-04-03</t>
        </is>
      </c>
      <c r="Y2521" t="n">
        <v>127</v>
      </c>
      <c r="Z2521" t="n">
        <v>112</v>
      </c>
      <c r="AA2521" t="n">
        <v>117</v>
      </c>
      <c r="AB2521" t="n">
        <v>1</v>
      </c>
      <c r="AC2521" t="n">
        <v>1</v>
      </c>
      <c r="AD2521" t="n">
        <v>20</v>
      </c>
      <c r="AE2521" t="n">
        <v>20</v>
      </c>
      <c r="AF2521" t="n">
        <v>6</v>
      </c>
      <c r="AG2521" t="n">
        <v>6</v>
      </c>
      <c r="AH2521" t="n">
        <v>5</v>
      </c>
      <c r="AI2521" t="n">
        <v>5</v>
      </c>
      <c r="AJ2521" t="n">
        <v>16</v>
      </c>
      <c r="AK2521" t="n">
        <v>16</v>
      </c>
      <c r="AL2521" t="n">
        <v>0</v>
      </c>
      <c r="AM2521" t="n">
        <v>0</v>
      </c>
      <c r="AN2521" t="n">
        <v>0</v>
      </c>
      <c r="AO2521" t="n">
        <v>0</v>
      </c>
      <c r="AP2521" t="inlineStr">
        <is>
          <t>No</t>
        </is>
      </c>
      <c r="AQ2521" t="inlineStr">
        <is>
          <t>No</t>
        </is>
      </c>
      <c r="AS2521">
        <f>HYPERLINK("https://creighton-primo.hosted.exlibrisgroup.com/primo-explore/search?tab=default_tab&amp;search_scope=EVERYTHING&amp;vid=01CRU&amp;lang=en_US&amp;offset=0&amp;query=any,contains,991003622109702656","Catalog Record")</f>
        <v/>
      </c>
      <c r="AT2521">
        <f>HYPERLINK("http://www.worldcat.org/oclc/1209982","WorldCat Record")</f>
        <v/>
      </c>
      <c r="AU2521" t="inlineStr">
        <is>
          <t>5453614026:eng</t>
        </is>
      </c>
      <c r="AV2521" t="inlineStr">
        <is>
          <t>1209982</t>
        </is>
      </c>
      <c r="AW2521" t="inlineStr">
        <is>
          <t>991003622109702656</t>
        </is>
      </c>
      <c r="AX2521" t="inlineStr">
        <is>
          <t>991003622109702656</t>
        </is>
      </c>
      <c r="AY2521" t="inlineStr">
        <is>
          <t>2270377490002656</t>
        </is>
      </c>
      <c r="AZ2521" t="inlineStr">
        <is>
          <t>BOOK</t>
        </is>
      </c>
      <c r="BC2521" t="inlineStr">
        <is>
          <t>32285001048064</t>
        </is>
      </c>
      <c r="BD2521" t="inlineStr">
        <is>
          <t>893416596</t>
        </is>
      </c>
    </row>
    <row r="2522">
      <c r="A2522" t="inlineStr">
        <is>
          <t>No</t>
        </is>
      </c>
      <c r="B2522" t="inlineStr">
        <is>
          <t>BX4705.S814 P63 1952</t>
        </is>
      </c>
      <c r="C2522" t="inlineStr">
        <is>
          <t>0                      BX 4705000S  814                P  63          1952</t>
        </is>
      </c>
      <c r="D2522" t="inlineStr">
        <is>
          <t>Edith Stein / by Sister Teresia de Spiritu Sancto ; translated by Cecily Hastings and Donald Nicholl.</t>
        </is>
      </c>
      <c r="F2522" t="inlineStr">
        <is>
          <t>No</t>
        </is>
      </c>
      <c r="G2522" t="inlineStr">
        <is>
          <t>1</t>
        </is>
      </c>
      <c r="H2522" t="inlineStr">
        <is>
          <t>No</t>
        </is>
      </c>
      <c r="I2522" t="inlineStr">
        <is>
          <t>No</t>
        </is>
      </c>
      <c r="J2522" t="inlineStr">
        <is>
          <t>0</t>
        </is>
      </c>
      <c r="K2522" t="inlineStr">
        <is>
          <t>Teresia de Spiritu Sancto, Sister, O.D.C., 1891-</t>
        </is>
      </c>
      <c r="L2522" t="inlineStr">
        <is>
          <t>London ; New York : Sheed and Ward, 1952.</t>
        </is>
      </c>
      <c r="M2522" t="inlineStr">
        <is>
          <t>1952</t>
        </is>
      </c>
      <c r="O2522" t="inlineStr">
        <is>
          <t>eng</t>
        </is>
      </c>
      <c r="P2522" t="inlineStr">
        <is>
          <t>enk</t>
        </is>
      </c>
      <c r="R2522" t="inlineStr">
        <is>
          <t xml:space="preserve">BX </t>
        </is>
      </c>
      <c r="S2522" t="n">
        <v>8</v>
      </c>
      <c r="T2522" t="n">
        <v>8</v>
      </c>
      <c r="U2522" t="inlineStr">
        <is>
          <t>2001-11-21</t>
        </is>
      </c>
      <c r="V2522" t="inlineStr">
        <is>
          <t>2001-11-21</t>
        </is>
      </c>
      <c r="W2522" t="inlineStr">
        <is>
          <t>1992-04-03</t>
        </is>
      </c>
      <c r="X2522" t="inlineStr">
        <is>
          <t>1992-04-03</t>
        </is>
      </c>
      <c r="Y2522" t="n">
        <v>223</v>
      </c>
      <c r="Z2522" t="n">
        <v>186</v>
      </c>
      <c r="AA2522" t="n">
        <v>213</v>
      </c>
      <c r="AB2522" t="n">
        <v>2</v>
      </c>
      <c r="AC2522" t="n">
        <v>2</v>
      </c>
      <c r="AD2522" t="n">
        <v>22</v>
      </c>
      <c r="AE2522" t="n">
        <v>23</v>
      </c>
      <c r="AF2522" t="n">
        <v>4</v>
      </c>
      <c r="AG2522" t="n">
        <v>5</v>
      </c>
      <c r="AH2522" t="n">
        <v>5</v>
      </c>
      <c r="AI2522" t="n">
        <v>5</v>
      </c>
      <c r="AJ2522" t="n">
        <v>18</v>
      </c>
      <c r="AK2522" t="n">
        <v>19</v>
      </c>
      <c r="AL2522" t="n">
        <v>0</v>
      </c>
      <c r="AM2522" t="n">
        <v>0</v>
      </c>
      <c r="AN2522" t="n">
        <v>0</v>
      </c>
      <c r="AO2522" t="n">
        <v>0</v>
      </c>
      <c r="AP2522" t="inlineStr">
        <is>
          <t>No</t>
        </is>
      </c>
      <c r="AQ2522" t="inlineStr">
        <is>
          <t>No</t>
        </is>
      </c>
      <c r="AS2522">
        <f>HYPERLINK("https://creighton-primo.hosted.exlibrisgroup.com/primo-explore/search?tab=default_tab&amp;search_scope=EVERYTHING&amp;vid=01CRU&amp;lang=en_US&amp;offset=0&amp;query=any,contains,991003256209702656","Catalog Record")</f>
        <v/>
      </c>
      <c r="AT2522">
        <f>HYPERLINK("http://www.worldcat.org/oclc/781424","WorldCat Record")</f>
        <v/>
      </c>
      <c r="AU2522" t="inlineStr">
        <is>
          <t>4535692424:eng</t>
        </is>
      </c>
      <c r="AV2522" t="inlineStr">
        <is>
          <t>781424</t>
        </is>
      </c>
      <c r="AW2522" t="inlineStr">
        <is>
          <t>991003256209702656</t>
        </is>
      </c>
      <c r="AX2522" t="inlineStr">
        <is>
          <t>991003256209702656</t>
        </is>
      </c>
      <c r="AY2522" t="inlineStr">
        <is>
          <t>2263100820002656</t>
        </is>
      </c>
      <c r="AZ2522" t="inlineStr">
        <is>
          <t>BOOK</t>
        </is>
      </c>
      <c r="BC2522" t="inlineStr">
        <is>
          <t>32285001048080</t>
        </is>
      </c>
      <c r="BD2522" t="inlineStr">
        <is>
          <t>893604588</t>
        </is>
      </c>
    </row>
    <row r="2523">
      <c r="A2523" t="inlineStr">
        <is>
          <t>No</t>
        </is>
      </c>
      <c r="B2523" t="inlineStr">
        <is>
          <t>BX4705.S8264 A3 1992</t>
        </is>
      </c>
      <c r="C2523" t="inlineStr">
        <is>
          <t>0                      BX 4705000S  8264               A  3           1992</t>
        </is>
      </c>
      <c r="D2523" t="inlineStr">
        <is>
          <t>Raised Catholic : can you tell? / Ed Stivender.</t>
        </is>
      </c>
      <c r="F2523" t="inlineStr">
        <is>
          <t>No</t>
        </is>
      </c>
      <c r="G2523" t="inlineStr">
        <is>
          <t>1</t>
        </is>
      </c>
      <c r="H2523" t="inlineStr">
        <is>
          <t>No</t>
        </is>
      </c>
      <c r="I2523" t="inlineStr">
        <is>
          <t>No</t>
        </is>
      </c>
      <c r="J2523" t="inlineStr">
        <is>
          <t>0</t>
        </is>
      </c>
      <c r="K2523" t="inlineStr">
        <is>
          <t>Stivender, Ed, 1946-</t>
        </is>
      </c>
      <c r="L2523" t="inlineStr">
        <is>
          <t>Little Rock, AR : August House Publishers, c1992.</t>
        </is>
      </c>
      <c r="M2523" t="inlineStr">
        <is>
          <t>1992</t>
        </is>
      </c>
      <c r="N2523" t="inlineStr">
        <is>
          <t>1st ed.</t>
        </is>
      </c>
      <c r="O2523" t="inlineStr">
        <is>
          <t>eng</t>
        </is>
      </c>
      <c r="P2523" t="inlineStr">
        <is>
          <t>azu</t>
        </is>
      </c>
      <c r="R2523" t="inlineStr">
        <is>
          <t xml:space="preserve">BX </t>
        </is>
      </c>
      <c r="S2523" t="n">
        <v>5</v>
      </c>
      <c r="T2523" t="n">
        <v>5</v>
      </c>
      <c r="U2523" t="inlineStr">
        <is>
          <t>1998-03-12</t>
        </is>
      </c>
      <c r="V2523" t="inlineStr">
        <is>
          <t>1998-03-12</t>
        </is>
      </c>
      <c r="W2523" t="inlineStr">
        <is>
          <t>1992-10-27</t>
        </is>
      </c>
      <c r="X2523" t="inlineStr">
        <is>
          <t>1992-10-27</t>
        </is>
      </c>
      <c r="Y2523" t="n">
        <v>364</v>
      </c>
      <c r="Z2523" t="n">
        <v>361</v>
      </c>
      <c r="AA2523" t="n">
        <v>392</v>
      </c>
      <c r="AB2523" t="n">
        <v>3</v>
      </c>
      <c r="AC2523" t="n">
        <v>3</v>
      </c>
      <c r="AD2523" t="n">
        <v>5</v>
      </c>
      <c r="AE2523" t="n">
        <v>5</v>
      </c>
      <c r="AF2523" t="n">
        <v>0</v>
      </c>
      <c r="AG2523" t="n">
        <v>0</v>
      </c>
      <c r="AH2523" t="n">
        <v>3</v>
      </c>
      <c r="AI2523" t="n">
        <v>3</v>
      </c>
      <c r="AJ2523" t="n">
        <v>4</v>
      </c>
      <c r="AK2523" t="n">
        <v>4</v>
      </c>
      <c r="AL2523" t="n">
        <v>0</v>
      </c>
      <c r="AM2523" t="n">
        <v>0</v>
      </c>
      <c r="AN2523" t="n">
        <v>0</v>
      </c>
      <c r="AO2523" t="n">
        <v>0</v>
      </c>
      <c r="AP2523" t="inlineStr">
        <is>
          <t>No</t>
        </is>
      </c>
      <c r="AQ2523" t="inlineStr">
        <is>
          <t>No</t>
        </is>
      </c>
      <c r="AS2523">
        <f>HYPERLINK("https://creighton-primo.hosted.exlibrisgroup.com/primo-explore/search?tab=default_tab&amp;search_scope=EVERYTHING&amp;vid=01CRU&amp;lang=en_US&amp;offset=0&amp;query=any,contains,991002037169702656","Catalog Record")</f>
        <v/>
      </c>
      <c r="AT2523">
        <f>HYPERLINK("http://www.worldcat.org/oclc/25965634","WorldCat Record")</f>
        <v/>
      </c>
      <c r="AU2523" t="inlineStr">
        <is>
          <t>28543062:eng</t>
        </is>
      </c>
      <c r="AV2523" t="inlineStr">
        <is>
          <t>25965634</t>
        </is>
      </c>
      <c r="AW2523" t="inlineStr">
        <is>
          <t>991002037169702656</t>
        </is>
      </c>
      <c r="AX2523" t="inlineStr">
        <is>
          <t>991002037169702656</t>
        </is>
      </c>
      <c r="AY2523" t="inlineStr">
        <is>
          <t>2258460500002656</t>
        </is>
      </c>
      <c r="AZ2523" t="inlineStr">
        <is>
          <t>BOOK</t>
        </is>
      </c>
      <c r="BB2523" t="inlineStr">
        <is>
          <t>9780874832778</t>
        </is>
      </c>
      <c r="BC2523" t="inlineStr">
        <is>
          <t>32285001319143</t>
        </is>
      </c>
      <c r="BD2523" t="inlineStr">
        <is>
          <t>893433417</t>
        </is>
      </c>
    </row>
    <row r="2524">
      <c r="A2524" t="inlineStr">
        <is>
          <t>No</t>
        </is>
      </c>
      <c r="B2524" t="inlineStr">
        <is>
          <t>BX4705.S85 S75 1948</t>
        </is>
      </c>
      <c r="C2524" t="inlineStr">
        <is>
          <t>0                      BX 4705000S  85                 S  75          1948</t>
        </is>
      </c>
      <c r="D2524" t="inlineStr">
        <is>
          <t>Life of Mother Janet Stuart / [by] Pauline Smith-Steinmetz.</t>
        </is>
      </c>
      <c r="F2524" t="inlineStr">
        <is>
          <t>No</t>
        </is>
      </c>
      <c r="G2524" t="inlineStr">
        <is>
          <t>1</t>
        </is>
      </c>
      <c r="H2524" t="inlineStr">
        <is>
          <t>No</t>
        </is>
      </c>
      <c r="I2524" t="inlineStr">
        <is>
          <t>No</t>
        </is>
      </c>
      <c r="J2524" t="inlineStr">
        <is>
          <t>0</t>
        </is>
      </c>
      <c r="K2524" t="inlineStr">
        <is>
          <t>Smith-Steinmetz, Pauline.</t>
        </is>
      </c>
      <c r="L2524" t="inlineStr">
        <is>
          <t>Dublin : Clonmore and Reynolds, [1948]</t>
        </is>
      </c>
      <c r="M2524" t="inlineStr">
        <is>
          <t>1948</t>
        </is>
      </c>
      <c r="O2524" t="inlineStr">
        <is>
          <t>eng</t>
        </is>
      </c>
      <c r="P2524" t="inlineStr">
        <is>
          <t xml:space="preserve">xx </t>
        </is>
      </c>
      <c r="R2524" t="inlineStr">
        <is>
          <t xml:space="preserve">BX </t>
        </is>
      </c>
      <c r="S2524" t="n">
        <v>3</v>
      </c>
      <c r="T2524" t="n">
        <v>3</v>
      </c>
      <c r="U2524" t="inlineStr">
        <is>
          <t>1998-11-02</t>
        </is>
      </c>
      <c r="V2524" t="inlineStr">
        <is>
          <t>1998-11-02</t>
        </is>
      </c>
      <c r="W2524" t="inlineStr">
        <is>
          <t>1992-04-03</t>
        </is>
      </c>
      <c r="X2524" t="inlineStr">
        <is>
          <t>1992-04-03</t>
        </is>
      </c>
      <c r="Y2524" t="n">
        <v>42</v>
      </c>
      <c r="Z2524" t="n">
        <v>28</v>
      </c>
      <c r="AA2524" t="n">
        <v>33</v>
      </c>
      <c r="AB2524" t="n">
        <v>1</v>
      </c>
      <c r="AC2524" t="n">
        <v>1</v>
      </c>
      <c r="AD2524" t="n">
        <v>4</v>
      </c>
      <c r="AE2524" t="n">
        <v>4</v>
      </c>
      <c r="AF2524" t="n">
        <v>1</v>
      </c>
      <c r="AG2524" t="n">
        <v>1</v>
      </c>
      <c r="AH2524" t="n">
        <v>1</v>
      </c>
      <c r="AI2524" t="n">
        <v>1</v>
      </c>
      <c r="AJ2524" t="n">
        <v>4</v>
      </c>
      <c r="AK2524" t="n">
        <v>4</v>
      </c>
      <c r="AL2524" t="n">
        <v>0</v>
      </c>
      <c r="AM2524" t="n">
        <v>0</v>
      </c>
      <c r="AN2524" t="n">
        <v>0</v>
      </c>
      <c r="AO2524" t="n">
        <v>0</v>
      </c>
      <c r="AP2524" t="inlineStr">
        <is>
          <t>No</t>
        </is>
      </c>
      <c r="AQ2524" t="inlineStr">
        <is>
          <t>No</t>
        </is>
      </c>
      <c r="AS2524">
        <f>HYPERLINK("https://creighton-primo.hosted.exlibrisgroup.com/primo-explore/search?tab=default_tab&amp;search_scope=EVERYTHING&amp;vid=01CRU&amp;lang=en_US&amp;offset=0&amp;query=any,contains,991003638169702656","Catalog Record")</f>
        <v/>
      </c>
      <c r="AT2524">
        <f>HYPERLINK("http://www.worldcat.org/oclc/1232530","WorldCat Record")</f>
        <v/>
      </c>
      <c r="AU2524" t="inlineStr">
        <is>
          <t>2134801:eng</t>
        </is>
      </c>
      <c r="AV2524" t="inlineStr">
        <is>
          <t>1232530</t>
        </is>
      </c>
      <c r="AW2524" t="inlineStr">
        <is>
          <t>991003638169702656</t>
        </is>
      </c>
      <c r="AX2524" t="inlineStr">
        <is>
          <t>991003638169702656</t>
        </is>
      </c>
      <c r="AY2524" t="inlineStr">
        <is>
          <t>2264080750002656</t>
        </is>
      </c>
      <c r="AZ2524" t="inlineStr">
        <is>
          <t>BOOK</t>
        </is>
      </c>
      <c r="BC2524" t="inlineStr">
        <is>
          <t>32285001048130</t>
        </is>
      </c>
      <c r="BD2524" t="inlineStr">
        <is>
          <t>893499504</t>
        </is>
      </c>
    </row>
    <row r="2525">
      <c r="A2525" t="inlineStr">
        <is>
          <t>No</t>
        </is>
      </c>
      <c r="B2525" t="inlineStr">
        <is>
          <t>BX4705.T27 P8 1977</t>
        </is>
      </c>
      <c r="C2525" t="inlineStr">
        <is>
          <t>0                      BX 4705000T  27                 P  8           1977</t>
        </is>
      </c>
      <c r="D2525" t="inlineStr">
        <is>
          <t>Matt Talbot and his times / by Mary Purcell ; with a foreword by Dermot Ryan.</t>
        </is>
      </c>
      <c r="F2525" t="inlineStr">
        <is>
          <t>No</t>
        </is>
      </c>
      <c r="G2525" t="inlineStr">
        <is>
          <t>1</t>
        </is>
      </c>
      <c r="H2525" t="inlineStr">
        <is>
          <t>No</t>
        </is>
      </c>
      <c r="I2525" t="inlineStr">
        <is>
          <t>No</t>
        </is>
      </c>
      <c r="J2525" t="inlineStr">
        <is>
          <t>0</t>
        </is>
      </c>
      <c r="K2525" t="inlineStr">
        <is>
          <t>Purcell, Mary, 1906-1991.</t>
        </is>
      </c>
      <c r="L2525" t="inlineStr">
        <is>
          <t>Chicago : Franciscan Herald Press, c1977.</t>
        </is>
      </c>
      <c r="M2525" t="inlineStr">
        <is>
          <t>1977</t>
        </is>
      </c>
      <c r="N2525" t="inlineStr">
        <is>
          <t>Rev. ed.</t>
        </is>
      </c>
      <c r="O2525" t="inlineStr">
        <is>
          <t>eng</t>
        </is>
      </c>
      <c r="P2525" t="inlineStr">
        <is>
          <t>ilu</t>
        </is>
      </c>
      <c r="R2525" t="inlineStr">
        <is>
          <t xml:space="preserve">BX </t>
        </is>
      </c>
      <c r="S2525" t="n">
        <v>0</v>
      </c>
      <c r="T2525" t="n">
        <v>0</v>
      </c>
      <c r="U2525" t="inlineStr">
        <is>
          <t>2009-04-21</t>
        </is>
      </c>
      <c r="V2525" t="inlineStr">
        <is>
          <t>2009-04-21</t>
        </is>
      </c>
      <c r="W2525" t="inlineStr">
        <is>
          <t>1992-04-03</t>
        </is>
      </c>
      <c r="X2525" t="inlineStr">
        <is>
          <t>1992-04-03</t>
        </is>
      </c>
      <c r="Y2525" t="n">
        <v>63</v>
      </c>
      <c r="Z2525" t="n">
        <v>52</v>
      </c>
      <c r="AA2525" t="n">
        <v>128</v>
      </c>
      <c r="AB2525" t="n">
        <v>1</v>
      </c>
      <c r="AC2525" t="n">
        <v>2</v>
      </c>
      <c r="AD2525" t="n">
        <v>5</v>
      </c>
      <c r="AE2525" t="n">
        <v>27</v>
      </c>
      <c r="AF2525" t="n">
        <v>1</v>
      </c>
      <c r="AG2525" t="n">
        <v>9</v>
      </c>
      <c r="AH2525" t="n">
        <v>2</v>
      </c>
      <c r="AI2525" t="n">
        <v>7</v>
      </c>
      <c r="AJ2525" t="n">
        <v>3</v>
      </c>
      <c r="AK2525" t="n">
        <v>19</v>
      </c>
      <c r="AL2525" t="n">
        <v>0</v>
      </c>
      <c r="AM2525" t="n">
        <v>1</v>
      </c>
      <c r="AN2525" t="n">
        <v>0</v>
      </c>
      <c r="AO2525" t="n">
        <v>0</v>
      </c>
      <c r="AP2525" t="inlineStr">
        <is>
          <t>No</t>
        </is>
      </c>
      <c r="AQ2525" t="inlineStr">
        <is>
          <t>No</t>
        </is>
      </c>
      <c r="AS2525">
        <f>HYPERLINK("https://creighton-primo.hosted.exlibrisgroup.com/primo-explore/search?tab=default_tab&amp;search_scope=EVERYTHING&amp;vid=01CRU&amp;lang=en_US&amp;offset=0&amp;query=any,contains,991004259429702656","Catalog Record")</f>
        <v/>
      </c>
      <c r="AT2525">
        <f>HYPERLINK("http://www.worldcat.org/oclc/2837186","WorldCat Record")</f>
        <v/>
      </c>
      <c r="AU2525" t="inlineStr">
        <is>
          <t>148544652:eng</t>
        </is>
      </c>
      <c r="AV2525" t="inlineStr">
        <is>
          <t>2837186</t>
        </is>
      </c>
      <c r="AW2525" t="inlineStr">
        <is>
          <t>991004259429702656</t>
        </is>
      </c>
      <c r="AX2525" t="inlineStr">
        <is>
          <t>991004259429702656</t>
        </is>
      </c>
      <c r="AY2525" t="inlineStr">
        <is>
          <t>2262171110002656</t>
        </is>
      </c>
      <c r="AZ2525" t="inlineStr">
        <is>
          <t>BOOK</t>
        </is>
      </c>
      <c r="BB2525" t="inlineStr">
        <is>
          <t>9780819906571</t>
        </is>
      </c>
      <c r="BC2525" t="inlineStr">
        <is>
          <t>32285001048429</t>
        </is>
      </c>
      <c r="BD2525" t="inlineStr">
        <is>
          <t>893253472</t>
        </is>
      </c>
    </row>
    <row r="2526">
      <c r="A2526" t="inlineStr">
        <is>
          <t>No</t>
        </is>
      </c>
      <c r="B2526" t="inlineStr">
        <is>
          <t>BX4705.T9 L46 1982</t>
        </is>
      </c>
      <c r="C2526" t="inlineStr">
        <is>
          <t>0                      BX 4705000T  9                  L  46          1982</t>
        </is>
      </c>
      <c r="D2526" t="inlineStr">
        <is>
          <t>George Tyrrell and the Catholic tradition / Ellen Leonard ; foreword by Alec Vidler ; introduction by Gregory G. Baum.</t>
        </is>
      </c>
      <c r="F2526" t="inlineStr">
        <is>
          <t>No</t>
        </is>
      </c>
      <c r="G2526" t="inlineStr">
        <is>
          <t>1</t>
        </is>
      </c>
      <c r="H2526" t="inlineStr">
        <is>
          <t>No</t>
        </is>
      </c>
      <c r="I2526" t="inlineStr">
        <is>
          <t>No</t>
        </is>
      </c>
      <c r="J2526" t="inlineStr">
        <is>
          <t>0</t>
        </is>
      </c>
      <c r="K2526" t="inlineStr">
        <is>
          <t>Leonard, Ellen.</t>
        </is>
      </c>
      <c r="L2526" t="inlineStr">
        <is>
          <t>London : Darton, Longman and Todd ; New York : Paulist Press, c1982.</t>
        </is>
      </c>
      <c r="M2526" t="inlineStr">
        <is>
          <t>1982</t>
        </is>
      </c>
      <c r="O2526" t="inlineStr">
        <is>
          <t>eng</t>
        </is>
      </c>
      <c r="P2526" t="inlineStr">
        <is>
          <t>enk</t>
        </is>
      </c>
      <c r="R2526" t="inlineStr">
        <is>
          <t xml:space="preserve">BX </t>
        </is>
      </c>
      <c r="S2526" t="n">
        <v>2</v>
      </c>
      <c r="T2526" t="n">
        <v>2</v>
      </c>
      <c r="U2526" t="inlineStr">
        <is>
          <t>1995-06-28</t>
        </is>
      </c>
      <c r="V2526" t="inlineStr">
        <is>
          <t>1995-06-28</t>
        </is>
      </c>
      <c r="W2526" t="inlineStr">
        <is>
          <t>1992-04-03</t>
        </is>
      </c>
      <c r="X2526" t="inlineStr">
        <is>
          <t>1992-04-03</t>
        </is>
      </c>
      <c r="Y2526" t="n">
        <v>270</v>
      </c>
      <c r="Z2526" t="n">
        <v>189</v>
      </c>
      <c r="AA2526" t="n">
        <v>191</v>
      </c>
      <c r="AB2526" t="n">
        <v>1</v>
      </c>
      <c r="AC2526" t="n">
        <v>1</v>
      </c>
      <c r="AD2526" t="n">
        <v>19</v>
      </c>
      <c r="AE2526" t="n">
        <v>19</v>
      </c>
      <c r="AF2526" t="n">
        <v>4</v>
      </c>
      <c r="AG2526" t="n">
        <v>4</v>
      </c>
      <c r="AH2526" t="n">
        <v>7</v>
      </c>
      <c r="AI2526" t="n">
        <v>7</v>
      </c>
      <c r="AJ2526" t="n">
        <v>14</v>
      </c>
      <c r="AK2526" t="n">
        <v>14</v>
      </c>
      <c r="AL2526" t="n">
        <v>0</v>
      </c>
      <c r="AM2526" t="n">
        <v>0</v>
      </c>
      <c r="AN2526" t="n">
        <v>0</v>
      </c>
      <c r="AO2526" t="n">
        <v>0</v>
      </c>
      <c r="AP2526" t="inlineStr">
        <is>
          <t>No</t>
        </is>
      </c>
      <c r="AQ2526" t="inlineStr">
        <is>
          <t>Yes</t>
        </is>
      </c>
      <c r="AR2526">
        <f>HYPERLINK("http://catalog.hathitrust.org/Record/000200017","HathiTrust Record")</f>
        <v/>
      </c>
      <c r="AS2526">
        <f>HYPERLINK("https://creighton-primo.hosted.exlibrisgroup.com/primo-explore/search?tab=default_tab&amp;search_scope=EVERYTHING&amp;vid=01CRU&amp;lang=en_US&amp;offset=0&amp;query=any,contains,991000110589702656","Catalog Record")</f>
        <v/>
      </c>
      <c r="AT2526">
        <f>HYPERLINK("http://www.worldcat.org/oclc/8995636","WorldCat Record")</f>
        <v/>
      </c>
      <c r="AU2526" t="inlineStr">
        <is>
          <t>355797512:eng</t>
        </is>
      </c>
      <c r="AV2526" t="inlineStr">
        <is>
          <t>8995636</t>
        </is>
      </c>
      <c r="AW2526" t="inlineStr">
        <is>
          <t>991000110589702656</t>
        </is>
      </c>
      <c r="AX2526" t="inlineStr">
        <is>
          <t>991000110589702656</t>
        </is>
      </c>
      <c r="AY2526" t="inlineStr">
        <is>
          <t>2257558900002656</t>
        </is>
      </c>
      <c r="AZ2526" t="inlineStr">
        <is>
          <t>BOOK</t>
        </is>
      </c>
      <c r="BB2526" t="inlineStr">
        <is>
          <t>9780232515589</t>
        </is>
      </c>
      <c r="BC2526" t="inlineStr">
        <is>
          <t>32285001048536</t>
        </is>
      </c>
      <c r="BD2526" t="inlineStr">
        <is>
          <t>893620180</t>
        </is>
      </c>
    </row>
    <row r="2527">
      <c r="A2527" t="inlineStr">
        <is>
          <t>No</t>
        </is>
      </c>
      <c r="B2527" t="inlineStr">
        <is>
          <t>BX4705.V4 G3 1964</t>
        </is>
      </c>
      <c r="C2527" t="inlineStr">
        <is>
          <t>0                      BX 4705000V  4                  G  3           1964</t>
        </is>
      </c>
      <c r="D2527" t="inlineStr">
        <is>
          <t>Rebel bishop : the life and era of Augustin Verot / With a foreword by John Tracy Ellis.</t>
        </is>
      </c>
      <c r="F2527" t="inlineStr">
        <is>
          <t>No</t>
        </is>
      </c>
      <c r="G2527" t="inlineStr">
        <is>
          <t>1</t>
        </is>
      </c>
      <c r="H2527" t="inlineStr">
        <is>
          <t>No</t>
        </is>
      </c>
      <c r="I2527" t="inlineStr">
        <is>
          <t>No</t>
        </is>
      </c>
      <c r="J2527" t="inlineStr">
        <is>
          <t>0</t>
        </is>
      </c>
      <c r="K2527" t="inlineStr">
        <is>
          <t>Gannon, Michael, 1927-2017.</t>
        </is>
      </c>
      <c r="L2527" t="inlineStr">
        <is>
          <t>Milwaukee : Bruce Pub. Co., [1964]</t>
        </is>
      </c>
      <c r="M2527" t="inlineStr">
        <is>
          <t>1964</t>
        </is>
      </c>
      <c r="O2527" t="inlineStr">
        <is>
          <t>eng</t>
        </is>
      </c>
      <c r="P2527" t="inlineStr">
        <is>
          <t xml:space="preserve">xx </t>
        </is>
      </c>
      <c r="R2527" t="inlineStr">
        <is>
          <t xml:space="preserve">BX </t>
        </is>
      </c>
      <c r="S2527" t="n">
        <v>2</v>
      </c>
      <c r="T2527" t="n">
        <v>2</v>
      </c>
      <c r="U2527" t="inlineStr">
        <is>
          <t>2001-10-24</t>
        </is>
      </c>
      <c r="V2527" t="inlineStr">
        <is>
          <t>2001-10-24</t>
        </is>
      </c>
      <c r="W2527" t="inlineStr">
        <is>
          <t>1992-04-03</t>
        </is>
      </c>
      <c r="X2527" t="inlineStr">
        <is>
          <t>1992-04-03</t>
        </is>
      </c>
      <c r="Y2527" t="n">
        <v>325</v>
      </c>
      <c r="Z2527" t="n">
        <v>304</v>
      </c>
      <c r="AA2527" t="n">
        <v>309</v>
      </c>
      <c r="AB2527" t="n">
        <v>4</v>
      </c>
      <c r="AC2527" t="n">
        <v>4</v>
      </c>
      <c r="AD2527" t="n">
        <v>30</v>
      </c>
      <c r="AE2527" t="n">
        <v>30</v>
      </c>
      <c r="AF2527" t="n">
        <v>11</v>
      </c>
      <c r="AG2527" t="n">
        <v>11</v>
      </c>
      <c r="AH2527" t="n">
        <v>7</v>
      </c>
      <c r="AI2527" t="n">
        <v>7</v>
      </c>
      <c r="AJ2527" t="n">
        <v>22</v>
      </c>
      <c r="AK2527" t="n">
        <v>22</v>
      </c>
      <c r="AL2527" t="n">
        <v>1</v>
      </c>
      <c r="AM2527" t="n">
        <v>1</v>
      </c>
      <c r="AN2527" t="n">
        <v>0</v>
      </c>
      <c r="AO2527" t="n">
        <v>0</v>
      </c>
      <c r="AP2527" t="inlineStr">
        <is>
          <t>No</t>
        </is>
      </c>
      <c r="AQ2527" t="inlineStr">
        <is>
          <t>No</t>
        </is>
      </c>
      <c r="AS2527">
        <f>HYPERLINK("https://creighton-primo.hosted.exlibrisgroup.com/primo-explore/search?tab=default_tab&amp;search_scope=EVERYTHING&amp;vid=01CRU&amp;lang=en_US&amp;offset=0&amp;query=any,contains,991003726079702656","Catalog Record")</f>
        <v/>
      </c>
      <c r="AT2527">
        <f>HYPERLINK("http://www.worldcat.org/oclc/1373433","WorldCat Record")</f>
        <v/>
      </c>
      <c r="AU2527" t="inlineStr">
        <is>
          <t>1806341326:eng</t>
        </is>
      </c>
      <c r="AV2527" t="inlineStr">
        <is>
          <t>1373433</t>
        </is>
      </c>
      <c r="AW2527" t="inlineStr">
        <is>
          <t>991003726079702656</t>
        </is>
      </c>
      <c r="AX2527" t="inlineStr">
        <is>
          <t>991003726079702656</t>
        </is>
      </c>
      <c r="AY2527" t="inlineStr">
        <is>
          <t>2256409040002656</t>
        </is>
      </c>
      <c r="AZ2527" t="inlineStr">
        <is>
          <t>BOOK</t>
        </is>
      </c>
      <c r="BC2527" t="inlineStr">
        <is>
          <t>32285001048635</t>
        </is>
      </c>
      <c r="BD2527" t="inlineStr">
        <is>
          <t>893416724</t>
        </is>
      </c>
    </row>
    <row r="2528">
      <c r="A2528" t="inlineStr">
        <is>
          <t>No</t>
        </is>
      </c>
      <c r="B2528" t="inlineStr">
        <is>
          <t>BX4705.W385 W55 1992</t>
        </is>
      </c>
      <c r="C2528" t="inlineStr">
        <is>
          <t>0                      BX 4705000W  385                W  55          1992</t>
        </is>
      </c>
      <c r="D2528" t="inlineStr">
        <is>
          <t>The education of an archbishop : travels with Rembert Weakland / Paul Wilkes.</t>
        </is>
      </c>
      <c r="F2528" t="inlineStr">
        <is>
          <t>No</t>
        </is>
      </c>
      <c r="G2528" t="inlineStr">
        <is>
          <t>1</t>
        </is>
      </c>
      <c r="H2528" t="inlineStr">
        <is>
          <t>No</t>
        </is>
      </c>
      <c r="I2528" t="inlineStr">
        <is>
          <t>No</t>
        </is>
      </c>
      <c r="J2528" t="inlineStr">
        <is>
          <t>0</t>
        </is>
      </c>
      <c r="K2528" t="inlineStr">
        <is>
          <t>Wilkes, Paul, 1938-</t>
        </is>
      </c>
      <c r="L2528" t="inlineStr">
        <is>
          <t>Maryknoll, N.Y. : Orbis Books, c1992.</t>
        </is>
      </c>
      <c r="M2528" t="inlineStr">
        <is>
          <t>1992</t>
        </is>
      </c>
      <c r="O2528" t="inlineStr">
        <is>
          <t>eng</t>
        </is>
      </c>
      <c r="P2528" t="inlineStr">
        <is>
          <t>nyu</t>
        </is>
      </c>
      <c r="R2528" t="inlineStr">
        <is>
          <t xml:space="preserve">BX </t>
        </is>
      </c>
      <c r="S2528" t="n">
        <v>1</v>
      </c>
      <c r="T2528" t="n">
        <v>1</v>
      </c>
      <c r="U2528" t="inlineStr">
        <is>
          <t>2008-06-10</t>
        </is>
      </c>
      <c r="V2528" t="inlineStr">
        <is>
          <t>2008-06-10</t>
        </is>
      </c>
      <c r="W2528" t="inlineStr">
        <is>
          <t>2008-06-10</t>
        </is>
      </c>
      <c r="X2528" t="inlineStr">
        <is>
          <t>2008-06-10</t>
        </is>
      </c>
      <c r="Y2528" t="n">
        <v>160</v>
      </c>
      <c r="Z2528" t="n">
        <v>144</v>
      </c>
      <c r="AA2528" t="n">
        <v>146</v>
      </c>
      <c r="AB2528" t="n">
        <v>1</v>
      </c>
      <c r="AC2528" t="n">
        <v>1</v>
      </c>
      <c r="AD2528" t="n">
        <v>18</v>
      </c>
      <c r="AE2528" t="n">
        <v>18</v>
      </c>
      <c r="AF2528" t="n">
        <v>4</v>
      </c>
      <c r="AG2528" t="n">
        <v>4</v>
      </c>
      <c r="AH2528" t="n">
        <v>6</v>
      </c>
      <c r="AI2528" t="n">
        <v>6</v>
      </c>
      <c r="AJ2528" t="n">
        <v>13</v>
      </c>
      <c r="AK2528" t="n">
        <v>13</v>
      </c>
      <c r="AL2528" t="n">
        <v>0</v>
      </c>
      <c r="AM2528" t="n">
        <v>0</v>
      </c>
      <c r="AN2528" t="n">
        <v>0</v>
      </c>
      <c r="AO2528" t="n">
        <v>0</v>
      </c>
      <c r="AP2528" t="inlineStr">
        <is>
          <t>No</t>
        </is>
      </c>
      <c r="AQ2528" t="inlineStr">
        <is>
          <t>Yes</t>
        </is>
      </c>
      <c r="AR2528">
        <f>HYPERLINK("http://catalog.hathitrust.org/Record/002579877","HathiTrust Record")</f>
        <v/>
      </c>
      <c r="AS2528">
        <f>HYPERLINK("https://creighton-primo.hosted.exlibrisgroup.com/primo-explore/search?tab=default_tab&amp;search_scope=EVERYTHING&amp;vid=01CRU&amp;lang=en_US&amp;offset=0&amp;query=any,contains,991005232839702656","Catalog Record")</f>
        <v/>
      </c>
      <c r="AT2528">
        <f>HYPERLINK("http://www.worldcat.org/oclc/25914748","WorldCat Record")</f>
        <v/>
      </c>
      <c r="AU2528" t="inlineStr">
        <is>
          <t>28533789:eng</t>
        </is>
      </c>
      <c r="AV2528" t="inlineStr">
        <is>
          <t>25914748</t>
        </is>
      </c>
      <c r="AW2528" t="inlineStr">
        <is>
          <t>991005232839702656</t>
        </is>
      </c>
      <c r="AX2528" t="inlineStr">
        <is>
          <t>991005232839702656</t>
        </is>
      </c>
      <c r="AY2528" t="inlineStr">
        <is>
          <t>2272174250002656</t>
        </is>
      </c>
      <c r="AZ2528" t="inlineStr">
        <is>
          <t>BOOK</t>
        </is>
      </c>
      <c r="BB2528" t="inlineStr">
        <is>
          <t>9780883448366</t>
        </is>
      </c>
      <c r="BC2528" t="inlineStr">
        <is>
          <t>32285005444186</t>
        </is>
      </c>
      <c r="BD2528" t="inlineStr">
        <is>
          <t>893896112</t>
        </is>
      </c>
    </row>
    <row r="2529">
      <c r="A2529" t="inlineStr">
        <is>
          <t>No</t>
        </is>
      </c>
      <c r="B2529" t="inlineStr">
        <is>
          <t>BX4705.W695 D49 2000</t>
        </is>
      </c>
      <c r="C2529" t="inlineStr">
        <is>
          <t>0                      BX 4705000W  695                D  49          2000</t>
        </is>
      </c>
      <c r="D2529" t="inlineStr">
        <is>
          <t>Bamboo swaying in the wind : a survivor's story of faith and imprisonment in Communist China / Claudia Devaux and George Bernard Wong.</t>
        </is>
      </c>
      <c r="F2529" t="inlineStr">
        <is>
          <t>No</t>
        </is>
      </c>
      <c r="G2529" t="inlineStr">
        <is>
          <t>1</t>
        </is>
      </c>
      <c r="H2529" t="inlineStr">
        <is>
          <t>No</t>
        </is>
      </c>
      <c r="I2529" t="inlineStr">
        <is>
          <t>No</t>
        </is>
      </c>
      <c r="J2529" t="inlineStr">
        <is>
          <t>0</t>
        </is>
      </c>
      <c r="K2529" t="inlineStr">
        <is>
          <t>Devaux, Claudia, 1946-</t>
        </is>
      </c>
      <c r="L2529" t="inlineStr">
        <is>
          <t>Chicago, Ill. : Loyola Press, c2000.</t>
        </is>
      </c>
      <c r="M2529" t="inlineStr">
        <is>
          <t>2000</t>
        </is>
      </c>
      <c r="O2529" t="inlineStr">
        <is>
          <t>eng</t>
        </is>
      </c>
      <c r="P2529" t="inlineStr">
        <is>
          <t>ilu</t>
        </is>
      </c>
      <c r="R2529" t="inlineStr">
        <is>
          <t xml:space="preserve">BX </t>
        </is>
      </c>
      <c r="S2529" t="n">
        <v>1</v>
      </c>
      <c r="T2529" t="n">
        <v>1</v>
      </c>
      <c r="U2529" t="inlineStr">
        <is>
          <t>2004-07-19</t>
        </is>
      </c>
      <c r="V2529" t="inlineStr">
        <is>
          <t>2004-07-19</t>
        </is>
      </c>
      <c r="W2529" t="inlineStr">
        <is>
          <t>2004-07-19</t>
        </is>
      </c>
      <c r="X2529" t="inlineStr">
        <is>
          <t>2004-07-19</t>
        </is>
      </c>
      <c r="Y2529" t="n">
        <v>286</v>
      </c>
      <c r="Z2529" t="n">
        <v>264</v>
      </c>
      <c r="AA2529" t="n">
        <v>269</v>
      </c>
      <c r="AB2529" t="n">
        <v>1</v>
      </c>
      <c r="AC2529" t="n">
        <v>1</v>
      </c>
      <c r="AD2529" t="n">
        <v>22</v>
      </c>
      <c r="AE2529" t="n">
        <v>22</v>
      </c>
      <c r="AF2529" t="n">
        <v>7</v>
      </c>
      <c r="AG2529" t="n">
        <v>7</v>
      </c>
      <c r="AH2529" t="n">
        <v>6</v>
      </c>
      <c r="AI2529" t="n">
        <v>6</v>
      </c>
      <c r="AJ2529" t="n">
        <v>19</v>
      </c>
      <c r="AK2529" t="n">
        <v>19</v>
      </c>
      <c r="AL2529" t="n">
        <v>0</v>
      </c>
      <c r="AM2529" t="n">
        <v>0</v>
      </c>
      <c r="AN2529" t="n">
        <v>0</v>
      </c>
      <c r="AO2529" t="n">
        <v>0</v>
      </c>
      <c r="AP2529" t="inlineStr">
        <is>
          <t>No</t>
        </is>
      </c>
      <c r="AQ2529" t="inlineStr">
        <is>
          <t>No</t>
        </is>
      </c>
      <c r="AS2529">
        <f>HYPERLINK("https://creighton-primo.hosted.exlibrisgroup.com/primo-explore/search?tab=default_tab&amp;search_scope=EVERYTHING&amp;vid=01CRU&amp;lang=en_US&amp;offset=0&amp;query=any,contains,991004321669702656","Catalog Record")</f>
        <v/>
      </c>
      <c r="AT2529">
        <f>HYPERLINK("http://www.worldcat.org/oclc/43567507","WorldCat Record")</f>
        <v/>
      </c>
      <c r="AU2529" t="inlineStr">
        <is>
          <t>196805793:eng</t>
        </is>
      </c>
      <c r="AV2529" t="inlineStr">
        <is>
          <t>43567507</t>
        </is>
      </c>
      <c r="AW2529" t="inlineStr">
        <is>
          <t>991004321669702656</t>
        </is>
      </c>
      <c r="AX2529" t="inlineStr">
        <is>
          <t>991004321669702656</t>
        </is>
      </c>
      <c r="AY2529" t="inlineStr">
        <is>
          <t>2261872550002656</t>
        </is>
      </c>
      <c r="AZ2529" t="inlineStr">
        <is>
          <t>BOOK</t>
        </is>
      </c>
      <c r="BB2529" t="inlineStr">
        <is>
          <t>9780829414585</t>
        </is>
      </c>
      <c r="BC2529" t="inlineStr">
        <is>
          <t>32285004923495</t>
        </is>
      </c>
      <c r="BD2529" t="inlineStr">
        <is>
          <t>893263194</t>
        </is>
      </c>
    </row>
    <row r="2530">
      <c r="A2530" t="inlineStr">
        <is>
          <t>No</t>
        </is>
      </c>
      <c r="B2530" t="inlineStr">
        <is>
          <t>BX4705.Z25 W4 1961</t>
        </is>
      </c>
      <c r="C2530" t="inlineStr">
        <is>
          <t>0                      BX 4705000Z  25                 W  4           1961</t>
        </is>
      </c>
      <c r="D2530" t="inlineStr">
        <is>
          <t>Notre Dame's John Zahm : American Catholic apologist and educator.</t>
        </is>
      </c>
      <c r="F2530" t="inlineStr">
        <is>
          <t>No</t>
        </is>
      </c>
      <c r="G2530" t="inlineStr">
        <is>
          <t>1</t>
        </is>
      </c>
      <c r="H2530" t="inlineStr">
        <is>
          <t>No</t>
        </is>
      </c>
      <c r="I2530" t="inlineStr">
        <is>
          <t>No</t>
        </is>
      </c>
      <c r="J2530" t="inlineStr">
        <is>
          <t>0</t>
        </is>
      </c>
      <c r="K2530" t="inlineStr">
        <is>
          <t>Weber, Ralph E. (Ralph Edward), 1926-</t>
        </is>
      </c>
      <c r="L2530" t="inlineStr">
        <is>
          <t>[Notre Dame, Ind.] : University of Notre Dame Press, 1961.</t>
        </is>
      </c>
      <c r="M2530" t="inlineStr">
        <is>
          <t>1961</t>
        </is>
      </c>
      <c r="O2530" t="inlineStr">
        <is>
          <t>eng</t>
        </is>
      </c>
      <c r="P2530" t="inlineStr">
        <is>
          <t xml:space="preserve">xx </t>
        </is>
      </c>
      <c r="R2530" t="inlineStr">
        <is>
          <t xml:space="preserve">BX </t>
        </is>
      </c>
      <c r="S2530" t="n">
        <v>3</v>
      </c>
      <c r="T2530" t="n">
        <v>3</v>
      </c>
      <c r="U2530" t="inlineStr">
        <is>
          <t>1999-04-08</t>
        </is>
      </c>
      <c r="V2530" t="inlineStr">
        <is>
          <t>1999-04-08</t>
        </is>
      </c>
      <c r="W2530" t="inlineStr">
        <is>
          <t>1992-04-03</t>
        </is>
      </c>
      <c r="X2530" t="inlineStr">
        <is>
          <t>1992-04-03</t>
        </is>
      </c>
      <c r="Y2530" t="n">
        <v>138</v>
      </c>
      <c r="Z2530" t="n">
        <v>135</v>
      </c>
      <c r="AA2530" t="n">
        <v>145</v>
      </c>
      <c r="AB2530" t="n">
        <v>1</v>
      </c>
      <c r="AC2530" t="n">
        <v>1</v>
      </c>
      <c r="AD2530" t="n">
        <v>25</v>
      </c>
      <c r="AE2530" t="n">
        <v>25</v>
      </c>
      <c r="AF2530" t="n">
        <v>10</v>
      </c>
      <c r="AG2530" t="n">
        <v>10</v>
      </c>
      <c r="AH2530" t="n">
        <v>6</v>
      </c>
      <c r="AI2530" t="n">
        <v>6</v>
      </c>
      <c r="AJ2530" t="n">
        <v>18</v>
      </c>
      <c r="AK2530" t="n">
        <v>18</v>
      </c>
      <c r="AL2530" t="n">
        <v>0</v>
      </c>
      <c r="AM2530" t="n">
        <v>0</v>
      </c>
      <c r="AN2530" t="n">
        <v>0</v>
      </c>
      <c r="AO2530" t="n">
        <v>0</v>
      </c>
      <c r="AP2530" t="inlineStr">
        <is>
          <t>Yes</t>
        </is>
      </c>
      <c r="AQ2530" t="inlineStr">
        <is>
          <t>No</t>
        </is>
      </c>
      <c r="AR2530">
        <f>HYPERLINK("http://catalog.hathitrust.org/Record/005946220","HathiTrust Record")</f>
        <v/>
      </c>
      <c r="AS2530">
        <f>HYPERLINK("https://creighton-primo.hosted.exlibrisgroup.com/primo-explore/search?tab=default_tab&amp;search_scope=EVERYTHING&amp;vid=01CRU&amp;lang=en_US&amp;offset=0&amp;query=any,contains,991003301249702656","Catalog Record")</f>
        <v/>
      </c>
      <c r="AT2530">
        <f>HYPERLINK("http://www.worldcat.org/oclc/824358","WorldCat Record")</f>
        <v/>
      </c>
      <c r="AU2530" t="inlineStr">
        <is>
          <t>1713593:eng</t>
        </is>
      </c>
      <c r="AV2530" t="inlineStr">
        <is>
          <t>824358</t>
        </is>
      </c>
      <c r="AW2530" t="inlineStr">
        <is>
          <t>991003301249702656</t>
        </is>
      </c>
      <c r="AX2530" t="inlineStr">
        <is>
          <t>991003301249702656</t>
        </is>
      </c>
      <c r="AY2530" t="inlineStr">
        <is>
          <t>2270009940002656</t>
        </is>
      </c>
      <c r="AZ2530" t="inlineStr">
        <is>
          <t>BOOK</t>
        </is>
      </c>
      <c r="BC2530" t="inlineStr">
        <is>
          <t>32285001048924</t>
        </is>
      </c>
      <c r="BD2530" t="inlineStr">
        <is>
          <t>893893582</t>
        </is>
      </c>
    </row>
    <row r="2531">
      <c r="A2531" t="inlineStr">
        <is>
          <t>No</t>
        </is>
      </c>
      <c r="B2531" t="inlineStr">
        <is>
          <t>BX4705.Z8 G7 1962</t>
        </is>
      </c>
      <c r="C2531" t="inlineStr">
        <is>
          <t>0                      BX 4705000Z  8                  G  7           1962</t>
        </is>
      </c>
      <c r="D2531" t="inlineStr">
        <is>
          <t>Zumárraga and the Mexican Inquisition, 1536-1543 / Richard E. Greenleaf.</t>
        </is>
      </c>
      <c r="F2531" t="inlineStr">
        <is>
          <t>No</t>
        </is>
      </c>
      <c r="G2531" t="inlineStr">
        <is>
          <t>1</t>
        </is>
      </c>
      <c r="H2531" t="inlineStr">
        <is>
          <t>No</t>
        </is>
      </c>
      <c r="I2531" t="inlineStr">
        <is>
          <t>No</t>
        </is>
      </c>
      <c r="J2531" t="inlineStr">
        <is>
          <t>0</t>
        </is>
      </c>
      <c r="K2531" t="inlineStr">
        <is>
          <t>Greenleaf, Richard E.</t>
        </is>
      </c>
      <c r="L2531" t="inlineStr">
        <is>
          <t>Washington : Academy of American Franciscan History, 1961 [c1962]</t>
        </is>
      </c>
      <c r="M2531" t="inlineStr">
        <is>
          <t>1961</t>
        </is>
      </c>
      <c r="O2531" t="inlineStr">
        <is>
          <t>eng</t>
        </is>
      </c>
      <c r="P2531" t="inlineStr">
        <is>
          <t>dcu</t>
        </is>
      </c>
      <c r="Q2531" t="inlineStr">
        <is>
          <t>Academy of American Franciscan History. Monograph series, v. 4</t>
        </is>
      </c>
      <c r="R2531" t="inlineStr">
        <is>
          <t xml:space="preserve">BX </t>
        </is>
      </c>
      <c r="S2531" t="n">
        <v>3</v>
      </c>
      <c r="T2531" t="n">
        <v>3</v>
      </c>
      <c r="U2531" t="inlineStr">
        <is>
          <t>1995-08-29</t>
        </is>
      </c>
      <c r="V2531" t="inlineStr">
        <is>
          <t>1995-08-29</t>
        </is>
      </c>
      <c r="W2531" t="inlineStr">
        <is>
          <t>1992-04-03</t>
        </is>
      </c>
      <c r="X2531" t="inlineStr">
        <is>
          <t>1992-04-03</t>
        </is>
      </c>
      <c r="Y2531" t="n">
        <v>374</v>
      </c>
      <c r="Z2531" t="n">
        <v>327</v>
      </c>
      <c r="AA2531" t="n">
        <v>371</v>
      </c>
      <c r="AB2531" t="n">
        <v>3</v>
      </c>
      <c r="AC2531" t="n">
        <v>4</v>
      </c>
      <c r="AD2531" t="n">
        <v>25</v>
      </c>
      <c r="AE2531" t="n">
        <v>27</v>
      </c>
      <c r="AF2531" t="n">
        <v>8</v>
      </c>
      <c r="AG2531" t="n">
        <v>9</v>
      </c>
      <c r="AH2531" t="n">
        <v>7</v>
      </c>
      <c r="AI2531" t="n">
        <v>8</v>
      </c>
      <c r="AJ2531" t="n">
        <v>18</v>
      </c>
      <c r="AK2531" t="n">
        <v>18</v>
      </c>
      <c r="AL2531" t="n">
        <v>2</v>
      </c>
      <c r="AM2531" t="n">
        <v>3</v>
      </c>
      <c r="AN2531" t="n">
        <v>0</v>
      </c>
      <c r="AO2531" t="n">
        <v>0</v>
      </c>
      <c r="AP2531" t="inlineStr">
        <is>
          <t>Yes</t>
        </is>
      </c>
      <c r="AQ2531" t="inlineStr">
        <is>
          <t>No</t>
        </is>
      </c>
      <c r="AR2531">
        <f>HYPERLINK("http://catalog.hathitrust.org/Record/001592301","HathiTrust Record")</f>
        <v/>
      </c>
      <c r="AS2531">
        <f>HYPERLINK("https://creighton-primo.hosted.exlibrisgroup.com/primo-explore/search?tab=default_tab&amp;search_scope=EVERYTHING&amp;vid=01CRU&amp;lang=en_US&amp;offset=0&amp;query=any,contains,991002485229702656","Catalog Record")</f>
        <v/>
      </c>
      <c r="AT2531">
        <f>HYPERLINK("http://www.worldcat.org/oclc/360784","WorldCat Record")</f>
        <v/>
      </c>
      <c r="AU2531" t="inlineStr">
        <is>
          <t>1412580:eng</t>
        </is>
      </c>
      <c r="AV2531" t="inlineStr">
        <is>
          <t>360784</t>
        </is>
      </c>
      <c r="AW2531" t="inlineStr">
        <is>
          <t>991002485229702656</t>
        </is>
      </c>
      <c r="AX2531" t="inlineStr">
        <is>
          <t>991002485229702656</t>
        </is>
      </c>
      <c r="AY2531" t="inlineStr">
        <is>
          <t>2263702440002656</t>
        </is>
      </c>
      <c r="AZ2531" t="inlineStr">
        <is>
          <t>BOOK</t>
        </is>
      </c>
      <c r="BC2531" t="inlineStr">
        <is>
          <t>32285001048932</t>
        </is>
      </c>
      <c r="BD2531" t="inlineStr">
        <is>
          <t>893233028</t>
        </is>
      </c>
    </row>
    <row r="2532">
      <c r="A2532" t="inlineStr">
        <is>
          <t>No</t>
        </is>
      </c>
      <c r="B2532" t="inlineStr">
        <is>
          <t>BX4710 .A8 1937</t>
        </is>
      </c>
      <c r="C2532" t="inlineStr">
        <is>
          <t>0                      BX 4710000A  8           1937</t>
        </is>
      </c>
      <c r="D2532" t="inlineStr">
        <is>
          <t>The Catholic Eastern churches / by Donald Attwater.</t>
        </is>
      </c>
      <c r="F2532" t="inlineStr">
        <is>
          <t>No</t>
        </is>
      </c>
      <c r="G2532" t="inlineStr">
        <is>
          <t>1</t>
        </is>
      </c>
      <c r="H2532" t="inlineStr">
        <is>
          <t>No</t>
        </is>
      </c>
      <c r="I2532" t="inlineStr">
        <is>
          <t>No</t>
        </is>
      </c>
      <c r="J2532" t="inlineStr">
        <is>
          <t>0</t>
        </is>
      </c>
      <c r="K2532" t="inlineStr">
        <is>
          <t>Attwater, Donald, 1892-1977.</t>
        </is>
      </c>
      <c r="L2532" t="inlineStr">
        <is>
          <t>Milwaukee, Wis. : Bruce, [1937]</t>
        </is>
      </c>
      <c r="M2532" t="inlineStr">
        <is>
          <t>1937</t>
        </is>
      </c>
      <c r="N2532" t="inlineStr">
        <is>
          <t>[Rev. ed.]</t>
        </is>
      </c>
      <c r="O2532" t="inlineStr">
        <is>
          <t>eng</t>
        </is>
      </c>
      <c r="P2532" t="inlineStr">
        <is>
          <t xml:space="preserve">xx </t>
        </is>
      </c>
      <c r="Q2532" t="inlineStr">
        <is>
          <t>Religion and culture series</t>
        </is>
      </c>
      <c r="R2532" t="inlineStr">
        <is>
          <t xml:space="preserve">BX </t>
        </is>
      </c>
      <c r="S2532" t="n">
        <v>2</v>
      </c>
      <c r="T2532" t="n">
        <v>2</v>
      </c>
      <c r="U2532" t="inlineStr">
        <is>
          <t>1997-04-21</t>
        </is>
      </c>
      <c r="V2532" t="inlineStr">
        <is>
          <t>1997-04-21</t>
        </is>
      </c>
      <c r="W2532" t="inlineStr">
        <is>
          <t>1990-03-21</t>
        </is>
      </c>
      <c r="X2532" t="inlineStr">
        <is>
          <t>1990-03-21</t>
        </is>
      </c>
      <c r="Y2532" t="n">
        <v>77</v>
      </c>
      <c r="Z2532" t="n">
        <v>71</v>
      </c>
      <c r="AA2532" t="n">
        <v>219</v>
      </c>
      <c r="AB2532" t="n">
        <v>1</v>
      </c>
      <c r="AC2532" t="n">
        <v>2</v>
      </c>
      <c r="AD2532" t="n">
        <v>6</v>
      </c>
      <c r="AE2532" t="n">
        <v>27</v>
      </c>
      <c r="AF2532" t="n">
        <v>1</v>
      </c>
      <c r="AG2532" t="n">
        <v>7</v>
      </c>
      <c r="AH2532" t="n">
        <v>1</v>
      </c>
      <c r="AI2532" t="n">
        <v>8</v>
      </c>
      <c r="AJ2532" t="n">
        <v>6</v>
      </c>
      <c r="AK2532" t="n">
        <v>22</v>
      </c>
      <c r="AL2532" t="n">
        <v>0</v>
      </c>
      <c r="AM2532" t="n">
        <v>0</v>
      </c>
      <c r="AN2532" t="n">
        <v>0</v>
      </c>
      <c r="AO2532" t="n">
        <v>0</v>
      </c>
      <c r="AP2532" t="inlineStr">
        <is>
          <t>No</t>
        </is>
      </c>
      <c r="AQ2532" t="inlineStr">
        <is>
          <t>Yes</t>
        </is>
      </c>
      <c r="AR2532">
        <f>HYPERLINK("http://catalog.hathitrust.org/Record/102215371","HathiTrust Record")</f>
        <v/>
      </c>
      <c r="AS2532">
        <f>HYPERLINK("https://creighton-primo.hosted.exlibrisgroup.com/primo-explore/search?tab=default_tab&amp;search_scope=EVERYTHING&amp;vid=01CRU&amp;lang=en_US&amp;offset=0&amp;query=any,contains,991003412429702656","Catalog Record")</f>
        <v/>
      </c>
      <c r="AT2532">
        <f>HYPERLINK("http://www.worldcat.org/oclc/950882","WorldCat Record")</f>
        <v/>
      </c>
      <c r="AU2532" t="inlineStr">
        <is>
          <t>3769052227:eng</t>
        </is>
      </c>
      <c r="AV2532" t="inlineStr">
        <is>
          <t>950882</t>
        </is>
      </c>
      <c r="AW2532" t="inlineStr">
        <is>
          <t>991003412429702656</t>
        </is>
      </c>
      <c r="AX2532" t="inlineStr">
        <is>
          <t>991003412429702656</t>
        </is>
      </c>
      <c r="AY2532" t="inlineStr">
        <is>
          <t>2262197040002656</t>
        </is>
      </c>
      <c r="AZ2532" t="inlineStr">
        <is>
          <t>BOOK</t>
        </is>
      </c>
      <c r="BC2532" t="inlineStr">
        <is>
          <t>32285000089002</t>
        </is>
      </c>
      <c r="BD2532" t="inlineStr">
        <is>
          <t>893348655</t>
        </is>
      </c>
    </row>
    <row r="2533">
      <c r="A2533" t="inlineStr">
        <is>
          <t>No</t>
        </is>
      </c>
      <c r="B2533" t="inlineStr">
        <is>
          <t>BX4710 .L5 1938</t>
        </is>
      </c>
      <c r="C2533" t="inlineStr">
        <is>
          <t>0                      BX 4710000L  5           1938</t>
        </is>
      </c>
      <c r="D2533" t="inlineStr">
        <is>
          <t>The Eastern branches of the Catholic church : six studies on the Oriental rites / compiled by the Liturgical arts society, with an introduction by Donald Attwater.</t>
        </is>
      </c>
      <c r="F2533" t="inlineStr">
        <is>
          <t>No</t>
        </is>
      </c>
      <c r="G2533" t="inlineStr">
        <is>
          <t>1</t>
        </is>
      </c>
      <c r="H2533" t="inlineStr">
        <is>
          <t>No</t>
        </is>
      </c>
      <c r="I2533" t="inlineStr">
        <is>
          <t>No</t>
        </is>
      </c>
      <c r="J2533" t="inlineStr">
        <is>
          <t>0</t>
        </is>
      </c>
      <c r="K2533" t="inlineStr">
        <is>
          <t>Liturgical Arts Society, compiler.</t>
        </is>
      </c>
      <c r="L2533" t="inlineStr">
        <is>
          <t>New York ; Toronto : Longmans, Green and co., 1938, c1936.</t>
        </is>
      </c>
      <c r="M2533" t="inlineStr">
        <is>
          <t>1938</t>
        </is>
      </c>
      <c r="O2533" t="inlineStr">
        <is>
          <t>eng</t>
        </is>
      </c>
      <c r="P2533" t="inlineStr">
        <is>
          <t xml:space="preserve">xx </t>
        </is>
      </c>
      <c r="R2533" t="inlineStr">
        <is>
          <t xml:space="preserve">BX </t>
        </is>
      </c>
      <c r="S2533" t="n">
        <v>3</v>
      </c>
      <c r="T2533" t="n">
        <v>3</v>
      </c>
      <c r="U2533" t="inlineStr">
        <is>
          <t>2009-09-14</t>
        </is>
      </c>
      <c r="V2533" t="inlineStr">
        <is>
          <t>2009-09-14</t>
        </is>
      </c>
      <c r="W2533" t="inlineStr">
        <is>
          <t>1992-04-03</t>
        </is>
      </c>
      <c r="X2533" t="inlineStr">
        <is>
          <t>1992-04-03</t>
        </is>
      </c>
      <c r="Y2533" t="n">
        <v>196</v>
      </c>
      <c r="Z2533" t="n">
        <v>177</v>
      </c>
      <c r="AA2533" t="n">
        <v>179</v>
      </c>
      <c r="AB2533" t="n">
        <v>3</v>
      </c>
      <c r="AC2533" t="n">
        <v>3</v>
      </c>
      <c r="AD2533" t="n">
        <v>21</v>
      </c>
      <c r="AE2533" t="n">
        <v>21</v>
      </c>
      <c r="AF2533" t="n">
        <v>7</v>
      </c>
      <c r="AG2533" t="n">
        <v>7</v>
      </c>
      <c r="AH2533" t="n">
        <v>6</v>
      </c>
      <c r="AI2533" t="n">
        <v>6</v>
      </c>
      <c r="AJ2533" t="n">
        <v>17</v>
      </c>
      <c r="AK2533" t="n">
        <v>17</v>
      </c>
      <c r="AL2533" t="n">
        <v>0</v>
      </c>
      <c r="AM2533" t="n">
        <v>0</v>
      </c>
      <c r="AN2533" t="n">
        <v>0</v>
      </c>
      <c r="AO2533" t="n">
        <v>0</v>
      </c>
      <c r="AP2533" t="inlineStr">
        <is>
          <t>No</t>
        </is>
      </c>
      <c r="AQ2533" t="inlineStr">
        <is>
          <t>Yes</t>
        </is>
      </c>
      <c r="AR2533">
        <f>HYPERLINK("http://catalog.hathitrust.org/Record/006531739","HathiTrust Record")</f>
        <v/>
      </c>
      <c r="AS2533">
        <f>HYPERLINK("https://creighton-primo.hosted.exlibrisgroup.com/primo-explore/search?tab=default_tab&amp;search_scope=EVERYTHING&amp;vid=01CRU&amp;lang=en_US&amp;offset=0&amp;query=any,contains,991004388449702656","Catalog Record")</f>
        <v/>
      </c>
      <c r="AT2533">
        <f>HYPERLINK("http://www.worldcat.org/oclc/3252566","WorldCat Record")</f>
        <v/>
      </c>
      <c r="AU2533" t="inlineStr">
        <is>
          <t>8525803:eng</t>
        </is>
      </c>
      <c r="AV2533" t="inlineStr">
        <is>
          <t>3252566</t>
        </is>
      </c>
      <c r="AW2533" t="inlineStr">
        <is>
          <t>991004388449702656</t>
        </is>
      </c>
      <c r="AX2533" t="inlineStr">
        <is>
          <t>991004388449702656</t>
        </is>
      </c>
      <c r="AY2533" t="inlineStr">
        <is>
          <t>2255311020002656</t>
        </is>
      </c>
      <c r="AZ2533" t="inlineStr">
        <is>
          <t>BOOK</t>
        </is>
      </c>
      <c r="BC2533" t="inlineStr">
        <is>
          <t>32285001048940</t>
        </is>
      </c>
      <c r="BD2533" t="inlineStr">
        <is>
          <t>893618608</t>
        </is>
      </c>
    </row>
    <row r="2534">
      <c r="A2534" t="inlineStr">
        <is>
          <t>No</t>
        </is>
      </c>
      <c r="B2534" t="inlineStr">
        <is>
          <t>BX4710.33 .R83 1992</t>
        </is>
      </c>
      <c r="C2534" t="inlineStr">
        <is>
          <t>0                      BX 4710330R  83          1992</t>
        </is>
      </c>
      <c r="D2534" t="inlineStr">
        <is>
          <t>The Eastern Catholic churches : an introduction to their worship and spirituality / Joan L. Roccasalvo.</t>
        </is>
      </c>
      <c r="F2534" t="inlineStr">
        <is>
          <t>No</t>
        </is>
      </c>
      <c r="G2534" t="inlineStr">
        <is>
          <t>1</t>
        </is>
      </c>
      <c r="H2534" t="inlineStr">
        <is>
          <t>No</t>
        </is>
      </c>
      <c r="I2534" t="inlineStr">
        <is>
          <t>No</t>
        </is>
      </c>
      <c r="J2534" t="inlineStr">
        <is>
          <t>0</t>
        </is>
      </c>
      <c r="K2534" t="inlineStr">
        <is>
          <t>Roccasalvo, Joan L.</t>
        </is>
      </c>
      <c r="L2534" t="inlineStr">
        <is>
          <t>Collegeville, Minn. : Liturgical Press, c1992.</t>
        </is>
      </c>
      <c r="M2534" t="inlineStr">
        <is>
          <t>1992</t>
        </is>
      </c>
      <c r="O2534" t="inlineStr">
        <is>
          <t>eng</t>
        </is>
      </c>
      <c r="P2534" t="inlineStr">
        <is>
          <t>mnu</t>
        </is>
      </c>
      <c r="Q2534" t="inlineStr">
        <is>
          <t>American essays in liturgy series</t>
        </is>
      </c>
      <c r="R2534" t="inlineStr">
        <is>
          <t xml:space="preserve">BX </t>
        </is>
      </c>
      <c r="S2534" t="n">
        <v>3</v>
      </c>
      <c r="T2534" t="n">
        <v>3</v>
      </c>
      <c r="U2534" t="inlineStr">
        <is>
          <t>1997-04-21</t>
        </is>
      </c>
      <c r="V2534" t="inlineStr">
        <is>
          <t>1997-04-21</t>
        </is>
      </c>
      <c r="W2534" t="inlineStr">
        <is>
          <t>1994-06-29</t>
        </is>
      </c>
      <c r="X2534" t="inlineStr">
        <is>
          <t>1994-06-29</t>
        </is>
      </c>
      <c r="Y2534" t="n">
        <v>211</v>
      </c>
      <c r="Z2534" t="n">
        <v>171</v>
      </c>
      <c r="AA2534" t="n">
        <v>176</v>
      </c>
      <c r="AB2534" t="n">
        <v>2</v>
      </c>
      <c r="AC2534" t="n">
        <v>2</v>
      </c>
      <c r="AD2534" t="n">
        <v>20</v>
      </c>
      <c r="AE2534" t="n">
        <v>20</v>
      </c>
      <c r="AF2534" t="n">
        <v>8</v>
      </c>
      <c r="AG2534" t="n">
        <v>8</v>
      </c>
      <c r="AH2534" t="n">
        <v>5</v>
      </c>
      <c r="AI2534" t="n">
        <v>5</v>
      </c>
      <c r="AJ2534" t="n">
        <v>11</v>
      </c>
      <c r="AK2534" t="n">
        <v>11</v>
      </c>
      <c r="AL2534" t="n">
        <v>1</v>
      </c>
      <c r="AM2534" t="n">
        <v>1</v>
      </c>
      <c r="AN2534" t="n">
        <v>0</v>
      </c>
      <c r="AO2534" t="n">
        <v>0</v>
      </c>
      <c r="AP2534" t="inlineStr">
        <is>
          <t>No</t>
        </is>
      </c>
      <c r="AQ2534" t="inlineStr">
        <is>
          <t>No</t>
        </is>
      </c>
      <c r="AS2534">
        <f>HYPERLINK("https://creighton-primo.hosted.exlibrisgroup.com/primo-explore/search?tab=default_tab&amp;search_scope=EVERYTHING&amp;vid=01CRU&amp;lang=en_US&amp;offset=0&amp;query=any,contains,991001973109702656","Catalog Record")</f>
        <v/>
      </c>
      <c r="AT2534">
        <f>HYPERLINK("http://www.worldcat.org/oclc/25025804","WorldCat Record")</f>
        <v/>
      </c>
      <c r="AU2534" t="inlineStr">
        <is>
          <t>2763625656:eng</t>
        </is>
      </c>
      <c r="AV2534" t="inlineStr">
        <is>
          <t>25025804</t>
        </is>
      </c>
      <c r="AW2534" t="inlineStr">
        <is>
          <t>991001973109702656</t>
        </is>
      </c>
      <c r="AX2534" t="inlineStr">
        <is>
          <t>991001973109702656</t>
        </is>
      </c>
      <c r="AY2534" t="inlineStr">
        <is>
          <t>2264221110002656</t>
        </is>
      </c>
      <c r="AZ2534" t="inlineStr">
        <is>
          <t>BOOK</t>
        </is>
      </c>
      <c r="BB2534" t="inlineStr">
        <is>
          <t>9780814620472</t>
        </is>
      </c>
      <c r="BC2534" t="inlineStr">
        <is>
          <t>32285001924991</t>
        </is>
      </c>
      <c r="BD2534" t="inlineStr">
        <is>
          <t>893497579</t>
        </is>
      </c>
    </row>
    <row r="2535">
      <c r="A2535" t="inlineStr">
        <is>
          <t>No</t>
        </is>
      </c>
      <c r="B2535" t="inlineStr">
        <is>
          <t>BX4710.63 .L513 1963</t>
        </is>
      </c>
      <c r="C2535" t="inlineStr">
        <is>
          <t>0                      BX 4710630L  513         1963</t>
        </is>
      </c>
      <c r="D2535" t="inlineStr">
        <is>
          <t>The Eucharistic liturgies of the Eastern churches / by Nikolaus Liesel. Translation: David Heimann. Photography: Tibor Makula. Art and layout: Brother Placid.</t>
        </is>
      </c>
      <c r="F2535" t="inlineStr">
        <is>
          <t>No</t>
        </is>
      </c>
      <c r="G2535" t="inlineStr">
        <is>
          <t>1</t>
        </is>
      </c>
      <c r="H2535" t="inlineStr">
        <is>
          <t>No</t>
        </is>
      </c>
      <c r="I2535" t="inlineStr">
        <is>
          <t>No</t>
        </is>
      </c>
      <c r="J2535" t="inlineStr">
        <is>
          <t>0</t>
        </is>
      </c>
      <c r="K2535" t="inlineStr">
        <is>
          <t>Liesel, Nikolaus.</t>
        </is>
      </c>
      <c r="L2535" t="inlineStr">
        <is>
          <t>Collegeville, Minn. : Liturgical Press, [1963]</t>
        </is>
      </c>
      <c r="M2535" t="inlineStr">
        <is>
          <t>1963</t>
        </is>
      </c>
      <c r="O2535" t="inlineStr">
        <is>
          <t>eng</t>
        </is>
      </c>
      <c r="P2535" t="inlineStr">
        <is>
          <t>mnu</t>
        </is>
      </c>
      <c r="Q2535" t="inlineStr">
        <is>
          <t>Popular liturgical library</t>
        </is>
      </c>
      <c r="R2535" t="inlineStr">
        <is>
          <t xml:space="preserve">BX </t>
        </is>
      </c>
      <c r="S2535" t="n">
        <v>3</v>
      </c>
      <c r="T2535" t="n">
        <v>3</v>
      </c>
      <c r="U2535" t="inlineStr">
        <is>
          <t>1997-04-21</t>
        </is>
      </c>
      <c r="V2535" t="inlineStr">
        <is>
          <t>1997-04-21</t>
        </is>
      </c>
      <c r="W2535" t="inlineStr">
        <is>
          <t>1992-04-03</t>
        </is>
      </c>
      <c r="X2535" t="inlineStr">
        <is>
          <t>1992-04-03</t>
        </is>
      </c>
      <c r="Y2535" t="n">
        <v>328</v>
      </c>
      <c r="Z2535" t="n">
        <v>280</v>
      </c>
      <c r="AA2535" t="n">
        <v>391</v>
      </c>
      <c r="AB2535" t="n">
        <v>2</v>
      </c>
      <c r="AC2535" t="n">
        <v>2</v>
      </c>
      <c r="AD2535" t="n">
        <v>26</v>
      </c>
      <c r="AE2535" t="n">
        <v>36</v>
      </c>
      <c r="AF2535" t="n">
        <v>7</v>
      </c>
      <c r="AG2535" t="n">
        <v>13</v>
      </c>
      <c r="AH2535" t="n">
        <v>7</v>
      </c>
      <c r="AI2535" t="n">
        <v>9</v>
      </c>
      <c r="AJ2535" t="n">
        <v>19</v>
      </c>
      <c r="AK2535" t="n">
        <v>27</v>
      </c>
      <c r="AL2535" t="n">
        <v>0</v>
      </c>
      <c r="AM2535" t="n">
        <v>0</v>
      </c>
      <c r="AN2535" t="n">
        <v>0</v>
      </c>
      <c r="AO2535" t="n">
        <v>0</v>
      </c>
      <c r="AP2535" t="inlineStr">
        <is>
          <t>No</t>
        </is>
      </c>
      <c r="AQ2535" t="inlineStr">
        <is>
          <t>Yes</t>
        </is>
      </c>
      <c r="AR2535">
        <f>HYPERLINK("http://catalog.hathitrust.org/Record/006022840","HathiTrust Record")</f>
        <v/>
      </c>
      <c r="AS2535">
        <f>HYPERLINK("https://creighton-primo.hosted.exlibrisgroup.com/primo-explore/search?tab=default_tab&amp;search_scope=EVERYTHING&amp;vid=01CRU&amp;lang=en_US&amp;offset=0&amp;query=any,contains,991002659959702656","Catalog Record")</f>
        <v/>
      </c>
      <c r="AT2535">
        <f>HYPERLINK("http://www.worldcat.org/oclc/391020","WorldCat Record")</f>
        <v/>
      </c>
      <c r="AU2535" t="inlineStr">
        <is>
          <t>505057167:eng</t>
        </is>
      </c>
      <c r="AV2535" t="inlineStr">
        <is>
          <t>391020</t>
        </is>
      </c>
      <c r="AW2535" t="inlineStr">
        <is>
          <t>991002659959702656</t>
        </is>
      </c>
      <c r="AX2535" t="inlineStr">
        <is>
          <t>991002659959702656</t>
        </is>
      </c>
      <c r="AY2535" t="inlineStr">
        <is>
          <t>2260851710002656</t>
        </is>
      </c>
      <c r="AZ2535" t="inlineStr">
        <is>
          <t>BOOK</t>
        </is>
      </c>
      <c r="BC2535" t="inlineStr">
        <is>
          <t>32285001048965</t>
        </is>
      </c>
      <c r="BD2535" t="inlineStr">
        <is>
          <t>893792739</t>
        </is>
      </c>
    </row>
    <row r="2536">
      <c r="A2536" t="inlineStr">
        <is>
          <t>No</t>
        </is>
      </c>
      <c r="B2536" t="inlineStr">
        <is>
          <t>BX4711.12 .T34 1992</t>
        </is>
      </c>
      <c r="C2536" t="inlineStr">
        <is>
          <t>0                      BX 4711120T  34          1992</t>
        </is>
      </c>
      <c r="D2536" t="inlineStr">
        <is>
          <t>The Byzantine rite : a short history / Robert F. Taft.</t>
        </is>
      </c>
      <c r="F2536" t="inlineStr">
        <is>
          <t>No</t>
        </is>
      </c>
      <c r="G2536" t="inlineStr">
        <is>
          <t>1</t>
        </is>
      </c>
      <c r="H2536" t="inlineStr">
        <is>
          <t>No</t>
        </is>
      </c>
      <c r="I2536" t="inlineStr">
        <is>
          <t>No</t>
        </is>
      </c>
      <c r="J2536" t="inlineStr">
        <is>
          <t>0</t>
        </is>
      </c>
      <c r="K2536" t="inlineStr">
        <is>
          <t>Taft, Robert F.</t>
        </is>
      </c>
      <c r="L2536" t="inlineStr">
        <is>
          <t>Collegeville, Minn. : Liturgical Press, c1992.</t>
        </is>
      </c>
      <c r="M2536" t="inlineStr">
        <is>
          <t>1992</t>
        </is>
      </c>
      <c r="O2536" t="inlineStr">
        <is>
          <t>eng</t>
        </is>
      </c>
      <c r="P2536" t="inlineStr">
        <is>
          <t>mnu</t>
        </is>
      </c>
      <c r="Q2536" t="inlineStr">
        <is>
          <t>American essays in liturgy series</t>
        </is>
      </c>
      <c r="R2536" t="inlineStr">
        <is>
          <t xml:space="preserve">BX </t>
        </is>
      </c>
      <c r="S2536" t="n">
        <v>4</v>
      </c>
      <c r="T2536" t="n">
        <v>4</v>
      </c>
      <c r="U2536" t="inlineStr">
        <is>
          <t>1997-11-25</t>
        </is>
      </c>
      <c r="V2536" t="inlineStr">
        <is>
          <t>1997-11-25</t>
        </is>
      </c>
      <c r="W2536" t="inlineStr">
        <is>
          <t>1995-01-06</t>
        </is>
      </c>
      <c r="X2536" t="inlineStr">
        <is>
          <t>1995-01-06</t>
        </is>
      </c>
      <c r="Y2536" t="n">
        <v>271</v>
      </c>
      <c r="Z2536" t="n">
        <v>217</v>
      </c>
      <c r="AA2536" t="n">
        <v>217</v>
      </c>
      <c r="AB2536" t="n">
        <v>3</v>
      </c>
      <c r="AC2536" t="n">
        <v>3</v>
      </c>
      <c r="AD2536" t="n">
        <v>18</v>
      </c>
      <c r="AE2536" t="n">
        <v>18</v>
      </c>
      <c r="AF2536" t="n">
        <v>7</v>
      </c>
      <c r="AG2536" t="n">
        <v>7</v>
      </c>
      <c r="AH2536" t="n">
        <v>3</v>
      </c>
      <c r="AI2536" t="n">
        <v>3</v>
      </c>
      <c r="AJ2536" t="n">
        <v>11</v>
      </c>
      <c r="AK2536" t="n">
        <v>11</v>
      </c>
      <c r="AL2536" t="n">
        <v>1</v>
      </c>
      <c r="AM2536" t="n">
        <v>1</v>
      </c>
      <c r="AN2536" t="n">
        <v>0</v>
      </c>
      <c r="AO2536" t="n">
        <v>0</v>
      </c>
      <c r="AP2536" t="inlineStr">
        <is>
          <t>No</t>
        </is>
      </c>
      <c r="AQ2536" t="inlineStr">
        <is>
          <t>No</t>
        </is>
      </c>
      <c r="AS2536">
        <f>HYPERLINK("https://creighton-primo.hosted.exlibrisgroup.com/primo-explore/search?tab=default_tab&amp;search_scope=EVERYTHING&amp;vid=01CRU&amp;lang=en_US&amp;offset=0&amp;query=any,contains,991002072329702656","Catalog Record")</f>
        <v/>
      </c>
      <c r="AT2536">
        <f>HYPERLINK("http://www.worldcat.org/oclc/26547561","WorldCat Record")</f>
        <v/>
      </c>
      <c r="AU2536" t="inlineStr">
        <is>
          <t>355937869:eng</t>
        </is>
      </c>
      <c r="AV2536" t="inlineStr">
        <is>
          <t>26547561</t>
        </is>
      </c>
      <c r="AW2536" t="inlineStr">
        <is>
          <t>991002072329702656</t>
        </is>
      </c>
      <c r="AX2536" t="inlineStr">
        <is>
          <t>991002072329702656</t>
        </is>
      </c>
      <c r="AY2536" t="inlineStr">
        <is>
          <t>2260192850002656</t>
        </is>
      </c>
      <c r="AZ2536" t="inlineStr">
        <is>
          <t>BOOK</t>
        </is>
      </c>
      <c r="BB2536" t="inlineStr">
        <is>
          <t>9780814621639</t>
        </is>
      </c>
      <c r="BC2536" t="inlineStr">
        <is>
          <t>32285001991081</t>
        </is>
      </c>
      <c r="BD2536" t="inlineStr">
        <is>
          <t>893879469</t>
        </is>
      </c>
    </row>
    <row r="2537">
      <c r="A2537" t="inlineStr">
        <is>
          <t>No</t>
        </is>
      </c>
      <c r="B2537" t="inlineStr">
        <is>
          <t>BX4711.72 .P76 1982</t>
        </is>
      </c>
      <c r="C2537" t="inlineStr">
        <is>
          <t>0                      BX 4711720P  76          1982</t>
        </is>
      </c>
      <c r="D2537" t="inlineStr">
        <is>
          <t>Ukrainian Catholics in America : a history / Bohdan P. Procko.</t>
        </is>
      </c>
      <c r="F2537" t="inlineStr">
        <is>
          <t>No</t>
        </is>
      </c>
      <c r="G2537" t="inlineStr">
        <is>
          <t>1</t>
        </is>
      </c>
      <c r="H2537" t="inlineStr">
        <is>
          <t>No</t>
        </is>
      </c>
      <c r="I2537" t="inlineStr">
        <is>
          <t>No</t>
        </is>
      </c>
      <c r="J2537" t="inlineStr">
        <is>
          <t>0</t>
        </is>
      </c>
      <c r="K2537" t="inlineStr">
        <is>
          <t>Procko, Bohdan P.</t>
        </is>
      </c>
      <c r="L2537" t="inlineStr">
        <is>
          <t>Washington, D.C. : University Press of America, c1982.</t>
        </is>
      </c>
      <c r="M2537" t="inlineStr">
        <is>
          <t>1982</t>
        </is>
      </c>
      <c r="O2537" t="inlineStr">
        <is>
          <t>eng</t>
        </is>
      </c>
      <c r="P2537" t="inlineStr">
        <is>
          <t>dcu</t>
        </is>
      </c>
      <c r="R2537" t="inlineStr">
        <is>
          <t xml:space="preserve">BX </t>
        </is>
      </c>
      <c r="S2537" t="n">
        <v>2</v>
      </c>
      <c r="T2537" t="n">
        <v>2</v>
      </c>
      <c r="U2537" t="inlineStr">
        <is>
          <t>1997-04-21</t>
        </is>
      </c>
      <c r="V2537" t="inlineStr">
        <is>
          <t>1997-04-21</t>
        </is>
      </c>
      <c r="W2537" t="inlineStr">
        <is>
          <t>1992-04-03</t>
        </is>
      </c>
      <c r="X2537" t="inlineStr">
        <is>
          <t>1992-04-03</t>
        </is>
      </c>
      <c r="Y2537" t="n">
        <v>229</v>
      </c>
      <c r="Z2537" t="n">
        <v>202</v>
      </c>
      <c r="AA2537" t="n">
        <v>207</v>
      </c>
      <c r="AB2537" t="n">
        <v>2</v>
      </c>
      <c r="AC2537" t="n">
        <v>2</v>
      </c>
      <c r="AD2537" t="n">
        <v>22</v>
      </c>
      <c r="AE2537" t="n">
        <v>22</v>
      </c>
      <c r="AF2537" t="n">
        <v>6</v>
      </c>
      <c r="AG2537" t="n">
        <v>6</v>
      </c>
      <c r="AH2537" t="n">
        <v>8</v>
      </c>
      <c r="AI2537" t="n">
        <v>8</v>
      </c>
      <c r="AJ2537" t="n">
        <v>16</v>
      </c>
      <c r="AK2537" t="n">
        <v>16</v>
      </c>
      <c r="AL2537" t="n">
        <v>1</v>
      </c>
      <c r="AM2537" t="n">
        <v>1</v>
      </c>
      <c r="AN2537" t="n">
        <v>0</v>
      </c>
      <c r="AO2537" t="n">
        <v>0</v>
      </c>
      <c r="AP2537" t="inlineStr">
        <is>
          <t>No</t>
        </is>
      </c>
      <c r="AQ2537" t="inlineStr">
        <is>
          <t>Yes</t>
        </is>
      </c>
      <c r="AR2537">
        <f>HYPERLINK("http://catalog.hathitrust.org/Record/009924486","HathiTrust Record")</f>
        <v/>
      </c>
      <c r="AS2537">
        <f>HYPERLINK("https://creighton-primo.hosted.exlibrisgroup.com/primo-explore/search?tab=default_tab&amp;search_scope=EVERYTHING&amp;vid=01CRU&amp;lang=en_US&amp;offset=0&amp;query=any,contains,991005231899702656","Catalog Record")</f>
        <v/>
      </c>
      <c r="AT2537">
        <f>HYPERLINK("http://www.worldcat.org/oclc/8344687","WorldCat Record")</f>
        <v/>
      </c>
      <c r="AU2537" t="inlineStr">
        <is>
          <t>950247341:eng</t>
        </is>
      </c>
      <c r="AV2537" t="inlineStr">
        <is>
          <t>8344687</t>
        </is>
      </c>
      <c r="AW2537" t="inlineStr">
        <is>
          <t>991005231899702656</t>
        </is>
      </c>
      <c r="AX2537" t="inlineStr">
        <is>
          <t>991005231899702656</t>
        </is>
      </c>
      <c r="AY2537" t="inlineStr">
        <is>
          <t>2260727810002656</t>
        </is>
      </c>
      <c r="AZ2537" t="inlineStr">
        <is>
          <t>BOOK</t>
        </is>
      </c>
      <c r="BB2537" t="inlineStr">
        <is>
          <t>9780819124098</t>
        </is>
      </c>
      <c r="BC2537" t="inlineStr">
        <is>
          <t>32285001048999</t>
        </is>
      </c>
      <c r="BD2537" t="inlineStr">
        <is>
          <t>893694954</t>
        </is>
      </c>
    </row>
    <row r="2538">
      <c r="A2538" t="inlineStr">
        <is>
          <t>No</t>
        </is>
      </c>
      <c r="B2538" t="inlineStr">
        <is>
          <t>BX4722 .S43 1977</t>
        </is>
      </c>
      <c r="C2538" t="inlineStr">
        <is>
          <t>0                      BX 4722000S  43          1977</t>
        </is>
      </c>
      <c r="D2538" t="inlineStr">
        <is>
          <t>Jansenism in seventeenth-century France : voices from the wilderness / Alexander Sedgwick.</t>
        </is>
      </c>
      <c r="F2538" t="inlineStr">
        <is>
          <t>No</t>
        </is>
      </c>
      <c r="G2538" t="inlineStr">
        <is>
          <t>1</t>
        </is>
      </c>
      <c r="H2538" t="inlineStr">
        <is>
          <t>No</t>
        </is>
      </c>
      <c r="I2538" t="inlineStr">
        <is>
          <t>No</t>
        </is>
      </c>
      <c r="J2538" t="inlineStr">
        <is>
          <t>0</t>
        </is>
      </c>
      <c r="K2538" t="inlineStr">
        <is>
          <t>Sedgwick, Alexander, 1930-</t>
        </is>
      </c>
      <c r="L2538" t="inlineStr">
        <is>
          <t>Charlottesville : University Press of Virginia, 1977.</t>
        </is>
      </c>
      <c r="M2538" t="inlineStr">
        <is>
          <t>1977</t>
        </is>
      </c>
      <c r="O2538" t="inlineStr">
        <is>
          <t>eng</t>
        </is>
      </c>
      <c r="P2538" t="inlineStr">
        <is>
          <t>vau</t>
        </is>
      </c>
      <c r="R2538" t="inlineStr">
        <is>
          <t xml:space="preserve">BX </t>
        </is>
      </c>
      <c r="S2538" t="n">
        <v>3</v>
      </c>
      <c r="T2538" t="n">
        <v>3</v>
      </c>
      <c r="U2538" t="inlineStr">
        <is>
          <t>1997-06-25</t>
        </is>
      </c>
      <c r="V2538" t="inlineStr">
        <is>
          <t>1997-06-25</t>
        </is>
      </c>
      <c r="W2538" t="inlineStr">
        <is>
          <t>1992-04-03</t>
        </is>
      </c>
      <c r="X2538" t="inlineStr">
        <is>
          <t>1992-04-03</t>
        </is>
      </c>
      <c r="Y2538" t="n">
        <v>546</v>
      </c>
      <c r="Z2538" t="n">
        <v>463</v>
      </c>
      <c r="AA2538" t="n">
        <v>463</v>
      </c>
      <c r="AB2538" t="n">
        <v>6</v>
      </c>
      <c r="AC2538" t="n">
        <v>6</v>
      </c>
      <c r="AD2538" t="n">
        <v>29</v>
      </c>
      <c r="AE2538" t="n">
        <v>29</v>
      </c>
      <c r="AF2538" t="n">
        <v>8</v>
      </c>
      <c r="AG2538" t="n">
        <v>8</v>
      </c>
      <c r="AH2538" t="n">
        <v>7</v>
      </c>
      <c r="AI2538" t="n">
        <v>7</v>
      </c>
      <c r="AJ2538" t="n">
        <v>18</v>
      </c>
      <c r="AK2538" t="n">
        <v>18</v>
      </c>
      <c r="AL2538" t="n">
        <v>4</v>
      </c>
      <c r="AM2538" t="n">
        <v>4</v>
      </c>
      <c r="AN2538" t="n">
        <v>0</v>
      </c>
      <c r="AO2538" t="n">
        <v>0</v>
      </c>
      <c r="AP2538" t="inlineStr">
        <is>
          <t>No</t>
        </is>
      </c>
      <c r="AQ2538" t="inlineStr">
        <is>
          <t>No</t>
        </is>
      </c>
      <c r="AS2538">
        <f>HYPERLINK("https://creighton-primo.hosted.exlibrisgroup.com/primo-explore/search?tab=default_tab&amp;search_scope=EVERYTHING&amp;vid=01CRU&amp;lang=en_US&amp;offset=0&amp;query=any,contains,991004253799702656","Catalog Record")</f>
        <v/>
      </c>
      <c r="AT2538">
        <f>HYPERLINK("http://www.worldcat.org/oclc/2818484","WorldCat Record")</f>
        <v/>
      </c>
      <c r="AU2538" t="inlineStr">
        <is>
          <t>1044337022:eng</t>
        </is>
      </c>
      <c r="AV2538" t="inlineStr">
        <is>
          <t>2818484</t>
        </is>
      </c>
      <c r="AW2538" t="inlineStr">
        <is>
          <t>991004253799702656</t>
        </is>
      </c>
      <c r="AX2538" t="inlineStr">
        <is>
          <t>991004253799702656</t>
        </is>
      </c>
      <c r="AY2538" t="inlineStr">
        <is>
          <t>2265225420002656</t>
        </is>
      </c>
      <c r="AZ2538" t="inlineStr">
        <is>
          <t>BOOK</t>
        </is>
      </c>
      <c r="BB2538" t="inlineStr">
        <is>
          <t>9780813907024</t>
        </is>
      </c>
      <c r="BC2538" t="inlineStr">
        <is>
          <t>32285001049021</t>
        </is>
      </c>
      <c r="BD2538" t="inlineStr">
        <is>
          <t>893423571</t>
        </is>
      </c>
    </row>
    <row r="2539">
      <c r="A2539" t="inlineStr">
        <is>
          <t>No</t>
        </is>
      </c>
      <c r="B2539" t="inlineStr">
        <is>
          <t>BX4735.P26 M5 1969</t>
        </is>
      </c>
      <c r="C2539" t="inlineStr">
        <is>
          <t>0                      BX 4735000P  26                 M  5           1969</t>
        </is>
      </c>
      <c r="D2539" t="inlineStr">
        <is>
          <t>Pascal and theology / Jan Miel.</t>
        </is>
      </c>
      <c r="F2539" t="inlineStr">
        <is>
          <t>No</t>
        </is>
      </c>
      <c r="G2539" t="inlineStr">
        <is>
          <t>1</t>
        </is>
      </c>
      <c r="H2539" t="inlineStr">
        <is>
          <t>No</t>
        </is>
      </c>
      <c r="I2539" t="inlineStr">
        <is>
          <t>No</t>
        </is>
      </c>
      <c r="J2539" t="inlineStr">
        <is>
          <t>0</t>
        </is>
      </c>
      <c r="K2539" t="inlineStr">
        <is>
          <t>Miel, Jan.</t>
        </is>
      </c>
      <c r="L2539" t="inlineStr">
        <is>
          <t>Baltimore : Johns Hopkins Press, [c1969]</t>
        </is>
      </c>
      <c r="M2539" t="inlineStr">
        <is>
          <t>1969</t>
        </is>
      </c>
      <c r="O2539" t="inlineStr">
        <is>
          <t>eng</t>
        </is>
      </c>
      <c r="P2539" t="inlineStr">
        <is>
          <t>mdu</t>
        </is>
      </c>
      <c r="R2539" t="inlineStr">
        <is>
          <t xml:space="preserve">BX </t>
        </is>
      </c>
      <c r="S2539" t="n">
        <v>3</v>
      </c>
      <c r="T2539" t="n">
        <v>3</v>
      </c>
      <c r="U2539" t="inlineStr">
        <is>
          <t>2002-04-17</t>
        </is>
      </c>
      <c r="V2539" t="inlineStr">
        <is>
          <t>2002-04-17</t>
        </is>
      </c>
      <c r="W2539" t="inlineStr">
        <is>
          <t>1992-04-03</t>
        </is>
      </c>
      <c r="X2539" t="inlineStr">
        <is>
          <t>1992-04-03</t>
        </is>
      </c>
      <c r="Y2539" t="n">
        <v>794</v>
      </c>
      <c r="Z2539" t="n">
        <v>669</v>
      </c>
      <c r="AA2539" t="n">
        <v>761</v>
      </c>
      <c r="AB2539" t="n">
        <v>6</v>
      </c>
      <c r="AC2539" t="n">
        <v>7</v>
      </c>
      <c r="AD2539" t="n">
        <v>40</v>
      </c>
      <c r="AE2539" t="n">
        <v>44</v>
      </c>
      <c r="AF2539" t="n">
        <v>16</v>
      </c>
      <c r="AG2539" t="n">
        <v>19</v>
      </c>
      <c r="AH2539" t="n">
        <v>10</v>
      </c>
      <c r="AI2539" t="n">
        <v>11</v>
      </c>
      <c r="AJ2539" t="n">
        <v>21</v>
      </c>
      <c r="AK2539" t="n">
        <v>21</v>
      </c>
      <c r="AL2539" t="n">
        <v>4</v>
      </c>
      <c r="AM2539" t="n">
        <v>5</v>
      </c>
      <c r="AN2539" t="n">
        <v>0</v>
      </c>
      <c r="AO2539" t="n">
        <v>0</v>
      </c>
      <c r="AP2539" t="inlineStr">
        <is>
          <t>No</t>
        </is>
      </c>
      <c r="AQ2539" t="inlineStr">
        <is>
          <t>Yes</t>
        </is>
      </c>
      <c r="AR2539">
        <f>HYPERLINK("http://catalog.hathitrust.org/Record/001592356","HathiTrust Record")</f>
        <v/>
      </c>
      <c r="AS2539">
        <f>HYPERLINK("https://creighton-primo.hosted.exlibrisgroup.com/primo-explore/search?tab=default_tab&amp;search_scope=EVERYTHING&amp;vid=01CRU&amp;lang=en_US&amp;offset=0&amp;query=any,contains,991000216039702656","Catalog Record")</f>
        <v/>
      </c>
      <c r="AT2539">
        <f>HYPERLINK("http://www.worldcat.org/oclc/66804","WorldCat Record")</f>
        <v/>
      </c>
      <c r="AU2539" t="inlineStr">
        <is>
          <t>1232817:eng</t>
        </is>
      </c>
      <c r="AV2539" t="inlineStr">
        <is>
          <t>66804</t>
        </is>
      </c>
      <c r="AW2539" t="inlineStr">
        <is>
          <t>991000216039702656</t>
        </is>
      </c>
      <c r="AX2539" t="inlineStr">
        <is>
          <t>991000216039702656</t>
        </is>
      </c>
      <c r="AY2539" t="inlineStr">
        <is>
          <t>2258651250002656</t>
        </is>
      </c>
      <c r="AZ2539" t="inlineStr">
        <is>
          <t>BOOK</t>
        </is>
      </c>
      <c r="BB2539" t="inlineStr">
        <is>
          <t>9780801811012</t>
        </is>
      </c>
      <c r="BC2539" t="inlineStr">
        <is>
          <t>32285001049088</t>
        </is>
      </c>
      <c r="BD2539" t="inlineStr">
        <is>
          <t>893877899</t>
        </is>
      </c>
    </row>
    <row r="2540">
      <c r="A2540" t="inlineStr">
        <is>
          <t>No</t>
        </is>
      </c>
      <c r="B2540" t="inlineStr">
        <is>
          <t>BX4805.2 .R38 1987</t>
        </is>
      </c>
      <c r="C2540" t="inlineStr">
        <is>
          <t>0                      BX 4805200R  38          1987</t>
        </is>
      </c>
      <c r="D2540" t="inlineStr">
        <is>
          <t>Protestantism, its modern meaning / David A. Rausch and Carl Hermann Voss.</t>
        </is>
      </c>
      <c r="F2540" t="inlineStr">
        <is>
          <t>No</t>
        </is>
      </c>
      <c r="G2540" t="inlineStr">
        <is>
          <t>1</t>
        </is>
      </c>
      <c r="H2540" t="inlineStr">
        <is>
          <t>No</t>
        </is>
      </c>
      <c r="I2540" t="inlineStr">
        <is>
          <t>No</t>
        </is>
      </c>
      <c r="J2540" t="inlineStr">
        <is>
          <t>0</t>
        </is>
      </c>
      <c r="K2540" t="inlineStr">
        <is>
          <t>Rausch, David A.</t>
        </is>
      </c>
      <c r="L2540" t="inlineStr">
        <is>
          <t>Philadelphia : Fortress Press, c1987.</t>
        </is>
      </c>
      <c r="M2540" t="inlineStr">
        <is>
          <t>1987</t>
        </is>
      </c>
      <c r="O2540" t="inlineStr">
        <is>
          <t>eng</t>
        </is>
      </c>
      <c r="P2540" t="inlineStr">
        <is>
          <t>pau</t>
        </is>
      </c>
      <c r="R2540" t="inlineStr">
        <is>
          <t xml:space="preserve">BX </t>
        </is>
      </c>
      <c r="S2540" t="n">
        <v>5</v>
      </c>
      <c r="T2540" t="n">
        <v>5</v>
      </c>
      <c r="U2540" t="inlineStr">
        <is>
          <t>2000-12-11</t>
        </is>
      </c>
      <c r="V2540" t="inlineStr">
        <is>
          <t>2000-12-11</t>
        </is>
      </c>
      <c r="W2540" t="inlineStr">
        <is>
          <t>1990-02-16</t>
        </is>
      </c>
      <c r="X2540" t="inlineStr">
        <is>
          <t>1990-02-16</t>
        </is>
      </c>
      <c r="Y2540" t="n">
        <v>263</v>
      </c>
      <c r="Z2540" t="n">
        <v>221</v>
      </c>
      <c r="AA2540" t="n">
        <v>226</v>
      </c>
      <c r="AB2540" t="n">
        <v>3</v>
      </c>
      <c r="AC2540" t="n">
        <v>3</v>
      </c>
      <c r="AD2540" t="n">
        <v>19</v>
      </c>
      <c r="AE2540" t="n">
        <v>19</v>
      </c>
      <c r="AF2540" t="n">
        <v>11</v>
      </c>
      <c r="AG2540" t="n">
        <v>11</v>
      </c>
      <c r="AH2540" t="n">
        <v>2</v>
      </c>
      <c r="AI2540" t="n">
        <v>2</v>
      </c>
      <c r="AJ2540" t="n">
        <v>9</v>
      </c>
      <c r="AK2540" t="n">
        <v>9</v>
      </c>
      <c r="AL2540" t="n">
        <v>2</v>
      </c>
      <c r="AM2540" t="n">
        <v>2</v>
      </c>
      <c r="AN2540" t="n">
        <v>0</v>
      </c>
      <c r="AO2540" t="n">
        <v>0</v>
      </c>
      <c r="AP2540" t="inlineStr">
        <is>
          <t>No</t>
        </is>
      </c>
      <c r="AQ2540" t="inlineStr">
        <is>
          <t>No</t>
        </is>
      </c>
      <c r="AS2540">
        <f>HYPERLINK("https://creighton-primo.hosted.exlibrisgroup.com/primo-explore/search?tab=default_tab&amp;search_scope=EVERYTHING&amp;vid=01CRU&amp;lang=en_US&amp;offset=0&amp;query=any,contains,991001066819702656","Catalog Record")</f>
        <v/>
      </c>
      <c r="AT2540">
        <f>HYPERLINK("http://www.worldcat.org/oclc/15794019","WorldCat Record")</f>
        <v/>
      </c>
      <c r="AU2540" t="inlineStr">
        <is>
          <t>11636974:eng</t>
        </is>
      </c>
      <c r="AV2540" t="inlineStr">
        <is>
          <t>15794019</t>
        </is>
      </c>
      <c r="AW2540" t="inlineStr">
        <is>
          <t>991001066819702656</t>
        </is>
      </c>
      <c r="AX2540" t="inlineStr">
        <is>
          <t>991001066819702656</t>
        </is>
      </c>
      <c r="AY2540" t="inlineStr">
        <is>
          <t>2262336410002656</t>
        </is>
      </c>
      <c r="AZ2540" t="inlineStr">
        <is>
          <t>BOOK</t>
        </is>
      </c>
      <c r="BB2540" t="inlineStr">
        <is>
          <t>9780800620608</t>
        </is>
      </c>
      <c r="BC2540" t="inlineStr">
        <is>
          <t>32285000038868</t>
        </is>
      </c>
      <c r="BD2540" t="inlineStr">
        <is>
          <t>893534418</t>
        </is>
      </c>
    </row>
    <row r="2541">
      <c r="A2541" t="inlineStr">
        <is>
          <t>No</t>
        </is>
      </c>
      <c r="B2541" t="inlineStr">
        <is>
          <t>BX4811 .H3</t>
        </is>
      </c>
      <c r="C2541" t="inlineStr">
        <is>
          <t>0                      BX 4811000H  3</t>
        </is>
      </c>
      <c r="D2541" t="inlineStr">
        <is>
          <t>Christianity in conflict; a Catholic view of Protestantism.</t>
        </is>
      </c>
      <c r="F2541" t="inlineStr">
        <is>
          <t>No</t>
        </is>
      </c>
      <c r="G2541" t="inlineStr">
        <is>
          <t>1</t>
        </is>
      </c>
      <c r="H2541" t="inlineStr">
        <is>
          <t>No</t>
        </is>
      </c>
      <c r="I2541" t="inlineStr">
        <is>
          <t>No</t>
        </is>
      </c>
      <c r="J2541" t="inlineStr">
        <is>
          <t>0</t>
        </is>
      </c>
      <c r="K2541" t="inlineStr">
        <is>
          <t>Hardon, John A.</t>
        </is>
      </c>
      <c r="L2541" t="inlineStr">
        <is>
          <t>Westminster, Md., Newman Press, 1959.</t>
        </is>
      </c>
      <c r="M2541" t="inlineStr">
        <is>
          <t>1959</t>
        </is>
      </c>
      <c r="O2541" t="inlineStr">
        <is>
          <t>eng</t>
        </is>
      </c>
      <c r="P2541" t="inlineStr">
        <is>
          <t>___</t>
        </is>
      </c>
      <c r="R2541" t="inlineStr">
        <is>
          <t xml:space="preserve">BX </t>
        </is>
      </c>
      <c r="S2541" t="n">
        <v>2</v>
      </c>
      <c r="T2541" t="n">
        <v>2</v>
      </c>
      <c r="U2541" t="inlineStr">
        <is>
          <t>2005-11-07</t>
        </is>
      </c>
      <c r="V2541" t="inlineStr">
        <is>
          <t>2005-11-07</t>
        </is>
      </c>
      <c r="W2541" t="inlineStr">
        <is>
          <t>1992-04-09</t>
        </is>
      </c>
      <c r="X2541" t="inlineStr">
        <is>
          <t>1992-04-09</t>
        </is>
      </c>
      <c r="Y2541" t="n">
        <v>333</v>
      </c>
      <c r="Z2541" t="n">
        <v>309</v>
      </c>
      <c r="AA2541" t="n">
        <v>314</v>
      </c>
      <c r="AB2541" t="n">
        <v>3</v>
      </c>
      <c r="AC2541" t="n">
        <v>3</v>
      </c>
      <c r="AD2541" t="n">
        <v>31</v>
      </c>
      <c r="AE2541" t="n">
        <v>31</v>
      </c>
      <c r="AF2541" t="n">
        <v>12</v>
      </c>
      <c r="AG2541" t="n">
        <v>12</v>
      </c>
      <c r="AH2541" t="n">
        <v>8</v>
      </c>
      <c r="AI2541" t="n">
        <v>8</v>
      </c>
      <c r="AJ2541" t="n">
        <v>23</v>
      </c>
      <c r="AK2541" t="n">
        <v>23</v>
      </c>
      <c r="AL2541" t="n">
        <v>0</v>
      </c>
      <c r="AM2541" t="n">
        <v>0</v>
      </c>
      <c r="AN2541" t="n">
        <v>0</v>
      </c>
      <c r="AO2541" t="n">
        <v>0</v>
      </c>
      <c r="AP2541" t="inlineStr">
        <is>
          <t>No</t>
        </is>
      </c>
      <c r="AQ2541" t="inlineStr">
        <is>
          <t>No</t>
        </is>
      </c>
      <c r="AS2541">
        <f>HYPERLINK("https://creighton-primo.hosted.exlibrisgroup.com/primo-explore/search?tab=default_tab&amp;search_scope=EVERYTHING&amp;vid=01CRU&amp;lang=en_US&amp;offset=0&amp;query=any,contains,991002439019702656","Catalog Record")</f>
        <v/>
      </c>
      <c r="AT2541">
        <f>HYPERLINK("http://www.worldcat.org/oclc/349622","WorldCat Record")</f>
        <v/>
      </c>
      <c r="AU2541" t="inlineStr">
        <is>
          <t>314610224:eng</t>
        </is>
      </c>
      <c r="AV2541" t="inlineStr">
        <is>
          <t>349622</t>
        </is>
      </c>
      <c r="AW2541" t="inlineStr">
        <is>
          <t>991002439019702656</t>
        </is>
      </c>
      <c r="AX2541" t="inlineStr">
        <is>
          <t>991002439019702656</t>
        </is>
      </c>
      <c r="AY2541" t="inlineStr">
        <is>
          <t>2267278240002656</t>
        </is>
      </c>
      <c r="AZ2541" t="inlineStr">
        <is>
          <t>BOOK</t>
        </is>
      </c>
      <c r="BC2541" t="inlineStr">
        <is>
          <t>32285001049856</t>
        </is>
      </c>
      <c r="BD2541" t="inlineStr">
        <is>
          <t>893779817</t>
        </is>
      </c>
    </row>
    <row r="2542">
      <c r="A2542" t="inlineStr">
        <is>
          <t>No</t>
        </is>
      </c>
      <c r="B2542" t="inlineStr">
        <is>
          <t>BX4815.T54 E8</t>
        </is>
      </c>
      <c r="C2542" t="inlineStr">
        <is>
          <t>0                      BX 4815000T  54                 E  8</t>
        </is>
      </c>
      <c r="D2542" t="inlineStr">
        <is>
          <t>The eternal now / by Paul Tillich.</t>
        </is>
      </c>
      <c r="F2542" t="inlineStr">
        <is>
          <t>No</t>
        </is>
      </c>
      <c r="G2542" t="inlineStr">
        <is>
          <t>1</t>
        </is>
      </c>
      <c r="H2542" t="inlineStr">
        <is>
          <t>Yes</t>
        </is>
      </c>
      <c r="I2542" t="inlineStr">
        <is>
          <t>No</t>
        </is>
      </c>
      <c r="J2542" t="inlineStr">
        <is>
          <t>0</t>
        </is>
      </c>
      <c r="K2542" t="inlineStr">
        <is>
          <t>Tillich, Paul, 1886-1965.</t>
        </is>
      </c>
      <c r="L2542" t="inlineStr">
        <is>
          <t>New York : Scribner, [1963]</t>
        </is>
      </c>
      <c r="M2542" t="inlineStr">
        <is>
          <t>1963</t>
        </is>
      </c>
      <c r="O2542" t="inlineStr">
        <is>
          <t>eng</t>
        </is>
      </c>
      <c r="P2542" t="inlineStr">
        <is>
          <t>nyu</t>
        </is>
      </c>
      <c r="R2542" t="inlineStr">
        <is>
          <t xml:space="preserve">BX </t>
        </is>
      </c>
      <c r="S2542" t="n">
        <v>1</v>
      </c>
      <c r="T2542" t="n">
        <v>3</v>
      </c>
      <c r="U2542" t="inlineStr">
        <is>
          <t>1994-03-24</t>
        </is>
      </c>
      <c r="V2542" t="inlineStr">
        <is>
          <t>1994-03-24</t>
        </is>
      </c>
      <c r="W2542" t="inlineStr">
        <is>
          <t>1992-04-09</t>
        </is>
      </c>
      <c r="X2542" t="inlineStr">
        <is>
          <t>1992-04-09</t>
        </is>
      </c>
      <c r="Y2542" t="n">
        <v>1499</v>
      </c>
      <c r="Z2542" t="n">
        <v>1390</v>
      </c>
      <c r="AA2542" t="n">
        <v>1415</v>
      </c>
      <c r="AB2542" t="n">
        <v>13</v>
      </c>
      <c r="AC2542" t="n">
        <v>13</v>
      </c>
      <c r="AD2542" t="n">
        <v>49</v>
      </c>
      <c r="AE2542" t="n">
        <v>51</v>
      </c>
      <c r="AF2542" t="n">
        <v>20</v>
      </c>
      <c r="AG2542" t="n">
        <v>22</v>
      </c>
      <c r="AH2542" t="n">
        <v>9</v>
      </c>
      <c r="AI2542" t="n">
        <v>9</v>
      </c>
      <c r="AJ2542" t="n">
        <v>25</v>
      </c>
      <c r="AK2542" t="n">
        <v>25</v>
      </c>
      <c r="AL2542" t="n">
        <v>8</v>
      </c>
      <c r="AM2542" t="n">
        <v>8</v>
      </c>
      <c r="AN2542" t="n">
        <v>0</v>
      </c>
      <c r="AO2542" t="n">
        <v>0</v>
      </c>
      <c r="AP2542" t="inlineStr">
        <is>
          <t>No</t>
        </is>
      </c>
      <c r="AQ2542" t="inlineStr">
        <is>
          <t>No</t>
        </is>
      </c>
      <c r="AS2542">
        <f>HYPERLINK("https://creighton-primo.hosted.exlibrisgroup.com/primo-explore/search?tab=default_tab&amp;search_scope=EVERYTHING&amp;vid=01CRU&amp;lang=en_US&amp;offset=0&amp;query=any,contains,991002483829702656","Catalog Record")</f>
        <v/>
      </c>
      <c r="AT2542">
        <f>HYPERLINK("http://www.worldcat.org/oclc/360426","WorldCat Record")</f>
        <v/>
      </c>
      <c r="AU2542" t="inlineStr">
        <is>
          <t>1097245076:eng</t>
        </is>
      </c>
      <c r="AV2542" t="inlineStr">
        <is>
          <t>360426</t>
        </is>
      </c>
      <c r="AW2542" t="inlineStr">
        <is>
          <t>991002483829702656</t>
        </is>
      </c>
      <c r="AX2542" t="inlineStr">
        <is>
          <t>991002483829702656</t>
        </is>
      </c>
      <c r="AY2542" t="inlineStr">
        <is>
          <t>2263838690002656</t>
        </is>
      </c>
      <c r="AZ2542" t="inlineStr">
        <is>
          <t>BOOK</t>
        </is>
      </c>
      <c r="BC2542" t="inlineStr">
        <is>
          <t>32285001049914</t>
        </is>
      </c>
      <c r="BD2542" t="inlineStr">
        <is>
          <t>893597500</t>
        </is>
      </c>
    </row>
    <row r="2543">
      <c r="A2543" t="inlineStr">
        <is>
          <t>No</t>
        </is>
      </c>
      <c r="B2543" t="inlineStr">
        <is>
          <t>BX4815.T54 E8</t>
        </is>
      </c>
      <c r="C2543" t="inlineStr">
        <is>
          <t>0                      BX 4815000T  54                 E  8</t>
        </is>
      </c>
      <c r="D2543" t="inlineStr">
        <is>
          <t>The eternal now / by Paul Tillich.</t>
        </is>
      </c>
      <c r="F2543" t="inlineStr">
        <is>
          <t>No</t>
        </is>
      </c>
      <c r="G2543" t="inlineStr">
        <is>
          <t>1</t>
        </is>
      </c>
      <c r="H2543" t="inlineStr">
        <is>
          <t>Yes</t>
        </is>
      </c>
      <c r="I2543" t="inlineStr">
        <is>
          <t>No</t>
        </is>
      </c>
      <c r="J2543" t="inlineStr">
        <is>
          <t>0</t>
        </is>
      </c>
      <c r="K2543" t="inlineStr">
        <is>
          <t>Tillich, Paul, 1886-1965.</t>
        </is>
      </c>
      <c r="L2543" t="inlineStr">
        <is>
          <t>New York : Scribner, [1963]</t>
        </is>
      </c>
      <c r="M2543" t="inlineStr">
        <is>
          <t>1963</t>
        </is>
      </c>
      <c r="O2543" t="inlineStr">
        <is>
          <t>eng</t>
        </is>
      </c>
      <c r="P2543" t="inlineStr">
        <is>
          <t>nyu</t>
        </is>
      </c>
      <c r="R2543" t="inlineStr">
        <is>
          <t xml:space="preserve">BX </t>
        </is>
      </c>
      <c r="S2543" t="n">
        <v>2</v>
      </c>
      <c r="T2543" t="n">
        <v>3</v>
      </c>
      <c r="U2543" t="inlineStr">
        <is>
          <t>1993-09-12</t>
        </is>
      </c>
      <c r="V2543" t="inlineStr">
        <is>
          <t>1994-03-24</t>
        </is>
      </c>
      <c r="W2543" t="inlineStr">
        <is>
          <t>1992-04-09</t>
        </is>
      </c>
      <c r="X2543" t="inlineStr">
        <is>
          <t>1992-04-09</t>
        </is>
      </c>
      <c r="Y2543" t="n">
        <v>1499</v>
      </c>
      <c r="Z2543" t="n">
        <v>1390</v>
      </c>
      <c r="AA2543" t="n">
        <v>1415</v>
      </c>
      <c r="AB2543" t="n">
        <v>13</v>
      </c>
      <c r="AC2543" t="n">
        <v>13</v>
      </c>
      <c r="AD2543" t="n">
        <v>49</v>
      </c>
      <c r="AE2543" t="n">
        <v>51</v>
      </c>
      <c r="AF2543" t="n">
        <v>20</v>
      </c>
      <c r="AG2543" t="n">
        <v>22</v>
      </c>
      <c r="AH2543" t="n">
        <v>9</v>
      </c>
      <c r="AI2543" t="n">
        <v>9</v>
      </c>
      <c r="AJ2543" t="n">
        <v>25</v>
      </c>
      <c r="AK2543" t="n">
        <v>25</v>
      </c>
      <c r="AL2543" t="n">
        <v>8</v>
      </c>
      <c r="AM2543" t="n">
        <v>8</v>
      </c>
      <c r="AN2543" t="n">
        <v>0</v>
      </c>
      <c r="AO2543" t="n">
        <v>0</v>
      </c>
      <c r="AP2543" t="inlineStr">
        <is>
          <t>No</t>
        </is>
      </c>
      <c r="AQ2543" t="inlineStr">
        <is>
          <t>No</t>
        </is>
      </c>
      <c r="AS2543">
        <f>HYPERLINK("https://creighton-primo.hosted.exlibrisgroup.com/primo-explore/search?tab=default_tab&amp;search_scope=EVERYTHING&amp;vid=01CRU&amp;lang=en_US&amp;offset=0&amp;query=any,contains,991002483829702656","Catalog Record")</f>
        <v/>
      </c>
      <c r="AT2543">
        <f>HYPERLINK("http://www.worldcat.org/oclc/360426","WorldCat Record")</f>
        <v/>
      </c>
      <c r="AU2543" t="inlineStr">
        <is>
          <t>1097245076:eng</t>
        </is>
      </c>
      <c r="AV2543" t="inlineStr">
        <is>
          <t>360426</t>
        </is>
      </c>
      <c r="AW2543" t="inlineStr">
        <is>
          <t>991002483829702656</t>
        </is>
      </c>
      <c r="AX2543" t="inlineStr">
        <is>
          <t>991002483829702656</t>
        </is>
      </c>
      <c r="AY2543" t="inlineStr">
        <is>
          <t>2263838690002656</t>
        </is>
      </c>
      <c r="AZ2543" t="inlineStr">
        <is>
          <t>BOOK</t>
        </is>
      </c>
      <c r="BC2543" t="inlineStr">
        <is>
          <t>32285001049922</t>
        </is>
      </c>
      <c r="BD2543" t="inlineStr">
        <is>
          <t>893591394</t>
        </is>
      </c>
    </row>
    <row r="2544">
      <c r="A2544" t="inlineStr">
        <is>
          <t>No</t>
        </is>
      </c>
      <c r="B2544" t="inlineStr">
        <is>
          <t>BX4817 .A3</t>
        </is>
      </c>
      <c r="C2544" t="inlineStr">
        <is>
          <t>0                      BX 4817000A  3</t>
        </is>
      </c>
      <c r="D2544" t="inlineStr">
        <is>
          <t>One and holy / by Karl Adam ; translated by Cecily Hastings.</t>
        </is>
      </c>
      <c r="F2544" t="inlineStr">
        <is>
          <t>No</t>
        </is>
      </c>
      <c r="G2544" t="inlineStr">
        <is>
          <t>1</t>
        </is>
      </c>
      <c r="H2544" t="inlineStr">
        <is>
          <t>No</t>
        </is>
      </c>
      <c r="I2544" t="inlineStr">
        <is>
          <t>No</t>
        </is>
      </c>
      <c r="J2544" t="inlineStr">
        <is>
          <t>0</t>
        </is>
      </c>
      <c r="K2544" t="inlineStr">
        <is>
          <t>Adam, Karl, 1876-1966.</t>
        </is>
      </c>
      <c r="L2544" t="inlineStr">
        <is>
          <t>New York : Sheed and Ward, 1951.</t>
        </is>
      </c>
      <c r="M2544" t="inlineStr">
        <is>
          <t>1951</t>
        </is>
      </c>
      <c r="O2544" t="inlineStr">
        <is>
          <t>eng</t>
        </is>
      </c>
      <c r="P2544" t="inlineStr">
        <is>
          <t>___</t>
        </is>
      </c>
      <c r="R2544" t="inlineStr">
        <is>
          <t xml:space="preserve">BX </t>
        </is>
      </c>
      <c r="S2544" t="n">
        <v>5</v>
      </c>
      <c r="T2544" t="n">
        <v>5</v>
      </c>
      <c r="U2544" t="inlineStr">
        <is>
          <t>2001-11-15</t>
        </is>
      </c>
      <c r="V2544" t="inlineStr">
        <is>
          <t>2001-11-15</t>
        </is>
      </c>
      <c r="W2544" t="inlineStr">
        <is>
          <t>1992-04-09</t>
        </is>
      </c>
      <c r="X2544" t="inlineStr">
        <is>
          <t>1992-04-09</t>
        </is>
      </c>
      <c r="Y2544" t="n">
        <v>304</v>
      </c>
      <c r="Z2544" t="n">
        <v>279</v>
      </c>
      <c r="AA2544" t="n">
        <v>440</v>
      </c>
      <c r="AB2544" t="n">
        <v>3</v>
      </c>
      <c r="AC2544" t="n">
        <v>4</v>
      </c>
      <c r="AD2544" t="n">
        <v>29</v>
      </c>
      <c r="AE2544" t="n">
        <v>37</v>
      </c>
      <c r="AF2544" t="n">
        <v>9</v>
      </c>
      <c r="AG2544" t="n">
        <v>15</v>
      </c>
      <c r="AH2544" t="n">
        <v>7</v>
      </c>
      <c r="AI2544" t="n">
        <v>10</v>
      </c>
      <c r="AJ2544" t="n">
        <v>20</v>
      </c>
      <c r="AK2544" t="n">
        <v>21</v>
      </c>
      <c r="AL2544" t="n">
        <v>1</v>
      </c>
      <c r="AM2544" t="n">
        <v>2</v>
      </c>
      <c r="AN2544" t="n">
        <v>0</v>
      </c>
      <c r="AO2544" t="n">
        <v>0</v>
      </c>
      <c r="AP2544" t="inlineStr">
        <is>
          <t>No</t>
        </is>
      </c>
      <c r="AQ2544" t="inlineStr">
        <is>
          <t>Yes</t>
        </is>
      </c>
      <c r="AR2544">
        <f>HYPERLINK("http://catalog.hathitrust.org/Record/010014354","HathiTrust Record")</f>
        <v/>
      </c>
      <c r="AS2544">
        <f>HYPERLINK("https://creighton-primo.hosted.exlibrisgroup.com/primo-explore/search?tab=default_tab&amp;search_scope=EVERYTHING&amp;vid=01CRU&amp;lang=en_US&amp;offset=0&amp;query=any,contains,991003474829702656","Catalog Record")</f>
        <v/>
      </c>
      <c r="AT2544">
        <f>HYPERLINK("http://www.worldcat.org/oclc/1018957","WorldCat Record")</f>
        <v/>
      </c>
      <c r="AU2544" t="inlineStr">
        <is>
          <t>5481449031:eng</t>
        </is>
      </c>
      <c r="AV2544" t="inlineStr">
        <is>
          <t>1018957</t>
        </is>
      </c>
      <c r="AW2544" t="inlineStr">
        <is>
          <t>991003474829702656</t>
        </is>
      </c>
      <c r="AX2544" t="inlineStr">
        <is>
          <t>991003474829702656</t>
        </is>
      </c>
      <c r="AY2544" t="inlineStr">
        <is>
          <t>2259406890002656</t>
        </is>
      </c>
      <c r="AZ2544" t="inlineStr">
        <is>
          <t>BOOK</t>
        </is>
      </c>
      <c r="BC2544" t="inlineStr">
        <is>
          <t>32285001049948</t>
        </is>
      </c>
      <c r="BD2544" t="inlineStr">
        <is>
          <t>893416407</t>
        </is>
      </c>
    </row>
    <row r="2545">
      <c r="A2545" t="inlineStr">
        <is>
          <t>No</t>
        </is>
      </c>
      <c r="B2545" t="inlineStr">
        <is>
          <t>BX4817 .B32</t>
        </is>
      </c>
      <c r="C2545" t="inlineStr">
        <is>
          <t>0                      BX 4817000B  32</t>
        </is>
      </c>
      <c r="D2545" t="inlineStr">
        <is>
          <t>To see Peter : a Lutheran minister's journey to the Eternal City / by Richard Baumann ; translated by John M. Oesterreicher.</t>
        </is>
      </c>
      <c r="F2545" t="inlineStr">
        <is>
          <t>No</t>
        </is>
      </c>
      <c r="G2545" t="inlineStr">
        <is>
          <t>1</t>
        </is>
      </c>
      <c r="H2545" t="inlineStr">
        <is>
          <t>No</t>
        </is>
      </c>
      <c r="I2545" t="inlineStr">
        <is>
          <t>No</t>
        </is>
      </c>
      <c r="J2545" t="inlineStr">
        <is>
          <t>0</t>
        </is>
      </c>
      <c r="K2545" t="inlineStr">
        <is>
          <t>Baumann, Richard, 1899-</t>
        </is>
      </c>
      <c r="L2545" t="inlineStr">
        <is>
          <t>New York : D. McKay Co., [1953]</t>
        </is>
      </c>
      <c r="M2545" t="inlineStr">
        <is>
          <t>1953</t>
        </is>
      </c>
      <c r="O2545" t="inlineStr">
        <is>
          <t>eng</t>
        </is>
      </c>
      <c r="P2545" t="inlineStr">
        <is>
          <t>___</t>
        </is>
      </c>
      <c r="R2545" t="inlineStr">
        <is>
          <t xml:space="preserve">BX </t>
        </is>
      </c>
      <c r="S2545" t="n">
        <v>1</v>
      </c>
      <c r="T2545" t="n">
        <v>1</v>
      </c>
      <c r="U2545" t="inlineStr">
        <is>
          <t>2001-10-24</t>
        </is>
      </c>
      <c r="V2545" t="inlineStr">
        <is>
          <t>2001-10-24</t>
        </is>
      </c>
      <c r="W2545" t="inlineStr">
        <is>
          <t>1992-04-09</t>
        </is>
      </c>
      <c r="X2545" t="inlineStr">
        <is>
          <t>1992-04-09</t>
        </is>
      </c>
      <c r="Y2545" t="n">
        <v>136</v>
      </c>
      <c r="Z2545" t="n">
        <v>125</v>
      </c>
      <c r="AA2545" t="n">
        <v>125</v>
      </c>
      <c r="AB2545" t="n">
        <v>3</v>
      </c>
      <c r="AC2545" t="n">
        <v>3</v>
      </c>
      <c r="AD2545" t="n">
        <v>17</v>
      </c>
      <c r="AE2545" t="n">
        <v>17</v>
      </c>
      <c r="AF2545" t="n">
        <v>4</v>
      </c>
      <c r="AG2545" t="n">
        <v>4</v>
      </c>
      <c r="AH2545" t="n">
        <v>4</v>
      </c>
      <c r="AI2545" t="n">
        <v>4</v>
      </c>
      <c r="AJ2545" t="n">
        <v>13</v>
      </c>
      <c r="AK2545" t="n">
        <v>13</v>
      </c>
      <c r="AL2545" t="n">
        <v>1</v>
      </c>
      <c r="AM2545" t="n">
        <v>1</v>
      </c>
      <c r="AN2545" t="n">
        <v>0</v>
      </c>
      <c r="AO2545" t="n">
        <v>0</v>
      </c>
      <c r="AP2545" t="inlineStr">
        <is>
          <t>No</t>
        </is>
      </c>
      <c r="AQ2545" t="inlineStr">
        <is>
          <t>No</t>
        </is>
      </c>
      <c r="AS2545">
        <f>HYPERLINK("https://creighton-primo.hosted.exlibrisgroup.com/primo-explore/search?tab=default_tab&amp;search_scope=EVERYTHING&amp;vid=01CRU&amp;lang=en_US&amp;offset=0&amp;query=any,contains,991003324629702656","Catalog Record")</f>
        <v/>
      </c>
      <c r="AT2545">
        <f>HYPERLINK("http://www.worldcat.org/oclc/656622","WorldCat Record")</f>
        <v/>
      </c>
      <c r="AU2545" t="inlineStr">
        <is>
          <t>9381499423:eng</t>
        </is>
      </c>
      <c r="AV2545" t="inlineStr">
        <is>
          <t>656622</t>
        </is>
      </c>
      <c r="AW2545" t="inlineStr">
        <is>
          <t>991003324629702656</t>
        </is>
      </c>
      <c r="AX2545" t="inlineStr">
        <is>
          <t>991003324629702656</t>
        </is>
      </c>
      <c r="AY2545" t="inlineStr">
        <is>
          <t>2264805220002656</t>
        </is>
      </c>
      <c r="AZ2545" t="inlineStr">
        <is>
          <t>BOOK</t>
        </is>
      </c>
      <c r="BC2545" t="inlineStr">
        <is>
          <t>32285001049955</t>
        </is>
      </c>
      <c r="BD2545" t="inlineStr">
        <is>
          <t>893524686</t>
        </is>
      </c>
    </row>
    <row r="2546">
      <c r="A2546" t="inlineStr">
        <is>
          <t>No</t>
        </is>
      </c>
      <c r="B2546" t="inlineStr">
        <is>
          <t>BX4817 .C36 2003</t>
        </is>
      </c>
      <c r="C2546" t="inlineStr">
        <is>
          <t>0                      BX 4817000C  36          2003</t>
        </is>
      </c>
      <c r="D2546" t="inlineStr">
        <is>
          <t>Mere discipleship : radical Christianity in a rebellious world / Lee C. Camp.</t>
        </is>
      </c>
      <c r="F2546" t="inlineStr">
        <is>
          <t>No</t>
        </is>
      </c>
      <c r="G2546" t="inlineStr">
        <is>
          <t>1</t>
        </is>
      </c>
      <c r="H2546" t="inlineStr">
        <is>
          <t>No</t>
        </is>
      </c>
      <c r="I2546" t="inlineStr">
        <is>
          <t>No</t>
        </is>
      </c>
      <c r="J2546" t="inlineStr">
        <is>
          <t>0</t>
        </is>
      </c>
      <c r="K2546" t="inlineStr">
        <is>
          <t>Camp, Lee C.</t>
        </is>
      </c>
      <c r="L2546" t="inlineStr">
        <is>
          <t>Grand Rapids : Brazos Press, c2003.</t>
        </is>
      </c>
      <c r="M2546" t="inlineStr">
        <is>
          <t>2003</t>
        </is>
      </c>
      <c r="O2546" t="inlineStr">
        <is>
          <t>eng</t>
        </is>
      </c>
      <c r="P2546" t="inlineStr">
        <is>
          <t>miu</t>
        </is>
      </c>
      <c r="R2546" t="inlineStr">
        <is>
          <t xml:space="preserve">BX </t>
        </is>
      </c>
      <c r="S2546" t="n">
        <v>1</v>
      </c>
      <c r="T2546" t="n">
        <v>1</v>
      </c>
      <c r="U2546" t="inlineStr">
        <is>
          <t>2005-01-04</t>
        </is>
      </c>
      <c r="V2546" t="inlineStr">
        <is>
          <t>2005-01-04</t>
        </is>
      </c>
      <c r="W2546" t="inlineStr">
        <is>
          <t>2005-01-04</t>
        </is>
      </c>
      <c r="X2546" t="inlineStr">
        <is>
          <t>2005-01-04</t>
        </is>
      </c>
      <c r="Y2546" t="n">
        <v>310</v>
      </c>
      <c r="Z2546" t="n">
        <v>284</v>
      </c>
      <c r="AA2546" t="n">
        <v>367</v>
      </c>
      <c r="AB2546" t="n">
        <v>2</v>
      </c>
      <c r="AC2546" t="n">
        <v>2</v>
      </c>
      <c r="AD2546" t="n">
        <v>15</v>
      </c>
      <c r="AE2546" t="n">
        <v>16</v>
      </c>
      <c r="AF2546" t="n">
        <v>7</v>
      </c>
      <c r="AG2546" t="n">
        <v>8</v>
      </c>
      <c r="AH2546" t="n">
        <v>3</v>
      </c>
      <c r="AI2546" t="n">
        <v>4</v>
      </c>
      <c r="AJ2546" t="n">
        <v>8</v>
      </c>
      <c r="AK2546" t="n">
        <v>8</v>
      </c>
      <c r="AL2546" t="n">
        <v>1</v>
      </c>
      <c r="AM2546" t="n">
        <v>1</v>
      </c>
      <c r="AN2546" t="n">
        <v>0</v>
      </c>
      <c r="AO2546" t="n">
        <v>0</v>
      </c>
      <c r="AP2546" t="inlineStr">
        <is>
          <t>No</t>
        </is>
      </c>
      <c r="AQ2546" t="inlineStr">
        <is>
          <t>No</t>
        </is>
      </c>
      <c r="AS2546">
        <f>HYPERLINK("https://creighton-primo.hosted.exlibrisgroup.com/primo-explore/search?tab=default_tab&amp;search_scope=EVERYTHING&amp;vid=01CRU&amp;lang=en_US&amp;offset=0&amp;query=any,contains,991004428629702656","Catalog Record")</f>
        <v/>
      </c>
      <c r="AT2546">
        <f>HYPERLINK("http://www.worldcat.org/oclc/52714469","WorldCat Record")</f>
        <v/>
      </c>
      <c r="AU2546" t="inlineStr">
        <is>
          <t>908774832:eng</t>
        </is>
      </c>
      <c r="AV2546" t="inlineStr">
        <is>
          <t>52714469</t>
        </is>
      </c>
      <c r="AW2546" t="inlineStr">
        <is>
          <t>991004428629702656</t>
        </is>
      </c>
      <c r="AX2546" t="inlineStr">
        <is>
          <t>991004428629702656</t>
        </is>
      </c>
      <c r="AY2546" t="inlineStr">
        <is>
          <t>2255120670002656</t>
        </is>
      </c>
      <c r="AZ2546" t="inlineStr">
        <is>
          <t>BOOK</t>
        </is>
      </c>
      <c r="BB2546" t="inlineStr">
        <is>
          <t>9781587430497</t>
        </is>
      </c>
      <c r="BC2546" t="inlineStr">
        <is>
          <t>32285005018485</t>
        </is>
      </c>
      <c r="BD2546" t="inlineStr">
        <is>
          <t>893606024</t>
        </is>
      </c>
    </row>
    <row r="2547">
      <c r="A2547" t="inlineStr">
        <is>
          <t>No</t>
        </is>
      </c>
      <c r="B2547" t="inlineStr">
        <is>
          <t>BX4817 .T53</t>
        </is>
      </c>
      <c r="C2547" t="inlineStr">
        <is>
          <t>0                      BX 4817000T  53</t>
        </is>
      </c>
      <c r="D2547" t="inlineStr">
        <is>
          <t>The Protestant era / by Paul Tillich. Translated by James Luther Adams.</t>
        </is>
      </c>
      <c r="F2547" t="inlineStr">
        <is>
          <t>No</t>
        </is>
      </c>
      <c r="G2547" t="inlineStr">
        <is>
          <t>1</t>
        </is>
      </c>
      <c r="H2547" t="inlineStr">
        <is>
          <t>No</t>
        </is>
      </c>
      <c r="I2547" t="inlineStr">
        <is>
          <t>No</t>
        </is>
      </c>
      <c r="J2547" t="inlineStr">
        <is>
          <t>0</t>
        </is>
      </c>
      <c r="K2547" t="inlineStr">
        <is>
          <t>Tillich, Paul, 1886-1965.</t>
        </is>
      </c>
      <c r="L2547" t="inlineStr">
        <is>
          <t>[Chicago] : University of Chicago Press, [1957]</t>
        </is>
      </c>
      <c r="M2547" t="inlineStr">
        <is>
          <t>1957</t>
        </is>
      </c>
      <c r="N2547" t="inlineStr">
        <is>
          <t>Abridged ed.</t>
        </is>
      </c>
      <c r="O2547" t="inlineStr">
        <is>
          <t>eng</t>
        </is>
      </c>
      <c r="P2547" t="inlineStr">
        <is>
          <t>ilu</t>
        </is>
      </c>
      <c r="Q2547" t="inlineStr">
        <is>
          <t>Phoenix books ; P19</t>
        </is>
      </c>
      <c r="R2547" t="inlineStr">
        <is>
          <t xml:space="preserve">BX </t>
        </is>
      </c>
      <c r="S2547" t="n">
        <v>7</v>
      </c>
      <c r="T2547" t="n">
        <v>7</v>
      </c>
      <c r="U2547" t="inlineStr">
        <is>
          <t>1998-09-21</t>
        </is>
      </c>
      <c r="V2547" t="inlineStr">
        <is>
          <t>1998-09-21</t>
        </is>
      </c>
      <c r="W2547" t="inlineStr">
        <is>
          <t>1992-04-09</t>
        </is>
      </c>
      <c r="X2547" t="inlineStr">
        <is>
          <t>1992-04-09</t>
        </is>
      </c>
      <c r="Y2547" t="n">
        <v>739</v>
      </c>
      <c r="Z2547" t="n">
        <v>628</v>
      </c>
      <c r="AA2547" t="n">
        <v>1343</v>
      </c>
      <c r="AB2547" t="n">
        <v>6</v>
      </c>
      <c r="AC2547" t="n">
        <v>12</v>
      </c>
      <c r="AD2547" t="n">
        <v>33</v>
      </c>
      <c r="AE2547" t="n">
        <v>55</v>
      </c>
      <c r="AF2547" t="n">
        <v>11</v>
      </c>
      <c r="AG2547" t="n">
        <v>24</v>
      </c>
      <c r="AH2547" t="n">
        <v>8</v>
      </c>
      <c r="AI2547" t="n">
        <v>10</v>
      </c>
      <c r="AJ2547" t="n">
        <v>18</v>
      </c>
      <c r="AK2547" t="n">
        <v>26</v>
      </c>
      <c r="AL2547" t="n">
        <v>4</v>
      </c>
      <c r="AM2547" t="n">
        <v>8</v>
      </c>
      <c r="AN2547" t="n">
        <v>0</v>
      </c>
      <c r="AO2547" t="n">
        <v>0</v>
      </c>
      <c r="AP2547" t="inlineStr">
        <is>
          <t>No</t>
        </is>
      </c>
      <c r="AQ2547" t="inlineStr">
        <is>
          <t>Yes</t>
        </is>
      </c>
      <c r="AR2547">
        <f>HYPERLINK("http://catalog.hathitrust.org/Record/001592387","HathiTrust Record")</f>
        <v/>
      </c>
      <c r="AS2547">
        <f>HYPERLINK("https://creighton-primo.hosted.exlibrisgroup.com/primo-explore/search?tab=default_tab&amp;search_scope=EVERYTHING&amp;vid=01CRU&amp;lang=en_US&amp;offset=0&amp;query=any,contains,991002654539702656","Catalog Record")</f>
        <v/>
      </c>
      <c r="AT2547">
        <f>HYPERLINK("http://www.worldcat.org/oclc/388285","WorldCat Record")</f>
        <v/>
      </c>
      <c r="AU2547" t="inlineStr">
        <is>
          <t>419413:eng</t>
        </is>
      </c>
      <c r="AV2547" t="inlineStr">
        <is>
          <t>388285</t>
        </is>
      </c>
      <c r="AW2547" t="inlineStr">
        <is>
          <t>991002654539702656</t>
        </is>
      </c>
      <c r="AX2547" t="inlineStr">
        <is>
          <t>991002654539702656</t>
        </is>
      </c>
      <c r="AY2547" t="inlineStr">
        <is>
          <t>2255322500002656</t>
        </is>
      </c>
      <c r="AZ2547" t="inlineStr">
        <is>
          <t>BOOK</t>
        </is>
      </c>
      <c r="BC2547" t="inlineStr">
        <is>
          <t>32285001065019</t>
        </is>
      </c>
      <c r="BD2547" t="inlineStr">
        <is>
          <t>893427833</t>
        </is>
      </c>
    </row>
    <row r="2548">
      <c r="A2548" t="inlineStr">
        <is>
          <t>No</t>
        </is>
      </c>
      <c r="B2548" t="inlineStr">
        <is>
          <t>BX4817 .W65 2002</t>
        </is>
      </c>
      <c r="C2548" t="inlineStr">
        <is>
          <t>0                      BX 4817000W  65          2002</t>
        </is>
      </c>
      <c r="D2548" t="inlineStr">
        <is>
          <t>Women and twentieth-century Protestantism / edited by Margaret Lamberts Bendroth and Virginia Lieson Brereton.</t>
        </is>
      </c>
      <c r="F2548" t="inlineStr">
        <is>
          <t>No</t>
        </is>
      </c>
      <c r="G2548" t="inlineStr">
        <is>
          <t>1</t>
        </is>
      </c>
      <c r="H2548" t="inlineStr">
        <is>
          <t>No</t>
        </is>
      </c>
      <c r="I2548" t="inlineStr">
        <is>
          <t>No</t>
        </is>
      </c>
      <c r="J2548" t="inlineStr">
        <is>
          <t>0</t>
        </is>
      </c>
      <c r="L2548" t="inlineStr">
        <is>
          <t>Urbana : University of Illinois Press, c2002.</t>
        </is>
      </c>
      <c r="M2548" t="inlineStr">
        <is>
          <t>2002</t>
        </is>
      </c>
      <c r="O2548" t="inlineStr">
        <is>
          <t>eng</t>
        </is>
      </c>
      <c r="P2548" t="inlineStr">
        <is>
          <t>ilu</t>
        </is>
      </c>
      <c r="R2548" t="inlineStr">
        <is>
          <t xml:space="preserve">BX </t>
        </is>
      </c>
      <c r="S2548" t="n">
        <v>3</v>
      </c>
      <c r="T2548" t="n">
        <v>3</v>
      </c>
      <c r="U2548" t="inlineStr">
        <is>
          <t>2004-11-09</t>
        </is>
      </c>
      <c r="V2548" t="inlineStr">
        <is>
          <t>2004-11-09</t>
        </is>
      </c>
      <c r="W2548" t="inlineStr">
        <is>
          <t>2003-06-11</t>
        </is>
      </c>
      <c r="X2548" t="inlineStr">
        <is>
          <t>2003-06-11</t>
        </is>
      </c>
      <c r="Y2548" t="n">
        <v>541</v>
      </c>
      <c r="Z2548" t="n">
        <v>484</v>
      </c>
      <c r="AA2548" t="n">
        <v>487</v>
      </c>
      <c r="AB2548" t="n">
        <v>5</v>
      </c>
      <c r="AC2548" t="n">
        <v>5</v>
      </c>
      <c r="AD2548" t="n">
        <v>30</v>
      </c>
      <c r="AE2548" t="n">
        <v>30</v>
      </c>
      <c r="AF2548" t="n">
        <v>11</v>
      </c>
      <c r="AG2548" t="n">
        <v>11</v>
      </c>
      <c r="AH2548" t="n">
        <v>5</v>
      </c>
      <c r="AI2548" t="n">
        <v>5</v>
      </c>
      <c r="AJ2548" t="n">
        <v>15</v>
      </c>
      <c r="AK2548" t="n">
        <v>15</v>
      </c>
      <c r="AL2548" t="n">
        <v>4</v>
      </c>
      <c r="AM2548" t="n">
        <v>4</v>
      </c>
      <c r="AN2548" t="n">
        <v>0</v>
      </c>
      <c r="AO2548" t="n">
        <v>0</v>
      </c>
      <c r="AP2548" t="inlineStr">
        <is>
          <t>No</t>
        </is>
      </c>
      <c r="AQ2548" t="inlineStr">
        <is>
          <t>Yes</t>
        </is>
      </c>
      <c r="AR2548">
        <f>HYPERLINK("http://catalog.hathitrust.org/Record/004258832","HathiTrust Record")</f>
        <v/>
      </c>
      <c r="AS2548">
        <f>HYPERLINK("https://creighton-primo.hosted.exlibrisgroup.com/primo-explore/search?tab=default_tab&amp;search_scope=EVERYTHING&amp;vid=01CRU&amp;lang=en_US&amp;offset=0&amp;query=any,contains,991004051779702656","Catalog Record")</f>
        <v/>
      </c>
      <c r="AT2548">
        <f>HYPERLINK("http://www.worldcat.org/oclc/46678129","WorldCat Record")</f>
        <v/>
      </c>
      <c r="AU2548" t="inlineStr">
        <is>
          <t>367403747:eng</t>
        </is>
      </c>
      <c r="AV2548" t="inlineStr">
        <is>
          <t>46678129</t>
        </is>
      </c>
      <c r="AW2548" t="inlineStr">
        <is>
          <t>991004051779702656</t>
        </is>
      </c>
      <c r="AX2548" t="inlineStr">
        <is>
          <t>991004051779702656</t>
        </is>
      </c>
      <c r="AY2548" t="inlineStr">
        <is>
          <t>2267493060002656</t>
        </is>
      </c>
      <c r="AZ2548" t="inlineStr">
        <is>
          <t>BOOK</t>
        </is>
      </c>
      <c r="BB2548" t="inlineStr">
        <is>
          <t>9780252026911</t>
        </is>
      </c>
      <c r="BC2548" t="inlineStr">
        <is>
          <t>32285004752001</t>
        </is>
      </c>
      <c r="BD2548" t="inlineStr">
        <is>
          <t>893318745</t>
        </is>
      </c>
    </row>
    <row r="2549">
      <c r="A2549" t="inlineStr">
        <is>
          <t>No</t>
        </is>
      </c>
      <c r="B2549" t="inlineStr">
        <is>
          <t>BX4818.3 .B7</t>
        </is>
      </c>
      <c r="C2549" t="inlineStr">
        <is>
          <t>0                      BX 4818300B  7</t>
        </is>
      </c>
      <c r="D2549" t="inlineStr">
        <is>
          <t>An American dialogue: a Protestant looks at Catholicism and a Catholic looks at Protestantism, by Robert McAfee Brown and Gustave Weigel. With a foreword by Will Herberg.</t>
        </is>
      </c>
      <c r="F2549" t="inlineStr">
        <is>
          <t>No</t>
        </is>
      </c>
      <c r="G2549" t="inlineStr">
        <is>
          <t>1</t>
        </is>
      </c>
      <c r="H2549" t="inlineStr">
        <is>
          <t>No</t>
        </is>
      </c>
      <c r="I2549" t="inlineStr">
        <is>
          <t>No</t>
        </is>
      </c>
      <c r="J2549" t="inlineStr">
        <is>
          <t>0</t>
        </is>
      </c>
      <c r="K2549" t="inlineStr">
        <is>
          <t>Brown, Robert McAfee, 1920-2001.</t>
        </is>
      </c>
      <c r="L2549" t="inlineStr">
        <is>
          <t>Garden City, N.Y., Doubleday 1960.</t>
        </is>
      </c>
      <c r="M2549" t="inlineStr">
        <is>
          <t>1960</t>
        </is>
      </c>
      <c r="N2549" t="inlineStr">
        <is>
          <t>[1st ed.]</t>
        </is>
      </c>
      <c r="O2549" t="inlineStr">
        <is>
          <t>eng</t>
        </is>
      </c>
      <c r="P2549" t="inlineStr">
        <is>
          <t>nyu</t>
        </is>
      </c>
      <c r="R2549" t="inlineStr">
        <is>
          <t xml:space="preserve">BX </t>
        </is>
      </c>
      <c r="S2549" t="n">
        <v>12</v>
      </c>
      <c r="T2549" t="n">
        <v>12</v>
      </c>
      <c r="U2549" t="inlineStr">
        <is>
          <t>2000-03-05</t>
        </is>
      </c>
      <c r="V2549" t="inlineStr">
        <is>
          <t>2000-03-05</t>
        </is>
      </c>
      <c r="W2549" t="inlineStr">
        <is>
          <t>1992-04-09</t>
        </is>
      </c>
      <c r="X2549" t="inlineStr">
        <is>
          <t>1992-04-09</t>
        </is>
      </c>
      <c r="Y2549" t="n">
        <v>735</v>
      </c>
      <c r="Z2549" t="n">
        <v>697</v>
      </c>
      <c r="AA2549" t="n">
        <v>908</v>
      </c>
      <c r="AB2549" t="n">
        <v>7</v>
      </c>
      <c r="AC2549" t="n">
        <v>9</v>
      </c>
      <c r="AD2549" t="n">
        <v>43</v>
      </c>
      <c r="AE2549" t="n">
        <v>48</v>
      </c>
      <c r="AF2549" t="n">
        <v>16</v>
      </c>
      <c r="AG2549" t="n">
        <v>19</v>
      </c>
      <c r="AH2549" t="n">
        <v>9</v>
      </c>
      <c r="AI2549" t="n">
        <v>9</v>
      </c>
      <c r="AJ2549" t="n">
        <v>23</v>
      </c>
      <c r="AK2549" t="n">
        <v>25</v>
      </c>
      <c r="AL2549" t="n">
        <v>5</v>
      </c>
      <c r="AM2549" t="n">
        <v>6</v>
      </c>
      <c r="AN2549" t="n">
        <v>2</v>
      </c>
      <c r="AO2549" t="n">
        <v>2</v>
      </c>
      <c r="AP2549" t="inlineStr">
        <is>
          <t>No</t>
        </is>
      </c>
      <c r="AQ2549" t="inlineStr">
        <is>
          <t>No</t>
        </is>
      </c>
      <c r="AR2549">
        <f>HYPERLINK("http://catalog.hathitrust.org/Record/001603081","HathiTrust Record")</f>
        <v/>
      </c>
      <c r="AS2549">
        <f>HYPERLINK("https://creighton-primo.hosted.exlibrisgroup.com/primo-explore/search?tab=default_tab&amp;search_scope=EVERYTHING&amp;vid=01CRU&amp;lang=en_US&amp;offset=0&amp;query=any,contains,991004143889702656","Catalog Record")</f>
        <v/>
      </c>
      <c r="AT2549">
        <f>HYPERLINK("http://www.worldcat.org/oclc/2506196","WorldCat Record")</f>
        <v/>
      </c>
      <c r="AU2549" t="inlineStr">
        <is>
          <t>256192094:eng</t>
        </is>
      </c>
      <c r="AV2549" t="inlineStr">
        <is>
          <t>2506196</t>
        </is>
      </c>
      <c r="AW2549" t="inlineStr">
        <is>
          <t>991004143889702656</t>
        </is>
      </c>
      <c r="AX2549" t="inlineStr">
        <is>
          <t>991004143889702656</t>
        </is>
      </c>
      <c r="AY2549" t="inlineStr">
        <is>
          <t>2256812630002656</t>
        </is>
      </c>
      <c r="AZ2549" t="inlineStr">
        <is>
          <t>BOOK</t>
        </is>
      </c>
      <c r="BC2549" t="inlineStr">
        <is>
          <t>32285001065027</t>
        </is>
      </c>
      <c r="BD2549" t="inlineStr">
        <is>
          <t>893435937</t>
        </is>
      </c>
    </row>
    <row r="2550">
      <c r="A2550" t="inlineStr">
        <is>
          <t>No</t>
        </is>
      </c>
      <c r="B2550" t="inlineStr">
        <is>
          <t>BX4818.3 .C3</t>
        </is>
      </c>
      <c r="C2550" t="inlineStr">
        <is>
          <t>0                      BX 4818300C  3</t>
        </is>
      </c>
      <c r="D2550" t="inlineStr">
        <is>
          <t>Christianity divided, protestant and Roman Catholic theological issues / edited by Daniel J. Callahan, Heiko A. Oberman [and] Daniel J. O'Hanlon.</t>
        </is>
      </c>
      <c r="F2550" t="inlineStr">
        <is>
          <t>No</t>
        </is>
      </c>
      <c r="G2550" t="inlineStr">
        <is>
          <t>1</t>
        </is>
      </c>
      <c r="H2550" t="inlineStr">
        <is>
          <t>No</t>
        </is>
      </c>
      <c r="I2550" t="inlineStr">
        <is>
          <t>No</t>
        </is>
      </c>
      <c r="J2550" t="inlineStr">
        <is>
          <t>0</t>
        </is>
      </c>
      <c r="K2550" t="inlineStr">
        <is>
          <t>Callahan, Daniel, 1930-2019 editor.</t>
        </is>
      </c>
      <c r="L2550" t="inlineStr">
        <is>
          <t>New York : Sheed and Ward, [1961]</t>
        </is>
      </c>
      <c r="M2550" t="inlineStr">
        <is>
          <t>1961</t>
        </is>
      </c>
      <c r="O2550" t="inlineStr">
        <is>
          <t>eng</t>
        </is>
      </c>
      <c r="P2550" t="inlineStr">
        <is>
          <t>___</t>
        </is>
      </c>
      <c r="R2550" t="inlineStr">
        <is>
          <t xml:space="preserve">BX </t>
        </is>
      </c>
      <c r="S2550" t="n">
        <v>4</v>
      </c>
      <c r="T2550" t="n">
        <v>4</v>
      </c>
      <c r="U2550" t="inlineStr">
        <is>
          <t>1999-11-28</t>
        </is>
      </c>
      <c r="V2550" t="inlineStr">
        <is>
          <t>1999-11-28</t>
        </is>
      </c>
      <c r="W2550" t="inlineStr">
        <is>
          <t>1992-04-09</t>
        </is>
      </c>
      <c r="X2550" t="inlineStr">
        <is>
          <t>1992-04-09</t>
        </is>
      </c>
      <c r="Y2550" t="n">
        <v>571</v>
      </c>
      <c r="Z2550" t="n">
        <v>507</v>
      </c>
      <c r="AA2550" t="n">
        <v>522</v>
      </c>
      <c r="AB2550" t="n">
        <v>5</v>
      </c>
      <c r="AC2550" t="n">
        <v>5</v>
      </c>
      <c r="AD2550" t="n">
        <v>37</v>
      </c>
      <c r="AE2550" t="n">
        <v>37</v>
      </c>
      <c r="AF2550" t="n">
        <v>13</v>
      </c>
      <c r="AG2550" t="n">
        <v>13</v>
      </c>
      <c r="AH2550" t="n">
        <v>8</v>
      </c>
      <c r="AI2550" t="n">
        <v>8</v>
      </c>
      <c r="AJ2550" t="n">
        <v>25</v>
      </c>
      <c r="AK2550" t="n">
        <v>25</v>
      </c>
      <c r="AL2550" t="n">
        <v>2</v>
      </c>
      <c r="AM2550" t="n">
        <v>2</v>
      </c>
      <c r="AN2550" t="n">
        <v>0</v>
      </c>
      <c r="AO2550" t="n">
        <v>0</v>
      </c>
      <c r="AP2550" t="inlineStr">
        <is>
          <t>No</t>
        </is>
      </c>
      <c r="AQ2550" t="inlineStr">
        <is>
          <t>No</t>
        </is>
      </c>
      <c r="AR2550">
        <f>HYPERLINK("http://catalog.hathitrust.org/Record/102112999","HathiTrust Record")</f>
        <v/>
      </c>
      <c r="AS2550">
        <f>HYPERLINK("https://creighton-primo.hosted.exlibrisgroup.com/primo-explore/search?tab=default_tab&amp;search_scope=EVERYTHING&amp;vid=01CRU&amp;lang=en_US&amp;offset=0&amp;query=any,contains,991003491309702656","Catalog Record")</f>
        <v/>
      </c>
      <c r="AT2550">
        <f>HYPERLINK("http://www.worldcat.org/oclc/1040645","WorldCat Record")</f>
        <v/>
      </c>
      <c r="AU2550" t="inlineStr">
        <is>
          <t>5218195932:eng</t>
        </is>
      </c>
      <c r="AV2550" t="inlineStr">
        <is>
          <t>1040645</t>
        </is>
      </c>
      <c r="AW2550" t="inlineStr">
        <is>
          <t>991003491309702656</t>
        </is>
      </c>
      <c r="AX2550" t="inlineStr">
        <is>
          <t>991003491309702656</t>
        </is>
      </c>
      <c r="AY2550" t="inlineStr">
        <is>
          <t>2272313070002656</t>
        </is>
      </c>
      <c r="AZ2550" t="inlineStr">
        <is>
          <t>BOOK</t>
        </is>
      </c>
      <c r="BC2550" t="inlineStr">
        <is>
          <t>32285001065035</t>
        </is>
      </c>
      <c r="BD2550" t="inlineStr">
        <is>
          <t>893505633</t>
        </is>
      </c>
    </row>
    <row r="2551">
      <c r="A2551" t="inlineStr">
        <is>
          <t>No</t>
        </is>
      </c>
      <c r="B2551" t="inlineStr">
        <is>
          <t>BX4818.3 .W4</t>
        </is>
      </c>
      <c r="C2551" t="inlineStr">
        <is>
          <t>0                      BX 4818300W  4</t>
        </is>
      </c>
      <c r="D2551" t="inlineStr">
        <is>
          <t>Catholic theology in dialogue / Gustave Weigel.</t>
        </is>
      </c>
      <c r="F2551" t="inlineStr">
        <is>
          <t>No</t>
        </is>
      </c>
      <c r="G2551" t="inlineStr">
        <is>
          <t>1</t>
        </is>
      </c>
      <c r="H2551" t="inlineStr">
        <is>
          <t>No</t>
        </is>
      </c>
      <c r="I2551" t="inlineStr">
        <is>
          <t>No</t>
        </is>
      </c>
      <c r="J2551" t="inlineStr">
        <is>
          <t>0</t>
        </is>
      </c>
      <c r="K2551" t="inlineStr">
        <is>
          <t>Weigel, Gustave, 1906-1964.</t>
        </is>
      </c>
      <c r="L2551" t="inlineStr">
        <is>
          <t>New York : Harper, [1961]</t>
        </is>
      </c>
      <c r="M2551" t="inlineStr">
        <is>
          <t>1961</t>
        </is>
      </c>
      <c r="N2551" t="inlineStr">
        <is>
          <t>[1st ed.]</t>
        </is>
      </c>
      <c r="O2551" t="inlineStr">
        <is>
          <t>eng</t>
        </is>
      </c>
      <c r="P2551" t="inlineStr">
        <is>
          <t>nyu</t>
        </is>
      </c>
      <c r="R2551" t="inlineStr">
        <is>
          <t xml:space="preserve">BX </t>
        </is>
      </c>
      <c r="S2551" t="n">
        <v>1</v>
      </c>
      <c r="T2551" t="n">
        <v>1</v>
      </c>
      <c r="U2551" t="inlineStr">
        <is>
          <t>2002-04-01</t>
        </is>
      </c>
      <c r="V2551" t="inlineStr">
        <is>
          <t>2002-04-01</t>
        </is>
      </c>
      <c r="W2551" t="inlineStr">
        <is>
          <t>1992-04-09</t>
        </is>
      </c>
      <c r="X2551" t="inlineStr">
        <is>
          <t>1992-04-09</t>
        </is>
      </c>
      <c r="Y2551" t="n">
        <v>447</v>
      </c>
      <c r="Z2551" t="n">
        <v>411</v>
      </c>
      <c r="AA2551" t="n">
        <v>451</v>
      </c>
      <c r="AB2551" t="n">
        <v>3</v>
      </c>
      <c r="AC2551" t="n">
        <v>3</v>
      </c>
      <c r="AD2551" t="n">
        <v>36</v>
      </c>
      <c r="AE2551" t="n">
        <v>37</v>
      </c>
      <c r="AF2551" t="n">
        <v>14</v>
      </c>
      <c r="AG2551" t="n">
        <v>14</v>
      </c>
      <c r="AH2551" t="n">
        <v>8</v>
      </c>
      <c r="AI2551" t="n">
        <v>8</v>
      </c>
      <c r="AJ2551" t="n">
        <v>25</v>
      </c>
      <c r="AK2551" t="n">
        <v>26</v>
      </c>
      <c r="AL2551" t="n">
        <v>1</v>
      </c>
      <c r="AM2551" t="n">
        <v>1</v>
      </c>
      <c r="AN2551" t="n">
        <v>0</v>
      </c>
      <c r="AO2551" t="n">
        <v>0</v>
      </c>
      <c r="AP2551" t="inlineStr">
        <is>
          <t>No</t>
        </is>
      </c>
      <c r="AQ2551" t="inlineStr">
        <is>
          <t>Yes</t>
        </is>
      </c>
      <c r="AR2551">
        <f>HYPERLINK("http://catalog.hathitrust.org/Record/001592395","HathiTrust Record")</f>
        <v/>
      </c>
      <c r="AS2551">
        <f>HYPERLINK("https://creighton-primo.hosted.exlibrisgroup.com/primo-explore/search?tab=default_tab&amp;search_scope=EVERYTHING&amp;vid=01CRU&amp;lang=en_US&amp;offset=0&amp;query=any,contains,991003115659702656","Catalog Record")</f>
        <v/>
      </c>
      <c r="AT2551">
        <f>HYPERLINK("http://www.worldcat.org/oclc/661195","WorldCat Record")</f>
        <v/>
      </c>
      <c r="AU2551" t="inlineStr">
        <is>
          <t>1647567:eng</t>
        </is>
      </c>
      <c r="AV2551" t="inlineStr">
        <is>
          <t>661195</t>
        </is>
      </c>
      <c r="AW2551" t="inlineStr">
        <is>
          <t>991003115659702656</t>
        </is>
      </c>
      <c r="AX2551" t="inlineStr">
        <is>
          <t>991003115659702656</t>
        </is>
      </c>
      <c r="AY2551" t="inlineStr">
        <is>
          <t>2268970230002656</t>
        </is>
      </c>
      <c r="AZ2551" t="inlineStr">
        <is>
          <t>BOOK</t>
        </is>
      </c>
      <c r="BC2551" t="inlineStr">
        <is>
          <t>32285001065084</t>
        </is>
      </c>
      <c r="BD2551" t="inlineStr">
        <is>
          <t>893428467</t>
        </is>
      </c>
    </row>
    <row r="2552">
      <c r="A2552" t="inlineStr">
        <is>
          <t>No</t>
        </is>
      </c>
      <c r="B2552" t="inlineStr">
        <is>
          <t>BX4827.B3 B8513 2004</t>
        </is>
      </c>
      <c r="C2552" t="inlineStr">
        <is>
          <t>0                      BX 4827000B  3                  B  8513        2004</t>
        </is>
      </c>
      <c r="D2552" t="inlineStr">
        <is>
          <t>The great passion : an introduction to Karl Barth's theology / Eberhard Busch ; translated by Geoffrey W. Bromiley ; edited and annotated by Darrell L. Guder and Judith J. Guder.</t>
        </is>
      </c>
      <c r="F2552" t="inlineStr">
        <is>
          <t>No</t>
        </is>
      </c>
      <c r="G2552" t="inlineStr">
        <is>
          <t>1</t>
        </is>
      </c>
      <c r="H2552" t="inlineStr">
        <is>
          <t>No</t>
        </is>
      </c>
      <c r="I2552" t="inlineStr">
        <is>
          <t>No</t>
        </is>
      </c>
      <c r="J2552" t="inlineStr">
        <is>
          <t>0</t>
        </is>
      </c>
      <c r="K2552" t="inlineStr">
        <is>
          <t>Busch, Eberhard, 1937-</t>
        </is>
      </c>
      <c r="L2552" t="inlineStr">
        <is>
          <t>Grand Rapids, Mich. : William B. Eerdmans Pub., c2004.</t>
        </is>
      </c>
      <c r="M2552" t="inlineStr">
        <is>
          <t>2004</t>
        </is>
      </c>
      <c r="N2552" t="inlineStr">
        <is>
          <t>English ed.</t>
        </is>
      </c>
      <c r="O2552" t="inlineStr">
        <is>
          <t>eng</t>
        </is>
      </c>
      <c r="P2552" t="inlineStr">
        <is>
          <t>miu</t>
        </is>
      </c>
      <c r="R2552" t="inlineStr">
        <is>
          <t xml:space="preserve">BX </t>
        </is>
      </c>
      <c r="S2552" t="n">
        <v>2</v>
      </c>
      <c r="T2552" t="n">
        <v>2</v>
      </c>
      <c r="U2552" t="inlineStr">
        <is>
          <t>2010-03-23</t>
        </is>
      </c>
      <c r="V2552" t="inlineStr">
        <is>
          <t>2010-03-23</t>
        </is>
      </c>
      <c r="W2552" t="inlineStr">
        <is>
          <t>2005-05-31</t>
        </is>
      </c>
      <c r="X2552" t="inlineStr">
        <is>
          <t>2005-05-31</t>
        </is>
      </c>
      <c r="Y2552" t="n">
        <v>465</v>
      </c>
      <c r="Z2552" t="n">
        <v>393</v>
      </c>
      <c r="AA2552" t="n">
        <v>404</v>
      </c>
      <c r="AB2552" t="n">
        <v>4</v>
      </c>
      <c r="AC2552" t="n">
        <v>4</v>
      </c>
      <c r="AD2552" t="n">
        <v>28</v>
      </c>
      <c r="AE2552" t="n">
        <v>28</v>
      </c>
      <c r="AF2552" t="n">
        <v>12</v>
      </c>
      <c r="AG2552" t="n">
        <v>12</v>
      </c>
      <c r="AH2552" t="n">
        <v>6</v>
      </c>
      <c r="AI2552" t="n">
        <v>6</v>
      </c>
      <c r="AJ2552" t="n">
        <v>14</v>
      </c>
      <c r="AK2552" t="n">
        <v>14</v>
      </c>
      <c r="AL2552" t="n">
        <v>3</v>
      </c>
      <c r="AM2552" t="n">
        <v>3</v>
      </c>
      <c r="AN2552" t="n">
        <v>0</v>
      </c>
      <c r="AO2552" t="n">
        <v>0</v>
      </c>
      <c r="AP2552" t="inlineStr">
        <is>
          <t>No</t>
        </is>
      </c>
      <c r="AQ2552" t="inlineStr">
        <is>
          <t>No</t>
        </is>
      </c>
      <c r="AS2552">
        <f>HYPERLINK("https://creighton-primo.hosted.exlibrisgroup.com/primo-explore/search?tab=default_tab&amp;search_scope=EVERYTHING&amp;vid=01CRU&amp;lang=en_US&amp;offset=0&amp;query=any,contains,991004533639702656","Catalog Record")</f>
        <v/>
      </c>
      <c r="AT2552">
        <f>HYPERLINK("http://www.worldcat.org/oclc/55015893","WorldCat Record")</f>
        <v/>
      </c>
      <c r="AU2552" t="inlineStr">
        <is>
          <t>1152397788:eng</t>
        </is>
      </c>
      <c r="AV2552" t="inlineStr">
        <is>
          <t>55015893</t>
        </is>
      </c>
      <c r="AW2552" t="inlineStr">
        <is>
          <t>991004533639702656</t>
        </is>
      </c>
      <c r="AX2552" t="inlineStr">
        <is>
          <t>991004533639702656</t>
        </is>
      </c>
      <c r="AY2552" t="inlineStr">
        <is>
          <t>2261111490002656</t>
        </is>
      </c>
      <c r="AZ2552" t="inlineStr">
        <is>
          <t>BOOK</t>
        </is>
      </c>
      <c r="BB2552" t="inlineStr">
        <is>
          <t>9780802848932</t>
        </is>
      </c>
      <c r="BC2552" t="inlineStr">
        <is>
          <t>32285005091797</t>
        </is>
      </c>
      <c r="BD2552" t="inlineStr">
        <is>
          <t>893706542</t>
        </is>
      </c>
    </row>
    <row r="2553">
      <c r="A2553" t="inlineStr">
        <is>
          <t>No</t>
        </is>
      </c>
      <c r="B2553" t="inlineStr">
        <is>
          <t>BX4827.B3 B86313</t>
        </is>
      </c>
      <c r="C2553" t="inlineStr">
        <is>
          <t>0                      BX 4827000B  3                  B  86313</t>
        </is>
      </c>
      <c r="D2553" t="inlineStr">
        <is>
          <t>Karl Barth : his life from letters and autobiographical texts / Eberhard Busch ; translated by John Bowden.</t>
        </is>
      </c>
      <c r="F2553" t="inlineStr">
        <is>
          <t>No</t>
        </is>
      </c>
      <c r="G2553" t="inlineStr">
        <is>
          <t>1</t>
        </is>
      </c>
      <c r="H2553" t="inlineStr">
        <is>
          <t>No</t>
        </is>
      </c>
      <c r="I2553" t="inlineStr">
        <is>
          <t>No</t>
        </is>
      </c>
      <c r="J2553" t="inlineStr">
        <is>
          <t>0</t>
        </is>
      </c>
      <c r="K2553" t="inlineStr">
        <is>
          <t>Busch, Eberhard, 1937-</t>
        </is>
      </c>
      <c r="L2553" t="inlineStr">
        <is>
          <t>Philadelphia : Fortress Press, c1976.</t>
        </is>
      </c>
      <c r="M2553" t="inlineStr">
        <is>
          <t>1976</t>
        </is>
      </c>
      <c r="O2553" t="inlineStr">
        <is>
          <t>eng</t>
        </is>
      </c>
      <c r="P2553" t="inlineStr">
        <is>
          <t>pau</t>
        </is>
      </c>
      <c r="R2553" t="inlineStr">
        <is>
          <t xml:space="preserve">BX </t>
        </is>
      </c>
      <c r="S2553" t="n">
        <v>3</v>
      </c>
      <c r="T2553" t="n">
        <v>3</v>
      </c>
      <c r="U2553" t="inlineStr">
        <is>
          <t>2000-11-01</t>
        </is>
      </c>
      <c r="V2553" t="inlineStr">
        <is>
          <t>2000-11-01</t>
        </is>
      </c>
      <c r="W2553" t="inlineStr">
        <is>
          <t>1992-04-09</t>
        </is>
      </c>
      <c r="X2553" t="inlineStr">
        <is>
          <t>1992-04-09</t>
        </is>
      </c>
      <c r="Y2553" t="n">
        <v>827</v>
      </c>
      <c r="Z2553" t="n">
        <v>765</v>
      </c>
      <c r="AA2553" t="n">
        <v>837</v>
      </c>
      <c r="AB2553" t="n">
        <v>6</v>
      </c>
      <c r="AC2553" t="n">
        <v>7</v>
      </c>
      <c r="AD2553" t="n">
        <v>46</v>
      </c>
      <c r="AE2553" t="n">
        <v>48</v>
      </c>
      <c r="AF2553" t="n">
        <v>19</v>
      </c>
      <c r="AG2553" t="n">
        <v>20</v>
      </c>
      <c r="AH2553" t="n">
        <v>10</v>
      </c>
      <c r="AI2553" t="n">
        <v>10</v>
      </c>
      <c r="AJ2553" t="n">
        <v>25</v>
      </c>
      <c r="AK2553" t="n">
        <v>25</v>
      </c>
      <c r="AL2553" t="n">
        <v>5</v>
      </c>
      <c r="AM2553" t="n">
        <v>6</v>
      </c>
      <c r="AN2553" t="n">
        <v>0</v>
      </c>
      <c r="AO2553" t="n">
        <v>0</v>
      </c>
      <c r="AP2553" t="inlineStr">
        <is>
          <t>No</t>
        </is>
      </c>
      <c r="AQ2553" t="inlineStr">
        <is>
          <t>Yes</t>
        </is>
      </c>
      <c r="AR2553">
        <f>HYPERLINK("http://catalog.hathitrust.org/Record/000171170","HathiTrust Record")</f>
        <v/>
      </c>
      <c r="AS2553">
        <f>HYPERLINK("https://creighton-primo.hosted.exlibrisgroup.com/primo-explore/search?tab=default_tab&amp;search_scope=EVERYTHING&amp;vid=01CRU&amp;lang=en_US&amp;offset=0&amp;query=any,contains,991004219309702656","Catalog Record")</f>
        <v/>
      </c>
      <c r="AT2553">
        <f>HYPERLINK("http://www.worldcat.org/oclc/2706911","WorldCat Record")</f>
        <v/>
      </c>
      <c r="AU2553" t="inlineStr">
        <is>
          <t>3000797150:eng</t>
        </is>
      </c>
      <c r="AV2553" t="inlineStr">
        <is>
          <t>2706911</t>
        </is>
      </c>
      <c r="AW2553" t="inlineStr">
        <is>
          <t>991004219309702656</t>
        </is>
      </c>
      <c r="AX2553" t="inlineStr">
        <is>
          <t>991004219309702656</t>
        </is>
      </c>
      <c r="AY2553" t="inlineStr">
        <is>
          <t>2260894060002656</t>
        </is>
      </c>
      <c r="AZ2553" t="inlineStr">
        <is>
          <t>BOOK</t>
        </is>
      </c>
      <c r="BB2553" t="inlineStr">
        <is>
          <t>9780800604851</t>
        </is>
      </c>
      <c r="BC2553" t="inlineStr">
        <is>
          <t>32285001065134</t>
        </is>
      </c>
      <c r="BD2553" t="inlineStr">
        <is>
          <t>893442356</t>
        </is>
      </c>
    </row>
    <row r="2554">
      <c r="A2554" t="inlineStr">
        <is>
          <t>No</t>
        </is>
      </c>
      <c r="B2554" t="inlineStr">
        <is>
          <t>BX4827.B3 H3</t>
        </is>
      </c>
      <c r="C2554" t="inlineStr">
        <is>
          <t>0                      BX 4827000B  3                  H  3</t>
        </is>
      </c>
      <c r="D2554" t="inlineStr">
        <is>
          <t>The theology of Karl Barth : an introduction / by Herbert Hartwell.</t>
        </is>
      </c>
      <c r="F2554" t="inlineStr">
        <is>
          <t>No</t>
        </is>
      </c>
      <c r="G2554" t="inlineStr">
        <is>
          <t>1</t>
        </is>
      </c>
      <c r="H2554" t="inlineStr">
        <is>
          <t>No</t>
        </is>
      </c>
      <c r="I2554" t="inlineStr">
        <is>
          <t>No</t>
        </is>
      </c>
      <c r="J2554" t="inlineStr">
        <is>
          <t>0</t>
        </is>
      </c>
      <c r="K2554" t="inlineStr">
        <is>
          <t>Hartwell, Herbert.</t>
        </is>
      </c>
      <c r="L2554" t="inlineStr">
        <is>
          <t>Philadelphia : Westminster Press, [1964]</t>
        </is>
      </c>
      <c r="M2554" t="inlineStr">
        <is>
          <t>1964</t>
        </is>
      </c>
      <c r="O2554" t="inlineStr">
        <is>
          <t>eng</t>
        </is>
      </c>
      <c r="P2554" t="inlineStr">
        <is>
          <t>pau</t>
        </is>
      </c>
      <c r="Q2554" t="inlineStr">
        <is>
          <t>Studies in theology series</t>
        </is>
      </c>
      <c r="R2554" t="inlineStr">
        <is>
          <t xml:space="preserve">BX </t>
        </is>
      </c>
      <c r="S2554" t="n">
        <v>2</v>
      </c>
      <c r="T2554" t="n">
        <v>2</v>
      </c>
      <c r="U2554" t="inlineStr">
        <is>
          <t>1994-02-21</t>
        </is>
      </c>
      <c r="V2554" t="inlineStr">
        <is>
          <t>1994-02-21</t>
        </is>
      </c>
      <c r="W2554" t="inlineStr">
        <is>
          <t>1992-04-09</t>
        </is>
      </c>
      <c r="X2554" t="inlineStr">
        <is>
          <t>1992-04-09</t>
        </is>
      </c>
      <c r="Y2554" t="n">
        <v>472</v>
      </c>
      <c r="Z2554" t="n">
        <v>437</v>
      </c>
      <c r="AA2554" t="n">
        <v>528</v>
      </c>
      <c r="AB2554" t="n">
        <v>6</v>
      </c>
      <c r="AC2554" t="n">
        <v>6</v>
      </c>
      <c r="AD2554" t="n">
        <v>30</v>
      </c>
      <c r="AE2554" t="n">
        <v>36</v>
      </c>
      <c r="AF2554" t="n">
        <v>13</v>
      </c>
      <c r="AG2554" t="n">
        <v>13</v>
      </c>
      <c r="AH2554" t="n">
        <v>4</v>
      </c>
      <c r="AI2554" t="n">
        <v>7</v>
      </c>
      <c r="AJ2554" t="n">
        <v>16</v>
      </c>
      <c r="AK2554" t="n">
        <v>21</v>
      </c>
      <c r="AL2554" t="n">
        <v>5</v>
      </c>
      <c r="AM2554" t="n">
        <v>5</v>
      </c>
      <c r="AN2554" t="n">
        <v>0</v>
      </c>
      <c r="AO2554" t="n">
        <v>0</v>
      </c>
      <c r="AP2554" t="inlineStr">
        <is>
          <t>No</t>
        </is>
      </c>
      <c r="AQ2554" t="inlineStr">
        <is>
          <t>No</t>
        </is>
      </c>
      <c r="AS2554">
        <f>HYPERLINK("https://creighton-primo.hosted.exlibrisgroup.com/primo-explore/search?tab=default_tab&amp;search_scope=EVERYTHING&amp;vid=01CRU&amp;lang=en_US&amp;offset=0&amp;query=any,contains,991002882429702656","Catalog Record")</f>
        <v/>
      </c>
      <c r="AT2554">
        <f>HYPERLINK("http://www.worldcat.org/oclc/506418","WorldCat Record")</f>
        <v/>
      </c>
      <c r="AU2554" t="inlineStr">
        <is>
          <t>431877020:eng</t>
        </is>
      </c>
      <c r="AV2554" t="inlineStr">
        <is>
          <t>506418</t>
        </is>
      </c>
      <c r="AW2554" t="inlineStr">
        <is>
          <t>991002882429702656</t>
        </is>
      </c>
      <c r="AX2554" t="inlineStr">
        <is>
          <t>991002882429702656</t>
        </is>
      </c>
      <c r="AY2554" t="inlineStr">
        <is>
          <t>2260085350002656</t>
        </is>
      </c>
      <c r="AZ2554" t="inlineStr">
        <is>
          <t>BOOK</t>
        </is>
      </c>
      <c r="BC2554" t="inlineStr">
        <is>
          <t>32285001065142</t>
        </is>
      </c>
      <c r="BD2554" t="inlineStr">
        <is>
          <t>893685904</t>
        </is>
      </c>
    </row>
    <row r="2555">
      <c r="A2555" t="inlineStr">
        <is>
          <t>No</t>
        </is>
      </c>
      <c r="B2555" t="inlineStr">
        <is>
          <t>BX4827.B3 J782513 1986</t>
        </is>
      </c>
      <c r="C2555" t="inlineStr">
        <is>
          <t>0                      BX 4827000B  3                  J  782513      1986</t>
        </is>
      </c>
      <c r="D2555" t="inlineStr">
        <is>
          <t>Karl Barth, a theological legacy / Eberhard Jüngel ; translated by Garrett E. Paul.</t>
        </is>
      </c>
      <c r="F2555" t="inlineStr">
        <is>
          <t>No</t>
        </is>
      </c>
      <c r="G2555" t="inlineStr">
        <is>
          <t>1</t>
        </is>
      </c>
      <c r="H2555" t="inlineStr">
        <is>
          <t>No</t>
        </is>
      </c>
      <c r="I2555" t="inlineStr">
        <is>
          <t>No</t>
        </is>
      </c>
      <c r="J2555" t="inlineStr">
        <is>
          <t>0</t>
        </is>
      </c>
      <c r="K2555" t="inlineStr">
        <is>
          <t>Jüngel, Eberhard.</t>
        </is>
      </c>
      <c r="L2555" t="inlineStr">
        <is>
          <t>Philadelphia : Westminster Press, c1986.</t>
        </is>
      </c>
      <c r="M2555" t="inlineStr">
        <is>
          <t>1986</t>
        </is>
      </c>
      <c r="N2555" t="inlineStr">
        <is>
          <t>1st American ed.</t>
        </is>
      </c>
      <c r="O2555" t="inlineStr">
        <is>
          <t>eng</t>
        </is>
      </c>
      <c r="P2555" t="inlineStr">
        <is>
          <t>pau</t>
        </is>
      </c>
      <c r="R2555" t="inlineStr">
        <is>
          <t xml:space="preserve">BX </t>
        </is>
      </c>
      <c r="S2555" t="n">
        <v>2</v>
      </c>
      <c r="T2555" t="n">
        <v>2</v>
      </c>
      <c r="U2555" t="inlineStr">
        <is>
          <t>1994-02-21</t>
        </is>
      </c>
      <c r="V2555" t="inlineStr">
        <is>
          <t>1994-02-21</t>
        </is>
      </c>
      <c r="W2555" t="inlineStr">
        <is>
          <t>1992-03-09</t>
        </is>
      </c>
      <c r="X2555" t="inlineStr">
        <is>
          <t>1992-03-09</t>
        </is>
      </c>
      <c r="Y2555" t="n">
        <v>609</v>
      </c>
      <c r="Z2555" t="n">
        <v>526</v>
      </c>
      <c r="AA2555" t="n">
        <v>535</v>
      </c>
      <c r="AB2555" t="n">
        <v>4</v>
      </c>
      <c r="AC2555" t="n">
        <v>4</v>
      </c>
      <c r="AD2555" t="n">
        <v>32</v>
      </c>
      <c r="AE2555" t="n">
        <v>32</v>
      </c>
      <c r="AF2555" t="n">
        <v>16</v>
      </c>
      <c r="AG2555" t="n">
        <v>16</v>
      </c>
      <c r="AH2555" t="n">
        <v>5</v>
      </c>
      <c r="AI2555" t="n">
        <v>5</v>
      </c>
      <c r="AJ2555" t="n">
        <v>17</v>
      </c>
      <c r="AK2555" t="n">
        <v>17</v>
      </c>
      <c r="AL2555" t="n">
        <v>3</v>
      </c>
      <c r="AM2555" t="n">
        <v>3</v>
      </c>
      <c r="AN2555" t="n">
        <v>0</v>
      </c>
      <c r="AO2555" t="n">
        <v>0</v>
      </c>
      <c r="AP2555" t="inlineStr">
        <is>
          <t>No</t>
        </is>
      </c>
      <c r="AQ2555" t="inlineStr">
        <is>
          <t>Yes</t>
        </is>
      </c>
      <c r="AR2555">
        <f>HYPERLINK("http://catalog.hathitrust.org/Record/011806637","HathiTrust Record")</f>
        <v/>
      </c>
      <c r="AS2555">
        <f>HYPERLINK("https://creighton-primo.hosted.exlibrisgroup.com/primo-explore/search?tab=default_tab&amp;search_scope=EVERYTHING&amp;vid=01CRU&amp;lang=en_US&amp;offset=0&amp;query=any,contains,991000820369702656","Catalog Record")</f>
        <v/>
      </c>
      <c r="AT2555">
        <f>HYPERLINK("http://www.worldcat.org/oclc/13394700","WorldCat Record")</f>
        <v/>
      </c>
      <c r="AU2555" t="inlineStr">
        <is>
          <t>7767213:eng</t>
        </is>
      </c>
      <c r="AV2555" t="inlineStr">
        <is>
          <t>13394700</t>
        </is>
      </c>
      <c r="AW2555" t="inlineStr">
        <is>
          <t>991000820369702656</t>
        </is>
      </c>
      <c r="AX2555" t="inlineStr">
        <is>
          <t>991000820369702656</t>
        </is>
      </c>
      <c r="AY2555" t="inlineStr">
        <is>
          <t>2264175270002656</t>
        </is>
      </c>
      <c r="AZ2555" t="inlineStr">
        <is>
          <t>BOOK</t>
        </is>
      </c>
      <c r="BB2555" t="inlineStr">
        <is>
          <t>9780664240318</t>
        </is>
      </c>
      <c r="BC2555" t="inlineStr">
        <is>
          <t>32285000969286</t>
        </is>
      </c>
      <c r="BD2555" t="inlineStr">
        <is>
          <t>893261624</t>
        </is>
      </c>
    </row>
    <row r="2556">
      <c r="A2556" t="inlineStr">
        <is>
          <t>No</t>
        </is>
      </c>
      <c r="B2556" t="inlineStr">
        <is>
          <t>BX4827.B3 K38</t>
        </is>
      </c>
      <c r="C2556" t="inlineStr">
        <is>
          <t>0                      BX 4827000B  3                  K  38</t>
        </is>
      </c>
      <c r="D2556" t="inlineStr">
        <is>
          <t>Karl Barth, studies of his theological method / edited by S. W. Sykes.</t>
        </is>
      </c>
      <c r="F2556" t="inlineStr">
        <is>
          <t>No</t>
        </is>
      </c>
      <c r="G2556" t="inlineStr">
        <is>
          <t>1</t>
        </is>
      </c>
      <c r="H2556" t="inlineStr">
        <is>
          <t>No</t>
        </is>
      </c>
      <c r="I2556" t="inlineStr">
        <is>
          <t>No</t>
        </is>
      </c>
      <c r="J2556" t="inlineStr">
        <is>
          <t>0</t>
        </is>
      </c>
      <c r="L2556" t="inlineStr">
        <is>
          <t>Oxford : Clarendon Press ; New York : Oxford University Press, 1979.</t>
        </is>
      </c>
      <c r="M2556" t="inlineStr">
        <is>
          <t>1979</t>
        </is>
      </c>
      <c r="O2556" t="inlineStr">
        <is>
          <t>eng</t>
        </is>
      </c>
      <c r="P2556" t="inlineStr">
        <is>
          <t>enk</t>
        </is>
      </c>
      <c r="R2556" t="inlineStr">
        <is>
          <t xml:space="preserve">BX </t>
        </is>
      </c>
      <c r="S2556" t="n">
        <v>2</v>
      </c>
      <c r="T2556" t="n">
        <v>2</v>
      </c>
      <c r="U2556" t="inlineStr">
        <is>
          <t>1994-02-21</t>
        </is>
      </c>
      <c r="V2556" t="inlineStr">
        <is>
          <t>1994-02-21</t>
        </is>
      </c>
      <c r="W2556" t="inlineStr">
        <is>
          <t>1992-04-09</t>
        </is>
      </c>
      <c r="X2556" t="inlineStr">
        <is>
          <t>1992-04-09</t>
        </is>
      </c>
      <c r="Y2556" t="n">
        <v>449</v>
      </c>
      <c r="Z2556" t="n">
        <v>324</v>
      </c>
      <c r="AA2556" t="n">
        <v>330</v>
      </c>
      <c r="AB2556" t="n">
        <v>3</v>
      </c>
      <c r="AC2556" t="n">
        <v>3</v>
      </c>
      <c r="AD2556" t="n">
        <v>23</v>
      </c>
      <c r="AE2556" t="n">
        <v>23</v>
      </c>
      <c r="AF2556" t="n">
        <v>8</v>
      </c>
      <c r="AG2556" t="n">
        <v>8</v>
      </c>
      <c r="AH2556" t="n">
        <v>6</v>
      </c>
      <c r="AI2556" t="n">
        <v>6</v>
      </c>
      <c r="AJ2556" t="n">
        <v>13</v>
      </c>
      <c r="AK2556" t="n">
        <v>13</v>
      </c>
      <c r="AL2556" t="n">
        <v>2</v>
      </c>
      <c r="AM2556" t="n">
        <v>2</v>
      </c>
      <c r="AN2556" t="n">
        <v>0</v>
      </c>
      <c r="AO2556" t="n">
        <v>0</v>
      </c>
      <c r="AP2556" t="inlineStr">
        <is>
          <t>No</t>
        </is>
      </c>
      <c r="AQ2556" t="inlineStr">
        <is>
          <t>Yes</t>
        </is>
      </c>
      <c r="AR2556">
        <f>HYPERLINK("http://catalog.hathitrust.org/Record/000708931","HathiTrust Record")</f>
        <v/>
      </c>
      <c r="AS2556">
        <f>HYPERLINK("https://creighton-primo.hosted.exlibrisgroup.com/primo-explore/search?tab=default_tab&amp;search_scope=EVERYTHING&amp;vid=01CRU&amp;lang=en_US&amp;offset=0&amp;query=any,contains,991004797899702656","Catalog Record")</f>
        <v/>
      </c>
      <c r="AT2556">
        <f>HYPERLINK("http://www.worldcat.org/oclc/5196687","WorldCat Record")</f>
        <v/>
      </c>
      <c r="AU2556" t="inlineStr">
        <is>
          <t>3901753419:eng</t>
        </is>
      </c>
      <c r="AV2556" t="inlineStr">
        <is>
          <t>5196687</t>
        </is>
      </c>
      <c r="AW2556" t="inlineStr">
        <is>
          <t>991004797899702656</t>
        </is>
      </c>
      <c r="AX2556" t="inlineStr">
        <is>
          <t>991004797899702656</t>
        </is>
      </c>
      <c r="AY2556" t="inlineStr">
        <is>
          <t>2258747810002656</t>
        </is>
      </c>
      <c r="AZ2556" t="inlineStr">
        <is>
          <t>BOOK</t>
        </is>
      </c>
      <c r="BB2556" t="inlineStr">
        <is>
          <t>9780198266495</t>
        </is>
      </c>
      <c r="BC2556" t="inlineStr">
        <is>
          <t>32285001065167</t>
        </is>
      </c>
      <c r="BD2556" t="inlineStr">
        <is>
          <t>893876587</t>
        </is>
      </c>
    </row>
    <row r="2557">
      <c r="A2557" t="inlineStr">
        <is>
          <t>No</t>
        </is>
      </c>
      <c r="B2557" t="inlineStr">
        <is>
          <t>BX4827.B3 M8</t>
        </is>
      </c>
      <c r="C2557" t="inlineStr">
        <is>
          <t>0                      BX 4827000B  3                  M  8</t>
        </is>
      </c>
      <c r="D2557" t="inlineStr">
        <is>
          <t>Karl Barth / by David L. Mueller.</t>
        </is>
      </c>
      <c r="F2557" t="inlineStr">
        <is>
          <t>No</t>
        </is>
      </c>
      <c r="G2557" t="inlineStr">
        <is>
          <t>1</t>
        </is>
      </c>
      <c r="H2557" t="inlineStr">
        <is>
          <t>No</t>
        </is>
      </c>
      <c r="I2557" t="inlineStr">
        <is>
          <t>No</t>
        </is>
      </c>
      <c r="J2557" t="inlineStr">
        <is>
          <t>0</t>
        </is>
      </c>
      <c r="K2557" t="inlineStr">
        <is>
          <t>Mueller, David L. (David Livingstone), 1929-</t>
        </is>
      </c>
      <c r="L2557" t="inlineStr">
        <is>
          <t>Waco, Tex. : Word Books, c1972, 1975 printing.</t>
        </is>
      </c>
      <c r="M2557" t="inlineStr">
        <is>
          <t>1972</t>
        </is>
      </c>
      <c r="O2557" t="inlineStr">
        <is>
          <t>eng</t>
        </is>
      </c>
      <c r="P2557" t="inlineStr">
        <is>
          <t>txu</t>
        </is>
      </c>
      <c r="Q2557" t="inlineStr">
        <is>
          <t>Makers of the modern theological mind</t>
        </is>
      </c>
      <c r="R2557" t="inlineStr">
        <is>
          <t xml:space="preserve">BX </t>
        </is>
      </c>
      <c r="S2557" t="n">
        <v>3</v>
      </c>
      <c r="T2557" t="n">
        <v>3</v>
      </c>
      <c r="U2557" t="inlineStr">
        <is>
          <t>2008-04-12</t>
        </is>
      </c>
      <c r="V2557" t="inlineStr">
        <is>
          <t>2008-04-12</t>
        </is>
      </c>
      <c r="W2557" t="inlineStr">
        <is>
          <t>1992-04-09</t>
        </is>
      </c>
      <c r="X2557" t="inlineStr">
        <is>
          <t>1992-04-09</t>
        </is>
      </c>
      <c r="Y2557" t="n">
        <v>682</v>
      </c>
      <c r="Z2557" t="n">
        <v>624</v>
      </c>
      <c r="AA2557" t="n">
        <v>674</v>
      </c>
      <c r="AB2557" t="n">
        <v>9</v>
      </c>
      <c r="AC2557" t="n">
        <v>9</v>
      </c>
      <c r="AD2557" t="n">
        <v>40</v>
      </c>
      <c r="AE2557" t="n">
        <v>40</v>
      </c>
      <c r="AF2557" t="n">
        <v>13</v>
      </c>
      <c r="AG2557" t="n">
        <v>13</v>
      </c>
      <c r="AH2557" t="n">
        <v>9</v>
      </c>
      <c r="AI2557" t="n">
        <v>9</v>
      </c>
      <c r="AJ2557" t="n">
        <v>18</v>
      </c>
      <c r="AK2557" t="n">
        <v>18</v>
      </c>
      <c r="AL2557" t="n">
        <v>7</v>
      </c>
      <c r="AM2557" t="n">
        <v>7</v>
      </c>
      <c r="AN2557" t="n">
        <v>0</v>
      </c>
      <c r="AO2557" t="n">
        <v>0</v>
      </c>
      <c r="AP2557" t="inlineStr">
        <is>
          <t>No</t>
        </is>
      </c>
      <c r="AQ2557" t="inlineStr">
        <is>
          <t>No</t>
        </is>
      </c>
      <c r="AS2557">
        <f>HYPERLINK("https://creighton-primo.hosted.exlibrisgroup.com/primo-explore/search?tab=default_tab&amp;search_scope=EVERYTHING&amp;vid=01CRU&amp;lang=en_US&amp;offset=0&amp;query=any,contains,991002654959702656","Catalog Record")</f>
        <v/>
      </c>
      <c r="AT2557">
        <f>HYPERLINK("http://www.worldcat.org/oclc/388418","WorldCat Record")</f>
        <v/>
      </c>
      <c r="AU2557" t="inlineStr">
        <is>
          <t>1516918:eng</t>
        </is>
      </c>
      <c r="AV2557" t="inlineStr">
        <is>
          <t>388418</t>
        </is>
      </c>
      <c r="AW2557" t="inlineStr">
        <is>
          <t>991002654959702656</t>
        </is>
      </c>
      <c r="AX2557" t="inlineStr">
        <is>
          <t>991002654959702656</t>
        </is>
      </c>
      <c r="AY2557" t="inlineStr">
        <is>
          <t>2255030680002656</t>
        </is>
      </c>
      <c r="AZ2557" t="inlineStr">
        <is>
          <t>BOOK</t>
        </is>
      </c>
      <c r="BC2557" t="inlineStr">
        <is>
          <t>32285001065175</t>
        </is>
      </c>
      <c r="BD2557" t="inlineStr">
        <is>
          <t>893616388</t>
        </is>
      </c>
    </row>
    <row r="2558">
      <c r="A2558" t="inlineStr">
        <is>
          <t>No</t>
        </is>
      </c>
      <c r="B2558" t="inlineStr">
        <is>
          <t>BX4827.B3 O34</t>
        </is>
      </c>
      <c r="C2558" t="inlineStr">
        <is>
          <t>0                      BX 4827000B  3                  O  34</t>
        </is>
      </c>
      <c r="D2558" t="inlineStr">
        <is>
          <t>An introduction to the theology of Karl Barth / Colm O'Grady.</t>
        </is>
      </c>
      <c r="F2558" t="inlineStr">
        <is>
          <t>No</t>
        </is>
      </c>
      <c r="G2558" t="inlineStr">
        <is>
          <t>1</t>
        </is>
      </c>
      <c r="H2558" t="inlineStr">
        <is>
          <t>No</t>
        </is>
      </c>
      <c r="I2558" t="inlineStr">
        <is>
          <t>No</t>
        </is>
      </c>
      <c r="J2558" t="inlineStr">
        <is>
          <t>0</t>
        </is>
      </c>
      <c r="K2558" t="inlineStr">
        <is>
          <t>O'Grady, Colm.</t>
        </is>
      </c>
      <c r="L2558" t="inlineStr">
        <is>
          <t>New York : Corpus Books, [c1970]</t>
        </is>
      </c>
      <c r="M2558" t="inlineStr">
        <is>
          <t>1970</t>
        </is>
      </c>
      <c r="O2558" t="inlineStr">
        <is>
          <t>eng</t>
        </is>
      </c>
      <c r="P2558" t="inlineStr">
        <is>
          <t>nyu</t>
        </is>
      </c>
      <c r="Q2558" t="inlineStr">
        <is>
          <t>Corpus papers</t>
        </is>
      </c>
      <c r="R2558" t="inlineStr">
        <is>
          <t xml:space="preserve">BX </t>
        </is>
      </c>
      <c r="S2558" t="n">
        <v>1</v>
      </c>
      <c r="T2558" t="n">
        <v>1</v>
      </c>
      <c r="U2558" t="inlineStr">
        <is>
          <t>2005-03-15</t>
        </is>
      </c>
      <c r="V2558" t="inlineStr">
        <is>
          <t>2005-03-15</t>
        </is>
      </c>
      <c r="W2558" t="inlineStr">
        <is>
          <t>1992-04-09</t>
        </is>
      </c>
      <c r="X2558" t="inlineStr">
        <is>
          <t>1992-04-09</t>
        </is>
      </c>
      <c r="Y2558" t="n">
        <v>131</v>
      </c>
      <c r="Z2558" t="n">
        <v>111</v>
      </c>
      <c r="AA2558" t="n">
        <v>116</v>
      </c>
      <c r="AB2558" t="n">
        <v>5</v>
      </c>
      <c r="AC2558" t="n">
        <v>5</v>
      </c>
      <c r="AD2558" t="n">
        <v>16</v>
      </c>
      <c r="AE2558" t="n">
        <v>16</v>
      </c>
      <c r="AF2558" t="n">
        <v>5</v>
      </c>
      <c r="AG2558" t="n">
        <v>5</v>
      </c>
      <c r="AH2558" t="n">
        <v>4</v>
      </c>
      <c r="AI2558" t="n">
        <v>4</v>
      </c>
      <c r="AJ2558" t="n">
        <v>10</v>
      </c>
      <c r="AK2558" t="n">
        <v>10</v>
      </c>
      <c r="AL2558" t="n">
        <v>3</v>
      </c>
      <c r="AM2558" t="n">
        <v>3</v>
      </c>
      <c r="AN2558" t="n">
        <v>0</v>
      </c>
      <c r="AO2558" t="n">
        <v>0</v>
      </c>
      <c r="AP2558" t="inlineStr">
        <is>
          <t>No</t>
        </is>
      </c>
      <c r="AQ2558" t="inlineStr">
        <is>
          <t>No</t>
        </is>
      </c>
      <c r="AS2558">
        <f>HYPERLINK("https://creighton-primo.hosted.exlibrisgroup.com/primo-explore/search?tab=default_tab&amp;search_scope=EVERYTHING&amp;vid=01CRU&amp;lang=en_US&amp;offset=0&amp;query=any,contains,991002712899702656","Catalog Record")</f>
        <v/>
      </c>
      <c r="AT2558">
        <f>HYPERLINK("http://www.worldcat.org/oclc/410386","WorldCat Record")</f>
        <v/>
      </c>
      <c r="AU2558" t="inlineStr">
        <is>
          <t>1453122:eng</t>
        </is>
      </c>
      <c r="AV2558" t="inlineStr">
        <is>
          <t>410386</t>
        </is>
      </c>
      <c r="AW2558" t="inlineStr">
        <is>
          <t>991002712899702656</t>
        </is>
      </c>
      <c r="AX2558" t="inlineStr">
        <is>
          <t>991002712899702656</t>
        </is>
      </c>
      <c r="AY2558" t="inlineStr">
        <is>
          <t>2265618610002656</t>
        </is>
      </c>
      <c r="AZ2558" t="inlineStr">
        <is>
          <t>BOOK</t>
        </is>
      </c>
      <c r="BC2558" t="inlineStr">
        <is>
          <t>32285001065191</t>
        </is>
      </c>
      <c r="BD2558" t="inlineStr">
        <is>
          <t>893899115</t>
        </is>
      </c>
    </row>
    <row r="2559">
      <c r="A2559" t="inlineStr">
        <is>
          <t>No</t>
        </is>
      </c>
      <c r="B2559" t="inlineStr">
        <is>
          <t>BX4827.B3 P28</t>
        </is>
      </c>
      <c r="C2559" t="inlineStr">
        <is>
          <t>0                      BX 4827000B  3                  P  28</t>
        </is>
      </c>
      <c r="D2559" t="inlineStr">
        <is>
          <t>Karl Barth / by T. H. L. Parker.</t>
        </is>
      </c>
      <c r="F2559" t="inlineStr">
        <is>
          <t>No</t>
        </is>
      </c>
      <c r="G2559" t="inlineStr">
        <is>
          <t>1</t>
        </is>
      </c>
      <c r="H2559" t="inlineStr">
        <is>
          <t>No</t>
        </is>
      </c>
      <c r="I2559" t="inlineStr">
        <is>
          <t>No</t>
        </is>
      </c>
      <c r="J2559" t="inlineStr">
        <is>
          <t>0</t>
        </is>
      </c>
      <c r="K2559" t="inlineStr">
        <is>
          <t>Parker, T. H. L. (Thomas Henry Louis)</t>
        </is>
      </c>
      <c r="L2559" t="inlineStr">
        <is>
          <t>Grand Rapids : Eerdmans, [1970]</t>
        </is>
      </c>
      <c r="M2559" t="inlineStr">
        <is>
          <t>1970</t>
        </is>
      </c>
      <c r="O2559" t="inlineStr">
        <is>
          <t>eng</t>
        </is>
      </c>
      <c r="P2559" t="inlineStr">
        <is>
          <t>miu</t>
        </is>
      </c>
      <c r="R2559" t="inlineStr">
        <is>
          <t xml:space="preserve">BX </t>
        </is>
      </c>
      <c r="S2559" t="n">
        <v>1</v>
      </c>
      <c r="T2559" t="n">
        <v>1</v>
      </c>
      <c r="U2559" t="inlineStr">
        <is>
          <t>2005-02-25</t>
        </is>
      </c>
      <c r="V2559" t="inlineStr">
        <is>
          <t>2005-02-25</t>
        </is>
      </c>
      <c r="W2559" t="inlineStr">
        <is>
          <t>1992-04-09</t>
        </is>
      </c>
      <c r="X2559" t="inlineStr">
        <is>
          <t>1992-04-09</t>
        </is>
      </c>
      <c r="Y2559" t="n">
        <v>639</v>
      </c>
      <c r="Z2559" t="n">
        <v>569</v>
      </c>
      <c r="AA2559" t="n">
        <v>579</v>
      </c>
      <c r="AB2559" t="n">
        <v>6</v>
      </c>
      <c r="AC2559" t="n">
        <v>6</v>
      </c>
      <c r="AD2559" t="n">
        <v>24</v>
      </c>
      <c r="AE2559" t="n">
        <v>24</v>
      </c>
      <c r="AF2559" t="n">
        <v>9</v>
      </c>
      <c r="AG2559" t="n">
        <v>9</v>
      </c>
      <c r="AH2559" t="n">
        <v>3</v>
      </c>
      <c r="AI2559" t="n">
        <v>3</v>
      </c>
      <c r="AJ2559" t="n">
        <v>12</v>
      </c>
      <c r="AK2559" t="n">
        <v>12</v>
      </c>
      <c r="AL2559" t="n">
        <v>4</v>
      </c>
      <c r="AM2559" t="n">
        <v>4</v>
      </c>
      <c r="AN2559" t="n">
        <v>0</v>
      </c>
      <c r="AO2559" t="n">
        <v>0</v>
      </c>
      <c r="AP2559" t="inlineStr">
        <is>
          <t>No</t>
        </is>
      </c>
      <c r="AQ2559" t="inlineStr">
        <is>
          <t>Yes</t>
        </is>
      </c>
      <c r="AR2559">
        <f>HYPERLINK("http://catalog.hathitrust.org/Record/001594527","HathiTrust Record")</f>
        <v/>
      </c>
      <c r="AS2559">
        <f>HYPERLINK("https://creighton-primo.hosted.exlibrisgroup.com/primo-explore/search?tab=default_tab&amp;search_scope=EVERYTHING&amp;vid=01CRU&amp;lang=en_US&amp;offset=0&amp;query=any,contains,991000490459702656","Catalog Record")</f>
        <v/>
      </c>
      <c r="AT2559">
        <f>HYPERLINK("http://www.worldcat.org/oclc/80389","WorldCat Record")</f>
        <v/>
      </c>
      <c r="AU2559" t="inlineStr">
        <is>
          <t>1260877:eng</t>
        </is>
      </c>
      <c r="AV2559" t="inlineStr">
        <is>
          <t>80389</t>
        </is>
      </c>
      <c r="AW2559" t="inlineStr">
        <is>
          <t>991000490459702656</t>
        </is>
      </c>
      <c r="AX2559" t="inlineStr">
        <is>
          <t>991000490459702656</t>
        </is>
      </c>
      <c r="AY2559" t="inlineStr">
        <is>
          <t>2269855620002656</t>
        </is>
      </c>
      <c r="AZ2559" t="inlineStr">
        <is>
          <t>BOOK</t>
        </is>
      </c>
      <c r="BC2559" t="inlineStr">
        <is>
          <t>32285001065209</t>
        </is>
      </c>
      <c r="BD2559" t="inlineStr">
        <is>
          <t>893601792</t>
        </is>
      </c>
    </row>
    <row r="2560">
      <c r="A2560" t="inlineStr">
        <is>
          <t>No</t>
        </is>
      </c>
      <c r="B2560" t="inlineStr">
        <is>
          <t>BX4827.B3 R57 1991</t>
        </is>
      </c>
      <c r="C2560" t="inlineStr">
        <is>
          <t>0                      BX 4827000B  3                  R  57          1991</t>
        </is>
      </c>
      <c r="D2560" t="inlineStr">
        <is>
          <t>A theology on its way? : essays on Karl Barth / by Richard H. Roberts.</t>
        </is>
      </c>
      <c r="F2560" t="inlineStr">
        <is>
          <t>No</t>
        </is>
      </c>
      <c r="G2560" t="inlineStr">
        <is>
          <t>1</t>
        </is>
      </c>
      <c r="H2560" t="inlineStr">
        <is>
          <t>No</t>
        </is>
      </c>
      <c r="I2560" t="inlineStr">
        <is>
          <t>No</t>
        </is>
      </c>
      <c r="J2560" t="inlineStr">
        <is>
          <t>0</t>
        </is>
      </c>
      <c r="K2560" t="inlineStr">
        <is>
          <t>Roberts, Richard H., 1946-</t>
        </is>
      </c>
      <c r="L2560" t="inlineStr">
        <is>
          <t>Edinburgh : T&amp;T Clark, 1991.</t>
        </is>
      </c>
      <c r="M2560" t="inlineStr">
        <is>
          <t>1991</t>
        </is>
      </c>
      <c r="O2560" t="inlineStr">
        <is>
          <t>eng</t>
        </is>
      </c>
      <c r="P2560" t="inlineStr">
        <is>
          <t>stk</t>
        </is>
      </c>
      <c r="R2560" t="inlineStr">
        <is>
          <t xml:space="preserve">BX </t>
        </is>
      </c>
      <c r="S2560" t="n">
        <v>2</v>
      </c>
      <c r="T2560" t="n">
        <v>2</v>
      </c>
      <c r="U2560" t="inlineStr">
        <is>
          <t>1998-04-07</t>
        </is>
      </c>
      <c r="V2560" t="inlineStr">
        <is>
          <t>1998-04-07</t>
        </is>
      </c>
      <c r="W2560" t="inlineStr">
        <is>
          <t>1992-11-20</t>
        </is>
      </c>
      <c r="X2560" t="inlineStr">
        <is>
          <t>1992-11-20</t>
        </is>
      </c>
      <c r="Y2560" t="n">
        <v>216</v>
      </c>
      <c r="Z2560" t="n">
        <v>147</v>
      </c>
      <c r="AA2560" t="n">
        <v>147</v>
      </c>
      <c r="AB2560" t="n">
        <v>2</v>
      </c>
      <c r="AC2560" t="n">
        <v>2</v>
      </c>
      <c r="AD2560" t="n">
        <v>13</v>
      </c>
      <c r="AE2560" t="n">
        <v>13</v>
      </c>
      <c r="AF2560" t="n">
        <v>4</v>
      </c>
      <c r="AG2560" t="n">
        <v>4</v>
      </c>
      <c r="AH2560" t="n">
        <v>3</v>
      </c>
      <c r="AI2560" t="n">
        <v>3</v>
      </c>
      <c r="AJ2560" t="n">
        <v>8</v>
      </c>
      <c r="AK2560" t="n">
        <v>8</v>
      </c>
      <c r="AL2560" t="n">
        <v>1</v>
      </c>
      <c r="AM2560" t="n">
        <v>1</v>
      </c>
      <c r="AN2560" t="n">
        <v>0</v>
      </c>
      <c r="AO2560" t="n">
        <v>0</v>
      </c>
      <c r="AP2560" t="inlineStr">
        <is>
          <t>No</t>
        </is>
      </c>
      <c r="AQ2560" t="inlineStr">
        <is>
          <t>No</t>
        </is>
      </c>
      <c r="AS2560">
        <f>HYPERLINK("https://creighton-primo.hosted.exlibrisgroup.com/primo-explore/search?tab=default_tab&amp;search_scope=EVERYTHING&amp;vid=01CRU&amp;lang=en_US&amp;offset=0&amp;query=any,contains,991002078469702656","Catalog Record")</f>
        <v/>
      </c>
      <c r="AT2560">
        <f>HYPERLINK("http://www.worldcat.org/oclc/26636450","WorldCat Record")</f>
        <v/>
      </c>
      <c r="AU2560" t="inlineStr">
        <is>
          <t>29180688:eng</t>
        </is>
      </c>
      <c r="AV2560" t="inlineStr">
        <is>
          <t>26636450</t>
        </is>
      </c>
      <c r="AW2560" t="inlineStr">
        <is>
          <t>991002078469702656</t>
        </is>
      </c>
      <c r="AX2560" t="inlineStr">
        <is>
          <t>991002078469702656</t>
        </is>
      </c>
      <c r="AY2560" t="inlineStr">
        <is>
          <t>2263204510002656</t>
        </is>
      </c>
      <c r="AZ2560" t="inlineStr">
        <is>
          <t>BOOK</t>
        </is>
      </c>
      <c r="BB2560" t="inlineStr">
        <is>
          <t>9780567095855</t>
        </is>
      </c>
      <c r="BC2560" t="inlineStr">
        <is>
          <t>32285001364248</t>
        </is>
      </c>
      <c r="BD2560" t="inlineStr">
        <is>
          <t>893516864</t>
        </is>
      </c>
    </row>
    <row r="2561">
      <c r="A2561" t="inlineStr">
        <is>
          <t>No</t>
        </is>
      </c>
      <c r="B2561" t="inlineStr">
        <is>
          <t>BX4827.B33 H6</t>
        </is>
      </c>
      <c r="C2561" t="inlineStr">
        <is>
          <t>0                      BX 4827000B  33                 H  6</t>
        </is>
      </c>
      <c r="D2561" t="inlineStr">
        <is>
          <t>The formation of historical theology : a study of Ferdinand Christian Baur / [by] Peter C. Hodgson.</t>
        </is>
      </c>
      <c r="F2561" t="inlineStr">
        <is>
          <t>No</t>
        </is>
      </c>
      <c r="G2561" t="inlineStr">
        <is>
          <t>1</t>
        </is>
      </c>
      <c r="H2561" t="inlineStr">
        <is>
          <t>No</t>
        </is>
      </c>
      <c r="I2561" t="inlineStr">
        <is>
          <t>No</t>
        </is>
      </c>
      <c r="J2561" t="inlineStr">
        <is>
          <t>0</t>
        </is>
      </c>
      <c r="K2561" t="inlineStr">
        <is>
          <t>Hodgson, Peter Crafts, 1934-</t>
        </is>
      </c>
      <c r="L2561" t="inlineStr">
        <is>
          <t>New York : Harper &amp; Row, [1966]</t>
        </is>
      </c>
      <c r="M2561" t="inlineStr">
        <is>
          <t>1966</t>
        </is>
      </c>
      <c r="N2561" t="inlineStr">
        <is>
          <t>[1st ed.]</t>
        </is>
      </c>
      <c r="O2561" t="inlineStr">
        <is>
          <t>eng</t>
        </is>
      </c>
      <c r="P2561" t="inlineStr">
        <is>
          <t>nyu</t>
        </is>
      </c>
      <c r="Q2561" t="inlineStr">
        <is>
          <t>Makers of modern theology</t>
        </is>
      </c>
      <c r="R2561" t="inlineStr">
        <is>
          <t xml:space="preserve">BX </t>
        </is>
      </c>
      <c r="S2561" t="n">
        <v>2</v>
      </c>
      <c r="T2561" t="n">
        <v>2</v>
      </c>
      <c r="U2561" t="inlineStr">
        <is>
          <t>1993-11-30</t>
        </is>
      </c>
      <c r="V2561" t="inlineStr">
        <is>
          <t>1993-11-30</t>
        </is>
      </c>
      <c r="W2561" t="inlineStr">
        <is>
          <t>1992-04-09</t>
        </is>
      </c>
      <c r="X2561" t="inlineStr">
        <is>
          <t>1992-04-09</t>
        </is>
      </c>
      <c r="Y2561" t="n">
        <v>569</v>
      </c>
      <c r="Z2561" t="n">
        <v>487</v>
      </c>
      <c r="AA2561" t="n">
        <v>491</v>
      </c>
      <c r="AB2561" t="n">
        <v>5</v>
      </c>
      <c r="AC2561" t="n">
        <v>5</v>
      </c>
      <c r="AD2561" t="n">
        <v>34</v>
      </c>
      <c r="AE2561" t="n">
        <v>34</v>
      </c>
      <c r="AF2561" t="n">
        <v>15</v>
      </c>
      <c r="AG2561" t="n">
        <v>15</v>
      </c>
      <c r="AH2561" t="n">
        <v>5</v>
      </c>
      <c r="AI2561" t="n">
        <v>5</v>
      </c>
      <c r="AJ2561" t="n">
        <v>20</v>
      </c>
      <c r="AK2561" t="n">
        <v>20</v>
      </c>
      <c r="AL2561" t="n">
        <v>3</v>
      </c>
      <c r="AM2561" t="n">
        <v>3</v>
      </c>
      <c r="AN2561" t="n">
        <v>0</v>
      </c>
      <c r="AO2561" t="n">
        <v>0</v>
      </c>
      <c r="AP2561" t="inlineStr">
        <is>
          <t>No</t>
        </is>
      </c>
      <c r="AQ2561" t="inlineStr">
        <is>
          <t>Yes</t>
        </is>
      </c>
      <c r="AR2561">
        <f>HYPERLINK("http://catalog.hathitrust.org/Record/001410706","HathiTrust Record")</f>
        <v/>
      </c>
      <c r="AS2561">
        <f>HYPERLINK("https://creighton-primo.hosted.exlibrisgroup.com/primo-explore/search?tab=default_tab&amp;search_scope=EVERYTHING&amp;vid=01CRU&amp;lang=en_US&amp;offset=0&amp;query=any,contains,991003191759702656","Catalog Record")</f>
        <v/>
      </c>
      <c r="AT2561">
        <f>HYPERLINK("http://www.worldcat.org/oclc/716971","WorldCat Record")</f>
        <v/>
      </c>
      <c r="AU2561" t="inlineStr">
        <is>
          <t>131685455:eng</t>
        </is>
      </c>
      <c r="AV2561" t="inlineStr">
        <is>
          <t>716971</t>
        </is>
      </c>
      <c r="AW2561" t="inlineStr">
        <is>
          <t>991003191759702656</t>
        </is>
      </c>
      <c r="AX2561" t="inlineStr">
        <is>
          <t>991003191759702656</t>
        </is>
      </c>
      <c r="AY2561" t="inlineStr">
        <is>
          <t>2259275370002656</t>
        </is>
      </c>
      <c r="AZ2561" t="inlineStr">
        <is>
          <t>BOOK</t>
        </is>
      </c>
      <c r="BC2561" t="inlineStr">
        <is>
          <t>32285001065225</t>
        </is>
      </c>
      <c r="BD2561" t="inlineStr">
        <is>
          <t>893692467</t>
        </is>
      </c>
    </row>
    <row r="2562">
      <c r="A2562" t="inlineStr">
        <is>
          <t>No</t>
        </is>
      </c>
      <c r="B2562" t="inlineStr">
        <is>
          <t>BX4827.B57 B4</t>
        </is>
      </c>
      <c r="C2562" t="inlineStr">
        <is>
          <t>0                      BX 4827000B  57                 B  4</t>
        </is>
      </c>
      <c r="D2562" t="inlineStr">
        <is>
          <t>Dietrich Bonhoeffer : Theologe, Christ, Zeitgenosse / Eberhard Bethge.</t>
        </is>
      </c>
      <c r="F2562" t="inlineStr">
        <is>
          <t>No</t>
        </is>
      </c>
      <c r="G2562" t="inlineStr">
        <is>
          <t>1</t>
        </is>
      </c>
      <c r="H2562" t="inlineStr">
        <is>
          <t>No</t>
        </is>
      </c>
      <c r="I2562" t="inlineStr">
        <is>
          <t>No</t>
        </is>
      </c>
      <c r="J2562" t="inlineStr">
        <is>
          <t>0</t>
        </is>
      </c>
      <c r="K2562" t="inlineStr">
        <is>
          <t>Bethge, Eberhard, 1909-2000.</t>
        </is>
      </c>
      <c r="L2562" t="inlineStr">
        <is>
          <t>München : Kaiser, 1967.</t>
        </is>
      </c>
      <c r="M2562" t="inlineStr">
        <is>
          <t>1967</t>
        </is>
      </c>
      <c r="O2562" t="inlineStr">
        <is>
          <t>ger</t>
        </is>
      </c>
      <c r="P2562" t="inlineStr">
        <is>
          <t xml:space="preserve">gw </t>
        </is>
      </c>
      <c r="R2562" t="inlineStr">
        <is>
          <t xml:space="preserve">BX </t>
        </is>
      </c>
      <c r="S2562" t="n">
        <v>6</v>
      </c>
      <c r="T2562" t="n">
        <v>6</v>
      </c>
      <c r="U2562" t="inlineStr">
        <is>
          <t>1997-03-07</t>
        </is>
      </c>
      <c r="V2562" t="inlineStr">
        <is>
          <t>1997-03-07</t>
        </is>
      </c>
      <c r="W2562" t="inlineStr">
        <is>
          <t>1992-05-28</t>
        </is>
      </c>
      <c r="X2562" t="inlineStr">
        <is>
          <t>1992-05-28</t>
        </is>
      </c>
      <c r="Y2562" t="n">
        <v>262</v>
      </c>
      <c r="Z2562" t="n">
        <v>158</v>
      </c>
      <c r="AA2562" t="n">
        <v>178</v>
      </c>
      <c r="AB2562" t="n">
        <v>1</v>
      </c>
      <c r="AC2562" t="n">
        <v>2</v>
      </c>
      <c r="AD2562" t="n">
        <v>6</v>
      </c>
      <c r="AE2562" t="n">
        <v>9</v>
      </c>
      <c r="AF2562" t="n">
        <v>1</v>
      </c>
      <c r="AG2562" t="n">
        <v>2</v>
      </c>
      <c r="AH2562" t="n">
        <v>2</v>
      </c>
      <c r="AI2562" t="n">
        <v>2</v>
      </c>
      <c r="AJ2562" t="n">
        <v>4</v>
      </c>
      <c r="AK2562" t="n">
        <v>6</v>
      </c>
      <c r="AL2562" t="n">
        <v>0</v>
      </c>
      <c r="AM2562" t="n">
        <v>1</v>
      </c>
      <c r="AN2562" t="n">
        <v>0</v>
      </c>
      <c r="AO2562" t="n">
        <v>0</v>
      </c>
      <c r="AP2562" t="inlineStr">
        <is>
          <t>No</t>
        </is>
      </c>
      <c r="AQ2562" t="inlineStr">
        <is>
          <t>Yes</t>
        </is>
      </c>
      <c r="AR2562">
        <f>HYPERLINK("http://catalog.hathitrust.org/Record/001593824","HathiTrust Record")</f>
        <v/>
      </c>
      <c r="AS2562">
        <f>HYPERLINK("https://creighton-primo.hosted.exlibrisgroup.com/primo-explore/search?tab=default_tab&amp;search_scope=EVERYTHING&amp;vid=01CRU&amp;lang=en_US&amp;offset=0&amp;query=any,contains,991000352209702656","Catalog Record")</f>
        <v/>
      </c>
      <c r="AT2562">
        <f>HYPERLINK("http://www.worldcat.org/oclc/10317774","WorldCat Record")</f>
        <v/>
      </c>
      <c r="AU2562" t="inlineStr">
        <is>
          <t>3862617684:ger</t>
        </is>
      </c>
      <c r="AV2562" t="inlineStr">
        <is>
          <t>10317774</t>
        </is>
      </c>
      <c r="AW2562" t="inlineStr">
        <is>
          <t>991000352209702656</t>
        </is>
      </c>
      <c r="AX2562" t="inlineStr">
        <is>
          <t>991000352209702656</t>
        </is>
      </c>
      <c r="AY2562" t="inlineStr">
        <is>
          <t>2272271170002656</t>
        </is>
      </c>
      <c r="AZ2562" t="inlineStr">
        <is>
          <t>BOOK</t>
        </is>
      </c>
      <c r="BC2562" t="inlineStr">
        <is>
          <t>32285001113470</t>
        </is>
      </c>
      <c r="BD2562" t="inlineStr">
        <is>
          <t>893784150</t>
        </is>
      </c>
    </row>
    <row r="2563">
      <c r="A2563" t="inlineStr">
        <is>
          <t>No</t>
        </is>
      </c>
      <c r="B2563" t="inlineStr">
        <is>
          <t>BX4827.B57 G5</t>
        </is>
      </c>
      <c r="C2563" t="inlineStr">
        <is>
          <t>0                      BX 4827000B  57                 G  5</t>
        </is>
      </c>
      <c r="D2563" t="inlineStr">
        <is>
          <t>Memo for a movie : a short life of Dietrich Bonhoeffer / [by] Theodore A. Gill.</t>
        </is>
      </c>
      <c r="F2563" t="inlineStr">
        <is>
          <t>No</t>
        </is>
      </c>
      <c r="G2563" t="inlineStr">
        <is>
          <t>1</t>
        </is>
      </c>
      <c r="H2563" t="inlineStr">
        <is>
          <t>No</t>
        </is>
      </c>
      <c r="I2563" t="inlineStr">
        <is>
          <t>No</t>
        </is>
      </c>
      <c r="J2563" t="inlineStr">
        <is>
          <t>0</t>
        </is>
      </c>
      <c r="K2563" t="inlineStr">
        <is>
          <t>Gill, Theodore A. (Theodore Alexander), 1920-2005.</t>
        </is>
      </c>
      <c r="L2563" t="inlineStr">
        <is>
          <t>New York : Macmillan, [1971]</t>
        </is>
      </c>
      <c r="M2563" t="inlineStr">
        <is>
          <t>1971</t>
        </is>
      </c>
      <c r="O2563" t="inlineStr">
        <is>
          <t>eng</t>
        </is>
      </c>
      <c r="P2563" t="inlineStr">
        <is>
          <t>nyu</t>
        </is>
      </c>
      <c r="R2563" t="inlineStr">
        <is>
          <t xml:space="preserve">BX </t>
        </is>
      </c>
      <c r="S2563" t="n">
        <v>5</v>
      </c>
      <c r="T2563" t="n">
        <v>5</v>
      </c>
      <c r="U2563" t="inlineStr">
        <is>
          <t>2000-11-11</t>
        </is>
      </c>
      <c r="V2563" t="inlineStr">
        <is>
          <t>2000-11-11</t>
        </is>
      </c>
      <c r="W2563" t="inlineStr">
        <is>
          <t>1992-04-09</t>
        </is>
      </c>
      <c r="X2563" t="inlineStr">
        <is>
          <t>1992-04-09</t>
        </is>
      </c>
      <c r="Y2563" t="n">
        <v>618</v>
      </c>
      <c r="Z2563" t="n">
        <v>579</v>
      </c>
      <c r="AA2563" t="n">
        <v>591</v>
      </c>
      <c r="AB2563" t="n">
        <v>6</v>
      </c>
      <c r="AC2563" t="n">
        <v>6</v>
      </c>
      <c r="AD2563" t="n">
        <v>24</v>
      </c>
      <c r="AE2563" t="n">
        <v>24</v>
      </c>
      <c r="AF2563" t="n">
        <v>7</v>
      </c>
      <c r="AG2563" t="n">
        <v>7</v>
      </c>
      <c r="AH2563" t="n">
        <v>5</v>
      </c>
      <c r="AI2563" t="n">
        <v>5</v>
      </c>
      <c r="AJ2563" t="n">
        <v>12</v>
      </c>
      <c r="AK2563" t="n">
        <v>12</v>
      </c>
      <c r="AL2563" t="n">
        <v>5</v>
      </c>
      <c r="AM2563" t="n">
        <v>5</v>
      </c>
      <c r="AN2563" t="n">
        <v>0</v>
      </c>
      <c r="AO2563" t="n">
        <v>0</v>
      </c>
      <c r="AP2563" t="inlineStr">
        <is>
          <t>No</t>
        </is>
      </c>
      <c r="AQ2563" t="inlineStr">
        <is>
          <t>No</t>
        </is>
      </c>
      <c r="AS2563">
        <f>HYPERLINK("https://creighton-primo.hosted.exlibrisgroup.com/primo-explore/search?tab=default_tab&amp;search_scope=EVERYTHING&amp;vid=01CRU&amp;lang=en_US&amp;offset=0&amp;query=any,contains,991000718499702656","Catalog Record")</f>
        <v/>
      </c>
      <c r="AT2563">
        <f>HYPERLINK("http://www.worldcat.org/oclc/125824","WorldCat Record")</f>
        <v/>
      </c>
      <c r="AU2563" t="inlineStr">
        <is>
          <t>285713117:eng</t>
        </is>
      </c>
      <c r="AV2563" t="inlineStr">
        <is>
          <t>125824</t>
        </is>
      </c>
      <c r="AW2563" t="inlineStr">
        <is>
          <t>991000718499702656</t>
        </is>
      </c>
      <c r="AX2563" t="inlineStr">
        <is>
          <t>991000718499702656</t>
        </is>
      </c>
      <c r="AY2563" t="inlineStr">
        <is>
          <t>2260354020002656</t>
        </is>
      </c>
      <c r="AZ2563" t="inlineStr">
        <is>
          <t>BOOK</t>
        </is>
      </c>
      <c r="BC2563" t="inlineStr">
        <is>
          <t>32285001065282</t>
        </is>
      </c>
      <c r="BD2563" t="inlineStr">
        <is>
          <t>893595813</t>
        </is>
      </c>
    </row>
    <row r="2564">
      <c r="A2564" t="inlineStr">
        <is>
          <t>No</t>
        </is>
      </c>
      <c r="B2564" t="inlineStr">
        <is>
          <t>BX4827.B57 O86133 1972</t>
        </is>
      </c>
      <c r="C2564" t="inlineStr">
        <is>
          <t>0                      BX 4827000B  57                 O  86133       1972</t>
        </is>
      </c>
      <c r="D2564" t="inlineStr">
        <is>
          <t>Reality and faith : the theological legacy of Dietrich Bonhoeffer / by Heinrich Ott.</t>
        </is>
      </c>
      <c r="F2564" t="inlineStr">
        <is>
          <t>No</t>
        </is>
      </c>
      <c r="G2564" t="inlineStr">
        <is>
          <t>1</t>
        </is>
      </c>
      <c r="H2564" t="inlineStr">
        <is>
          <t>No</t>
        </is>
      </c>
      <c r="I2564" t="inlineStr">
        <is>
          <t>No</t>
        </is>
      </c>
      <c r="J2564" t="inlineStr">
        <is>
          <t>0</t>
        </is>
      </c>
      <c r="K2564" t="inlineStr">
        <is>
          <t>Ott, Heinrich.</t>
        </is>
      </c>
      <c r="L2564" t="inlineStr">
        <is>
          <t>Philadelphia : Fortress Press, [1972]</t>
        </is>
      </c>
      <c r="M2564" t="inlineStr">
        <is>
          <t>1972</t>
        </is>
      </c>
      <c r="N2564" t="inlineStr">
        <is>
          <t>[1st American ed.]</t>
        </is>
      </c>
      <c r="O2564" t="inlineStr">
        <is>
          <t>eng</t>
        </is>
      </c>
      <c r="P2564" t="inlineStr">
        <is>
          <t>pau</t>
        </is>
      </c>
      <c r="R2564" t="inlineStr">
        <is>
          <t xml:space="preserve">BX </t>
        </is>
      </c>
      <c r="S2564" t="n">
        <v>6</v>
      </c>
      <c r="T2564" t="n">
        <v>6</v>
      </c>
      <c r="U2564" t="inlineStr">
        <is>
          <t>2000-11-15</t>
        </is>
      </c>
      <c r="V2564" t="inlineStr">
        <is>
          <t>2000-11-15</t>
        </is>
      </c>
      <c r="W2564" t="inlineStr">
        <is>
          <t>1992-05-18</t>
        </is>
      </c>
      <c r="X2564" t="inlineStr">
        <is>
          <t>1992-05-18</t>
        </is>
      </c>
      <c r="Y2564" t="n">
        <v>477</v>
      </c>
      <c r="Z2564" t="n">
        <v>451</v>
      </c>
      <c r="AA2564" t="n">
        <v>483</v>
      </c>
      <c r="AB2564" t="n">
        <v>5</v>
      </c>
      <c r="AC2564" t="n">
        <v>5</v>
      </c>
      <c r="AD2564" t="n">
        <v>33</v>
      </c>
      <c r="AE2564" t="n">
        <v>34</v>
      </c>
      <c r="AF2564" t="n">
        <v>11</v>
      </c>
      <c r="AG2564" t="n">
        <v>11</v>
      </c>
      <c r="AH2564" t="n">
        <v>6</v>
      </c>
      <c r="AI2564" t="n">
        <v>7</v>
      </c>
      <c r="AJ2564" t="n">
        <v>21</v>
      </c>
      <c r="AK2564" t="n">
        <v>21</v>
      </c>
      <c r="AL2564" t="n">
        <v>4</v>
      </c>
      <c r="AM2564" t="n">
        <v>4</v>
      </c>
      <c r="AN2564" t="n">
        <v>0</v>
      </c>
      <c r="AO2564" t="n">
        <v>0</v>
      </c>
      <c r="AP2564" t="inlineStr">
        <is>
          <t>No</t>
        </is>
      </c>
      <c r="AQ2564" t="inlineStr">
        <is>
          <t>Yes</t>
        </is>
      </c>
      <c r="AR2564">
        <f>HYPERLINK("http://catalog.hathitrust.org/Record/001592407","HathiTrust Record")</f>
        <v/>
      </c>
      <c r="AS2564">
        <f>HYPERLINK("https://creighton-primo.hosted.exlibrisgroup.com/primo-explore/search?tab=default_tab&amp;search_scope=EVERYTHING&amp;vid=01CRU&amp;lang=en_US&amp;offset=0&amp;query=any,contains,991002113719702656","Catalog Record")</f>
        <v/>
      </c>
      <c r="AT2564">
        <f>HYPERLINK("http://www.worldcat.org/oclc/267782","WorldCat Record")</f>
        <v/>
      </c>
      <c r="AU2564" t="inlineStr">
        <is>
          <t>24811550:eng</t>
        </is>
      </c>
      <c r="AV2564" t="inlineStr">
        <is>
          <t>267782</t>
        </is>
      </c>
      <c r="AW2564" t="inlineStr">
        <is>
          <t>991002113719702656</t>
        </is>
      </c>
      <c r="AX2564" t="inlineStr">
        <is>
          <t>991002113719702656</t>
        </is>
      </c>
      <c r="AY2564" t="inlineStr">
        <is>
          <t>2270626040002656</t>
        </is>
      </c>
      <c r="AZ2564" t="inlineStr">
        <is>
          <t>BOOK</t>
        </is>
      </c>
      <c r="BB2564" t="inlineStr">
        <is>
          <t>9780800600594</t>
        </is>
      </c>
      <c r="BC2564" t="inlineStr">
        <is>
          <t>32285001111748</t>
        </is>
      </c>
      <c r="BD2564" t="inlineStr">
        <is>
          <t>893785739</t>
        </is>
      </c>
    </row>
    <row r="2565">
      <c r="A2565" t="inlineStr">
        <is>
          <t>No</t>
        </is>
      </c>
      <c r="B2565" t="inlineStr">
        <is>
          <t>BX4827.B57 S6</t>
        </is>
      </c>
      <c r="C2565" t="inlineStr">
        <is>
          <t>0                      BX 4827000B  57                 S  6</t>
        </is>
      </c>
      <c r="D2565" t="inlineStr">
        <is>
          <t>World come of age / edited and with an introd. by Ronald Gregor Smith. Contributors : Karl Barth ... [et al.].</t>
        </is>
      </c>
      <c r="F2565" t="inlineStr">
        <is>
          <t>No</t>
        </is>
      </c>
      <c r="G2565" t="inlineStr">
        <is>
          <t>1</t>
        </is>
      </c>
      <c r="H2565" t="inlineStr">
        <is>
          <t>No</t>
        </is>
      </c>
      <c r="I2565" t="inlineStr">
        <is>
          <t>No</t>
        </is>
      </c>
      <c r="J2565" t="inlineStr">
        <is>
          <t>0</t>
        </is>
      </c>
      <c r="K2565" t="inlineStr">
        <is>
          <t>Smith, Ronald Gregor, compiler.</t>
        </is>
      </c>
      <c r="L2565" t="inlineStr">
        <is>
          <t>Philadelphia : Fortress Press, [1967]</t>
        </is>
      </c>
      <c r="M2565" t="inlineStr">
        <is>
          <t>1967</t>
        </is>
      </c>
      <c r="O2565" t="inlineStr">
        <is>
          <t>eng</t>
        </is>
      </c>
      <c r="P2565" t="inlineStr">
        <is>
          <t>pau</t>
        </is>
      </c>
      <c r="R2565" t="inlineStr">
        <is>
          <t xml:space="preserve">BX </t>
        </is>
      </c>
      <c r="S2565" t="n">
        <v>1</v>
      </c>
      <c r="T2565" t="n">
        <v>1</v>
      </c>
      <c r="U2565" t="inlineStr">
        <is>
          <t>1992-09-28</t>
        </is>
      </c>
      <c r="V2565" t="inlineStr">
        <is>
          <t>1992-09-28</t>
        </is>
      </c>
      <c r="W2565" t="inlineStr">
        <is>
          <t>1992-09-28</t>
        </is>
      </c>
      <c r="X2565" t="inlineStr">
        <is>
          <t>1992-09-28</t>
        </is>
      </c>
      <c r="Y2565" t="n">
        <v>619</v>
      </c>
      <c r="Z2565" t="n">
        <v>578</v>
      </c>
      <c r="AA2565" t="n">
        <v>585</v>
      </c>
      <c r="AB2565" t="n">
        <v>7</v>
      </c>
      <c r="AC2565" t="n">
        <v>7</v>
      </c>
      <c r="AD2565" t="n">
        <v>29</v>
      </c>
      <c r="AE2565" t="n">
        <v>29</v>
      </c>
      <c r="AF2565" t="n">
        <v>12</v>
      </c>
      <c r="AG2565" t="n">
        <v>12</v>
      </c>
      <c r="AH2565" t="n">
        <v>6</v>
      </c>
      <c r="AI2565" t="n">
        <v>6</v>
      </c>
      <c r="AJ2565" t="n">
        <v>10</v>
      </c>
      <c r="AK2565" t="n">
        <v>10</v>
      </c>
      <c r="AL2565" t="n">
        <v>6</v>
      </c>
      <c r="AM2565" t="n">
        <v>6</v>
      </c>
      <c r="AN2565" t="n">
        <v>0</v>
      </c>
      <c r="AO2565" t="n">
        <v>0</v>
      </c>
      <c r="AP2565" t="inlineStr">
        <is>
          <t>No</t>
        </is>
      </c>
      <c r="AQ2565" t="inlineStr">
        <is>
          <t>No</t>
        </is>
      </c>
      <c r="AS2565">
        <f>HYPERLINK("https://creighton-primo.hosted.exlibrisgroup.com/primo-explore/search?tab=default_tab&amp;search_scope=EVERYTHING&amp;vid=01CRU&amp;lang=en_US&amp;offset=0&amp;query=any,contains,991002647919702656","Catalog Record")</f>
        <v/>
      </c>
      <c r="AT2565">
        <f>HYPERLINK("http://www.worldcat.org/oclc/386300","WorldCat Record")</f>
        <v/>
      </c>
      <c r="AU2565" t="inlineStr">
        <is>
          <t>9380978608:eng</t>
        </is>
      </c>
      <c r="AV2565" t="inlineStr">
        <is>
          <t>386300</t>
        </is>
      </c>
      <c r="AW2565" t="inlineStr">
        <is>
          <t>991002647919702656</t>
        </is>
      </c>
      <c r="AX2565" t="inlineStr">
        <is>
          <t>991002647919702656</t>
        </is>
      </c>
      <c r="AY2565" t="inlineStr">
        <is>
          <t>2259443120002656</t>
        </is>
      </c>
      <c r="AZ2565" t="inlineStr">
        <is>
          <t>BOOK</t>
        </is>
      </c>
      <c r="BC2565" t="inlineStr">
        <is>
          <t>32285001321313</t>
        </is>
      </c>
      <c r="BD2565" t="inlineStr">
        <is>
          <t>893804848</t>
        </is>
      </c>
    </row>
    <row r="2566">
      <c r="A2566" t="inlineStr">
        <is>
          <t>No</t>
        </is>
      </c>
      <c r="B2566" t="inlineStr">
        <is>
          <t>BX4827.B67 K4</t>
        </is>
      </c>
      <c r="C2566" t="inlineStr">
        <is>
          <t>0                      BX 4827000B  67                 K  4</t>
        </is>
      </c>
      <c r="D2566" t="inlineStr">
        <is>
          <t>The theology of Emil Brunner / edited by Charles W. Kegley.</t>
        </is>
      </c>
      <c r="F2566" t="inlineStr">
        <is>
          <t>No</t>
        </is>
      </c>
      <c r="G2566" t="inlineStr">
        <is>
          <t>1</t>
        </is>
      </c>
      <c r="H2566" t="inlineStr">
        <is>
          <t>No</t>
        </is>
      </c>
      <c r="I2566" t="inlineStr">
        <is>
          <t>No</t>
        </is>
      </c>
      <c r="J2566" t="inlineStr">
        <is>
          <t>0</t>
        </is>
      </c>
      <c r="K2566" t="inlineStr">
        <is>
          <t>Kegley, Charles W. (Charles William), 1912-1986, editor.</t>
        </is>
      </c>
      <c r="L2566" t="inlineStr">
        <is>
          <t>New York : Macmillan, [1962]</t>
        </is>
      </c>
      <c r="M2566" t="inlineStr">
        <is>
          <t>1962</t>
        </is>
      </c>
      <c r="O2566" t="inlineStr">
        <is>
          <t>eng</t>
        </is>
      </c>
      <c r="P2566" t="inlineStr">
        <is>
          <t>nyu</t>
        </is>
      </c>
      <c r="Q2566" t="inlineStr">
        <is>
          <t>The Library of living theology, v. 3</t>
        </is>
      </c>
      <c r="R2566" t="inlineStr">
        <is>
          <t xml:space="preserve">BX </t>
        </is>
      </c>
      <c r="S2566" t="n">
        <v>1</v>
      </c>
      <c r="T2566" t="n">
        <v>1</v>
      </c>
      <c r="U2566" t="inlineStr">
        <is>
          <t>2005-02-25</t>
        </is>
      </c>
      <c r="V2566" t="inlineStr">
        <is>
          <t>2005-02-25</t>
        </is>
      </c>
      <c r="W2566" t="inlineStr">
        <is>
          <t>1992-04-09</t>
        </is>
      </c>
      <c r="X2566" t="inlineStr">
        <is>
          <t>1992-04-09</t>
        </is>
      </c>
      <c r="Y2566" t="n">
        <v>522</v>
      </c>
      <c r="Z2566" t="n">
        <v>439</v>
      </c>
      <c r="AA2566" t="n">
        <v>442</v>
      </c>
      <c r="AB2566" t="n">
        <v>4</v>
      </c>
      <c r="AC2566" t="n">
        <v>4</v>
      </c>
      <c r="AD2566" t="n">
        <v>26</v>
      </c>
      <c r="AE2566" t="n">
        <v>26</v>
      </c>
      <c r="AF2566" t="n">
        <v>10</v>
      </c>
      <c r="AG2566" t="n">
        <v>10</v>
      </c>
      <c r="AH2566" t="n">
        <v>4</v>
      </c>
      <c r="AI2566" t="n">
        <v>4</v>
      </c>
      <c r="AJ2566" t="n">
        <v>16</v>
      </c>
      <c r="AK2566" t="n">
        <v>16</v>
      </c>
      <c r="AL2566" t="n">
        <v>2</v>
      </c>
      <c r="AM2566" t="n">
        <v>2</v>
      </c>
      <c r="AN2566" t="n">
        <v>0</v>
      </c>
      <c r="AO2566" t="n">
        <v>0</v>
      </c>
      <c r="AP2566" t="inlineStr">
        <is>
          <t>No</t>
        </is>
      </c>
      <c r="AQ2566" t="inlineStr">
        <is>
          <t>No</t>
        </is>
      </c>
      <c r="AR2566">
        <f>HYPERLINK("http://catalog.hathitrust.org/Record/001592409","HathiTrust Record")</f>
        <v/>
      </c>
      <c r="AS2566">
        <f>HYPERLINK("https://creighton-primo.hosted.exlibrisgroup.com/primo-explore/search?tab=default_tab&amp;search_scope=EVERYTHING&amp;vid=01CRU&amp;lang=en_US&amp;offset=0&amp;query=any,contains,991002665859702656","Catalog Record")</f>
        <v/>
      </c>
      <c r="AT2566">
        <f>HYPERLINK("http://www.worldcat.org/oclc/393141","WorldCat Record")</f>
        <v/>
      </c>
      <c r="AU2566" t="inlineStr">
        <is>
          <t>9489893392:eng</t>
        </is>
      </c>
      <c r="AV2566" t="inlineStr">
        <is>
          <t>393141</t>
        </is>
      </c>
      <c r="AW2566" t="inlineStr">
        <is>
          <t>991002665859702656</t>
        </is>
      </c>
      <c r="AX2566" t="inlineStr">
        <is>
          <t>991002665859702656</t>
        </is>
      </c>
      <c r="AY2566" t="inlineStr">
        <is>
          <t>2263685830002656</t>
        </is>
      </c>
      <c r="AZ2566" t="inlineStr">
        <is>
          <t>BOOK</t>
        </is>
      </c>
      <c r="BC2566" t="inlineStr">
        <is>
          <t>32285001066710</t>
        </is>
      </c>
      <c r="BD2566" t="inlineStr">
        <is>
          <t>893245467</t>
        </is>
      </c>
    </row>
    <row r="2567">
      <c r="A2567" t="inlineStr">
        <is>
          <t>No</t>
        </is>
      </c>
      <c r="B2567" t="inlineStr">
        <is>
          <t>BX4827.B78 A83</t>
        </is>
      </c>
      <c r="C2567" t="inlineStr">
        <is>
          <t>0                      BX 4827000B  78                 A  83</t>
        </is>
      </c>
      <c r="D2567" t="inlineStr">
        <is>
          <t>Rudolf Bultmann / by Morris Ashcroft.</t>
        </is>
      </c>
      <c r="F2567" t="inlineStr">
        <is>
          <t>No</t>
        </is>
      </c>
      <c r="G2567" t="inlineStr">
        <is>
          <t>1</t>
        </is>
      </c>
      <c r="H2567" t="inlineStr">
        <is>
          <t>No</t>
        </is>
      </c>
      <c r="I2567" t="inlineStr">
        <is>
          <t>No</t>
        </is>
      </c>
      <c r="J2567" t="inlineStr">
        <is>
          <t>0</t>
        </is>
      </c>
      <c r="K2567" t="inlineStr">
        <is>
          <t>Ashcraft, Morris.</t>
        </is>
      </c>
      <c r="L2567" t="inlineStr">
        <is>
          <t>Waco, Tex. : Word Books, [1972]</t>
        </is>
      </c>
      <c r="M2567" t="inlineStr">
        <is>
          <t>1972</t>
        </is>
      </c>
      <c r="O2567" t="inlineStr">
        <is>
          <t>eng</t>
        </is>
      </c>
      <c r="P2567" t="inlineStr">
        <is>
          <t>txu</t>
        </is>
      </c>
      <c r="Q2567" t="inlineStr">
        <is>
          <t>Makers of the modern theological mind</t>
        </is>
      </c>
      <c r="R2567" t="inlineStr">
        <is>
          <t xml:space="preserve">BX </t>
        </is>
      </c>
      <c r="S2567" t="n">
        <v>2</v>
      </c>
      <c r="T2567" t="n">
        <v>2</v>
      </c>
      <c r="U2567" t="inlineStr">
        <is>
          <t>2008-04-03</t>
        </is>
      </c>
      <c r="V2567" t="inlineStr">
        <is>
          <t>2008-04-03</t>
        </is>
      </c>
      <c r="W2567" t="inlineStr">
        <is>
          <t>1992-04-09</t>
        </is>
      </c>
      <c r="X2567" t="inlineStr">
        <is>
          <t>1992-04-09</t>
        </is>
      </c>
      <c r="Y2567" t="n">
        <v>606</v>
      </c>
      <c r="Z2567" t="n">
        <v>554</v>
      </c>
      <c r="AA2567" t="n">
        <v>588</v>
      </c>
      <c r="AB2567" t="n">
        <v>9</v>
      </c>
      <c r="AC2567" t="n">
        <v>9</v>
      </c>
      <c r="AD2567" t="n">
        <v>33</v>
      </c>
      <c r="AE2567" t="n">
        <v>34</v>
      </c>
      <c r="AF2567" t="n">
        <v>9</v>
      </c>
      <c r="AG2567" t="n">
        <v>10</v>
      </c>
      <c r="AH2567" t="n">
        <v>5</v>
      </c>
      <c r="AI2567" t="n">
        <v>5</v>
      </c>
      <c r="AJ2567" t="n">
        <v>18</v>
      </c>
      <c r="AK2567" t="n">
        <v>18</v>
      </c>
      <c r="AL2567" t="n">
        <v>7</v>
      </c>
      <c r="AM2567" t="n">
        <v>7</v>
      </c>
      <c r="AN2567" t="n">
        <v>0</v>
      </c>
      <c r="AO2567" t="n">
        <v>0</v>
      </c>
      <c r="AP2567" t="inlineStr">
        <is>
          <t>No</t>
        </is>
      </c>
      <c r="AQ2567" t="inlineStr">
        <is>
          <t>Yes</t>
        </is>
      </c>
      <c r="AR2567">
        <f>HYPERLINK("http://catalog.hathitrust.org/Record/009007191","HathiTrust Record")</f>
        <v/>
      </c>
      <c r="AS2567">
        <f>HYPERLINK("https://creighton-primo.hosted.exlibrisgroup.com/primo-explore/search?tab=default_tab&amp;search_scope=EVERYTHING&amp;vid=01CRU&amp;lang=en_US&amp;offset=0&amp;query=any,contains,991002855159702656","Catalog Record")</f>
        <v/>
      </c>
      <c r="AT2567">
        <f>HYPERLINK("http://www.worldcat.org/oclc/489411","WorldCat Record")</f>
        <v/>
      </c>
      <c r="AU2567" t="inlineStr">
        <is>
          <t>3768739604:eng</t>
        </is>
      </c>
      <c r="AV2567" t="inlineStr">
        <is>
          <t>489411</t>
        </is>
      </c>
      <c r="AW2567" t="inlineStr">
        <is>
          <t>991002855159702656</t>
        </is>
      </c>
      <c r="AX2567" t="inlineStr">
        <is>
          <t>991002855159702656</t>
        </is>
      </c>
      <c r="AY2567" t="inlineStr">
        <is>
          <t>2255769100002656</t>
        </is>
      </c>
      <c r="AZ2567" t="inlineStr">
        <is>
          <t>BOOK</t>
        </is>
      </c>
      <c r="BC2567" t="inlineStr">
        <is>
          <t>32285001066744</t>
        </is>
      </c>
      <c r="BD2567" t="inlineStr">
        <is>
          <t>893530565</t>
        </is>
      </c>
    </row>
    <row r="2568">
      <c r="A2568" t="inlineStr">
        <is>
          <t>No</t>
        </is>
      </c>
      <c r="B2568" t="inlineStr">
        <is>
          <t>BX4827.B78 F47 1992</t>
        </is>
      </c>
      <c r="C2568" t="inlineStr">
        <is>
          <t>0                      BX 4827000B  78                 F  47          1992</t>
        </is>
      </c>
      <c r="D2568" t="inlineStr">
        <is>
          <t>Bultmann / David Fergusson.</t>
        </is>
      </c>
      <c r="F2568" t="inlineStr">
        <is>
          <t>No</t>
        </is>
      </c>
      <c r="G2568" t="inlineStr">
        <is>
          <t>1</t>
        </is>
      </c>
      <c r="H2568" t="inlineStr">
        <is>
          <t>No</t>
        </is>
      </c>
      <c r="I2568" t="inlineStr">
        <is>
          <t>No</t>
        </is>
      </c>
      <c r="J2568" t="inlineStr">
        <is>
          <t>0</t>
        </is>
      </c>
      <c r="K2568" t="inlineStr">
        <is>
          <t>Fergusson, David.</t>
        </is>
      </c>
      <c r="L2568" t="inlineStr">
        <is>
          <t>Collegeville, Minn. : Liturgical Press, 1992.</t>
        </is>
      </c>
      <c r="M2568" t="inlineStr">
        <is>
          <t>1992</t>
        </is>
      </c>
      <c r="O2568" t="inlineStr">
        <is>
          <t>eng</t>
        </is>
      </c>
      <c r="P2568" t="inlineStr">
        <is>
          <t>mnu</t>
        </is>
      </c>
      <c r="Q2568" t="inlineStr">
        <is>
          <t>Outstanding Christian thinkers</t>
        </is>
      </c>
      <c r="R2568" t="inlineStr">
        <is>
          <t xml:space="preserve">BX </t>
        </is>
      </c>
      <c r="S2568" t="n">
        <v>5</v>
      </c>
      <c r="T2568" t="n">
        <v>5</v>
      </c>
      <c r="U2568" t="inlineStr">
        <is>
          <t>2008-04-03</t>
        </is>
      </c>
      <c r="V2568" t="inlineStr">
        <is>
          <t>2008-04-03</t>
        </is>
      </c>
      <c r="W2568" t="inlineStr">
        <is>
          <t>1993-02-03</t>
        </is>
      </c>
      <c r="X2568" t="inlineStr">
        <is>
          <t>1993-02-03</t>
        </is>
      </c>
      <c r="Y2568" t="n">
        <v>138</v>
      </c>
      <c r="Z2568" t="n">
        <v>118</v>
      </c>
      <c r="AA2568" t="n">
        <v>154</v>
      </c>
      <c r="AB2568" t="n">
        <v>2</v>
      </c>
      <c r="AC2568" t="n">
        <v>2</v>
      </c>
      <c r="AD2568" t="n">
        <v>12</v>
      </c>
      <c r="AE2568" t="n">
        <v>14</v>
      </c>
      <c r="AF2568" t="n">
        <v>3</v>
      </c>
      <c r="AG2568" t="n">
        <v>3</v>
      </c>
      <c r="AH2568" t="n">
        <v>2</v>
      </c>
      <c r="AI2568" t="n">
        <v>3</v>
      </c>
      <c r="AJ2568" t="n">
        <v>8</v>
      </c>
      <c r="AK2568" t="n">
        <v>10</v>
      </c>
      <c r="AL2568" t="n">
        <v>1</v>
      </c>
      <c r="AM2568" t="n">
        <v>1</v>
      </c>
      <c r="AN2568" t="n">
        <v>0</v>
      </c>
      <c r="AO2568" t="n">
        <v>0</v>
      </c>
      <c r="AP2568" t="inlineStr">
        <is>
          <t>No</t>
        </is>
      </c>
      <c r="AQ2568" t="inlineStr">
        <is>
          <t>No</t>
        </is>
      </c>
      <c r="AS2568">
        <f>HYPERLINK("https://creighton-primo.hosted.exlibrisgroup.com/primo-explore/search?tab=default_tab&amp;search_scope=EVERYTHING&amp;vid=01CRU&amp;lang=en_US&amp;offset=0&amp;query=any,contains,991002126419702656","Catalog Record")</f>
        <v/>
      </c>
      <c r="AT2568">
        <f>HYPERLINK("http://www.worldcat.org/oclc/27235479","WorldCat Record")</f>
        <v/>
      </c>
      <c r="AU2568" t="inlineStr">
        <is>
          <t>52270:eng</t>
        </is>
      </c>
      <c r="AV2568" t="inlineStr">
        <is>
          <t>27235479</t>
        </is>
      </c>
      <c r="AW2568" t="inlineStr">
        <is>
          <t>991002126419702656</t>
        </is>
      </c>
      <c r="AX2568" t="inlineStr">
        <is>
          <t>991002126419702656</t>
        </is>
      </c>
      <c r="AY2568" t="inlineStr">
        <is>
          <t>2261182430002656</t>
        </is>
      </c>
      <c r="AZ2568" t="inlineStr">
        <is>
          <t>BOOK</t>
        </is>
      </c>
      <c r="BB2568" t="inlineStr">
        <is>
          <t>9780814650370</t>
        </is>
      </c>
      <c r="BC2568" t="inlineStr">
        <is>
          <t>32285001449791</t>
        </is>
      </c>
      <c r="BD2568" t="inlineStr">
        <is>
          <t>893516926</t>
        </is>
      </c>
    </row>
    <row r="2569">
      <c r="A2569" t="inlineStr">
        <is>
          <t>No</t>
        </is>
      </c>
      <c r="B2569" t="inlineStr">
        <is>
          <t>BX4827.B78 K4</t>
        </is>
      </c>
      <c r="C2569" t="inlineStr">
        <is>
          <t>0                      BX 4827000B  78                 K  4</t>
        </is>
      </c>
      <c r="D2569" t="inlineStr">
        <is>
          <t>The theology of Rudolf Bultmann / edited by Charles W. Kegley.</t>
        </is>
      </c>
      <c r="F2569" t="inlineStr">
        <is>
          <t>No</t>
        </is>
      </c>
      <c r="G2569" t="inlineStr">
        <is>
          <t>1</t>
        </is>
      </c>
      <c r="H2569" t="inlineStr">
        <is>
          <t>No</t>
        </is>
      </c>
      <c r="I2569" t="inlineStr">
        <is>
          <t>No</t>
        </is>
      </c>
      <c r="J2569" t="inlineStr">
        <is>
          <t>0</t>
        </is>
      </c>
      <c r="K2569" t="inlineStr">
        <is>
          <t>Kegley, Charles W. (Charles William), 1912-1986, editor.</t>
        </is>
      </c>
      <c r="L2569" t="inlineStr">
        <is>
          <t>New York : Harper &amp; Row, [1966]</t>
        </is>
      </c>
      <c r="M2569" t="inlineStr">
        <is>
          <t>1966</t>
        </is>
      </c>
      <c r="N2569" t="inlineStr">
        <is>
          <t>[1st ed.]</t>
        </is>
      </c>
      <c r="O2569" t="inlineStr">
        <is>
          <t>eng</t>
        </is>
      </c>
      <c r="P2569" t="inlineStr">
        <is>
          <t>nyu</t>
        </is>
      </c>
      <c r="R2569" t="inlineStr">
        <is>
          <t xml:space="preserve">BX </t>
        </is>
      </c>
      <c r="S2569" t="n">
        <v>2</v>
      </c>
      <c r="T2569" t="n">
        <v>2</v>
      </c>
      <c r="U2569" t="inlineStr">
        <is>
          <t>2008-04-03</t>
        </is>
      </c>
      <c r="V2569" t="inlineStr">
        <is>
          <t>2008-04-03</t>
        </is>
      </c>
      <c r="W2569" t="inlineStr">
        <is>
          <t>1992-04-09</t>
        </is>
      </c>
      <c r="X2569" t="inlineStr">
        <is>
          <t>1992-04-09</t>
        </is>
      </c>
      <c r="Y2569" t="n">
        <v>783</v>
      </c>
      <c r="Z2569" t="n">
        <v>718</v>
      </c>
      <c r="AA2569" t="n">
        <v>738</v>
      </c>
      <c r="AB2569" t="n">
        <v>6</v>
      </c>
      <c r="AC2569" t="n">
        <v>6</v>
      </c>
      <c r="AD2569" t="n">
        <v>47</v>
      </c>
      <c r="AE2569" t="n">
        <v>47</v>
      </c>
      <c r="AF2569" t="n">
        <v>22</v>
      </c>
      <c r="AG2569" t="n">
        <v>22</v>
      </c>
      <c r="AH2569" t="n">
        <v>8</v>
      </c>
      <c r="AI2569" t="n">
        <v>8</v>
      </c>
      <c r="AJ2569" t="n">
        <v>23</v>
      </c>
      <c r="AK2569" t="n">
        <v>23</v>
      </c>
      <c r="AL2569" t="n">
        <v>4</v>
      </c>
      <c r="AM2569" t="n">
        <v>4</v>
      </c>
      <c r="AN2569" t="n">
        <v>0</v>
      </c>
      <c r="AO2569" t="n">
        <v>0</v>
      </c>
      <c r="AP2569" t="inlineStr">
        <is>
          <t>No</t>
        </is>
      </c>
      <c r="AQ2569" t="inlineStr">
        <is>
          <t>Yes</t>
        </is>
      </c>
      <c r="AR2569">
        <f>HYPERLINK("http://catalog.hathitrust.org/Record/001592412","HathiTrust Record")</f>
        <v/>
      </c>
      <c r="AS2569">
        <f>HYPERLINK("https://creighton-primo.hosted.exlibrisgroup.com/primo-explore/search?tab=default_tab&amp;search_scope=EVERYTHING&amp;vid=01CRU&amp;lang=en_US&amp;offset=0&amp;query=any,contains,991003181089702656","Catalog Record")</f>
        <v/>
      </c>
      <c r="AT2569">
        <f>HYPERLINK("http://www.worldcat.org/oclc/711796","WorldCat Record")</f>
        <v/>
      </c>
      <c r="AU2569" t="inlineStr">
        <is>
          <t>325043748:eng</t>
        </is>
      </c>
      <c r="AV2569" t="inlineStr">
        <is>
          <t>711796</t>
        </is>
      </c>
      <c r="AW2569" t="inlineStr">
        <is>
          <t>991003181089702656</t>
        </is>
      </c>
      <c r="AX2569" t="inlineStr">
        <is>
          <t>991003181089702656</t>
        </is>
      </c>
      <c r="AY2569" t="inlineStr">
        <is>
          <t>2261859050002656</t>
        </is>
      </c>
      <c r="AZ2569" t="inlineStr">
        <is>
          <t>BOOK</t>
        </is>
      </c>
      <c r="BC2569" t="inlineStr">
        <is>
          <t>32285001066819</t>
        </is>
      </c>
      <c r="BD2569" t="inlineStr">
        <is>
          <t>893692456</t>
        </is>
      </c>
    </row>
    <row r="2570">
      <c r="A2570" t="inlineStr">
        <is>
          <t>No</t>
        </is>
      </c>
      <c r="B2570" t="inlineStr">
        <is>
          <t>BX4827.B78 M333</t>
        </is>
      </c>
      <c r="C2570" t="inlineStr">
        <is>
          <t>0                      BX 4827000B  78                 M  333</t>
        </is>
      </c>
      <c r="D2570" t="inlineStr">
        <is>
          <t>Bultmann and Christian faith. Translated by Theodore DuBois.</t>
        </is>
      </c>
      <c r="F2570" t="inlineStr">
        <is>
          <t>No</t>
        </is>
      </c>
      <c r="G2570" t="inlineStr">
        <is>
          <t>1</t>
        </is>
      </c>
      <c r="H2570" t="inlineStr">
        <is>
          <t>No</t>
        </is>
      </c>
      <c r="I2570" t="inlineStr">
        <is>
          <t>No</t>
        </is>
      </c>
      <c r="J2570" t="inlineStr">
        <is>
          <t>0</t>
        </is>
      </c>
      <c r="K2570" t="inlineStr">
        <is>
          <t>Marlé, René.</t>
        </is>
      </c>
      <c r="L2570" t="inlineStr">
        <is>
          <t>Westminster, Md., Newman Press [1967, c1968]</t>
        </is>
      </c>
      <c r="M2570" t="inlineStr">
        <is>
          <t>1967</t>
        </is>
      </c>
      <c r="O2570" t="inlineStr">
        <is>
          <t>eng</t>
        </is>
      </c>
      <c r="P2570" t="inlineStr">
        <is>
          <t>mdu</t>
        </is>
      </c>
      <c r="R2570" t="inlineStr">
        <is>
          <t xml:space="preserve">BX </t>
        </is>
      </c>
      <c r="S2570" t="n">
        <v>4</v>
      </c>
      <c r="T2570" t="n">
        <v>4</v>
      </c>
      <c r="U2570" t="inlineStr">
        <is>
          <t>2000-06-27</t>
        </is>
      </c>
      <c r="V2570" t="inlineStr">
        <is>
          <t>2000-06-27</t>
        </is>
      </c>
      <c r="W2570" t="inlineStr">
        <is>
          <t>1992-04-09</t>
        </is>
      </c>
      <c r="X2570" t="inlineStr">
        <is>
          <t>1992-04-09</t>
        </is>
      </c>
      <c r="Y2570" t="n">
        <v>291</v>
      </c>
      <c r="Z2570" t="n">
        <v>268</v>
      </c>
      <c r="AA2570" t="n">
        <v>274</v>
      </c>
      <c r="AB2570" t="n">
        <v>3</v>
      </c>
      <c r="AC2570" t="n">
        <v>3</v>
      </c>
      <c r="AD2570" t="n">
        <v>27</v>
      </c>
      <c r="AE2570" t="n">
        <v>27</v>
      </c>
      <c r="AF2570" t="n">
        <v>10</v>
      </c>
      <c r="AG2570" t="n">
        <v>10</v>
      </c>
      <c r="AH2570" t="n">
        <v>7</v>
      </c>
      <c r="AI2570" t="n">
        <v>7</v>
      </c>
      <c r="AJ2570" t="n">
        <v>20</v>
      </c>
      <c r="AK2570" t="n">
        <v>20</v>
      </c>
      <c r="AL2570" t="n">
        <v>0</v>
      </c>
      <c r="AM2570" t="n">
        <v>0</v>
      </c>
      <c r="AN2570" t="n">
        <v>0</v>
      </c>
      <c r="AO2570" t="n">
        <v>0</v>
      </c>
      <c r="AP2570" t="inlineStr">
        <is>
          <t>No</t>
        </is>
      </c>
      <c r="AQ2570" t="inlineStr">
        <is>
          <t>No</t>
        </is>
      </c>
      <c r="AS2570">
        <f>HYPERLINK("https://creighton-primo.hosted.exlibrisgroup.com/primo-explore/search?tab=default_tab&amp;search_scope=EVERYTHING&amp;vid=01CRU&amp;lang=en_US&amp;offset=0&amp;query=any,contains,991002778789702656","Catalog Record")</f>
        <v/>
      </c>
      <c r="AT2570">
        <f>HYPERLINK("http://www.worldcat.org/oclc/439560","WorldCat Record")</f>
        <v/>
      </c>
      <c r="AU2570" t="inlineStr">
        <is>
          <t>1564020:eng</t>
        </is>
      </c>
      <c r="AV2570" t="inlineStr">
        <is>
          <t>439560</t>
        </is>
      </c>
      <c r="AW2570" t="inlineStr">
        <is>
          <t>991002778789702656</t>
        </is>
      </c>
      <c r="AX2570" t="inlineStr">
        <is>
          <t>991002778789702656</t>
        </is>
      </c>
      <c r="AY2570" t="inlineStr">
        <is>
          <t>2266524410002656</t>
        </is>
      </c>
      <c r="AZ2570" t="inlineStr">
        <is>
          <t>BOOK</t>
        </is>
      </c>
      <c r="BC2570" t="inlineStr">
        <is>
          <t>32285001066827</t>
        </is>
      </c>
      <c r="BD2570" t="inlineStr">
        <is>
          <t>893317248</t>
        </is>
      </c>
    </row>
    <row r="2571">
      <c r="A2571" t="inlineStr">
        <is>
          <t>No</t>
        </is>
      </c>
      <c r="B2571" t="inlineStr">
        <is>
          <t>BX4827.B78 O5</t>
        </is>
      </c>
      <c r="C2571" t="inlineStr">
        <is>
          <t>0                      BX 4827000B  78                 O  5</t>
        </is>
      </c>
      <c r="D2571" t="inlineStr">
        <is>
          <t>Rudolf Bultmann in Catholic thought / edited by Thomas F. O'Meara and Donald M. Weisser.</t>
        </is>
      </c>
      <c r="F2571" t="inlineStr">
        <is>
          <t>No</t>
        </is>
      </c>
      <c r="G2571" t="inlineStr">
        <is>
          <t>1</t>
        </is>
      </c>
      <c r="H2571" t="inlineStr">
        <is>
          <t>No</t>
        </is>
      </c>
      <c r="I2571" t="inlineStr">
        <is>
          <t>No</t>
        </is>
      </c>
      <c r="J2571" t="inlineStr">
        <is>
          <t>0</t>
        </is>
      </c>
      <c r="K2571" t="inlineStr">
        <is>
          <t>O'Meara, Thomas F., 1935- compiler.</t>
        </is>
      </c>
      <c r="L2571" t="inlineStr">
        <is>
          <t>[New York] : Herder and Herder, [1968]</t>
        </is>
      </c>
      <c r="M2571" t="inlineStr">
        <is>
          <t>1968</t>
        </is>
      </c>
      <c r="O2571" t="inlineStr">
        <is>
          <t>eng</t>
        </is>
      </c>
      <c r="P2571" t="inlineStr">
        <is>
          <t>nyu</t>
        </is>
      </c>
      <c r="R2571" t="inlineStr">
        <is>
          <t xml:space="preserve">BX </t>
        </is>
      </c>
      <c r="S2571" t="n">
        <v>5</v>
      </c>
      <c r="T2571" t="n">
        <v>5</v>
      </c>
      <c r="U2571" t="inlineStr">
        <is>
          <t>2008-04-03</t>
        </is>
      </c>
      <c r="V2571" t="inlineStr">
        <is>
          <t>2008-04-03</t>
        </is>
      </c>
      <c r="W2571" t="inlineStr">
        <is>
          <t>1992-04-09</t>
        </is>
      </c>
      <c r="X2571" t="inlineStr">
        <is>
          <t>1992-04-09</t>
        </is>
      </c>
      <c r="Y2571" t="n">
        <v>342</v>
      </c>
      <c r="Z2571" t="n">
        <v>283</v>
      </c>
      <c r="AA2571" t="n">
        <v>291</v>
      </c>
      <c r="AB2571" t="n">
        <v>3</v>
      </c>
      <c r="AC2571" t="n">
        <v>3</v>
      </c>
      <c r="AD2571" t="n">
        <v>31</v>
      </c>
      <c r="AE2571" t="n">
        <v>31</v>
      </c>
      <c r="AF2571" t="n">
        <v>10</v>
      </c>
      <c r="AG2571" t="n">
        <v>10</v>
      </c>
      <c r="AH2571" t="n">
        <v>8</v>
      </c>
      <c r="AI2571" t="n">
        <v>8</v>
      </c>
      <c r="AJ2571" t="n">
        <v>23</v>
      </c>
      <c r="AK2571" t="n">
        <v>23</v>
      </c>
      <c r="AL2571" t="n">
        <v>1</v>
      </c>
      <c r="AM2571" t="n">
        <v>1</v>
      </c>
      <c r="AN2571" t="n">
        <v>0</v>
      </c>
      <c r="AO2571" t="n">
        <v>0</v>
      </c>
      <c r="AP2571" t="inlineStr">
        <is>
          <t>No</t>
        </is>
      </c>
      <c r="AQ2571" t="inlineStr">
        <is>
          <t>Yes</t>
        </is>
      </c>
      <c r="AR2571">
        <f>HYPERLINK("http://catalog.hathitrust.org/Record/000817342","HathiTrust Record")</f>
        <v/>
      </c>
      <c r="AS2571">
        <f>HYPERLINK("https://creighton-primo.hosted.exlibrisgroup.com/primo-explore/search?tab=default_tab&amp;search_scope=EVERYTHING&amp;vid=01CRU&amp;lang=en_US&amp;offset=0&amp;query=any,contains,991000208389702656","Catalog Record")</f>
        <v/>
      </c>
      <c r="AT2571">
        <f>HYPERLINK("http://www.worldcat.org/oclc/65895","WorldCat Record")</f>
        <v/>
      </c>
      <c r="AU2571" t="inlineStr">
        <is>
          <t>1184418441:eng</t>
        </is>
      </c>
      <c r="AV2571" t="inlineStr">
        <is>
          <t>65895</t>
        </is>
      </c>
      <c r="AW2571" t="inlineStr">
        <is>
          <t>991000208389702656</t>
        </is>
      </c>
      <c r="AX2571" t="inlineStr">
        <is>
          <t>991000208389702656</t>
        </is>
      </c>
      <c r="AY2571" t="inlineStr">
        <is>
          <t>2259228470002656</t>
        </is>
      </c>
      <c r="AZ2571" t="inlineStr">
        <is>
          <t>BOOK</t>
        </is>
      </c>
      <c r="BC2571" t="inlineStr">
        <is>
          <t>32285001066843</t>
        </is>
      </c>
      <c r="BD2571" t="inlineStr">
        <is>
          <t>893607748</t>
        </is>
      </c>
    </row>
    <row r="2572">
      <c r="A2572" t="inlineStr">
        <is>
          <t>No</t>
        </is>
      </c>
      <c r="B2572" t="inlineStr">
        <is>
          <t>BX4827.B78 P35 1987</t>
        </is>
      </c>
      <c r="C2572" t="inlineStr">
        <is>
          <t>0                      BX 4827000B  78                 P  35          1987</t>
        </is>
      </c>
      <c r="D2572" t="inlineStr">
        <is>
          <t>Theology as hermeneutics : Rudolf Bultmann's interpretation of the history of Jesus / John Painter.</t>
        </is>
      </c>
      <c r="F2572" t="inlineStr">
        <is>
          <t>No</t>
        </is>
      </c>
      <c r="G2572" t="inlineStr">
        <is>
          <t>1</t>
        </is>
      </c>
      <c r="H2572" t="inlineStr">
        <is>
          <t>No</t>
        </is>
      </c>
      <c r="I2572" t="inlineStr">
        <is>
          <t>No</t>
        </is>
      </c>
      <c r="J2572" t="inlineStr">
        <is>
          <t>0</t>
        </is>
      </c>
      <c r="K2572" t="inlineStr">
        <is>
          <t>Painter, John.</t>
        </is>
      </c>
      <c r="L2572" t="inlineStr">
        <is>
          <t>Sheffield : Almond, 1987.</t>
        </is>
      </c>
      <c r="M2572" t="inlineStr">
        <is>
          <t>1987</t>
        </is>
      </c>
      <c r="O2572" t="inlineStr">
        <is>
          <t>eng</t>
        </is>
      </c>
      <c r="P2572" t="inlineStr">
        <is>
          <t>enk</t>
        </is>
      </c>
      <c r="Q2572" t="inlineStr">
        <is>
          <t>Historic texts and interpreters in Biblical scholarship, 0263-1199 ; 4</t>
        </is>
      </c>
      <c r="R2572" t="inlineStr">
        <is>
          <t xml:space="preserve">BX </t>
        </is>
      </c>
      <c r="S2572" t="n">
        <v>3</v>
      </c>
      <c r="T2572" t="n">
        <v>3</v>
      </c>
      <c r="U2572" t="inlineStr">
        <is>
          <t>1995-05-28</t>
        </is>
      </c>
      <c r="V2572" t="inlineStr">
        <is>
          <t>1995-05-28</t>
        </is>
      </c>
      <c r="W2572" t="inlineStr">
        <is>
          <t>1995-05-10</t>
        </is>
      </c>
      <c r="X2572" t="inlineStr">
        <is>
          <t>1995-05-10</t>
        </is>
      </c>
      <c r="Y2572" t="n">
        <v>271</v>
      </c>
      <c r="Z2572" t="n">
        <v>171</v>
      </c>
      <c r="AA2572" t="n">
        <v>194</v>
      </c>
      <c r="AB2572" t="n">
        <v>1</v>
      </c>
      <c r="AC2572" t="n">
        <v>1</v>
      </c>
      <c r="AD2572" t="n">
        <v>12</v>
      </c>
      <c r="AE2572" t="n">
        <v>13</v>
      </c>
      <c r="AF2572" t="n">
        <v>3</v>
      </c>
      <c r="AG2572" t="n">
        <v>4</v>
      </c>
      <c r="AH2572" t="n">
        <v>3</v>
      </c>
      <c r="AI2572" t="n">
        <v>4</v>
      </c>
      <c r="AJ2572" t="n">
        <v>7</v>
      </c>
      <c r="AK2572" t="n">
        <v>7</v>
      </c>
      <c r="AL2572" t="n">
        <v>0</v>
      </c>
      <c r="AM2572" t="n">
        <v>0</v>
      </c>
      <c r="AN2572" t="n">
        <v>0</v>
      </c>
      <c r="AO2572" t="n">
        <v>0</v>
      </c>
      <c r="AP2572" t="inlineStr">
        <is>
          <t>No</t>
        </is>
      </c>
      <c r="AQ2572" t="inlineStr">
        <is>
          <t>Yes</t>
        </is>
      </c>
      <c r="AR2572">
        <f>HYPERLINK("http://catalog.hathitrust.org/Record/000840097","HathiTrust Record")</f>
        <v/>
      </c>
      <c r="AS2572">
        <f>HYPERLINK("https://creighton-primo.hosted.exlibrisgroup.com/primo-explore/search?tab=default_tab&amp;search_scope=EVERYTHING&amp;vid=01CRU&amp;lang=en_US&amp;offset=0&amp;query=any,contains,991000929989702656","Catalog Record")</f>
        <v/>
      </c>
      <c r="AT2572">
        <f>HYPERLINK("http://www.worldcat.org/oclc/14258544","WorldCat Record")</f>
        <v/>
      </c>
      <c r="AU2572" t="inlineStr">
        <is>
          <t>836673347:eng</t>
        </is>
      </c>
      <c r="AV2572" t="inlineStr">
        <is>
          <t>14258544</t>
        </is>
      </c>
      <c r="AW2572" t="inlineStr">
        <is>
          <t>991000929989702656</t>
        </is>
      </c>
      <c r="AX2572" t="inlineStr">
        <is>
          <t>991000929989702656</t>
        </is>
      </c>
      <c r="AY2572" t="inlineStr">
        <is>
          <t>2271848860002656</t>
        </is>
      </c>
      <c r="AZ2572" t="inlineStr">
        <is>
          <t>BOOK</t>
        </is>
      </c>
      <c r="BB2572" t="inlineStr">
        <is>
          <t>9781850750505</t>
        </is>
      </c>
      <c r="BC2572" t="inlineStr">
        <is>
          <t>32285002039005</t>
        </is>
      </c>
      <c r="BD2572" t="inlineStr">
        <is>
          <t>893225449</t>
        </is>
      </c>
    </row>
    <row r="2573">
      <c r="A2573" t="inlineStr">
        <is>
          <t>No</t>
        </is>
      </c>
      <c r="B2573" t="inlineStr">
        <is>
          <t>BX4827.B78 P4</t>
        </is>
      </c>
      <c r="C2573" t="inlineStr">
        <is>
          <t>0                      BX 4827000B  78                 P  4</t>
        </is>
      </c>
      <c r="D2573" t="inlineStr">
        <is>
          <t>The promise of Bultmann / by Norman Perrin.</t>
        </is>
      </c>
      <c r="F2573" t="inlineStr">
        <is>
          <t>No</t>
        </is>
      </c>
      <c r="G2573" t="inlineStr">
        <is>
          <t>1</t>
        </is>
      </c>
      <c r="H2573" t="inlineStr">
        <is>
          <t>No</t>
        </is>
      </c>
      <c r="I2573" t="inlineStr">
        <is>
          <t>No</t>
        </is>
      </c>
      <c r="J2573" t="inlineStr">
        <is>
          <t>0</t>
        </is>
      </c>
      <c r="K2573" t="inlineStr">
        <is>
          <t>Perrin, Norman.</t>
        </is>
      </c>
      <c r="L2573" t="inlineStr">
        <is>
          <t>Philadelphia : Lippincott, [1969]</t>
        </is>
      </c>
      <c r="M2573" t="inlineStr">
        <is>
          <t>1969</t>
        </is>
      </c>
      <c r="N2573" t="inlineStr">
        <is>
          <t>[1st ed.]</t>
        </is>
      </c>
      <c r="O2573" t="inlineStr">
        <is>
          <t>eng</t>
        </is>
      </c>
      <c r="P2573" t="inlineStr">
        <is>
          <t>pau</t>
        </is>
      </c>
      <c r="Q2573" t="inlineStr">
        <is>
          <t>The Promise of theology</t>
        </is>
      </c>
      <c r="R2573" t="inlineStr">
        <is>
          <t xml:space="preserve">BX </t>
        </is>
      </c>
      <c r="S2573" t="n">
        <v>1</v>
      </c>
      <c r="T2573" t="n">
        <v>1</v>
      </c>
      <c r="U2573" t="inlineStr">
        <is>
          <t>2008-04-03</t>
        </is>
      </c>
      <c r="V2573" t="inlineStr">
        <is>
          <t>2008-04-03</t>
        </is>
      </c>
      <c r="W2573" t="inlineStr">
        <is>
          <t>1992-04-09</t>
        </is>
      </c>
      <c r="X2573" t="inlineStr">
        <is>
          <t>1992-04-09</t>
        </is>
      </c>
      <c r="Y2573" t="n">
        <v>596</v>
      </c>
      <c r="Z2573" t="n">
        <v>545</v>
      </c>
      <c r="AA2573" t="n">
        <v>671</v>
      </c>
      <c r="AB2573" t="n">
        <v>6</v>
      </c>
      <c r="AC2573" t="n">
        <v>6</v>
      </c>
      <c r="AD2573" t="n">
        <v>34</v>
      </c>
      <c r="AE2573" t="n">
        <v>44</v>
      </c>
      <c r="AF2573" t="n">
        <v>13</v>
      </c>
      <c r="AG2573" t="n">
        <v>20</v>
      </c>
      <c r="AH2573" t="n">
        <v>7</v>
      </c>
      <c r="AI2573" t="n">
        <v>8</v>
      </c>
      <c r="AJ2573" t="n">
        <v>18</v>
      </c>
      <c r="AK2573" t="n">
        <v>24</v>
      </c>
      <c r="AL2573" t="n">
        <v>4</v>
      </c>
      <c r="AM2573" t="n">
        <v>4</v>
      </c>
      <c r="AN2573" t="n">
        <v>0</v>
      </c>
      <c r="AO2573" t="n">
        <v>0</v>
      </c>
      <c r="AP2573" t="inlineStr">
        <is>
          <t>No</t>
        </is>
      </c>
      <c r="AQ2573" t="inlineStr">
        <is>
          <t>Yes</t>
        </is>
      </c>
      <c r="AR2573">
        <f>HYPERLINK("http://catalog.hathitrust.org/Record/001401066","HathiTrust Record")</f>
        <v/>
      </c>
      <c r="AS2573">
        <f>HYPERLINK("https://creighton-primo.hosted.exlibrisgroup.com/primo-explore/search?tab=default_tab&amp;search_scope=EVERYTHING&amp;vid=01CRU&amp;lang=en_US&amp;offset=0&amp;query=any,contains,991000006499702656","Catalog Record")</f>
        <v/>
      </c>
      <c r="AT2573">
        <f>HYPERLINK("http://www.worldcat.org/oclc/13630","WorldCat Record")</f>
        <v/>
      </c>
      <c r="AU2573" t="inlineStr">
        <is>
          <t>449137:eng</t>
        </is>
      </c>
      <c r="AV2573" t="inlineStr">
        <is>
          <t>13630</t>
        </is>
      </c>
      <c r="AW2573" t="inlineStr">
        <is>
          <t>991000006499702656</t>
        </is>
      </c>
      <c r="AX2573" t="inlineStr">
        <is>
          <t>991000006499702656</t>
        </is>
      </c>
      <c r="AY2573" t="inlineStr">
        <is>
          <t>2264436600002656</t>
        </is>
      </c>
      <c r="AZ2573" t="inlineStr">
        <is>
          <t>BOOK</t>
        </is>
      </c>
      <c r="BC2573" t="inlineStr">
        <is>
          <t>32285001066850</t>
        </is>
      </c>
      <c r="BD2573" t="inlineStr">
        <is>
          <t>893261323</t>
        </is>
      </c>
    </row>
    <row r="2574">
      <c r="A2574" t="inlineStr">
        <is>
          <t>No</t>
        </is>
      </c>
      <c r="B2574" t="inlineStr">
        <is>
          <t>BX4827.B78 S273</t>
        </is>
      </c>
      <c r="C2574" t="inlineStr">
        <is>
          <t>0                      BX 4827000B  78                 S  273</t>
        </is>
      </c>
      <c r="D2574" t="inlineStr">
        <is>
          <t>An introduction to the theology of Rudolf Bultmann / by Walter Schmithals ; translated from the German by John Bowden.</t>
        </is>
      </c>
      <c r="F2574" t="inlineStr">
        <is>
          <t>No</t>
        </is>
      </c>
      <c r="G2574" t="inlineStr">
        <is>
          <t>1</t>
        </is>
      </c>
      <c r="H2574" t="inlineStr">
        <is>
          <t>No</t>
        </is>
      </c>
      <c r="I2574" t="inlineStr">
        <is>
          <t>No</t>
        </is>
      </c>
      <c r="J2574" t="inlineStr">
        <is>
          <t>0</t>
        </is>
      </c>
      <c r="K2574" t="inlineStr">
        <is>
          <t>Schmithals, Walter.</t>
        </is>
      </c>
      <c r="L2574" t="inlineStr">
        <is>
          <t>London : S.C.M. Press, 1968.</t>
        </is>
      </c>
      <c r="M2574" t="inlineStr">
        <is>
          <t>1968</t>
        </is>
      </c>
      <c r="O2574" t="inlineStr">
        <is>
          <t>eng</t>
        </is>
      </c>
      <c r="P2574" t="inlineStr">
        <is>
          <t>enk</t>
        </is>
      </c>
      <c r="R2574" t="inlineStr">
        <is>
          <t xml:space="preserve">BX </t>
        </is>
      </c>
      <c r="S2574" t="n">
        <v>3</v>
      </c>
      <c r="T2574" t="n">
        <v>3</v>
      </c>
      <c r="U2574" t="inlineStr">
        <is>
          <t>2008-04-03</t>
        </is>
      </c>
      <c r="V2574" t="inlineStr">
        <is>
          <t>2008-04-03</t>
        </is>
      </c>
      <c r="W2574" t="inlineStr">
        <is>
          <t>1992-04-09</t>
        </is>
      </c>
      <c r="X2574" t="inlineStr">
        <is>
          <t>1992-04-09</t>
        </is>
      </c>
      <c r="Y2574" t="n">
        <v>239</v>
      </c>
      <c r="Z2574" t="n">
        <v>156</v>
      </c>
      <c r="AA2574" t="n">
        <v>613</v>
      </c>
      <c r="AB2574" t="n">
        <v>2</v>
      </c>
      <c r="AC2574" t="n">
        <v>3</v>
      </c>
      <c r="AD2574" t="n">
        <v>10</v>
      </c>
      <c r="AE2574" t="n">
        <v>39</v>
      </c>
      <c r="AF2574" t="n">
        <v>3</v>
      </c>
      <c r="AG2574" t="n">
        <v>18</v>
      </c>
      <c r="AH2574" t="n">
        <v>3</v>
      </c>
      <c r="AI2574" t="n">
        <v>8</v>
      </c>
      <c r="AJ2574" t="n">
        <v>6</v>
      </c>
      <c r="AK2574" t="n">
        <v>24</v>
      </c>
      <c r="AL2574" t="n">
        <v>1</v>
      </c>
      <c r="AM2574" t="n">
        <v>2</v>
      </c>
      <c r="AN2574" t="n">
        <v>0</v>
      </c>
      <c r="AO2574" t="n">
        <v>0</v>
      </c>
      <c r="AP2574" t="inlineStr">
        <is>
          <t>No</t>
        </is>
      </c>
      <c r="AQ2574" t="inlineStr">
        <is>
          <t>No</t>
        </is>
      </c>
      <c r="AS2574">
        <f>HYPERLINK("https://creighton-primo.hosted.exlibrisgroup.com/primo-explore/search?tab=default_tab&amp;search_scope=EVERYTHING&amp;vid=01CRU&amp;lang=en_US&amp;offset=0&amp;query=any,contains,991004186219702656","Catalog Record")</f>
        <v/>
      </c>
      <c r="AT2574">
        <f>HYPERLINK("http://www.worldcat.org/oclc/2616381","WorldCat Record")</f>
        <v/>
      </c>
      <c r="AU2574" t="inlineStr">
        <is>
          <t>376772318:eng</t>
        </is>
      </c>
      <c r="AV2574" t="inlineStr">
        <is>
          <t>2616381</t>
        </is>
      </c>
      <c r="AW2574" t="inlineStr">
        <is>
          <t>991004186219702656</t>
        </is>
      </c>
      <c r="AX2574" t="inlineStr">
        <is>
          <t>991004186219702656</t>
        </is>
      </c>
      <c r="AY2574" t="inlineStr">
        <is>
          <t>2264966810002656</t>
        </is>
      </c>
      <c r="AZ2574" t="inlineStr">
        <is>
          <t>BOOK</t>
        </is>
      </c>
      <c r="BB2574" t="inlineStr">
        <is>
          <t>9780334007197</t>
        </is>
      </c>
      <c r="BC2574" t="inlineStr">
        <is>
          <t>32285001066868</t>
        </is>
      </c>
      <c r="BD2574" t="inlineStr">
        <is>
          <t>893794574</t>
        </is>
      </c>
    </row>
    <row r="2575">
      <c r="A2575" t="inlineStr">
        <is>
          <t>No</t>
        </is>
      </c>
      <c r="B2575" t="inlineStr">
        <is>
          <t>BX4827.C68 A37</t>
        </is>
      </c>
      <c r="C2575" t="inlineStr">
        <is>
          <t>0                      BX 4827000C  68                 A  37</t>
        </is>
      </c>
      <c r="D2575" t="inlineStr">
        <is>
          <t>The seduction of the spirit : the use and misuse of people's religion / [by] Harvey Cox.</t>
        </is>
      </c>
      <c r="F2575" t="inlineStr">
        <is>
          <t>No</t>
        </is>
      </c>
      <c r="G2575" t="inlineStr">
        <is>
          <t>1</t>
        </is>
      </c>
      <c r="H2575" t="inlineStr">
        <is>
          <t>No</t>
        </is>
      </c>
      <c r="I2575" t="inlineStr">
        <is>
          <t>No</t>
        </is>
      </c>
      <c r="J2575" t="inlineStr">
        <is>
          <t>0</t>
        </is>
      </c>
      <c r="K2575" t="inlineStr">
        <is>
          <t>Cox, Harvey, 1929-</t>
        </is>
      </c>
      <c r="L2575" t="inlineStr">
        <is>
          <t>New York : Simon and Schuster, [1973]</t>
        </is>
      </c>
      <c r="M2575" t="inlineStr">
        <is>
          <t>1973</t>
        </is>
      </c>
      <c r="O2575" t="inlineStr">
        <is>
          <t>eng</t>
        </is>
      </c>
      <c r="P2575" t="inlineStr">
        <is>
          <t>nyu</t>
        </is>
      </c>
      <c r="R2575" t="inlineStr">
        <is>
          <t xml:space="preserve">BX </t>
        </is>
      </c>
      <c r="S2575" t="n">
        <v>3</v>
      </c>
      <c r="T2575" t="n">
        <v>3</v>
      </c>
      <c r="U2575" t="inlineStr">
        <is>
          <t>1997-03-18</t>
        </is>
      </c>
      <c r="V2575" t="inlineStr">
        <is>
          <t>1997-03-18</t>
        </is>
      </c>
      <c r="W2575" t="inlineStr">
        <is>
          <t>1992-04-09</t>
        </is>
      </c>
      <c r="X2575" t="inlineStr">
        <is>
          <t>1992-04-09</t>
        </is>
      </c>
      <c r="Y2575" t="n">
        <v>1379</v>
      </c>
      <c r="Z2575" t="n">
        <v>1248</v>
      </c>
      <c r="AA2575" t="n">
        <v>1280</v>
      </c>
      <c r="AB2575" t="n">
        <v>12</v>
      </c>
      <c r="AC2575" t="n">
        <v>12</v>
      </c>
      <c r="AD2575" t="n">
        <v>47</v>
      </c>
      <c r="AE2575" t="n">
        <v>47</v>
      </c>
      <c r="AF2575" t="n">
        <v>17</v>
      </c>
      <c r="AG2575" t="n">
        <v>17</v>
      </c>
      <c r="AH2575" t="n">
        <v>10</v>
      </c>
      <c r="AI2575" t="n">
        <v>10</v>
      </c>
      <c r="AJ2575" t="n">
        <v>24</v>
      </c>
      <c r="AK2575" t="n">
        <v>24</v>
      </c>
      <c r="AL2575" t="n">
        <v>7</v>
      </c>
      <c r="AM2575" t="n">
        <v>7</v>
      </c>
      <c r="AN2575" t="n">
        <v>0</v>
      </c>
      <c r="AO2575" t="n">
        <v>0</v>
      </c>
      <c r="AP2575" t="inlineStr">
        <is>
          <t>No</t>
        </is>
      </c>
      <c r="AQ2575" t="inlineStr">
        <is>
          <t>Yes</t>
        </is>
      </c>
      <c r="AR2575">
        <f>HYPERLINK("http://catalog.hathitrust.org/Record/001592420","HathiTrust Record")</f>
        <v/>
      </c>
      <c r="AS2575">
        <f>HYPERLINK("https://creighton-primo.hosted.exlibrisgroup.com/primo-explore/search?tab=default_tab&amp;search_scope=EVERYTHING&amp;vid=01CRU&amp;lang=en_US&amp;offset=0&amp;query=any,contains,991003134629702656","Catalog Record")</f>
        <v/>
      </c>
      <c r="AT2575">
        <f>HYPERLINK("http://www.worldcat.org/oclc/676652","WorldCat Record")</f>
        <v/>
      </c>
      <c r="AU2575" t="inlineStr">
        <is>
          <t>155390805:eng</t>
        </is>
      </c>
      <c r="AV2575" t="inlineStr">
        <is>
          <t>676652</t>
        </is>
      </c>
      <c r="AW2575" t="inlineStr">
        <is>
          <t>991003134629702656</t>
        </is>
      </c>
      <c r="AX2575" t="inlineStr">
        <is>
          <t>991003134629702656</t>
        </is>
      </c>
      <c r="AY2575" t="inlineStr">
        <is>
          <t>2270342550002656</t>
        </is>
      </c>
      <c r="AZ2575" t="inlineStr">
        <is>
          <t>BOOK</t>
        </is>
      </c>
      <c r="BB2575" t="inlineStr">
        <is>
          <t>9780671215255</t>
        </is>
      </c>
      <c r="BC2575" t="inlineStr">
        <is>
          <t>32285001066884</t>
        </is>
      </c>
      <c r="BD2575" t="inlineStr">
        <is>
          <t>893717354</t>
        </is>
      </c>
    </row>
    <row r="2576">
      <c r="A2576" t="inlineStr">
        <is>
          <t>No</t>
        </is>
      </c>
      <c r="B2576" t="inlineStr">
        <is>
          <t>BX4827.F73 A3 1998</t>
        </is>
      </c>
      <c r="C2576" t="inlineStr">
        <is>
          <t>0                      BX 4827000F  73                 A  3           1998</t>
        </is>
      </c>
      <c r="D2576" t="inlineStr">
        <is>
          <t>Confessions of a beginning theologian / Elouise Renich Fraser.</t>
        </is>
      </c>
      <c r="F2576" t="inlineStr">
        <is>
          <t>No</t>
        </is>
      </c>
      <c r="G2576" t="inlineStr">
        <is>
          <t>1</t>
        </is>
      </c>
      <c r="H2576" t="inlineStr">
        <is>
          <t>No</t>
        </is>
      </c>
      <c r="I2576" t="inlineStr">
        <is>
          <t>No</t>
        </is>
      </c>
      <c r="J2576" t="inlineStr">
        <is>
          <t>0</t>
        </is>
      </c>
      <c r="K2576" t="inlineStr">
        <is>
          <t>Fraser, Elouise Renich, 1943-</t>
        </is>
      </c>
      <c r="L2576" t="inlineStr">
        <is>
          <t>Downers Grove, Ill. : InterVarsity Press, c1998.</t>
        </is>
      </c>
      <c r="M2576" t="inlineStr">
        <is>
          <t>1998</t>
        </is>
      </c>
      <c r="O2576" t="inlineStr">
        <is>
          <t>eng</t>
        </is>
      </c>
      <c r="P2576" t="inlineStr">
        <is>
          <t>ilu</t>
        </is>
      </c>
      <c r="R2576" t="inlineStr">
        <is>
          <t xml:space="preserve">BX </t>
        </is>
      </c>
      <c r="S2576" t="n">
        <v>1</v>
      </c>
      <c r="T2576" t="n">
        <v>1</v>
      </c>
      <c r="U2576" t="inlineStr">
        <is>
          <t>2006-05-04</t>
        </is>
      </c>
      <c r="V2576" t="inlineStr">
        <is>
          <t>2006-05-04</t>
        </is>
      </c>
      <c r="W2576" t="inlineStr">
        <is>
          <t>2006-05-04</t>
        </is>
      </c>
      <c r="X2576" t="inlineStr">
        <is>
          <t>2006-05-04</t>
        </is>
      </c>
      <c r="Y2576" t="n">
        <v>141</v>
      </c>
      <c r="Z2576" t="n">
        <v>121</v>
      </c>
      <c r="AA2576" t="n">
        <v>121</v>
      </c>
      <c r="AB2576" t="n">
        <v>1</v>
      </c>
      <c r="AC2576" t="n">
        <v>1</v>
      </c>
      <c r="AD2576" t="n">
        <v>5</v>
      </c>
      <c r="AE2576" t="n">
        <v>5</v>
      </c>
      <c r="AF2576" t="n">
        <v>2</v>
      </c>
      <c r="AG2576" t="n">
        <v>2</v>
      </c>
      <c r="AH2576" t="n">
        <v>1</v>
      </c>
      <c r="AI2576" t="n">
        <v>1</v>
      </c>
      <c r="AJ2576" t="n">
        <v>3</v>
      </c>
      <c r="AK2576" t="n">
        <v>3</v>
      </c>
      <c r="AL2576" t="n">
        <v>0</v>
      </c>
      <c r="AM2576" t="n">
        <v>0</v>
      </c>
      <c r="AN2576" t="n">
        <v>0</v>
      </c>
      <c r="AO2576" t="n">
        <v>0</v>
      </c>
      <c r="AP2576" t="inlineStr">
        <is>
          <t>No</t>
        </is>
      </c>
      <c r="AQ2576" t="inlineStr">
        <is>
          <t>No</t>
        </is>
      </c>
      <c r="AS2576">
        <f>HYPERLINK("https://creighton-primo.hosted.exlibrisgroup.com/primo-explore/search?tab=default_tab&amp;search_scope=EVERYTHING&amp;vid=01CRU&amp;lang=en_US&amp;offset=0&amp;query=any,contains,991004794139702656","Catalog Record")</f>
        <v/>
      </c>
      <c r="AT2576">
        <f>HYPERLINK("http://www.worldcat.org/oclc/38014327","WorldCat Record")</f>
        <v/>
      </c>
      <c r="AU2576" t="inlineStr">
        <is>
          <t>630214:eng</t>
        </is>
      </c>
      <c r="AV2576" t="inlineStr">
        <is>
          <t>38014327</t>
        </is>
      </c>
      <c r="AW2576" t="inlineStr">
        <is>
          <t>991004794139702656</t>
        </is>
      </c>
      <c r="AX2576" t="inlineStr">
        <is>
          <t>991004794139702656</t>
        </is>
      </c>
      <c r="AY2576" t="inlineStr">
        <is>
          <t>2268184430002656</t>
        </is>
      </c>
      <c r="AZ2576" t="inlineStr">
        <is>
          <t>BOOK</t>
        </is>
      </c>
      <c r="BB2576" t="inlineStr">
        <is>
          <t>9780830815197</t>
        </is>
      </c>
      <c r="BC2576" t="inlineStr">
        <is>
          <t>32285005185888</t>
        </is>
      </c>
      <c r="BD2576" t="inlineStr">
        <is>
          <t>893418028</t>
        </is>
      </c>
    </row>
    <row r="2577">
      <c r="A2577" t="inlineStr">
        <is>
          <t>No</t>
        </is>
      </c>
      <c r="B2577" t="inlineStr">
        <is>
          <t>BX4827.K5 A4 1958</t>
        </is>
      </c>
      <c r="C2577" t="inlineStr">
        <is>
          <t>0                      BX 4827000K  5                  A  4           1958</t>
        </is>
      </c>
      <c r="D2577" t="inlineStr">
        <is>
          <t>The journals of Søren Kierkegaard : a selection edited and translated / by Alexander Dru.</t>
        </is>
      </c>
      <c r="F2577" t="inlineStr">
        <is>
          <t>No</t>
        </is>
      </c>
      <c r="G2577" t="inlineStr">
        <is>
          <t>1</t>
        </is>
      </c>
      <c r="H2577" t="inlineStr">
        <is>
          <t>No</t>
        </is>
      </c>
      <c r="I2577" t="inlineStr">
        <is>
          <t>No</t>
        </is>
      </c>
      <c r="J2577" t="inlineStr">
        <is>
          <t>0</t>
        </is>
      </c>
      <c r="K2577" t="inlineStr">
        <is>
          <t>Kierkegaard, Søren, 1813-1855.</t>
        </is>
      </c>
      <c r="L2577" t="inlineStr">
        <is>
          <t>London : Collins, Fontana Books, c1958, 1967 printing.</t>
        </is>
      </c>
      <c r="M2577" t="inlineStr">
        <is>
          <t>1958</t>
        </is>
      </c>
      <c r="O2577" t="inlineStr">
        <is>
          <t>eng</t>
        </is>
      </c>
      <c r="P2577" t="inlineStr">
        <is>
          <t>enk</t>
        </is>
      </c>
      <c r="Q2577" t="inlineStr">
        <is>
          <t>Fontana books</t>
        </is>
      </c>
      <c r="R2577" t="inlineStr">
        <is>
          <t xml:space="preserve">BX </t>
        </is>
      </c>
      <c r="S2577" t="n">
        <v>7</v>
      </c>
      <c r="T2577" t="n">
        <v>7</v>
      </c>
      <c r="U2577" t="inlineStr">
        <is>
          <t>2003-06-03</t>
        </is>
      </c>
      <c r="V2577" t="inlineStr">
        <is>
          <t>2003-06-03</t>
        </is>
      </c>
      <c r="W2577" t="inlineStr">
        <is>
          <t>1992-04-09</t>
        </is>
      </c>
      <c r="X2577" t="inlineStr">
        <is>
          <t>1992-04-09</t>
        </is>
      </c>
      <c r="Y2577" t="n">
        <v>112</v>
      </c>
      <c r="Z2577" t="n">
        <v>52</v>
      </c>
      <c r="AA2577" t="n">
        <v>370</v>
      </c>
      <c r="AB2577" t="n">
        <v>1</v>
      </c>
      <c r="AC2577" t="n">
        <v>4</v>
      </c>
      <c r="AD2577" t="n">
        <v>2</v>
      </c>
      <c r="AE2577" t="n">
        <v>20</v>
      </c>
      <c r="AF2577" t="n">
        <v>1</v>
      </c>
      <c r="AG2577" t="n">
        <v>6</v>
      </c>
      <c r="AH2577" t="n">
        <v>1</v>
      </c>
      <c r="AI2577" t="n">
        <v>6</v>
      </c>
      <c r="AJ2577" t="n">
        <v>0</v>
      </c>
      <c r="AK2577" t="n">
        <v>9</v>
      </c>
      <c r="AL2577" t="n">
        <v>0</v>
      </c>
      <c r="AM2577" t="n">
        <v>2</v>
      </c>
      <c r="AN2577" t="n">
        <v>0</v>
      </c>
      <c r="AO2577" t="n">
        <v>0</v>
      </c>
      <c r="AP2577" t="inlineStr">
        <is>
          <t>No</t>
        </is>
      </c>
      <c r="AQ2577" t="inlineStr">
        <is>
          <t>No</t>
        </is>
      </c>
      <c r="AS2577">
        <f>HYPERLINK("https://creighton-primo.hosted.exlibrisgroup.com/primo-explore/search?tab=default_tab&amp;search_scope=EVERYTHING&amp;vid=01CRU&amp;lang=en_US&amp;offset=0&amp;query=any,contains,991005369479702656","Catalog Record")</f>
        <v/>
      </c>
      <c r="AT2577">
        <f>HYPERLINK("http://www.worldcat.org/oclc/2191724","WorldCat Record")</f>
        <v/>
      </c>
      <c r="AU2577" t="inlineStr">
        <is>
          <t>1150997614:eng</t>
        </is>
      </c>
      <c r="AV2577" t="inlineStr">
        <is>
          <t>2191724</t>
        </is>
      </c>
      <c r="AW2577" t="inlineStr">
        <is>
          <t>991005369479702656</t>
        </is>
      </c>
      <c r="AX2577" t="inlineStr">
        <is>
          <t>991005369479702656</t>
        </is>
      </c>
      <c r="AY2577" t="inlineStr">
        <is>
          <t>2257003370002656</t>
        </is>
      </c>
      <c r="AZ2577" t="inlineStr">
        <is>
          <t>BOOK</t>
        </is>
      </c>
      <c r="BC2577" t="inlineStr">
        <is>
          <t>32285001066942</t>
        </is>
      </c>
      <c r="BD2577" t="inlineStr">
        <is>
          <t>893902624</t>
        </is>
      </c>
    </row>
    <row r="2578">
      <c r="A2578" t="inlineStr">
        <is>
          <t>No</t>
        </is>
      </c>
      <c r="B2578" t="inlineStr">
        <is>
          <t>BX4827.K5 D523</t>
        </is>
      </c>
      <c r="C2578" t="inlineStr">
        <is>
          <t>0                      BX 4827000K  5                  D  523</t>
        </is>
      </c>
      <c r="D2578" t="inlineStr">
        <is>
          <t>Kierkegaard : an introduction / by Hermann Diem. Translated by David Green.</t>
        </is>
      </c>
      <c r="F2578" t="inlineStr">
        <is>
          <t>No</t>
        </is>
      </c>
      <c r="G2578" t="inlineStr">
        <is>
          <t>1</t>
        </is>
      </c>
      <c r="H2578" t="inlineStr">
        <is>
          <t>No</t>
        </is>
      </c>
      <c r="I2578" t="inlineStr">
        <is>
          <t>No</t>
        </is>
      </c>
      <c r="J2578" t="inlineStr">
        <is>
          <t>0</t>
        </is>
      </c>
      <c r="K2578" t="inlineStr">
        <is>
          <t>Diem, Hermann, 1900-1975.</t>
        </is>
      </c>
      <c r="L2578" t="inlineStr">
        <is>
          <t>Richmond : John Knox Press, [1966]</t>
        </is>
      </c>
      <c r="M2578" t="inlineStr">
        <is>
          <t>1966</t>
        </is>
      </c>
      <c r="O2578" t="inlineStr">
        <is>
          <t>eng</t>
        </is>
      </c>
      <c r="P2578" t="inlineStr">
        <is>
          <t>vau</t>
        </is>
      </c>
      <c r="R2578" t="inlineStr">
        <is>
          <t xml:space="preserve">BX </t>
        </is>
      </c>
      <c r="S2578" t="n">
        <v>2</v>
      </c>
      <c r="T2578" t="n">
        <v>2</v>
      </c>
      <c r="U2578" t="inlineStr">
        <is>
          <t>2008-01-22</t>
        </is>
      </c>
      <c r="V2578" t="inlineStr">
        <is>
          <t>2008-01-22</t>
        </is>
      </c>
      <c r="W2578" t="inlineStr">
        <is>
          <t>1992-04-09</t>
        </is>
      </c>
      <c r="X2578" t="inlineStr">
        <is>
          <t>1992-04-09</t>
        </is>
      </c>
      <c r="Y2578" t="n">
        <v>764</v>
      </c>
      <c r="Z2578" t="n">
        <v>706</v>
      </c>
      <c r="AA2578" t="n">
        <v>716</v>
      </c>
      <c r="AB2578" t="n">
        <v>8</v>
      </c>
      <c r="AC2578" t="n">
        <v>8</v>
      </c>
      <c r="AD2578" t="n">
        <v>29</v>
      </c>
      <c r="AE2578" t="n">
        <v>29</v>
      </c>
      <c r="AF2578" t="n">
        <v>10</v>
      </c>
      <c r="AG2578" t="n">
        <v>10</v>
      </c>
      <c r="AH2578" t="n">
        <v>6</v>
      </c>
      <c r="AI2578" t="n">
        <v>6</v>
      </c>
      <c r="AJ2578" t="n">
        <v>12</v>
      </c>
      <c r="AK2578" t="n">
        <v>12</v>
      </c>
      <c r="AL2578" t="n">
        <v>6</v>
      </c>
      <c r="AM2578" t="n">
        <v>6</v>
      </c>
      <c r="AN2578" t="n">
        <v>0</v>
      </c>
      <c r="AO2578" t="n">
        <v>0</v>
      </c>
      <c r="AP2578" t="inlineStr">
        <is>
          <t>No</t>
        </is>
      </c>
      <c r="AQ2578" t="inlineStr">
        <is>
          <t>Yes</t>
        </is>
      </c>
      <c r="AR2578">
        <f>HYPERLINK("http://catalog.hathitrust.org/Record/001386876","HathiTrust Record")</f>
        <v/>
      </c>
      <c r="AS2578">
        <f>HYPERLINK("https://creighton-primo.hosted.exlibrisgroup.com/primo-explore/search?tab=default_tab&amp;search_scope=EVERYTHING&amp;vid=01CRU&amp;lang=en_US&amp;offset=0&amp;query=any,contains,991003725049702656","Catalog Record")</f>
        <v/>
      </c>
      <c r="AT2578">
        <f>HYPERLINK("http://www.worldcat.org/oclc/1371356","WorldCat Record")</f>
        <v/>
      </c>
      <c r="AU2578" t="inlineStr">
        <is>
          <t>2260881960:eng</t>
        </is>
      </c>
      <c r="AV2578" t="inlineStr">
        <is>
          <t>1371356</t>
        </is>
      </c>
      <c r="AW2578" t="inlineStr">
        <is>
          <t>991003725049702656</t>
        </is>
      </c>
      <c r="AX2578" t="inlineStr">
        <is>
          <t>991003725049702656</t>
        </is>
      </c>
      <c r="AY2578" t="inlineStr">
        <is>
          <t>2260189990002656</t>
        </is>
      </c>
      <c r="AZ2578" t="inlineStr">
        <is>
          <t>BOOK</t>
        </is>
      </c>
      <c r="BC2578" t="inlineStr">
        <is>
          <t>32285001066967</t>
        </is>
      </c>
      <c r="BD2578" t="inlineStr">
        <is>
          <t>893787667</t>
        </is>
      </c>
    </row>
    <row r="2579">
      <c r="A2579" t="inlineStr">
        <is>
          <t>No</t>
        </is>
      </c>
      <c r="B2579" t="inlineStr">
        <is>
          <t>BX4827.K5 F47 1991</t>
        </is>
      </c>
      <c r="C2579" t="inlineStr">
        <is>
          <t>0                      BX 4827000K  5                  F  47          1991</t>
        </is>
      </c>
      <c r="D2579" t="inlineStr">
        <is>
          <t>Transforming vision : imagination and will in Kierkegaardian faith / M. Jamie Ferreira.</t>
        </is>
      </c>
      <c r="F2579" t="inlineStr">
        <is>
          <t>No</t>
        </is>
      </c>
      <c r="G2579" t="inlineStr">
        <is>
          <t>1</t>
        </is>
      </c>
      <c r="H2579" t="inlineStr">
        <is>
          <t>No</t>
        </is>
      </c>
      <c r="I2579" t="inlineStr">
        <is>
          <t>No</t>
        </is>
      </c>
      <c r="J2579" t="inlineStr">
        <is>
          <t>0</t>
        </is>
      </c>
      <c r="K2579" t="inlineStr">
        <is>
          <t>Ferreira, M. Jamie.</t>
        </is>
      </c>
      <c r="L2579" t="inlineStr">
        <is>
          <t>Oxford : Clarendon Press ; New York : Oxford University Press, 1991.</t>
        </is>
      </c>
      <c r="M2579" t="inlineStr">
        <is>
          <t>1991</t>
        </is>
      </c>
      <c r="O2579" t="inlineStr">
        <is>
          <t>eng</t>
        </is>
      </c>
      <c r="P2579" t="inlineStr">
        <is>
          <t>enk</t>
        </is>
      </c>
      <c r="R2579" t="inlineStr">
        <is>
          <t xml:space="preserve">BX </t>
        </is>
      </c>
      <c r="S2579" t="n">
        <v>4</v>
      </c>
      <c r="T2579" t="n">
        <v>4</v>
      </c>
      <c r="U2579" t="inlineStr">
        <is>
          <t>2002-05-23</t>
        </is>
      </c>
      <c r="V2579" t="inlineStr">
        <is>
          <t>2002-05-23</t>
        </is>
      </c>
      <c r="W2579" t="inlineStr">
        <is>
          <t>1992-11-20</t>
        </is>
      </c>
      <c r="X2579" t="inlineStr">
        <is>
          <t>1992-11-20</t>
        </is>
      </c>
      <c r="Y2579" t="n">
        <v>396</v>
      </c>
      <c r="Z2579" t="n">
        <v>324</v>
      </c>
      <c r="AA2579" t="n">
        <v>326</v>
      </c>
      <c r="AB2579" t="n">
        <v>4</v>
      </c>
      <c r="AC2579" t="n">
        <v>4</v>
      </c>
      <c r="AD2579" t="n">
        <v>28</v>
      </c>
      <c r="AE2579" t="n">
        <v>28</v>
      </c>
      <c r="AF2579" t="n">
        <v>13</v>
      </c>
      <c r="AG2579" t="n">
        <v>13</v>
      </c>
      <c r="AH2579" t="n">
        <v>6</v>
      </c>
      <c r="AI2579" t="n">
        <v>6</v>
      </c>
      <c r="AJ2579" t="n">
        <v>16</v>
      </c>
      <c r="AK2579" t="n">
        <v>16</v>
      </c>
      <c r="AL2579" t="n">
        <v>3</v>
      </c>
      <c r="AM2579" t="n">
        <v>3</v>
      </c>
      <c r="AN2579" t="n">
        <v>0</v>
      </c>
      <c r="AO2579" t="n">
        <v>0</v>
      </c>
      <c r="AP2579" t="inlineStr">
        <is>
          <t>No</t>
        </is>
      </c>
      <c r="AQ2579" t="inlineStr">
        <is>
          <t>Yes</t>
        </is>
      </c>
      <c r="AR2579">
        <f>HYPERLINK("http://catalog.hathitrust.org/Record/002523794","HathiTrust Record")</f>
        <v/>
      </c>
      <c r="AS2579">
        <f>HYPERLINK("https://creighton-primo.hosted.exlibrisgroup.com/primo-explore/search?tab=default_tab&amp;search_scope=EVERYTHING&amp;vid=01CRU&amp;lang=en_US&amp;offset=0&amp;query=any,contains,991001891509702656","Catalog Record")</f>
        <v/>
      </c>
      <c r="AT2579">
        <f>HYPERLINK("http://www.worldcat.org/oclc/23870287","WorldCat Record")</f>
        <v/>
      </c>
      <c r="AU2579" t="inlineStr">
        <is>
          <t>289325203:eng</t>
        </is>
      </c>
      <c r="AV2579" t="inlineStr">
        <is>
          <t>23870287</t>
        </is>
      </c>
      <c r="AW2579" t="inlineStr">
        <is>
          <t>991001891509702656</t>
        </is>
      </c>
      <c r="AX2579" t="inlineStr">
        <is>
          <t>991001891509702656</t>
        </is>
      </c>
      <c r="AY2579" t="inlineStr">
        <is>
          <t>2265410070002656</t>
        </is>
      </c>
      <c r="AZ2579" t="inlineStr">
        <is>
          <t>BOOK</t>
        </is>
      </c>
      <c r="BB2579" t="inlineStr">
        <is>
          <t>9780198263319</t>
        </is>
      </c>
      <c r="BC2579" t="inlineStr">
        <is>
          <t>32285001363810</t>
        </is>
      </c>
      <c r="BD2579" t="inlineStr">
        <is>
          <t>893439511</t>
        </is>
      </c>
    </row>
    <row r="2580">
      <c r="A2580" t="inlineStr">
        <is>
          <t>No</t>
        </is>
      </c>
      <c r="B2580" t="inlineStr">
        <is>
          <t>BX4827.K5 S58 1979</t>
        </is>
      </c>
      <c r="C2580" t="inlineStr">
        <is>
          <t>0                      BX 4827000K  5                  S  58          1979</t>
        </is>
      </c>
      <c r="D2580" t="inlineStr">
        <is>
          <t>A Kierkegaard handbook / Frederick Sontag.</t>
        </is>
      </c>
      <c r="F2580" t="inlineStr">
        <is>
          <t>No</t>
        </is>
      </c>
      <c r="G2580" t="inlineStr">
        <is>
          <t>1</t>
        </is>
      </c>
      <c r="H2580" t="inlineStr">
        <is>
          <t>No</t>
        </is>
      </c>
      <c r="I2580" t="inlineStr">
        <is>
          <t>No</t>
        </is>
      </c>
      <c r="J2580" t="inlineStr">
        <is>
          <t>0</t>
        </is>
      </c>
      <c r="K2580" t="inlineStr">
        <is>
          <t>Sontag, Frederick.</t>
        </is>
      </c>
      <c r="L2580" t="inlineStr">
        <is>
          <t>Atlanta : John Knox Press, c1979.</t>
        </is>
      </c>
      <c r="M2580" t="inlineStr">
        <is>
          <t>1979</t>
        </is>
      </c>
      <c r="O2580" t="inlineStr">
        <is>
          <t>eng</t>
        </is>
      </c>
      <c r="P2580" t="inlineStr">
        <is>
          <t>gau</t>
        </is>
      </c>
      <c r="R2580" t="inlineStr">
        <is>
          <t xml:space="preserve">BX </t>
        </is>
      </c>
      <c r="S2580" t="n">
        <v>4</v>
      </c>
      <c r="T2580" t="n">
        <v>4</v>
      </c>
      <c r="U2580" t="inlineStr">
        <is>
          <t>2009-09-18</t>
        </is>
      </c>
      <c r="V2580" t="inlineStr">
        <is>
          <t>2009-09-18</t>
        </is>
      </c>
      <c r="W2580" t="inlineStr">
        <is>
          <t>1992-03-03</t>
        </is>
      </c>
      <c r="X2580" t="inlineStr">
        <is>
          <t>1992-03-03</t>
        </is>
      </c>
      <c r="Y2580" t="n">
        <v>578</v>
      </c>
      <c r="Z2580" t="n">
        <v>512</v>
      </c>
      <c r="AA2580" t="n">
        <v>523</v>
      </c>
      <c r="AB2580" t="n">
        <v>5</v>
      </c>
      <c r="AC2580" t="n">
        <v>5</v>
      </c>
      <c r="AD2580" t="n">
        <v>24</v>
      </c>
      <c r="AE2580" t="n">
        <v>24</v>
      </c>
      <c r="AF2580" t="n">
        <v>8</v>
      </c>
      <c r="AG2580" t="n">
        <v>8</v>
      </c>
      <c r="AH2580" t="n">
        <v>5</v>
      </c>
      <c r="AI2580" t="n">
        <v>5</v>
      </c>
      <c r="AJ2580" t="n">
        <v>13</v>
      </c>
      <c r="AK2580" t="n">
        <v>13</v>
      </c>
      <c r="AL2580" t="n">
        <v>3</v>
      </c>
      <c r="AM2580" t="n">
        <v>3</v>
      </c>
      <c r="AN2580" t="n">
        <v>0</v>
      </c>
      <c r="AO2580" t="n">
        <v>0</v>
      </c>
      <c r="AP2580" t="inlineStr">
        <is>
          <t>No</t>
        </is>
      </c>
      <c r="AQ2580" t="inlineStr">
        <is>
          <t>Yes</t>
        </is>
      </c>
      <c r="AR2580">
        <f>HYPERLINK("http://catalog.hathitrust.org/Record/007853738","HathiTrust Record")</f>
        <v/>
      </c>
      <c r="AS2580">
        <f>HYPERLINK("https://creighton-primo.hosted.exlibrisgroup.com/primo-explore/search?tab=default_tab&amp;search_scope=EVERYTHING&amp;vid=01CRU&amp;lang=en_US&amp;offset=0&amp;query=any,contains,991004830389702656","Catalog Record")</f>
        <v/>
      </c>
      <c r="AT2580">
        <f>HYPERLINK("http://www.worldcat.org/oclc/5410203","WorldCat Record")</f>
        <v/>
      </c>
      <c r="AU2580" t="inlineStr">
        <is>
          <t>457647:eng</t>
        </is>
      </c>
      <c r="AV2580" t="inlineStr">
        <is>
          <t>5410203</t>
        </is>
      </c>
      <c r="AW2580" t="inlineStr">
        <is>
          <t>991004830389702656</t>
        </is>
      </c>
      <c r="AX2580" t="inlineStr">
        <is>
          <t>991004830389702656</t>
        </is>
      </c>
      <c r="AY2580" t="inlineStr">
        <is>
          <t>2260547940002656</t>
        </is>
      </c>
      <c r="AZ2580" t="inlineStr">
        <is>
          <t>BOOK</t>
        </is>
      </c>
      <c r="BB2580" t="inlineStr">
        <is>
          <t>9780804206549</t>
        </is>
      </c>
      <c r="BC2580" t="inlineStr">
        <is>
          <t>32285000990738</t>
        </is>
      </c>
      <c r="BD2580" t="inlineStr">
        <is>
          <t>893895536</t>
        </is>
      </c>
    </row>
    <row r="2581">
      <c r="A2581" t="inlineStr">
        <is>
          <t>No</t>
        </is>
      </c>
      <c r="B2581" t="inlineStr">
        <is>
          <t>BX4827.M6 A3 2000</t>
        </is>
      </c>
      <c r="C2581" t="inlineStr">
        <is>
          <t>0                      BX 4827000M  6                  A  3           2000</t>
        </is>
      </c>
      <c r="D2581" t="inlineStr">
        <is>
          <t>Experiences in theology : ways and forms of Christian theology / Jürgen Moltmann ; translated by Margaret Kohl.</t>
        </is>
      </c>
      <c r="F2581" t="inlineStr">
        <is>
          <t>No</t>
        </is>
      </c>
      <c r="G2581" t="inlineStr">
        <is>
          <t>1</t>
        </is>
      </c>
      <c r="H2581" t="inlineStr">
        <is>
          <t>No</t>
        </is>
      </c>
      <c r="I2581" t="inlineStr">
        <is>
          <t>No</t>
        </is>
      </c>
      <c r="J2581" t="inlineStr">
        <is>
          <t>0</t>
        </is>
      </c>
      <c r="K2581" t="inlineStr">
        <is>
          <t>Moltmann, Jürgen.</t>
        </is>
      </c>
      <c r="L2581" t="inlineStr">
        <is>
          <t>Minneapolis, MN : Fortress Press, 2000.</t>
        </is>
      </c>
      <c r="M2581" t="inlineStr">
        <is>
          <t>2000</t>
        </is>
      </c>
      <c r="N2581" t="inlineStr">
        <is>
          <t>1st Fortress Press ed.</t>
        </is>
      </c>
      <c r="O2581" t="inlineStr">
        <is>
          <t>eng</t>
        </is>
      </c>
      <c r="P2581" t="inlineStr">
        <is>
          <t>mnu</t>
        </is>
      </c>
      <c r="R2581" t="inlineStr">
        <is>
          <t xml:space="preserve">BX </t>
        </is>
      </c>
      <c r="S2581" t="n">
        <v>1</v>
      </c>
      <c r="T2581" t="n">
        <v>1</v>
      </c>
      <c r="U2581" t="inlineStr">
        <is>
          <t>2001-08-29</t>
        </is>
      </c>
      <c r="V2581" t="inlineStr">
        <is>
          <t>2001-08-29</t>
        </is>
      </c>
      <c r="W2581" t="inlineStr">
        <is>
          <t>2001-08-29</t>
        </is>
      </c>
      <c r="X2581" t="inlineStr">
        <is>
          <t>2001-08-29</t>
        </is>
      </c>
      <c r="Y2581" t="n">
        <v>446</v>
      </c>
      <c r="Z2581" t="n">
        <v>380</v>
      </c>
      <c r="AA2581" t="n">
        <v>396</v>
      </c>
      <c r="AB2581" t="n">
        <v>3</v>
      </c>
      <c r="AC2581" t="n">
        <v>3</v>
      </c>
      <c r="AD2581" t="n">
        <v>29</v>
      </c>
      <c r="AE2581" t="n">
        <v>30</v>
      </c>
      <c r="AF2581" t="n">
        <v>14</v>
      </c>
      <c r="AG2581" t="n">
        <v>15</v>
      </c>
      <c r="AH2581" t="n">
        <v>6</v>
      </c>
      <c r="AI2581" t="n">
        <v>6</v>
      </c>
      <c r="AJ2581" t="n">
        <v>16</v>
      </c>
      <c r="AK2581" t="n">
        <v>17</v>
      </c>
      <c r="AL2581" t="n">
        <v>2</v>
      </c>
      <c r="AM2581" t="n">
        <v>2</v>
      </c>
      <c r="AN2581" t="n">
        <v>0</v>
      </c>
      <c r="AO2581" t="n">
        <v>0</v>
      </c>
      <c r="AP2581" t="inlineStr">
        <is>
          <t>No</t>
        </is>
      </c>
      <c r="AQ2581" t="inlineStr">
        <is>
          <t>Yes</t>
        </is>
      </c>
      <c r="AR2581">
        <f>HYPERLINK("http://catalog.hathitrust.org/Record/004126586","HathiTrust Record")</f>
        <v/>
      </c>
      <c r="AS2581">
        <f>HYPERLINK("https://creighton-primo.hosted.exlibrisgroup.com/primo-explore/search?tab=default_tab&amp;search_scope=EVERYTHING&amp;vid=01CRU&amp;lang=en_US&amp;offset=0&amp;query=any,contains,991003575179702656","Catalog Record")</f>
        <v/>
      </c>
      <c r="AT2581">
        <f>HYPERLINK("http://www.worldcat.org/oclc/44313372","WorldCat Record")</f>
        <v/>
      </c>
      <c r="AU2581" t="inlineStr">
        <is>
          <t>50512:eng</t>
        </is>
      </c>
      <c r="AV2581" t="inlineStr">
        <is>
          <t>44313372</t>
        </is>
      </c>
      <c r="AW2581" t="inlineStr">
        <is>
          <t>991003575179702656</t>
        </is>
      </c>
      <c r="AX2581" t="inlineStr">
        <is>
          <t>991003575179702656</t>
        </is>
      </c>
      <c r="AY2581" t="inlineStr">
        <is>
          <t>2257143000002656</t>
        </is>
      </c>
      <c r="AZ2581" t="inlineStr">
        <is>
          <t>BOOK</t>
        </is>
      </c>
      <c r="BB2581" t="inlineStr">
        <is>
          <t>9780800632670</t>
        </is>
      </c>
      <c r="BC2581" t="inlineStr">
        <is>
          <t>32285004382643</t>
        </is>
      </c>
      <c r="BD2581" t="inlineStr">
        <is>
          <t>893410423</t>
        </is>
      </c>
    </row>
    <row r="2582">
      <c r="A2582" t="inlineStr">
        <is>
          <t>No</t>
        </is>
      </c>
      <c r="B2582" t="inlineStr">
        <is>
          <t>BX4827.M6 B38 1987</t>
        </is>
      </c>
      <c r="C2582" t="inlineStr">
        <is>
          <t>0                      BX 4827000M  6                  B  38          1987</t>
        </is>
      </c>
      <c r="D2582" t="inlineStr">
        <is>
          <t>Moltmann : messianic theology in the making / Richard J. Bauckham.</t>
        </is>
      </c>
      <c r="F2582" t="inlineStr">
        <is>
          <t>No</t>
        </is>
      </c>
      <c r="G2582" t="inlineStr">
        <is>
          <t>1</t>
        </is>
      </c>
      <c r="H2582" t="inlineStr">
        <is>
          <t>No</t>
        </is>
      </c>
      <c r="I2582" t="inlineStr">
        <is>
          <t>No</t>
        </is>
      </c>
      <c r="J2582" t="inlineStr">
        <is>
          <t>0</t>
        </is>
      </c>
      <c r="K2582" t="inlineStr">
        <is>
          <t>Bauckham, Richard.</t>
        </is>
      </c>
      <c r="L2582" t="inlineStr">
        <is>
          <t>Basingstoke : Marshall Pickering, c1987.</t>
        </is>
      </c>
      <c r="M2582" t="inlineStr">
        <is>
          <t>1987</t>
        </is>
      </c>
      <c r="O2582" t="inlineStr">
        <is>
          <t>eng</t>
        </is>
      </c>
      <c r="P2582" t="inlineStr">
        <is>
          <t>enk</t>
        </is>
      </c>
      <c r="Q2582" t="inlineStr">
        <is>
          <t>Contemporary Christian studies</t>
        </is>
      </c>
      <c r="R2582" t="inlineStr">
        <is>
          <t xml:space="preserve">BX </t>
        </is>
      </c>
      <c r="S2582" t="n">
        <v>3</v>
      </c>
      <c r="T2582" t="n">
        <v>3</v>
      </c>
      <c r="U2582" t="inlineStr">
        <is>
          <t>1997-09-06</t>
        </is>
      </c>
      <c r="V2582" t="inlineStr">
        <is>
          <t>1997-09-06</t>
        </is>
      </c>
      <c r="W2582" t="inlineStr">
        <is>
          <t>1990-04-25</t>
        </is>
      </c>
      <c r="X2582" t="inlineStr">
        <is>
          <t>1990-04-25</t>
        </is>
      </c>
      <c r="Y2582" t="n">
        <v>149</v>
      </c>
      <c r="Z2582" t="n">
        <v>68</v>
      </c>
      <c r="AA2582" t="n">
        <v>69</v>
      </c>
      <c r="AB2582" t="n">
        <v>1</v>
      </c>
      <c r="AC2582" t="n">
        <v>1</v>
      </c>
      <c r="AD2582" t="n">
        <v>5</v>
      </c>
      <c r="AE2582" t="n">
        <v>5</v>
      </c>
      <c r="AF2582" t="n">
        <v>0</v>
      </c>
      <c r="AG2582" t="n">
        <v>0</v>
      </c>
      <c r="AH2582" t="n">
        <v>1</v>
      </c>
      <c r="AI2582" t="n">
        <v>1</v>
      </c>
      <c r="AJ2582" t="n">
        <v>5</v>
      </c>
      <c r="AK2582" t="n">
        <v>5</v>
      </c>
      <c r="AL2582" t="n">
        <v>0</v>
      </c>
      <c r="AM2582" t="n">
        <v>0</v>
      </c>
      <c r="AN2582" t="n">
        <v>0</v>
      </c>
      <c r="AO2582" t="n">
        <v>0</v>
      </c>
      <c r="AP2582" t="inlineStr">
        <is>
          <t>No</t>
        </is>
      </c>
      <c r="AQ2582" t="inlineStr">
        <is>
          <t>No</t>
        </is>
      </c>
      <c r="AS2582">
        <f>HYPERLINK("https://creighton-primo.hosted.exlibrisgroup.com/primo-explore/search?tab=default_tab&amp;search_scope=EVERYTHING&amp;vid=01CRU&amp;lang=en_US&amp;offset=0&amp;query=any,contains,991001167669702656","Catalog Record")</f>
        <v/>
      </c>
      <c r="AT2582">
        <f>HYPERLINK("http://www.worldcat.org/oclc/22888091","WorldCat Record")</f>
        <v/>
      </c>
      <c r="AU2582" t="inlineStr">
        <is>
          <t>143976473:eng</t>
        </is>
      </c>
      <c r="AV2582" t="inlineStr">
        <is>
          <t>22888091</t>
        </is>
      </c>
      <c r="AW2582" t="inlineStr">
        <is>
          <t>991001167669702656</t>
        </is>
      </c>
      <c r="AX2582" t="inlineStr">
        <is>
          <t>991001167669702656</t>
        </is>
      </c>
      <c r="AY2582" t="inlineStr">
        <is>
          <t>2272410110002656</t>
        </is>
      </c>
      <c r="AZ2582" t="inlineStr">
        <is>
          <t>BOOK</t>
        </is>
      </c>
      <c r="BB2582" t="inlineStr">
        <is>
          <t>9780551015661</t>
        </is>
      </c>
      <c r="BC2582" t="inlineStr">
        <is>
          <t>32285000117209</t>
        </is>
      </c>
      <c r="BD2582" t="inlineStr">
        <is>
          <t>893340212</t>
        </is>
      </c>
    </row>
    <row r="2583">
      <c r="A2583" t="inlineStr">
        <is>
          <t>No</t>
        </is>
      </c>
      <c r="B2583" t="inlineStr">
        <is>
          <t>BX4827.M6 B38 1995</t>
        </is>
      </c>
      <c r="C2583" t="inlineStr">
        <is>
          <t>0                      BX 4827000M  6                  B  38          1995</t>
        </is>
      </c>
      <c r="D2583" t="inlineStr">
        <is>
          <t>The theology of Jürgen Moltmann / Richard Bauckham.</t>
        </is>
      </c>
      <c r="F2583" t="inlineStr">
        <is>
          <t>No</t>
        </is>
      </c>
      <c r="G2583" t="inlineStr">
        <is>
          <t>1</t>
        </is>
      </c>
      <c r="H2583" t="inlineStr">
        <is>
          <t>No</t>
        </is>
      </c>
      <c r="I2583" t="inlineStr">
        <is>
          <t>No</t>
        </is>
      </c>
      <c r="J2583" t="inlineStr">
        <is>
          <t>0</t>
        </is>
      </c>
      <c r="K2583" t="inlineStr">
        <is>
          <t>Bauckham, Richard.</t>
        </is>
      </c>
      <c r="L2583" t="inlineStr">
        <is>
          <t>Edinburgh : T&amp;T Clark, 1995.</t>
        </is>
      </c>
      <c r="M2583" t="inlineStr">
        <is>
          <t>1995</t>
        </is>
      </c>
      <c r="O2583" t="inlineStr">
        <is>
          <t>eng</t>
        </is>
      </c>
      <c r="P2583" t="inlineStr">
        <is>
          <t>stk</t>
        </is>
      </c>
      <c r="R2583" t="inlineStr">
        <is>
          <t xml:space="preserve">BX </t>
        </is>
      </c>
      <c r="S2583" t="n">
        <v>2</v>
      </c>
      <c r="T2583" t="n">
        <v>2</v>
      </c>
      <c r="U2583" t="inlineStr">
        <is>
          <t>1997-09-06</t>
        </is>
      </c>
      <c r="V2583" t="inlineStr">
        <is>
          <t>1997-09-06</t>
        </is>
      </c>
      <c r="W2583" t="inlineStr">
        <is>
          <t>1997-03-19</t>
        </is>
      </c>
      <c r="X2583" t="inlineStr">
        <is>
          <t>1997-03-19</t>
        </is>
      </c>
      <c r="Y2583" t="n">
        <v>318</v>
      </c>
      <c r="Z2583" t="n">
        <v>209</v>
      </c>
      <c r="AA2583" t="n">
        <v>226</v>
      </c>
      <c r="AB2583" t="n">
        <v>2</v>
      </c>
      <c r="AC2583" t="n">
        <v>2</v>
      </c>
      <c r="AD2583" t="n">
        <v>18</v>
      </c>
      <c r="AE2583" t="n">
        <v>19</v>
      </c>
      <c r="AF2583" t="n">
        <v>8</v>
      </c>
      <c r="AG2583" t="n">
        <v>9</v>
      </c>
      <c r="AH2583" t="n">
        <v>3</v>
      </c>
      <c r="AI2583" t="n">
        <v>4</v>
      </c>
      <c r="AJ2583" t="n">
        <v>12</v>
      </c>
      <c r="AK2583" t="n">
        <v>12</v>
      </c>
      <c r="AL2583" t="n">
        <v>1</v>
      </c>
      <c r="AM2583" t="n">
        <v>1</v>
      </c>
      <c r="AN2583" t="n">
        <v>0</v>
      </c>
      <c r="AO2583" t="n">
        <v>0</v>
      </c>
      <c r="AP2583" t="inlineStr">
        <is>
          <t>No</t>
        </is>
      </c>
      <c r="AQ2583" t="inlineStr">
        <is>
          <t>No</t>
        </is>
      </c>
      <c r="AS2583">
        <f>HYPERLINK("https://creighton-primo.hosted.exlibrisgroup.com/primo-explore/search?tab=default_tab&amp;search_scope=EVERYTHING&amp;vid=01CRU&amp;lang=en_US&amp;offset=0&amp;query=any,contains,991002548499702656","Catalog Record")</f>
        <v/>
      </c>
      <c r="AT2583">
        <f>HYPERLINK("http://www.worldcat.org/oclc/60237118","WorldCat Record")</f>
        <v/>
      </c>
      <c r="AU2583" t="inlineStr">
        <is>
          <t>44334613:eng</t>
        </is>
      </c>
      <c r="AV2583" t="inlineStr">
        <is>
          <t>60237118</t>
        </is>
      </c>
      <c r="AW2583" t="inlineStr">
        <is>
          <t>991002548499702656</t>
        </is>
      </c>
      <c r="AX2583" t="inlineStr">
        <is>
          <t>991002548499702656</t>
        </is>
      </c>
      <c r="AY2583" t="inlineStr">
        <is>
          <t>2269972330002656</t>
        </is>
      </c>
      <c r="AZ2583" t="inlineStr">
        <is>
          <t>BOOK</t>
        </is>
      </c>
      <c r="BB2583" t="inlineStr">
        <is>
          <t>9780567292773</t>
        </is>
      </c>
      <c r="BC2583" t="inlineStr">
        <is>
          <t>32285002444403</t>
        </is>
      </c>
      <c r="BD2583" t="inlineStr">
        <is>
          <t>893409222</t>
        </is>
      </c>
    </row>
    <row r="2584">
      <c r="A2584" t="inlineStr">
        <is>
          <t>No</t>
        </is>
      </c>
      <c r="B2584" t="inlineStr">
        <is>
          <t>BX4827.M6 M67</t>
        </is>
      </c>
      <c r="C2584" t="inlineStr">
        <is>
          <t>0                      BX 4827000M  6                  M  67</t>
        </is>
      </c>
      <c r="D2584" t="inlineStr">
        <is>
          <t>The logic of promise in Moltmann's theology / Christopher Morse. --</t>
        </is>
      </c>
      <c r="F2584" t="inlineStr">
        <is>
          <t>No</t>
        </is>
      </c>
      <c r="G2584" t="inlineStr">
        <is>
          <t>1</t>
        </is>
      </c>
      <c r="H2584" t="inlineStr">
        <is>
          <t>No</t>
        </is>
      </c>
      <c r="I2584" t="inlineStr">
        <is>
          <t>No</t>
        </is>
      </c>
      <c r="J2584" t="inlineStr">
        <is>
          <t>0</t>
        </is>
      </c>
      <c r="K2584" t="inlineStr">
        <is>
          <t>Morse, Christopher (Christopher L.)</t>
        </is>
      </c>
      <c r="L2584" t="inlineStr">
        <is>
          <t>Philadelphia : Fortress Press, c1979.</t>
        </is>
      </c>
      <c r="M2584" t="inlineStr">
        <is>
          <t>1979</t>
        </is>
      </c>
      <c r="O2584" t="inlineStr">
        <is>
          <t>eng</t>
        </is>
      </c>
      <c r="P2584" t="inlineStr">
        <is>
          <t>pau</t>
        </is>
      </c>
      <c r="R2584" t="inlineStr">
        <is>
          <t xml:space="preserve">BX </t>
        </is>
      </c>
      <c r="S2584" t="n">
        <v>4</v>
      </c>
      <c r="T2584" t="n">
        <v>4</v>
      </c>
      <c r="U2584" t="inlineStr">
        <is>
          <t>1997-09-06</t>
        </is>
      </c>
      <c r="V2584" t="inlineStr">
        <is>
          <t>1997-09-06</t>
        </is>
      </c>
      <c r="W2584" t="inlineStr">
        <is>
          <t>1992-04-09</t>
        </is>
      </c>
      <c r="X2584" t="inlineStr">
        <is>
          <t>1992-04-09</t>
        </is>
      </c>
      <c r="Y2584" t="n">
        <v>400</v>
      </c>
      <c r="Z2584" t="n">
        <v>320</v>
      </c>
      <c r="AA2584" t="n">
        <v>321</v>
      </c>
      <c r="AB2584" t="n">
        <v>5</v>
      </c>
      <c r="AC2584" t="n">
        <v>5</v>
      </c>
      <c r="AD2584" t="n">
        <v>28</v>
      </c>
      <c r="AE2584" t="n">
        <v>28</v>
      </c>
      <c r="AF2584" t="n">
        <v>12</v>
      </c>
      <c r="AG2584" t="n">
        <v>12</v>
      </c>
      <c r="AH2584" t="n">
        <v>5</v>
      </c>
      <c r="AI2584" t="n">
        <v>5</v>
      </c>
      <c r="AJ2584" t="n">
        <v>16</v>
      </c>
      <c r="AK2584" t="n">
        <v>16</v>
      </c>
      <c r="AL2584" t="n">
        <v>3</v>
      </c>
      <c r="AM2584" t="n">
        <v>3</v>
      </c>
      <c r="AN2584" t="n">
        <v>0</v>
      </c>
      <c r="AO2584" t="n">
        <v>0</v>
      </c>
      <c r="AP2584" t="inlineStr">
        <is>
          <t>No</t>
        </is>
      </c>
      <c r="AQ2584" t="inlineStr">
        <is>
          <t>Yes</t>
        </is>
      </c>
      <c r="AR2584">
        <f>HYPERLINK("http://catalog.hathitrust.org/Record/007853905","HathiTrust Record")</f>
        <v/>
      </c>
      <c r="AS2584">
        <f>HYPERLINK("https://creighton-primo.hosted.exlibrisgroup.com/primo-explore/search?tab=default_tab&amp;search_scope=EVERYTHING&amp;vid=01CRU&amp;lang=en_US&amp;offset=0&amp;query=any,contains,991004604419702656","Catalog Record")</f>
        <v/>
      </c>
      <c r="AT2584">
        <f>HYPERLINK("http://www.worldcat.org/oclc/4193283","WorldCat Record")</f>
        <v/>
      </c>
      <c r="AU2584" t="inlineStr">
        <is>
          <t>449027:eng</t>
        </is>
      </c>
      <c r="AV2584" t="inlineStr">
        <is>
          <t>4193283</t>
        </is>
      </c>
      <c r="AW2584" t="inlineStr">
        <is>
          <t>991004604419702656</t>
        </is>
      </c>
      <c r="AX2584" t="inlineStr">
        <is>
          <t>991004604419702656</t>
        </is>
      </c>
      <c r="AY2584" t="inlineStr">
        <is>
          <t>2261909220002656</t>
        </is>
      </c>
      <c r="AZ2584" t="inlineStr">
        <is>
          <t>BOOK</t>
        </is>
      </c>
      <c r="BB2584" t="inlineStr">
        <is>
          <t>9780800605230</t>
        </is>
      </c>
      <c r="BC2584" t="inlineStr">
        <is>
          <t>32285001067049</t>
        </is>
      </c>
      <c r="BD2584" t="inlineStr">
        <is>
          <t>893895199</t>
        </is>
      </c>
    </row>
    <row r="2585">
      <c r="A2585" t="inlineStr">
        <is>
          <t>No</t>
        </is>
      </c>
      <c r="B2585" t="inlineStr">
        <is>
          <t>BX4827.N47 G73 1984</t>
        </is>
      </c>
      <c r="C2585" t="inlineStr">
        <is>
          <t>0                      BX 4827000N  47                 G  73          1984</t>
        </is>
      </c>
      <c r="D2585" t="inlineStr">
        <is>
          <t>God the center of value : value theory in the theology of H. Richard Niebuhr / by C. David Grant.</t>
        </is>
      </c>
      <c r="F2585" t="inlineStr">
        <is>
          <t>No</t>
        </is>
      </c>
      <c r="G2585" t="inlineStr">
        <is>
          <t>1</t>
        </is>
      </c>
      <c r="H2585" t="inlineStr">
        <is>
          <t>No</t>
        </is>
      </c>
      <c r="I2585" t="inlineStr">
        <is>
          <t>No</t>
        </is>
      </c>
      <c r="J2585" t="inlineStr">
        <is>
          <t>0</t>
        </is>
      </c>
      <c r="K2585" t="inlineStr">
        <is>
          <t>Grant, C. David, 1949-</t>
        </is>
      </c>
      <c r="L2585" t="inlineStr">
        <is>
          <t>Fort Worth : Texas Christian University Press, c1984.</t>
        </is>
      </c>
      <c r="M2585" t="inlineStr">
        <is>
          <t>1984</t>
        </is>
      </c>
      <c r="O2585" t="inlineStr">
        <is>
          <t>eng</t>
        </is>
      </c>
      <c r="P2585" t="inlineStr">
        <is>
          <t>txu</t>
        </is>
      </c>
      <c r="R2585" t="inlineStr">
        <is>
          <t xml:space="preserve">BX </t>
        </is>
      </c>
      <c r="S2585" t="n">
        <v>5</v>
      </c>
      <c r="T2585" t="n">
        <v>5</v>
      </c>
      <c r="U2585" t="inlineStr">
        <is>
          <t>1998-08-28</t>
        </is>
      </c>
      <c r="V2585" t="inlineStr">
        <is>
          <t>1998-08-28</t>
        </is>
      </c>
      <c r="W2585" t="inlineStr">
        <is>
          <t>1990-03-27</t>
        </is>
      </c>
      <c r="X2585" t="inlineStr">
        <is>
          <t>1990-03-27</t>
        </is>
      </c>
      <c r="Y2585" t="n">
        <v>552</v>
      </c>
      <c r="Z2585" t="n">
        <v>497</v>
      </c>
      <c r="AA2585" t="n">
        <v>500</v>
      </c>
      <c r="AB2585" t="n">
        <v>3</v>
      </c>
      <c r="AC2585" t="n">
        <v>3</v>
      </c>
      <c r="AD2585" t="n">
        <v>31</v>
      </c>
      <c r="AE2585" t="n">
        <v>31</v>
      </c>
      <c r="AF2585" t="n">
        <v>14</v>
      </c>
      <c r="AG2585" t="n">
        <v>14</v>
      </c>
      <c r="AH2585" t="n">
        <v>7</v>
      </c>
      <c r="AI2585" t="n">
        <v>7</v>
      </c>
      <c r="AJ2585" t="n">
        <v>15</v>
      </c>
      <c r="AK2585" t="n">
        <v>15</v>
      </c>
      <c r="AL2585" t="n">
        <v>2</v>
      </c>
      <c r="AM2585" t="n">
        <v>2</v>
      </c>
      <c r="AN2585" t="n">
        <v>0</v>
      </c>
      <c r="AO2585" t="n">
        <v>0</v>
      </c>
      <c r="AP2585" t="inlineStr">
        <is>
          <t>No</t>
        </is>
      </c>
      <c r="AQ2585" t="inlineStr">
        <is>
          <t>Yes</t>
        </is>
      </c>
      <c r="AR2585">
        <f>HYPERLINK("http://catalog.hathitrust.org/Record/000412342","HathiTrust Record")</f>
        <v/>
      </c>
      <c r="AS2585">
        <f>HYPERLINK("https://creighton-primo.hosted.exlibrisgroup.com/primo-explore/search?tab=default_tab&amp;search_scope=EVERYTHING&amp;vid=01CRU&amp;lang=en_US&amp;offset=0&amp;query=any,contains,991000426319702656","Catalog Record")</f>
        <v/>
      </c>
      <c r="AT2585">
        <f>HYPERLINK("http://www.worldcat.org/oclc/10753572","WorldCat Record")</f>
        <v/>
      </c>
      <c r="AU2585" t="inlineStr">
        <is>
          <t>2925351:eng</t>
        </is>
      </c>
      <c r="AV2585" t="inlineStr">
        <is>
          <t>10753572</t>
        </is>
      </c>
      <c r="AW2585" t="inlineStr">
        <is>
          <t>991000426319702656</t>
        </is>
      </c>
      <c r="AX2585" t="inlineStr">
        <is>
          <t>991000426319702656</t>
        </is>
      </c>
      <c r="AY2585" t="inlineStr">
        <is>
          <t>2265491050002656</t>
        </is>
      </c>
      <c r="AZ2585" t="inlineStr">
        <is>
          <t>BOOK</t>
        </is>
      </c>
      <c r="BB2585" t="inlineStr">
        <is>
          <t>9780912646923</t>
        </is>
      </c>
      <c r="BC2585" t="inlineStr">
        <is>
          <t>32285000098581</t>
        </is>
      </c>
      <c r="BD2585" t="inlineStr">
        <is>
          <t>893339530</t>
        </is>
      </c>
    </row>
    <row r="2586">
      <c r="A2586" t="inlineStr">
        <is>
          <t>No</t>
        </is>
      </c>
      <c r="B2586" t="inlineStr">
        <is>
          <t>BX4827.N5 A34 1986</t>
        </is>
      </c>
      <c r="C2586" t="inlineStr">
        <is>
          <t>0                      BX 4827000N  5                  A  34          1986</t>
        </is>
      </c>
      <c r="D2586" t="inlineStr">
        <is>
          <t>Leaves from the notebook of a tamed cynic / Reinhold Niebuhr ; [foreword by Martin E. Marty].</t>
        </is>
      </c>
      <c r="F2586" t="inlineStr">
        <is>
          <t>No</t>
        </is>
      </c>
      <c r="G2586" t="inlineStr">
        <is>
          <t>1</t>
        </is>
      </c>
      <c r="H2586" t="inlineStr">
        <is>
          <t>No</t>
        </is>
      </c>
      <c r="I2586" t="inlineStr">
        <is>
          <t>No</t>
        </is>
      </c>
      <c r="J2586" t="inlineStr">
        <is>
          <t>0</t>
        </is>
      </c>
      <c r="K2586" t="inlineStr">
        <is>
          <t>Niebuhr, Reinhold, 1892-1971.</t>
        </is>
      </c>
      <c r="L2586" t="inlineStr">
        <is>
          <t>San Francisco : Harper &amp; Row, [1986?], c1957.</t>
        </is>
      </c>
      <c r="M2586" t="inlineStr">
        <is>
          <t>1986</t>
        </is>
      </c>
      <c r="O2586" t="inlineStr">
        <is>
          <t>eng</t>
        </is>
      </c>
      <c r="P2586" t="inlineStr">
        <is>
          <t>cau</t>
        </is>
      </c>
      <c r="R2586" t="inlineStr">
        <is>
          <t xml:space="preserve">BX </t>
        </is>
      </c>
      <c r="S2586" t="n">
        <v>3</v>
      </c>
      <c r="T2586" t="n">
        <v>3</v>
      </c>
      <c r="U2586" t="inlineStr">
        <is>
          <t>1997-10-17</t>
        </is>
      </c>
      <c r="V2586" t="inlineStr">
        <is>
          <t>1997-10-17</t>
        </is>
      </c>
      <c r="W2586" t="inlineStr">
        <is>
          <t>1990-03-27</t>
        </is>
      </c>
      <c r="X2586" t="inlineStr">
        <is>
          <t>1990-03-27</t>
        </is>
      </c>
      <c r="Y2586" t="n">
        <v>96</v>
      </c>
      <c r="Z2586" t="n">
        <v>84</v>
      </c>
      <c r="AA2586" t="n">
        <v>948</v>
      </c>
      <c r="AB2586" t="n">
        <v>2</v>
      </c>
      <c r="AC2586" t="n">
        <v>9</v>
      </c>
      <c r="AD2586" t="n">
        <v>6</v>
      </c>
      <c r="AE2586" t="n">
        <v>41</v>
      </c>
      <c r="AF2586" t="n">
        <v>1</v>
      </c>
      <c r="AG2586" t="n">
        <v>16</v>
      </c>
      <c r="AH2586" t="n">
        <v>0</v>
      </c>
      <c r="AI2586" t="n">
        <v>7</v>
      </c>
      <c r="AJ2586" t="n">
        <v>5</v>
      </c>
      <c r="AK2586" t="n">
        <v>20</v>
      </c>
      <c r="AL2586" t="n">
        <v>1</v>
      </c>
      <c r="AM2586" t="n">
        <v>7</v>
      </c>
      <c r="AN2586" t="n">
        <v>0</v>
      </c>
      <c r="AO2586" t="n">
        <v>0</v>
      </c>
      <c r="AP2586" t="inlineStr">
        <is>
          <t>No</t>
        </is>
      </c>
      <c r="AQ2586" t="inlineStr">
        <is>
          <t>No</t>
        </is>
      </c>
      <c r="AS2586">
        <f>HYPERLINK("https://creighton-primo.hosted.exlibrisgroup.com/primo-explore/search?tab=default_tab&amp;search_scope=EVERYTHING&amp;vid=01CRU&amp;lang=en_US&amp;offset=0&amp;query=any,contains,991000802679702656","Catalog Record")</f>
        <v/>
      </c>
      <c r="AT2586">
        <f>HYPERLINK("http://www.worldcat.org/oclc/13268996","WorldCat Record")</f>
        <v/>
      </c>
      <c r="AU2586" t="inlineStr">
        <is>
          <t>1508527:eng</t>
        </is>
      </c>
      <c r="AV2586" t="inlineStr">
        <is>
          <t>13268996</t>
        </is>
      </c>
      <c r="AW2586" t="inlineStr">
        <is>
          <t>991000802679702656</t>
        </is>
      </c>
      <c r="AX2586" t="inlineStr">
        <is>
          <t>991000802679702656</t>
        </is>
      </c>
      <c r="AY2586" t="inlineStr">
        <is>
          <t>2260125430002656</t>
        </is>
      </c>
      <c r="AZ2586" t="inlineStr">
        <is>
          <t>BOOK</t>
        </is>
      </c>
      <c r="BB2586" t="inlineStr">
        <is>
          <t>9780060662318</t>
        </is>
      </c>
      <c r="BC2586" t="inlineStr">
        <is>
          <t>32285000098573</t>
        </is>
      </c>
      <c r="BD2586" t="inlineStr">
        <is>
          <t>893255747</t>
        </is>
      </c>
    </row>
    <row r="2587">
      <c r="A2587" t="inlineStr">
        <is>
          <t>No</t>
        </is>
      </c>
      <c r="B2587" t="inlineStr">
        <is>
          <t>BX4827.N5 A4 1991</t>
        </is>
      </c>
      <c r="C2587" t="inlineStr">
        <is>
          <t>0                      BX 4827000N  5                  A  4           1991</t>
        </is>
      </c>
      <c r="D2587" t="inlineStr">
        <is>
          <t>Remembering Reinhold Niebuhr : letters of Reinhold and Ursula M. Niebuhr / edited by Ursula M. Niebuhr.</t>
        </is>
      </c>
      <c r="F2587" t="inlineStr">
        <is>
          <t>No</t>
        </is>
      </c>
      <c r="G2587" t="inlineStr">
        <is>
          <t>1</t>
        </is>
      </c>
      <c r="H2587" t="inlineStr">
        <is>
          <t>No</t>
        </is>
      </c>
      <c r="I2587" t="inlineStr">
        <is>
          <t>No</t>
        </is>
      </c>
      <c r="J2587" t="inlineStr">
        <is>
          <t>0</t>
        </is>
      </c>
      <c r="K2587" t="inlineStr">
        <is>
          <t>Niebuhr, Reinhold, 1892-1971.</t>
        </is>
      </c>
      <c r="L2587" t="inlineStr">
        <is>
          <t>[San Francisco] : HarperSanFrancisco, c1991.</t>
        </is>
      </c>
      <c r="M2587" t="inlineStr">
        <is>
          <t>1991</t>
        </is>
      </c>
      <c r="N2587" t="inlineStr">
        <is>
          <t>1st ed.</t>
        </is>
      </c>
      <c r="O2587" t="inlineStr">
        <is>
          <t>eng</t>
        </is>
      </c>
      <c r="P2587" t="inlineStr">
        <is>
          <t>cau</t>
        </is>
      </c>
      <c r="R2587" t="inlineStr">
        <is>
          <t xml:space="preserve">BX </t>
        </is>
      </c>
      <c r="S2587" t="n">
        <v>5</v>
      </c>
      <c r="T2587" t="n">
        <v>5</v>
      </c>
      <c r="U2587" t="inlineStr">
        <is>
          <t>2000-03-16</t>
        </is>
      </c>
      <c r="V2587" t="inlineStr">
        <is>
          <t>2000-03-16</t>
        </is>
      </c>
      <c r="W2587" t="inlineStr">
        <is>
          <t>1992-01-28</t>
        </is>
      </c>
      <c r="X2587" t="inlineStr">
        <is>
          <t>1992-01-28</t>
        </is>
      </c>
      <c r="Y2587" t="n">
        <v>513</v>
      </c>
      <c r="Z2587" t="n">
        <v>448</v>
      </c>
      <c r="AA2587" t="n">
        <v>449</v>
      </c>
      <c r="AB2587" t="n">
        <v>1</v>
      </c>
      <c r="AC2587" t="n">
        <v>1</v>
      </c>
      <c r="AD2587" t="n">
        <v>25</v>
      </c>
      <c r="AE2587" t="n">
        <v>25</v>
      </c>
      <c r="AF2587" t="n">
        <v>13</v>
      </c>
      <c r="AG2587" t="n">
        <v>13</v>
      </c>
      <c r="AH2587" t="n">
        <v>5</v>
      </c>
      <c r="AI2587" t="n">
        <v>5</v>
      </c>
      <c r="AJ2587" t="n">
        <v>14</v>
      </c>
      <c r="AK2587" t="n">
        <v>14</v>
      </c>
      <c r="AL2587" t="n">
        <v>0</v>
      </c>
      <c r="AM2587" t="n">
        <v>0</v>
      </c>
      <c r="AN2587" t="n">
        <v>0</v>
      </c>
      <c r="AO2587" t="n">
        <v>0</v>
      </c>
      <c r="AP2587" t="inlineStr">
        <is>
          <t>No</t>
        </is>
      </c>
      <c r="AQ2587" t="inlineStr">
        <is>
          <t>No</t>
        </is>
      </c>
      <c r="AS2587">
        <f>HYPERLINK("https://creighton-primo.hosted.exlibrisgroup.com/primo-explore/search?tab=default_tab&amp;search_scope=EVERYTHING&amp;vid=01CRU&amp;lang=en_US&amp;offset=0&amp;query=any,contains,991001598189702656","Catalog Record")</f>
        <v/>
      </c>
      <c r="AT2587">
        <f>HYPERLINK("http://www.worldcat.org/oclc/20631705","WorldCat Record")</f>
        <v/>
      </c>
      <c r="AU2587" t="inlineStr">
        <is>
          <t>143971579:eng</t>
        </is>
      </c>
      <c r="AV2587" t="inlineStr">
        <is>
          <t>20631705</t>
        </is>
      </c>
      <c r="AW2587" t="inlineStr">
        <is>
          <t>991001598189702656</t>
        </is>
      </c>
      <c r="AX2587" t="inlineStr">
        <is>
          <t>991001598189702656</t>
        </is>
      </c>
      <c r="AY2587" t="inlineStr">
        <is>
          <t>2260676720002656</t>
        </is>
      </c>
      <c r="AZ2587" t="inlineStr">
        <is>
          <t>BOOK</t>
        </is>
      </c>
      <c r="BB2587" t="inlineStr">
        <is>
          <t>9780060662349</t>
        </is>
      </c>
      <c r="BC2587" t="inlineStr">
        <is>
          <t>32285000866706</t>
        </is>
      </c>
      <c r="BD2587" t="inlineStr">
        <is>
          <t>893503514</t>
        </is>
      </c>
    </row>
    <row r="2588">
      <c r="A2588" t="inlineStr">
        <is>
          <t>No</t>
        </is>
      </c>
      <c r="B2588" t="inlineStr">
        <is>
          <t>BX4827.N5 B76 1992</t>
        </is>
      </c>
      <c r="C2588" t="inlineStr">
        <is>
          <t>0                      BX 4827000N  5                  B  76          1992</t>
        </is>
      </c>
      <c r="D2588" t="inlineStr">
        <is>
          <t>Niebuhr and his age : Reinhold Niebuhr's prophetic role in the twentieth century / Charles C. Brown.</t>
        </is>
      </c>
      <c r="F2588" t="inlineStr">
        <is>
          <t>No</t>
        </is>
      </c>
      <c r="G2588" t="inlineStr">
        <is>
          <t>1</t>
        </is>
      </c>
      <c r="H2588" t="inlineStr">
        <is>
          <t>No</t>
        </is>
      </c>
      <c r="I2588" t="inlineStr">
        <is>
          <t>No</t>
        </is>
      </c>
      <c r="J2588" t="inlineStr">
        <is>
          <t>0</t>
        </is>
      </c>
      <c r="K2588" t="inlineStr">
        <is>
          <t>Brown, Charles C. (Charles Calvin), 1938-</t>
        </is>
      </c>
      <c r="L2588" t="inlineStr">
        <is>
          <t>Philadelphia : Trinity Press International, 1992.</t>
        </is>
      </c>
      <c r="M2588" t="inlineStr">
        <is>
          <t>1992</t>
        </is>
      </c>
      <c r="O2588" t="inlineStr">
        <is>
          <t>eng</t>
        </is>
      </c>
      <c r="P2588" t="inlineStr">
        <is>
          <t>pau</t>
        </is>
      </c>
      <c r="R2588" t="inlineStr">
        <is>
          <t xml:space="preserve">BX </t>
        </is>
      </c>
      <c r="S2588" t="n">
        <v>2</v>
      </c>
      <c r="T2588" t="n">
        <v>2</v>
      </c>
      <c r="U2588" t="inlineStr">
        <is>
          <t>2006-01-03</t>
        </is>
      </c>
      <c r="V2588" t="inlineStr">
        <is>
          <t>2006-01-03</t>
        </is>
      </c>
      <c r="W2588" t="inlineStr">
        <is>
          <t>1993-08-09</t>
        </is>
      </c>
      <c r="X2588" t="inlineStr">
        <is>
          <t>1993-08-09</t>
        </is>
      </c>
      <c r="Y2588" t="n">
        <v>443</v>
      </c>
      <c r="Z2588" t="n">
        <v>381</v>
      </c>
      <c r="AA2588" t="n">
        <v>387</v>
      </c>
      <c r="AB2588" t="n">
        <v>2</v>
      </c>
      <c r="AC2588" t="n">
        <v>2</v>
      </c>
      <c r="AD2588" t="n">
        <v>29</v>
      </c>
      <c r="AE2588" t="n">
        <v>29</v>
      </c>
      <c r="AF2588" t="n">
        <v>12</v>
      </c>
      <c r="AG2588" t="n">
        <v>12</v>
      </c>
      <c r="AH2588" t="n">
        <v>7</v>
      </c>
      <c r="AI2588" t="n">
        <v>7</v>
      </c>
      <c r="AJ2588" t="n">
        <v>18</v>
      </c>
      <c r="AK2588" t="n">
        <v>18</v>
      </c>
      <c r="AL2588" t="n">
        <v>1</v>
      </c>
      <c r="AM2588" t="n">
        <v>1</v>
      </c>
      <c r="AN2588" t="n">
        <v>0</v>
      </c>
      <c r="AO2588" t="n">
        <v>0</v>
      </c>
      <c r="AP2588" t="inlineStr">
        <is>
          <t>No</t>
        </is>
      </c>
      <c r="AQ2588" t="inlineStr">
        <is>
          <t>Yes</t>
        </is>
      </c>
      <c r="AR2588">
        <f>HYPERLINK("http://catalog.hathitrust.org/Record/002595623","HathiTrust Record")</f>
        <v/>
      </c>
      <c r="AS2588">
        <f>HYPERLINK("https://creighton-primo.hosted.exlibrisgroup.com/primo-explore/search?tab=default_tab&amp;search_scope=EVERYTHING&amp;vid=01CRU&amp;lang=en_US&amp;offset=0&amp;query=any,contains,991002060229702656","Catalog Record")</f>
        <v/>
      </c>
      <c r="AT2588">
        <f>HYPERLINK("http://www.worldcat.org/oclc/26363365","WorldCat Record")</f>
        <v/>
      </c>
      <c r="AU2588" t="inlineStr">
        <is>
          <t>198937087:eng</t>
        </is>
      </c>
      <c r="AV2588" t="inlineStr">
        <is>
          <t>26363365</t>
        </is>
      </c>
      <c r="AW2588" t="inlineStr">
        <is>
          <t>991002060229702656</t>
        </is>
      </c>
      <c r="AX2588" t="inlineStr">
        <is>
          <t>991002060229702656</t>
        </is>
      </c>
      <c r="AY2588" t="inlineStr">
        <is>
          <t>2263243920002656</t>
        </is>
      </c>
      <c r="AZ2588" t="inlineStr">
        <is>
          <t>BOOK</t>
        </is>
      </c>
      <c r="BB2588" t="inlineStr">
        <is>
          <t>9781563380426</t>
        </is>
      </c>
      <c r="BC2588" t="inlineStr">
        <is>
          <t>32285001725273</t>
        </is>
      </c>
      <c r="BD2588" t="inlineStr">
        <is>
          <t>893596988</t>
        </is>
      </c>
    </row>
    <row r="2589">
      <c r="A2589" t="inlineStr">
        <is>
          <t>No</t>
        </is>
      </c>
      <c r="B2589" t="inlineStr">
        <is>
          <t>BX4827.N5 S74 1972</t>
        </is>
      </c>
      <c r="C2589" t="inlineStr">
        <is>
          <t>0                      BX 4827000N  5                  S  74          1972</t>
        </is>
      </c>
      <c r="D2589" t="inlineStr">
        <is>
          <t>Reinhold Niebuhr, prophet to politicians / [by] Ronald H. Stone.</t>
        </is>
      </c>
      <c r="F2589" t="inlineStr">
        <is>
          <t>No</t>
        </is>
      </c>
      <c r="G2589" t="inlineStr">
        <is>
          <t>1</t>
        </is>
      </c>
      <c r="H2589" t="inlineStr">
        <is>
          <t>No</t>
        </is>
      </c>
      <c r="I2589" t="inlineStr">
        <is>
          <t>No</t>
        </is>
      </c>
      <c r="J2589" t="inlineStr">
        <is>
          <t>0</t>
        </is>
      </c>
      <c r="K2589" t="inlineStr">
        <is>
          <t>Stone, Ronald H.</t>
        </is>
      </c>
      <c r="L2589" t="inlineStr">
        <is>
          <t>Nashville : Abingdon Press, [1971, c1972]</t>
        </is>
      </c>
      <c r="M2589" t="inlineStr">
        <is>
          <t>1971</t>
        </is>
      </c>
      <c r="O2589" t="inlineStr">
        <is>
          <t>eng</t>
        </is>
      </c>
      <c r="P2589" t="inlineStr">
        <is>
          <t>tnu</t>
        </is>
      </c>
      <c r="R2589" t="inlineStr">
        <is>
          <t xml:space="preserve">BX </t>
        </is>
      </c>
      <c r="S2589" t="n">
        <v>6</v>
      </c>
      <c r="T2589" t="n">
        <v>6</v>
      </c>
      <c r="U2589" t="inlineStr">
        <is>
          <t>2006-03-25</t>
        </is>
      </c>
      <c r="V2589" t="inlineStr">
        <is>
          <t>2006-03-25</t>
        </is>
      </c>
      <c r="W2589" t="inlineStr">
        <is>
          <t>1992-04-09</t>
        </is>
      </c>
      <c r="X2589" t="inlineStr">
        <is>
          <t>1992-04-09</t>
        </is>
      </c>
      <c r="Y2589" t="n">
        <v>877</v>
      </c>
      <c r="Z2589" t="n">
        <v>815</v>
      </c>
      <c r="AA2589" t="n">
        <v>883</v>
      </c>
      <c r="AB2589" t="n">
        <v>5</v>
      </c>
      <c r="AC2589" t="n">
        <v>5</v>
      </c>
      <c r="AD2589" t="n">
        <v>33</v>
      </c>
      <c r="AE2589" t="n">
        <v>40</v>
      </c>
      <c r="AF2589" t="n">
        <v>16</v>
      </c>
      <c r="AG2589" t="n">
        <v>20</v>
      </c>
      <c r="AH2589" t="n">
        <v>6</v>
      </c>
      <c r="AI2589" t="n">
        <v>7</v>
      </c>
      <c r="AJ2589" t="n">
        <v>17</v>
      </c>
      <c r="AK2589" t="n">
        <v>21</v>
      </c>
      <c r="AL2589" t="n">
        <v>4</v>
      </c>
      <c r="AM2589" t="n">
        <v>4</v>
      </c>
      <c r="AN2589" t="n">
        <v>0</v>
      </c>
      <c r="AO2589" t="n">
        <v>0</v>
      </c>
      <c r="AP2589" t="inlineStr">
        <is>
          <t>No</t>
        </is>
      </c>
      <c r="AQ2589" t="inlineStr">
        <is>
          <t>Yes</t>
        </is>
      </c>
      <c r="AR2589">
        <f>HYPERLINK("http://catalog.hathitrust.org/Record/001592450","HathiTrust Record")</f>
        <v/>
      </c>
      <c r="AS2589">
        <f>HYPERLINK("https://creighton-primo.hosted.exlibrisgroup.com/primo-explore/search?tab=default_tab&amp;search_scope=EVERYTHING&amp;vid=01CRU&amp;lang=en_US&amp;offset=0&amp;query=any,contains,991001884029702656","Catalog Record")</f>
        <v/>
      </c>
      <c r="AT2589">
        <f>HYPERLINK("http://www.worldcat.org/oclc/238421","WorldCat Record")</f>
        <v/>
      </c>
      <c r="AU2589" t="inlineStr">
        <is>
          <t>1376257:eng</t>
        </is>
      </c>
      <c r="AV2589" t="inlineStr">
        <is>
          <t>238421</t>
        </is>
      </c>
      <c r="AW2589" t="inlineStr">
        <is>
          <t>991001884029702656</t>
        </is>
      </c>
      <c r="AX2589" t="inlineStr">
        <is>
          <t>991001884029702656</t>
        </is>
      </c>
      <c r="AY2589" t="inlineStr">
        <is>
          <t>2255475810002656</t>
        </is>
      </c>
      <c r="AZ2589" t="inlineStr">
        <is>
          <t>BOOK</t>
        </is>
      </c>
      <c r="BB2589" t="inlineStr">
        <is>
          <t>9780687362721</t>
        </is>
      </c>
      <c r="BC2589" t="inlineStr">
        <is>
          <t>32285001067056</t>
        </is>
      </c>
      <c r="BD2589" t="inlineStr">
        <is>
          <t>893866554</t>
        </is>
      </c>
    </row>
    <row r="2590">
      <c r="A2590" t="inlineStr">
        <is>
          <t>No</t>
        </is>
      </c>
      <c r="B2590" t="inlineStr">
        <is>
          <t>BX4827.P3 T48 1988</t>
        </is>
      </c>
      <c r="C2590" t="inlineStr">
        <is>
          <t>0                      BX 4827000P  3                  T  48          1988</t>
        </is>
      </c>
      <c r="D2590" t="inlineStr">
        <is>
          <t>The Theology of Wolfhart Pannenberg : twelve American critiques, with an autobiographical essay and response / Carl E. Braaten, Philip Clayton, editors.</t>
        </is>
      </c>
      <c r="F2590" t="inlineStr">
        <is>
          <t>No</t>
        </is>
      </c>
      <c r="G2590" t="inlineStr">
        <is>
          <t>1</t>
        </is>
      </c>
      <c r="H2590" t="inlineStr">
        <is>
          <t>No</t>
        </is>
      </c>
      <c r="I2590" t="inlineStr">
        <is>
          <t>No</t>
        </is>
      </c>
      <c r="J2590" t="inlineStr">
        <is>
          <t>0</t>
        </is>
      </c>
      <c r="L2590" t="inlineStr">
        <is>
          <t>Minneapolis : Augsburg Pub. House, c1988.</t>
        </is>
      </c>
      <c r="M2590" t="inlineStr">
        <is>
          <t>1988</t>
        </is>
      </c>
      <c r="O2590" t="inlineStr">
        <is>
          <t>eng</t>
        </is>
      </c>
      <c r="P2590" t="inlineStr">
        <is>
          <t>mnu</t>
        </is>
      </c>
      <c r="R2590" t="inlineStr">
        <is>
          <t xml:space="preserve">BX </t>
        </is>
      </c>
      <c r="S2590" t="n">
        <v>1</v>
      </c>
      <c r="T2590" t="n">
        <v>1</v>
      </c>
      <c r="U2590" t="inlineStr">
        <is>
          <t>2005-10-27</t>
        </is>
      </c>
      <c r="V2590" t="inlineStr">
        <is>
          <t>2005-10-27</t>
        </is>
      </c>
      <c r="W2590" t="inlineStr">
        <is>
          <t>1991-01-04</t>
        </is>
      </c>
      <c r="X2590" t="inlineStr">
        <is>
          <t>1991-01-04</t>
        </is>
      </c>
      <c r="Y2590" t="n">
        <v>311</v>
      </c>
      <c r="Z2590" t="n">
        <v>250</v>
      </c>
      <c r="AA2590" t="n">
        <v>258</v>
      </c>
      <c r="AB2590" t="n">
        <v>2</v>
      </c>
      <c r="AC2590" t="n">
        <v>2</v>
      </c>
      <c r="AD2590" t="n">
        <v>18</v>
      </c>
      <c r="AE2590" t="n">
        <v>18</v>
      </c>
      <c r="AF2590" t="n">
        <v>6</v>
      </c>
      <c r="AG2590" t="n">
        <v>6</v>
      </c>
      <c r="AH2590" t="n">
        <v>4</v>
      </c>
      <c r="AI2590" t="n">
        <v>4</v>
      </c>
      <c r="AJ2590" t="n">
        <v>10</v>
      </c>
      <c r="AK2590" t="n">
        <v>10</v>
      </c>
      <c r="AL2590" t="n">
        <v>1</v>
      </c>
      <c r="AM2590" t="n">
        <v>1</v>
      </c>
      <c r="AN2590" t="n">
        <v>0</v>
      </c>
      <c r="AO2590" t="n">
        <v>0</v>
      </c>
      <c r="AP2590" t="inlineStr">
        <is>
          <t>No</t>
        </is>
      </c>
      <c r="AQ2590" t="inlineStr">
        <is>
          <t>No</t>
        </is>
      </c>
      <c r="AS2590">
        <f>HYPERLINK("https://creighton-primo.hosted.exlibrisgroup.com/primo-explore/search?tab=default_tab&amp;search_scope=EVERYTHING&amp;vid=01CRU&amp;lang=en_US&amp;offset=0&amp;query=any,contains,991001338469702656","Catalog Record")</f>
        <v/>
      </c>
      <c r="AT2590">
        <f>HYPERLINK("http://www.worldcat.org/oclc/18378676","WorldCat Record")</f>
        <v/>
      </c>
      <c r="AU2590" t="inlineStr">
        <is>
          <t>10624584782:eng</t>
        </is>
      </c>
      <c r="AV2590" t="inlineStr">
        <is>
          <t>18378676</t>
        </is>
      </c>
      <c r="AW2590" t="inlineStr">
        <is>
          <t>991001338469702656</t>
        </is>
      </c>
      <c r="AX2590" t="inlineStr">
        <is>
          <t>991001338469702656</t>
        </is>
      </c>
      <c r="AY2590" t="inlineStr">
        <is>
          <t>2271905050002656</t>
        </is>
      </c>
      <c r="AZ2590" t="inlineStr">
        <is>
          <t>BOOK</t>
        </is>
      </c>
      <c r="BB2590" t="inlineStr">
        <is>
          <t>9780806623702</t>
        </is>
      </c>
      <c r="BC2590" t="inlineStr">
        <is>
          <t>32285000407659</t>
        </is>
      </c>
      <c r="BD2590" t="inlineStr">
        <is>
          <t>893621263</t>
        </is>
      </c>
    </row>
    <row r="2591">
      <c r="A2591" t="inlineStr">
        <is>
          <t>No</t>
        </is>
      </c>
      <c r="B2591" t="inlineStr">
        <is>
          <t>BX4827.S3 C54 1987</t>
        </is>
      </c>
      <c r="C2591" t="inlineStr">
        <is>
          <t>0                      BX 4827000S  3                  C  54          1987</t>
        </is>
      </c>
      <c r="D2591" t="inlineStr">
        <is>
          <t>Friedrich Schleiermacher : pioneer of modern theology / Keith Clements.</t>
        </is>
      </c>
      <c r="F2591" t="inlineStr">
        <is>
          <t>No</t>
        </is>
      </c>
      <c r="G2591" t="inlineStr">
        <is>
          <t>1</t>
        </is>
      </c>
      <c r="H2591" t="inlineStr">
        <is>
          <t>No</t>
        </is>
      </c>
      <c r="I2591" t="inlineStr">
        <is>
          <t>No</t>
        </is>
      </c>
      <c r="J2591" t="inlineStr">
        <is>
          <t>0</t>
        </is>
      </c>
      <c r="K2591" t="inlineStr">
        <is>
          <t>Clements, K. W. (Keith W.)</t>
        </is>
      </c>
      <c r="L2591" t="inlineStr">
        <is>
          <t>London ; San Francisco, CA : Collins, 1987.</t>
        </is>
      </c>
      <c r="M2591" t="inlineStr">
        <is>
          <t>1987</t>
        </is>
      </c>
      <c r="O2591" t="inlineStr">
        <is>
          <t>eng</t>
        </is>
      </c>
      <c r="P2591" t="inlineStr">
        <is>
          <t>enk</t>
        </is>
      </c>
      <c r="Q2591" t="inlineStr">
        <is>
          <t>The Making of modern theology</t>
        </is>
      </c>
      <c r="R2591" t="inlineStr">
        <is>
          <t xml:space="preserve">BX </t>
        </is>
      </c>
      <c r="S2591" t="n">
        <v>3</v>
      </c>
      <c r="T2591" t="n">
        <v>3</v>
      </c>
      <c r="U2591" t="inlineStr">
        <is>
          <t>1993-02-02</t>
        </is>
      </c>
      <c r="V2591" t="inlineStr">
        <is>
          <t>1993-02-02</t>
        </is>
      </c>
      <c r="W2591" t="inlineStr">
        <is>
          <t>1990-05-10</t>
        </is>
      </c>
      <c r="X2591" t="inlineStr">
        <is>
          <t>1990-05-10</t>
        </is>
      </c>
      <c r="Y2591" t="n">
        <v>453</v>
      </c>
      <c r="Z2591" t="n">
        <v>359</v>
      </c>
      <c r="AA2591" t="n">
        <v>491</v>
      </c>
      <c r="AB2591" t="n">
        <v>3</v>
      </c>
      <c r="AC2591" t="n">
        <v>6</v>
      </c>
      <c r="AD2591" t="n">
        <v>23</v>
      </c>
      <c r="AE2591" t="n">
        <v>32</v>
      </c>
      <c r="AF2591" t="n">
        <v>6</v>
      </c>
      <c r="AG2591" t="n">
        <v>9</v>
      </c>
      <c r="AH2591" t="n">
        <v>4</v>
      </c>
      <c r="AI2591" t="n">
        <v>6</v>
      </c>
      <c r="AJ2591" t="n">
        <v>14</v>
      </c>
      <c r="AK2591" t="n">
        <v>19</v>
      </c>
      <c r="AL2591" t="n">
        <v>2</v>
      </c>
      <c r="AM2591" t="n">
        <v>3</v>
      </c>
      <c r="AN2591" t="n">
        <v>0</v>
      </c>
      <c r="AO2591" t="n">
        <v>0</v>
      </c>
      <c r="AP2591" t="inlineStr">
        <is>
          <t>No</t>
        </is>
      </c>
      <c r="AQ2591" t="inlineStr">
        <is>
          <t>Yes</t>
        </is>
      </c>
      <c r="AR2591">
        <f>HYPERLINK("http://catalog.hathitrust.org/Record/001072835","HathiTrust Record")</f>
        <v/>
      </c>
      <c r="AS2591">
        <f>HYPERLINK("https://creighton-primo.hosted.exlibrisgroup.com/primo-explore/search?tab=default_tab&amp;search_scope=EVERYTHING&amp;vid=01CRU&amp;lang=en_US&amp;offset=0&amp;query=any,contains,991001093029702656","Catalog Record")</f>
        <v/>
      </c>
      <c r="AT2591">
        <f>HYPERLINK("http://www.worldcat.org/oclc/16226662","WorldCat Record")</f>
        <v/>
      </c>
      <c r="AU2591" t="inlineStr">
        <is>
          <t>907221931:eng</t>
        </is>
      </c>
      <c r="AV2591" t="inlineStr">
        <is>
          <t>16226662</t>
        </is>
      </c>
      <c r="AW2591" t="inlineStr">
        <is>
          <t>991001093029702656</t>
        </is>
      </c>
      <c r="AX2591" t="inlineStr">
        <is>
          <t>991001093029702656</t>
        </is>
      </c>
      <c r="AY2591" t="inlineStr">
        <is>
          <t>2266326190002656</t>
        </is>
      </c>
      <c r="AZ2591" t="inlineStr">
        <is>
          <t>BOOK</t>
        </is>
      </c>
      <c r="BB2591" t="inlineStr">
        <is>
          <t>9780005999806</t>
        </is>
      </c>
      <c r="BC2591" t="inlineStr">
        <is>
          <t>32285000135862</t>
        </is>
      </c>
      <c r="BD2591" t="inlineStr">
        <is>
          <t>893865955</t>
        </is>
      </c>
    </row>
    <row r="2592">
      <c r="A2592" t="inlineStr">
        <is>
          <t>No</t>
        </is>
      </c>
      <c r="B2592" t="inlineStr">
        <is>
          <t>BX4827.S3 G47 1984</t>
        </is>
      </c>
      <c r="C2592" t="inlineStr">
        <is>
          <t>0                      BX 4827000S  3                  G  47          1984</t>
        </is>
      </c>
      <c r="D2592" t="inlineStr">
        <is>
          <t>A prince of the church : Schleiermacher and the beginnings of modern theology / B.A. Gerrish.</t>
        </is>
      </c>
      <c r="F2592" t="inlineStr">
        <is>
          <t>No</t>
        </is>
      </c>
      <c r="G2592" t="inlineStr">
        <is>
          <t>1</t>
        </is>
      </c>
      <c r="H2592" t="inlineStr">
        <is>
          <t>No</t>
        </is>
      </c>
      <c r="I2592" t="inlineStr">
        <is>
          <t>No</t>
        </is>
      </c>
      <c r="J2592" t="inlineStr">
        <is>
          <t>0</t>
        </is>
      </c>
      <c r="K2592" t="inlineStr">
        <is>
          <t>Gerrish, B. A. (Brian Albert), 1931-</t>
        </is>
      </c>
      <c r="L2592" t="inlineStr">
        <is>
          <t>Philadelphia : Fortress Press, c1984.</t>
        </is>
      </c>
      <c r="M2592" t="inlineStr">
        <is>
          <t>1984</t>
        </is>
      </c>
      <c r="O2592" t="inlineStr">
        <is>
          <t>eng</t>
        </is>
      </c>
      <c r="P2592" t="inlineStr">
        <is>
          <t>pau</t>
        </is>
      </c>
      <c r="Q2592" t="inlineStr">
        <is>
          <t>The Rockwell lectures ; 1981</t>
        </is>
      </c>
      <c r="R2592" t="inlineStr">
        <is>
          <t xml:space="preserve">BX </t>
        </is>
      </c>
      <c r="S2592" t="n">
        <v>2</v>
      </c>
      <c r="T2592" t="n">
        <v>2</v>
      </c>
      <c r="U2592" t="inlineStr">
        <is>
          <t>2004-06-15</t>
        </is>
      </c>
      <c r="V2592" t="inlineStr">
        <is>
          <t>2004-06-15</t>
        </is>
      </c>
      <c r="W2592" t="inlineStr">
        <is>
          <t>1991-04-04</t>
        </is>
      </c>
      <c r="X2592" t="inlineStr">
        <is>
          <t>1991-04-04</t>
        </is>
      </c>
      <c r="Y2592" t="n">
        <v>575</v>
      </c>
      <c r="Z2592" t="n">
        <v>500</v>
      </c>
      <c r="AA2592" t="n">
        <v>523</v>
      </c>
      <c r="AB2592" t="n">
        <v>3</v>
      </c>
      <c r="AC2592" t="n">
        <v>3</v>
      </c>
      <c r="AD2592" t="n">
        <v>35</v>
      </c>
      <c r="AE2592" t="n">
        <v>35</v>
      </c>
      <c r="AF2592" t="n">
        <v>17</v>
      </c>
      <c r="AG2592" t="n">
        <v>17</v>
      </c>
      <c r="AH2592" t="n">
        <v>6</v>
      </c>
      <c r="AI2592" t="n">
        <v>6</v>
      </c>
      <c r="AJ2592" t="n">
        <v>19</v>
      </c>
      <c r="AK2592" t="n">
        <v>19</v>
      </c>
      <c r="AL2592" t="n">
        <v>2</v>
      </c>
      <c r="AM2592" t="n">
        <v>2</v>
      </c>
      <c r="AN2592" t="n">
        <v>0</v>
      </c>
      <c r="AO2592" t="n">
        <v>0</v>
      </c>
      <c r="AP2592" t="inlineStr">
        <is>
          <t>No</t>
        </is>
      </c>
      <c r="AQ2592" t="inlineStr">
        <is>
          <t>Yes</t>
        </is>
      </c>
      <c r="AR2592">
        <f>HYPERLINK("http://catalog.hathitrust.org/Record/000400077","HathiTrust Record")</f>
        <v/>
      </c>
      <c r="AS2592">
        <f>HYPERLINK("https://creighton-primo.hosted.exlibrisgroup.com/primo-explore/search?tab=default_tab&amp;search_scope=EVERYTHING&amp;vid=01CRU&amp;lang=en_US&amp;offset=0&amp;query=any,contains,991000326499702656","Catalog Record")</f>
        <v/>
      </c>
      <c r="AT2592">
        <f>HYPERLINK("http://www.worldcat.org/oclc/10183118","WorldCat Record")</f>
        <v/>
      </c>
      <c r="AU2592" t="inlineStr">
        <is>
          <t>836702110:eng</t>
        </is>
      </c>
      <c r="AV2592" t="inlineStr">
        <is>
          <t>10183118</t>
        </is>
      </c>
      <c r="AW2592" t="inlineStr">
        <is>
          <t>991000326499702656</t>
        </is>
      </c>
      <c r="AX2592" t="inlineStr">
        <is>
          <t>991000326499702656</t>
        </is>
      </c>
      <c r="AY2592" t="inlineStr">
        <is>
          <t>2270757990002656</t>
        </is>
      </c>
      <c r="AZ2592" t="inlineStr">
        <is>
          <t>BOOK</t>
        </is>
      </c>
      <c r="BB2592" t="inlineStr">
        <is>
          <t>9780800617875</t>
        </is>
      </c>
      <c r="BC2592" t="inlineStr">
        <is>
          <t>32285000540939</t>
        </is>
      </c>
      <c r="BD2592" t="inlineStr">
        <is>
          <t>893327206</t>
        </is>
      </c>
    </row>
    <row r="2593">
      <c r="A2593" t="inlineStr">
        <is>
          <t>No</t>
        </is>
      </c>
      <c r="B2593" t="inlineStr">
        <is>
          <t>BX4827.S3 N5</t>
        </is>
      </c>
      <c r="C2593" t="inlineStr">
        <is>
          <t>0                      BX 4827000S  3                  N  5</t>
        </is>
      </c>
      <c r="D2593" t="inlineStr">
        <is>
          <t>Schleiermacher on Christ and religion : a new introduction / [by] Richard R. Niebuhr.</t>
        </is>
      </c>
      <c r="F2593" t="inlineStr">
        <is>
          <t>No</t>
        </is>
      </c>
      <c r="G2593" t="inlineStr">
        <is>
          <t>1</t>
        </is>
      </c>
      <c r="H2593" t="inlineStr">
        <is>
          <t>No</t>
        </is>
      </c>
      <c r="I2593" t="inlineStr">
        <is>
          <t>No</t>
        </is>
      </c>
      <c r="J2593" t="inlineStr">
        <is>
          <t>0</t>
        </is>
      </c>
      <c r="K2593" t="inlineStr">
        <is>
          <t>Niebuhr, Richard R.</t>
        </is>
      </c>
      <c r="L2593" t="inlineStr">
        <is>
          <t>New York : Scribner, [1964]</t>
        </is>
      </c>
      <c r="M2593" t="inlineStr">
        <is>
          <t>1964</t>
        </is>
      </c>
      <c r="O2593" t="inlineStr">
        <is>
          <t>eng</t>
        </is>
      </c>
      <c r="P2593" t="inlineStr">
        <is>
          <t>nyu</t>
        </is>
      </c>
      <c r="R2593" t="inlineStr">
        <is>
          <t xml:space="preserve">BX </t>
        </is>
      </c>
      <c r="S2593" t="n">
        <v>3</v>
      </c>
      <c r="T2593" t="n">
        <v>3</v>
      </c>
      <c r="U2593" t="inlineStr">
        <is>
          <t>1993-02-02</t>
        </is>
      </c>
      <c r="V2593" t="inlineStr">
        <is>
          <t>1993-02-02</t>
        </is>
      </c>
      <c r="W2593" t="inlineStr">
        <is>
          <t>1991-12-09</t>
        </is>
      </c>
      <c r="X2593" t="inlineStr">
        <is>
          <t>1991-12-09</t>
        </is>
      </c>
      <c r="Y2593" t="n">
        <v>769</v>
      </c>
      <c r="Z2593" t="n">
        <v>702</v>
      </c>
      <c r="AA2593" t="n">
        <v>739</v>
      </c>
      <c r="AB2593" t="n">
        <v>7</v>
      </c>
      <c r="AC2593" t="n">
        <v>7</v>
      </c>
      <c r="AD2593" t="n">
        <v>46</v>
      </c>
      <c r="AE2593" t="n">
        <v>49</v>
      </c>
      <c r="AF2593" t="n">
        <v>23</v>
      </c>
      <c r="AG2593" t="n">
        <v>25</v>
      </c>
      <c r="AH2593" t="n">
        <v>8</v>
      </c>
      <c r="AI2593" t="n">
        <v>9</v>
      </c>
      <c r="AJ2593" t="n">
        <v>20</v>
      </c>
      <c r="AK2593" t="n">
        <v>22</v>
      </c>
      <c r="AL2593" t="n">
        <v>6</v>
      </c>
      <c r="AM2593" t="n">
        <v>6</v>
      </c>
      <c r="AN2593" t="n">
        <v>0</v>
      </c>
      <c r="AO2593" t="n">
        <v>0</v>
      </c>
      <c r="AP2593" t="inlineStr">
        <is>
          <t>No</t>
        </is>
      </c>
      <c r="AQ2593" t="inlineStr">
        <is>
          <t>Yes</t>
        </is>
      </c>
      <c r="AR2593">
        <f>HYPERLINK("http://catalog.hathitrust.org/Record/001592460","HathiTrust Record")</f>
        <v/>
      </c>
      <c r="AS2593">
        <f>HYPERLINK("https://creighton-primo.hosted.exlibrisgroup.com/primo-explore/search?tab=default_tab&amp;search_scope=EVERYTHING&amp;vid=01CRU&amp;lang=en_US&amp;offset=0&amp;query=any,contains,991002660929702656","Catalog Record")</f>
        <v/>
      </c>
      <c r="AT2593">
        <f>HYPERLINK("http://www.worldcat.org/oclc/391450","WorldCat Record")</f>
        <v/>
      </c>
      <c r="AU2593" t="inlineStr">
        <is>
          <t>32604702:eng</t>
        </is>
      </c>
      <c r="AV2593" t="inlineStr">
        <is>
          <t>391450</t>
        </is>
      </c>
      <c r="AW2593" t="inlineStr">
        <is>
          <t>991002660929702656</t>
        </is>
      </c>
      <c r="AX2593" t="inlineStr">
        <is>
          <t>991002660929702656</t>
        </is>
      </c>
      <c r="AY2593" t="inlineStr">
        <is>
          <t>2260902910002656</t>
        </is>
      </c>
      <c r="AZ2593" t="inlineStr">
        <is>
          <t>BOOK</t>
        </is>
      </c>
      <c r="BC2593" t="inlineStr">
        <is>
          <t>32285000872746</t>
        </is>
      </c>
      <c r="BD2593" t="inlineStr">
        <is>
          <t>893335552</t>
        </is>
      </c>
    </row>
    <row r="2594">
      <c r="A2594" t="inlineStr">
        <is>
          <t>No</t>
        </is>
      </c>
      <c r="B2594" t="inlineStr">
        <is>
          <t>BX4827.S3 R413</t>
        </is>
      </c>
      <c r="C2594" t="inlineStr">
        <is>
          <t>0                      BX 4827000S  3                  R  413</t>
        </is>
      </c>
      <c r="D2594" t="inlineStr">
        <is>
          <t>Schleiermacher, life and thought / Martin Redeker. Translated by John Wallhausser.</t>
        </is>
      </c>
      <c r="F2594" t="inlineStr">
        <is>
          <t>No</t>
        </is>
      </c>
      <c r="G2594" t="inlineStr">
        <is>
          <t>1</t>
        </is>
      </c>
      <c r="H2594" t="inlineStr">
        <is>
          <t>No</t>
        </is>
      </c>
      <c r="I2594" t="inlineStr">
        <is>
          <t>No</t>
        </is>
      </c>
      <c r="J2594" t="inlineStr">
        <is>
          <t>0</t>
        </is>
      </c>
      <c r="K2594" t="inlineStr">
        <is>
          <t>Redeker, Martin, 1900-1970.</t>
        </is>
      </c>
      <c r="L2594" t="inlineStr">
        <is>
          <t>Philadelphia : Fortress Press, [1973]</t>
        </is>
      </c>
      <c r="M2594" t="inlineStr">
        <is>
          <t>1973</t>
        </is>
      </c>
      <c r="O2594" t="inlineStr">
        <is>
          <t>eng</t>
        </is>
      </c>
      <c r="P2594" t="inlineStr">
        <is>
          <t>pau</t>
        </is>
      </c>
      <c r="R2594" t="inlineStr">
        <is>
          <t xml:space="preserve">BX </t>
        </is>
      </c>
      <c r="S2594" t="n">
        <v>5</v>
      </c>
      <c r="T2594" t="n">
        <v>5</v>
      </c>
      <c r="U2594" t="inlineStr">
        <is>
          <t>1993-05-07</t>
        </is>
      </c>
      <c r="V2594" t="inlineStr">
        <is>
          <t>1993-05-07</t>
        </is>
      </c>
      <c r="W2594" t="inlineStr">
        <is>
          <t>1991-12-09</t>
        </is>
      </c>
      <c r="X2594" t="inlineStr">
        <is>
          <t>1991-12-09</t>
        </is>
      </c>
      <c r="Y2594" t="n">
        <v>731</v>
      </c>
      <c r="Z2594" t="n">
        <v>629</v>
      </c>
      <c r="AA2594" t="n">
        <v>630</v>
      </c>
      <c r="AB2594" t="n">
        <v>5</v>
      </c>
      <c r="AC2594" t="n">
        <v>5</v>
      </c>
      <c r="AD2594" t="n">
        <v>38</v>
      </c>
      <c r="AE2594" t="n">
        <v>38</v>
      </c>
      <c r="AF2594" t="n">
        <v>15</v>
      </c>
      <c r="AG2594" t="n">
        <v>15</v>
      </c>
      <c r="AH2594" t="n">
        <v>9</v>
      </c>
      <c r="AI2594" t="n">
        <v>9</v>
      </c>
      <c r="AJ2594" t="n">
        <v>21</v>
      </c>
      <c r="AK2594" t="n">
        <v>21</v>
      </c>
      <c r="AL2594" t="n">
        <v>4</v>
      </c>
      <c r="AM2594" t="n">
        <v>4</v>
      </c>
      <c r="AN2594" t="n">
        <v>0</v>
      </c>
      <c r="AO2594" t="n">
        <v>0</v>
      </c>
      <c r="AP2594" t="inlineStr">
        <is>
          <t>No</t>
        </is>
      </c>
      <c r="AQ2594" t="inlineStr">
        <is>
          <t>Yes</t>
        </is>
      </c>
      <c r="AR2594">
        <f>HYPERLINK("http://catalog.hathitrust.org/Record/004488574","HathiTrust Record")</f>
        <v/>
      </c>
      <c r="AS2594">
        <f>HYPERLINK("https://creighton-primo.hosted.exlibrisgroup.com/primo-explore/search?tab=default_tab&amp;search_scope=EVERYTHING&amp;vid=01CRU&amp;lang=en_US&amp;offset=0&amp;query=any,contains,991003079799702656","Catalog Record")</f>
        <v/>
      </c>
      <c r="AT2594">
        <f>HYPERLINK("http://www.worldcat.org/oclc/632100","WorldCat Record")</f>
        <v/>
      </c>
      <c r="AU2594" t="inlineStr">
        <is>
          <t>366721749:eng</t>
        </is>
      </c>
      <c r="AV2594" t="inlineStr">
        <is>
          <t>632100</t>
        </is>
      </c>
      <c r="AW2594" t="inlineStr">
        <is>
          <t>991003079799702656</t>
        </is>
      </c>
      <c r="AX2594" t="inlineStr">
        <is>
          <t>991003079799702656</t>
        </is>
      </c>
      <c r="AY2594" t="inlineStr">
        <is>
          <t>2263795140002656</t>
        </is>
      </c>
      <c r="AZ2594" t="inlineStr">
        <is>
          <t>BOOK</t>
        </is>
      </c>
      <c r="BB2594" t="inlineStr">
        <is>
          <t>9780800601492</t>
        </is>
      </c>
      <c r="BC2594" t="inlineStr">
        <is>
          <t>32285000872753</t>
        </is>
      </c>
      <c r="BD2594" t="inlineStr">
        <is>
          <t>893686167</t>
        </is>
      </c>
    </row>
    <row r="2595">
      <c r="A2595" t="inlineStr">
        <is>
          <t>No</t>
        </is>
      </c>
      <c r="B2595" t="inlineStr">
        <is>
          <t>BX4827.S3 S85 1971</t>
        </is>
      </c>
      <c r="C2595" t="inlineStr">
        <is>
          <t>0                      BX 4827000S  3                  S  85          1971</t>
        </is>
      </c>
      <c r="D2595" t="inlineStr">
        <is>
          <t>Friedrich Schleiermacher / by Stephen Sykes.</t>
        </is>
      </c>
      <c r="F2595" t="inlineStr">
        <is>
          <t>No</t>
        </is>
      </c>
      <c r="G2595" t="inlineStr">
        <is>
          <t>1</t>
        </is>
      </c>
      <c r="H2595" t="inlineStr">
        <is>
          <t>No</t>
        </is>
      </c>
      <c r="I2595" t="inlineStr">
        <is>
          <t>No</t>
        </is>
      </c>
      <c r="J2595" t="inlineStr">
        <is>
          <t>0</t>
        </is>
      </c>
      <c r="K2595" t="inlineStr">
        <is>
          <t>Sykes, Stephen.</t>
        </is>
      </c>
      <c r="L2595" t="inlineStr">
        <is>
          <t>Richmond : John Knox Press, [1971]</t>
        </is>
      </c>
      <c r="M2595" t="inlineStr">
        <is>
          <t>1971</t>
        </is>
      </c>
      <c r="O2595" t="inlineStr">
        <is>
          <t>eng</t>
        </is>
      </c>
      <c r="P2595" t="inlineStr">
        <is>
          <t>vau</t>
        </is>
      </c>
      <c r="Q2595" t="inlineStr">
        <is>
          <t>Makers of contemporary theology</t>
        </is>
      </c>
      <c r="R2595" t="inlineStr">
        <is>
          <t xml:space="preserve">BX </t>
        </is>
      </c>
      <c r="S2595" t="n">
        <v>3</v>
      </c>
      <c r="T2595" t="n">
        <v>3</v>
      </c>
      <c r="U2595" t="inlineStr">
        <is>
          <t>2004-06-15</t>
        </is>
      </c>
      <c r="V2595" t="inlineStr">
        <is>
          <t>2004-06-15</t>
        </is>
      </c>
      <c r="W2595" t="inlineStr">
        <is>
          <t>1992-04-09</t>
        </is>
      </c>
      <c r="X2595" t="inlineStr">
        <is>
          <t>1992-04-09</t>
        </is>
      </c>
      <c r="Y2595" t="n">
        <v>384</v>
      </c>
      <c r="Z2595" t="n">
        <v>362</v>
      </c>
      <c r="AA2595" t="n">
        <v>371</v>
      </c>
      <c r="AB2595" t="n">
        <v>3</v>
      </c>
      <c r="AC2595" t="n">
        <v>3</v>
      </c>
      <c r="AD2595" t="n">
        <v>24</v>
      </c>
      <c r="AE2595" t="n">
        <v>25</v>
      </c>
      <c r="AF2595" t="n">
        <v>10</v>
      </c>
      <c r="AG2595" t="n">
        <v>10</v>
      </c>
      <c r="AH2595" t="n">
        <v>2</v>
      </c>
      <c r="AI2595" t="n">
        <v>3</v>
      </c>
      <c r="AJ2595" t="n">
        <v>14</v>
      </c>
      <c r="AK2595" t="n">
        <v>14</v>
      </c>
      <c r="AL2595" t="n">
        <v>2</v>
      </c>
      <c r="AM2595" t="n">
        <v>2</v>
      </c>
      <c r="AN2595" t="n">
        <v>0</v>
      </c>
      <c r="AO2595" t="n">
        <v>0</v>
      </c>
      <c r="AP2595" t="inlineStr">
        <is>
          <t>No</t>
        </is>
      </c>
      <c r="AQ2595" t="inlineStr">
        <is>
          <t>No</t>
        </is>
      </c>
      <c r="AS2595">
        <f>HYPERLINK("https://creighton-primo.hosted.exlibrisgroup.com/primo-explore/search?tab=default_tab&amp;search_scope=EVERYTHING&amp;vid=01CRU&amp;lang=en_US&amp;offset=0&amp;query=any,contains,991001235419702656","Catalog Record")</f>
        <v/>
      </c>
      <c r="AT2595">
        <f>HYPERLINK("http://www.worldcat.org/oclc/205657","WorldCat Record")</f>
        <v/>
      </c>
      <c r="AU2595" t="inlineStr">
        <is>
          <t>1267012:eng</t>
        </is>
      </c>
      <c r="AV2595" t="inlineStr">
        <is>
          <t>205657</t>
        </is>
      </c>
      <c r="AW2595" t="inlineStr">
        <is>
          <t>991001235419702656</t>
        </is>
      </c>
      <c r="AX2595" t="inlineStr">
        <is>
          <t>991001235419702656</t>
        </is>
      </c>
      <c r="AY2595" t="inlineStr">
        <is>
          <t>2256840860002656</t>
        </is>
      </c>
      <c r="AZ2595" t="inlineStr">
        <is>
          <t>BOOK</t>
        </is>
      </c>
      <c r="BB2595" t="inlineStr">
        <is>
          <t>9780804205566</t>
        </is>
      </c>
      <c r="BC2595" t="inlineStr">
        <is>
          <t>32285001067106</t>
        </is>
      </c>
      <c r="BD2595" t="inlineStr">
        <is>
          <t>893426451</t>
        </is>
      </c>
    </row>
    <row r="2596">
      <c r="A2596" t="inlineStr">
        <is>
          <t>No</t>
        </is>
      </c>
      <c r="B2596" t="inlineStr">
        <is>
          <t>BX4827.S8 H33</t>
        </is>
      </c>
      <c r="C2596" t="inlineStr">
        <is>
          <t>0                      BX 4827000S  8                  H  33</t>
        </is>
      </c>
      <c r="D2596" t="inlineStr">
        <is>
          <t>David Friedrich Strauss and his theology / Horton Harris.</t>
        </is>
      </c>
      <c r="F2596" t="inlineStr">
        <is>
          <t>No</t>
        </is>
      </c>
      <c r="G2596" t="inlineStr">
        <is>
          <t>1</t>
        </is>
      </c>
      <c r="H2596" t="inlineStr">
        <is>
          <t>No</t>
        </is>
      </c>
      <c r="I2596" t="inlineStr">
        <is>
          <t>No</t>
        </is>
      </c>
      <c r="J2596" t="inlineStr">
        <is>
          <t>0</t>
        </is>
      </c>
      <c r="K2596" t="inlineStr">
        <is>
          <t>Harris, Horton.</t>
        </is>
      </c>
      <c r="L2596" t="inlineStr">
        <is>
          <t>Cambridge [Eng.] : University Press, 1973.</t>
        </is>
      </c>
      <c r="M2596" t="inlineStr">
        <is>
          <t>1973</t>
        </is>
      </c>
      <c r="O2596" t="inlineStr">
        <is>
          <t>eng</t>
        </is>
      </c>
      <c r="P2596" t="inlineStr">
        <is>
          <t>enk</t>
        </is>
      </c>
      <c r="Q2596" t="inlineStr">
        <is>
          <t>Monograph supplements to the Scottish journal of theology</t>
        </is>
      </c>
      <c r="R2596" t="inlineStr">
        <is>
          <t xml:space="preserve">BX </t>
        </is>
      </c>
      <c r="S2596" t="n">
        <v>5</v>
      </c>
      <c r="T2596" t="n">
        <v>5</v>
      </c>
      <c r="U2596" t="inlineStr">
        <is>
          <t>1999-12-08</t>
        </is>
      </c>
      <c r="V2596" t="inlineStr">
        <is>
          <t>1999-12-08</t>
        </is>
      </c>
      <c r="W2596" t="inlineStr">
        <is>
          <t>1992-04-09</t>
        </is>
      </c>
      <c r="X2596" t="inlineStr">
        <is>
          <t>1992-04-09</t>
        </is>
      </c>
      <c r="Y2596" t="n">
        <v>489</v>
      </c>
      <c r="Z2596" t="n">
        <v>360</v>
      </c>
      <c r="AA2596" t="n">
        <v>367</v>
      </c>
      <c r="AB2596" t="n">
        <v>3</v>
      </c>
      <c r="AC2596" t="n">
        <v>3</v>
      </c>
      <c r="AD2596" t="n">
        <v>21</v>
      </c>
      <c r="AE2596" t="n">
        <v>21</v>
      </c>
      <c r="AF2596" t="n">
        <v>5</v>
      </c>
      <c r="AG2596" t="n">
        <v>5</v>
      </c>
      <c r="AH2596" t="n">
        <v>6</v>
      </c>
      <c r="AI2596" t="n">
        <v>6</v>
      </c>
      <c r="AJ2596" t="n">
        <v>13</v>
      </c>
      <c r="AK2596" t="n">
        <v>13</v>
      </c>
      <c r="AL2596" t="n">
        <v>2</v>
      </c>
      <c r="AM2596" t="n">
        <v>2</v>
      </c>
      <c r="AN2596" t="n">
        <v>0</v>
      </c>
      <c r="AO2596" t="n">
        <v>0</v>
      </c>
      <c r="AP2596" t="inlineStr">
        <is>
          <t>No</t>
        </is>
      </c>
      <c r="AQ2596" t="inlineStr">
        <is>
          <t>Yes</t>
        </is>
      </c>
      <c r="AR2596">
        <f>HYPERLINK("http://catalog.hathitrust.org/Record/001592464","HathiTrust Record")</f>
        <v/>
      </c>
      <c r="AS2596">
        <f>HYPERLINK("https://creighton-primo.hosted.exlibrisgroup.com/primo-explore/search?tab=default_tab&amp;search_scope=EVERYTHING&amp;vid=01CRU&amp;lang=en_US&amp;offset=0&amp;query=any,contains,991003310699702656","Catalog Record")</f>
        <v/>
      </c>
      <c r="AT2596">
        <f>HYPERLINK("http://www.worldcat.org/oclc/834743","WorldCat Record")</f>
        <v/>
      </c>
      <c r="AU2596" t="inlineStr">
        <is>
          <t>1754766:eng</t>
        </is>
      </c>
      <c r="AV2596" t="inlineStr">
        <is>
          <t>834743</t>
        </is>
      </c>
      <c r="AW2596" t="inlineStr">
        <is>
          <t>991003310699702656</t>
        </is>
      </c>
      <c r="AX2596" t="inlineStr">
        <is>
          <t>991003310699702656</t>
        </is>
      </c>
      <c r="AY2596" t="inlineStr">
        <is>
          <t>2267350540002656</t>
        </is>
      </c>
      <c r="AZ2596" t="inlineStr">
        <is>
          <t>BOOK</t>
        </is>
      </c>
      <c r="BB2596" t="inlineStr">
        <is>
          <t>9780521201391</t>
        </is>
      </c>
      <c r="BC2596" t="inlineStr">
        <is>
          <t>32285001067122</t>
        </is>
      </c>
      <c r="BD2596" t="inlineStr">
        <is>
          <t>893410158</t>
        </is>
      </c>
    </row>
    <row r="2597">
      <c r="A2597" t="inlineStr">
        <is>
          <t>No</t>
        </is>
      </c>
      <c r="B2597" t="inlineStr">
        <is>
          <t>BX4827.T53 A75</t>
        </is>
      </c>
      <c r="C2597" t="inlineStr">
        <is>
          <t>0                      BX 4827000T  53                 A  75</t>
        </is>
      </c>
      <c r="D2597" t="inlineStr">
        <is>
          <t>Paul Tillich, basics in his thought / [by] James F. Anderson.</t>
        </is>
      </c>
      <c r="F2597" t="inlineStr">
        <is>
          <t>No</t>
        </is>
      </c>
      <c r="G2597" t="inlineStr">
        <is>
          <t>1</t>
        </is>
      </c>
      <c r="H2597" t="inlineStr">
        <is>
          <t>No</t>
        </is>
      </c>
      <c r="I2597" t="inlineStr">
        <is>
          <t>No</t>
        </is>
      </c>
      <c r="J2597" t="inlineStr">
        <is>
          <t>0</t>
        </is>
      </c>
      <c r="K2597" t="inlineStr">
        <is>
          <t>Anderson, James F. (James Francis), 1910-1981.</t>
        </is>
      </c>
      <c r="L2597" t="inlineStr">
        <is>
          <t>Albany : Magi Books, [1972]</t>
        </is>
      </c>
      <c r="M2597" t="inlineStr">
        <is>
          <t>1972</t>
        </is>
      </c>
      <c r="O2597" t="inlineStr">
        <is>
          <t>eng</t>
        </is>
      </c>
      <c r="P2597" t="inlineStr">
        <is>
          <t>nyu</t>
        </is>
      </c>
      <c r="R2597" t="inlineStr">
        <is>
          <t xml:space="preserve">BX </t>
        </is>
      </c>
      <c r="S2597" t="n">
        <v>2</v>
      </c>
      <c r="T2597" t="n">
        <v>2</v>
      </c>
      <c r="U2597" t="inlineStr">
        <is>
          <t>1995-12-20</t>
        </is>
      </c>
      <c r="V2597" t="inlineStr">
        <is>
          <t>1995-12-20</t>
        </is>
      </c>
      <c r="W2597" t="inlineStr">
        <is>
          <t>1992-04-13</t>
        </is>
      </c>
      <c r="X2597" t="inlineStr">
        <is>
          <t>1992-04-13</t>
        </is>
      </c>
      <c r="Y2597" t="n">
        <v>214</v>
      </c>
      <c r="Z2597" t="n">
        <v>185</v>
      </c>
      <c r="AA2597" t="n">
        <v>190</v>
      </c>
      <c r="AB2597" t="n">
        <v>3</v>
      </c>
      <c r="AC2597" t="n">
        <v>3</v>
      </c>
      <c r="AD2597" t="n">
        <v>16</v>
      </c>
      <c r="AE2597" t="n">
        <v>16</v>
      </c>
      <c r="AF2597" t="n">
        <v>5</v>
      </c>
      <c r="AG2597" t="n">
        <v>5</v>
      </c>
      <c r="AH2597" t="n">
        <v>3</v>
      </c>
      <c r="AI2597" t="n">
        <v>3</v>
      </c>
      <c r="AJ2597" t="n">
        <v>10</v>
      </c>
      <c r="AK2597" t="n">
        <v>10</v>
      </c>
      <c r="AL2597" t="n">
        <v>1</v>
      </c>
      <c r="AM2597" t="n">
        <v>1</v>
      </c>
      <c r="AN2597" t="n">
        <v>0</v>
      </c>
      <c r="AO2597" t="n">
        <v>0</v>
      </c>
      <c r="AP2597" t="inlineStr">
        <is>
          <t>No</t>
        </is>
      </c>
      <c r="AQ2597" t="inlineStr">
        <is>
          <t>No</t>
        </is>
      </c>
      <c r="AS2597">
        <f>HYPERLINK("https://creighton-primo.hosted.exlibrisgroup.com/primo-explore/search?tab=default_tab&amp;search_scope=EVERYTHING&amp;vid=01CRU&amp;lang=en_US&amp;offset=0&amp;query=any,contains,991002494779702656","Catalog Record")</f>
        <v/>
      </c>
      <c r="AT2597">
        <f>HYPERLINK("http://www.worldcat.org/oclc/363464","WorldCat Record")</f>
        <v/>
      </c>
      <c r="AU2597" t="inlineStr">
        <is>
          <t>1419279:eng</t>
        </is>
      </c>
      <c r="AV2597" t="inlineStr">
        <is>
          <t>363464</t>
        </is>
      </c>
      <c r="AW2597" t="inlineStr">
        <is>
          <t>991002494779702656</t>
        </is>
      </c>
      <c r="AX2597" t="inlineStr">
        <is>
          <t>991002494779702656</t>
        </is>
      </c>
      <c r="AY2597" t="inlineStr">
        <is>
          <t>2264008280002656</t>
        </is>
      </c>
      <c r="AZ2597" t="inlineStr">
        <is>
          <t>BOOK</t>
        </is>
      </c>
      <c r="BB2597" t="inlineStr">
        <is>
          <t>9780873430401</t>
        </is>
      </c>
      <c r="BC2597" t="inlineStr">
        <is>
          <t>32285001067171</t>
        </is>
      </c>
      <c r="BD2597" t="inlineStr">
        <is>
          <t>893886350</t>
        </is>
      </c>
    </row>
    <row r="2598">
      <c r="A2598" t="inlineStr">
        <is>
          <t>No</t>
        </is>
      </c>
      <c r="B2598" t="inlineStr">
        <is>
          <t>BX4827.T53 G55 1990</t>
        </is>
      </c>
      <c r="C2598" t="inlineStr">
        <is>
          <t>0                      BX 4827000T  53                 G  55          1990</t>
        </is>
      </c>
      <c r="D2598" t="inlineStr">
        <is>
          <t>Gilkey on Tillich / Langdon Gilkey.</t>
        </is>
      </c>
      <c r="F2598" t="inlineStr">
        <is>
          <t>No</t>
        </is>
      </c>
      <c r="G2598" t="inlineStr">
        <is>
          <t>1</t>
        </is>
      </c>
      <c r="H2598" t="inlineStr">
        <is>
          <t>No</t>
        </is>
      </c>
      <c r="I2598" t="inlineStr">
        <is>
          <t>No</t>
        </is>
      </c>
      <c r="J2598" t="inlineStr">
        <is>
          <t>0</t>
        </is>
      </c>
      <c r="K2598" t="inlineStr">
        <is>
          <t>Gilkey, Langdon, 1919-2004.</t>
        </is>
      </c>
      <c r="L2598" t="inlineStr">
        <is>
          <t>New York : Crossroad, 1990.</t>
        </is>
      </c>
      <c r="M2598" t="inlineStr">
        <is>
          <t>1990</t>
        </is>
      </c>
      <c r="O2598" t="inlineStr">
        <is>
          <t>eng</t>
        </is>
      </c>
      <c r="P2598" t="inlineStr">
        <is>
          <t>nyu</t>
        </is>
      </c>
      <c r="R2598" t="inlineStr">
        <is>
          <t xml:space="preserve">BX </t>
        </is>
      </c>
      <c r="S2598" t="n">
        <v>1</v>
      </c>
      <c r="T2598" t="n">
        <v>1</v>
      </c>
      <c r="U2598" t="inlineStr">
        <is>
          <t>1993-04-06</t>
        </is>
      </c>
      <c r="V2598" t="inlineStr">
        <is>
          <t>1993-04-06</t>
        </is>
      </c>
      <c r="W2598" t="inlineStr">
        <is>
          <t>1991-04-03</t>
        </is>
      </c>
      <c r="X2598" t="inlineStr">
        <is>
          <t>1991-04-03</t>
        </is>
      </c>
      <c r="Y2598" t="n">
        <v>300</v>
      </c>
      <c r="Z2598" t="n">
        <v>248</v>
      </c>
      <c r="AA2598" t="n">
        <v>259</v>
      </c>
      <c r="AB2598" t="n">
        <v>1</v>
      </c>
      <c r="AC2598" t="n">
        <v>1</v>
      </c>
      <c r="AD2598" t="n">
        <v>20</v>
      </c>
      <c r="AE2598" t="n">
        <v>20</v>
      </c>
      <c r="AF2598" t="n">
        <v>8</v>
      </c>
      <c r="AG2598" t="n">
        <v>8</v>
      </c>
      <c r="AH2598" t="n">
        <v>6</v>
      </c>
      <c r="AI2598" t="n">
        <v>6</v>
      </c>
      <c r="AJ2598" t="n">
        <v>13</v>
      </c>
      <c r="AK2598" t="n">
        <v>13</v>
      </c>
      <c r="AL2598" t="n">
        <v>0</v>
      </c>
      <c r="AM2598" t="n">
        <v>0</v>
      </c>
      <c r="AN2598" t="n">
        <v>0</v>
      </c>
      <c r="AO2598" t="n">
        <v>0</v>
      </c>
      <c r="AP2598" t="inlineStr">
        <is>
          <t>No</t>
        </is>
      </c>
      <c r="AQ2598" t="inlineStr">
        <is>
          <t>No</t>
        </is>
      </c>
      <c r="AS2598">
        <f>HYPERLINK("https://creighton-primo.hosted.exlibrisgroup.com/primo-explore/search?tab=default_tab&amp;search_scope=EVERYTHING&amp;vid=01CRU&amp;lang=en_US&amp;offset=0&amp;query=any,contains,991001555869702656","Catalog Record")</f>
        <v/>
      </c>
      <c r="AT2598">
        <f>HYPERLINK("http://www.worldcat.org/oclc/20264033","WorldCat Record")</f>
        <v/>
      </c>
      <c r="AU2598" t="inlineStr">
        <is>
          <t>343341149:eng</t>
        </is>
      </c>
      <c r="AV2598" t="inlineStr">
        <is>
          <t>20264033</t>
        </is>
      </c>
      <c r="AW2598" t="inlineStr">
        <is>
          <t>991001555869702656</t>
        </is>
      </c>
      <c r="AX2598" t="inlineStr">
        <is>
          <t>991001555869702656</t>
        </is>
      </c>
      <c r="AY2598" t="inlineStr">
        <is>
          <t>2259803360002656</t>
        </is>
      </c>
      <c r="AZ2598" t="inlineStr">
        <is>
          <t>BOOK</t>
        </is>
      </c>
      <c r="BB2598" t="inlineStr">
        <is>
          <t>9780824509910</t>
        </is>
      </c>
      <c r="BC2598" t="inlineStr">
        <is>
          <t>32285000514868</t>
        </is>
      </c>
      <c r="BD2598" t="inlineStr">
        <is>
          <t>893690684</t>
        </is>
      </c>
    </row>
    <row r="2599">
      <c r="A2599" t="inlineStr">
        <is>
          <t>No</t>
        </is>
      </c>
      <c r="B2599" t="inlineStr">
        <is>
          <t>BX4827.T53 G75 1985</t>
        </is>
      </c>
      <c r="C2599" t="inlineStr">
        <is>
          <t>0                      BX 4827000T  53                 G  75          1985</t>
        </is>
      </c>
      <c r="D2599" t="inlineStr">
        <is>
          <t>Symbol and empowerment : Paul Tillich's post-theistic system / Richard Grigg.</t>
        </is>
      </c>
      <c r="F2599" t="inlineStr">
        <is>
          <t>No</t>
        </is>
      </c>
      <c r="G2599" t="inlineStr">
        <is>
          <t>1</t>
        </is>
      </c>
      <c r="H2599" t="inlineStr">
        <is>
          <t>No</t>
        </is>
      </c>
      <c r="I2599" t="inlineStr">
        <is>
          <t>No</t>
        </is>
      </c>
      <c r="J2599" t="inlineStr">
        <is>
          <t>0</t>
        </is>
      </c>
      <c r="K2599" t="inlineStr">
        <is>
          <t>Grigg, Richard, 1955-</t>
        </is>
      </c>
      <c r="L2599" t="inlineStr">
        <is>
          <t>Macon, GA : Mercer, c1985.</t>
        </is>
      </c>
      <c r="M2599" t="inlineStr">
        <is>
          <t>1985</t>
        </is>
      </c>
      <c r="O2599" t="inlineStr">
        <is>
          <t>eng</t>
        </is>
      </c>
      <c r="P2599" t="inlineStr">
        <is>
          <t>gau</t>
        </is>
      </c>
      <c r="R2599" t="inlineStr">
        <is>
          <t xml:space="preserve">BX </t>
        </is>
      </c>
      <c r="S2599" t="n">
        <v>3</v>
      </c>
      <c r="T2599" t="n">
        <v>3</v>
      </c>
      <c r="U2599" t="inlineStr">
        <is>
          <t>1997-10-31</t>
        </is>
      </c>
      <c r="V2599" t="inlineStr">
        <is>
          <t>1997-10-31</t>
        </is>
      </c>
      <c r="W2599" t="inlineStr">
        <is>
          <t>1992-04-13</t>
        </is>
      </c>
      <c r="X2599" t="inlineStr">
        <is>
          <t>1992-04-13</t>
        </is>
      </c>
      <c r="Y2599" t="n">
        <v>321</v>
      </c>
      <c r="Z2599" t="n">
        <v>279</v>
      </c>
      <c r="AA2599" t="n">
        <v>282</v>
      </c>
      <c r="AB2599" t="n">
        <v>2</v>
      </c>
      <c r="AC2599" t="n">
        <v>2</v>
      </c>
      <c r="AD2599" t="n">
        <v>18</v>
      </c>
      <c r="AE2599" t="n">
        <v>18</v>
      </c>
      <c r="AF2599" t="n">
        <v>6</v>
      </c>
      <c r="AG2599" t="n">
        <v>6</v>
      </c>
      <c r="AH2599" t="n">
        <v>4</v>
      </c>
      <c r="AI2599" t="n">
        <v>4</v>
      </c>
      <c r="AJ2599" t="n">
        <v>12</v>
      </c>
      <c r="AK2599" t="n">
        <v>12</v>
      </c>
      <c r="AL2599" t="n">
        <v>1</v>
      </c>
      <c r="AM2599" t="n">
        <v>1</v>
      </c>
      <c r="AN2599" t="n">
        <v>0</v>
      </c>
      <c r="AO2599" t="n">
        <v>0</v>
      </c>
      <c r="AP2599" t="inlineStr">
        <is>
          <t>No</t>
        </is>
      </c>
      <c r="AQ2599" t="inlineStr">
        <is>
          <t>Yes</t>
        </is>
      </c>
      <c r="AR2599">
        <f>HYPERLINK("http://catalog.hathitrust.org/Record/000613504","HathiTrust Record")</f>
        <v/>
      </c>
      <c r="AS2599">
        <f>HYPERLINK("https://creighton-primo.hosted.exlibrisgroup.com/primo-explore/search?tab=default_tab&amp;search_scope=EVERYTHING&amp;vid=01CRU&amp;lang=en_US&amp;offset=0&amp;query=any,contains,991000619679702656","Catalog Record")</f>
        <v/>
      </c>
      <c r="AT2599">
        <f>HYPERLINK("http://www.worldcat.org/oclc/11971043","WorldCat Record")</f>
        <v/>
      </c>
      <c r="AU2599" t="inlineStr">
        <is>
          <t>889606700:eng</t>
        </is>
      </c>
      <c r="AV2599" t="inlineStr">
        <is>
          <t>11971043</t>
        </is>
      </c>
      <c r="AW2599" t="inlineStr">
        <is>
          <t>991000619679702656</t>
        </is>
      </c>
      <c r="AX2599" t="inlineStr">
        <is>
          <t>991000619679702656</t>
        </is>
      </c>
      <c r="AY2599" t="inlineStr">
        <is>
          <t>2256894810002656</t>
        </is>
      </c>
      <c r="AZ2599" t="inlineStr">
        <is>
          <t>BOOK</t>
        </is>
      </c>
      <c r="BB2599" t="inlineStr">
        <is>
          <t>9780865541634</t>
        </is>
      </c>
      <c r="BC2599" t="inlineStr">
        <is>
          <t>32285001067205</t>
        </is>
      </c>
      <c r="BD2599" t="inlineStr">
        <is>
          <t>893714750</t>
        </is>
      </c>
    </row>
    <row r="2600">
      <c r="A2600" t="inlineStr">
        <is>
          <t>No</t>
        </is>
      </c>
      <c r="B2600" t="inlineStr">
        <is>
          <t>BX4827.T53 M25</t>
        </is>
      </c>
      <c r="C2600" t="inlineStr">
        <is>
          <t>0                      BX 4827000T  53                 M  25</t>
        </is>
      </c>
      <c r="D2600" t="inlineStr">
        <is>
          <t>Tillich's system / by Wayne W. Mahan.</t>
        </is>
      </c>
      <c r="F2600" t="inlineStr">
        <is>
          <t>No</t>
        </is>
      </c>
      <c r="G2600" t="inlineStr">
        <is>
          <t>1</t>
        </is>
      </c>
      <c r="H2600" t="inlineStr">
        <is>
          <t>No</t>
        </is>
      </c>
      <c r="I2600" t="inlineStr">
        <is>
          <t>No</t>
        </is>
      </c>
      <c r="J2600" t="inlineStr">
        <is>
          <t>0</t>
        </is>
      </c>
      <c r="K2600" t="inlineStr">
        <is>
          <t>Mahan, Wayne W.</t>
        </is>
      </c>
      <c r="L2600" t="inlineStr">
        <is>
          <t>San Antonio : Trinity University Press, 1974.</t>
        </is>
      </c>
      <c r="M2600" t="inlineStr">
        <is>
          <t>1974</t>
        </is>
      </c>
      <c r="O2600" t="inlineStr">
        <is>
          <t>eng</t>
        </is>
      </c>
      <c r="P2600" t="inlineStr">
        <is>
          <t>txu</t>
        </is>
      </c>
      <c r="R2600" t="inlineStr">
        <is>
          <t xml:space="preserve">BX </t>
        </is>
      </c>
      <c r="S2600" t="n">
        <v>2</v>
      </c>
      <c r="T2600" t="n">
        <v>2</v>
      </c>
      <c r="U2600" t="inlineStr">
        <is>
          <t>1995-12-20</t>
        </is>
      </c>
      <c r="V2600" t="inlineStr">
        <is>
          <t>1995-12-20</t>
        </is>
      </c>
      <c r="W2600" t="inlineStr">
        <is>
          <t>1992-04-13</t>
        </is>
      </c>
      <c r="X2600" t="inlineStr">
        <is>
          <t>1992-04-13</t>
        </is>
      </c>
      <c r="Y2600" t="n">
        <v>326</v>
      </c>
      <c r="Z2600" t="n">
        <v>285</v>
      </c>
      <c r="AA2600" t="n">
        <v>291</v>
      </c>
      <c r="AB2600" t="n">
        <v>2</v>
      </c>
      <c r="AC2600" t="n">
        <v>2</v>
      </c>
      <c r="AD2600" t="n">
        <v>18</v>
      </c>
      <c r="AE2600" t="n">
        <v>18</v>
      </c>
      <c r="AF2600" t="n">
        <v>6</v>
      </c>
      <c r="AG2600" t="n">
        <v>6</v>
      </c>
      <c r="AH2600" t="n">
        <v>4</v>
      </c>
      <c r="AI2600" t="n">
        <v>4</v>
      </c>
      <c r="AJ2600" t="n">
        <v>11</v>
      </c>
      <c r="AK2600" t="n">
        <v>11</v>
      </c>
      <c r="AL2600" t="n">
        <v>1</v>
      </c>
      <c r="AM2600" t="n">
        <v>1</v>
      </c>
      <c r="AN2600" t="n">
        <v>0</v>
      </c>
      <c r="AO2600" t="n">
        <v>0</v>
      </c>
      <c r="AP2600" t="inlineStr">
        <is>
          <t>No</t>
        </is>
      </c>
      <c r="AQ2600" t="inlineStr">
        <is>
          <t>Yes</t>
        </is>
      </c>
      <c r="AR2600">
        <f>HYPERLINK("http://catalog.hathitrust.org/Record/000042490","HathiTrust Record")</f>
        <v/>
      </c>
      <c r="AS2600">
        <f>HYPERLINK("https://creighton-primo.hosted.exlibrisgroup.com/primo-explore/search?tab=default_tab&amp;search_scope=EVERYTHING&amp;vid=01CRU&amp;lang=en_US&amp;offset=0&amp;query=any,contains,991003599529702656","Catalog Record")</f>
        <v/>
      </c>
      <c r="AT2600">
        <f>HYPERLINK("http://www.worldcat.org/oclc/1177005","WorldCat Record")</f>
        <v/>
      </c>
      <c r="AU2600" t="inlineStr">
        <is>
          <t>2123923:eng</t>
        </is>
      </c>
      <c r="AV2600" t="inlineStr">
        <is>
          <t>1177005</t>
        </is>
      </c>
      <c r="AW2600" t="inlineStr">
        <is>
          <t>991003599529702656</t>
        </is>
      </c>
      <c r="AX2600" t="inlineStr">
        <is>
          <t>991003599529702656</t>
        </is>
      </c>
      <c r="AY2600" t="inlineStr">
        <is>
          <t>2264735170002656</t>
        </is>
      </c>
      <c r="AZ2600" t="inlineStr">
        <is>
          <t>BOOK</t>
        </is>
      </c>
      <c r="BB2600" t="inlineStr">
        <is>
          <t>9780911536522</t>
        </is>
      </c>
      <c r="BC2600" t="inlineStr">
        <is>
          <t>32285001067288</t>
        </is>
      </c>
      <c r="BD2600" t="inlineStr">
        <is>
          <t>893592674</t>
        </is>
      </c>
    </row>
    <row r="2601">
      <c r="A2601" t="inlineStr">
        <is>
          <t>No</t>
        </is>
      </c>
      <c r="B2601" t="inlineStr">
        <is>
          <t>BX4827.T53 R6</t>
        </is>
      </c>
      <c r="C2601" t="inlineStr">
        <is>
          <t>0                      BX 4827000T  53                 R  6</t>
        </is>
      </c>
      <c r="D2601" t="inlineStr">
        <is>
          <t>Religious symbols and God : a philosophical study of Tillich's theology / [by] William L. Rowe.</t>
        </is>
      </c>
      <c r="F2601" t="inlineStr">
        <is>
          <t>No</t>
        </is>
      </c>
      <c r="G2601" t="inlineStr">
        <is>
          <t>1</t>
        </is>
      </c>
      <c r="H2601" t="inlineStr">
        <is>
          <t>No</t>
        </is>
      </c>
      <c r="I2601" t="inlineStr">
        <is>
          <t>No</t>
        </is>
      </c>
      <c r="J2601" t="inlineStr">
        <is>
          <t>0</t>
        </is>
      </c>
      <c r="K2601" t="inlineStr">
        <is>
          <t>Rowe, William L., 1931-2015.</t>
        </is>
      </c>
      <c r="L2601" t="inlineStr">
        <is>
          <t>Chicago : University of Chicago Press, [1968]</t>
        </is>
      </c>
      <c r="M2601" t="inlineStr">
        <is>
          <t>1968</t>
        </is>
      </c>
      <c r="O2601" t="inlineStr">
        <is>
          <t>eng</t>
        </is>
      </c>
      <c r="P2601" t="inlineStr">
        <is>
          <t>ilu</t>
        </is>
      </c>
      <c r="R2601" t="inlineStr">
        <is>
          <t xml:space="preserve">BX </t>
        </is>
      </c>
      <c r="S2601" t="n">
        <v>7</v>
      </c>
      <c r="T2601" t="n">
        <v>7</v>
      </c>
      <c r="U2601" t="inlineStr">
        <is>
          <t>1998-04-05</t>
        </is>
      </c>
      <c r="V2601" t="inlineStr">
        <is>
          <t>1998-04-05</t>
        </is>
      </c>
      <c r="W2601" t="inlineStr">
        <is>
          <t>1992-04-13</t>
        </is>
      </c>
      <c r="X2601" t="inlineStr">
        <is>
          <t>1992-04-13</t>
        </is>
      </c>
      <c r="Y2601" t="n">
        <v>798</v>
      </c>
      <c r="Z2601" t="n">
        <v>686</v>
      </c>
      <c r="AA2601" t="n">
        <v>688</v>
      </c>
      <c r="AB2601" t="n">
        <v>4</v>
      </c>
      <c r="AC2601" t="n">
        <v>4</v>
      </c>
      <c r="AD2601" t="n">
        <v>36</v>
      </c>
      <c r="AE2601" t="n">
        <v>36</v>
      </c>
      <c r="AF2601" t="n">
        <v>14</v>
      </c>
      <c r="AG2601" t="n">
        <v>14</v>
      </c>
      <c r="AH2601" t="n">
        <v>8</v>
      </c>
      <c r="AI2601" t="n">
        <v>8</v>
      </c>
      <c r="AJ2601" t="n">
        <v>20</v>
      </c>
      <c r="AK2601" t="n">
        <v>20</v>
      </c>
      <c r="AL2601" t="n">
        <v>3</v>
      </c>
      <c r="AM2601" t="n">
        <v>3</v>
      </c>
      <c r="AN2601" t="n">
        <v>0</v>
      </c>
      <c r="AO2601" t="n">
        <v>0</v>
      </c>
      <c r="AP2601" t="inlineStr">
        <is>
          <t>No</t>
        </is>
      </c>
      <c r="AQ2601" t="inlineStr">
        <is>
          <t>No</t>
        </is>
      </c>
      <c r="AS2601">
        <f>HYPERLINK("https://creighton-primo.hosted.exlibrisgroup.com/primo-explore/search?tab=default_tab&amp;search_scope=EVERYTHING&amp;vid=01CRU&amp;lang=en_US&amp;offset=0&amp;query=any,contains,991002657749702656","Catalog Record")</f>
        <v/>
      </c>
      <c r="AT2601">
        <f>HYPERLINK("http://www.worldcat.org/oclc/390168","WorldCat Record")</f>
        <v/>
      </c>
      <c r="AU2601" t="inlineStr">
        <is>
          <t>836713335:eng</t>
        </is>
      </c>
      <c r="AV2601" t="inlineStr">
        <is>
          <t>390168</t>
        </is>
      </c>
      <c r="AW2601" t="inlineStr">
        <is>
          <t>991002657749702656</t>
        </is>
      </c>
      <c r="AX2601" t="inlineStr">
        <is>
          <t>991002657749702656</t>
        </is>
      </c>
      <c r="AY2601" t="inlineStr">
        <is>
          <t>2262185510002656</t>
        </is>
      </c>
      <c r="AZ2601" t="inlineStr">
        <is>
          <t>BOOK</t>
        </is>
      </c>
      <c r="BC2601" t="inlineStr">
        <is>
          <t>32285001067361</t>
        </is>
      </c>
      <c r="BD2601" t="inlineStr">
        <is>
          <t>893704322</t>
        </is>
      </c>
    </row>
    <row r="2602">
      <c r="A2602" t="inlineStr">
        <is>
          <t>No</t>
        </is>
      </c>
      <c r="B2602" t="inlineStr">
        <is>
          <t>BX4827.T53 T44 1987</t>
        </is>
      </c>
      <c r="C2602" t="inlineStr">
        <is>
          <t>0                      BX 4827000T  53                 T  44          1987</t>
        </is>
      </c>
      <c r="D2602" t="inlineStr">
        <is>
          <t>Paul Tillich : theologian of the boundaries / Mark Kline Taylor.</t>
        </is>
      </c>
      <c r="F2602" t="inlineStr">
        <is>
          <t>No</t>
        </is>
      </c>
      <c r="G2602" t="inlineStr">
        <is>
          <t>1</t>
        </is>
      </c>
      <c r="H2602" t="inlineStr">
        <is>
          <t>No</t>
        </is>
      </c>
      <c r="I2602" t="inlineStr">
        <is>
          <t>No</t>
        </is>
      </c>
      <c r="J2602" t="inlineStr">
        <is>
          <t>0</t>
        </is>
      </c>
      <c r="K2602" t="inlineStr">
        <is>
          <t>Taylor, Mark L. (Mark Lewis), 1951-</t>
        </is>
      </c>
      <c r="L2602" t="inlineStr">
        <is>
          <t>London ; San Francisco, CA : Collins, 1987.</t>
        </is>
      </c>
      <c r="M2602" t="inlineStr">
        <is>
          <t>1987</t>
        </is>
      </c>
      <c r="O2602" t="inlineStr">
        <is>
          <t>eng</t>
        </is>
      </c>
      <c r="P2602" t="inlineStr">
        <is>
          <t>enk</t>
        </is>
      </c>
      <c r="Q2602" t="inlineStr">
        <is>
          <t>The Making of modern theology</t>
        </is>
      </c>
      <c r="R2602" t="inlineStr">
        <is>
          <t xml:space="preserve">BX </t>
        </is>
      </c>
      <c r="S2602" t="n">
        <v>2</v>
      </c>
      <c r="T2602" t="n">
        <v>2</v>
      </c>
      <c r="U2602" t="inlineStr">
        <is>
          <t>1995-12-20</t>
        </is>
      </c>
      <c r="V2602" t="inlineStr">
        <is>
          <t>1995-12-20</t>
        </is>
      </c>
      <c r="W2602" t="inlineStr">
        <is>
          <t>1990-04-17</t>
        </is>
      </c>
      <c r="X2602" t="inlineStr">
        <is>
          <t>1990-04-17</t>
        </is>
      </c>
      <c r="Y2602" t="n">
        <v>419</v>
      </c>
      <c r="Z2602" t="n">
        <v>342</v>
      </c>
      <c r="AA2602" t="n">
        <v>463</v>
      </c>
      <c r="AB2602" t="n">
        <v>3</v>
      </c>
      <c r="AC2602" t="n">
        <v>4</v>
      </c>
      <c r="AD2602" t="n">
        <v>25</v>
      </c>
      <c r="AE2602" t="n">
        <v>30</v>
      </c>
      <c r="AF2602" t="n">
        <v>12</v>
      </c>
      <c r="AG2602" t="n">
        <v>12</v>
      </c>
      <c r="AH2602" t="n">
        <v>3</v>
      </c>
      <c r="AI2602" t="n">
        <v>4</v>
      </c>
      <c r="AJ2602" t="n">
        <v>16</v>
      </c>
      <c r="AK2602" t="n">
        <v>19</v>
      </c>
      <c r="AL2602" t="n">
        <v>1</v>
      </c>
      <c r="AM2602" t="n">
        <v>2</v>
      </c>
      <c r="AN2602" t="n">
        <v>0</v>
      </c>
      <c r="AO2602" t="n">
        <v>0</v>
      </c>
      <c r="AP2602" t="inlineStr">
        <is>
          <t>No</t>
        </is>
      </c>
      <c r="AQ2602" t="inlineStr">
        <is>
          <t>Yes</t>
        </is>
      </c>
      <c r="AR2602">
        <f>HYPERLINK("http://catalog.hathitrust.org/Record/002476766","HathiTrust Record")</f>
        <v/>
      </c>
      <c r="AS2602">
        <f>HYPERLINK("https://creighton-primo.hosted.exlibrisgroup.com/primo-explore/search?tab=default_tab&amp;search_scope=EVERYTHING&amp;vid=01CRU&amp;lang=en_US&amp;offset=0&amp;query=any,contains,991001093059702656","Catalog Record")</f>
        <v/>
      </c>
      <c r="AT2602">
        <f>HYPERLINK("http://www.worldcat.org/oclc/16226666","WorldCat Record")</f>
        <v/>
      </c>
      <c r="AU2602" t="inlineStr">
        <is>
          <t>5366960:eng</t>
        </is>
      </c>
      <c r="AV2602" t="inlineStr">
        <is>
          <t>16226666</t>
        </is>
      </c>
      <c r="AW2602" t="inlineStr">
        <is>
          <t>991001093059702656</t>
        </is>
      </c>
      <c r="AX2602" t="inlineStr">
        <is>
          <t>991001093059702656</t>
        </is>
      </c>
      <c r="AY2602" t="inlineStr">
        <is>
          <t>2266325770002656</t>
        </is>
      </c>
      <c r="AZ2602" t="inlineStr">
        <is>
          <t>BOOK</t>
        </is>
      </c>
      <c r="BB2602" t="inlineStr">
        <is>
          <t>9780005999783</t>
        </is>
      </c>
      <c r="BC2602" t="inlineStr">
        <is>
          <t>32285000103225</t>
        </is>
      </c>
      <c r="BD2602" t="inlineStr">
        <is>
          <t>893426315</t>
        </is>
      </c>
    </row>
    <row r="2603">
      <c r="A2603" t="inlineStr">
        <is>
          <t>No</t>
        </is>
      </c>
      <c r="B2603" t="inlineStr">
        <is>
          <t>BX4827.T53 T485 1984</t>
        </is>
      </c>
      <c r="C2603" t="inlineStr">
        <is>
          <t>0                      BX 4827000T  53                 T  485         1984</t>
        </is>
      </c>
      <c r="D2603" t="inlineStr">
        <is>
          <t>Theonomy and autonomy : studies in Paul Tillich's engagement with modern culture / edited by John J. Carey.</t>
        </is>
      </c>
      <c r="F2603" t="inlineStr">
        <is>
          <t>No</t>
        </is>
      </c>
      <c r="G2603" t="inlineStr">
        <is>
          <t>1</t>
        </is>
      </c>
      <c r="H2603" t="inlineStr">
        <is>
          <t>No</t>
        </is>
      </c>
      <c r="I2603" t="inlineStr">
        <is>
          <t>No</t>
        </is>
      </c>
      <c r="J2603" t="inlineStr">
        <is>
          <t>0</t>
        </is>
      </c>
      <c r="L2603" t="inlineStr">
        <is>
          <t>Macon, GA : Mercer, c1984.</t>
        </is>
      </c>
      <c r="M2603" t="inlineStr">
        <is>
          <t>1984</t>
        </is>
      </c>
      <c r="O2603" t="inlineStr">
        <is>
          <t>eng</t>
        </is>
      </c>
      <c r="P2603" t="inlineStr">
        <is>
          <t>gau</t>
        </is>
      </c>
      <c r="R2603" t="inlineStr">
        <is>
          <t xml:space="preserve">BX </t>
        </is>
      </c>
      <c r="S2603" t="n">
        <v>2</v>
      </c>
      <c r="T2603" t="n">
        <v>2</v>
      </c>
      <c r="U2603" t="inlineStr">
        <is>
          <t>1996-03-23</t>
        </is>
      </c>
      <c r="V2603" t="inlineStr">
        <is>
          <t>1996-03-23</t>
        </is>
      </c>
      <c r="W2603" t="inlineStr">
        <is>
          <t>1992-04-13</t>
        </is>
      </c>
      <c r="X2603" t="inlineStr">
        <is>
          <t>1992-04-13</t>
        </is>
      </c>
      <c r="Y2603" t="n">
        <v>304</v>
      </c>
      <c r="Z2603" t="n">
        <v>263</v>
      </c>
      <c r="AA2603" t="n">
        <v>265</v>
      </c>
      <c r="AB2603" t="n">
        <v>2</v>
      </c>
      <c r="AC2603" t="n">
        <v>2</v>
      </c>
      <c r="AD2603" t="n">
        <v>15</v>
      </c>
      <c r="AE2603" t="n">
        <v>15</v>
      </c>
      <c r="AF2603" t="n">
        <v>7</v>
      </c>
      <c r="AG2603" t="n">
        <v>7</v>
      </c>
      <c r="AH2603" t="n">
        <v>1</v>
      </c>
      <c r="AI2603" t="n">
        <v>1</v>
      </c>
      <c r="AJ2603" t="n">
        <v>9</v>
      </c>
      <c r="AK2603" t="n">
        <v>9</v>
      </c>
      <c r="AL2603" t="n">
        <v>1</v>
      </c>
      <c r="AM2603" t="n">
        <v>1</v>
      </c>
      <c r="AN2603" t="n">
        <v>0</v>
      </c>
      <c r="AO2603" t="n">
        <v>0</v>
      </c>
      <c r="AP2603" t="inlineStr">
        <is>
          <t>No</t>
        </is>
      </c>
      <c r="AQ2603" t="inlineStr">
        <is>
          <t>Yes</t>
        </is>
      </c>
      <c r="AR2603">
        <f>HYPERLINK("http://catalog.hathitrust.org/Record/000286466","HathiTrust Record")</f>
        <v/>
      </c>
      <c r="AS2603">
        <f>HYPERLINK("https://creighton-primo.hosted.exlibrisgroup.com/primo-explore/search?tab=default_tab&amp;search_scope=EVERYTHING&amp;vid=01CRU&amp;lang=en_US&amp;offset=0&amp;query=any,contains,991000333209702656","Catalog Record")</f>
        <v/>
      </c>
      <c r="AT2603">
        <f>HYPERLINK("http://www.worldcat.org/oclc/10208317","WorldCat Record")</f>
        <v/>
      </c>
      <c r="AU2603" t="inlineStr">
        <is>
          <t>890266472:eng</t>
        </is>
      </c>
      <c r="AV2603" t="inlineStr">
        <is>
          <t>10208317</t>
        </is>
      </c>
      <c r="AW2603" t="inlineStr">
        <is>
          <t>991000333209702656</t>
        </is>
      </c>
      <c r="AX2603" t="inlineStr">
        <is>
          <t>991000333209702656</t>
        </is>
      </c>
      <c r="AY2603" t="inlineStr">
        <is>
          <t>2264377440002656</t>
        </is>
      </c>
      <c r="AZ2603" t="inlineStr">
        <is>
          <t>BOOK</t>
        </is>
      </c>
      <c r="BB2603" t="inlineStr">
        <is>
          <t>9780865541054</t>
        </is>
      </c>
      <c r="BC2603" t="inlineStr">
        <is>
          <t>32285001067411</t>
        </is>
      </c>
      <c r="BD2603" t="inlineStr">
        <is>
          <t>893345557</t>
        </is>
      </c>
    </row>
    <row r="2604">
      <c r="A2604" t="inlineStr">
        <is>
          <t>No</t>
        </is>
      </c>
      <c r="B2604" t="inlineStr">
        <is>
          <t>BX4827.T53 T5 2000</t>
        </is>
      </c>
      <c r="C2604" t="inlineStr">
        <is>
          <t>0                      BX 4827000T  53                 T  5           2000</t>
        </is>
      </c>
      <c r="D2604" t="inlineStr">
        <is>
          <t>Tillich / J. Heywood Thomas.</t>
        </is>
      </c>
      <c r="F2604" t="inlineStr">
        <is>
          <t>No</t>
        </is>
      </c>
      <c r="G2604" t="inlineStr">
        <is>
          <t>1</t>
        </is>
      </c>
      <c r="H2604" t="inlineStr">
        <is>
          <t>No</t>
        </is>
      </c>
      <c r="I2604" t="inlineStr">
        <is>
          <t>No</t>
        </is>
      </c>
      <c r="J2604" t="inlineStr">
        <is>
          <t>0</t>
        </is>
      </c>
      <c r="K2604" t="inlineStr">
        <is>
          <t>Thomas, J. Heywood (John Heywood), 1926-</t>
        </is>
      </c>
      <c r="L2604" t="inlineStr">
        <is>
          <t>New York ; London : Continuum, 2000.</t>
        </is>
      </c>
      <c r="M2604" t="inlineStr">
        <is>
          <t>2000</t>
        </is>
      </c>
      <c r="O2604" t="inlineStr">
        <is>
          <t>eng</t>
        </is>
      </c>
      <c r="P2604" t="inlineStr">
        <is>
          <t>enk</t>
        </is>
      </c>
      <c r="Q2604" t="inlineStr">
        <is>
          <t>Outstanding Christian thinkers</t>
        </is>
      </c>
      <c r="R2604" t="inlineStr">
        <is>
          <t xml:space="preserve">BX </t>
        </is>
      </c>
      <c r="S2604" t="n">
        <v>3</v>
      </c>
      <c r="T2604" t="n">
        <v>3</v>
      </c>
      <c r="U2604" t="inlineStr">
        <is>
          <t>2008-04-12</t>
        </is>
      </c>
      <c r="V2604" t="inlineStr">
        <is>
          <t>2008-04-12</t>
        </is>
      </c>
      <c r="W2604" t="inlineStr">
        <is>
          <t>2001-05-02</t>
        </is>
      </c>
      <c r="X2604" t="inlineStr">
        <is>
          <t>2001-05-02</t>
        </is>
      </c>
      <c r="Y2604" t="n">
        <v>217</v>
      </c>
      <c r="Z2604" t="n">
        <v>157</v>
      </c>
      <c r="AA2604" t="n">
        <v>164</v>
      </c>
      <c r="AB2604" t="n">
        <v>2</v>
      </c>
      <c r="AC2604" t="n">
        <v>2</v>
      </c>
      <c r="AD2604" t="n">
        <v>14</v>
      </c>
      <c r="AE2604" t="n">
        <v>14</v>
      </c>
      <c r="AF2604" t="n">
        <v>6</v>
      </c>
      <c r="AG2604" t="n">
        <v>6</v>
      </c>
      <c r="AH2604" t="n">
        <v>3</v>
      </c>
      <c r="AI2604" t="n">
        <v>3</v>
      </c>
      <c r="AJ2604" t="n">
        <v>8</v>
      </c>
      <c r="AK2604" t="n">
        <v>8</v>
      </c>
      <c r="AL2604" t="n">
        <v>1</v>
      </c>
      <c r="AM2604" t="n">
        <v>1</v>
      </c>
      <c r="AN2604" t="n">
        <v>0</v>
      </c>
      <c r="AO2604" t="n">
        <v>0</v>
      </c>
      <c r="AP2604" t="inlineStr">
        <is>
          <t>No</t>
        </is>
      </c>
      <c r="AQ2604" t="inlineStr">
        <is>
          <t>No</t>
        </is>
      </c>
      <c r="AS2604">
        <f>HYPERLINK("https://creighton-primo.hosted.exlibrisgroup.com/primo-explore/search?tab=default_tab&amp;search_scope=EVERYTHING&amp;vid=01CRU&amp;lang=en_US&amp;offset=0&amp;query=any,contains,991003531039702656","Catalog Record")</f>
        <v/>
      </c>
      <c r="AT2604">
        <f>HYPERLINK("http://www.worldcat.org/oclc/44851671","WorldCat Record")</f>
        <v/>
      </c>
      <c r="AU2604" t="inlineStr">
        <is>
          <t>43627:eng</t>
        </is>
      </c>
      <c r="AV2604" t="inlineStr">
        <is>
          <t>44851671</t>
        </is>
      </c>
      <c r="AW2604" t="inlineStr">
        <is>
          <t>991003531039702656</t>
        </is>
      </c>
      <c r="AX2604" t="inlineStr">
        <is>
          <t>991003531039702656</t>
        </is>
      </c>
      <c r="AY2604" t="inlineStr">
        <is>
          <t>2261611340002656</t>
        </is>
      </c>
      <c r="AZ2604" t="inlineStr">
        <is>
          <t>BOOK</t>
        </is>
      </c>
      <c r="BB2604" t="inlineStr">
        <is>
          <t>9780826450821</t>
        </is>
      </c>
      <c r="BC2604" t="inlineStr">
        <is>
          <t>32285004315940</t>
        </is>
      </c>
      <c r="BD2604" t="inlineStr">
        <is>
          <t>893692805</t>
        </is>
      </c>
    </row>
    <row r="2605">
      <c r="A2605" t="inlineStr">
        <is>
          <t>No</t>
        </is>
      </c>
      <c r="B2605" t="inlineStr">
        <is>
          <t>BX4832.5 .M37 1990</t>
        </is>
      </c>
      <c r="C2605" t="inlineStr">
        <is>
          <t>0                      BX 4832500M  37          1990</t>
        </is>
      </c>
      <c r="D2605" t="inlineStr">
        <is>
          <t>Tongues of fire : the explosion of Protestantism in Latin America / David Martin ; with a foreword by Peter Berger.</t>
        </is>
      </c>
      <c r="F2605" t="inlineStr">
        <is>
          <t>No</t>
        </is>
      </c>
      <c r="G2605" t="inlineStr">
        <is>
          <t>1</t>
        </is>
      </c>
      <c r="H2605" t="inlineStr">
        <is>
          <t>No</t>
        </is>
      </c>
      <c r="I2605" t="inlineStr">
        <is>
          <t>No</t>
        </is>
      </c>
      <c r="J2605" t="inlineStr">
        <is>
          <t>0</t>
        </is>
      </c>
      <c r="K2605" t="inlineStr">
        <is>
          <t>Martin, David, 1929-</t>
        </is>
      </c>
      <c r="L2605" t="inlineStr">
        <is>
          <t>Oxford, UK ; Cambridge, Mass., USA : B. Blackwell, 1990.</t>
        </is>
      </c>
      <c r="M2605" t="inlineStr">
        <is>
          <t>1990</t>
        </is>
      </c>
      <c r="O2605" t="inlineStr">
        <is>
          <t>eng</t>
        </is>
      </c>
      <c r="P2605" t="inlineStr">
        <is>
          <t>enk</t>
        </is>
      </c>
      <c r="R2605" t="inlineStr">
        <is>
          <t xml:space="preserve">BX </t>
        </is>
      </c>
      <c r="S2605" t="n">
        <v>3</v>
      </c>
      <c r="T2605" t="n">
        <v>3</v>
      </c>
      <c r="U2605" t="inlineStr">
        <is>
          <t>2003-10-18</t>
        </is>
      </c>
      <c r="V2605" t="inlineStr">
        <is>
          <t>2003-10-18</t>
        </is>
      </c>
      <c r="W2605" t="inlineStr">
        <is>
          <t>1993-08-16</t>
        </is>
      </c>
      <c r="X2605" t="inlineStr">
        <is>
          <t>1993-08-16</t>
        </is>
      </c>
      <c r="Y2605" t="n">
        <v>715</v>
      </c>
      <c r="Z2605" t="n">
        <v>579</v>
      </c>
      <c r="AA2605" t="n">
        <v>670</v>
      </c>
      <c r="AB2605" t="n">
        <v>2</v>
      </c>
      <c r="AC2605" t="n">
        <v>2</v>
      </c>
      <c r="AD2605" t="n">
        <v>28</v>
      </c>
      <c r="AE2605" t="n">
        <v>34</v>
      </c>
      <c r="AF2605" t="n">
        <v>12</v>
      </c>
      <c r="AG2605" t="n">
        <v>14</v>
      </c>
      <c r="AH2605" t="n">
        <v>6</v>
      </c>
      <c r="AI2605" t="n">
        <v>6</v>
      </c>
      <c r="AJ2605" t="n">
        <v>16</v>
      </c>
      <c r="AK2605" t="n">
        <v>21</v>
      </c>
      <c r="AL2605" t="n">
        <v>1</v>
      </c>
      <c r="AM2605" t="n">
        <v>1</v>
      </c>
      <c r="AN2605" t="n">
        <v>0</v>
      </c>
      <c r="AO2605" t="n">
        <v>0</v>
      </c>
      <c r="AP2605" t="inlineStr">
        <is>
          <t>No</t>
        </is>
      </c>
      <c r="AQ2605" t="inlineStr">
        <is>
          <t>No</t>
        </is>
      </c>
      <c r="AS2605">
        <f>HYPERLINK("https://creighton-primo.hosted.exlibrisgroup.com/primo-explore/search?tab=default_tab&amp;search_scope=EVERYTHING&amp;vid=01CRU&amp;lang=en_US&amp;offset=0&amp;query=any,contains,991001519149702656","Catalog Record")</f>
        <v/>
      </c>
      <c r="AT2605">
        <f>HYPERLINK("http://www.worldcat.org/oclc/19970870","WorldCat Record")</f>
        <v/>
      </c>
      <c r="AU2605" t="inlineStr">
        <is>
          <t>836710940:eng</t>
        </is>
      </c>
      <c r="AV2605" t="inlineStr">
        <is>
          <t>19970870</t>
        </is>
      </c>
      <c r="AW2605" t="inlineStr">
        <is>
          <t>991001519149702656</t>
        </is>
      </c>
      <c r="AX2605" t="inlineStr">
        <is>
          <t>991001519149702656</t>
        </is>
      </c>
      <c r="AY2605" t="inlineStr">
        <is>
          <t>2261946150002656</t>
        </is>
      </c>
      <c r="AZ2605" t="inlineStr">
        <is>
          <t>BOOK</t>
        </is>
      </c>
      <c r="BB2605" t="inlineStr">
        <is>
          <t>9780631171867</t>
        </is>
      </c>
      <c r="BC2605" t="inlineStr">
        <is>
          <t>32285001726818</t>
        </is>
      </c>
      <c r="BD2605" t="inlineStr">
        <is>
          <t>893328177</t>
        </is>
      </c>
    </row>
    <row r="2606">
      <c r="A2606" t="inlineStr">
        <is>
          <t>No</t>
        </is>
      </c>
      <c r="B2606" t="inlineStr">
        <is>
          <t>BX4832.5 .R48 1993</t>
        </is>
      </c>
      <c r="C2606" t="inlineStr">
        <is>
          <t>0                      BX 4832500R  48          1993</t>
        </is>
      </c>
      <c r="D2606" t="inlineStr">
        <is>
          <t>Rethinking Protestantism in Latin America / edited by Virginia Garrard-Burnett, David Stoll.</t>
        </is>
      </c>
      <c r="F2606" t="inlineStr">
        <is>
          <t>No</t>
        </is>
      </c>
      <c r="G2606" t="inlineStr">
        <is>
          <t>1</t>
        </is>
      </c>
      <c r="H2606" t="inlineStr">
        <is>
          <t>No</t>
        </is>
      </c>
      <c r="I2606" t="inlineStr">
        <is>
          <t>No</t>
        </is>
      </c>
      <c r="J2606" t="inlineStr">
        <is>
          <t>0</t>
        </is>
      </c>
      <c r="L2606" t="inlineStr">
        <is>
          <t>Philadelphia : Temple University Press, 1993.</t>
        </is>
      </c>
      <c r="M2606" t="inlineStr">
        <is>
          <t>1993</t>
        </is>
      </c>
      <c r="O2606" t="inlineStr">
        <is>
          <t>eng</t>
        </is>
      </c>
      <c r="P2606" t="inlineStr">
        <is>
          <t>pau</t>
        </is>
      </c>
      <c r="R2606" t="inlineStr">
        <is>
          <t xml:space="preserve">BX </t>
        </is>
      </c>
      <c r="S2606" t="n">
        <v>4</v>
      </c>
      <c r="T2606" t="n">
        <v>4</v>
      </c>
      <c r="U2606" t="inlineStr">
        <is>
          <t>2005-11-17</t>
        </is>
      </c>
      <c r="V2606" t="inlineStr">
        <is>
          <t>2005-11-17</t>
        </is>
      </c>
      <c r="W2606" t="inlineStr">
        <is>
          <t>2003-05-28</t>
        </is>
      </c>
      <c r="X2606" t="inlineStr">
        <is>
          <t>2003-05-28</t>
        </is>
      </c>
      <c r="Y2606" t="n">
        <v>442</v>
      </c>
      <c r="Z2606" t="n">
        <v>370</v>
      </c>
      <c r="AA2606" t="n">
        <v>375</v>
      </c>
      <c r="AB2606" t="n">
        <v>3</v>
      </c>
      <c r="AC2606" t="n">
        <v>3</v>
      </c>
      <c r="AD2606" t="n">
        <v>23</v>
      </c>
      <c r="AE2606" t="n">
        <v>23</v>
      </c>
      <c r="AF2606" t="n">
        <v>5</v>
      </c>
      <c r="AG2606" t="n">
        <v>5</v>
      </c>
      <c r="AH2606" t="n">
        <v>7</v>
      </c>
      <c r="AI2606" t="n">
        <v>7</v>
      </c>
      <c r="AJ2606" t="n">
        <v>15</v>
      </c>
      <c r="AK2606" t="n">
        <v>15</v>
      </c>
      <c r="AL2606" t="n">
        <v>2</v>
      </c>
      <c r="AM2606" t="n">
        <v>2</v>
      </c>
      <c r="AN2606" t="n">
        <v>0</v>
      </c>
      <c r="AO2606" t="n">
        <v>0</v>
      </c>
      <c r="AP2606" t="inlineStr">
        <is>
          <t>No</t>
        </is>
      </c>
      <c r="AQ2606" t="inlineStr">
        <is>
          <t>No</t>
        </is>
      </c>
      <c r="AS2606">
        <f>HYPERLINK("https://creighton-primo.hosted.exlibrisgroup.com/primo-explore/search?tab=default_tab&amp;search_scope=EVERYTHING&amp;vid=01CRU&amp;lang=en_US&amp;offset=0&amp;query=any,contains,991004064019702656","Catalog Record")</f>
        <v/>
      </c>
      <c r="AT2606">
        <f>HYPERLINK("http://www.worldcat.org/oclc/27339228","WorldCat Record")</f>
        <v/>
      </c>
      <c r="AU2606" t="inlineStr">
        <is>
          <t>390214:eng</t>
        </is>
      </c>
      <c r="AV2606" t="inlineStr">
        <is>
          <t>27339228</t>
        </is>
      </c>
      <c r="AW2606" t="inlineStr">
        <is>
          <t>991004064019702656</t>
        </is>
      </c>
      <c r="AX2606" t="inlineStr">
        <is>
          <t>991004064019702656</t>
        </is>
      </c>
      <c r="AY2606" t="inlineStr">
        <is>
          <t>2267112870002656</t>
        </is>
      </c>
      <c r="AZ2606" t="inlineStr">
        <is>
          <t>BOOK</t>
        </is>
      </c>
      <c r="BB2606" t="inlineStr">
        <is>
          <t>9781566391023</t>
        </is>
      </c>
      <c r="BC2606" t="inlineStr">
        <is>
          <t>32285004749072</t>
        </is>
      </c>
      <c r="BD2606" t="inlineStr">
        <is>
          <t>893900754</t>
        </is>
      </c>
    </row>
    <row r="2607">
      <c r="A2607" t="inlineStr">
        <is>
          <t>No</t>
        </is>
      </c>
      <c r="B2607" t="inlineStr">
        <is>
          <t>BX4833.5 .H35 1996</t>
        </is>
      </c>
      <c r="C2607" t="inlineStr">
        <is>
          <t>0                      BX 4833500H  35          1996</t>
        </is>
      </c>
      <c r="D2607" t="inlineStr">
        <is>
          <t>Beyond missionaries : toward an understanding of the Protestant movement in Central America / Anne Motley Hallum.</t>
        </is>
      </c>
      <c r="F2607" t="inlineStr">
        <is>
          <t>No</t>
        </is>
      </c>
      <c r="G2607" t="inlineStr">
        <is>
          <t>1</t>
        </is>
      </c>
      <c r="H2607" t="inlineStr">
        <is>
          <t>No</t>
        </is>
      </c>
      <c r="I2607" t="inlineStr">
        <is>
          <t>No</t>
        </is>
      </c>
      <c r="J2607" t="inlineStr">
        <is>
          <t>0</t>
        </is>
      </c>
      <c r="K2607" t="inlineStr">
        <is>
          <t>Hallum, Anne Motley.</t>
        </is>
      </c>
      <c r="L2607" t="inlineStr">
        <is>
          <t>Lanham, Md. : Rowman &amp; Littlefield Publishers, Inc. c1996.</t>
        </is>
      </c>
      <c r="M2607" t="inlineStr">
        <is>
          <t>1996</t>
        </is>
      </c>
      <c r="O2607" t="inlineStr">
        <is>
          <t>eng</t>
        </is>
      </c>
      <c r="P2607" t="inlineStr">
        <is>
          <t>mdu</t>
        </is>
      </c>
      <c r="Q2607" t="inlineStr">
        <is>
          <t>Religious forces in the modern political world</t>
        </is>
      </c>
      <c r="R2607" t="inlineStr">
        <is>
          <t xml:space="preserve">BX </t>
        </is>
      </c>
      <c r="S2607" t="n">
        <v>3</v>
      </c>
      <c r="T2607" t="n">
        <v>3</v>
      </c>
      <c r="U2607" t="inlineStr">
        <is>
          <t>2003-10-18</t>
        </is>
      </c>
      <c r="V2607" t="inlineStr">
        <is>
          <t>2003-10-18</t>
        </is>
      </c>
      <c r="W2607" t="inlineStr">
        <is>
          <t>1997-01-13</t>
        </is>
      </c>
      <c r="X2607" t="inlineStr">
        <is>
          <t>1997-01-13</t>
        </is>
      </c>
      <c r="Y2607" t="n">
        <v>369</v>
      </c>
      <c r="Z2607" t="n">
        <v>324</v>
      </c>
      <c r="AA2607" t="n">
        <v>330</v>
      </c>
      <c r="AB2607" t="n">
        <v>4</v>
      </c>
      <c r="AC2607" t="n">
        <v>4</v>
      </c>
      <c r="AD2607" t="n">
        <v>22</v>
      </c>
      <c r="AE2607" t="n">
        <v>22</v>
      </c>
      <c r="AF2607" t="n">
        <v>9</v>
      </c>
      <c r="AG2607" t="n">
        <v>9</v>
      </c>
      <c r="AH2607" t="n">
        <v>4</v>
      </c>
      <c r="AI2607" t="n">
        <v>4</v>
      </c>
      <c r="AJ2607" t="n">
        <v>9</v>
      </c>
      <c r="AK2607" t="n">
        <v>9</v>
      </c>
      <c r="AL2607" t="n">
        <v>3</v>
      </c>
      <c r="AM2607" t="n">
        <v>3</v>
      </c>
      <c r="AN2607" t="n">
        <v>0</v>
      </c>
      <c r="AO2607" t="n">
        <v>0</v>
      </c>
      <c r="AP2607" t="inlineStr">
        <is>
          <t>No</t>
        </is>
      </c>
      <c r="AQ2607" t="inlineStr">
        <is>
          <t>Yes</t>
        </is>
      </c>
      <c r="AR2607">
        <f>HYPERLINK("http://catalog.hathitrust.org/Record/003099814","HathiTrust Record")</f>
        <v/>
      </c>
      <c r="AS2607">
        <f>HYPERLINK("https://creighton-primo.hosted.exlibrisgroup.com/primo-explore/search?tab=default_tab&amp;search_scope=EVERYTHING&amp;vid=01CRU&amp;lang=en_US&amp;offset=0&amp;query=any,contains,991002660379702656","Catalog Record")</f>
        <v/>
      </c>
      <c r="AT2607">
        <f>HYPERLINK("http://www.worldcat.org/oclc/34772253","WorldCat Record")</f>
        <v/>
      </c>
      <c r="AU2607" t="inlineStr">
        <is>
          <t>340415061:eng</t>
        </is>
      </c>
      <c r="AV2607" t="inlineStr">
        <is>
          <t>34772253</t>
        </is>
      </c>
      <c r="AW2607" t="inlineStr">
        <is>
          <t>991002660379702656</t>
        </is>
      </c>
      <c r="AX2607" t="inlineStr">
        <is>
          <t>991002660379702656</t>
        </is>
      </c>
      <c r="AY2607" t="inlineStr">
        <is>
          <t>2263264090002656</t>
        </is>
      </c>
      <c r="AZ2607" t="inlineStr">
        <is>
          <t>BOOK</t>
        </is>
      </c>
      <c r="BB2607" t="inlineStr">
        <is>
          <t>9780847682973</t>
        </is>
      </c>
      <c r="BC2607" t="inlineStr">
        <is>
          <t>32285002406469</t>
        </is>
      </c>
      <c r="BD2607" t="inlineStr">
        <is>
          <t>893233242</t>
        </is>
      </c>
    </row>
    <row r="2608">
      <c r="A2608" t="inlineStr">
        <is>
          <t>No</t>
        </is>
      </c>
      <c r="B2608" t="inlineStr">
        <is>
          <t>BX4837 .P76 1992</t>
        </is>
      </c>
      <c r="C2608" t="inlineStr">
        <is>
          <t>0                      BX 4837000P  76          1992</t>
        </is>
      </c>
      <c r="D2608" t="inlineStr">
        <is>
          <t>Protestantism and politics in eastern Europe and Russia : the communist and postcommunist eras / edited by Sabrina Petra Ramet.</t>
        </is>
      </c>
      <c r="F2608" t="inlineStr">
        <is>
          <t>No</t>
        </is>
      </c>
      <c r="G2608" t="inlineStr">
        <is>
          <t>1</t>
        </is>
      </c>
      <c r="H2608" t="inlineStr">
        <is>
          <t>No</t>
        </is>
      </c>
      <c r="I2608" t="inlineStr">
        <is>
          <t>No</t>
        </is>
      </c>
      <c r="J2608" t="inlineStr">
        <is>
          <t>0</t>
        </is>
      </c>
      <c r="L2608" t="inlineStr">
        <is>
          <t>Durham, N.C. : Duke University Press, 1992.</t>
        </is>
      </c>
      <c r="M2608" t="inlineStr">
        <is>
          <t>1992</t>
        </is>
      </c>
      <c r="O2608" t="inlineStr">
        <is>
          <t>eng</t>
        </is>
      </c>
      <c r="P2608" t="inlineStr">
        <is>
          <t>ncu</t>
        </is>
      </c>
      <c r="Q2608" t="inlineStr">
        <is>
          <t>Christianity under stress ; v. 3</t>
        </is>
      </c>
      <c r="R2608" t="inlineStr">
        <is>
          <t xml:space="preserve">BX </t>
        </is>
      </c>
      <c r="S2608" t="n">
        <v>1</v>
      </c>
      <c r="T2608" t="n">
        <v>1</v>
      </c>
      <c r="U2608" t="inlineStr">
        <is>
          <t>2002-11-10</t>
        </is>
      </c>
      <c r="V2608" t="inlineStr">
        <is>
          <t>2002-11-10</t>
        </is>
      </c>
      <c r="W2608" t="inlineStr">
        <is>
          <t>1999-11-15</t>
        </is>
      </c>
      <c r="X2608" t="inlineStr">
        <is>
          <t>1999-11-15</t>
        </is>
      </c>
      <c r="Y2608" t="n">
        <v>286</v>
      </c>
      <c r="Z2608" t="n">
        <v>213</v>
      </c>
      <c r="AA2608" t="n">
        <v>218</v>
      </c>
      <c r="AB2608" t="n">
        <v>2</v>
      </c>
      <c r="AC2608" t="n">
        <v>2</v>
      </c>
      <c r="AD2608" t="n">
        <v>12</v>
      </c>
      <c r="AE2608" t="n">
        <v>12</v>
      </c>
      <c r="AF2608" t="n">
        <v>4</v>
      </c>
      <c r="AG2608" t="n">
        <v>4</v>
      </c>
      <c r="AH2608" t="n">
        <v>2</v>
      </c>
      <c r="AI2608" t="n">
        <v>2</v>
      </c>
      <c r="AJ2608" t="n">
        <v>10</v>
      </c>
      <c r="AK2608" t="n">
        <v>10</v>
      </c>
      <c r="AL2608" t="n">
        <v>1</v>
      </c>
      <c r="AM2608" t="n">
        <v>1</v>
      </c>
      <c r="AN2608" t="n">
        <v>0</v>
      </c>
      <c r="AO2608" t="n">
        <v>0</v>
      </c>
      <c r="AP2608" t="inlineStr">
        <is>
          <t>No</t>
        </is>
      </c>
      <c r="AQ2608" t="inlineStr">
        <is>
          <t>No</t>
        </is>
      </c>
      <c r="AS2608">
        <f>HYPERLINK("https://creighton-primo.hosted.exlibrisgroup.com/primo-explore/search?tab=default_tab&amp;search_scope=EVERYTHING&amp;vid=01CRU&amp;lang=en_US&amp;offset=0&amp;query=any,contains,991002010159702656","Catalog Record")</f>
        <v/>
      </c>
      <c r="AT2608">
        <f>HYPERLINK("http://www.worldcat.org/oclc/25550324","WorldCat Record")</f>
        <v/>
      </c>
      <c r="AU2608" t="inlineStr">
        <is>
          <t>836885857:eng</t>
        </is>
      </c>
      <c r="AV2608" t="inlineStr">
        <is>
          <t>25550324</t>
        </is>
      </c>
      <c r="AW2608" t="inlineStr">
        <is>
          <t>991002010159702656</t>
        </is>
      </c>
      <c r="AX2608" t="inlineStr">
        <is>
          <t>991002010159702656</t>
        </is>
      </c>
      <c r="AY2608" t="inlineStr">
        <is>
          <t>2265565250002656</t>
        </is>
      </c>
      <c r="AZ2608" t="inlineStr">
        <is>
          <t>BOOK</t>
        </is>
      </c>
      <c r="BB2608" t="inlineStr">
        <is>
          <t>9780822312413</t>
        </is>
      </c>
      <c r="BC2608" t="inlineStr">
        <is>
          <t>32285003621835</t>
        </is>
      </c>
      <c r="BD2608" t="inlineStr">
        <is>
          <t>893773114</t>
        </is>
      </c>
    </row>
    <row r="2609">
      <c r="A2609" t="inlineStr">
        <is>
          <t>No</t>
        </is>
      </c>
      <c r="B2609" t="inlineStr">
        <is>
          <t>BX4844 .B53 1972</t>
        </is>
      </c>
      <c r="C2609" t="inlineStr">
        <is>
          <t>0                      BX 4844000B  53          1972</t>
        </is>
      </c>
      <c r="D2609" t="inlineStr">
        <is>
          <t>The politics of German Protestantism : the rise of the Protestant Church elite in Prussia, 1815-1848 / [by] Robert M. Bigler.</t>
        </is>
      </c>
      <c r="F2609" t="inlineStr">
        <is>
          <t>No</t>
        </is>
      </c>
      <c r="G2609" t="inlineStr">
        <is>
          <t>1</t>
        </is>
      </c>
      <c r="H2609" t="inlineStr">
        <is>
          <t>No</t>
        </is>
      </c>
      <c r="I2609" t="inlineStr">
        <is>
          <t>No</t>
        </is>
      </c>
      <c r="J2609" t="inlineStr">
        <is>
          <t>0</t>
        </is>
      </c>
      <c r="K2609" t="inlineStr">
        <is>
          <t>Bigler, Robert M.</t>
        </is>
      </c>
      <c r="L2609" t="inlineStr">
        <is>
          <t>Berkeley, University of California Press [1972]</t>
        </is>
      </c>
      <c r="M2609" t="inlineStr">
        <is>
          <t>1972</t>
        </is>
      </c>
      <c r="O2609" t="inlineStr">
        <is>
          <t>eng</t>
        </is>
      </c>
      <c r="P2609" t="inlineStr">
        <is>
          <t>cau</t>
        </is>
      </c>
      <c r="R2609" t="inlineStr">
        <is>
          <t xml:space="preserve">BX </t>
        </is>
      </c>
      <c r="S2609" t="n">
        <v>2</v>
      </c>
      <c r="T2609" t="n">
        <v>2</v>
      </c>
      <c r="U2609" t="inlineStr">
        <is>
          <t>2001-03-05</t>
        </is>
      </c>
      <c r="V2609" t="inlineStr">
        <is>
          <t>2001-03-05</t>
        </is>
      </c>
      <c r="W2609" t="inlineStr">
        <is>
          <t>1992-04-13</t>
        </is>
      </c>
      <c r="X2609" t="inlineStr">
        <is>
          <t>1992-04-13</t>
        </is>
      </c>
      <c r="Y2609" t="n">
        <v>643</v>
      </c>
      <c r="Z2609" t="n">
        <v>494</v>
      </c>
      <c r="AA2609" t="n">
        <v>508</v>
      </c>
      <c r="AB2609" t="n">
        <v>4</v>
      </c>
      <c r="AC2609" t="n">
        <v>4</v>
      </c>
      <c r="AD2609" t="n">
        <v>25</v>
      </c>
      <c r="AE2609" t="n">
        <v>25</v>
      </c>
      <c r="AF2609" t="n">
        <v>10</v>
      </c>
      <c r="AG2609" t="n">
        <v>10</v>
      </c>
      <c r="AH2609" t="n">
        <v>6</v>
      </c>
      <c r="AI2609" t="n">
        <v>6</v>
      </c>
      <c r="AJ2609" t="n">
        <v>15</v>
      </c>
      <c r="AK2609" t="n">
        <v>15</v>
      </c>
      <c r="AL2609" t="n">
        <v>3</v>
      </c>
      <c r="AM2609" t="n">
        <v>3</v>
      </c>
      <c r="AN2609" t="n">
        <v>0</v>
      </c>
      <c r="AO2609" t="n">
        <v>0</v>
      </c>
      <c r="AP2609" t="inlineStr">
        <is>
          <t>No</t>
        </is>
      </c>
      <c r="AQ2609" t="inlineStr">
        <is>
          <t>Yes</t>
        </is>
      </c>
      <c r="AR2609">
        <f>HYPERLINK("http://catalog.hathitrust.org/Record/001592512","HathiTrust Record")</f>
        <v/>
      </c>
      <c r="AS2609">
        <f>HYPERLINK("https://creighton-primo.hosted.exlibrisgroup.com/primo-explore/search?tab=default_tab&amp;search_scope=EVERYTHING&amp;vid=01CRU&amp;lang=en_US&amp;offset=0&amp;query=any,contains,991002887209702656","Catalog Record")</f>
        <v/>
      </c>
      <c r="AT2609">
        <f>HYPERLINK("http://www.worldcat.org/oclc/509364","WorldCat Record")</f>
        <v/>
      </c>
      <c r="AU2609" t="inlineStr">
        <is>
          <t>887961967:eng</t>
        </is>
      </c>
      <c r="AV2609" t="inlineStr">
        <is>
          <t>509364</t>
        </is>
      </c>
      <c r="AW2609" t="inlineStr">
        <is>
          <t>991002887209702656</t>
        </is>
      </c>
      <c r="AX2609" t="inlineStr">
        <is>
          <t>991002887209702656</t>
        </is>
      </c>
      <c r="AY2609" t="inlineStr">
        <is>
          <t>2261700570002656</t>
        </is>
      </c>
      <c r="AZ2609" t="inlineStr">
        <is>
          <t>BOOK</t>
        </is>
      </c>
      <c r="BB2609" t="inlineStr">
        <is>
          <t>9780520018815</t>
        </is>
      </c>
      <c r="BC2609" t="inlineStr">
        <is>
          <t>32285001067478</t>
        </is>
      </c>
      <c r="BD2609" t="inlineStr">
        <is>
          <t>893409676</t>
        </is>
      </c>
    </row>
    <row r="2610">
      <c r="A2610" t="inlineStr">
        <is>
          <t>No</t>
        </is>
      </c>
      <c r="B2610" t="inlineStr">
        <is>
          <t>BX485 .F4</t>
        </is>
      </c>
      <c r="C2610" t="inlineStr">
        <is>
          <t>0                      BX 0485000F  4</t>
        </is>
      </c>
      <c r="D2610" t="inlineStr">
        <is>
          <t>The Russian religious mind.</t>
        </is>
      </c>
      <c r="E2610" t="inlineStr">
        <is>
          <t>V. 2</t>
        </is>
      </c>
      <c r="F2610" t="inlineStr">
        <is>
          <t>Yes</t>
        </is>
      </c>
      <c r="G2610" t="inlineStr">
        <is>
          <t>1</t>
        </is>
      </c>
      <c r="H2610" t="inlineStr">
        <is>
          <t>No</t>
        </is>
      </c>
      <c r="I2610" t="inlineStr">
        <is>
          <t>No</t>
        </is>
      </c>
      <c r="J2610" t="inlineStr">
        <is>
          <t>0</t>
        </is>
      </c>
      <c r="K2610" t="inlineStr">
        <is>
          <t>Fedotov, G. P. (Georgiĭ Petrovich), 1886-1951.</t>
        </is>
      </c>
      <c r="L2610" t="inlineStr">
        <is>
          <t>Cambridge : Harvard University Press, 1946-66.</t>
        </is>
      </c>
      <c r="M2610" t="inlineStr">
        <is>
          <t>1946</t>
        </is>
      </c>
      <c r="O2610" t="inlineStr">
        <is>
          <t>eng</t>
        </is>
      </c>
      <c r="P2610" t="inlineStr">
        <is>
          <t xml:space="preserve">xx </t>
        </is>
      </c>
      <c r="R2610" t="inlineStr">
        <is>
          <t xml:space="preserve">BX </t>
        </is>
      </c>
      <c r="S2610" t="n">
        <v>4</v>
      </c>
      <c r="T2610" t="n">
        <v>9</v>
      </c>
      <c r="U2610" t="inlineStr">
        <is>
          <t>1996-04-24</t>
        </is>
      </c>
      <c r="V2610" t="inlineStr">
        <is>
          <t>2002-11-10</t>
        </is>
      </c>
      <c r="W2610" t="inlineStr">
        <is>
          <t>1992-04-10</t>
        </is>
      </c>
      <c r="X2610" t="inlineStr">
        <is>
          <t>1992-04-10</t>
        </is>
      </c>
      <c r="Y2610" t="n">
        <v>756</v>
      </c>
      <c r="Z2610" t="n">
        <v>682</v>
      </c>
      <c r="AA2610" t="n">
        <v>800</v>
      </c>
      <c r="AB2610" t="n">
        <v>7</v>
      </c>
      <c r="AC2610" t="n">
        <v>8</v>
      </c>
      <c r="AD2610" t="n">
        <v>33</v>
      </c>
      <c r="AE2610" t="n">
        <v>39</v>
      </c>
      <c r="AF2610" t="n">
        <v>14</v>
      </c>
      <c r="AG2610" t="n">
        <v>14</v>
      </c>
      <c r="AH2610" t="n">
        <v>6</v>
      </c>
      <c r="AI2610" t="n">
        <v>7</v>
      </c>
      <c r="AJ2610" t="n">
        <v>16</v>
      </c>
      <c r="AK2610" t="n">
        <v>21</v>
      </c>
      <c r="AL2610" t="n">
        <v>6</v>
      </c>
      <c r="AM2610" t="n">
        <v>7</v>
      </c>
      <c r="AN2610" t="n">
        <v>0</v>
      </c>
      <c r="AO2610" t="n">
        <v>0</v>
      </c>
      <c r="AP2610" t="inlineStr">
        <is>
          <t>No</t>
        </is>
      </c>
      <c r="AQ2610" t="inlineStr">
        <is>
          <t>Yes</t>
        </is>
      </c>
      <c r="AR2610">
        <f>HYPERLINK("http://catalog.hathitrust.org/Record/000315024","HathiTrust Record")</f>
        <v/>
      </c>
      <c r="AS2610">
        <f>HYPERLINK("https://creighton-primo.hosted.exlibrisgroup.com/primo-explore/search?tab=default_tab&amp;search_scope=EVERYTHING&amp;vid=01CRU&amp;lang=en_US&amp;offset=0&amp;query=any,contains,991002650999702656","Catalog Record")</f>
        <v/>
      </c>
      <c r="AT2610">
        <f>HYPERLINK("http://www.worldcat.org/oclc/387152","WorldCat Record")</f>
        <v/>
      </c>
      <c r="AU2610" t="inlineStr">
        <is>
          <t>5534412212:eng</t>
        </is>
      </c>
      <c r="AV2610" t="inlineStr">
        <is>
          <t>387152</t>
        </is>
      </c>
      <c r="AW2610" t="inlineStr">
        <is>
          <t>991002650999702656</t>
        </is>
      </c>
      <c r="AX2610" t="inlineStr">
        <is>
          <t>991002650999702656</t>
        </is>
      </c>
      <c r="AY2610" t="inlineStr">
        <is>
          <t>2258228850002656</t>
        </is>
      </c>
      <c r="AZ2610" t="inlineStr">
        <is>
          <t>BOOK</t>
        </is>
      </c>
      <c r="BC2610" t="inlineStr">
        <is>
          <t>32285001018034</t>
        </is>
      </c>
      <c r="BD2610" t="inlineStr">
        <is>
          <t>893792721</t>
        </is>
      </c>
    </row>
    <row r="2611">
      <c r="A2611" t="inlineStr">
        <is>
          <t>No</t>
        </is>
      </c>
      <c r="B2611" t="inlineStr">
        <is>
          <t>BX485 .F4</t>
        </is>
      </c>
      <c r="C2611" t="inlineStr">
        <is>
          <t>0                      BX 0485000F  4</t>
        </is>
      </c>
      <c r="D2611" t="inlineStr">
        <is>
          <t>The Russian religious mind.</t>
        </is>
      </c>
      <c r="E2611" t="inlineStr">
        <is>
          <t>V. 1</t>
        </is>
      </c>
      <c r="F2611" t="inlineStr">
        <is>
          <t>Yes</t>
        </is>
      </c>
      <c r="G2611" t="inlineStr">
        <is>
          <t>1</t>
        </is>
      </c>
      <c r="H2611" t="inlineStr">
        <is>
          <t>No</t>
        </is>
      </c>
      <c r="I2611" t="inlineStr">
        <is>
          <t>No</t>
        </is>
      </c>
      <c r="J2611" t="inlineStr">
        <is>
          <t>0</t>
        </is>
      </c>
      <c r="K2611" t="inlineStr">
        <is>
          <t>Fedotov, G. P. (Georgiĭ Petrovich), 1886-1951.</t>
        </is>
      </c>
      <c r="L2611" t="inlineStr">
        <is>
          <t>Cambridge : Harvard University Press, 1946-66.</t>
        </is>
      </c>
      <c r="M2611" t="inlineStr">
        <is>
          <t>1946</t>
        </is>
      </c>
      <c r="O2611" t="inlineStr">
        <is>
          <t>eng</t>
        </is>
      </c>
      <c r="P2611" t="inlineStr">
        <is>
          <t xml:space="preserve">xx </t>
        </is>
      </c>
      <c r="R2611" t="inlineStr">
        <is>
          <t xml:space="preserve">BX </t>
        </is>
      </c>
      <c r="S2611" t="n">
        <v>5</v>
      </c>
      <c r="T2611" t="n">
        <v>9</v>
      </c>
      <c r="U2611" t="inlineStr">
        <is>
          <t>2002-11-10</t>
        </is>
      </c>
      <c r="V2611" t="inlineStr">
        <is>
          <t>2002-11-10</t>
        </is>
      </c>
      <c r="W2611" t="inlineStr">
        <is>
          <t>1992-04-10</t>
        </is>
      </c>
      <c r="X2611" t="inlineStr">
        <is>
          <t>1992-04-10</t>
        </is>
      </c>
      <c r="Y2611" t="n">
        <v>756</v>
      </c>
      <c r="Z2611" t="n">
        <v>682</v>
      </c>
      <c r="AA2611" t="n">
        <v>800</v>
      </c>
      <c r="AB2611" t="n">
        <v>7</v>
      </c>
      <c r="AC2611" t="n">
        <v>8</v>
      </c>
      <c r="AD2611" t="n">
        <v>33</v>
      </c>
      <c r="AE2611" t="n">
        <v>39</v>
      </c>
      <c r="AF2611" t="n">
        <v>14</v>
      </c>
      <c r="AG2611" t="n">
        <v>14</v>
      </c>
      <c r="AH2611" t="n">
        <v>6</v>
      </c>
      <c r="AI2611" t="n">
        <v>7</v>
      </c>
      <c r="AJ2611" t="n">
        <v>16</v>
      </c>
      <c r="AK2611" t="n">
        <v>21</v>
      </c>
      <c r="AL2611" t="n">
        <v>6</v>
      </c>
      <c r="AM2611" t="n">
        <v>7</v>
      </c>
      <c r="AN2611" t="n">
        <v>0</v>
      </c>
      <c r="AO2611" t="n">
        <v>0</v>
      </c>
      <c r="AP2611" t="inlineStr">
        <is>
          <t>No</t>
        </is>
      </c>
      <c r="AQ2611" t="inlineStr">
        <is>
          <t>Yes</t>
        </is>
      </c>
      <c r="AR2611">
        <f>HYPERLINK("http://catalog.hathitrust.org/Record/000315024","HathiTrust Record")</f>
        <v/>
      </c>
      <c r="AS2611">
        <f>HYPERLINK("https://creighton-primo.hosted.exlibrisgroup.com/primo-explore/search?tab=default_tab&amp;search_scope=EVERYTHING&amp;vid=01CRU&amp;lang=en_US&amp;offset=0&amp;query=any,contains,991002650999702656","Catalog Record")</f>
        <v/>
      </c>
      <c r="AT2611">
        <f>HYPERLINK("http://www.worldcat.org/oclc/387152","WorldCat Record")</f>
        <v/>
      </c>
      <c r="AU2611" t="inlineStr">
        <is>
          <t>5534412212:eng</t>
        </is>
      </c>
      <c r="AV2611" t="inlineStr">
        <is>
          <t>387152</t>
        </is>
      </c>
      <c r="AW2611" t="inlineStr">
        <is>
          <t>991002650999702656</t>
        </is>
      </c>
      <c r="AX2611" t="inlineStr">
        <is>
          <t>991002650999702656</t>
        </is>
      </c>
      <c r="AY2611" t="inlineStr">
        <is>
          <t>2258228850002656</t>
        </is>
      </c>
      <c r="AZ2611" t="inlineStr">
        <is>
          <t>BOOK</t>
        </is>
      </c>
      <c r="BC2611" t="inlineStr">
        <is>
          <t>32285001018026</t>
        </is>
      </c>
      <c r="BD2611" t="inlineStr">
        <is>
          <t>893804852</t>
        </is>
      </c>
    </row>
    <row r="2612">
      <c r="A2612" t="inlineStr">
        <is>
          <t>No</t>
        </is>
      </c>
      <c r="B2612" t="inlineStr">
        <is>
          <t>BX489 .B87 1992</t>
        </is>
      </c>
      <c r="C2612" t="inlineStr">
        <is>
          <t>0                      BX 0489000B  87          1992</t>
        </is>
      </c>
      <c r="D2612" t="inlineStr">
        <is>
          <t>Religion and society in Russia : the sixteenth and seventeenth centuries / Paul Bushkovitch.</t>
        </is>
      </c>
      <c r="F2612" t="inlineStr">
        <is>
          <t>No</t>
        </is>
      </c>
      <c r="G2612" t="inlineStr">
        <is>
          <t>1</t>
        </is>
      </c>
      <c r="H2612" t="inlineStr">
        <is>
          <t>No</t>
        </is>
      </c>
      <c r="I2612" t="inlineStr">
        <is>
          <t>No</t>
        </is>
      </c>
      <c r="J2612" t="inlineStr">
        <is>
          <t>0</t>
        </is>
      </c>
      <c r="K2612" t="inlineStr">
        <is>
          <t>Bushkovitch, Paul.</t>
        </is>
      </c>
      <c r="L2612" t="inlineStr">
        <is>
          <t>New York : Oxford University Press, 1992.</t>
        </is>
      </c>
      <c r="M2612" t="inlineStr">
        <is>
          <t>1992</t>
        </is>
      </c>
      <c r="O2612" t="inlineStr">
        <is>
          <t>eng</t>
        </is>
      </c>
      <c r="P2612" t="inlineStr">
        <is>
          <t>nyu</t>
        </is>
      </c>
      <c r="R2612" t="inlineStr">
        <is>
          <t xml:space="preserve">BX </t>
        </is>
      </c>
      <c r="S2612" t="n">
        <v>5</v>
      </c>
      <c r="T2612" t="n">
        <v>5</v>
      </c>
      <c r="U2612" t="inlineStr">
        <is>
          <t>1998-04-19</t>
        </is>
      </c>
      <c r="V2612" t="inlineStr">
        <is>
          <t>1998-04-19</t>
        </is>
      </c>
      <c r="W2612" t="inlineStr">
        <is>
          <t>1994-06-28</t>
        </is>
      </c>
      <c r="X2612" t="inlineStr">
        <is>
          <t>1994-06-28</t>
        </is>
      </c>
      <c r="Y2612" t="n">
        <v>475</v>
      </c>
      <c r="Z2612" t="n">
        <v>368</v>
      </c>
      <c r="AA2612" t="n">
        <v>630</v>
      </c>
      <c r="AB2612" t="n">
        <v>4</v>
      </c>
      <c r="AC2612" t="n">
        <v>19</v>
      </c>
      <c r="AD2612" t="n">
        <v>27</v>
      </c>
      <c r="AE2612" t="n">
        <v>37</v>
      </c>
      <c r="AF2612" t="n">
        <v>9</v>
      </c>
      <c r="AG2612" t="n">
        <v>10</v>
      </c>
      <c r="AH2612" t="n">
        <v>10</v>
      </c>
      <c r="AI2612" t="n">
        <v>10</v>
      </c>
      <c r="AJ2612" t="n">
        <v>15</v>
      </c>
      <c r="AK2612" t="n">
        <v>16</v>
      </c>
      <c r="AL2612" t="n">
        <v>3</v>
      </c>
      <c r="AM2612" t="n">
        <v>11</v>
      </c>
      <c r="AN2612" t="n">
        <v>0</v>
      </c>
      <c r="AO2612" t="n">
        <v>0</v>
      </c>
      <c r="AP2612" t="inlineStr">
        <is>
          <t>No</t>
        </is>
      </c>
      <c r="AQ2612" t="inlineStr">
        <is>
          <t>No</t>
        </is>
      </c>
      <c r="AS2612">
        <f>HYPERLINK("https://creighton-primo.hosted.exlibrisgroup.com/primo-explore/search?tab=default_tab&amp;search_scope=EVERYTHING&amp;vid=01CRU&amp;lang=en_US&amp;offset=0&amp;query=any,contains,991001855119702656","Catalog Record")</f>
        <v/>
      </c>
      <c r="AT2612">
        <f>HYPERLINK("http://www.worldcat.org/oclc/23286362","WorldCat Record")</f>
        <v/>
      </c>
      <c r="AU2612" t="inlineStr">
        <is>
          <t>795617700:eng</t>
        </is>
      </c>
      <c r="AV2612" t="inlineStr">
        <is>
          <t>23286362</t>
        </is>
      </c>
      <c r="AW2612" t="inlineStr">
        <is>
          <t>991001855119702656</t>
        </is>
      </c>
      <c r="AX2612" t="inlineStr">
        <is>
          <t>991001855119702656</t>
        </is>
      </c>
      <c r="AY2612" t="inlineStr">
        <is>
          <t>2269853150002656</t>
        </is>
      </c>
      <c r="AZ2612" t="inlineStr">
        <is>
          <t>BOOK</t>
        </is>
      </c>
      <c r="BB2612" t="inlineStr">
        <is>
          <t>9780195069464</t>
        </is>
      </c>
      <c r="BC2612" t="inlineStr">
        <is>
          <t>32285001924751</t>
        </is>
      </c>
      <c r="BD2612" t="inlineStr">
        <is>
          <t>893697090</t>
        </is>
      </c>
    </row>
    <row r="2613">
      <c r="A2613" t="inlineStr">
        <is>
          <t>No</t>
        </is>
      </c>
      <c r="B2613" t="inlineStr">
        <is>
          <t>BX4891 .W32</t>
        </is>
      </c>
      <c r="C2613" t="inlineStr">
        <is>
          <t>0                      BX 4891000W  32</t>
        </is>
      </c>
      <c r="D2613" t="inlineStr">
        <is>
          <t>The Albigensian heresy / by H.J. Warner.</t>
        </is>
      </c>
      <c r="F2613" t="inlineStr">
        <is>
          <t>No</t>
        </is>
      </c>
      <c r="G2613" t="inlineStr">
        <is>
          <t>1</t>
        </is>
      </c>
      <c r="H2613" t="inlineStr">
        <is>
          <t>No</t>
        </is>
      </c>
      <c r="I2613" t="inlineStr">
        <is>
          <t>No</t>
        </is>
      </c>
      <c r="J2613" t="inlineStr">
        <is>
          <t>0</t>
        </is>
      </c>
      <c r="K2613" t="inlineStr">
        <is>
          <t>Warner, Henry James.</t>
        </is>
      </c>
      <c r="L2613" t="inlineStr">
        <is>
          <t>New York : Russell &amp; Russell, [1967]</t>
        </is>
      </c>
      <c r="M2613" t="inlineStr">
        <is>
          <t>1967</t>
        </is>
      </c>
      <c r="O2613" t="inlineStr">
        <is>
          <t>eng</t>
        </is>
      </c>
      <c r="P2613" t="inlineStr">
        <is>
          <t>nyu</t>
        </is>
      </c>
      <c r="R2613" t="inlineStr">
        <is>
          <t xml:space="preserve">BX </t>
        </is>
      </c>
      <c r="S2613" t="n">
        <v>4</v>
      </c>
      <c r="T2613" t="n">
        <v>4</v>
      </c>
      <c r="U2613" t="inlineStr">
        <is>
          <t>2010-07-19</t>
        </is>
      </c>
      <c r="V2613" t="inlineStr">
        <is>
          <t>2010-07-19</t>
        </is>
      </c>
      <c r="W2613" t="inlineStr">
        <is>
          <t>1992-03-19</t>
        </is>
      </c>
      <c r="X2613" t="inlineStr">
        <is>
          <t>1992-03-19</t>
        </is>
      </c>
      <c r="Y2613" t="n">
        <v>320</v>
      </c>
      <c r="Z2613" t="n">
        <v>290</v>
      </c>
      <c r="AA2613" t="n">
        <v>362</v>
      </c>
      <c r="AB2613" t="n">
        <v>4</v>
      </c>
      <c r="AC2613" t="n">
        <v>5</v>
      </c>
      <c r="AD2613" t="n">
        <v>22</v>
      </c>
      <c r="AE2613" t="n">
        <v>24</v>
      </c>
      <c r="AF2613" t="n">
        <v>8</v>
      </c>
      <c r="AG2613" t="n">
        <v>8</v>
      </c>
      <c r="AH2613" t="n">
        <v>7</v>
      </c>
      <c r="AI2613" t="n">
        <v>8</v>
      </c>
      <c r="AJ2613" t="n">
        <v>9</v>
      </c>
      <c r="AK2613" t="n">
        <v>10</v>
      </c>
      <c r="AL2613" t="n">
        <v>3</v>
      </c>
      <c r="AM2613" t="n">
        <v>4</v>
      </c>
      <c r="AN2613" t="n">
        <v>0</v>
      </c>
      <c r="AO2613" t="n">
        <v>0</v>
      </c>
      <c r="AP2613" t="inlineStr">
        <is>
          <t>No</t>
        </is>
      </c>
      <c r="AQ2613" t="inlineStr">
        <is>
          <t>Yes</t>
        </is>
      </c>
      <c r="AR2613">
        <f>HYPERLINK("http://catalog.hathitrust.org/Record/100151780","HathiTrust Record")</f>
        <v/>
      </c>
      <c r="AS2613">
        <f>HYPERLINK("https://creighton-primo.hosted.exlibrisgroup.com/primo-explore/search?tab=default_tab&amp;search_scope=EVERYTHING&amp;vid=01CRU&amp;lang=en_US&amp;offset=0&amp;query=any,contains,991002649539702656","Catalog Record")</f>
        <v/>
      </c>
      <c r="AT2613">
        <f>HYPERLINK("http://www.worldcat.org/oclc/386679","WorldCat Record")</f>
        <v/>
      </c>
      <c r="AU2613" t="inlineStr">
        <is>
          <t>1512200:eng</t>
        </is>
      </c>
      <c r="AV2613" t="inlineStr">
        <is>
          <t>386679</t>
        </is>
      </c>
      <c r="AW2613" t="inlineStr">
        <is>
          <t>991002649539702656</t>
        </is>
      </c>
      <c r="AX2613" t="inlineStr">
        <is>
          <t>991002649539702656</t>
        </is>
      </c>
      <c r="AY2613" t="inlineStr">
        <is>
          <t>2259560260002656</t>
        </is>
      </c>
      <c r="AZ2613" t="inlineStr">
        <is>
          <t>BOOK</t>
        </is>
      </c>
      <c r="BC2613" t="inlineStr">
        <is>
          <t>32285001024594</t>
        </is>
      </c>
      <c r="BD2613" t="inlineStr">
        <is>
          <t>893798823</t>
        </is>
      </c>
    </row>
    <row r="2614">
      <c r="A2614" t="inlineStr">
        <is>
          <t>No</t>
        </is>
      </c>
      <c r="B2614" t="inlineStr">
        <is>
          <t>BX4891.2 .R57 1977</t>
        </is>
      </c>
      <c r="C2614" t="inlineStr">
        <is>
          <t>0                      BX 4891200R  57          1977</t>
        </is>
      </c>
      <c r="D2614" t="inlineStr">
        <is>
          <t>Rituel cathare / introduction, texte critique, traduction et notes par Christine Thouzellier.</t>
        </is>
      </c>
      <c r="F2614" t="inlineStr">
        <is>
          <t>No</t>
        </is>
      </c>
      <c r="G2614" t="inlineStr">
        <is>
          <t>1</t>
        </is>
      </c>
      <c r="H2614" t="inlineStr">
        <is>
          <t>No</t>
        </is>
      </c>
      <c r="I2614" t="inlineStr">
        <is>
          <t>No</t>
        </is>
      </c>
      <c r="J2614" t="inlineStr">
        <is>
          <t>0</t>
        </is>
      </c>
      <c r="L2614" t="inlineStr">
        <is>
          <t>Paris : Éditions du Cerf, 1977.</t>
        </is>
      </c>
      <c r="M2614" t="inlineStr">
        <is>
          <t>1977</t>
        </is>
      </c>
      <c r="O2614" t="inlineStr">
        <is>
          <t>fre</t>
        </is>
      </c>
      <c r="P2614" t="inlineStr">
        <is>
          <t xml:space="preserve">fr </t>
        </is>
      </c>
      <c r="Q2614" t="inlineStr">
        <is>
          <t>Sources chrétiennes ; no 236</t>
        </is>
      </c>
      <c r="R2614" t="inlineStr">
        <is>
          <t xml:space="preserve">BX </t>
        </is>
      </c>
      <c r="S2614" t="n">
        <v>1</v>
      </c>
      <c r="T2614" t="n">
        <v>1</v>
      </c>
      <c r="U2614" t="inlineStr">
        <is>
          <t>2007-11-13</t>
        </is>
      </c>
      <c r="V2614" t="inlineStr">
        <is>
          <t>2007-11-13</t>
        </is>
      </c>
      <c r="W2614" t="inlineStr">
        <is>
          <t>1992-04-13</t>
        </is>
      </c>
      <c r="X2614" t="inlineStr">
        <is>
          <t>1992-04-13</t>
        </is>
      </c>
      <c r="Y2614" t="n">
        <v>238</v>
      </c>
      <c r="Z2614" t="n">
        <v>136</v>
      </c>
      <c r="AA2614" t="n">
        <v>137</v>
      </c>
      <c r="AB2614" t="n">
        <v>2</v>
      </c>
      <c r="AC2614" t="n">
        <v>2</v>
      </c>
      <c r="AD2614" t="n">
        <v>15</v>
      </c>
      <c r="AE2614" t="n">
        <v>15</v>
      </c>
      <c r="AF2614" t="n">
        <v>3</v>
      </c>
      <c r="AG2614" t="n">
        <v>3</v>
      </c>
      <c r="AH2614" t="n">
        <v>3</v>
      </c>
      <c r="AI2614" t="n">
        <v>3</v>
      </c>
      <c r="AJ2614" t="n">
        <v>12</v>
      </c>
      <c r="AK2614" t="n">
        <v>12</v>
      </c>
      <c r="AL2614" t="n">
        <v>1</v>
      </c>
      <c r="AM2614" t="n">
        <v>1</v>
      </c>
      <c r="AN2614" t="n">
        <v>0</v>
      </c>
      <c r="AO2614" t="n">
        <v>0</v>
      </c>
      <c r="AP2614" t="inlineStr">
        <is>
          <t>No</t>
        </is>
      </c>
      <c r="AQ2614" t="inlineStr">
        <is>
          <t>No</t>
        </is>
      </c>
      <c r="AS2614">
        <f>HYPERLINK("https://creighton-primo.hosted.exlibrisgroup.com/primo-explore/search?tab=default_tab&amp;search_scope=EVERYTHING&amp;vid=01CRU&amp;lang=en_US&amp;offset=0&amp;query=any,contains,991004516709702656","Catalog Record")</f>
        <v/>
      </c>
      <c r="AT2614">
        <f>HYPERLINK("http://www.worldcat.org/oclc/3789584","WorldCat Record")</f>
        <v/>
      </c>
      <c r="AU2614" t="inlineStr">
        <is>
          <t>347045570:fre</t>
        </is>
      </c>
      <c r="AV2614" t="inlineStr">
        <is>
          <t>3789584</t>
        </is>
      </c>
      <c r="AW2614" t="inlineStr">
        <is>
          <t>991004516709702656</t>
        </is>
      </c>
      <c r="AX2614" t="inlineStr">
        <is>
          <t>991004516709702656</t>
        </is>
      </c>
      <c r="AY2614" t="inlineStr">
        <is>
          <t>2262185640002656</t>
        </is>
      </c>
      <c r="AZ2614" t="inlineStr">
        <is>
          <t>BOOK</t>
        </is>
      </c>
      <c r="BB2614" t="inlineStr">
        <is>
          <t>9782204011624</t>
        </is>
      </c>
      <c r="BC2614" t="inlineStr">
        <is>
          <t>32285001067528</t>
        </is>
      </c>
      <c r="BD2614" t="inlineStr">
        <is>
          <t>893350106</t>
        </is>
      </c>
    </row>
    <row r="2615">
      <c r="A2615" t="inlineStr">
        <is>
          <t>No</t>
        </is>
      </c>
      <c r="B2615" t="inlineStr">
        <is>
          <t>BX4901.2 .M37 1995</t>
        </is>
      </c>
      <c r="C2615" t="inlineStr">
        <is>
          <t>0                      BX 4901200M  37          1995</t>
        </is>
      </c>
      <c r="D2615" t="inlineStr">
        <is>
          <t>Gender and heresy : women and men in Lollard communities, 1420-1530 / Shannon McSheffrey.</t>
        </is>
      </c>
      <c r="F2615" t="inlineStr">
        <is>
          <t>No</t>
        </is>
      </c>
      <c r="G2615" t="inlineStr">
        <is>
          <t>1</t>
        </is>
      </c>
      <c r="H2615" t="inlineStr">
        <is>
          <t>No</t>
        </is>
      </c>
      <c r="I2615" t="inlineStr">
        <is>
          <t>No</t>
        </is>
      </c>
      <c r="J2615" t="inlineStr">
        <is>
          <t>0</t>
        </is>
      </c>
      <c r="K2615" t="inlineStr">
        <is>
          <t>McSheffrey, Shannon.</t>
        </is>
      </c>
      <c r="L2615" t="inlineStr">
        <is>
          <t>Philadelphia : University of Pennsylvania Press, c1995.</t>
        </is>
      </c>
      <c r="M2615" t="inlineStr">
        <is>
          <t>1995</t>
        </is>
      </c>
      <c r="O2615" t="inlineStr">
        <is>
          <t>eng</t>
        </is>
      </c>
      <c r="P2615" t="inlineStr">
        <is>
          <t>pau</t>
        </is>
      </c>
      <c r="Q2615" t="inlineStr">
        <is>
          <t>Middle Ages series</t>
        </is>
      </c>
      <c r="R2615" t="inlineStr">
        <is>
          <t xml:space="preserve">BX </t>
        </is>
      </c>
      <c r="S2615" t="n">
        <v>5</v>
      </c>
      <c r="T2615" t="n">
        <v>5</v>
      </c>
      <c r="U2615" t="inlineStr">
        <is>
          <t>2007-11-13</t>
        </is>
      </c>
      <c r="V2615" t="inlineStr">
        <is>
          <t>2007-11-13</t>
        </is>
      </c>
      <c r="W2615" t="inlineStr">
        <is>
          <t>1996-10-15</t>
        </is>
      </c>
      <c r="X2615" t="inlineStr">
        <is>
          <t>1996-10-15</t>
        </is>
      </c>
      <c r="Y2615" t="n">
        <v>451</v>
      </c>
      <c r="Z2615" t="n">
        <v>336</v>
      </c>
      <c r="AA2615" t="n">
        <v>843</v>
      </c>
      <c r="AB2615" t="n">
        <v>1</v>
      </c>
      <c r="AC2615" t="n">
        <v>5</v>
      </c>
      <c r="AD2615" t="n">
        <v>25</v>
      </c>
      <c r="AE2615" t="n">
        <v>45</v>
      </c>
      <c r="AF2615" t="n">
        <v>8</v>
      </c>
      <c r="AG2615" t="n">
        <v>19</v>
      </c>
      <c r="AH2615" t="n">
        <v>8</v>
      </c>
      <c r="AI2615" t="n">
        <v>11</v>
      </c>
      <c r="AJ2615" t="n">
        <v>15</v>
      </c>
      <c r="AK2615" t="n">
        <v>20</v>
      </c>
      <c r="AL2615" t="n">
        <v>0</v>
      </c>
      <c r="AM2615" t="n">
        <v>4</v>
      </c>
      <c r="AN2615" t="n">
        <v>0</v>
      </c>
      <c r="AO2615" t="n">
        <v>1</v>
      </c>
      <c r="AP2615" t="inlineStr">
        <is>
          <t>No</t>
        </is>
      </c>
      <c r="AQ2615" t="inlineStr">
        <is>
          <t>No</t>
        </is>
      </c>
      <c r="AS2615">
        <f>HYPERLINK("https://creighton-primo.hosted.exlibrisgroup.com/primo-explore/search?tab=default_tab&amp;search_scope=EVERYTHING&amp;vid=01CRU&amp;lang=en_US&amp;offset=0&amp;query=any,contains,991002542519702656","Catalog Record")</f>
        <v/>
      </c>
      <c r="AT2615">
        <f>HYPERLINK("http://www.worldcat.org/oclc/33044776","WorldCat Record")</f>
        <v/>
      </c>
      <c r="AU2615" t="inlineStr">
        <is>
          <t>867992224:eng</t>
        </is>
      </c>
      <c r="AV2615" t="inlineStr">
        <is>
          <t>33044776</t>
        </is>
      </c>
      <c r="AW2615" t="inlineStr">
        <is>
          <t>991002542519702656</t>
        </is>
      </c>
      <c r="AX2615" t="inlineStr">
        <is>
          <t>991002542519702656</t>
        </is>
      </c>
      <c r="AY2615" t="inlineStr">
        <is>
          <t>2271773830002656</t>
        </is>
      </c>
      <c r="AZ2615" t="inlineStr">
        <is>
          <t>BOOK</t>
        </is>
      </c>
      <c r="BB2615" t="inlineStr">
        <is>
          <t>9780812215496</t>
        </is>
      </c>
      <c r="BC2615" t="inlineStr">
        <is>
          <t>32285002366069</t>
        </is>
      </c>
      <c r="BD2615" t="inlineStr">
        <is>
          <t>893335427</t>
        </is>
      </c>
    </row>
    <row r="2616">
      <c r="A2616" t="inlineStr">
        <is>
          <t>No</t>
        </is>
      </c>
      <c r="B2616" t="inlineStr">
        <is>
          <t>BX491 .C8 1965</t>
        </is>
      </c>
      <c r="C2616" t="inlineStr">
        <is>
          <t>0                      BX 0491000C  8           1965</t>
        </is>
      </c>
      <c r="D2616" t="inlineStr">
        <is>
          <t>Church and state in Russia : the last years of the empire, 1900-1917 / by John Shelton Curtiss.</t>
        </is>
      </c>
      <c r="F2616" t="inlineStr">
        <is>
          <t>No</t>
        </is>
      </c>
      <c r="G2616" t="inlineStr">
        <is>
          <t>1</t>
        </is>
      </c>
      <c r="H2616" t="inlineStr">
        <is>
          <t>No</t>
        </is>
      </c>
      <c r="I2616" t="inlineStr">
        <is>
          <t>No</t>
        </is>
      </c>
      <c r="J2616" t="inlineStr">
        <is>
          <t>0</t>
        </is>
      </c>
      <c r="K2616" t="inlineStr">
        <is>
          <t>Curtiss, John Shelton, 1899-1983.</t>
        </is>
      </c>
      <c r="L2616" t="inlineStr">
        <is>
          <t>New York, Octagon Books, 1965 [c1940]</t>
        </is>
      </c>
      <c r="M2616" t="inlineStr">
        <is>
          <t>1965</t>
        </is>
      </c>
      <c r="O2616" t="inlineStr">
        <is>
          <t>eng</t>
        </is>
      </c>
      <c r="P2616" t="inlineStr">
        <is>
          <t>nyu</t>
        </is>
      </c>
      <c r="R2616" t="inlineStr">
        <is>
          <t xml:space="preserve">BX </t>
        </is>
      </c>
      <c r="S2616" t="n">
        <v>2</v>
      </c>
      <c r="T2616" t="n">
        <v>2</v>
      </c>
      <c r="U2616" t="inlineStr">
        <is>
          <t>2002-11-10</t>
        </is>
      </c>
      <c r="V2616" t="inlineStr">
        <is>
          <t>2002-11-10</t>
        </is>
      </c>
      <c r="W2616" t="inlineStr">
        <is>
          <t>1992-04-10</t>
        </is>
      </c>
      <c r="X2616" t="inlineStr">
        <is>
          <t>1992-04-10</t>
        </is>
      </c>
      <c r="Y2616" t="n">
        <v>347</v>
      </c>
      <c r="Z2616" t="n">
        <v>330</v>
      </c>
      <c r="AA2616" t="n">
        <v>335</v>
      </c>
      <c r="AB2616" t="n">
        <v>5</v>
      </c>
      <c r="AC2616" t="n">
        <v>5</v>
      </c>
      <c r="AD2616" t="n">
        <v>13</v>
      </c>
      <c r="AE2616" t="n">
        <v>15</v>
      </c>
      <c r="AF2616" t="n">
        <v>6</v>
      </c>
      <c r="AG2616" t="n">
        <v>7</v>
      </c>
      <c r="AH2616" t="n">
        <v>1</v>
      </c>
      <c r="AI2616" t="n">
        <v>1</v>
      </c>
      <c r="AJ2616" t="n">
        <v>4</v>
      </c>
      <c r="AK2616" t="n">
        <v>6</v>
      </c>
      <c r="AL2616" t="n">
        <v>4</v>
      </c>
      <c r="AM2616" t="n">
        <v>4</v>
      </c>
      <c r="AN2616" t="n">
        <v>0</v>
      </c>
      <c r="AO2616" t="n">
        <v>0</v>
      </c>
      <c r="AP2616" t="inlineStr">
        <is>
          <t>No</t>
        </is>
      </c>
      <c r="AQ2616" t="inlineStr">
        <is>
          <t>Yes</t>
        </is>
      </c>
      <c r="AR2616">
        <f>HYPERLINK("http://catalog.hathitrust.org/Record/001408578","HathiTrust Record")</f>
        <v/>
      </c>
      <c r="AS2616">
        <f>HYPERLINK("https://creighton-primo.hosted.exlibrisgroup.com/primo-explore/search?tab=default_tab&amp;search_scope=EVERYTHING&amp;vid=01CRU&amp;lang=en_US&amp;offset=0&amp;query=any,contains,991002650939702656","Catalog Record")</f>
        <v/>
      </c>
      <c r="AT2616">
        <f>HYPERLINK("http://www.worldcat.org/oclc/387139","WorldCat Record")</f>
        <v/>
      </c>
      <c r="AU2616" t="inlineStr">
        <is>
          <t>3944020129:eng</t>
        </is>
      </c>
      <c r="AV2616" t="inlineStr">
        <is>
          <t>387139</t>
        </is>
      </c>
      <c r="AW2616" t="inlineStr">
        <is>
          <t>991002650939702656</t>
        </is>
      </c>
      <c r="AX2616" t="inlineStr">
        <is>
          <t>991002650939702656</t>
        </is>
      </c>
      <c r="AY2616" t="inlineStr">
        <is>
          <t>2258224710002656</t>
        </is>
      </c>
      <c r="AZ2616" t="inlineStr">
        <is>
          <t>BOOK</t>
        </is>
      </c>
      <c r="BC2616" t="inlineStr">
        <is>
          <t>32285001018067</t>
        </is>
      </c>
      <c r="BD2616" t="inlineStr">
        <is>
          <t>893239333</t>
        </is>
      </c>
    </row>
    <row r="2617">
      <c r="A2617" t="inlineStr">
        <is>
          <t>No</t>
        </is>
      </c>
      <c r="B2617" t="inlineStr">
        <is>
          <t>BX491 .R87 1978</t>
        </is>
      </c>
      <c r="C2617" t="inlineStr">
        <is>
          <t>0                      BX 0491000R  87          1978</t>
        </is>
      </c>
      <c r="D2617" t="inlineStr">
        <is>
          <t>Russian Orthodoxy under the old regime / edited by Robert L. Nichols and Theofanis George Stavrou. --</t>
        </is>
      </c>
      <c r="F2617" t="inlineStr">
        <is>
          <t>No</t>
        </is>
      </c>
      <c r="G2617" t="inlineStr">
        <is>
          <t>1</t>
        </is>
      </c>
      <c r="H2617" t="inlineStr">
        <is>
          <t>No</t>
        </is>
      </c>
      <c r="I2617" t="inlineStr">
        <is>
          <t>No</t>
        </is>
      </c>
      <c r="J2617" t="inlineStr">
        <is>
          <t>0</t>
        </is>
      </c>
      <c r="L2617" t="inlineStr">
        <is>
          <t>Minneapolis : University of Minnesota Press, c1978.</t>
        </is>
      </c>
      <c r="M2617" t="inlineStr">
        <is>
          <t>1978</t>
        </is>
      </c>
      <c r="O2617" t="inlineStr">
        <is>
          <t>eng</t>
        </is>
      </c>
      <c r="P2617" t="inlineStr">
        <is>
          <t>mnu</t>
        </is>
      </c>
      <c r="R2617" t="inlineStr">
        <is>
          <t xml:space="preserve">BX </t>
        </is>
      </c>
      <c r="S2617" t="n">
        <v>3</v>
      </c>
      <c r="T2617" t="n">
        <v>3</v>
      </c>
      <c r="U2617" t="inlineStr">
        <is>
          <t>2002-11-10</t>
        </is>
      </c>
      <c r="V2617" t="inlineStr">
        <is>
          <t>2002-11-10</t>
        </is>
      </c>
      <c r="W2617" t="inlineStr">
        <is>
          <t>1992-04-10</t>
        </is>
      </c>
      <c r="X2617" t="inlineStr">
        <is>
          <t>1992-04-10</t>
        </is>
      </c>
      <c r="Y2617" t="n">
        <v>661</v>
      </c>
      <c r="Z2617" t="n">
        <v>529</v>
      </c>
      <c r="AA2617" t="n">
        <v>916</v>
      </c>
      <c r="AB2617" t="n">
        <v>4</v>
      </c>
      <c r="AC2617" t="n">
        <v>7</v>
      </c>
      <c r="AD2617" t="n">
        <v>33</v>
      </c>
      <c r="AE2617" t="n">
        <v>44</v>
      </c>
      <c r="AF2617" t="n">
        <v>12</v>
      </c>
      <c r="AG2617" t="n">
        <v>18</v>
      </c>
      <c r="AH2617" t="n">
        <v>9</v>
      </c>
      <c r="AI2617" t="n">
        <v>10</v>
      </c>
      <c r="AJ2617" t="n">
        <v>16</v>
      </c>
      <c r="AK2617" t="n">
        <v>17</v>
      </c>
      <c r="AL2617" t="n">
        <v>3</v>
      </c>
      <c r="AM2617" t="n">
        <v>6</v>
      </c>
      <c r="AN2617" t="n">
        <v>0</v>
      </c>
      <c r="AO2617" t="n">
        <v>1</v>
      </c>
      <c r="AP2617" t="inlineStr">
        <is>
          <t>No</t>
        </is>
      </c>
      <c r="AQ2617" t="inlineStr">
        <is>
          <t>No</t>
        </is>
      </c>
      <c r="AS2617">
        <f>HYPERLINK("https://creighton-primo.hosted.exlibrisgroup.com/primo-explore/search?tab=default_tab&amp;search_scope=EVERYTHING&amp;vid=01CRU&amp;lang=en_US&amp;offset=0&amp;query=any,contains,991004567979702656","Catalog Record")</f>
        <v/>
      </c>
      <c r="AT2617">
        <f>HYPERLINK("http://www.worldcat.org/oclc/4004981","WorldCat Record")</f>
        <v/>
      </c>
      <c r="AU2617" t="inlineStr">
        <is>
          <t>364141087:eng</t>
        </is>
      </c>
      <c r="AV2617" t="inlineStr">
        <is>
          <t>4004981</t>
        </is>
      </c>
      <c r="AW2617" t="inlineStr">
        <is>
          <t>991004567979702656</t>
        </is>
      </c>
      <c r="AX2617" t="inlineStr">
        <is>
          <t>991004567979702656</t>
        </is>
      </c>
      <c r="AY2617" t="inlineStr">
        <is>
          <t>2264980380002656</t>
        </is>
      </c>
      <c r="AZ2617" t="inlineStr">
        <is>
          <t>BOOK</t>
        </is>
      </c>
      <c r="BB2617" t="inlineStr">
        <is>
          <t>9780816608461</t>
        </is>
      </c>
      <c r="BC2617" t="inlineStr">
        <is>
          <t>32285001018083</t>
        </is>
      </c>
      <c r="BD2617" t="inlineStr">
        <is>
          <t>893353453</t>
        </is>
      </c>
    </row>
    <row r="2618">
      <c r="A2618" t="inlineStr">
        <is>
          <t>No</t>
        </is>
      </c>
      <c r="B2618" t="inlineStr">
        <is>
          <t>BX491 .V35 2000</t>
        </is>
      </c>
      <c r="C2618" t="inlineStr">
        <is>
          <t>0                      BX 0491000V  35          2000</t>
        </is>
      </c>
      <c r="D2618" t="inlineStr">
        <is>
          <t>Modern Russian theology : Bukharev, Soloviev, Bulgakov : Orthodox theology in a new key / Paul Valliere.</t>
        </is>
      </c>
      <c r="F2618" t="inlineStr">
        <is>
          <t>No</t>
        </is>
      </c>
      <c r="G2618" t="inlineStr">
        <is>
          <t>1</t>
        </is>
      </c>
      <c r="H2618" t="inlineStr">
        <is>
          <t>No</t>
        </is>
      </c>
      <c r="I2618" t="inlineStr">
        <is>
          <t>No</t>
        </is>
      </c>
      <c r="J2618" t="inlineStr">
        <is>
          <t>0</t>
        </is>
      </c>
      <c r="K2618" t="inlineStr">
        <is>
          <t>Valliere, Paul.</t>
        </is>
      </c>
      <c r="L2618" t="inlineStr">
        <is>
          <t>Grand Rapids, Mich. : Eerdmans, 2000.</t>
        </is>
      </c>
      <c r="M2618" t="inlineStr">
        <is>
          <t>2000</t>
        </is>
      </c>
      <c r="O2618" t="inlineStr">
        <is>
          <t>eng</t>
        </is>
      </c>
      <c r="P2618" t="inlineStr">
        <is>
          <t>miu</t>
        </is>
      </c>
      <c r="R2618" t="inlineStr">
        <is>
          <t xml:space="preserve">BX </t>
        </is>
      </c>
      <c r="S2618" t="n">
        <v>2</v>
      </c>
      <c r="T2618" t="n">
        <v>2</v>
      </c>
      <c r="U2618" t="inlineStr">
        <is>
          <t>2003-09-30</t>
        </is>
      </c>
      <c r="V2618" t="inlineStr">
        <is>
          <t>2003-09-30</t>
        </is>
      </c>
      <c r="W2618" t="inlineStr">
        <is>
          <t>2003-04-10</t>
        </is>
      </c>
      <c r="X2618" t="inlineStr">
        <is>
          <t>2003-04-10</t>
        </is>
      </c>
      <c r="Y2618" t="n">
        <v>273</v>
      </c>
      <c r="Z2618" t="n">
        <v>233</v>
      </c>
      <c r="AA2618" t="n">
        <v>523</v>
      </c>
      <c r="AB2618" t="n">
        <v>1</v>
      </c>
      <c r="AC2618" t="n">
        <v>4</v>
      </c>
      <c r="AD2618" t="n">
        <v>16</v>
      </c>
      <c r="AE2618" t="n">
        <v>29</v>
      </c>
      <c r="AF2618" t="n">
        <v>8</v>
      </c>
      <c r="AG2618" t="n">
        <v>13</v>
      </c>
      <c r="AH2618" t="n">
        <v>3</v>
      </c>
      <c r="AI2618" t="n">
        <v>7</v>
      </c>
      <c r="AJ2618" t="n">
        <v>8</v>
      </c>
      <c r="AK2618" t="n">
        <v>11</v>
      </c>
      <c r="AL2618" t="n">
        <v>0</v>
      </c>
      <c r="AM2618" t="n">
        <v>3</v>
      </c>
      <c r="AN2618" t="n">
        <v>0</v>
      </c>
      <c r="AO2618" t="n">
        <v>0</v>
      </c>
      <c r="AP2618" t="inlineStr">
        <is>
          <t>No</t>
        </is>
      </c>
      <c r="AQ2618" t="inlineStr">
        <is>
          <t>No</t>
        </is>
      </c>
      <c r="AS2618">
        <f>HYPERLINK("https://creighton-primo.hosted.exlibrisgroup.com/primo-explore/search?tab=default_tab&amp;search_scope=EVERYTHING&amp;vid=01CRU&amp;lang=en_US&amp;offset=0&amp;query=any,contains,991004001189702656","Catalog Record")</f>
        <v/>
      </c>
      <c r="AT2618">
        <f>HYPERLINK("http://www.worldcat.org/oclc/45891297","WorldCat Record")</f>
        <v/>
      </c>
      <c r="AU2618" t="inlineStr">
        <is>
          <t>35877364:eng</t>
        </is>
      </c>
      <c r="AV2618" t="inlineStr">
        <is>
          <t>45891297</t>
        </is>
      </c>
      <c r="AW2618" t="inlineStr">
        <is>
          <t>991004001189702656</t>
        </is>
      </c>
      <c r="AX2618" t="inlineStr">
        <is>
          <t>991004001189702656</t>
        </is>
      </c>
      <c r="AY2618" t="inlineStr">
        <is>
          <t>2265584320002656</t>
        </is>
      </c>
      <c r="AZ2618" t="inlineStr">
        <is>
          <t>BOOK</t>
        </is>
      </c>
      <c r="BB2618" t="inlineStr">
        <is>
          <t>9780802839084</t>
        </is>
      </c>
      <c r="BC2618" t="inlineStr">
        <is>
          <t>32285004741087</t>
        </is>
      </c>
      <c r="BD2618" t="inlineStr">
        <is>
          <t>893875573</t>
        </is>
      </c>
    </row>
    <row r="2619">
      <c r="A2619" t="inlineStr">
        <is>
          <t>No</t>
        </is>
      </c>
      <c r="B2619" t="inlineStr">
        <is>
          <t>BX4915.2 .F83 1998</t>
        </is>
      </c>
      <c r="C2619" t="inlineStr">
        <is>
          <t>0                      BX 4915200F  83          1998</t>
        </is>
      </c>
      <c r="D2619" t="inlineStr">
        <is>
          <t>The magnificent ride : the first reformation in Hussite Bohemia / Thomas A. Fudge.</t>
        </is>
      </c>
      <c r="F2619" t="inlineStr">
        <is>
          <t>No</t>
        </is>
      </c>
      <c r="G2619" t="inlineStr">
        <is>
          <t>1</t>
        </is>
      </c>
      <c r="H2619" t="inlineStr">
        <is>
          <t>No</t>
        </is>
      </c>
      <c r="I2619" t="inlineStr">
        <is>
          <t>No</t>
        </is>
      </c>
      <c r="J2619" t="inlineStr">
        <is>
          <t>0</t>
        </is>
      </c>
      <c r="K2619" t="inlineStr">
        <is>
          <t>Fudge, Thomas A.</t>
        </is>
      </c>
      <c r="L2619" t="inlineStr">
        <is>
          <t>Aldershot, Hants ; Brookfield, Vt. : Ashgate, c1998.</t>
        </is>
      </c>
      <c r="M2619" t="inlineStr">
        <is>
          <t>1998</t>
        </is>
      </c>
      <c r="O2619" t="inlineStr">
        <is>
          <t>eng</t>
        </is>
      </c>
      <c r="P2619" t="inlineStr">
        <is>
          <t>enk</t>
        </is>
      </c>
      <c r="Q2619" t="inlineStr">
        <is>
          <t>St. Andrews studies in Reformation history</t>
        </is>
      </c>
      <c r="R2619" t="inlineStr">
        <is>
          <t xml:space="preserve">BX </t>
        </is>
      </c>
      <c r="S2619" t="n">
        <v>1</v>
      </c>
      <c r="T2619" t="n">
        <v>1</v>
      </c>
      <c r="U2619" t="inlineStr">
        <is>
          <t>2006-10-23</t>
        </is>
      </c>
      <c r="V2619" t="inlineStr">
        <is>
          <t>2006-10-23</t>
        </is>
      </c>
      <c r="W2619" t="inlineStr">
        <is>
          <t>1998-09-10</t>
        </is>
      </c>
      <c r="X2619" t="inlineStr">
        <is>
          <t>1998-09-10</t>
        </is>
      </c>
      <c r="Y2619" t="n">
        <v>255</v>
      </c>
      <c r="Z2619" t="n">
        <v>172</v>
      </c>
      <c r="AA2619" t="n">
        <v>202</v>
      </c>
      <c r="AB2619" t="n">
        <v>1</v>
      </c>
      <c r="AC2619" t="n">
        <v>1</v>
      </c>
      <c r="AD2619" t="n">
        <v>13</v>
      </c>
      <c r="AE2619" t="n">
        <v>13</v>
      </c>
      <c r="AF2619" t="n">
        <v>5</v>
      </c>
      <c r="AG2619" t="n">
        <v>5</v>
      </c>
      <c r="AH2619" t="n">
        <v>5</v>
      </c>
      <c r="AI2619" t="n">
        <v>5</v>
      </c>
      <c r="AJ2619" t="n">
        <v>6</v>
      </c>
      <c r="AK2619" t="n">
        <v>6</v>
      </c>
      <c r="AL2619" t="n">
        <v>0</v>
      </c>
      <c r="AM2619" t="n">
        <v>0</v>
      </c>
      <c r="AN2619" t="n">
        <v>0</v>
      </c>
      <c r="AO2619" t="n">
        <v>0</v>
      </c>
      <c r="AP2619" t="inlineStr">
        <is>
          <t>No</t>
        </is>
      </c>
      <c r="AQ2619" t="inlineStr">
        <is>
          <t>Yes</t>
        </is>
      </c>
      <c r="AR2619">
        <f>HYPERLINK("http://catalog.hathitrust.org/Record/003975189","HathiTrust Record")</f>
        <v/>
      </c>
      <c r="AS2619">
        <f>HYPERLINK("https://creighton-primo.hosted.exlibrisgroup.com/primo-explore/search?tab=default_tab&amp;search_scope=EVERYTHING&amp;vid=01CRU&amp;lang=en_US&amp;offset=0&amp;query=any,contains,991002851539702656","Catalog Record")</f>
        <v/>
      </c>
      <c r="AT2619">
        <f>HYPERLINK("http://www.worldcat.org/oclc/37567430","WorldCat Record")</f>
        <v/>
      </c>
      <c r="AU2619" t="inlineStr">
        <is>
          <t>369498022:eng</t>
        </is>
      </c>
      <c r="AV2619" t="inlineStr">
        <is>
          <t>37567430</t>
        </is>
      </c>
      <c r="AW2619" t="inlineStr">
        <is>
          <t>991002851539702656</t>
        </is>
      </c>
      <c r="AX2619" t="inlineStr">
        <is>
          <t>991002851539702656</t>
        </is>
      </c>
      <c r="AY2619" t="inlineStr">
        <is>
          <t>2267657500002656</t>
        </is>
      </c>
      <c r="AZ2619" t="inlineStr">
        <is>
          <t>BOOK</t>
        </is>
      </c>
      <c r="BB2619" t="inlineStr">
        <is>
          <t>9781859283721</t>
        </is>
      </c>
      <c r="BC2619" t="inlineStr">
        <is>
          <t>32285003467189</t>
        </is>
      </c>
      <c r="BD2619" t="inlineStr">
        <is>
          <t>893867782</t>
        </is>
      </c>
    </row>
    <row r="2620">
      <c r="A2620" t="inlineStr">
        <is>
          <t>No</t>
        </is>
      </c>
      <c r="B2620" t="inlineStr">
        <is>
          <t>BX492 .D38 1995</t>
        </is>
      </c>
      <c r="C2620" t="inlineStr">
        <is>
          <t>0                      BX 0492000D  38          1995</t>
        </is>
      </c>
      <c r="D2620" t="inlineStr">
        <is>
          <t>A long walk to church : a contemporary history of Russian orthodoxy / Nathaniel Davis.</t>
        </is>
      </c>
      <c r="F2620" t="inlineStr">
        <is>
          <t>No</t>
        </is>
      </c>
      <c r="G2620" t="inlineStr">
        <is>
          <t>1</t>
        </is>
      </c>
      <c r="H2620" t="inlineStr">
        <is>
          <t>No</t>
        </is>
      </c>
      <c r="I2620" t="inlineStr">
        <is>
          <t>No</t>
        </is>
      </c>
      <c r="J2620" t="inlineStr">
        <is>
          <t>0</t>
        </is>
      </c>
      <c r="K2620" t="inlineStr">
        <is>
          <t>Davis, Nathaniel, 1925-2011.</t>
        </is>
      </c>
      <c r="L2620" t="inlineStr">
        <is>
          <t>Boulder, Colo. : Westview Press, c1995.</t>
        </is>
      </c>
      <c r="M2620" t="inlineStr">
        <is>
          <t>1995</t>
        </is>
      </c>
      <c r="O2620" t="inlineStr">
        <is>
          <t>eng</t>
        </is>
      </c>
      <c r="P2620" t="inlineStr">
        <is>
          <t>cou</t>
        </is>
      </c>
      <c r="R2620" t="inlineStr">
        <is>
          <t xml:space="preserve">BX </t>
        </is>
      </c>
      <c r="S2620" t="n">
        <v>2</v>
      </c>
      <c r="T2620" t="n">
        <v>2</v>
      </c>
      <c r="U2620" t="inlineStr">
        <is>
          <t>1998-04-20</t>
        </is>
      </c>
      <c r="V2620" t="inlineStr">
        <is>
          <t>1998-04-20</t>
        </is>
      </c>
      <c r="W2620" t="inlineStr">
        <is>
          <t>1995-07-29</t>
        </is>
      </c>
      <c r="X2620" t="inlineStr">
        <is>
          <t>1995-07-29</t>
        </is>
      </c>
      <c r="Y2620" t="n">
        <v>502</v>
      </c>
      <c r="Z2620" t="n">
        <v>422</v>
      </c>
      <c r="AA2620" t="n">
        <v>542</v>
      </c>
      <c r="AB2620" t="n">
        <v>5</v>
      </c>
      <c r="AC2620" t="n">
        <v>5</v>
      </c>
      <c r="AD2620" t="n">
        <v>25</v>
      </c>
      <c r="AE2620" t="n">
        <v>34</v>
      </c>
      <c r="AF2620" t="n">
        <v>11</v>
      </c>
      <c r="AG2620" t="n">
        <v>17</v>
      </c>
      <c r="AH2620" t="n">
        <v>5</v>
      </c>
      <c r="AI2620" t="n">
        <v>7</v>
      </c>
      <c r="AJ2620" t="n">
        <v>14</v>
      </c>
      <c r="AK2620" t="n">
        <v>18</v>
      </c>
      <c r="AL2620" t="n">
        <v>3</v>
      </c>
      <c r="AM2620" t="n">
        <v>3</v>
      </c>
      <c r="AN2620" t="n">
        <v>0</v>
      </c>
      <c r="AO2620" t="n">
        <v>0</v>
      </c>
      <c r="AP2620" t="inlineStr">
        <is>
          <t>No</t>
        </is>
      </c>
      <c r="AQ2620" t="inlineStr">
        <is>
          <t>Yes</t>
        </is>
      </c>
      <c r="AR2620">
        <f>HYPERLINK("http://catalog.hathitrust.org/Record/002932783","HathiTrust Record")</f>
        <v/>
      </c>
      <c r="AS2620">
        <f>HYPERLINK("https://creighton-primo.hosted.exlibrisgroup.com/primo-explore/search?tab=default_tab&amp;search_scope=EVERYTHING&amp;vid=01CRU&amp;lang=en_US&amp;offset=0&amp;query=any,contains,991002374239702656","Catalog Record")</f>
        <v/>
      </c>
      <c r="AT2620">
        <f>HYPERLINK("http://www.worldcat.org/oclc/30892832","WorldCat Record")</f>
        <v/>
      </c>
      <c r="AU2620" t="inlineStr">
        <is>
          <t>903380369:eng</t>
        </is>
      </c>
      <c r="AV2620" t="inlineStr">
        <is>
          <t>30892832</t>
        </is>
      </c>
      <c r="AW2620" t="inlineStr">
        <is>
          <t>991002374239702656</t>
        </is>
      </c>
      <c r="AX2620" t="inlineStr">
        <is>
          <t>991002374239702656</t>
        </is>
      </c>
      <c r="AY2620" t="inlineStr">
        <is>
          <t>2270167600002656</t>
        </is>
      </c>
      <c r="AZ2620" t="inlineStr">
        <is>
          <t>BOOK</t>
        </is>
      </c>
      <c r="BB2620" t="inlineStr">
        <is>
          <t>9780813322766</t>
        </is>
      </c>
      <c r="BC2620" t="inlineStr">
        <is>
          <t>32285002076676</t>
        </is>
      </c>
      <c r="BD2620" t="inlineStr">
        <is>
          <t>893804531</t>
        </is>
      </c>
    </row>
    <row r="2621">
      <c r="A2621" t="inlineStr">
        <is>
          <t>No</t>
        </is>
      </c>
      <c r="B2621" t="inlineStr">
        <is>
          <t>BX492 .P67 1984</t>
        </is>
      </c>
      <c r="C2621" t="inlineStr">
        <is>
          <t>0                      BX 0492000P  67          1984</t>
        </is>
      </c>
      <c r="D2621" t="inlineStr">
        <is>
          <t>The Russian church under the Soviet regime, 1917-1982 / Dimitry Pospielovsky.</t>
        </is>
      </c>
      <c r="E2621" t="inlineStr">
        <is>
          <t>V. 2</t>
        </is>
      </c>
      <c r="F2621" t="inlineStr">
        <is>
          <t>Yes</t>
        </is>
      </c>
      <c r="G2621" t="inlineStr">
        <is>
          <t>1</t>
        </is>
      </c>
      <c r="H2621" t="inlineStr">
        <is>
          <t>No</t>
        </is>
      </c>
      <c r="I2621" t="inlineStr">
        <is>
          <t>No</t>
        </is>
      </c>
      <c r="J2621" t="inlineStr">
        <is>
          <t>0</t>
        </is>
      </c>
      <c r="K2621" t="inlineStr">
        <is>
          <t>Pospielovsky, Dimitry, 1935-2014.</t>
        </is>
      </c>
      <c r="L2621" t="inlineStr">
        <is>
          <t>Crestwood, N.Y. : St. Vladimir's Seminary Press, 1984.</t>
        </is>
      </c>
      <c r="M2621" t="inlineStr">
        <is>
          <t>1984</t>
        </is>
      </c>
      <c r="O2621" t="inlineStr">
        <is>
          <t>eng</t>
        </is>
      </c>
      <c r="P2621" t="inlineStr">
        <is>
          <t>nyu</t>
        </is>
      </c>
      <c r="R2621" t="inlineStr">
        <is>
          <t xml:space="preserve">BX </t>
        </is>
      </c>
      <c r="S2621" t="n">
        <v>1</v>
      </c>
      <c r="T2621" t="n">
        <v>2</v>
      </c>
      <c r="U2621" t="inlineStr">
        <is>
          <t>2002-11-10</t>
        </is>
      </c>
      <c r="V2621" t="inlineStr">
        <is>
          <t>2002-11-10</t>
        </is>
      </c>
      <c r="W2621" t="inlineStr">
        <is>
          <t>1992-04-10</t>
        </is>
      </c>
      <c r="X2621" t="inlineStr">
        <is>
          <t>1992-04-10</t>
        </is>
      </c>
      <c r="Y2621" t="n">
        <v>755</v>
      </c>
      <c r="Z2621" t="n">
        <v>641</v>
      </c>
      <c r="AA2621" t="n">
        <v>649</v>
      </c>
      <c r="AB2621" t="n">
        <v>7</v>
      </c>
      <c r="AC2621" t="n">
        <v>7</v>
      </c>
      <c r="AD2621" t="n">
        <v>38</v>
      </c>
      <c r="AE2621" t="n">
        <v>38</v>
      </c>
      <c r="AF2621" t="n">
        <v>14</v>
      </c>
      <c r="AG2621" t="n">
        <v>14</v>
      </c>
      <c r="AH2621" t="n">
        <v>9</v>
      </c>
      <c r="AI2621" t="n">
        <v>9</v>
      </c>
      <c r="AJ2621" t="n">
        <v>20</v>
      </c>
      <c r="AK2621" t="n">
        <v>20</v>
      </c>
      <c r="AL2621" t="n">
        <v>5</v>
      </c>
      <c r="AM2621" t="n">
        <v>5</v>
      </c>
      <c r="AN2621" t="n">
        <v>0</v>
      </c>
      <c r="AO2621" t="n">
        <v>0</v>
      </c>
      <c r="AP2621" t="inlineStr">
        <is>
          <t>No</t>
        </is>
      </c>
      <c r="AQ2621" t="inlineStr">
        <is>
          <t>Yes</t>
        </is>
      </c>
      <c r="AR2621">
        <f>HYPERLINK("http://catalog.hathitrust.org/Record/000335578","HathiTrust Record")</f>
        <v/>
      </c>
      <c r="AS2621">
        <f>HYPERLINK("https://creighton-primo.hosted.exlibrisgroup.com/primo-explore/search?tab=default_tab&amp;search_scope=EVERYTHING&amp;vid=01CRU&amp;lang=en_US&amp;offset=0&amp;query=any,contains,991000461399702656","Catalog Record")</f>
        <v/>
      </c>
      <c r="AT2621">
        <f>HYPERLINK("http://www.worldcat.org/oclc/10937813","WorldCat Record")</f>
        <v/>
      </c>
      <c r="AU2621" t="inlineStr">
        <is>
          <t>4663599893:eng</t>
        </is>
      </c>
      <c r="AV2621" t="inlineStr">
        <is>
          <t>10937813</t>
        </is>
      </c>
      <c r="AW2621" t="inlineStr">
        <is>
          <t>991000461399702656</t>
        </is>
      </c>
      <c r="AX2621" t="inlineStr">
        <is>
          <t>991000461399702656</t>
        </is>
      </c>
      <c r="AY2621" t="inlineStr">
        <is>
          <t>2269283230002656</t>
        </is>
      </c>
      <c r="AZ2621" t="inlineStr">
        <is>
          <t>BOOK</t>
        </is>
      </c>
      <c r="BB2621" t="inlineStr">
        <is>
          <t>9780881410167</t>
        </is>
      </c>
      <c r="BC2621" t="inlineStr">
        <is>
          <t>32285001018125</t>
        </is>
      </c>
      <c r="BD2621" t="inlineStr">
        <is>
          <t>893231125</t>
        </is>
      </c>
    </row>
    <row r="2622">
      <c r="A2622" t="inlineStr">
        <is>
          <t>No</t>
        </is>
      </c>
      <c r="B2622" t="inlineStr">
        <is>
          <t>BX492 .P67 1984</t>
        </is>
      </c>
      <c r="C2622" t="inlineStr">
        <is>
          <t>0                      BX 0492000P  67          1984</t>
        </is>
      </c>
      <c r="D2622" t="inlineStr">
        <is>
          <t>The Russian church under the Soviet regime, 1917-1982 / Dimitry Pospielovsky.</t>
        </is>
      </c>
      <c r="E2622" t="inlineStr">
        <is>
          <t>V. 1</t>
        </is>
      </c>
      <c r="F2622" t="inlineStr">
        <is>
          <t>Yes</t>
        </is>
      </c>
      <c r="G2622" t="inlineStr">
        <is>
          <t>1</t>
        </is>
      </c>
      <c r="H2622" t="inlineStr">
        <is>
          <t>No</t>
        </is>
      </c>
      <c r="I2622" t="inlineStr">
        <is>
          <t>No</t>
        </is>
      </c>
      <c r="J2622" t="inlineStr">
        <is>
          <t>0</t>
        </is>
      </c>
      <c r="K2622" t="inlineStr">
        <is>
          <t>Pospielovsky, Dimitry, 1935-2014.</t>
        </is>
      </c>
      <c r="L2622" t="inlineStr">
        <is>
          <t>Crestwood, N.Y. : St. Vladimir's Seminary Press, 1984.</t>
        </is>
      </c>
      <c r="M2622" t="inlineStr">
        <is>
          <t>1984</t>
        </is>
      </c>
      <c r="O2622" t="inlineStr">
        <is>
          <t>eng</t>
        </is>
      </c>
      <c r="P2622" t="inlineStr">
        <is>
          <t>nyu</t>
        </is>
      </c>
      <c r="R2622" t="inlineStr">
        <is>
          <t xml:space="preserve">BX </t>
        </is>
      </c>
      <c r="S2622" t="n">
        <v>1</v>
      </c>
      <c r="T2622" t="n">
        <v>2</v>
      </c>
      <c r="V2622" t="inlineStr">
        <is>
          <t>2002-11-10</t>
        </is>
      </c>
      <c r="W2622" t="inlineStr">
        <is>
          <t>1992-04-10</t>
        </is>
      </c>
      <c r="X2622" t="inlineStr">
        <is>
          <t>1992-04-10</t>
        </is>
      </c>
      <c r="Y2622" t="n">
        <v>755</v>
      </c>
      <c r="Z2622" t="n">
        <v>641</v>
      </c>
      <c r="AA2622" t="n">
        <v>649</v>
      </c>
      <c r="AB2622" t="n">
        <v>7</v>
      </c>
      <c r="AC2622" t="n">
        <v>7</v>
      </c>
      <c r="AD2622" t="n">
        <v>38</v>
      </c>
      <c r="AE2622" t="n">
        <v>38</v>
      </c>
      <c r="AF2622" t="n">
        <v>14</v>
      </c>
      <c r="AG2622" t="n">
        <v>14</v>
      </c>
      <c r="AH2622" t="n">
        <v>9</v>
      </c>
      <c r="AI2622" t="n">
        <v>9</v>
      </c>
      <c r="AJ2622" t="n">
        <v>20</v>
      </c>
      <c r="AK2622" t="n">
        <v>20</v>
      </c>
      <c r="AL2622" t="n">
        <v>5</v>
      </c>
      <c r="AM2622" t="n">
        <v>5</v>
      </c>
      <c r="AN2622" t="n">
        <v>0</v>
      </c>
      <c r="AO2622" t="n">
        <v>0</v>
      </c>
      <c r="AP2622" t="inlineStr">
        <is>
          <t>No</t>
        </is>
      </c>
      <c r="AQ2622" t="inlineStr">
        <is>
          <t>Yes</t>
        </is>
      </c>
      <c r="AR2622">
        <f>HYPERLINK("http://catalog.hathitrust.org/Record/000335578","HathiTrust Record")</f>
        <v/>
      </c>
      <c r="AS2622">
        <f>HYPERLINK("https://creighton-primo.hosted.exlibrisgroup.com/primo-explore/search?tab=default_tab&amp;search_scope=EVERYTHING&amp;vid=01CRU&amp;lang=en_US&amp;offset=0&amp;query=any,contains,991000461399702656","Catalog Record")</f>
        <v/>
      </c>
      <c r="AT2622">
        <f>HYPERLINK("http://www.worldcat.org/oclc/10937813","WorldCat Record")</f>
        <v/>
      </c>
      <c r="AU2622" t="inlineStr">
        <is>
          <t>4663599893:eng</t>
        </is>
      </c>
      <c r="AV2622" t="inlineStr">
        <is>
          <t>10937813</t>
        </is>
      </c>
      <c r="AW2622" t="inlineStr">
        <is>
          <t>991000461399702656</t>
        </is>
      </c>
      <c r="AX2622" t="inlineStr">
        <is>
          <t>991000461399702656</t>
        </is>
      </c>
      <c r="AY2622" t="inlineStr">
        <is>
          <t>2269283230002656</t>
        </is>
      </c>
      <c r="AZ2622" t="inlineStr">
        <is>
          <t>BOOK</t>
        </is>
      </c>
      <c r="BB2622" t="inlineStr">
        <is>
          <t>9780881410167</t>
        </is>
      </c>
      <c r="BC2622" t="inlineStr">
        <is>
          <t>32285001018117</t>
        </is>
      </c>
      <c r="BD2622" t="inlineStr">
        <is>
          <t>893261476</t>
        </is>
      </c>
    </row>
    <row r="2623">
      <c r="A2623" t="inlineStr">
        <is>
          <t>No</t>
        </is>
      </c>
      <c r="B2623" t="inlineStr">
        <is>
          <t>BX493 .K33 1998</t>
        </is>
      </c>
      <c r="C2623" t="inlineStr">
        <is>
          <t>0                      BX 0493000K  33          1998</t>
        </is>
      </c>
      <c r="D2623" t="inlineStr">
        <is>
          <t>Religion in Russia after the collapse of communism : religious renaissance or secular state / Kimmo Kääriäinen.</t>
        </is>
      </c>
      <c r="F2623" t="inlineStr">
        <is>
          <t>No</t>
        </is>
      </c>
      <c r="G2623" t="inlineStr">
        <is>
          <t>1</t>
        </is>
      </c>
      <c r="H2623" t="inlineStr">
        <is>
          <t>No</t>
        </is>
      </c>
      <c r="I2623" t="inlineStr">
        <is>
          <t>No</t>
        </is>
      </c>
      <c r="J2623" t="inlineStr">
        <is>
          <t>0</t>
        </is>
      </c>
      <c r="K2623" t="inlineStr">
        <is>
          <t>Kääriäinen, Kimmo.</t>
        </is>
      </c>
      <c r="L2623" t="inlineStr">
        <is>
          <t>Lewiston, NY : E. Mellen Press, c1998.</t>
        </is>
      </c>
      <c r="M2623" t="inlineStr">
        <is>
          <t>1998</t>
        </is>
      </c>
      <c r="O2623" t="inlineStr">
        <is>
          <t>eng</t>
        </is>
      </c>
      <c r="P2623" t="inlineStr">
        <is>
          <t>nyu</t>
        </is>
      </c>
      <c r="Q2623" t="inlineStr">
        <is>
          <t>Symposium series ; v. 51</t>
        </is>
      </c>
      <c r="R2623" t="inlineStr">
        <is>
          <t xml:space="preserve">BX </t>
        </is>
      </c>
      <c r="S2623" t="n">
        <v>2</v>
      </c>
      <c r="T2623" t="n">
        <v>2</v>
      </c>
      <c r="U2623" t="inlineStr">
        <is>
          <t>2001-02-02</t>
        </is>
      </c>
      <c r="V2623" t="inlineStr">
        <is>
          <t>2001-02-02</t>
        </is>
      </c>
      <c r="W2623" t="inlineStr">
        <is>
          <t>1999-09-13</t>
        </is>
      </c>
      <c r="X2623" t="inlineStr">
        <is>
          <t>1999-09-13</t>
        </is>
      </c>
      <c r="Y2623" t="n">
        <v>236</v>
      </c>
      <c r="Z2623" t="n">
        <v>202</v>
      </c>
      <c r="AA2623" t="n">
        <v>202</v>
      </c>
      <c r="AB2623" t="n">
        <v>1</v>
      </c>
      <c r="AC2623" t="n">
        <v>1</v>
      </c>
      <c r="AD2623" t="n">
        <v>14</v>
      </c>
      <c r="AE2623" t="n">
        <v>14</v>
      </c>
      <c r="AF2623" t="n">
        <v>6</v>
      </c>
      <c r="AG2623" t="n">
        <v>6</v>
      </c>
      <c r="AH2623" t="n">
        <v>3</v>
      </c>
      <c r="AI2623" t="n">
        <v>3</v>
      </c>
      <c r="AJ2623" t="n">
        <v>9</v>
      </c>
      <c r="AK2623" t="n">
        <v>9</v>
      </c>
      <c r="AL2623" t="n">
        <v>0</v>
      </c>
      <c r="AM2623" t="n">
        <v>0</v>
      </c>
      <c r="AN2623" t="n">
        <v>0</v>
      </c>
      <c r="AO2623" t="n">
        <v>0</v>
      </c>
      <c r="AP2623" t="inlineStr">
        <is>
          <t>No</t>
        </is>
      </c>
      <c r="AQ2623" t="inlineStr">
        <is>
          <t>No</t>
        </is>
      </c>
      <c r="AS2623">
        <f>HYPERLINK("https://creighton-primo.hosted.exlibrisgroup.com/primo-explore/search?tab=default_tab&amp;search_scope=EVERYTHING&amp;vid=01CRU&amp;lang=en_US&amp;offset=0&amp;query=any,contains,991002956889702656","Catalog Record")</f>
        <v/>
      </c>
      <c r="AT2623">
        <f>HYPERLINK("http://www.worldcat.org/oclc/39485234","WorldCat Record")</f>
        <v/>
      </c>
      <c r="AU2623" t="inlineStr">
        <is>
          <t>836964486:eng</t>
        </is>
      </c>
      <c r="AV2623" t="inlineStr">
        <is>
          <t>39485234</t>
        </is>
      </c>
      <c r="AW2623" t="inlineStr">
        <is>
          <t>991002956889702656</t>
        </is>
      </c>
      <c r="AX2623" t="inlineStr">
        <is>
          <t>991002956889702656</t>
        </is>
      </c>
      <c r="AY2623" t="inlineStr">
        <is>
          <t>2258860200002656</t>
        </is>
      </c>
      <c r="AZ2623" t="inlineStr">
        <is>
          <t>BOOK</t>
        </is>
      </c>
      <c r="BB2623" t="inlineStr">
        <is>
          <t>9780773482838</t>
        </is>
      </c>
      <c r="BC2623" t="inlineStr">
        <is>
          <t>32285003588265</t>
        </is>
      </c>
      <c r="BD2623" t="inlineStr">
        <is>
          <t>893352614</t>
        </is>
      </c>
    </row>
    <row r="2624">
      <c r="A2624" t="inlineStr">
        <is>
          <t>No</t>
        </is>
      </c>
      <c r="B2624" t="inlineStr">
        <is>
          <t>BX493 .P76 1999</t>
        </is>
      </c>
      <c r="C2624" t="inlineStr">
        <is>
          <t>0                      BX 0493000P  76          1999</t>
        </is>
      </c>
      <c r="D2624" t="inlineStr">
        <is>
          <t>Proselytism and orthodoxy in Russia : the new war for souls / John Witte, Jr., Michael Bourdeaux, editors.</t>
        </is>
      </c>
      <c r="F2624" t="inlineStr">
        <is>
          <t>No</t>
        </is>
      </c>
      <c r="G2624" t="inlineStr">
        <is>
          <t>1</t>
        </is>
      </c>
      <c r="H2624" t="inlineStr">
        <is>
          <t>No</t>
        </is>
      </c>
      <c r="I2624" t="inlineStr">
        <is>
          <t>No</t>
        </is>
      </c>
      <c r="J2624" t="inlineStr">
        <is>
          <t>0</t>
        </is>
      </c>
      <c r="L2624" t="inlineStr">
        <is>
          <t>Maryknoll, N.Y. : Orbis Books, c1999.</t>
        </is>
      </c>
      <c r="M2624" t="inlineStr">
        <is>
          <t>1999</t>
        </is>
      </c>
      <c r="O2624" t="inlineStr">
        <is>
          <t>eng</t>
        </is>
      </c>
      <c r="P2624" t="inlineStr">
        <is>
          <t>nyu</t>
        </is>
      </c>
      <c r="Q2624" t="inlineStr">
        <is>
          <t>Religion &amp; human rights series</t>
        </is>
      </c>
      <c r="R2624" t="inlineStr">
        <is>
          <t xml:space="preserve">BX </t>
        </is>
      </c>
      <c r="S2624" t="n">
        <v>2</v>
      </c>
      <c r="T2624" t="n">
        <v>2</v>
      </c>
      <c r="U2624" t="inlineStr">
        <is>
          <t>2004-09-27</t>
        </is>
      </c>
      <c r="V2624" t="inlineStr">
        <is>
          <t>2004-09-27</t>
        </is>
      </c>
      <c r="W2624" t="inlineStr">
        <is>
          <t>2000-09-12</t>
        </is>
      </c>
      <c r="X2624" t="inlineStr">
        <is>
          <t>2000-09-12</t>
        </is>
      </c>
      <c r="Y2624" t="n">
        <v>297</v>
      </c>
      <c r="Z2624" t="n">
        <v>253</v>
      </c>
      <c r="AA2624" t="n">
        <v>261</v>
      </c>
      <c r="AB2624" t="n">
        <v>1</v>
      </c>
      <c r="AC2624" t="n">
        <v>1</v>
      </c>
      <c r="AD2624" t="n">
        <v>17</v>
      </c>
      <c r="AE2624" t="n">
        <v>18</v>
      </c>
      <c r="AF2624" t="n">
        <v>6</v>
      </c>
      <c r="AG2624" t="n">
        <v>6</v>
      </c>
      <c r="AH2624" t="n">
        <v>3</v>
      </c>
      <c r="AI2624" t="n">
        <v>3</v>
      </c>
      <c r="AJ2624" t="n">
        <v>10</v>
      </c>
      <c r="AK2624" t="n">
        <v>10</v>
      </c>
      <c r="AL2624" t="n">
        <v>0</v>
      </c>
      <c r="AM2624" t="n">
        <v>0</v>
      </c>
      <c r="AN2624" t="n">
        <v>2</v>
      </c>
      <c r="AO2624" t="n">
        <v>3</v>
      </c>
      <c r="AP2624" t="inlineStr">
        <is>
          <t>No</t>
        </is>
      </c>
      <c r="AQ2624" t="inlineStr">
        <is>
          <t>Yes</t>
        </is>
      </c>
      <c r="AR2624">
        <f>HYPERLINK("http://catalog.hathitrust.org/Record/004046709","HathiTrust Record")</f>
        <v/>
      </c>
      <c r="AS2624">
        <f>HYPERLINK("https://creighton-primo.hosted.exlibrisgroup.com/primo-explore/search?tab=default_tab&amp;search_scope=EVERYTHING&amp;vid=01CRU&amp;lang=en_US&amp;offset=0&amp;query=any,contains,991003239429702656","Catalog Record")</f>
        <v/>
      </c>
      <c r="AT2624">
        <f>HYPERLINK("http://www.worldcat.org/oclc/40948472","WorldCat Record")</f>
        <v/>
      </c>
      <c r="AU2624" t="inlineStr">
        <is>
          <t>889759565:eng</t>
        </is>
      </c>
      <c r="AV2624" t="inlineStr">
        <is>
          <t>40948472</t>
        </is>
      </c>
      <c r="AW2624" t="inlineStr">
        <is>
          <t>991003239429702656</t>
        </is>
      </c>
      <c r="AX2624" t="inlineStr">
        <is>
          <t>991003239429702656</t>
        </is>
      </c>
      <c r="AY2624" t="inlineStr">
        <is>
          <t>2269156360002656</t>
        </is>
      </c>
      <c r="AZ2624" t="inlineStr">
        <is>
          <t>BOOK</t>
        </is>
      </c>
      <c r="BB2624" t="inlineStr">
        <is>
          <t>9781570752629</t>
        </is>
      </c>
      <c r="BC2624" t="inlineStr">
        <is>
          <t>32285003761078</t>
        </is>
      </c>
      <c r="BD2624" t="inlineStr">
        <is>
          <t>893698793</t>
        </is>
      </c>
    </row>
    <row r="2625">
      <c r="A2625" t="inlineStr">
        <is>
          <t>No</t>
        </is>
      </c>
      <c r="B2625" t="inlineStr">
        <is>
          <t>BX4930 .H79 1989</t>
        </is>
      </c>
      <c r="C2625" t="inlineStr">
        <is>
          <t>0                      BX 4930000H  79          1989</t>
        </is>
      </c>
      <c r="D2625" t="inlineStr">
        <is>
          <t>Balthasar Hubmaier, theologian of Anabaptism / translated and edited by H. Wayne Pipkin and John H. Yoder.</t>
        </is>
      </c>
      <c r="F2625" t="inlineStr">
        <is>
          <t>No</t>
        </is>
      </c>
      <c r="G2625" t="inlineStr">
        <is>
          <t>1</t>
        </is>
      </c>
      <c r="H2625" t="inlineStr">
        <is>
          <t>No</t>
        </is>
      </c>
      <c r="I2625" t="inlineStr">
        <is>
          <t>No</t>
        </is>
      </c>
      <c r="J2625" t="inlineStr">
        <is>
          <t>0</t>
        </is>
      </c>
      <c r="K2625" t="inlineStr">
        <is>
          <t>Hubmaier, Balthasar, -1528.</t>
        </is>
      </c>
      <c r="L2625" t="inlineStr">
        <is>
          <t>Scottdale, Pa. : Herald Press, 1989.</t>
        </is>
      </c>
      <c r="M2625" t="inlineStr">
        <is>
          <t>1989</t>
        </is>
      </c>
      <c r="O2625" t="inlineStr">
        <is>
          <t>eng</t>
        </is>
      </c>
      <c r="P2625" t="inlineStr">
        <is>
          <t>pau</t>
        </is>
      </c>
      <c r="Q2625" t="inlineStr">
        <is>
          <t>Classics of the radical Reformation ; 5</t>
        </is>
      </c>
      <c r="R2625" t="inlineStr">
        <is>
          <t xml:space="preserve">BX </t>
        </is>
      </c>
      <c r="S2625" t="n">
        <v>1</v>
      </c>
      <c r="T2625" t="n">
        <v>1</v>
      </c>
      <c r="U2625" t="inlineStr">
        <is>
          <t>1998-07-13</t>
        </is>
      </c>
      <c r="V2625" t="inlineStr">
        <is>
          <t>1998-07-13</t>
        </is>
      </c>
      <c r="W2625" t="inlineStr">
        <is>
          <t>1991-04-30</t>
        </is>
      </c>
      <c r="X2625" t="inlineStr">
        <is>
          <t>1991-04-30</t>
        </is>
      </c>
      <c r="Y2625" t="n">
        <v>339</v>
      </c>
      <c r="Z2625" t="n">
        <v>268</v>
      </c>
      <c r="AA2625" t="n">
        <v>278</v>
      </c>
      <c r="AB2625" t="n">
        <v>1</v>
      </c>
      <c r="AC2625" t="n">
        <v>1</v>
      </c>
      <c r="AD2625" t="n">
        <v>13</v>
      </c>
      <c r="AE2625" t="n">
        <v>13</v>
      </c>
      <c r="AF2625" t="n">
        <v>7</v>
      </c>
      <c r="AG2625" t="n">
        <v>7</v>
      </c>
      <c r="AH2625" t="n">
        <v>3</v>
      </c>
      <c r="AI2625" t="n">
        <v>3</v>
      </c>
      <c r="AJ2625" t="n">
        <v>6</v>
      </c>
      <c r="AK2625" t="n">
        <v>6</v>
      </c>
      <c r="AL2625" t="n">
        <v>0</v>
      </c>
      <c r="AM2625" t="n">
        <v>0</v>
      </c>
      <c r="AN2625" t="n">
        <v>0</v>
      </c>
      <c r="AO2625" t="n">
        <v>0</v>
      </c>
      <c r="AP2625" t="inlineStr">
        <is>
          <t>No</t>
        </is>
      </c>
      <c r="AQ2625" t="inlineStr">
        <is>
          <t>Yes</t>
        </is>
      </c>
      <c r="AR2625">
        <f>HYPERLINK("http://catalog.hathitrust.org/Record/003000424","HathiTrust Record")</f>
        <v/>
      </c>
      <c r="AS2625">
        <f>HYPERLINK("https://creighton-primo.hosted.exlibrisgroup.com/primo-explore/search?tab=default_tab&amp;search_scope=EVERYTHING&amp;vid=01CRU&amp;lang=en_US&amp;offset=0&amp;query=any,contains,991001365349702656","Catalog Record")</f>
        <v/>
      </c>
      <c r="AT2625">
        <f>HYPERLINK("http://www.worldcat.org/oclc/18557953","WorldCat Record")</f>
        <v/>
      </c>
      <c r="AU2625" t="inlineStr">
        <is>
          <t>762365051:eng</t>
        </is>
      </c>
      <c r="AV2625" t="inlineStr">
        <is>
          <t>18557953</t>
        </is>
      </c>
      <c r="AW2625" t="inlineStr">
        <is>
          <t>991001365349702656</t>
        </is>
      </c>
      <c r="AX2625" t="inlineStr">
        <is>
          <t>991001365349702656</t>
        </is>
      </c>
      <c r="AY2625" t="inlineStr">
        <is>
          <t>2264205300002656</t>
        </is>
      </c>
      <c r="AZ2625" t="inlineStr">
        <is>
          <t>BOOK</t>
        </is>
      </c>
      <c r="BB2625" t="inlineStr">
        <is>
          <t>9780836131031</t>
        </is>
      </c>
      <c r="BC2625" t="inlineStr">
        <is>
          <t>32285000570050</t>
        </is>
      </c>
      <c r="BD2625" t="inlineStr">
        <is>
          <t>893408061</t>
        </is>
      </c>
    </row>
    <row r="2626">
      <c r="A2626" t="inlineStr">
        <is>
          <t>No</t>
        </is>
      </c>
      <c r="B2626" t="inlineStr">
        <is>
          <t>BX4930 .J59 1994</t>
        </is>
      </c>
      <c r="C2626" t="inlineStr">
        <is>
          <t>0                      BX 4930000J  59          1994</t>
        </is>
      </c>
      <c r="D2626" t="inlineStr">
        <is>
          <t>The Anabaptist writings of David Joris, 1535-1543 / translated and edited by Gary K. Waite.</t>
        </is>
      </c>
      <c r="F2626" t="inlineStr">
        <is>
          <t>No</t>
        </is>
      </c>
      <c r="G2626" t="inlineStr">
        <is>
          <t>1</t>
        </is>
      </c>
      <c r="H2626" t="inlineStr">
        <is>
          <t>No</t>
        </is>
      </c>
      <c r="I2626" t="inlineStr">
        <is>
          <t>No</t>
        </is>
      </c>
      <c r="J2626" t="inlineStr">
        <is>
          <t>0</t>
        </is>
      </c>
      <c r="K2626" t="inlineStr">
        <is>
          <t>Joris, David, 1501 or 1502-</t>
        </is>
      </c>
      <c r="L2626" t="inlineStr">
        <is>
          <t>Waterloo, Ont. ; Scottdale, Pa. : Herald Press, c1994.</t>
        </is>
      </c>
      <c r="M2626" t="inlineStr">
        <is>
          <t>1994</t>
        </is>
      </c>
      <c r="O2626" t="inlineStr">
        <is>
          <t>eng</t>
        </is>
      </c>
      <c r="P2626" t="inlineStr">
        <is>
          <t>onc</t>
        </is>
      </c>
      <c r="Q2626" t="inlineStr">
        <is>
          <t>Classics of the radical Reformation ; 7</t>
        </is>
      </c>
      <c r="R2626" t="inlineStr">
        <is>
          <t xml:space="preserve">BX </t>
        </is>
      </c>
      <c r="S2626" t="n">
        <v>0</v>
      </c>
      <c r="T2626" t="n">
        <v>0</v>
      </c>
      <c r="U2626" t="inlineStr">
        <is>
          <t>2010-11-23</t>
        </is>
      </c>
      <c r="V2626" t="inlineStr">
        <is>
          <t>2010-11-23</t>
        </is>
      </c>
      <c r="W2626" t="inlineStr">
        <is>
          <t>1996-09-24</t>
        </is>
      </c>
      <c r="X2626" t="inlineStr">
        <is>
          <t>1996-09-24</t>
        </is>
      </c>
      <c r="Y2626" t="n">
        <v>230</v>
      </c>
      <c r="Z2626" t="n">
        <v>172</v>
      </c>
      <c r="AA2626" t="n">
        <v>471</v>
      </c>
      <c r="AB2626" t="n">
        <v>2</v>
      </c>
      <c r="AC2626" t="n">
        <v>3</v>
      </c>
      <c r="AD2626" t="n">
        <v>10</v>
      </c>
      <c r="AE2626" t="n">
        <v>12</v>
      </c>
      <c r="AF2626" t="n">
        <v>5</v>
      </c>
      <c r="AG2626" t="n">
        <v>6</v>
      </c>
      <c r="AH2626" t="n">
        <v>1</v>
      </c>
      <c r="AI2626" t="n">
        <v>1</v>
      </c>
      <c r="AJ2626" t="n">
        <v>6</v>
      </c>
      <c r="AK2626" t="n">
        <v>7</v>
      </c>
      <c r="AL2626" t="n">
        <v>1</v>
      </c>
      <c r="AM2626" t="n">
        <v>2</v>
      </c>
      <c r="AN2626" t="n">
        <v>0</v>
      </c>
      <c r="AO2626" t="n">
        <v>0</v>
      </c>
      <c r="AP2626" t="inlineStr">
        <is>
          <t>No</t>
        </is>
      </c>
      <c r="AQ2626" t="inlineStr">
        <is>
          <t>Yes</t>
        </is>
      </c>
      <c r="AR2626">
        <f>HYPERLINK("http://catalog.hathitrust.org/Record/003003648","HathiTrust Record")</f>
        <v/>
      </c>
      <c r="AS2626">
        <f>HYPERLINK("https://creighton-primo.hosted.exlibrisgroup.com/primo-explore/search?tab=default_tab&amp;search_scope=EVERYTHING&amp;vid=01CRU&amp;lang=en_US&amp;offset=0&amp;query=any,contains,991002260769702656","Catalog Record")</f>
        <v/>
      </c>
      <c r="AT2626">
        <f>HYPERLINK("http://www.worldcat.org/oclc/29315508","WorldCat Record")</f>
        <v/>
      </c>
      <c r="AU2626" t="inlineStr">
        <is>
          <t>1025636:eng</t>
        </is>
      </c>
      <c r="AV2626" t="inlineStr">
        <is>
          <t>29315508</t>
        </is>
      </c>
      <c r="AW2626" t="inlineStr">
        <is>
          <t>991002260769702656</t>
        </is>
      </c>
      <c r="AX2626" t="inlineStr">
        <is>
          <t>991002260769702656</t>
        </is>
      </c>
      <c r="AY2626" t="inlineStr">
        <is>
          <t>2260818620002656</t>
        </is>
      </c>
      <c r="AZ2626" t="inlineStr">
        <is>
          <t>BOOK</t>
        </is>
      </c>
      <c r="BB2626" t="inlineStr">
        <is>
          <t>9780836131130</t>
        </is>
      </c>
      <c r="BC2626" t="inlineStr">
        <is>
          <t>32285002318896</t>
        </is>
      </c>
      <c r="BD2626" t="inlineStr">
        <is>
          <t>893603390</t>
        </is>
      </c>
    </row>
    <row r="2627">
      <c r="A2627" t="inlineStr">
        <is>
          <t>No</t>
        </is>
      </c>
      <c r="B2627" t="inlineStr">
        <is>
          <t>BX4931 .B3 1970</t>
        </is>
      </c>
      <c r="C2627" t="inlineStr">
        <is>
          <t>0                      BX 4931000B  3           1970</t>
        </is>
      </c>
      <c r="D2627" t="inlineStr">
        <is>
          <t>Rise and fall of the Anabaptists / by E. Belfort Bax.</t>
        </is>
      </c>
      <c r="F2627" t="inlineStr">
        <is>
          <t>No</t>
        </is>
      </c>
      <c r="G2627" t="inlineStr">
        <is>
          <t>1</t>
        </is>
      </c>
      <c r="H2627" t="inlineStr">
        <is>
          <t>No</t>
        </is>
      </c>
      <c r="I2627" t="inlineStr">
        <is>
          <t>No</t>
        </is>
      </c>
      <c r="J2627" t="inlineStr">
        <is>
          <t>0</t>
        </is>
      </c>
      <c r="K2627" t="inlineStr">
        <is>
          <t>Bax, Ernest Belfort, 1854-1926.</t>
        </is>
      </c>
      <c r="L2627" t="inlineStr">
        <is>
          <t>New York : A. M. Kelley, 1970.</t>
        </is>
      </c>
      <c r="M2627" t="inlineStr">
        <is>
          <t>1970</t>
        </is>
      </c>
      <c r="O2627" t="inlineStr">
        <is>
          <t>eng</t>
        </is>
      </c>
      <c r="P2627" t="inlineStr">
        <is>
          <t>nyu</t>
        </is>
      </c>
      <c r="Q2627" t="inlineStr">
        <is>
          <t>Reprints of economic classics</t>
        </is>
      </c>
      <c r="R2627" t="inlineStr">
        <is>
          <t xml:space="preserve">BX </t>
        </is>
      </c>
      <c r="S2627" t="n">
        <v>5</v>
      </c>
      <c r="T2627" t="n">
        <v>5</v>
      </c>
      <c r="U2627" t="inlineStr">
        <is>
          <t>1993-09-28</t>
        </is>
      </c>
      <c r="V2627" t="inlineStr">
        <is>
          <t>1993-09-28</t>
        </is>
      </c>
      <c r="W2627" t="inlineStr">
        <is>
          <t>1991-11-25</t>
        </is>
      </c>
      <c r="X2627" t="inlineStr">
        <is>
          <t>1991-11-25</t>
        </is>
      </c>
      <c r="Y2627" t="n">
        <v>222</v>
      </c>
      <c r="Z2627" t="n">
        <v>180</v>
      </c>
      <c r="AA2627" t="n">
        <v>512</v>
      </c>
      <c r="AB2627" t="n">
        <v>4</v>
      </c>
      <c r="AC2627" t="n">
        <v>8</v>
      </c>
      <c r="AD2627" t="n">
        <v>10</v>
      </c>
      <c r="AE2627" t="n">
        <v>29</v>
      </c>
      <c r="AF2627" t="n">
        <v>3</v>
      </c>
      <c r="AG2627" t="n">
        <v>9</v>
      </c>
      <c r="AH2627" t="n">
        <v>3</v>
      </c>
      <c r="AI2627" t="n">
        <v>6</v>
      </c>
      <c r="AJ2627" t="n">
        <v>5</v>
      </c>
      <c r="AK2627" t="n">
        <v>12</v>
      </c>
      <c r="AL2627" t="n">
        <v>3</v>
      </c>
      <c r="AM2627" t="n">
        <v>6</v>
      </c>
      <c r="AN2627" t="n">
        <v>0</v>
      </c>
      <c r="AO2627" t="n">
        <v>0</v>
      </c>
      <c r="AP2627" t="inlineStr">
        <is>
          <t>No</t>
        </is>
      </c>
      <c r="AQ2627" t="inlineStr">
        <is>
          <t>Yes</t>
        </is>
      </c>
      <c r="AR2627">
        <f>HYPERLINK("http://catalog.hathitrust.org/Record/012271184","HathiTrust Record")</f>
        <v/>
      </c>
      <c r="AS2627">
        <f>HYPERLINK("https://creighton-primo.hosted.exlibrisgroup.com/primo-explore/search?tab=default_tab&amp;search_scope=EVERYTHING&amp;vid=01CRU&amp;lang=en_US&amp;offset=0&amp;query=any,contains,991000129909702656","Catalog Record")</f>
        <v/>
      </c>
      <c r="AT2627">
        <f>HYPERLINK("http://www.worldcat.org/oclc/53700","WorldCat Record")</f>
        <v/>
      </c>
      <c r="AU2627" t="inlineStr">
        <is>
          <t>1179235:eng</t>
        </is>
      </c>
      <c r="AV2627" t="inlineStr">
        <is>
          <t>53700</t>
        </is>
      </c>
      <c r="AW2627" t="inlineStr">
        <is>
          <t>991000129909702656</t>
        </is>
      </c>
      <c r="AX2627" t="inlineStr">
        <is>
          <t>991000129909702656</t>
        </is>
      </c>
      <c r="AY2627" t="inlineStr">
        <is>
          <t>2257446430002656</t>
        </is>
      </c>
      <c r="AZ2627" t="inlineStr">
        <is>
          <t>BOOK</t>
        </is>
      </c>
      <c r="BB2627" t="inlineStr">
        <is>
          <t>9780678005934</t>
        </is>
      </c>
      <c r="BC2627" t="inlineStr">
        <is>
          <t>32285000845189</t>
        </is>
      </c>
      <c r="BD2627" t="inlineStr">
        <is>
          <t>893230893</t>
        </is>
      </c>
    </row>
    <row r="2628">
      <c r="A2628" t="inlineStr">
        <is>
          <t>No</t>
        </is>
      </c>
      <c r="B2628" t="inlineStr">
        <is>
          <t>BX4931 .S798 1976</t>
        </is>
      </c>
      <c r="C2628" t="inlineStr">
        <is>
          <t>0                      BX 4931000S  798         1976</t>
        </is>
      </c>
      <c r="D2628" t="inlineStr">
        <is>
          <t>Anabaptists and the sword / James M. Stayer.</t>
        </is>
      </c>
      <c r="F2628" t="inlineStr">
        <is>
          <t>No</t>
        </is>
      </c>
      <c r="G2628" t="inlineStr">
        <is>
          <t>1</t>
        </is>
      </c>
      <c r="H2628" t="inlineStr">
        <is>
          <t>No</t>
        </is>
      </c>
      <c r="I2628" t="inlineStr">
        <is>
          <t>No</t>
        </is>
      </c>
      <c r="J2628" t="inlineStr">
        <is>
          <t>0</t>
        </is>
      </c>
      <c r="K2628" t="inlineStr">
        <is>
          <t>Stayer, James M.</t>
        </is>
      </c>
      <c r="L2628" t="inlineStr">
        <is>
          <t>Lawrence, Kan. : Coronado Press, 1976.</t>
        </is>
      </c>
      <c r="M2628" t="inlineStr">
        <is>
          <t>1976</t>
        </is>
      </c>
      <c r="N2628" t="inlineStr">
        <is>
          <t>New ed. including Reflections and retractions.</t>
        </is>
      </c>
      <c r="O2628" t="inlineStr">
        <is>
          <t>eng</t>
        </is>
      </c>
      <c r="P2628" t="inlineStr">
        <is>
          <t>ksu</t>
        </is>
      </c>
      <c r="R2628" t="inlineStr">
        <is>
          <t xml:space="preserve">BX </t>
        </is>
      </c>
      <c r="S2628" t="n">
        <v>4</v>
      </c>
      <c r="T2628" t="n">
        <v>4</v>
      </c>
      <c r="U2628" t="inlineStr">
        <is>
          <t>2002-04-06</t>
        </is>
      </c>
      <c r="V2628" t="inlineStr">
        <is>
          <t>2002-04-06</t>
        </is>
      </c>
      <c r="W2628" t="inlineStr">
        <is>
          <t>1992-04-13</t>
        </is>
      </c>
      <c r="X2628" t="inlineStr">
        <is>
          <t>1992-04-13</t>
        </is>
      </c>
      <c r="Y2628" t="n">
        <v>191</v>
      </c>
      <c r="Z2628" t="n">
        <v>160</v>
      </c>
      <c r="AA2628" t="n">
        <v>477</v>
      </c>
      <c r="AB2628" t="n">
        <v>3</v>
      </c>
      <c r="AC2628" t="n">
        <v>5</v>
      </c>
      <c r="AD2628" t="n">
        <v>7</v>
      </c>
      <c r="AE2628" t="n">
        <v>23</v>
      </c>
      <c r="AF2628" t="n">
        <v>4</v>
      </c>
      <c r="AG2628" t="n">
        <v>11</v>
      </c>
      <c r="AH2628" t="n">
        <v>1</v>
      </c>
      <c r="AI2628" t="n">
        <v>5</v>
      </c>
      <c r="AJ2628" t="n">
        <v>2</v>
      </c>
      <c r="AK2628" t="n">
        <v>11</v>
      </c>
      <c r="AL2628" t="n">
        <v>2</v>
      </c>
      <c r="AM2628" t="n">
        <v>4</v>
      </c>
      <c r="AN2628" t="n">
        <v>0</v>
      </c>
      <c r="AO2628" t="n">
        <v>0</v>
      </c>
      <c r="AP2628" t="inlineStr">
        <is>
          <t>No</t>
        </is>
      </c>
      <c r="AQ2628" t="inlineStr">
        <is>
          <t>Yes</t>
        </is>
      </c>
      <c r="AR2628">
        <f>HYPERLINK("http://catalog.hathitrust.org/Record/000170356","HathiTrust Record")</f>
        <v/>
      </c>
      <c r="AS2628">
        <f>HYPERLINK("https://creighton-primo.hosted.exlibrisgroup.com/primo-explore/search?tab=default_tab&amp;search_scope=EVERYTHING&amp;vid=01CRU&amp;lang=en_US&amp;offset=0&amp;query=any,contains,991004209699702656","Catalog Record")</f>
        <v/>
      </c>
      <c r="AT2628">
        <f>HYPERLINK("http://www.worldcat.org/oclc/2663020","WorldCat Record")</f>
        <v/>
      </c>
      <c r="AU2628" t="inlineStr">
        <is>
          <t>2182684:eng</t>
        </is>
      </c>
      <c r="AV2628" t="inlineStr">
        <is>
          <t>2663020</t>
        </is>
      </c>
      <c r="AW2628" t="inlineStr">
        <is>
          <t>991004209699702656</t>
        </is>
      </c>
      <c r="AX2628" t="inlineStr">
        <is>
          <t>991004209699702656</t>
        </is>
      </c>
      <c r="AY2628" t="inlineStr">
        <is>
          <t>2265987850002656</t>
        </is>
      </c>
      <c r="AZ2628" t="inlineStr">
        <is>
          <t>BOOK</t>
        </is>
      </c>
      <c r="BB2628" t="inlineStr">
        <is>
          <t>9780872910812</t>
        </is>
      </c>
      <c r="BC2628" t="inlineStr">
        <is>
          <t>32285001067700</t>
        </is>
      </c>
      <c r="BD2628" t="inlineStr">
        <is>
          <t>893904752</t>
        </is>
      </c>
    </row>
    <row r="2629">
      <c r="A2629" t="inlineStr">
        <is>
          <t>No</t>
        </is>
      </c>
      <c r="B2629" t="inlineStr">
        <is>
          <t>BX4931.2 .D37 1974</t>
        </is>
      </c>
      <c r="C2629" t="inlineStr">
        <is>
          <t>0                      BX 4931200D  37          1974</t>
        </is>
      </c>
      <c r="D2629" t="inlineStr">
        <is>
          <t>Anabaptism and asceticism : a study in intellectual origins / by Kenneth Ronald Davis.</t>
        </is>
      </c>
      <c r="F2629" t="inlineStr">
        <is>
          <t>No</t>
        </is>
      </c>
      <c r="G2629" t="inlineStr">
        <is>
          <t>1</t>
        </is>
      </c>
      <c r="H2629" t="inlineStr">
        <is>
          <t>No</t>
        </is>
      </c>
      <c r="I2629" t="inlineStr">
        <is>
          <t>No</t>
        </is>
      </c>
      <c r="J2629" t="inlineStr">
        <is>
          <t>0</t>
        </is>
      </c>
      <c r="K2629" t="inlineStr">
        <is>
          <t>Davis, Kenneth Ronald, 1929-</t>
        </is>
      </c>
      <c r="L2629" t="inlineStr">
        <is>
          <t>Scottdale, Pa. : Herald Press, 1974.</t>
        </is>
      </c>
      <c r="M2629" t="inlineStr">
        <is>
          <t>1974</t>
        </is>
      </c>
      <c r="O2629" t="inlineStr">
        <is>
          <t>eng</t>
        </is>
      </c>
      <c r="P2629" t="inlineStr">
        <is>
          <t>pau</t>
        </is>
      </c>
      <c r="Q2629" t="inlineStr">
        <is>
          <t>Studies in Anabaptist and Mennonite history ; no. 16</t>
        </is>
      </c>
      <c r="R2629" t="inlineStr">
        <is>
          <t xml:space="preserve">BX </t>
        </is>
      </c>
      <c r="S2629" t="n">
        <v>5</v>
      </c>
      <c r="T2629" t="n">
        <v>5</v>
      </c>
      <c r="U2629" t="inlineStr">
        <is>
          <t>2000-03-19</t>
        </is>
      </c>
      <c r="V2629" t="inlineStr">
        <is>
          <t>2000-03-19</t>
        </is>
      </c>
      <c r="W2629" t="inlineStr">
        <is>
          <t>1992-04-13</t>
        </is>
      </c>
      <c r="X2629" t="inlineStr">
        <is>
          <t>1992-04-13</t>
        </is>
      </c>
      <c r="Y2629" t="n">
        <v>365</v>
      </c>
      <c r="Z2629" t="n">
        <v>290</v>
      </c>
      <c r="AA2629" t="n">
        <v>301</v>
      </c>
      <c r="AB2629" t="n">
        <v>3</v>
      </c>
      <c r="AC2629" t="n">
        <v>3</v>
      </c>
      <c r="AD2629" t="n">
        <v>15</v>
      </c>
      <c r="AE2629" t="n">
        <v>15</v>
      </c>
      <c r="AF2629" t="n">
        <v>7</v>
      </c>
      <c r="AG2629" t="n">
        <v>7</v>
      </c>
      <c r="AH2629" t="n">
        <v>2</v>
      </c>
      <c r="AI2629" t="n">
        <v>2</v>
      </c>
      <c r="AJ2629" t="n">
        <v>8</v>
      </c>
      <c r="AK2629" t="n">
        <v>8</v>
      </c>
      <c r="AL2629" t="n">
        <v>2</v>
      </c>
      <c r="AM2629" t="n">
        <v>2</v>
      </c>
      <c r="AN2629" t="n">
        <v>0</v>
      </c>
      <c r="AO2629" t="n">
        <v>0</v>
      </c>
      <c r="AP2629" t="inlineStr">
        <is>
          <t>No</t>
        </is>
      </c>
      <c r="AQ2629" t="inlineStr">
        <is>
          <t>Yes</t>
        </is>
      </c>
      <c r="AR2629">
        <f>HYPERLINK("http://catalog.hathitrust.org/Record/000272762","HathiTrust Record")</f>
        <v/>
      </c>
      <c r="AS2629">
        <f>HYPERLINK("https://creighton-primo.hosted.exlibrisgroup.com/primo-explore/search?tab=default_tab&amp;search_scope=EVERYTHING&amp;vid=01CRU&amp;lang=en_US&amp;offset=0&amp;query=any,contains,991003220609702656","Catalog Record")</f>
        <v/>
      </c>
      <c r="AT2629">
        <f>HYPERLINK("http://www.worldcat.org/oclc/745961","WorldCat Record")</f>
        <v/>
      </c>
      <c r="AU2629" t="inlineStr">
        <is>
          <t>497756:eng</t>
        </is>
      </c>
      <c r="AV2629" t="inlineStr">
        <is>
          <t>745961</t>
        </is>
      </c>
      <c r="AW2629" t="inlineStr">
        <is>
          <t>991003220609702656</t>
        </is>
      </c>
      <c r="AX2629" t="inlineStr">
        <is>
          <t>991003220609702656</t>
        </is>
      </c>
      <c r="AY2629" t="inlineStr">
        <is>
          <t>2268957620002656</t>
        </is>
      </c>
      <c r="AZ2629" t="inlineStr">
        <is>
          <t>BOOK</t>
        </is>
      </c>
      <c r="BB2629" t="inlineStr">
        <is>
          <t>9780836111958</t>
        </is>
      </c>
      <c r="BC2629" t="inlineStr">
        <is>
          <t>32285001067676</t>
        </is>
      </c>
      <c r="BD2629" t="inlineStr">
        <is>
          <t>893868200</t>
        </is>
      </c>
    </row>
    <row r="2630">
      <c r="A2630" t="inlineStr">
        <is>
          <t>No</t>
        </is>
      </c>
      <c r="B2630" t="inlineStr">
        <is>
          <t>BX4931.2 .F76 1998</t>
        </is>
      </c>
      <c r="C2630" t="inlineStr">
        <is>
          <t>0                      BX 4931200F  76          1998</t>
        </is>
      </c>
      <c r="D2630" t="inlineStr">
        <is>
          <t>Erasmus, the Anabaptists, and the Great Commission / Abraham Friesen.</t>
        </is>
      </c>
      <c r="F2630" t="inlineStr">
        <is>
          <t>No</t>
        </is>
      </c>
      <c r="G2630" t="inlineStr">
        <is>
          <t>1</t>
        </is>
      </c>
      <c r="H2630" t="inlineStr">
        <is>
          <t>No</t>
        </is>
      </c>
      <c r="I2630" t="inlineStr">
        <is>
          <t>No</t>
        </is>
      </c>
      <c r="J2630" t="inlineStr">
        <is>
          <t>0</t>
        </is>
      </c>
      <c r="K2630" t="inlineStr">
        <is>
          <t>Friesen, Abraham.</t>
        </is>
      </c>
      <c r="L2630" t="inlineStr">
        <is>
          <t>Grand Rapids, Mich. : W.B. Eerdmans Pub., c1998.</t>
        </is>
      </c>
      <c r="M2630" t="inlineStr">
        <is>
          <t>1998</t>
        </is>
      </c>
      <c r="O2630" t="inlineStr">
        <is>
          <t>eng</t>
        </is>
      </c>
      <c r="P2630" t="inlineStr">
        <is>
          <t>miu</t>
        </is>
      </c>
      <c r="R2630" t="inlineStr">
        <is>
          <t xml:space="preserve">BX </t>
        </is>
      </c>
      <c r="S2630" t="n">
        <v>4</v>
      </c>
      <c r="T2630" t="n">
        <v>4</v>
      </c>
      <c r="U2630" t="inlineStr">
        <is>
          <t>2005-11-13</t>
        </is>
      </c>
      <c r="V2630" t="inlineStr">
        <is>
          <t>2005-11-13</t>
        </is>
      </c>
      <c r="W2630" t="inlineStr">
        <is>
          <t>1999-10-27</t>
        </is>
      </c>
      <c r="X2630" t="inlineStr">
        <is>
          <t>1999-10-27</t>
        </is>
      </c>
      <c r="Y2630" t="n">
        <v>343</v>
      </c>
      <c r="Z2630" t="n">
        <v>278</v>
      </c>
      <c r="AA2630" t="n">
        <v>280</v>
      </c>
      <c r="AB2630" t="n">
        <v>4</v>
      </c>
      <c r="AC2630" t="n">
        <v>4</v>
      </c>
      <c r="AD2630" t="n">
        <v>22</v>
      </c>
      <c r="AE2630" t="n">
        <v>22</v>
      </c>
      <c r="AF2630" t="n">
        <v>7</v>
      </c>
      <c r="AG2630" t="n">
        <v>7</v>
      </c>
      <c r="AH2630" t="n">
        <v>5</v>
      </c>
      <c r="AI2630" t="n">
        <v>5</v>
      </c>
      <c r="AJ2630" t="n">
        <v>11</v>
      </c>
      <c r="AK2630" t="n">
        <v>11</v>
      </c>
      <c r="AL2630" t="n">
        <v>3</v>
      </c>
      <c r="AM2630" t="n">
        <v>3</v>
      </c>
      <c r="AN2630" t="n">
        <v>0</v>
      </c>
      <c r="AO2630" t="n">
        <v>0</v>
      </c>
      <c r="AP2630" t="inlineStr">
        <is>
          <t>No</t>
        </is>
      </c>
      <c r="AQ2630" t="inlineStr">
        <is>
          <t>Yes</t>
        </is>
      </c>
      <c r="AR2630">
        <f>HYPERLINK("http://catalog.hathitrust.org/Record/003973140","HathiTrust Record")</f>
        <v/>
      </c>
      <c r="AS2630">
        <f>HYPERLINK("https://creighton-primo.hosted.exlibrisgroup.com/primo-explore/search?tab=default_tab&amp;search_scope=EVERYTHING&amp;vid=01CRU&amp;lang=en_US&amp;offset=0&amp;query=any,contains,991002876779702656","Catalog Record")</f>
        <v/>
      </c>
      <c r="AT2630">
        <f>HYPERLINK("http://www.worldcat.org/oclc/37909826","WorldCat Record")</f>
        <v/>
      </c>
      <c r="AU2630" t="inlineStr">
        <is>
          <t>611747:eng</t>
        </is>
      </c>
      <c r="AV2630" t="inlineStr">
        <is>
          <t>37909826</t>
        </is>
      </c>
      <c r="AW2630" t="inlineStr">
        <is>
          <t>991002876779702656</t>
        </is>
      </c>
      <c r="AX2630" t="inlineStr">
        <is>
          <t>991002876779702656</t>
        </is>
      </c>
      <c r="AY2630" t="inlineStr">
        <is>
          <t>2257502230002656</t>
        </is>
      </c>
      <c r="AZ2630" t="inlineStr">
        <is>
          <t>BOOK</t>
        </is>
      </c>
      <c r="BB2630" t="inlineStr">
        <is>
          <t>9780802844484</t>
        </is>
      </c>
      <c r="BC2630" t="inlineStr">
        <is>
          <t>32285003614541</t>
        </is>
      </c>
      <c r="BD2630" t="inlineStr">
        <is>
          <t>893227391</t>
        </is>
      </c>
    </row>
    <row r="2631">
      <c r="A2631" t="inlineStr">
        <is>
          <t>No</t>
        </is>
      </c>
      <c r="B2631" t="inlineStr">
        <is>
          <t>BX4946.H6 D46 1987</t>
        </is>
      </c>
      <c r="C2631" t="inlineStr">
        <is>
          <t>0                      BX 4946000H  6                  D  46          1987</t>
        </is>
      </c>
      <c r="D2631" t="inlineStr">
        <is>
          <t>Melchior Hoffman : social unrest and apocalyptic visions in the Age of Reformation / Klaus Deppermann ; translated by Malcolm Wren ; edited by Benjamin Drewery.</t>
        </is>
      </c>
      <c r="F2631" t="inlineStr">
        <is>
          <t>No</t>
        </is>
      </c>
      <c r="G2631" t="inlineStr">
        <is>
          <t>1</t>
        </is>
      </c>
      <c r="H2631" t="inlineStr">
        <is>
          <t>No</t>
        </is>
      </c>
      <c r="I2631" t="inlineStr">
        <is>
          <t>No</t>
        </is>
      </c>
      <c r="J2631" t="inlineStr">
        <is>
          <t>0</t>
        </is>
      </c>
      <c r="K2631" t="inlineStr">
        <is>
          <t>Deppermann, Klaus.</t>
        </is>
      </c>
      <c r="L2631" t="inlineStr">
        <is>
          <t>Edinburgh : T. &amp; T. Clark, 1987.</t>
        </is>
      </c>
      <c r="M2631" t="inlineStr">
        <is>
          <t>1987</t>
        </is>
      </c>
      <c r="O2631" t="inlineStr">
        <is>
          <t>eng</t>
        </is>
      </c>
      <c r="P2631" t="inlineStr">
        <is>
          <t xml:space="preserve">xx </t>
        </is>
      </c>
      <c r="R2631" t="inlineStr">
        <is>
          <t xml:space="preserve">BX </t>
        </is>
      </c>
      <c r="S2631" t="n">
        <v>2</v>
      </c>
      <c r="T2631" t="n">
        <v>2</v>
      </c>
      <c r="U2631" t="inlineStr">
        <is>
          <t>1993-09-28</t>
        </is>
      </c>
      <c r="V2631" t="inlineStr">
        <is>
          <t>1993-09-28</t>
        </is>
      </c>
      <c r="W2631" t="inlineStr">
        <is>
          <t>1990-12-04</t>
        </is>
      </c>
      <c r="X2631" t="inlineStr">
        <is>
          <t>1990-12-04</t>
        </is>
      </c>
      <c r="Y2631" t="n">
        <v>346</v>
      </c>
      <c r="Z2631" t="n">
        <v>248</v>
      </c>
      <c r="AA2631" t="n">
        <v>251</v>
      </c>
      <c r="AB2631" t="n">
        <v>2</v>
      </c>
      <c r="AC2631" t="n">
        <v>2</v>
      </c>
      <c r="AD2631" t="n">
        <v>13</v>
      </c>
      <c r="AE2631" t="n">
        <v>13</v>
      </c>
      <c r="AF2631" t="n">
        <v>3</v>
      </c>
      <c r="AG2631" t="n">
        <v>3</v>
      </c>
      <c r="AH2631" t="n">
        <v>4</v>
      </c>
      <c r="AI2631" t="n">
        <v>4</v>
      </c>
      <c r="AJ2631" t="n">
        <v>7</v>
      </c>
      <c r="AK2631" t="n">
        <v>7</v>
      </c>
      <c r="AL2631" t="n">
        <v>1</v>
      </c>
      <c r="AM2631" t="n">
        <v>1</v>
      </c>
      <c r="AN2631" t="n">
        <v>0</v>
      </c>
      <c r="AO2631" t="n">
        <v>0</v>
      </c>
      <c r="AP2631" t="inlineStr">
        <is>
          <t>No</t>
        </is>
      </c>
      <c r="AQ2631" t="inlineStr">
        <is>
          <t>Yes</t>
        </is>
      </c>
      <c r="AR2631">
        <f>HYPERLINK("http://catalog.hathitrust.org/Record/000873227","HathiTrust Record")</f>
        <v/>
      </c>
      <c r="AS2631">
        <f>HYPERLINK("https://creighton-primo.hosted.exlibrisgroup.com/primo-explore/search?tab=default_tab&amp;search_scope=EVERYTHING&amp;vid=01CRU&amp;lang=en_US&amp;offset=0&amp;query=any,contains,991001396049702656","Catalog Record")</f>
        <v/>
      </c>
      <c r="AT2631">
        <f>HYPERLINK("http://www.worldcat.org/oclc/15592108","WorldCat Record")</f>
        <v/>
      </c>
      <c r="AU2631" t="inlineStr">
        <is>
          <t>3902653545:eng</t>
        </is>
      </c>
      <c r="AV2631" t="inlineStr">
        <is>
          <t>15592108</t>
        </is>
      </c>
      <c r="AW2631" t="inlineStr">
        <is>
          <t>991001396049702656</t>
        </is>
      </c>
      <c r="AX2631" t="inlineStr">
        <is>
          <t>991001396049702656</t>
        </is>
      </c>
      <c r="AY2631" t="inlineStr">
        <is>
          <t>2256055700002656</t>
        </is>
      </c>
      <c r="AZ2631" t="inlineStr">
        <is>
          <t>BOOK</t>
        </is>
      </c>
      <c r="BB2631" t="inlineStr">
        <is>
          <t>9780567093387</t>
        </is>
      </c>
      <c r="BC2631" t="inlineStr">
        <is>
          <t>32285000358480</t>
        </is>
      </c>
      <c r="BD2631" t="inlineStr">
        <is>
          <t>893321898</t>
        </is>
      </c>
    </row>
    <row r="2632">
      <c r="A2632" t="inlineStr">
        <is>
          <t>No</t>
        </is>
      </c>
      <c r="B2632" t="inlineStr">
        <is>
          <t>BX4946.M8 G6313 1993</t>
        </is>
      </c>
      <c r="C2632" t="inlineStr">
        <is>
          <t>0                      BX 4946000M  8                  G  6313        1993</t>
        </is>
      </c>
      <c r="D2632" t="inlineStr">
        <is>
          <t>Thomas Müntzer : apocalyptic, mystic, and revolutionary / Hans-Jürgen Goertz ; translated by Jocelyn Jaquiery ; edited by Peter Matheson.</t>
        </is>
      </c>
      <c r="F2632" t="inlineStr">
        <is>
          <t>No</t>
        </is>
      </c>
      <c r="G2632" t="inlineStr">
        <is>
          <t>1</t>
        </is>
      </c>
      <c r="H2632" t="inlineStr">
        <is>
          <t>No</t>
        </is>
      </c>
      <c r="I2632" t="inlineStr">
        <is>
          <t>No</t>
        </is>
      </c>
      <c r="J2632" t="inlineStr">
        <is>
          <t>0</t>
        </is>
      </c>
      <c r="K2632" t="inlineStr">
        <is>
          <t>Goertz, Hans-Jürgen.</t>
        </is>
      </c>
      <c r="L2632" t="inlineStr">
        <is>
          <t>Edinburgh : T&amp;T Clark, 1993.</t>
        </is>
      </c>
      <c r="M2632" t="inlineStr">
        <is>
          <t>1993</t>
        </is>
      </c>
      <c r="O2632" t="inlineStr">
        <is>
          <t>eng</t>
        </is>
      </c>
      <c r="P2632" t="inlineStr">
        <is>
          <t>stk</t>
        </is>
      </c>
      <c r="R2632" t="inlineStr">
        <is>
          <t xml:space="preserve">BX </t>
        </is>
      </c>
      <c r="S2632" t="n">
        <v>1</v>
      </c>
      <c r="T2632" t="n">
        <v>1</v>
      </c>
      <c r="U2632" t="inlineStr">
        <is>
          <t>2002-04-06</t>
        </is>
      </c>
      <c r="V2632" t="inlineStr">
        <is>
          <t>2002-04-06</t>
        </is>
      </c>
      <c r="W2632" t="inlineStr">
        <is>
          <t>1993-11-15</t>
        </is>
      </c>
      <c r="X2632" t="inlineStr">
        <is>
          <t>1993-11-15</t>
        </is>
      </c>
      <c r="Y2632" t="n">
        <v>384</v>
      </c>
      <c r="Z2632" t="n">
        <v>292</v>
      </c>
      <c r="AA2632" t="n">
        <v>295</v>
      </c>
      <c r="AB2632" t="n">
        <v>3</v>
      </c>
      <c r="AC2632" t="n">
        <v>3</v>
      </c>
      <c r="AD2632" t="n">
        <v>24</v>
      </c>
      <c r="AE2632" t="n">
        <v>24</v>
      </c>
      <c r="AF2632" t="n">
        <v>9</v>
      </c>
      <c r="AG2632" t="n">
        <v>9</v>
      </c>
      <c r="AH2632" t="n">
        <v>5</v>
      </c>
      <c r="AI2632" t="n">
        <v>5</v>
      </c>
      <c r="AJ2632" t="n">
        <v>15</v>
      </c>
      <c r="AK2632" t="n">
        <v>15</v>
      </c>
      <c r="AL2632" t="n">
        <v>2</v>
      </c>
      <c r="AM2632" t="n">
        <v>2</v>
      </c>
      <c r="AN2632" t="n">
        <v>0</v>
      </c>
      <c r="AO2632" t="n">
        <v>0</v>
      </c>
      <c r="AP2632" t="inlineStr">
        <is>
          <t>No</t>
        </is>
      </c>
      <c r="AQ2632" t="inlineStr">
        <is>
          <t>Yes</t>
        </is>
      </c>
      <c r="AR2632">
        <f>HYPERLINK("http://catalog.hathitrust.org/Record/002795846","HathiTrust Record")</f>
        <v/>
      </c>
      <c r="AS2632">
        <f>HYPERLINK("https://creighton-primo.hosted.exlibrisgroup.com/primo-explore/search?tab=default_tab&amp;search_scope=EVERYTHING&amp;vid=01CRU&amp;lang=en_US&amp;offset=0&amp;query=any,contains,991002256639702656","Catalog Record")</f>
        <v/>
      </c>
      <c r="AT2632">
        <f>HYPERLINK("http://www.worldcat.org/oclc/29239585","WorldCat Record")</f>
        <v/>
      </c>
      <c r="AU2632" t="inlineStr">
        <is>
          <t>5090594582:eng</t>
        </is>
      </c>
      <c r="AV2632" t="inlineStr">
        <is>
          <t>29239585</t>
        </is>
      </c>
      <c r="AW2632" t="inlineStr">
        <is>
          <t>991002256639702656</t>
        </is>
      </c>
      <c r="AX2632" t="inlineStr">
        <is>
          <t>991002256639702656</t>
        </is>
      </c>
      <c r="AY2632" t="inlineStr">
        <is>
          <t>2265447700002656</t>
        </is>
      </c>
      <c r="AZ2632" t="inlineStr">
        <is>
          <t>BOOK</t>
        </is>
      </c>
      <c r="BB2632" t="inlineStr">
        <is>
          <t>9780567096067</t>
        </is>
      </c>
      <c r="BC2632" t="inlineStr">
        <is>
          <t>32285001811289</t>
        </is>
      </c>
      <c r="BD2632" t="inlineStr">
        <is>
          <t>893262183</t>
        </is>
      </c>
    </row>
    <row r="2633">
      <c r="A2633" t="inlineStr">
        <is>
          <t>No</t>
        </is>
      </c>
      <c r="B2633" t="inlineStr">
        <is>
          <t>BX4946.M8 S35 1989</t>
        </is>
      </c>
      <c r="C2633" t="inlineStr">
        <is>
          <t>0                      BX 4946000M  8                  S  35          1989</t>
        </is>
      </c>
      <c r="D2633" t="inlineStr">
        <is>
          <t>Thomas Müntzer : theology and revolution in the German Reformation / Tom Scott.</t>
        </is>
      </c>
      <c r="F2633" t="inlineStr">
        <is>
          <t>No</t>
        </is>
      </c>
      <c r="G2633" t="inlineStr">
        <is>
          <t>1</t>
        </is>
      </c>
      <c r="H2633" t="inlineStr">
        <is>
          <t>No</t>
        </is>
      </c>
      <c r="I2633" t="inlineStr">
        <is>
          <t>No</t>
        </is>
      </c>
      <c r="J2633" t="inlineStr">
        <is>
          <t>0</t>
        </is>
      </c>
      <c r="K2633" t="inlineStr">
        <is>
          <t>Scott, Tom, 1947-</t>
        </is>
      </c>
      <c r="L2633" t="inlineStr">
        <is>
          <t>New York : St. Martin's Press, 1989.</t>
        </is>
      </c>
      <c r="M2633" t="inlineStr">
        <is>
          <t>1989</t>
        </is>
      </c>
      <c r="O2633" t="inlineStr">
        <is>
          <t>eng</t>
        </is>
      </c>
      <c r="P2633" t="inlineStr">
        <is>
          <t>nyu</t>
        </is>
      </c>
      <c r="R2633" t="inlineStr">
        <is>
          <t xml:space="preserve">BX </t>
        </is>
      </c>
      <c r="S2633" t="n">
        <v>1</v>
      </c>
      <c r="T2633" t="n">
        <v>1</v>
      </c>
      <c r="U2633" t="inlineStr">
        <is>
          <t>2006-08-01</t>
        </is>
      </c>
      <c r="V2633" t="inlineStr">
        <is>
          <t>2006-08-01</t>
        </is>
      </c>
      <c r="W2633" t="inlineStr">
        <is>
          <t>1990-10-17</t>
        </is>
      </c>
      <c r="X2633" t="inlineStr">
        <is>
          <t>1990-10-17</t>
        </is>
      </c>
      <c r="Y2633" t="n">
        <v>357</v>
      </c>
      <c r="Z2633" t="n">
        <v>303</v>
      </c>
      <c r="AA2633" t="n">
        <v>316</v>
      </c>
      <c r="AB2633" t="n">
        <v>3</v>
      </c>
      <c r="AC2633" t="n">
        <v>3</v>
      </c>
      <c r="AD2633" t="n">
        <v>16</v>
      </c>
      <c r="AE2633" t="n">
        <v>18</v>
      </c>
      <c r="AF2633" t="n">
        <v>4</v>
      </c>
      <c r="AG2633" t="n">
        <v>5</v>
      </c>
      <c r="AH2633" t="n">
        <v>4</v>
      </c>
      <c r="AI2633" t="n">
        <v>5</v>
      </c>
      <c r="AJ2633" t="n">
        <v>9</v>
      </c>
      <c r="AK2633" t="n">
        <v>11</v>
      </c>
      <c r="AL2633" t="n">
        <v>2</v>
      </c>
      <c r="AM2633" t="n">
        <v>2</v>
      </c>
      <c r="AN2633" t="n">
        <v>0</v>
      </c>
      <c r="AO2633" t="n">
        <v>0</v>
      </c>
      <c r="AP2633" t="inlineStr">
        <is>
          <t>No</t>
        </is>
      </c>
      <c r="AQ2633" t="inlineStr">
        <is>
          <t>No</t>
        </is>
      </c>
      <c r="AS2633">
        <f>HYPERLINK("https://creighton-primo.hosted.exlibrisgroup.com/primo-explore/search?tab=default_tab&amp;search_scope=EVERYTHING&amp;vid=01CRU&amp;lang=en_US&amp;offset=0&amp;query=any,contains,991001354579702656","Catalog Record")</f>
        <v/>
      </c>
      <c r="AT2633">
        <f>HYPERLINK("http://www.worldcat.org/oclc/18463738","WorldCat Record")</f>
        <v/>
      </c>
      <c r="AU2633" t="inlineStr">
        <is>
          <t>3943521069:eng</t>
        </is>
      </c>
      <c r="AV2633" t="inlineStr">
        <is>
          <t>18463738</t>
        </is>
      </c>
      <c r="AW2633" t="inlineStr">
        <is>
          <t>991001354579702656</t>
        </is>
      </c>
      <c r="AX2633" t="inlineStr">
        <is>
          <t>991001354579702656</t>
        </is>
      </c>
      <c r="AY2633" t="inlineStr">
        <is>
          <t>2259466840002656</t>
        </is>
      </c>
      <c r="AZ2633" t="inlineStr">
        <is>
          <t>BOOK</t>
        </is>
      </c>
      <c r="BB2633" t="inlineStr">
        <is>
          <t>9780312026790</t>
        </is>
      </c>
      <c r="BC2633" t="inlineStr">
        <is>
          <t>32285000310903</t>
        </is>
      </c>
      <c r="BD2633" t="inlineStr">
        <is>
          <t>893244063</t>
        </is>
      </c>
    </row>
    <row r="2634">
      <c r="A2634" t="inlineStr">
        <is>
          <t>No</t>
        </is>
      </c>
      <c r="B2634" t="inlineStr">
        <is>
          <t>BX497.A4 A43 1987</t>
        </is>
      </c>
      <c r="C2634" t="inlineStr">
        <is>
          <t>0                      BX 0497000A  4                  A  43          1987</t>
        </is>
      </c>
      <c r="D2634" t="inlineStr">
        <is>
          <t>Alaskan missionary spirituality / edited by Michael Oleksa.</t>
        </is>
      </c>
      <c r="F2634" t="inlineStr">
        <is>
          <t>No</t>
        </is>
      </c>
      <c r="G2634" t="inlineStr">
        <is>
          <t>1</t>
        </is>
      </c>
      <c r="H2634" t="inlineStr">
        <is>
          <t>No</t>
        </is>
      </c>
      <c r="I2634" t="inlineStr">
        <is>
          <t>No</t>
        </is>
      </c>
      <c r="J2634" t="inlineStr">
        <is>
          <t>0</t>
        </is>
      </c>
      <c r="L2634" t="inlineStr">
        <is>
          <t>New York : Paulist Press, c1987.</t>
        </is>
      </c>
      <c r="M2634" t="inlineStr">
        <is>
          <t>1987</t>
        </is>
      </c>
      <c r="O2634" t="inlineStr">
        <is>
          <t>eng</t>
        </is>
      </c>
      <c r="P2634" t="inlineStr">
        <is>
          <t>nyu</t>
        </is>
      </c>
      <c r="Q2634" t="inlineStr">
        <is>
          <t>Sources of American spirituality</t>
        </is>
      </c>
      <c r="R2634" t="inlineStr">
        <is>
          <t xml:space="preserve">BX </t>
        </is>
      </c>
      <c r="S2634" t="n">
        <v>5</v>
      </c>
      <c r="T2634" t="n">
        <v>5</v>
      </c>
      <c r="U2634" t="inlineStr">
        <is>
          <t>2007-03-19</t>
        </is>
      </c>
      <c r="V2634" t="inlineStr">
        <is>
          <t>2007-03-19</t>
        </is>
      </c>
      <c r="W2634" t="inlineStr">
        <is>
          <t>1992-04-10</t>
        </is>
      </c>
      <c r="X2634" t="inlineStr">
        <is>
          <t>1992-04-10</t>
        </is>
      </c>
      <c r="Y2634" t="n">
        <v>422</v>
      </c>
      <c r="Z2634" t="n">
        <v>391</v>
      </c>
      <c r="AA2634" t="n">
        <v>405</v>
      </c>
      <c r="AB2634" t="n">
        <v>2</v>
      </c>
      <c r="AC2634" t="n">
        <v>2</v>
      </c>
      <c r="AD2634" t="n">
        <v>28</v>
      </c>
      <c r="AE2634" t="n">
        <v>29</v>
      </c>
      <c r="AF2634" t="n">
        <v>12</v>
      </c>
      <c r="AG2634" t="n">
        <v>13</v>
      </c>
      <c r="AH2634" t="n">
        <v>5</v>
      </c>
      <c r="AI2634" t="n">
        <v>5</v>
      </c>
      <c r="AJ2634" t="n">
        <v>20</v>
      </c>
      <c r="AK2634" t="n">
        <v>20</v>
      </c>
      <c r="AL2634" t="n">
        <v>1</v>
      </c>
      <c r="AM2634" t="n">
        <v>1</v>
      </c>
      <c r="AN2634" t="n">
        <v>0</v>
      </c>
      <c r="AO2634" t="n">
        <v>0</v>
      </c>
      <c r="AP2634" t="inlineStr">
        <is>
          <t>No</t>
        </is>
      </c>
      <c r="AQ2634" t="inlineStr">
        <is>
          <t>Yes</t>
        </is>
      </c>
      <c r="AR2634">
        <f>HYPERLINK("http://catalog.hathitrust.org/Record/002897935","HathiTrust Record")</f>
        <v/>
      </c>
      <c r="AS2634">
        <f>HYPERLINK("https://creighton-primo.hosted.exlibrisgroup.com/primo-explore/search?tab=default_tab&amp;search_scope=EVERYTHING&amp;vid=01CRU&amp;lang=en_US&amp;offset=0&amp;query=any,contains,991000882839702656","Catalog Record")</f>
        <v/>
      </c>
      <c r="AT2634">
        <f>HYPERLINK("http://www.worldcat.org/oclc/13859143","WorldCat Record")</f>
        <v/>
      </c>
      <c r="AU2634" t="inlineStr">
        <is>
          <t>54837785:eng</t>
        </is>
      </c>
      <c r="AV2634" t="inlineStr">
        <is>
          <t>13859143</t>
        </is>
      </c>
      <c r="AW2634" t="inlineStr">
        <is>
          <t>991000882839702656</t>
        </is>
      </c>
      <c r="AX2634" t="inlineStr">
        <is>
          <t>991000882839702656</t>
        </is>
      </c>
      <c r="AY2634" t="inlineStr">
        <is>
          <t>2265172480002656</t>
        </is>
      </c>
      <c r="AZ2634" t="inlineStr">
        <is>
          <t>BOOK</t>
        </is>
      </c>
      <c r="BB2634" t="inlineStr">
        <is>
          <t>9780809103867</t>
        </is>
      </c>
      <c r="BC2634" t="inlineStr">
        <is>
          <t>32285001018133</t>
        </is>
      </c>
      <c r="BD2634" t="inlineStr">
        <is>
          <t>893702529</t>
        </is>
      </c>
    </row>
    <row r="2635">
      <c r="A2635" t="inlineStr">
        <is>
          <t>No</t>
        </is>
      </c>
      <c r="B2635" t="inlineStr">
        <is>
          <t>BX5004.2 .A95 1985</t>
        </is>
      </c>
      <c r="C2635" t="inlineStr">
        <is>
          <t>0                      BX 5004200A  95          1985</t>
        </is>
      </c>
      <c r="D2635" t="inlineStr">
        <is>
          <t>Truth beyond words : problems and prospects for Anglican-Roman Catholic unity / Paul Avis.</t>
        </is>
      </c>
      <c r="F2635" t="inlineStr">
        <is>
          <t>No</t>
        </is>
      </c>
      <c r="G2635" t="inlineStr">
        <is>
          <t>1</t>
        </is>
      </c>
      <c r="H2635" t="inlineStr">
        <is>
          <t>No</t>
        </is>
      </c>
      <c r="I2635" t="inlineStr">
        <is>
          <t>No</t>
        </is>
      </c>
      <c r="J2635" t="inlineStr">
        <is>
          <t>0</t>
        </is>
      </c>
      <c r="K2635" t="inlineStr">
        <is>
          <t>Avis, Paul D. L.</t>
        </is>
      </c>
      <c r="L2635" t="inlineStr">
        <is>
          <t>Cambridge, MA : Cowley, 1985.</t>
        </is>
      </c>
      <c r="M2635" t="inlineStr">
        <is>
          <t>1985</t>
        </is>
      </c>
      <c r="O2635" t="inlineStr">
        <is>
          <t>eng</t>
        </is>
      </c>
      <c r="P2635" t="inlineStr">
        <is>
          <t>mau</t>
        </is>
      </c>
      <c r="R2635" t="inlineStr">
        <is>
          <t xml:space="preserve">BX </t>
        </is>
      </c>
      <c r="S2635" t="n">
        <v>1</v>
      </c>
      <c r="T2635" t="n">
        <v>1</v>
      </c>
      <c r="U2635" t="inlineStr">
        <is>
          <t>2003-05-09</t>
        </is>
      </c>
      <c r="V2635" t="inlineStr">
        <is>
          <t>2003-05-09</t>
        </is>
      </c>
      <c r="W2635" t="inlineStr">
        <is>
          <t>1992-04-13</t>
        </is>
      </c>
      <c r="X2635" t="inlineStr">
        <is>
          <t>1992-04-13</t>
        </is>
      </c>
      <c r="Y2635" t="n">
        <v>107</v>
      </c>
      <c r="Z2635" t="n">
        <v>89</v>
      </c>
      <c r="AA2635" t="n">
        <v>89</v>
      </c>
      <c r="AB2635" t="n">
        <v>1</v>
      </c>
      <c r="AC2635" t="n">
        <v>1</v>
      </c>
      <c r="AD2635" t="n">
        <v>8</v>
      </c>
      <c r="AE2635" t="n">
        <v>8</v>
      </c>
      <c r="AF2635" t="n">
        <v>3</v>
      </c>
      <c r="AG2635" t="n">
        <v>3</v>
      </c>
      <c r="AH2635" t="n">
        <v>2</v>
      </c>
      <c r="AI2635" t="n">
        <v>2</v>
      </c>
      <c r="AJ2635" t="n">
        <v>7</v>
      </c>
      <c r="AK2635" t="n">
        <v>7</v>
      </c>
      <c r="AL2635" t="n">
        <v>0</v>
      </c>
      <c r="AM2635" t="n">
        <v>0</v>
      </c>
      <c r="AN2635" t="n">
        <v>0</v>
      </c>
      <c r="AO2635" t="n">
        <v>0</v>
      </c>
      <c r="AP2635" t="inlineStr">
        <is>
          <t>No</t>
        </is>
      </c>
      <c r="AQ2635" t="inlineStr">
        <is>
          <t>No</t>
        </is>
      </c>
      <c r="AS2635">
        <f>HYPERLINK("https://creighton-primo.hosted.exlibrisgroup.com/primo-explore/search?tab=default_tab&amp;search_scope=EVERYTHING&amp;vid=01CRU&amp;lang=en_US&amp;offset=0&amp;query=any,contains,991000711359702656","Catalog Record")</f>
        <v/>
      </c>
      <c r="AT2635">
        <f>HYPERLINK("http://www.worldcat.org/oclc/12583579","WorldCat Record")</f>
        <v/>
      </c>
      <c r="AU2635" t="inlineStr">
        <is>
          <t>366909025:eng</t>
        </is>
      </c>
      <c r="AV2635" t="inlineStr">
        <is>
          <t>12583579</t>
        </is>
      </c>
      <c r="AW2635" t="inlineStr">
        <is>
          <t>991000711359702656</t>
        </is>
      </c>
      <c r="AX2635" t="inlineStr">
        <is>
          <t>991000711359702656</t>
        </is>
      </c>
      <c r="AY2635" t="inlineStr">
        <is>
          <t>2270965760002656</t>
        </is>
      </c>
      <c r="AZ2635" t="inlineStr">
        <is>
          <t>BOOK</t>
        </is>
      </c>
      <c r="BB2635" t="inlineStr">
        <is>
          <t>9780936384269</t>
        </is>
      </c>
      <c r="BC2635" t="inlineStr">
        <is>
          <t>32285001067742</t>
        </is>
      </c>
      <c r="BD2635" t="inlineStr">
        <is>
          <t>893878293</t>
        </is>
      </c>
    </row>
    <row r="2636">
      <c r="A2636" t="inlineStr">
        <is>
          <t>No</t>
        </is>
      </c>
      <c r="B2636" t="inlineStr">
        <is>
          <t>BX5004.2 .F76 1997</t>
        </is>
      </c>
      <c r="C2636" t="inlineStr">
        <is>
          <t>0                      BX 5004200F  76          1997</t>
        </is>
      </c>
      <c r="D2636" t="inlineStr">
        <is>
          <t>From Malines to ARCIC : the Malines Conversations commemorated / edited by A. Denaux in collaboration with J. Dick.</t>
        </is>
      </c>
      <c r="F2636" t="inlineStr">
        <is>
          <t>No</t>
        </is>
      </c>
      <c r="G2636" t="inlineStr">
        <is>
          <t>1</t>
        </is>
      </c>
      <c r="H2636" t="inlineStr">
        <is>
          <t>No</t>
        </is>
      </c>
      <c r="I2636" t="inlineStr">
        <is>
          <t>No</t>
        </is>
      </c>
      <c r="J2636" t="inlineStr">
        <is>
          <t>0</t>
        </is>
      </c>
      <c r="L2636" t="inlineStr">
        <is>
          <t>Leuven : Leuven University Press : Uitgeverij Peeters, 1997.</t>
        </is>
      </c>
      <c r="M2636" t="inlineStr">
        <is>
          <t>1997</t>
        </is>
      </c>
      <c r="O2636" t="inlineStr">
        <is>
          <t>eng</t>
        </is>
      </c>
      <c r="P2636" t="inlineStr">
        <is>
          <t xml:space="preserve">be </t>
        </is>
      </c>
      <c r="Q2636" t="inlineStr">
        <is>
          <t>Bibliotheca Ephemeridum theologicarum Lovaniensium ; 130</t>
        </is>
      </c>
      <c r="R2636" t="inlineStr">
        <is>
          <t xml:space="preserve">BX </t>
        </is>
      </c>
      <c r="S2636" t="n">
        <v>2</v>
      </c>
      <c r="T2636" t="n">
        <v>2</v>
      </c>
      <c r="U2636" t="inlineStr">
        <is>
          <t>2003-05-09</t>
        </is>
      </c>
      <c r="V2636" t="inlineStr">
        <is>
          <t>2003-05-09</t>
        </is>
      </c>
      <c r="W2636" t="inlineStr">
        <is>
          <t>1998-12-14</t>
        </is>
      </c>
      <c r="X2636" t="inlineStr">
        <is>
          <t>1998-12-14</t>
        </is>
      </c>
      <c r="Y2636" t="n">
        <v>84</v>
      </c>
      <c r="Z2636" t="n">
        <v>53</v>
      </c>
      <c r="AA2636" t="n">
        <v>53</v>
      </c>
      <c r="AB2636" t="n">
        <v>1</v>
      </c>
      <c r="AC2636" t="n">
        <v>1</v>
      </c>
      <c r="AD2636" t="n">
        <v>6</v>
      </c>
      <c r="AE2636" t="n">
        <v>6</v>
      </c>
      <c r="AF2636" t="n">
        <v>0</v>
      </c>
      <c r="AG2636" t="n">
        <v>0</v>
      </c>
      <c r="AH2636" t="n">
        <v>2</v>
      </c>
      <c r="AI2636" t="n">
        <v>2</v>
      </c>
      <c r="AJ2636" t="n">
        <v>5</v>
      </c>
      <c r="AK2636" t="n">
        <v>5</v>
      </c>
      <c r="AL2636" t="n">
        <v>0</v>
      </c>
      <c r="AM2636" t="n">
        <v>0</v>
      </c>
      <c r="AN2636" t="n">
        <v>0</v>
      </c>
      <c r="AO2636" t="n">
        <v>0</v>
      </c>
      <c r="AP2636" t="inlineStr">
        <is>
          <t>No</t>
        </is>
      </c>
      <c r="AQ2636" t="inlineStr">
        <is>
          <t>No</t>
        </is>
      </c>
      <c r="AS2636">
        <f>HYPERLINK("https://creighton-primo.hosted.exlibrisgroup.com/primo-explore/search?tab=default_tab&amp;search_scope=EVERYTHING&amp;vid=01CRU&amp;lang=en_US&amp;offset=0&amp;query=any,contains,991002835869702656","Catalog Record")</f>
        <v/>
      </c>
      <c r="AT2636">
        <f>HYPERLINK("http://www.worldcat.org/oclc/49853806","WorldCat Record")</f>
        <v/>
      </c>
      <c r="AU2636" t="inlineStr">
        <is>
          <t>806739225:eng</t>
        </is>
      </c>
      <c r="AV2636" t="inlineStr">
        <is>
          <t>49853806</t>
        </is>
      </c>
      <c r="AW2636" t="inlineStr">
        <is>
          <t>991002835869702656</t>
        </is>
      </c>
      <c r="AX2636" t="inlineStr">
        <is>
          <t>991002835869702656</t>
        </is>
      </c>
      <c r="AY2636" t="inlineStr">
        <is>
          <t>2270873140002656</t>
        </is>
      </c>
      <c r="AZ2636" t="inlineStr">
        <is>
          <t>BOOK</t>
        </is>
      </c>
      <c r="BB2636" t="inlineStr">
        <is>
          <t>9789061867951</t>
        </is>
      </c>
      <c r="BC2636" t="inlineStr">
        <is>
          <t>32285003506192</t>
        </is>
      </c>
      <c r="BD2636" t="inlineStr">
        <is>
          <t>893616644</t>
        </is>
      </c>
    </row>
    <row r="2637">
      <c r="A2637" t="inlineStr">
        <is>
          <t>No</t>
        </is>
      </c>
      <c r="B2637" t="inlineStr">
        <is>
          <t>BX5004.2 .R43 1995</t>
        </is>
      </c>
      <c r="C2637" t="inlineStr">
        <is>
          <t>0                      BX 5004200R  43          1995</t>
        </is>
      </c>
      <c r="D2637" t="inlineStr">
        <is>
          <t>Receiving the vision : the Anglican-Roman Catholic reality today : a study / by the Third Standing Committee of the Episcopal Diocesan Ecumenical Officers, National Association of Diocesan Ecumenical Officers ; David Bird ... [et al.].</t>
        </is>
      </c>
      <c r="F2637" t="inlineStr">
        <is>
          <t>No</t>
        </is>
      </c>
      <c r="G2637" t="inlineStr">
        <is>
          <t>1</t>
        </is>
      </c>
      <c r="H2637" t="inlineStr">
        <is>
          <t>No</t>
        </is>
      </c>
      <c r="I2637" t="inlineStr">
        <is>
          <t>No</t>
        </is>
      </c>
      <c r="J2637" t="inlineStr">
        <is>
          <t>0</t>
        </is>
      </c>
      <c r="L2637" t="inlineStr">
        <is>
          <t>Collegeville, Minn. : Liturgical Press, c1995.</t>
        </is>
      </c>
      <c r="M2637" t="inlineStr">
        <is>
          <t>1995</t>
        </is>
      </c>
      <c r="O2637" t="inlineStr">
        <is>
          <t>eng</t>
        </is>
      </c>
      <c r="P2637" t="inlineStr">
        <is>
          <t>mnu</t>
        </is>
      </c>
      <c r="R2637" t="inlineStr">
        <is>
          <t xml:space="preserve">BX </t>
        </is>
      </c>
      <c r="S2637" t="n">
        <v>1</v>
      </c>
      <c r="T2637" t="n">
        <v>1</v>
      </c>
      <c r="U2637" t="inlineStr">
        <is>
          <t>1997-04-27</t>
        </is>
      </c>
      <c r="V2637" t="inlineStr">
        <is>
          <t>1997-04-27</t>
        </is>
      </c>
      <c r="W2637" t="inlineStr">
        <is>
          <t>1997-01-28</t>
        </is>
      </c>
      <c r="X2637" t="inlineStr">
        <is>
          <t>1997-01-28</t>
        </is>
      </c>
      <c r="Y2637" t="n">
        <v>132</v>
      </c>
      <c r="Z2637" t="n">
        <v>105</v>
      </c>
      <c r="AA2637" t="n">
        <v>107</v>
      </c>
      <c r="AB2637" t="n">
        <v>1</v>
      </c>
      <c r="AC2637" t="n">
        <v>1</v>
      </c>
      <c r="AD2637" t="n">
        <v>12</v>
      </c>
      <c r="AE2637" t="n">
        <v>12</v>
      </c>
      <c r="AF2637" t="n">
        <v>5</v>
      </c>
      <c r="AG2637" t="n">
        <v>5</v>
      </c>
      <c r="AH2637" t="n">
        <v>3</v>
      </c>
      <c r="AI2637" t="n">
        <v>3</v>
      </c>
      <c r="AJ2637" t="n">
        <v>8</v>
      </c>
      <c r="AK2637" t="n">
        <v>8</v>
      </c>
      <c r="AL2637" t="n">
        <v>0</v>
      </c>
      <c r="AM2637" t="n">
        <v>0</v>
      </c>
      <c r="AN2637" t="n">
        <v>0</v>
      </c>
      <c r="AO2637" t="n">
        <v>0</v>
      </c>
      <c r="AP2637" t="inlineStr">
        <is>
          <t>No</t>
        </is>
      </c>
      <c r="AQ2637" t="inlineStr">
        <is>
          <t>Yes</t>
        </is>
      </c>
      <c r="AR2637">
        <f>HYPERLINK("http://catalog.hathitrust.org/Record/003092604","HathiTrust Record")</f>
        <v/>
      </c>
      <c r="AS2637">
        <f>HYPERLINK("https://creighton-primo.hosted.exlibrisgroup.com/primo-explore/search?tab=default_tab&amp;search_scope=EVERYTHING&amp;vid=01CRU&amp;lang=en_US&amp;offset=0&amp;query=any,contains,991002404729702656","Catalog Record")</f>
        <v/>
      </c>
      <c r="AT2637">
        <f>HYPERLINK("http://www.worldcat.org/oclc/31287102","WorldCat Record")</f>
        <v/>
      </c>
      <c r="AU2637" t="inlineStr">
        <is>
          <t>474743997:eng</t>
        </is>
      </c>
      <c r="AV2637" t="inlineStr">
        <is>
          <t>31287102</t>
        </is>
      </c>
      <c r="AW2637" t="inlineStr">
        <is>
          <t>991002404729702656</t>
        </is>
      </c>
      <c r="AX2637" t="inlineStr">
        <is>
          <t>991002404729702656</t>
        </is>
      </c>
      <c r="AY2637" t="inlineStr">
        <is>
          <t>2258460840002656</t>
        </is>
      </c>
      <c r="AZ2637" t="inlineStr">
        <is>
          <t>BOOK</t>
        </is>
      </c>
      <c r="BB2637" t="inlineStr">
        <is>
          <t>9780814621738</t>
        </is>
      </c>
      <c r="BC2637" t="inlineStr">
        <is>
          <t>32285002412434</t>
        </is>
      </c>
      <c r="BD2637" t="inlineStr">
        <is>
          <t>893622250</t>
        </is>
      </c>
    </row>
    <row r="2638">
      <c r="A2638" t="inlineStr">
        <is>
          <t>No</t>
        </is>
      </c>
      <c r="B2638" t="inlineStr">
        <is>
          <t>BX5004.2 .R65 1982</t>
        </is>
      </c>
      <c r="C2638" t="inlineStr">
        <is>
          <t>0                      BX 5004200R  65          1982</t>
        </is>
      </c>
      <c r="D2638" t="inlineStr">
        <is>
          <t>Rome and the Anglicans : historical and doctrinal aspects of Anglican-Roman Catholic relations / J.C.H. Aveling, D.M. Loades, H.R. McAdoo ; edited with a postscript by Wolfgang Haase.</t>
        </is>
      </c>
      <c r="F2638" t="inlineStr">
        <is>
          <t>No</t>
        </is>
      </c>
      <c r="G2638" t="inlineStr">
        <is>
          <t>1</t>
        </is>
      </c>
      <c r="H2638" t="inlineStr">
        <is>
          <t>No</t>
        </is>
      </c>
      <c r="I2638" t="inlineStr">
        <is>
          <t>No</t>
        </is>
      </c>
      <c r="J2638" t="inlineStr">
        <is>
          <t>0</t>
        </is>
      </c>
      <c r="L2638" t="inlineStr">
        <is>
          <t>Berlin ; New York : W. de Gruyter, 1982.</t>
        </is>
      </c>
      <c r="M2638" t="inlineStr">
        <is>
          <t>1982</t>
        </is>
      </c>
      <c r="O2638" t="inlineStr">
        <is>
          <t>eng</t>
        </is>
      </c>
      <c r="P2638" t="inlineStr">
        <is>
          <t xml:space="preserve">gw </t>
        </is>
      </c>
      <c r="R2638" t="inlineStr">
        <is>
          <t xml:space="preserve">BX </t>
        </is>
      </c>
      <c r="S2638" t="n">
        <v>7</v>
      </c>
      <c r="T2638" t="n">
        <v>7</v>
      </c>
      <c r="U2638" t="inlineStr">
        <is>
          <t>2010-03-02</t>
        </is>
      </c>
      <c r="V2638" t="inlineStr">
        <is>
          <t>2010-03-02</t>
        </is>
      </c>
      <c r="W2638" t="inlineStr">
        <is>
          <t>1997-07-03</t>
        </is>
      </c>
      <c r="X2638" t="inlineStr">
        <is>
          <t>1997-07-03</t>
        </is>
      </c>
      <c r="Y2638" t="n">
        <v>299</v>
      </c>
      <c r="Z2638" t="n">
        <v>183</v>
      </c>
      <c r="AA2638" t="n">
        <v>201</v>
      </c>
      <c r="AB2638" t="n">
        <v>2</v>
      </c>
      <c r="AC2638" t="n">
        <v>2</v>
      </c>
      <c r="AD2638" t="n">
        <v>16</v>
      </c>
      <c r="AE2638" t="n">
        <v>16</v>
      </c>
      <c r="AF2638" t="n">
        <v>1</v>
      </c>
      <c r="AG2638" t="n">
        <v>1</v>
      </c>
      <c r="AH2638" t="n">
        <v>6</v>
      </c>
      <c r="AI2638" t="n">
        <v>6</v>
      </c>
      <c r="AJ2638" t="n">
        <v>12</v>
      </c>
      <c r="AK2638" t="n">
        <v>12</v>
      </c>
      <c r="AL2638" t="n">
        <v>1</v>
      </c>
      <c r="AM2638" t="n">
        <v>1</v>
      </c>
      <c r="AN2638" t="n">
        <v>0</v>
      </c>
      <c r="AO2638" t="n">
        <v>0</v>
      </c>
      <c r="AP2638" t="inlineStr">
        <is>
          <t>No</t>
        </is>
      </c>
      <c r="AQ2638" t="inlineStr">
        <is>
          <t>Yes</t>
        </is>
      </c>
      <c r="AR2638">
        <f>HYPERLINK("http://catalog.hathitrust.org/Record/009494205","HathiTrust Record")</f>
        <v/>
      </c>
      <c r="AS2638">
        <f>HYPERLINK("https://creighton-primo.hosted.exlibrisgroup.com/primo-explore/search?tab=default_tab&amp;search_scope=EVERYTHING&amp;vid=01CRU&amp;lang=en_US&amp;offset=0&amp;query=any,contains,991000087219702656","Catalog Record")</f>
        <v/>
      </c>
      <c r="AT2638">
        <f>HYPERLINK("http://www.worldcat.org/oclc/8703045","WorldCat Record")</f>
        <v/>
      </c>
      <c r="AU2638" t="inlineStr">
        <is>
          <t>1058595679:eng</t>
        </is>
      </c>
      <c r="AV2638" t="inlineStr">
        <is>
          <t>8703045</t>
        </is>
      </c>
      <c r="AW2638" t="inlineStr">
        <is>
          <t>991000087219702656</t>
        </is>
      </c>
      <c r="AX2638" t="inlineStr">
        <is>
          <t>991000087219702656</t>
        </is>
      </c>
      <c r="AY2638" t="inlineStr">
        <is>
          <t>2262457430002656</t>
        </is>
      </c>
      <c r="AZ2638" t="inlineStr">
        <is>
          <t>BOOK</t>
        </is>
      </c>
      <c r="BB2638" t="inlineStr">
        <is>
          <t>9783110082678</t>
        </is>
      </c>
      <c r="BC2638" t="inlineStr">
        <is>
          <t>32285001067759</t>
        </is>
      </c>
      <c r="BD2638" t="inlineStr">
        <is>
          <t>893771365</t>
        </is>
      </c>
    </row>
    <row r="2639">
      <c r="A2639" t="inlineStr">
        <is>
          <t>No</t>
        </is>
      </c>
      <c r="B2639" t="inlineStr">
        <is>
          <t>BX5005 .A54 1988</t>
        </is>
      </c>
      <c r="C2639" t="inlineStr">
        <is>
          <t>0                      BX 5005000A  54          1988</t>
        </is>
      </c>
      <c r="D2639" t="inlineStr">
        <is>
          <t>The Niagara report : report of the Anglican-Lutheran Consultation on Episcope, Niagara Falls, September 1987 / by the Anglican-Lutheran International Continuation Committee.</t>
        </is>
      </c>
      <c r="F2639" t="inlineStr">
        <is>
          <t>No</t>
        </is>
      </c>
      <c r="G2639" t="inlineStr">
        <is>
          <t>1</t>
        </is>
      </c>
      <c r="H2639" t="inlineStr">
        <is>
          <t>No</t>
        </is>
      </c>
      <c r="I2639" t="inlineStr">
        <is>
          <t>No</t>
        </is>
      </c>
      <c r="J2639" t="inlineStr">
        <is>
          <t>0</t>
        </is>
      </c>
      <c r="K2639" t="inlineStr">
        <is>
          <t>Anglican-Lutheran International Continuation Committee.</t>
        </is>
      </c>
      <c r="L2639" t="inlineStr">
        <is>
          <t>London : Church House Publishing, c1988.</t>
        </is>
      </c>
      <c r="M2639" t="inlineStr">
        <is>
          <t>1988</t>
        </is>
      </c>
      <c r="O2639" t="inlineStr">
        <is>
          <t>eng</t>
        </is>
      </c>
      <c r="P2639" t="inlineStr">
        <is>
          <t>enk</t>
        </is>
      </c>
      <c r="R2639" t="inlineStr">
        <is>
          <t xml:space="preserve">BX </t>
        </is>
      </c>
      <c r="S2639" t="n">
        <v>1</v>
      </c>
      <c r="T2639" t="n">
        <v>1</v>
      </c>
      <c r="U2639" t="inlineStr">
        <is>
          <t>2001-03-29</t>
        </is>
      </c>
      <c r="V2639" t="inlineStr">
        <is>
          <t>2001-03-29</t>
        </is>
      </c>
      <c r="W2639" t="inlineStr">
        <is>
          <t>1989-10-23</t>
        </is>
      </c>
      <c r="X2639" t="inlineStr">
        <is>
          <t>1989-10-23</t>
        </is>
      </c>
      <c r="Y2639" t="n">
        <v>55</v>
      </c>
      <c r="Z2639" t="n">
        <v>40</v>
      </c>
      <c r="AA2639" t="n">
        <v>50</v>
      </c>
      <c r="AB2639" t="n">
        <v>1</v>
      </c>
      <c r="AC2639" t="n">
        <v>1</v>
      </c>
      <c r="AD2639" t="n">
        <v>2</v>
      </c>
      <c r="AE2639" t="n">
        <v>3</v>
      </c>
      <c r="AF2639" t="n">
        <v>0</v>
      </c>
      <c r="AG2639" t="n">
        <v>1</v>
      </c>
      <c r="AH2639" t="n">
        <v>2</v>
      </c>
      <c r="AI2639" t="n">
        <v>2</v>
      </c>
      <c r="AJ2639" t="n">
        <v>1</v>
      </c>
      <c r="AK2639" t="n">
        <v>2</v>
      </c>
      <c r="AL2639" t="n">
        <v>0</v>
      </c>
      <c r="AM2639" t="n">
        <v>0</v>
      </c>
      <c r="AN2639" t="n">
        <v>0</v>
      </c>
      <c r="AO2639" t="n">
        <v>0</v>
      </c>
      <c r="AP2639" t="inlineStr">
        <is>
          <t>No</t>
        </is>
      </c>
      <c r="AQ2639" t="inlineStr">
        <is>
          <t>No</t>
        </is>
      </c>
      <c r="AS2639">
        <f>HYPERLINK("https://creighton-primo.hosted.exlibrisgroup.com/primo-explore/search?tab=default_tab&amp;search_scope=EVERYTHING&amp;vid=01CRU&amp;lang=en_US&amp;offset=0&amp;query=any,contains,991001356299702656","Catalog Record")</f>
        <v/>
      </c>
      <c r="AT2639">
        <f>HYPERLINK("http://www.worldcat.org/oclc/18486858","WorldCat Record")</f>
        <v/>
      </c>
      <c r="AU2639" t="inlineStr">
        <is>
          <t>17936759:eng</t>
        </is>
      </c>
      <c r="AV2639" t="inlineStr">
        <is>
          <t>18486858</t>
        </is>
      </c>
      <c r="AW2639" t="inlineStr">
        <is>
          <t>991001356299702656</t>
        </is>
      </c>
      <c r="AX2639" t="inlineStr">
        <is>
          <t>991001356299702656</t>
        </is>
      </c>
      <c r="AY2639" t="inlineStr">
        <is>
          <t>2262871860002656</t>
        </is>
      </c>
      <c r="AZ2639" t="inlineStr">
        <is>
          <t>BOOK</t>
        </is>
      </c>
      <c r="BB2639" t="inlineStr">
        <is>
          <t>9780715147702</t>
        </is>
      </c>
      <c r="BC2639" t="inlineStr">
        <is>
          <t>32285000001668</t>
        </is>
      </c>
      <c r="BD2639" t="inlineStr">
        <is>
          <t>893872486</t>
        </is>
      </c>
    </row>
    <row r="2640">
      <c r="A2640" t="inlineStr">
        <is>
          <t>No</t>
        </is>
      </c>
      <c r="B2640" t="inlineStr">
        <is>
          <t>BX5005 .R35 1991</t>
        </is>
      </c>
      <c r="C2640" t="inlineStr">
        <is>
          <t>0                      BX 5005000R  35          1991</t>
        </is>
      </c>
      <c r="D2640" t="inlineStr">
        <is>
          <t>The Anglican spirit / Michael Ramsey ; Dale Coleman, editor.</t>
        </is>
      </c>
      <c r="F2640" t="inlineStr">
        <is>
          <t>No</t>
        </is>
      </c>
      <c r="G2640" t="inlineStr">
        <is>
          <t>1</t>
        </is>
      </c>
      <c r="H2640" t="inlineStr">
        <is>
          <t>No</t>
        </is>
      </c>
      <c r="I2640" t="inlineStr">
        <is>
          <t>No</t>
        </is>
      </c>
      <c r="J2640" t="inlineStr">
        <is>
          <t>0</t>
        </is>
      </c>
      <c r="K2640" t="inlineStr">
        <is>
          <t>Ramsey, Michael, 1904-1988.</t>
        </is>
      </c>
      <c r="L2640" t="inlineStr">
        <is>
          <t>Cambridge, Mass. : Cowley Publications, c1991.</t>
        </is>
      </c>
      <c r="M2640" t="inlineStr">
        <is>
          <t>1991</t>
        </is>
      </c>
      <c r="O2640" t="inlineStr">
        <is>
          <t>eng</t>
        </is>
      </c>
      <c r="P2640" t="inlineStr">
        <is>
          <t>mau</t>
        </is>
      </c>
      <c r="R2640" t="inlineStr">
        <is>
          <t xml:space="preserve">BX </t>
        </is>
      </c>
      <c r="S2640" t="n">
        <v>4</v>
      </c>
      <c r="T2640" t="n">
        <v>4</v>
      </c>
      <c r="U2640" t="inlineStr">
        <is>
          <t>2005-04-18</t>
        </is>
      </c>
      <c r="V2640" t="inlineStr">
        <is>
          <t>2005-04-18</t>
        </is>
      </c>
      <c r="W2640" t="inlineStr">
        <is>
          <t>1994-05-11</t>
        </is>
      </c>
      <c r="X2640" t="inlineStr">
        <is>
          <t>1994-05-11</t>
        </is>
      </c>
      <c r="Y2640" t="n">
        <v>173</v>
      </c>
      <c r="Z2640" t="n">
        <v>137</v>
      </c>
      <c r="AA2640" t="n">
        <v>185</v>
      </c>
      <c r="AB2640" t="n">
        <v>1</v>
      </c>
      <c r="AC2640" t="n">
        <v>1</v>
      </c>
      <c r="AD2640" t="n">
        <v>5</v>
      </c>
      <c r="AE2640" t="n">
        <v>7</v>
      </c>
      <c r="AF2640" t="n">
        <v>1</v>
      </c>
      <c r="AG2640" t="n">
        <v>1</v>
      </c>
      <c r="AH2640" t="n">
        <v>2</v>
      </c>
      <c r="AI2640" t="n">
        <v>2</v>
      </c>
      <c r="AJ2640" t="n">
        <v>3</v>
      </c>
      <c r="AK2640" t="n">
        <v>5</v>
      </c>
      <c r="AL2640" t="n">
        <v>0</v>
      </c>
      <c r="AM2640" t="n">
        <v>0</v>
      </c>
      <c r="AN2640" t="n">
        <v>0</v>
      </c>
      <c r="AO2640" t="n">
        <v>0</v>
      </c>
      <c r="AP2640" t="inlineStr">
        <is>
          <t>No</t>
        </is>
      </c>
      <c r="AQ2640" t="inlineStr">
        <is>
          <t>Yes</t>
        </is>
      </c>
      <c r="AR2640">
        <f>HYPERLINK("http://catalog.hathitrust.org/Record/002805871","HathiTrust Record")</f>
        <v/>
      </c>
      <c r="AS2640">
        <f>HYPERLINK("https://creighton-primo.hosted.exlibrisgroup.com/primo-explore/search?tab=default_tab&amp;search_scope=EVERYTHING&amp;vid=01CRU&amp;lang=en_US&amp;offset=0&amp;query=any,contains,991001837539702656","Catalog Record")</f>
        <v/>
      </c>
      <c r="AT2640">
        <f>HYPERLINK("http://www.worldcat.org/oclc/23081694","WorldCat Record")</f>
        <v/>
      </c>
      <c r="AU2640" t="inlineStr">
        <is>
          <t>41265463:eng</t>
        </is>
      </c>
      <c r="AV2640" t="inlineStr">
        <is>
          <t>23081694</t>
        </is>
      </c>
      <c r="AW2640" t="inlineStr">
        <is>
          <t>991001837539702656</t>
        </is>
      </c>
      <c r="AX2640" t="inlineStr">
        <is>
          <t>991001837539702656</t>
        </is>
      </c>
      <c r="AY2640" t="inlineStr">
        <is>
          <t>2258710560002656</t>
        </is>
      </c>
      <c r="AZ2640" t="inlineStr">
        <is>
          <t>BOOK</t>
        </is>
      </c>
      <c r="BB2640" t="inlineStr">
        <is>
          <t>9781561010271</t>
        </is>
      </c>
      <c r="BC2640" t="inlineStr">
        <is>
          <t>32285001895969</t>
        </is>
      </c>
      <c r="BD2640" t="inlineStr">
        <is>
          <t>893226167</t>
        </is>
      </c>
    </row>
    <row r="2641">
      <c r="A2641" t="inlineStr">
        <is>
          <t>No</t>
        </is>
      </c>
      <c r="B2641" t="inlineStr">
        <is>
          <t>BX5008.9.H42 S65 1986</t>
        </is>
      </c>
      <c r="C2641" t="inlineStr">
        <is>
          <t>0                      BX 5008900H  42                 S  65          1986</t>
        </is>
      </c>
      <c r="D2641" t="inlineStr">
        <is>
          <t>Health and medicine in the Anglican tradition : conscience, community, and compromise / David H. Smith.</t>
        </is>
      </c>
      <c r="F2641" t="inlineStr">
        <is>
          <t>No</t>
        </is>
      </c>
      <c r="G2641" t="inlineStr">
        <is>
          <t>1</t>
        </is>
      </c>
      <c r="H2641" t="inlineStr">
        <is>
          <t>No</t>
        </is>
      </c>
      <c r="I2641" t="inlineStr">
        <is>
          <t>No</t>
        </is>
      </c>
      <c r="J2641" t="inlineStr">
        <is>
          <t>0</t>
        </is>
      </c>
      <c r="K2641" t="inlineStr">
        <is>
          <t>Smith, David H., 1939-</t>
        </is>
      </c>
      <c r="L2641" t="inlineStr">
        <is>
          <t>New York : Crossroad, 1986.</t>
        </is>
      </c>
      <c r="M2641" t="inlineStr">
        <is>
          <t>1986</t>
        </is>
      </c>
      <c r="O2641" t="inlineStr">
        <is>
          <t>eng</t>
        </is>
      </c>
      <c r="P2641" t="inlineStr">
        <is>
          <t>nyu</t>
        </is>
      </c>
      <c r="Q2641" t="inlineStr">
        <is>
          <t>Health/medicine and the faith traditions</t>
        </is>
      </c>
      <c r="R2641" t="inlineStr">
        <is>
          <t xml:space="preserve">BX </t>
        </is>
      </c>
      <c r="S2641" t="n">
        <v>7</v>
      </c>
      <c r="T2641" t="n">
        <v>7</v>
      </c>
      <c r="U2641" t="inlineStr">
        <is>
          <t>2000-03-24</t>
        </is>
      </c>
      <c r="V2641" t="inlineStr">
        <is>
          <t>2000-03-24</t>
        </is>
      </c>
      <c r="W2641" t="inlineStr">
        <is>
          <t>1990-05-10</t>
        </is>
      </c>
      <c r="X2641" t="inlineStr">
        <is>
          <t>1990-05-10</t>
        </is>
      </c>
      <c r="Y2641" t="n">
        <v>415</v>
      </c>
      <c r="Z2641" t="n">
        <v>366</v>
      </c>
      <c r="AA2641" t="n">
        <v>373</v>
      </c>
      <c r="AB2641" t="n">
        <v>4</v>
      </c>
      <c r="AC2641" t="n">
        <v>4</v>
      </c>
      <c r="AD2641" t="n">
        <v>27</v>
      </c>
      <c r="AE2641" t="n">
        <v>27</v>
      </c>
      <c r="AF2641" t="n">
        <v>6</v>
      </c>
      <c r="AG2641" t="n">
        <v>6</v>
      </c>
      <c r="AH2641" t="n">
        <v>6</v>
      </c>
      <c r="AI2641" t="n">
        <v>6</v>
      </c>
      <c r="AJ2641" t="n">
        <v>16</v>
      </c>
      <c r="AK2641" t="n">
        <v>16</v>
      </c>
      <c r="AL2641" t="n">
        <v>3</v>
      </c>
      <c r="AM2641" t="n">
        <v>3</v>
      </c>
      <c r="AN2641" t="n">
        <v>2</v>
      </c>
      <c r="AO2641" t="n">
        <v>2</v>
      </c>
      <c r="AP2641" t="inlineStr">
        <is>
          <t>No</t>
        </is>
      </c>
      <c r="AQ2641" t="inlineStr">
        <is>
          <t>Yes</t>
        </is>
      </c>
      <c r="AR2641">
        <f>HYPERLINK("http://catalog.hathitrust.org/Record/000482722","HathiTrust Record")</f>
        <v/>
      </c>
      <c r="AS2641">
        <f>HYPERLINK("https://creighton-primo.hosted.exlibrisgroup.com/primo-explore/search?tab=default_tab&amp;search_scope=EVERYTHING&amp;vid=01CRU&amp;lang=en_US&amp;offset=0&amp;query=any,contains,991000758689702656","Catalog Record")</f>
        <v/>
      </c>
      <c r="AT2641">
        <f>HYPERLINK("http://www.worldcat.org/oclc/12969934","WorldCat Record")</f>
        <v/>
      </c>
      <c r="AU2641" t="inlineStr">
        <is>
          <t>5566918:eng</t>
        </is>
      </c>
      <c r="AV2641" t="inlineStr">
        <is>
          <t>12969934</t>
        </is>
      </c>
      <c r="AW2641" t="inlineStr">
        <is>
          <t>991000758689702656</t>
        </is>
      </c>
      <c r="AX2641" t="inlineStr">
        <is>
          <t>991000758689702656</t>
        </is>
      </c>
      <c r="AY2641" t="inlineStr">
        <is>
          <t>2255342860002656</t>
        </is>
      </c>
      <c r="AZ2641" t="inlineStr">
        <is>
          <t>BOOK</t>
        </is>
      </c>
      <c r="BB2641" t="inlineStr">
        <is>
          <t>9780824507169</t>
        </is>
      </c>
      <c r="BC2641" t="inlineStr">
        <is>
          <t>32285000151695</t>
        </is>
      </c>
      <c r="BD2641" t="inlineStr">
        <is>
          <t>893614478</t>
        </is>
      </c>
    </row>
    <row r="2642">
      <c r="A2642" t="inlineStr">
        <is>
          <t>No</t>
        </is>
      </c>
      <c r="B2642" t="inlineStr">
        <is>
          <t>BX5013.S6 C59</t>
        </is>
      </c>
      <c r="C2642" t="inlineStr">
        <is>
          <t>0                      BX 5013000S  6                  C  59</t>
        </is>
      </c>
      <c r="D2642" t="inlineStr">
        <is>
          <t>Eighteenth century piety / by W.K. Lowther Clarke.</t>
        </is>
      </c>
      <c r="F2642" t="inlineStr">
        <is>
          <t>No</t>
        </is>
      </c>
      <c r="G2642" t="inlineStr">
        <is>
          <t>1</t>
        </is>
      </c>
      <c r="H2642" t="inlineStr">
        <is>
          <t>No</t>
        </is>
      </c>
      <c r="I2642" t="inlineStr">
        <is>
          <t>No</t>
        </is>
      </c>
      <c r="J2642" t="inlineStr">
        <is>
          <t>0</t>
        </is>
      </c>
      <c r="K2642" t="inlineStr">
        <is>
          <t>Clarke, W. K. Lowther (William Kemp Lowther), 1879-1968.</t>
        </is>
      </c>
      <c r="L2642" t="inlineStr">
        <is>
          <t>London : Society for promoting Christian knowledge ; New York: The Macmillan company, [1944]</t>
        </is>
      </c>
      <c r="M2642" t="inlineStr">
        <is>
          <t>1944</t>
        </is>
      </c>
      <c r="O2642" t="inlineStr">
        <is>
          <t>eng</t>
        </is>
      </c>
      <c r="P2642" t="inlineStr">
        <is>
          <t>___</t>
        </is>
      </c>
      <c r="R2642" t="inlineStr">
        <is>
          <t xml:space="preserve">BX </t>
        </is>
      </c>
      <c r="S2642" t="n">
        <v>1</v>
      </c>
      <c r="T2642" t="n">
        <v>1</v>
      </c>
      <c r="U2642" t="inlineStr">
        <is>
          <t>2007-02-25</t>
        </is>
      </c>
      <c r="V2642" t="inlineStr">
        <is>
          <t>2007-02-25</t>
        </is>
      </c>
      <c r="W2642" t="inlineStr">
        <is>
          <t>1992-04-13</t>
        </is>
      </c>
      <c r="X2642" t="inlineStr">
        <is>
          <t>1992-04-13</t>
        </is>
      </c>
      <c r="Y2642" t="n">
        <v>303</v>
      </c>
      <c r="Z2642" t="n">
        <v>230</v>
      </c>
      <c r="AA2642" t="n">
        <v>270</v>
      </c>
      <c r="AB2642" t="n">
        <v>1</v>
      </c>
      <c r="AC2642" t="n">
        <v>2</v>
      </c>
      <c r="AD2642" t="n">
        <v>10</v>
      </c>
      <c r="AE2642" t="n">
        <v>13</v>
      </c>
      <c r="AF2642" t="n">
        <v>2</v>
      </c>
      <c r="AG2642" t="n">
        <v>4</v>
      </c>
      <c r="AH2642" t="n">
        <v>3</v>
      </c>
      <c r="AI2642" t="n">
        <v>3</v>
      </c>
      <c r="AJ2642" t="n">
        <v>7</v>
      </c>
      <c r="AK2642" t="n">
        <v>7</v>
      </c>
      <c r="AL2642" t="n">
        <v>0</v>
      </c>
      <c r="AM2642" t="n">
        <v>1</v>
      </c>
      <c r="AN2642" t="n">
        <v>0</v>
      </c>
      <c r="AO2642" t="n">
        <v>0</v>
      </c>
      <c r="AP2642" t="inlineStr">
        <is>
          <t>No</t>
        </is>
      </c>
      <c r="AQ2642" t="inlineStr">
        <is>
          <t>Yes</t>
        </is>
      </c>
      <c r="AR2642">
        <f>HYPERLINK("http://catalog.hathitrust.org/Record/001592645","HathiTrust Record")</f>
        <v/>
      </c>
      <c r="AS2642">
        <f>HYPERLINK("https://creighton-primo.hosted.exlibrisgroup.com/primo-explore/search?tab=default_tab&amp;search_scope=EVERYTHING&amp;vid=01CRU&amp;lang=en_US&amp;offset=0&amp;query=any,contains,991003750219702656","Catalog Record")</f>
        <v/>
      </c>
      <c r="AT2642">
        <f>HYPERLINK("http://www.worldcat.org/oclc/1425251","WorldCat Record")</f>
        <v/>
      </c>
      <c r="AU2642" t="inlineStr">
        <is>
          <t>2297995:eng</t>
        </is>
      </c>
      <c r="AV2642" t="inlineStr">
        <is>
          <t>1425251</t>
        </is>
      </c>
      <c r="AW2642" t="inlineStr">
        <is>
          <t>991003750219702656</t>
        </is>
      </c>
      <c r="AX2642" t="inlineStr">
        <is>
          <t>991003750219702656</t>
        </is>
      </c>
      <c r="AY2642" t="inlineStr">
        <is>
          <t>2272606000002656</t>
        </is>
      </c>
      <c r="AZ2642" t="inlineStr">
        <is>
          <t>BOOK</t>
        </is>
      </c>
      <c r="BC2642" t="inlineStr">
        <is>
          <t>32285001067783</t>
        </is>
      </c>
      <c r="BD2642" t="inlineStr">
        <is>
          <t>893518831</t>
        </is>
      </c>
    </row>
    <row r="2643">
      <c r="A2643" t="inlineStr">
        <is>
          <t>No</t>
        </is>
      </c>
      <c r="B2643" t="inlineStr">
        <is>
          <t>BX5013.S6 C595</t>
        </is>
      </c>
      <c r="C2643" t="inlineStr">
        <is>
          <t>0                      BX 5013000S  6                  C  595</t>
        </is>
      </c>
      <c r="D2643" t="inlineStr">
        <is>
          <t>A history of the S. P. C. K. / by W. K. Lowther Clarke. With an epilogue by F. N. Davey.</t>
        </is>
      </c>
      <c r="F2643" t="inlineStr">
        <is>
          <t>No</t>
        </is>
      </c>
      <c r="G2643" t="inlineStr">
        <is>
          <t>1</t>
        </is>
      </c>
      <c r="H2643" t="inlineStr">
        <is>
          <t>No</t>
        </is>
      </c>
      <c r="I2643" t="inlineStr">
        <is>
          <t>No</t>
        </is>
      </c>
      <c r="J2643" t="inlineStr">
        <is>
          <t>0</t>
        </is>
      </c>
      <c r="K2643" t="inlineStr">
        <is>
          <t>Clarke, W. K. Lowther (William Kemp Lowther), 1879-1968.</t>
        </is>
      </c>
      <c r="L2643" t="inlineStr">
        <is>
          <t>London : S. P. C. K., 1959.</t>
        </is>
      </c>
      <c r="M2643" t="inlineStr">
        <is>
          <t>1959</t>
        </is>
      </c>
      <c r="O2643" t="inlineStr">
        <is>
          <t>eng</t>
        </is>
      </c>
      <c r="P2643" t="inlineStr">
        <is>
          <t>enk</t>
        </is>
      </c>
      <c r="R2643" t="inlineStr">
        <is>
          <t xml:space="preserve">BX </t>
        </is>
      </c>
      <c r="S2643" t="n">
        <v>1</v>
      </c>
      <c r="T2643" t="n">
        <v>1</v>
      </c>
      <c r="U2643" t="inlineStr">
        <is>
          <t>2008-04-15</t>
        </is>
      </c>
      <c r="V2643" t="inlineStr">
        <is>
          <t>2008-04-15</t>
        </is>
      </c>
      <c r="W2643" t="inlineStr">
        <is>
          <t>1992-04-13</t>
        </is>
      </c>
      <c r="X2643" t="inlineStr">
        <is>
          <t>1992-04-13</t>
        </is>
      </c>
      <c r="Y2643" t="n">
        <v>250</v>
      </c>
      <c r="Z2643" t="n">
        <v>175</v>
      </c>
      <c r="AA2643" t="n">
        <v>177</v>
      </c>
      <c r="AB2643" t="n">
        <v>1</v>
      </c>
      <c r="AC2643" t="n">
        <v>1</v>
      </c>
      <c r="AD2643" t="n">
        <v>7</v>
      </c>
      <c r="AE2643" t="n">
        <v>7</v>
      </c>
      <c r="AF2643" t="n">
        <v>1</v>
      </c>
      <c r="AG2643" t="n">
        <v>1</v>
      </c>
      <c r="AH2643" t="n">
        <v>2</v>
      </c>
      <c r="AI2643" t="n">
        <v>2</v>
      </c>
      <c r="AJ2643" t="n">
        <v>4</v>
      </c>
      <c r="AK2643" t="n">
        <v>4</v>
      </c>
      <c r="AL2643" t="n">
        <v>0</v>
      </c>
      <c r="AM2643" t="n">
        <v>0</v>
      </c>
      <c r="AN2643" t="n">
        <v>0</v>
      </c>
      <c r="AO2643" t="n">
        <v>0</v>
      </c>
      <c r="AP2643" t="inlineStr">
        <is>
          <t>No</t>
        </is>
      </c>
      <c r="AQ2643" t="inlineStr">
        <is>
          <t>Yes</t>
        </is>
      </c>
      <c r="AR2643">
        <f>HYPERLINK("http://catalog.hathitrust.org/Record/001592647","HathiTrust Record")</f>
        <v/>
      </c>
      <c r="AS2643">
        <f>HYPERLINK("https://creighton-primo.hosted.exlibrisgroup.com/primo-explore/search?tab=default_tab&amp;search_scope=EVERYTHING&amp;vid=01CRU&amp;lang=en_US&amp;offset=0&amp;query=any,contains,991004354949702656","Catalog Record")</f>
        <v/>
      </c>
      <c r="AT2643">
        <f>HYPERLINK("http://www.worldcat.org/oclc/3133720","WorldCat Record")</f>
        <v/>
      </c>
      <c r="AU2643" t="inlineStr">
        <is>
          <t>8557812:eng</t>
        </is>
      </c>
      <c r="AV2643" t="inlineStr">
        <is>
          <t>3133720</t>
        </is>
      </c>
      <c r="AW2643" t="inlineStr">
        <is>
          <t>991004354949702656</t>
        </is>
      </c>
      <c r="AX2643" t="inlineStr">
        <is>
          <t>991004354949702656</t>
        </is>
      </c>
      <c r="AY2643" t="inlineStr">
        <is>
          <t>2255395840002656</t>
        </is>
      </c>
      <c r="AZ2643" t="inlineStr">
        <is>
          <t>BOOK</t>
        </is>
      </c>
      <c r="BC2643" t="inlineStr">
        <is>
          <t>32285001067791</t>
        </is>
      </c>
      <c r="BD2643" t="inlineStr">
        <is>
          <t>893411431</t>
        </is>
      </c>
    </row>
    <row r="2644">
      <c r="A2644" t="inlineStr">
        <is>
          <t>No</t>
        </is>
      </c>
      <c r="B2644" t="inlineStr">
        <is>
          <t>BX5021.L3 S7</t>
        </is>
      </c>
      <c r="C2644" t="inlineStr">
        <is>
          <t>0                      BX 5021000L  3                  S  7</t>
        </is>
      </c>
      <c r="D2644" t="inlineStr">
        <is>
          <t>Anglicanism and the Lambeth Conferences / Alan M. G. Stephenson. Forward by the Archbishop of Canterbury. --</t>
        </is>
      </c>
      <c r="F2644" t="inlineStr">
        <is>
          <t>No</t>
        </is>
      </c>
      <c r="G2644" t="inlineStr">
        <is>
          <t>1</t>
        </is>
      </c>
      <c r="H2644" t="inlineStr">
        <is>
          <t>No</t>
        </is>
      </c>
      <c r="I2644" t="inlineStr">
        <is>
          <t>No</t>
        </is>
      </c>
      <c r="J2644" t="inlineStr">
        <is>
          <t>0</t>
        </is>
      </c>
      <c r="K2644" t="inlineStr">
        <is>
          <t>Stephenson, Alan M. G. (Alan Malcolm George), 1928-1984.</t>
        </is>
      </c>
      <c r="L2644" t="inlineStr">
        <is>
          <t>London : S.P.C.K., 1978.</t>
        </is>
      </c>
      <c r="M2644" t="inlineStr">
        <is>
          <t>1978</t>
        </is>
      </c>
      <c r="O2644" t="inlineStr">
        <is>
          <t>eng</t>
        </is>
      </c>
      <c r="P2644" t="inlineStr">
        <is>
          <t xml:space="preserve">en </t>
        </is>
      </c>
      <c r="R2644" t="inlineStr">
        <is>
          <t xml:space="preserve">BX </t>
        </is>
      </c>
      <c r="S2644" t="n">
        <v>3</v>
      </c>
      <c r="T2644" t="n">
        <v>3</v>
      </c>
      <c r="U2644" t="inlineStr">
        <is>
          <t>2010-04-27</t>
        </is>
      </c>
      <c r="V2644" t="inlineStr">
        <is>
          <t>2010-04-27</t>
        </is>
      </c>
      <c r="W2644" t="inlineStr">
        <is>
          <t>1992-04-13</t>
        </is>
      </c>
      <c r="X2644" t="inlineStr">
        <is>
          <t>1992-04-13</t>
        </is>
      </c>
      <c r="Y2644" t="n">
        <v>210</v>
      </c>
      <c r="Z2644" t="n">
        <v>113</v>
      </c>
      <c r="AA2644" t="n">
        <v>114</v>
      </c>
      <c r="AB2644" t="n">
        <v>3</v>
      </c>
      <c r="AC2644" t="n">
        <v>3</v>
      </c>
      <c r="AD2644" t="n">
        <v>8</v>
      </c>
      <c r="AE2644" t="n">
        <v>8</v>
      </c>
      <c r="AF2644" t="n">
        <v>0</v>
      </c>
      <c r="AG2644" t="n">
        <v>0</v>
      </c>
      <c r="AH2644" t="n">
        <v>1</v>
      </c>
      <c r="AI2644" t="n">
        <v>1</v>
      </c>
      <c r="AJ2644" t="n">
        <v>6</v>
      </c>
      <c r="AK2644" t="n">
        <v>6</v>
      </c>
      <c r="AL2644" t="n">
        <v>2</v>
      </c>
      <c r="AM2644" t="n">
        <v>2</v>
      </c>
      <c r="AN2644" t="n">
        <v>0</v>
      </c>
      <c r="AO2644" t="n">
        <v>0</v>
      </c>
      <c r="AP2644" t="inlineStr">
        <is>
          <t>No</t>
        </is>
      </c>
      <c r="AQ2644" t="inlineStr">
        <is>
          <t>Yes</t>
        </is>
      </c>
      <c r="AR2644">
        <f>HYPERLINK("http://catalog.hathitrust.org/Record/000217050","HathiTrust Record")</f>
        <v/>
      </c>
      <c r="AS2644">
        <f>HYPERLINK("https://creighton-primo.hosted.exlibrisgroup.com/primo-explore/search?tab=default_tab&amp;search_scope=EVERYTHING&amp;vid=01CRU&amp;lang=en_US&amp;offset=0&amp;query=any,contains,991004614059702656","Catalog Record")</f>
        <v/>
      </c>
      <c r="AT2644">
        <f>HYPERLINK("http://www.worldcat.org/oclc/4236978","WorldCat Record")</f>
        <v/>
      </c>
      <c r="AU2644" t="inlineStr">
        <is>
          <t>14591138:eng</t>
        </is>
      </c>
      <c r="AV2644" t="inlineStr">
        <is>
          <t>4236978</t>
        </is>
      </c>
      <c r="AW2644" t="inlineStr">
        <is>
          <t>991004614059702656</t>
        </is>
      </c>
      <c r="AX2644" t="inlineStr">
        <is>
          <t>991004614059702656</t>
        </is>
      </c>
      <c r="AY2644" t="inlineStr">
        <is>
          <t>2261220560002656</t>
        </is>
      </c>
      <c r="AZ2644" t="inlineStr">
        <is>
          <t>BOOK</t>
        </is>
      </c>
      <c r="BB2644" t="inlineStr">
        <is>
          <t>9780281035809</t>
        </is>
      </c>
      <c r="BC2644" t="inlineStr">
        <is>
          <t>32285001067809</t>
        </is>
      </c>
      <c r="BD2644" t="inlineStr">
        <is>
          <t>893446301</t>
        </is>
      </c>
    </row>
    <row r="2645">
      <c r="A2645" t="inlineStr">
        <is>
          <t>No</t>
        </is>
      </c>
      <c r="B2645" t="inlineStr">
        <is>
          <t>BX5037 .A2 1977</t>
        </is>
      </c>
      <c r="C2645" t="inlineStr">
        <is>
          <t>0                      BX 5037000A  2           1977</t>
        </is>
      </c>
      <c r="D2645" t="inlineStr">
        <is>
          <t>The Folger Library edition of the works of Richard Hooker / W. Speed Hill, general editor.</t>
        </is>
      </c>
      <c r="E2645" t="inlineStr">
        <is>
          <t>V.1</t>
        </is>
      </c>
      <c r="F2645" t="inlineStr">
        <is>
          <t>Yes</t>
        </is>
      </c>
      <c r="G2645" t="inlineStr">
        <is>
          <t>1</t>
        </is>
      </c>
      <c r="H2645" t="inlineStr">
        <is>
          <t>No</t>
        </is>
      </c>
      <c r="I2645" t="inlineStr">
        <is>
          <t>No</t>
        </is>
      </c>
      <c r="J2645" t="inlineStr">
        <is>
          <t>0</t>
        </is>
      </c>
      <c r="K2645" t="inlineStr">
        <is>
          <t>Hooker, Richard, 1553 or 1554-1600.</t>
        </is>
      </c>
      <c r="L2645" t="inlineStr">
        <is>
          <t>Cambridge : Belknap Press of Harvard University Press, 1977-</t>
        </is>
      </c>
      <c r="M2645" t="inlineStr">
        <is>
          <t>1977</t>
        </is>
      </c>
      <c r="O2645" t="inlineStr">
        <is>
          <t>eng</t>
        </is>
      </c>
      <c r="P2645" t="inlineStr">
        <is>
          <t>mau</t>
        </is>
      </c>
      <c r="R2645" t="inlineStr">
        <is>
          <t xml:space="preserve">BX </t>
        </is>
      </c>
      <c r="S2645" t="n">
        <v>4</v>
      </c>
      <c r="T2645" t="n">
        <v>8</v>
      </c>
      <c r="U2645" t="inlineStr">
        <is>
          <t>2006-06-08</t>
        </is>
      </c>
      <c r="V2645" t="inlineStr">
        <is>
          <t>2006-06-08</t>
        </is>
      </c>
      <c r="W2645" t="inlineStr">
        <is>
          <t>1999-12-15</t>
        </is>
      </c>
      <c r="X2645" t="inlineStr">
        <is>
          <t>1999-12-15</t>
        </is>
      </c>
      <c r="Y2645" t="n">
        <v>376</v>
      </c>
      <c r="Z2645" t="n">
        <v>330</v>
      </c>
      <c r="AA2645" t="n">
        <v>334</v>
      </c>
      <c r="AB2645" t="n">
        <v>3</v>
      </c>
      <c r="AC2645" t="n">
        <v>3</v>
      </c>
      <c r="AD2645" t="n">
        <v>18</v>
      </c>
      <c r="AE2645" t="n">
        <v>18</v>
      </c>
      <c r="AF2645" t="n">
        <v>6</v>
      </c>
      <c r="AG2645" t="n">
        <v>6</v>
      </c>
      <c r="AH2645" t="n">
        <v>5</v>
      </c>
      <c r="AI2645" t="n">
        <v>5</v>
      </c>
      <c r="AJ2645" t="n">
        <v>8</v>
      </c>
      <c r="AK2645" t="n">
        <v>8</v>
      </c>
      <c r="AL2645" t="n">
        <v>2</v>
      </c>
      <c r="AM2645" t="n">
        <v>2</v>
      </c>
      <c r="AN2645" t="n">
        <v>1</v>
      </c>
      <c r="AO2645" t="n">
        <v>1</v>
      </c>
      <c r="AP2645" t="inlineStr">
        <is>
          <t>No</t>
        </is>
      </c>
      <c r="AQ2645" t="inlineStr">
        <is>
          <t>Yes</t>
        </is>
      </c>
      <c r="AR2645">
        <f>HYPERLINK("http://catalog.hathitrust.org/Record/000228083","HathiTrust Record")</f>
        <v/>
      </c>
      <c r="AS2645">
        <f>HYPERLINK("https://creighton-primo.hosted.exlibrisgroup.com/primo-explore/search?tab=default_tab&amp;search_scope=EVERYTHING&amp;vid=01CRU&amp;lang=en_US&amp;offset=0&amp;query=any,contains,991004086299702656","Catalog Record")</f>
        <v/>
      </c>
      <c r="AT2645">
        <f>HYPERLINK("http://www.worldcat.org/oclc/2332173","WorldCat Record")</f>
        <v/>
      </c>
      <c r="AU2645" t="inlineStr">
        <is>
          <t>3372770006:eng</t>
        </is>
      </c>
      <c r="AV2645" t="inlineStr">
        <is>
          <t>2332173</t>
        </is>
      </c>
      <c r="AW2645" t="inlineStr">
        <is>
          <t>991004086299702656</t>
        </is>
      </c>
      <c r="AX2645" t="inlineStr">
        <is>
          <t>991004086299702656</t>
        </is>
      </c>
      <c r="AY2645" t="inlineStr">
        <is>
          <t>2264212380002656</t>
        </is>
      </c>
      <c r="AZ2645" t="inlineStr">
        <is>
          <t>BOOK</t>
        </is>
      </c>
      <c r="BB2645" t="inlineStr">
        <is>
          <t>9780674632059</t>
        </is>
      </c>
      <c r="BC2645" t="inlineStr">
        <is>
          <t>32285001100063</t>
        </is>
      </c>
      <c r="BD2645" t="inlineStr">
        <is>
          <t>893417210</t>
        </is>
      </c>
    </row>
    <row r="2646">
      <c r="A2646" t="inlineStr">
        <is>
          <t>No</t>
        </is>
      </c>
      <c r="B2646" t="inlineStr">
        <is>
          <t>BX5037 .A2 1977</t>
        </is>
      </c>
      <c r="C2646" t="inlineStr">
        <is>
          <t>0                      BX 5037000A  2           1977</t>
        </is>
      </c>
      <c r="D2646" t="inlineStr">
        <is>
          <t>The Folger Library edition of the works of Richard Hooker / W. Speed Hill, general editor.</t>
        </is>
      </c>
      <c r="E2646" t="inlineStr">
        <is>
          <t>V.2</t>
        </is>
      </c>
      <c r="F2646" t="inlineStr">
        <is>
          <t>Yes</t>
        </is>
      </c>
      <c r="G2646" t="inlineStr">
        <is>
          <t>1</t>
        </is>
      </c>
      <c r="H2646" t="inlineStr">
        <is>
          <t>No</t>
        </is>
      </c>
      <c r="I2646" t="inlineStr">
        <is>
          <t>No</t>
        </is>
      </c>
      <c r="J2646" t="inlineStr">
        <is>
          <t>0</t>
        </is>
      </c>
      <c r="K2646" t="inlineStr">
        <is>
          <t>Hooker, Richard, 1553 or 1554-1600.</t>
        </is>
      </c>
      <c r="L2646" t="inlineStr">
        <is>
          <t>Cambridge : Belknap Press of Harvard University Press, 1977-</t>
        </is>
      </c>
      <c r="M2646" t="inlineStr">
        <is>
          <t>1977</t>
        </is>
      </c>
      <c r="O2646" t="inlineStr">
        <is>
          <t>eng</t>
        </is>
      </c>
      <c r="P2646" t="inlineStr">
        <is>
          <t>mau</t>
        </is>
      </c>
      <c r="R2646" t="inlineStr">
        <is>
          <t xml:space="preserve">BX </t>
        </is>
      </c>
      <c r="S2646" t="n">
        <v>4</v>
      </c>
      <c r="T2646" t="n">
        <v>8</v>
      </c>
      <c r="U2646" t="inlineStr">
        <is>
          <t>2006-06-08</t>
        </is>
      </c>
      <c r="V2646" t="inlineStr">
        <is>
          <t>2006-06-08</t>
        </is>
      </c>
      <c r="W2646" t="inlineStr">
        <is>
          <t>1999-12-15</t>
        </is>
      </c>
      <c r="X2646" t="inlineStr">
        <is>
          <t>1999-12-15</t>
        </is>
      </c>
      <c r="Y2646" t="n">
        <v>376</v>
      </c>
      <c r="Z2646" t="n">
        <v>330</v>
      </c>
      <c r="AA2646" t="n">
        <v>334</v>
      </c>
      <c r="AB2646" t="n">
        <v>3</v>
      </c>
      <c r="AC2646" t="n">
        <v>3</v>
      </c>
      <c r="AD2646" t="n">
        <v>18</v>
      </c>
      <c r="AE2646" t="n">
        <v>18</v>
      </c>
      <c r="AF2646" t="n">
        <v>6</v>
      </c>
      <c r="AG2646" t="n">
        <v>6</v>
      </c>
      <c r="AH2646" t="n">
        <v>5</v>
      </c>
      <c r="AI2646" t="n">
        <v>5</v>
      </c>
      <c r="AJ2646" t="n">
        <v>8</v>
      </c>
      <c r="AK2646" t="n">
        <v>8</v>
      </c>
      <c r="AL2646" t="n">
        <v>2</v>
      </c>
      <c r="AM2646" t="n">
        <v>2</v>
      </c>
      <c r="AN2646" t="n">
        <v>1</v>
      </c>
      <c r="AO2646" t="n">
        <v>1</v>
      </c>
      <c r="AP2646" t="inlineStr">
        <is>
          <t>No</t>
        </is>
      </c>
      <c r="AQ2646" t="inlineStr">
        <is>
          <t>Yes</t>
        </is>
      </c>
      <c r="AR2646">
        <f>HYPERLINK("http://catalog.hathitrust.org/Record/000228083","HathiTrust Record")</f>
        <v/>
      </c>
      <c r="AS2646">
        <f>HYPERLINK("https://creighton-primo.hosted.exlibrisgroup.com/primo-explore/search?tab=default_tab&amp;search_scope=EVERYTHING&amp;vid=01CRU&amp;lang=en_US&amp;offset=0&amp;query=any,contains,991004086299702656","Catalog Record")</f>
        <v/>
      </c>
      <c r="AT2646">
        <f>HYPERLINK("http://www.worldcat.org/oclc/2332173","WorldCat Record")</f>
        <v/>
      </c>
      <c r="AU2646" t="inlineStr">
        <is>
          <t>3372770006:eng</t>
        </is>
      </c>
      <c r="AV2646" t="inlineStr">
        <is>
          <t>2332173</t>
        </is>
      </c>
      <c r="AW2646" t="inlineStr">
        <is>
          <t>991004086299702656</t>
        </is>
      </c>
      <c r="AX2646" t="inlineStr">
        <is>
          <t>991004086299702656</t>
        </is>
      </c>
      <c r="AY2646" t="inlineStr">
        <is>
          <t>2264212380002656</t>
        </is>
      </c>
      <c r="AZ2646" t="inlineStr">
        <is>
          <t>BOOK</t>
        </is>
      </c>
      <c r="BB2646" t="inlineStr">
        <is>
          <t>9780674632059</t>
        </is>
      </c>
      <c r="BC2646" t="inlineStr">
        <is>
          <t>32285001100071</t>
        </is>
      </c>
      <c r="BD2646" t="inlineStr">
        <is>
          <t>893435870</t>
        </is>
      </c>
    </row>
    <row r="2647">
      <c r="A2647" t="inlineStr">
        <is>
          <t>No</t>
        </is>
      </c>
      <c r="B2647" t="inlineStr">
        <is>
          <t>BX5037 .L3 1975</t>
        </is>
      </c>
      <c r="C2647" t="inlineStr">
        <is>
          <t>0                      BX 5037000L  3           1975</t>
        </is>
      </c>
      <c r="D2647" t="inlineStr">
        <is>
          <t>The works of the Most Reverend Father in God, William Laud, D.D.</t>
        </is>
      </c>
      <c r="E2647" t="inlineStr">
        <is>
          <t>V.6</t>
        </is>
      </c>
      <c r="F2647" t="inlineStr">
        <is>
          <t>Yes</t>
        </is>
      </c>
      <c r="G2647" t="inlineStr">
        <is>
          <t>1</t>
        </is>
      </c>
      <c r="H2647" t="inlineStr">
        <is>
          <t>No</t>
        </is>
      </c>
      <c r="I2647" t="inlineStr">
        <is>
          <t>No</t>
        </is>
      </c>
      <c r="J2647" t="inlineStr">
        <is>
          <t>0</t>
        </is>
      </c>
      <c r="K2647" t="inlineStr">
        <is>
          <t>Laud, William, 1573-1645.</t>
        </is>
      </c>
      <c r="L2647" t="inlineStr">
        <is>
          <t>New York : AMS Press, 1975.</t>
        </is>
      </c>
      <c r="M2647" t="inlineStr">
        <is>
          <t>1975</t>
        </is>
      </c>
      <c r="O2647" t="inlineStr">
        <is>
          <t>eng</t>
        </is>
      </c>
      <c r="P2647" t="inlineStr">
        <is>
          <t>nyu</t>
        </is>
      </c>
      <c r="Q2647" t="inlineStr">
        <is>
          <t>The Library of Anglo-Catholic theology ; no. 11</t>
        </is>
      </c>
      <c r="R2647" t="inlineStr">
        <is>
          <t xml:space="preserve">BX </t>
        </is>
      </c>
      <c r="S2647" t="n">
        <v>0</v>
      </c>
      <c r="T2647" t="n">
        <v>4</v>
      </c>
      <c r="V2647" t="inlineStr">
        <is>
          <t>2002-05-19</t>
        </is>
      </c>
      <c r="W2647" t="inlineStr">
        <is>
          <t>1992-04-24</t>
        </is>
      </c>
      <c r="X2647" t="inlineStr">
        <is>
          <t>1992-04-24</t>
        </is>
      </c>
      <c r="Y2647" t="n">
        <v>67</v>
      </c>
      <c r="Z2647" t="n">
        <v>54</v>
      </c>
      <c r="AA2647" t="n">
        <v>136</v>
      </c>
      <c r="AB2647" t="n">
        <v>1</v>
      </c>
      <c r="AC2647" t="n">
        <v>2</v>
      </c>
      <c r="AD2647" t="n">
        <v>2</v>
      </c>
      <c r="AE2647" t="n">
        <v>4</v>
      </c>
      <c r="AF2647" t="n">
        <v>0</v>
      </c>
      <c r="AG2647" t="n">
        <v>0</v>
      </c>
      <c r="AH2647" t="n">
        <v>0</v>
      </c>
      <c r="AI2647" t="n">
        <v>0</v>
      </c>
      <c r="AJ2647" t="n">
        <v>2</v>
      </c>
      <c r="AK2647" t="n">
        <v>3</v>
      </c>
      <c r="AL2647" t="n">
        <v>0</v>
      </c>
      <c r="AM2647" t="n">
        <v>1</v>
      </c>
      <c r="AN2647" t="n">
        <v>0</v>
      </c>
      <c r="AO2647" t="n">
        <v>0</v>
      </c>
      <c r="AP2647" t="inlineStr">
        <is>
          <t>No</t>
        </is>
      </c>
      <c r="AQ2647" t="inlineStr">
        <is>
          <t>No</t>
        </is>
      </c>
      <c r="AS2647">
        <f>HYPERLINK("https://creighton-primo.hosted.exlibrisgroup.com/primo-explore/search?tab=default_tab&amp;search_scope=EVERYTHING&amp;vid=01CRU&amp;lang=en_US&amp;offset=0&amp;query=any,contains,991003829689702656","Catalog Record")</f>
        <v/>
      </c>
      <c r="AT2647">
        <f>HYPERLINK("http://www.worldcat.org/oclc/1583689","WorldCat Record")</f>
        <v/>
      </c>
      <c r="AU2647" t="inlineStr">
        <is>
          <t>2289044130:eng</t>
        </is>
      </c>
      <c r="AV2647" t="inlineStr">
        <is>
          <t>1583689</t>
        </is>
      </c>
      <c r="AW2647" t="inlineStr">
        <is>
          <t>991003829689702656</t>
        </is>
      </c>
      <c r="AX2647" t="inlineStr">
        <is>
          <t>991003829689702656</t>
        </is>
      </c>
      <c r="AY2647" t="inlineStr">
        <is>
          <t>2269245690002656</t>
        </is>
      </c>
      <c r="AZ2647" t="inlineStr">
        <is>
          <t>BOOK</t>
        </is>
      </c>
      <c r="BB2647" t="inlineStr">
        <is>
          <t>9780404521202</t>
        </is>
      </c>
      <c r="BC2647" t="inlineStr">
        <is>
          <t>32285001100279</t>
        </is>
      </c>
      <c r="BD2647" t="inlineStr">
        <is>
          <t>893627806</t>
        </is>
      </c>
    </row>
    <row r="2648">
      <c r="A2648" t="inlineStr">
        <is>
          <t>No</t>
        </is>
      </c>
      <c r="B2648" t="inlineStr">
        <is>
          <t>BX5037 .L3 1975</t>
        </is>
      </c>
      <c r="C2648" t="inlineStr">
        <is>
          <t>0                      BX 5037000L  3           1975</t>
        </is>
      </c>
      <c r="D2648" t="inlineStr">
        <is>
          <t>The works of the Most Reverend Father in God, William Laud, D.D.</t>
        </is>
      </c>
      <c r="E2648" t="inlineStr">
        <is>
          <t>V.2</t>
        </is>
      </c>
      <c r="F2648" t="inlineStr">
        <is>
          <t>Yes</t>
        </is>
      </c>
      <c r="G2648" t="inlineStr">
        <is>
          <t>1</t>
        </is>
      </c>
      <c r="H2648" t="inlineStr">
        <is>
          <t>No</t>
        </is>
      </c>
      <c r="I2648" t="inlineStr">
        <is>
          <t>No</t>
        </is>
      </c>
      <c r="J2648" t="inlineStr">
        <is>
          <t>0</t>
        </is>
      </c>
      <c r="K2648" t="inlineStr">
        <is>
          <t>Laud, William, 1573-1645.</t>
        </is>
      </c>
      <c r="L2648" t="inlineStr">
        <is>
          <t>New York : AMS Press, 1975.</t>
        </is>
      </c>
      <c r="M2648" t="inlineStr">
        <is>
          <t>1975</t>
        </is>
      </c>
      <c r="O2648" t="inlineStr">
        <is>
          <t>eng</t>
        </is>
      </c>
      <c r="P2648" t="inlineStr">
        <is>
          <t>nyu</t>
        </is>
      </c>
      <c r="Q2648" t="inlineStr">
        <is>
          <t>The Library of Anglo-Catholic theology ; no. 11</t>
        </is>
      </c>
      <c r="R2648" t="inlineStr">
        <is>
          <t xml:space="preserve">BX </t>
        </is>
      </c>
      <c r="S2648" t="n">
        <v>3</v>
      </c>
      <c r="T2648" t="n">
        <v>4</v>
      </c>
      <c r="U2648" t="inlineStr">
        <is>
          <t>2002-05-19</t>
        </is>
      </c>
      <c r="V2648" t="inlineStr">
        <is>
          <t>2002-05-19</t>
        </is>
      </c>
      <c r="W2648" t="inlineStr">
        <is>
          <t>1992-04-24</t>
        </is>
      </c>
      <c r="X2648" t="inlineStr">
        <is>
          <t>1992-04-24</t>
        </is>
      </c>
      <c r="Y2648" t="n">
        <v>67</v>
      </c>
      <c r="Z2648" t="n">
        <v>54</v>
      </c>
      <c r="AA2648" t="n">
        <v>136</v>
      </c>
      <c r="AB2648" t="n">
        <v>1</v>
      </c>
      <c r="AC2648" t="n">
        <v>2</v>
      </c>
      <c r="AD2648" t="n">
        <v>2</v>
      </c>
      <c r="AE2648" t="n">
        <v>4</v>
      </c>
      <c r="AF2648" t="n">
        <v>0</v>
      </c>
      <c r="AG2648" t="n">
        <v>0</v>
      </c>
      <c r="AH2648" t="n">
        <v>0</v>
      </c>
      <c r="AI2648" t="n">
        <v>0</v>
      </c>
      <c r="AJ2648" t="n">
        <v>2</v>
      </c>
      <c r="AK2648" t="n">
        <v>3</v>
      </c>
      <c r="AL2648" t="n">
        <v>0</v>
      </c>
      <c r="AM2648" t="n">
        <v>1</v>
      </c>
      <c r="AN2648" t="n">
        <v>0</v>
      </c>
      <c r="AO2648" t="n">
        <v>0</v>
      </c>
      <c r="AP2648" t="inlineStr">
        <is>
          <t>No</t>
        </is>
      </c>
      <c r="AQ2648" t="inlineStr">
        <is>
          <t>No</t>
        </is>
      </c>
      <c r="AS2648">
        <f>HYPERLINK("https://creighton-primo.hosted.exlibrisgroup.com/primo-explore/search?tab=default_tab&amp;search_scope=EVERYTHING&amp;vid=01CRU&amp;lang=en_US&amp;offset=0&amp;query=any,contains,991003829689702656","Catalog Record")</f>
        <v/>
      </c>
      <c r="AT2648">
        <f>HYPERLINK("http://www.worldcat.org/oclc/1583689","WorldCat Record")</f>
        <v/>
      </c>
      <c r="AU2648" t="inlineStr">
        <is>
          <t>2289044130:eng</t>
        </is>
      </c>
      <c r="AV2648" t="inlineStr">
        <is>
          <t>1583689</t>
        </is>
      </c>
      <c r="AW2648" t="inlineStr">
        <is>
          <t>991003829689702656</t>
        </is>
      </c>
      <c r="AX2648" t="inlineStr">
        <is>
          <t>991003829689702656</t>
        </is>
      </c>
      <c r="AY2648" t="inlineStr">
        <is>
          <t>2269245690002656</t>
        </is>
      </c>
      <c r="AZ2648" t="inlineStr">
        <is>
          <t>BOOK</t>
        </is>
      </c>
      <c r="BB2648" t="inlineStr">
        <is>
          <t>9780404521202</t>
        </is>
      </c>
      <c r="BC2648" t="inlineStr">
        <is>
          <t>32285001100238</t>
        </is>
      </c>
      <c r="BD2648" t="inlineStr">
        <is>
          <t>893611502</t>
        </is>
      </c>
    </row>
    <row r="2649">
      <c r="A2649" t="inlineStr">
        <is>
          <t>No</t>
        </is>
      </c>
      <c r="B2649" t="inlineStr">
        <is>
          <t>BX5037 .L3 1975</t>
        </is>
      </c>
      <c r="C2649" t="inlineStr">
        <is>
          <t>0                      BX 5037000L  3           1975</t>
        </is>
      </c>
      <c r="D2649" t="inlineStr">
        <is>
          <t>The works of the Most Reverend Father in God, William Laud, D.D.</t>
        </is>
      </c>
      <c r="E2649" t="inlineStr">
        <is>
          <t>V.4</t>
        </is>
      </c>
      <c r="F2649" t="inlineStr">
        <is>
          <t>Yes</t>
        </is>
      </c>
      <c r="G2649" t="inlineStr">
        <is>
          <t>1</t>
        </is>
      </c>
      <c r="H2649" t="inlineStr">
        <is>
          <t>No</t>
        </is>
      </c>
      <c r="I2649" t="inlineStr">
        <is>
          <t>No</t>
        </is>
      </c>
      <c r="J2649" t="inlineStr">
        <is>
          <t>0</t>
        </is>
      </c>
      <c r="K2649" t="inlineStr">
        <is>
          <t>Laud, William, 1573-1645.</t>
        </is>
      </c>
      <c r="L2649" t="inlineStr">
        <is>
          <t>New York : AMS Press, 1975.</t>
        </is>
      </c>
      <c r="M2649" t="inlineStr">
        <is>
          <t>1975</t>
        </is>
      </c>
      <c r="O2649" t="inlineStr">
        <is>
          <t>eng</t>
        </is>
      </c>
      <c r="P2649" t="inlineStr">
        <is>
          <t>nyu</t>
        </is>
      </c>
      <c r="Q2649" t="inlineStr">
        <is>
          <t>The Library of Anglo-Catholic theology ; no. 11</t>
        </is>
      </c>
      <c r="R2649" t="inlineStr">
        <is>
          <t xml:space="preserve">BX </t>
        </is>
      </c>
      <c r="S2649" t="n">
        <v>0</v>
      </c>
      <c r="T2649" t="n">
        <v>4</v>
      </c>
      <c r="V2649" t="inlineStr">
        <is>
          <t>2002-05-19</t>
        </is>
      </c>
      <c r="W2649" t="inlineStr">
        <is>
          <t>1992-04-24</t>
        </is>
      </c>
      <c r="X2649" t="inlineStr">
        <is>
          <t>1992-04-24</t>
        </is>
      </c>
      <c r="Y2649" t="n">
        <v>67</v>
      </c>
      <c r="Z2649" t="n">
        <v>54</v>
      </c>
      <c r="AA2649" t="n">
        <v>136</v>
      </c>
      <c r="AB2649" t="n">
        <v>1</v>
      </c>
      <c r="AC2649" t="n">
        <v>2</v>
      </c>
      <c r="AD2649" t="n">
        <v>2</v>
      </c>
      <c r="AE2649" t="n">
        <v>4</v>
      </c>
      <c r="AF2649" t="n">
        <v>0</v>
      </c>
      <c r="AG2649" t="n">
        <v>0</v>
      </c>
      <c r="AH2649" t="n">
        <v>0</v>
      </c>
      <c r="AI2649" t="n">
        <v>0</v>
      </c>
      <c r="AJ2649" t="n">
        <v>2</v>
      </c>
      <c r="AK2649" t="n">
        <v>3</v>
      </c>
      <c r="AL2649" t="n">
        <v>0</v>
      </c>
      <c r="AM2649" t="n">
        <v>1</v>
      </c>
      <c r="AN2649" t="n">
        <v>0</v>
      </c>
      <c r="AO2649" t="n">
        <v>0</v>
      </c>
      <c r="AP2649" t="inlineStr">
        <is>
          <t>No</t>
        </is>
      </c>
      <c r="AQ2649" t="inlineStr">
        <is>
          <t>No</t>
        </is>
      </c>
      <c r="AS2649">
        <f>HYPERLINK("https://creighton-primo.hosted.exlibrisgroup.com/primo-explore/search?tab=default_tab&amp;search_scope=EVERYTHING&amp;vid=01CRU&amp;lang=en_US&amp;offset=0&amp;query=any,contains,991003829689702656","Catalog Record")</f>
        <v/>
      </c>
      <c r="AT2649">
        <f>HYPERLINK("http://www.worldcat.org/oclc/1583689","WorldCat Record")</f>
        <v/>
      </c>
      <c r="AU2649" t="inlineStr">
        <is>
          <t>2289044130:eng</t>
        </is>
      </c>
      <c r="AV2649" t="inlineStr">
        <is>
          <t>1583689</t>
        </is>
      </c>
      <c r="AW2649" t="inlineStr">
        <is>
          <t>991003829689702656</t>
        </is>
      </c>
      <c r="AX2649" t="inlineStr">
        <is>
          <t>991003829689702656</t>
        </is>
      </c>
      <c r="AY2649" t="inlineStr">
        <is>
          <t>2269245690002656</t>
        </is>
      </c>
      <c r="AZ2649" t="inlineStr">
        <is>
          <t>BOOK</t>
        </is>
      </c>
      <c r="BB2649" t="inlineStr">
        <is>
          <t>9780404521202</t>
        </is>
      </c>
      <c r="BC2649" t="inlineStr">
        <is>
          <t>32285001100253</t>
        </is>
      </c>
      <c r="BD2649" t="inlineStr">
        <is>
          <t>893611501</t>
        </is>
      </c>
    </row>
    <row r="2650">
      <c r="A2650" t="inlineStr">
        <is>
          <t>No</t>
        </is>
      </c>
      <c r="B2650" t="inlineStr">
        <is>
          <t>BX5037 .L3 1975</t>
        </is>
      </c>
      <c r="C2650" t="inlineStr">
        <is>
          <t>0                      BX 5037000L  3           1975</t>
        </is>
      </c>
      <c r="D2650" t="inlineStr">
        <is>
          <t>The works of the Most Reverend Father in God, William Laud, D.D.</t>
        </is>
      </c>
      <c r="E2650" t="inlineStr">
        <is>
          <t>V.7</t>
        </is>
      </c>
      <c r="F2650" t="inlineStr">
        <is>
          <t>Yes</t>
        </is>
      </c>
      <c r="G2650" t="inlineStr">
        <is>
          <t>1</t>
        </is>
      </c>
      <c r="H2650" t="inlineStr">
        <is>
          <t>No</t>
        </is>
      </c>
      <c r="I2650" t="inlineStr">
        <is>
          <t>No</t>
        </is>
      </c>
      <c r="J2650" t="inlineStr">
        <is>
          <t>0</t>
        </is>
      </c>
      <c r="K2650" t="inlineStr">
        <is>
          <t>Laud, William, 1573-1645.</t>
        </is>
      </c>
      <c r="L2650" t="inlineStr">
        <is>
          <t>New York : AMS Press, 1975.</t>
        </is>
      </c>
      <c r="M2650" t="inlineStr">
        <is>
          <t>1975</t>
        </is>
      </c>
      <c r="O2650" t="inlineStr">
        <is>
          <t>eng</t>
        </is>
      </c>
      <c r="P2650" t="inlineStr">
        <is>
          <t>nyu</t>
        </is>
      </c>
      <c r="Q2650" t="inlineStr">
        <is>
          <t>The Library of Anglo-Catholic theology ; no. 11</t>
        </is>
      </c>
      <c r="R2650" t="inlineStr">
        <is>
          <t xml:space="preserve">BX </t>
        </is>
      </c>
      <c r="S2650" t="n">
        <v>0</v>
      </c>
      <c r="T2650" t="n">
        <v>4</v>
      </c>
      <c r="V2650" t="inlineStr">
        <is>
          <t>2002-05-19</t>
        </is>
      </c>
      <c r="W2650" t="inlineStr">
        <is>
          <t>1992-04-24</t>
        </is>
      </c>
      <c r="X2650" t="inlineStr">
        <is>
          <t>1992-04-24</t>
        </is>
      </c>
      <c r="Y2650" t="n">
        <v>67</v>
      </c>
      <c r="Z2650" t="n">
        <v>54</v>
      </c>
      <c r="AA2650" t="n">
        <v>136</v>
      </c>
      <c r="AB2650" t="n">
        <v>1</v>
      </c>
      <c r="AC2650" t="n">
        <v>2</v>
      </c>
      <c r="AD2650" t="n">
        <v>2</v>
      </c>
      <c r="AE2650" t="n">
        <v>4</v>
      </c>
      <c r="AF2650" t="n">
        <v>0</v>
      </c>
      <c r="AG2650" t="n">
        <v>0</v>
      </c>
      <c r="AH2650" t="n">
        <v>0</v>
      </c>
      <c r="AI2650" t="n">
        <v>0</v>
      </c>
      <c r="AJ2650" t="n">
        <v>2</v>
      </c>
      <c r="AK2650" t="n">
        <v>3</v>
      </c>
      <c r="AL2650" t="n">
        <v>0</v>
      </c>
      <c r="AM2650" t="n">
        <v>1</v>
      </c>
      <c r="AN2650" t="n">
        <v>0</v>
      </c>
      <c r="AO2650" t="n">
        <v>0</v>
      </c>
      <c r="AP2650" t="inlineStr">
        <is>
          <t>No</t>
        </is>
      </c>
      <c r="AQ2650" t="inlineStr">
        <is>
          <t>No</t>
        </is>
      </c>
      <c r="AS2650">
        <f>HYPERLINK("https://creighton-primo.hosted.exlibrisgroup.com/primo-explore/search?tab=default_tab&amp;search_scope=EVERYTHING&amp;vid=01CRU&amp;lang=en_US&amp;offset=0&amp;query=any,contains,991003829689702656","Catalog Record")</f>
        <v/>
      </c>
      <c r="AT2650">
        <f>HYPERLINK("http://www.worldcat.org/oclc/1583689","WorldCat Record")</f>
        <v/>
      </c>
      <c r="AU2650" t="inlineStr">
        <is>
          <t>2289044130:eng</t>
        </is>
      </c>
      <c r="AV2650" t="inlineStr">
        <is>
          <t>1583689</t>
        </is>
      </c>
      <c r="AW2650" t="inlineStr">
        <is>
          <t>991003829689702656</t>
        </is>
      </c>
      <c r="AX2650" t="inlineStr">
        <is>
          <t>991003829689702656</t>
        </is>
      </c>
      <c r="AY2650" t="inlineStr">
        <is>
          <t>2269245690002656</t>
        </is>
      </c>
      <c r="AZ2650" t="inlineStr">
        <is>
          <t>BOOK</t>
        </is>
      </c>
      <c r="BB2650" t="inlineStr">
        <is>
          <t>9780404521202</t>
        </is>
      </c>
      <c r="BC2650" t="inlineStr">
        <is>
          <t>32285001100287</t>
        </is>
      </c>
      <c r="BD2650" t="inlineStr">
        <is>
          <t>893599042</t>
        </is>
      </c>
    </row>
    <row r="2651">
      <c r="A2651" t="inlineStr">
        <is>
          <t>No</t>
        </is>
      </c>
      <c r="B2651" t="inlineStr">
        <is>
          <t>BX5037 .L3 1975</t>
        </is>
      </c>
      <c r="C2651" t="inlineStr">
        <is>
          <t>0                      BX 5037000L  3           1975</t>
        </is>
      </c>
      <c r="D2651" t="inlineStr">
        <is>
          <t>The works of the Most Reverend Father in God, William Laud, D.D.</t>
        </is>
      </c>
      <c r="E2651" t="inlineStr">
        <is>
          <t>V.3</t>
        </is>
      </c>
      <c r="F2651" t="inlineStr">
        <is>
          <t>Yes</t>
        </is>
      </c>
      <c r="G2651" t="inlineStr">
        <is>
          <t>1</t>
        </is>
      </c>
      <c r="H2651" t="inlineStr">
        <is>
          <t>No</t>
        </is>
      </c>
      <c r="I2651" t="inlineStr">
        <is>
          <t>No</t>
        </is>
      </c>
      <c r="J2651" t="inlineStr">
        <is>
          <t>0</t>
        </is>
      </c>
      <c r="K2651" t="inlineStr">
        <is>
          <t>Laud, William, 1573-1645.</t>
        </is>
      </c>
      <c r="L2651" t="inlineStr">
        <is>
          <t>New York : AMS Press, 1975.</t>
        </is>
      </c>
      <c r="M2651" t="inlineStr">
        <is>
          <t>1975</t>
        </is>
      </c>
      <c r="O2651" t="inlineStr">
        <is>
          <t>eng</t>
        </is>
      </c>
      <c r="P2651" t="inlineStr">
        <is>
          <t>nyu</t>
        </is>
      </c>
      <c r="Q2651" t="inlineStr">
        <is>
          <t>The Library of Anglo-Catholic theology ; no. 11</t>
        </is>
      </c>
      <c r="R2651" t="inlineStr">
        <is>
          <t xml:space="preserve">BX </t>
        </is>
      </c>
      <c r="S2651" t="n">
        <v>1</v>
      </c>
      <c r="T2651" t="n">
        <v>4</v>
      </c>
      <c r="V2651" t="inlineStr">
        <is>
          <t>2002-05-19</t>
        </is>
      </c>
      <c r="W2651" t="inlineStr">
        <is>
          <t>1992-04-24</t>
        </is>
      </c>
      <c r="X2651" t="inlineStr">
        <is>
          <t>1992-04-24</t>
        </is>
      </c>
      <c r="Y2651" t="n">
        <v>67</v>
      </c>
      <c r="Z2651" t="n">
        <v>54</v>
      </c>
      <c r="AA2651" t="n">
        <v>136</v>
      </c>
      <c r="AB2651" t="n">
        <v>1</v>
      </c>
      <c r="AC2651" t="n">
        <v>2</v>
      </c>
      <c r="AD2651" t="n">
        <v>2</v>
      </c>
      <c r="AE2651" t="n">
        <v>4</v>
      </c>
      <c r="AF2651" t="n">
        <v>0</v>
      </c>
      <c r="AG2651" t="n">
        <v>0</v>
      </c>
      <c r="AH2651" t="n">
        <v>0</v>
      </c>
      <c r="AI2651" t="n">
        <v>0</v>
      </c>
      <c r="AJ2651" t="n">
        <v>2</v>
      </c>
      <c r="AK2651" t="n">
        <v>3</v>
      </c>
      <c r="AL2651" t="n">
        <v>0</v>
      </c>
      <c r="AM2651" t="n">
        <v>1</v>
      </c>
      <c r="AN2651" t="n">
        <v>0</v>
      </c>
      <c r="AO2651" t="n">
        <v>0</v>
      </c>
      <c r="AP2651" t="inlineStr">
        <is>
          <t>No</t>
        </is>
      </c>
      <c r="AQ2651" t="inlineStr">
        <is>
          <t>No</t>
        </is>
      </c>
      <c r="AS2651">
        <f>HYPERLINK("https://creighton-primo.hosted.exlibrisgroup.com/primo-explore/search?tab=default_tab&amp;search_scope=EVERYTHING&amp;vid=01CRU&amp;lang=en_US&amp;offset=0&amp;query=any,contains,991003829689702656","Catalog Record")</f>
        <v/>
      </c>
      <c r="AT2651">
        <f>HYPERLINK("http://www.worldcat.org/oclc/1583689","WorldCat Record")</f>
        <v/>
      </c>
      <c r="AU2651" t="inlineStr">
        <is>
          <t>2289044130:eng</t>
        </is>
      </c>
      <c r="AV2651" t="inlineStr">
        <is>
          <t>1583689</t>
        </is>
      </c>
      <c r="AW2651" t="inlineStr">
        <is>
          <t>991003829689702656</t>
        </is>
      </c>
      <c r="AX2651" t="inlineStr">
        <is>
          <t>991003829689702656</t>
        </is>
      </c>
      <c r="AY2651" t="inlineStr">
        <is>
          <t>2269245690002656</t>
        </is>
      </c>
      <c r="AZ2651" t="inlineStr">
        <is>
          <t>BOOK</t>
        </is>
      </c>
      <c r="BB2651" t="inlineStr">
        <is>
          <t>9780404521202</t>
        </is>
      </c>
      <c r="BC2651" t="inlineStr">
        <is>
          <t>32285001100246</t>
        </is>
      </c>
      <c r="BD2651" t="inlineStr">
        <is>
          <t>893592947</t>
        </is>
      </c>
    </row>
    <row r="2652">
      <c r="A2652" t="inlineStr">
        <is>
          <t>No</t>
        </is>
      </c>
      <c r="B2652" t="inlineStr">
        <is>
          <t>BX5037 .L3 1975</t>
        </is>
      </c>
      <c r="C2652" t="inlineStr">
        <is>
          <t>0                      BX 5037000L  3           1975</t>
        </is>
      </c>
      <c r="D2652" t="inlineStr">
        <is>
          <t>The works of the Most Reverend Father in God, William Laud, D.D.</t>
        </is>
      </c>
      <c r="E2652" t="inlineStr">
        <is>
          <t>V.1</t>
        </is>
      </c>
      <c r="F2652" t="inlineStr">
        <is>
          <t>Yes</t>
        </is>
      </c>
      <c r="G2652" t="inlineStr">
        <is>
          <t>1</t>
        </is>
      </c>
      <c r="H2652" t="inlineStr">
        <is>
          <t>No</t>
        </is>
      </c>
      <c r="I2652" t="inlineStr">
        <is>
          <t>No</t>
        </is>
      </c>
      <c r="J2652" t="inlineStr">
        <is>
          <t>0</t>
        </is>
      </c>
      <c r="K2652" t="inlineStr">
        <is>
          <t>Laud, William, 1573-1645.</t>
        </is>
      </c>
      <c r="L2652" t="inlineStr">
        <is>
          <t>New York : AMS Press, 1975.</t>
        </is>
      </c>
      <c r="M2652" t="inlineStr">
        <is>
          <t>1975</t>
        </is>
      </c>
      <c r="O2652" t="inlineStr">
        <is>
          <t>eng</t>
        </is>
      </c>
      <c r="P2652" t="inlineStr">
        <is>
          <t>nyu</t>
        </is>
      </c>
      <c r="Q2652" t="inlineStr">
        <is>
          <t>The Library of Anglo-Catholic theology ; no. 11</t>
        </is>
      </c>
      <c r="R2652" t="inlineStr">
        <is>
          <t xml:space="preserve">BX </t>
        </is>
      </c>
      <c r="S2652" t="n">
        <v>0</v>
      </c>
      <c r="T2652" t="n">
        <v>4</v>
      </c>
      <c r="V2652" t="inlineStr">
        <is>
          <t>2002-05-19</t>
        </is>
      </c>
      <c r="W2652" t="inlineStr">
        <is>
          <t>1992-04-24</t>
        </is>
      </c>
      <c r="X2652" t="inlineStr">
        <is>
          <t>1992-04-24</t>
        </is>
      </c>
      <c r="Y2652" t="n">
        <v>67</v>
      </c>
      <c r="Z2652" t="n">
        <v>54</v>
      </c>
      <c r="AA2652" t="n">
        <v>136</v>
      </c>
      <c r="AB2652" t="n">
        <v>1</v>
      </c>
      <c r="AC2652" t="n">
        <v>2</v>
      </c>
      <c r="AD2652" t="n">
        <v>2</v>
      </c>
      <c r="AE2652" t="n">
        <v>4</v>
      </c>
      <c r="AF2652" t="n">
        <v>0</v>
      </c>
      <c r="AG2652" t="n">
        <v>0</v>
      </c>
      <c r="AH2652" t="n">
        <v>0</v>
      </c>
      <c r="AI2652" t="n">
        <v>0</v>
      </c>
      <c r="AJ2652" t="n">
        <v>2</v>
      </c>
      <c r="AK2652" t="n">
        <v>3</v>
      </c>
      <c r="AL2652" t="n">
        <v>0</v>
      </c>
      <c r="AM2652" t="n">
        <v>1</v>
      </c>
      <c r="AN2652" t="n">
        <v>0</v>
      </c>
      <c r="AO2652" t="n">
        <v>0</v>
      </c>
      <c r="AP2652" t="inlineStr">
        <is>
          <t>No</t>
        </is>
      </c>
      <c r="AQ2652" t="inlineStr">
        <is>
          <t>No</t>
        </is>
      </c>
      <c r="AS2652">
        <f>HYPERLINK("https://creighton-primo.hosted.exlibrisgroup.com/primo-explore/search?tab=default_tab&amp;search_scope=EVERYTHING&amp;vid=01CRU&amp;lang=en_US&amp;offset=0&amp;query=any,contains,991003829689702656","Catalog Record")</f>
        <v/>
      </c>
      <c r="AT2652">
        <f>HYPERLINK("http://www.worldcat.org/oclc/1583689","WorldCat Record")</f>
        <v/>
      </c>
      <c r="AU2652" t="inlineStr">
        <is>
          <t>2289044130:eng</t>
        </is>
      </c>
      <c r="AV2652" t="inlineStr">
        <is>
          <t>1583689</t>
        </is>
      </c>
      <c r="AW2652" t="inlineStr">
        <is>
          <t>991003829689702656</t>
        </is>
      </c>
      <c r="AX2652" t="inlineStr">
        <is>
          <t>991003829689702656</t>
        </is>
      </c>
      <c r="AY2652" t="inlineStr">
        <is>
          <t>2269245690002656</t>
        </is>
      </c>
      <c r="AZ2652" t="inlineStr">
        <is>
          <t>BOOK</t>
        </is>
      </c>
      <c r="BB2652" t="inlineStr">
        <is>
          <t>9780404521202</t>
        </is>
      </c>
      <c r="BC2652" t="inlineStr">
        <is>
          <t>32285001100220</t>
        </is>
      </c>
      <c r="BD2652" t="inlineStr">
        <is>
          <t>893611503</t>
        </is>
      </c>
    </row>
    <row r="2653">
      <c r="A2653" t="inlineStr">
        <is>
          <t>No</t>
        </is>
      </c>
      <c r="B2653" t="inlineStr">
        <is>
          <t>BX5037 .L3 1975</t>
        </is>
      </c>
      <c r="C2653" t="inlineStr">
        <is>
          <t>0                      BX 5037000L  3           1975</t>
        </is>
      </c>
      <c r="D2653" t="inlineStr">
        <is>
          <t>The works of the Most Reverend Father in God, William Laud, D.D.</t>
        </is>
      </c>
      <c r="E2653" t="inlineStr">
        <is>
          <t>V.5</t>
        </is>
      </c>
      <c r="F2653" t="inlineStr">
        <is>
          <t>Yes</t>
        </is>
      </c>
      <c r="G2653" t="inlineStr">
        <is>
          <t>1</t>
        </is>
      </c>
      <c r="H2653" t="inlineStr">
        <is>
          <t>No</t>
        </is>
      </c>
      <c r="I2653" t="inlineStr">
        <is>
          <t>No</t>
        </is>
      </c>
      <c r="J2653" t="inlineStr">
        <is>
          <t>0</t>
        </is>
      </c>
      <c r="K2653" t="inlineStr">
        <is>
          <t>Laud, William, 1573-1645.</t>
        </is>
      </c>
      <c r="L2653" t="inlineStr">
        <is>
          <t>New York : AMS Press, 1975.</t>
        </is>
      </c>
      <c r="M2653" t="inlineStr">
        <is>
          <t>1975</t>
        </is>
      </c>
      <c r="O2653" t="inlineStr">
        <is>
          <t>eng</t>
        </is>
      </c>
      <c r="P2653" t="inlineStr">
        <is>
          <t>nyu</t>
        </is>
      </c>
      <c r="Q2653" t="inlineStr">
        <is>
          <t>The Library of Anglo-Catholic theology ; no. 11</t>
        </is>
      </c>
      <c r="R2653" t="inlineStr">
        <is>
          <t xml:space="preserve">BX </t>
        </is>
      </c>
      <c r="S2653" t="n">
        <v>0</v>
      </c>
      <c r="T2653" t="n">
        <v>4</v>
      </c>
      <c r="V2653" t="inlineStr">
        <is>
          <t>2002-05-19</t>
        </is>
      </c>
      <c r="W2653" t="inlineStr">
        <is>
          <t>1992-04-24</t>
        </is>
      </c>
      <c r="X2653" t="inlineStr">
        <is>
          <t>1992-04-24</t>
        </is>
      </c>
      <c r="Y2653" t="n">
        <v>67</v>
      </c>
      <c r="Z2653" t="n">
        <v>54</v>
      </c>
      <c r="AA2653" t="n">
        <v>136</v>
      </c>
      <c r="AB2653" t="n">
        <v>1</v>
      </c>
      <c r="AC2653" t="n">
        <v>2</v>
      </c>
      <c r="AD2653" t="n">
        <v>2</v>
      </c>
      <c r="AE2653" t="n">
        <v>4</v>
      </c>
      <c r="AF2653" t="n">
        <v>0</v>
      </c>
      <c r="AG2653" t="n">
        <v>0</v>
      </c>
      <c r="AH2653" t="n">
        <v>0</v>
      </c>
      <c r="AI2653" t="n">
        <v>0</v>
      </c>
      <c r="AJ2653" t="n">
        <v>2</v>
      </c>
      <c r="AK2653" t="n">
        <v>3</v>
      </c>
      <c r="AL2653" t="n">
        <v>0</v>
      </c>
      <c r="AM2653" t="n">
        <v>1</v>
      </c>
      <c r="AN2653" t="n">
        <v>0</v>
      </c>
      <c r="AO2653" t="n">
        <v>0</v>
      </c>
      <c r="AP2653" t="inlineStr">
        <is>
          <t>No</t>
        </is>
      </c>
      <c r="AQ2653" t="inlineStr">
        <is>
          <t>No</t>
        </is>
      </c>
      <c r="AS2653">
        <f>HYPERLINK("https://creighton-primo.hosted.exlibrisgroup.com/primo-explore/search?tab=default_tab&amp;search_scope=EVERYTHING&amp;vid=01CRU&amp;lang=en_US&amp;offset=0&amp;query=any,contains,991003829689702656","Catalog Record")</f>
        <v/>
      </c>
      <c r="AT2653">
        <f>HYPERLINK("http://www.worldcat.org/oclc/1583689","WorldCat Record")</f>
        <v/>
      </c>
      <c r="AU2653" t="inlineStr">
        <is>
          <t>2289044130:eng</t>
        </is>
      </c>
      <c r="AV2653" t="inlineStr">
        <is>
          <t>1583689</t>
        </is>
      </c>
      <c r="AW2653" t="inlineStr">
        <is>
          <t>991003829689702656</t>
        </is>
      </c>
      <c r="AX2653" t="inlineStr">
        <is>
          <t>991003829689702656</t>
        </is>
      </c>
      <c r="AY2653" t="inlineStr">
        <is>
          <t>2269245690002656</t>
        </is>
      </c>
      <c r="AZ2653" t="inlineStr">
        <is>
          <t>BOOK</t>
        </is>
      </c>
      <c r="BB2653" t="inlineStr">
        <is>
          <t>9780404521202</t>
        </is>
      </c>
      <c r="BC2653" t="inlineStr">
        <is>
          <t>32285001100261</t>
        </is>
      </c>
      <c r="BD2653" t="inlineStr">
        <is>
          <t>893599043</t>
        </is>
      </c>
    </row>
    <row r="2654">
      <c r="A2654" t="inlineStr">
        <is>
          <t>No</t>
        </is>
      </c>
      <c r="B2654" t="inlineStr">
        <is>
          <t>BX5052 .H6 1973, vol.7</t>
        </is>
      </c>
      <c r="C2654" t="inlineStr">
        <is>
          <t>0                      BX 5052000H  6           1973                                        vol.7</t>
        </is>
      </c>
      <c r="D2654" t="inlineStr">
        <is>
          <t>The English Church : from the accession of George I. to the end of the eighteenth century (1714-1800) / by John H. Overton and Frederic Relton.</t>
        </is>
      </c>
      <c r="E2654" t="inlineStr">
        <is>
          <t>V.7</t>
        </is>
      </c>
      <c r="F2654" t="inlineStr">
        <is>
          <t>No</t>
        </is>
      </c>
      <c r="G2654" t="inlineStr">
        <is>
          <t>1</t>
        </is>
      </c>
      <c r="H2654" t="inlineStr">
        <is>
          <t>No</t>
        </is>
      </c>
      <c r="I2654" t="inlineStr">
        <is>
          <t>Yes</t>
        </is>
      </c>
      <c r="J2654" t="inlineStr">
        <is>
          <t>0</t>
        </is>
      </c>
      <c r="K2654" t="inlineStr">
        <is>
          <t>Overton, John Henry, 1835-1903.</t>
        </is>
      </c>
      <c r="L2654" t="inlineStr">
        <is>
          <t>New York : AMS Press, [1973]</t>
        </is>
      </c>
      <c r="M2654" t="inlineStr">
        <is>
          <t>1973</t>
        </is>
      </c>
      <c r="O2654" t="inlineStr">
        <is>
          <t>eng</t>
        </is>
      </c>
      <c r="P2654" t="inlineStr">
        <is>
          <t>___</t>
        </is>
      </c>
      <c r="Q2654" t="inlineStr">
        <is>
          <t>A history of the English Church ; v.7</t>
        </is>
      </c>
      <c r="R2654" t="inlineStr">
        <is>
          <t xml:space="preserve">BX </t>
        </is>
      </c>
      <c r="S2654" t="n">
        <v>3</v>
      </c>
      <c r="T2654" t="n">
        <v>3</v>
      </c>
      <c r="U2654" t="inlineStr">
        <is>
          <t>2004-04-23</t>
        </is>
      </c>
      <c r="V2654" t="inlineStr">
        <is>
          <t>2004-04-23</t>
        </is>
      </c>
      <c r="W2654" t="inlineStr">
        <is>
          <t>1992-04-24</t>
        </is>
      </c>
      <c r="X2654" t="inlineStr">
        <is>
          <t>1992-04-24</t>
        </is>
      </c>
      <c r="Y2654" t="n">
        <v>24</v>
      </c>
      <c r="Z2654" t="n">
        <v>18</v>
      </c>
      <c r="AA2654" t="n">
        <v>382</v>
      </c>
      <c r="AB2654" t="n">
        <v>1</v>
      </c>
      <c r="AC2654" t="n">
        <v>2</v>
      </c>
      <c r="AD2654" t="n">
        <v>1</v>
      </c>
      <c r="AE2654" t="n">
        <v>21</v>
      </c>
      <c r="AF2654" t="n">
        <v>1</v>
      </c>
      <c r="AG2654" t="n">
        <v>8</v>
      </c>
      <c r="AH2654" t="n">
        <v>0</v>
      </c>
      <c r="AI2654" t="n">
        <v>4</v>
      </c>
      <c r="AJ2654" t="n">
        <v>0</v>
      </c>
      <c r="AK2654" t="n">
        <v>10</v>
      </c>
      <c r="AL2654" t="n">
        <v>0</v>
      </c>
      <c r="AM2654" t="n">
        <v>1</v>
      </c>
      <c r="AN2654" t="n">
        <v>0</v>
      </c>
      <c r="AO2654" t="n">
        <v>0</v>
      </c>
      <c r="AP2654" t="inlineStr">
        <is>
          <t>No</t>
        </is>
      </c>
      <c r="AQ2654" t="inlineStr">
        <is>
          <t>No</t>
        </is>
      </c>
      <c r="AS2654">
        <f>HYPERLINK("https://creighton-primo.hosted.exlibrisgroup.com/primo-explore/search?tab=default_tab&amp;search_scope=EVERYTHING&amp;vid=01CRU&amp;lang=en_US&amp;offset=0&amp;query=any,contains,991003464879702656","Catalog Record")</f>
        <v/>
      </c>
      <c r="AT2654">
        <f>HYPERLINK("http://www.worldcat.org/oclc/1006534","WorldCat Record")</f>
        <v/>
      </c>
      <c r="AU2654" t="inlineStr">
        <is>
          <t>3768466530:eng</t>
        </is>
      </c>
      <c r="AV2654" t="inlineStr">
        <is>
          <t>1006534</t>
        </is>
      </c>
      <c r="AW2654" t="inlineStr">
        <is>
          <t>991003464879702656</t>
        </is>
      </c>
      <c r="AX2654" t="inlineStr">
        <is>
          <t>991003464879702656</t>
        </is>
      </c>
      <c r="AY2654" t="inlineStr">
        <is>
          <t>2263967070002656</t>
        </is>
      </c>
      <c r="AZ2654" t="inlineStr">
        <is>
          <t>BOOK</t>
        </is>
      </c>
      <c r="BC2654" t="inlineStr">
        <is>
          <t>32285001100436</t>
        </is>
      </c>
      <c r="BD2654" t="inlineStr">
        <is>
          <t>893240221</t>
        </is>
      </c>
    </row>
    <row r="2655">
      <c r="A2655" t="inlineStr">
        <is>
          <t>No</t>
        </is>
      </c>
      <c r="B2655" t="inlineStr">
        <is>
          <t>BX5052.S74 E5 1967, v.5</t>
        </is>
      </c>
      <c r="C2655" t="inlineStr">
        <is>
          <t>0                      BX 5052000S  74                 E  5           1967                  v.5</t>
        </is>
      </c>
      <c r="D2655" t="inlineStr">
        <is>
          <t>The English Church : in the reigns of Elizabeth and James I. (1558-1625) / by W.H. Frere.</t>
        </is>
      </c>
      <c r="E2655" t="inlineStr">
        <is>
          <t>V.5</t>
        </is>
      </c>
      <c r="F2655" t="inlineStr">
        <is>
          <t>No</t>
        </is>
      </c>
      <c r="G2655" t="inlineStr">
        <is>
          <t>1</t>
        </is>
      </c>
      <c r="H2655" t="inlineStr">
        <is>
          <t>No</t>
        </is>
      </c>
      <c r="I2655" t="inlineStr">
        <is>
          <t>Yes</t>
        </is>
      </c>
      <c r="J2655" t="inlineStr">
        <is>
          <t>0</t>
        </is>
      </c>
      <c r="K2655" t="inlineStr">
        <is>
          <t>Frere, W. H. (Walter Howard), 1863-1938.</t>
        </is>
      </c>
      <c r="L2655" t="inlineStr">
        <is>
          <t>New York : AMS Press, [1972?]</t>
        </is>
      </c>
      <c r="M2655" t="inlineStr">
        <is>
          <t>1972</t>
        </is>
      </c>
      <c r="O2655" t="inlineStr">
        <is>
          <t>eng</t>
        </is>
      </c>
      <c r="P2655" t="inlineStr">
        <is>
          <t>nyu</t>
        </is>
      </c>
      <c r="Q2655" t="inlineStr">
        <is>
          <t>A history of the English Church ; v. 5</t>
        </is>
      </c>
      <c r="R2655" t="inlineStr">
        <is>
          <t xml:space="preserve">BX </t>
        </is>
      </c>
      <c r="S2655" t="n">
        <v>3</v>
      </c>
      <c r="T2655" t="n">
        <v>3</v>
      </c>
      <c r="U2655" t="inlineStr">
        <is>
          <t>2005-09-21</t>
        </is>
      </c>
      <c r="V2655" t="inlineStr">
        <is>
          <t>2005-09-21</t>
        </is>
      </c>
      <c r="W2655" t="inlineStr">
        <is>
          <t>1992-04-24</t>
        </is>
      </c>
      <c r="X2655" t="inlineStr">
        <is>
          <t>1992-04-24</t>
        </is>
      </c>
      <c r="Y2655" t="n">
        <v>14</v>
      </c>
      <c r="Z2655" t="n">
        <v>14</v>
      </c>
      <c r="AA2655" t="n">
        <v>478</v>
      </c>
      <c r="AB2655" t="n">
        <v>1</v>
      </c>
      <c r="AC2655" t="n">
        <v>3</v>
      </c>
      <c r="AD2655" t="n">
        <v>0</v>
      </c>
      <c r="AE2655" t="n">
        <v>29</v>
      </c>
      <c r="AF2655" t="n">
        <v>0</v>
      </c>
      <c r="AG2655" t="n">
        <v>11</v>
      </c>
      <c r="AH2655" t="n">
        <v>0</v>
      </c>
      <c r="AI2655" t="n">
        <v>8</v>
      </c>
      <c r="AJ2655" t="n">
        <v>0</v>
      </c>
      <c r="AK2655" t="n">
        <v>14</v>
      </c>
      <c r="AL2655" t="n">
        <v>0</v>
      </c>
      <c r="AM2655" t="n">
        <v>2</v>
      </c>
      <c r="AN2655" t="n">
        <v>0</v>
      </c>
      <c r="AO2655" t="n">
        <v>0</v>
      </c>
      <c r="AP2655" t="inlineStr">
        <is>
          <t>No</t>
        </is>
      </c>
      <c r="AQ2655" t="inlineStr">
        <is>
          <t>No</t>
        </is>
      </c>
      <c r="AS2655">
        <f>HYPERLINK("https://creighton-primo.hosted.exlibrisgroup.com/primo-explore/search?tab=default_tab&amp;search_scope=EVERYTHING&amp;vid=01CRU&amp;lang=en_US&amp;offset=0&amp;query=any,contains,991004732909702656","Catalog Record")</f>
        <v/>
      </c>
      <c r="AT2655">
        <f>HYPERLINK("http://www.worldcat.org/oclc/4836644","WorldCat Record")</f>
        <v/>
      </c>
      <c r="AU2655" t="inlineStr">
        <is>
          <t>1701946:eng</t>
        </is>
      </c>
      <c r="AV2655" t="inlineStr">
        <is>
          <t>4836644</t>
        </is>
      </c>
      <c r="AW2655" t="inlineStr">
        <is>
          <t>991004732909702656</t>
        </is>
      </c>
      <c r="AX2655" t="inlineStr">
        <is>
          <t>991004732909702656</t>
        </is>
      </c>
      <c r="AY2655" t="inlineStr">
        <is>
          <t>2263868390002656</t>
        </is>
      </c>
      <c r="AZ2655" t="inlineStr">
        <is>
          <t>BOOK</t>
        </is>
      </c>
      <c r="BC2655" t="inlineStr">
        <is>
          <t>32285001100410</t>
        </is>
      </c>
      <c r="BD2655" t="inlineStr">
        <is>
          <t>893338070</t>
        </is>
      </c>
    </row>
    <row r="2656">
      <c r="A2656" t="inlineStr">
        <is>
          <t>No</t>
        </is>
      </c>
      <c r="B2656" t="inlineStr">
        <is>
          <t>BX5052.S74 E5 1967, v.8</t>
        </is>
      </c>
      <c r="C2656" t="inlineStr">
        <is>
          <t>0                      BX 5052000S  74                 E  5           1967                  v.8</t>
        </is>
      </c>
      <c r="D2656" t="inlineStr">
        <is>
          <t>The English Church : in the nineteenth century / by Francis Warre Cornish.</t>
        </is>
      </c>
      <c r="E2656" t="inlineStr">
        <is>
          <t>V.8 PT.2</t>
        </is>
      </c>
      <c r="F2656" t="inlineStr">
        <is>
          <t>Yes</t>
        </is>
      </c>
      <c r="G2656" t="inlineStr">
        <is>
          <t>1</t>
        </is>
      </c>
      <c r="H2656" t="inlineStr">
        <is>
          <t>No</t>
        </is>
      </c>
      <c r="I2656" t="inlineStr">
        <is>
          <t>No</t>
        </is>
      </c>
      <c r="J2656" t="inlineStr">
        <is>
          <t>0</t>
        </is>
      </c>
      <c r="K2656" t="inlineStr">
        <is>
          <t>Warre Cornish, Francis, 1839-1916.</t>
        </is>
      </c>
      <c r="L2656" t="inlineStr">
        <is>
          <t>New York : AMS Press, [1973]</t>
        </is>
      </c>
      <c r="M2656" t="inlineStr">
        <is>
          <t>1973</t>
        </is>
      </c>
      <c r="O2656" t="inlineStr">
        <is>
          <t>eng</t>
        </is>
      </c>
      <c r="P2656" t="inlineStr">
        <is>
          <t>___</t>
        </is>
      </c>
      <c r="Q2656" t="inlineStr">
        <is>
          <t>A history of the English Church ; v. 8</t>
        </is>
      </c>
      <c r="R2656" t="inlineStr">
        <is>
          <t xml:space="preserve">BX </t>
        </is>
      </c>
      <c r="S2656" t="n">
        <v>1</v>
      </c>
      <c r="T2656" t="n">
        <v>2</v>
      </c>
      <c r="U2656" t="inlineStr">
        <is>
          <t>1993-01-29</t>
        </is>
      </c>
      <c r="V2656" t="inlineStr">
        <is>
          <t>2004-04-23</t>
        </is>
      </c>
      <c r="W2656" t="inlineStr">
        <is>
          <t>1992-04-24</t>
        </is>
      </c>
      <c r="X2656" t="inlineStr">
        <is>
          <t>1992-04-24</t>
        </is>
      </c>
      <c r="Y2656" t="n">
        <v>14</v>
      </c>
      <c r="Z2656" t="n">
        <v>13</v>
      </c>
      <c r="AA2656" t="n">
        <v>97</v>
      </c>
      <c r="AB2656" t="n">
        <v>1</v>
      </c>
      <c r="AC2656" t="n">
        <v>1</v>
      </c>
      <c r="AD2656" t="n">
        <v>3</v>
      </c>
      <c r="AE2656" t="n">
        <v>6</v>
      </c>
      <c r="AF2656" t="n">
        <v>1</v>
      </c>
      <c r="AG2656" t="n">
        <v>3</v>
      </c>
      <c r="AH2656" t="n">
        <v>2</v>
      </c>
      <c r="AI2656" t="n">
        <v>2</v>
      </c>
      <c r="AJ2656" t="n">
        <v>2</v>
      </c>
      <c r="AK2656" t="n">
        <v>4</v>
      </c>
      <c r="AL2656" t="n">
        <v>0</v>
      </c>
      <c r="AM2656" t="n">
        <v>0</v>
      </c>
      <c r="AN2656" t="n">
        <v>0</v>
      </c>
      <c r="AO2656" t="n">
        <v>0</v>
      </c>
      <c r="AP2656" t="inlineStr">
        <is>
          <t>No</t>
        </is>
      </c>
      <c r="AQ2656" t="inlineStr">
        <is>
          <t>No</t>
        </is>
      </c>
      <c r="AS2656">
        <f>HYPERLINK("https://creighton-primo.hosted.exlibrisgroup.com/primo-explore/search?tab=default_tab&amp;search_scope=EVERYTHING&amp;vid=01CRU&amp;lang=en_US&amp;offset=0&amp;query=any,contains,991003464849702656","Catalog Record")</f>
        <v/>
      </c>
      <c r="AT2656">
        <f>HYPERLINK("http://www.worldcat.org/oclc/1006522","WorldCat Record")</f>
        <v/>
      </c>
      <c r="AU2656" t="inlineStr">
        <is>
          <t>4757765387:eng</t>
        </is>
      </c>
      <c r="AV2656" t="inlineStr">
        <is>
          <t>1006522</t>
        </is>
      </c>
      <c r="AW2656" t="inlineStr">
        <is>
          <t>991003464849702656</t>
        </is>
      </c>
      <c r="AX2656" t="inlineStr">
        <is>
          <t>991003464849702656</t>
        </is>
      </c>
      <c r="AY2656" t="inlineStr">
        <is>
          <t>2263920520002656</t>
        </is>
      </c>
      <c r="AZ2656" t="inlineStr">
        <is>
          <t>BOOK</t>
        </is>
      </c>
      <c r="BC2656" t="inlineStr">
        <is>
          <t>32285001100451</t>
        </is>
      </c>
      <c r="BD2656" t="inlineStr">
        <is>
          <t>893445669</t>
        </is>
      </c>
    </row>
    <row r="2657">
      <c r="A2657" t="inlineStr">
        <is>
          <t>No</t>
        </is>
      </c>
      <c r="B2657" t="inlineStr">
        <is>
          <t>BX5052.S74 E5 1967, v.8</t>
        </is>
      </c>
      <c r="C2657" t="inlineStr">
        <is>
          <t>0                      BX 5052000S  74                 E  5           1967                  v.8</t>
        </is>
      </c>
      <c r="D2657" t="inlineStr">
        <is>
          <t>The English Church : in the nineteenth century / by Francis Warre Cornish.</t>
        </is>
      </c>
      <c r="E2657" t="inlineStr">
        <is>
          <t>V.8 PT.1</t>
        </is>
      </c>
      <c r="F2657" t="inlineStr">
        <is>
          <t>Yes</t>
        </is>
      </c>
      <c r="G2657" t="inlineStr">
        <is>
          <t>1</t>
        </is>
      </c>
      <c r="H2657" t="inlineStr">
        <is>
          <t>No</t>
        </is>
      </c>
      <c r="I2657" t="inlineStr">
        <is>
          <t>No</t>
        </is>
      </c>
      <c r="J2657" t="inlineStr">
        <is>
          <t>0</t>
        </is>
      </c>
      <c r="K2657" t="inlineStr">
        <is>
          <t>Warre Cornish, Francis, 1839-1916.</t>
        </is>
      </c>
      <c r="L2657" t="inlineStr">
        <is>
          <t>New York : AMS Press, [1973]</t>
        </is>
      </c>
      <c r="M2657" t="inlineStr">
        <is>
          <t>1973</t>
        </is>
      </c>
      <c r="O2657" t="inlineStr">
        <is>
          <t>eng</t>
        </is>
      </c>
      <c r="P2657" t="inlineStr">
        <is>
          <t>___</t>
        </is>
      </c>
      <c r="Q2657" t="inlineStr">
        <is>
          <t>A history of the English Church ; v. 8</t>
        </is>
      </c>
      <c r="R2657" t="inlineStr">
        <is>
          <t xml:space="preserve">BX </t>
        </is>
      </c>
      <c r="S2657" t="n">
        <v>1</v>
      </c>
      <c r="T2657" t="n">
        <v>2</v>
      </c>
      <c r="U2657" t="inlineStr">
        <is>
          <t>2004-04-23</t>
        </is>
      </c>
      <c r="V2657" t="inlineStr">
        <is>
          <t>2004-04-23</t>
        </is>
      </c>
      <c r="W2657" t="inlineStr">
        <is>
          <t>1992-04-24</t>
        </is>
      </c>
      <c r="X2657" t="inlineStr">
        <is>
          <t>1992-04-24</t>
        </is>
      </c>
      <c r="Y2657" t="n">
        <v>14</v>
      </c>
      <c r="Z2657" t="n">
        <v>13</v>
      </c>
      <c r="AA2657" t="n">
        <v>97</v>
      </c>
      <c r="AB2657" t="n">
        <v>1</v>
      </c>
      <c r="AC2657" t="n">
        <v>1</v>
      </c>
      <c r="AD2657" t="n">
        <v>3</v>
      </c>
      <c r="AE2657" t="n">
        <v>6</v>
      </c>
      <c r="AF2657" t="n">
        <v>1</v>
      </c>
      <c r="AG2657" t="n">
        <v>3</v>
      </c>
      <c r="AH2657" t="n">
        <v>2</v>
      </c>
      <c r="AI2657" t="n">
        <v>2</v>
      </c>
      <c r="AJ2657" t="n">
        <v>2</v>
      </c>
      <c r="AK2657" t="n">
        <v>4</v>
      </c>
      <c r="AL2657" t="n">
        <v>0</v>
      </c>
      <c r="AM2657" t="n">
        <v>0</v>
      </c>
      <c r="AN2657" t="n">
        <v>0</v>
      </c>
      <c r="AO2657" t="n">
        <v>0</v>
      </c>
      <c r="AP2657" t="inlineStr">
        <is>
          <t>No</t>
        </is>
      </c>
      <c r="AQ2657" t="inlineStr">
        <is>
          <t>No</t>
        </is>
      </c>
      <c r="AS2657">
        <f>HYPERLINK("https://creighton-primo.hosted.exlibrisgroup.com/primo-explore/search?tab=default_tab&amp;search_scope=EVERYTHING&amp;vid=01CRU&amp;lang=en_US&amp;offset=0&amp;query=any,contains,991003464849702656","Catalog Record")</f>
        <v/>
      </c>
      <c r="AT2657">
        <f>HYPERLINK("http://www.worldcat.org/oclc/1006522","WorldCat Record")</f>
        <v/>
      </c>
      <c r="AU2657" t="inlineStr">
        <is>
          <t>4757765387:eng</t>
        </is>
      </c>
      <c r="AV2657" t="inlineStr">
        <is>
          <t>1006522</t>
        </is>
      </c>
      <c r="AW2657" t="inlineStr">
        <is>
          <t>991003464849702656</t>
        </is>
      </c>
      <c r="AX2657" t="inlineStr">
        <is>
          <t>991003464849702656</t>
        </is>
      </c>
      <c r="AY2657" t="inlineStr">
        <is>
          <t>2263920520002656</t>
        </is>
      </c>
      <c r="AZ2657" t="inlineStr">
        <is>
          <t>BOOK</t>
        </is>
      </c>
      <c r="BC2657" t="inlineStr">
        <is>
          <t>32285001100444</t>
        </is>
      </c>
      <c r="BD2657" t="inlineStr">
        <is>
          <t>893445668</t>
        </is>
      </c>
    </row>
    <row r="2658">
      <c r="A2658" t="inlineStr">
        <is>
          <t>No</t>
        </is>
      </c>
      <c r="B2658" t="inlineStr">
        <is>
          <t>BX5052.S74 E5 v.1</t>
        </is>
      </c>
      <c r="C2658" t="inlineStr">
        <is>
          <t>0                      BX 5052000S  74                 E  5                                 v.1</t>
        </is>
      </c>
      <c r="D2658" t="inlineStr">
        <is>
          <t>The English church : from its foundation to the Norman conquest (597-1066) / by William Hunt, M.A.</t>
        </is>
      </c>
      <c r="E2658" t="inlineStr">
        <is>
          <t>V.1</t>
        </is>
      </c>
      <c r="F2658" t="inlineStr">
        <is>
          <t>No</t>
        </is>
      </c>
      <c r="G2658" t="inlineStr">
        <is>
          <t>1</t>
        </is>
      </c>
      <c r="H2658" t="inlineStr">
        <is>
          <t>No</t>
        </is>
      </c>
      <c r="I2658" t="inlineStr">
        <is>
          <t>Yes</t>
        </is>
      </c>
      <c r="J2658" t="inlineStr">
        <is>
          <t>0</t>
        </is>
      </c>
      <c r="K2658" t="inlineStr">
        <is>
          <t>Hunt, William, 1842-1931.</t>
        </is>
      </c>
      <c r="L2658" t="inlineStr">
        <is>
          <t>London : Macmillan &amp; co., limited ; New York : The Macmillan company, [1899]</t>
        </is>
      </c>
      <c r="M2658" t="inlineStr">
        <is>
          <t>1899</t>
        </is>
      </c>
      <c r="O2658" t="inlineStr">
        <is>
          <t>eng</t>
        </is>
      </c>
      <c r="P2658" t="inlineStr">
        <is>
          <t>___</t>
        </is>
      </c>
      <c r="Q2658" t="inlineStr">
        <is>
          <t>A history of the English church ; 1</t>
        </is>
      </c>
      <c r="R2658" t="inlineStr">
        <is>
          <t xml:space="preserve">BX </t>
        </is>
      </c>
      <c r="S2658" t="n">
        <v>1</v>
      </c>
      <c r="T2658" t="n">
        <v>1</v>
      </c>
      <c r="U2658" t="inlineStr">
        <is>
          <t>2009-11-19</t>
        </is>
      </c>
      <c r="V2658" t="inlineStr">
        <is>
          <t>2009-11-19</t>
        </is>
      </c>
      <c r="W2658" t="inlineStr">
        <is>
          <t>1992-04-24</t>
        </is>
      </c>
      <c r="X2658" t="inlineStr">
        <is>
          <t>1992-04-24</t>
        </is>
      </c>
      <c r="Y2658" t="n">
        <v>232</v>
      </c>
      <c r="Z2658" t="n">
        <v>178</v>
      </c>
      <c r="AA2658" t="n">
        <v>424</v>
      </c>
      <c r="AB2658" t="n">
        <v>1</v>
      </c>
      <c r="AC2658" t="n">
        <v>3</v>
      </c>
      <c r="AD2658" t="n">
        <v>7</v>
      </c>
      <c r="AE2658" t="n">
        <v>28</v>
      </c>
      <c r="AF2658" t="n">
        <v>3</v>
      </c>
      <c r="AG2658" t="n">
        <v>10</v>
      </c>
      <c r="AH2658" t="n">
        <v>2</v>
      </c>
      <c r="AI2658" t="n">
        <v>5</v>
      </c>
      <c r="AJ2658" t="n">
        <v>2</v>
      </c>
      <c r="AK2658" t="n">
        <v>15</v>
      </c>
      <c r="AL2658" t="n">
        <v>0</v>
      </c>
      <c r="AM2658" t="n">
        <v>2</v>
      </c>
      <c r="AN2658" t="n">
        <v>0</v>
      </c>
      <c r="AO2658" t="n">
        <v>0</v>
      </c>
      <c r="AP2658" t="inlineStr">
        <is>
          <t>Yes</t>
        </is>
      </c>
      <c r="AQ2658" t="inlineStr">
        <is>
          <t>No</t>
        </is>
      </c>
      <c r="AR2658">
        <f>HYPERLINK("http://catalog.hathitrust.org/Record/005782676","HathiTrust Record")</f>
        <v/>
      </c>
      <c r="AS2658">
        <f>HYPERLINK("https://creighton-primo.hosted.exlibrisgroup.com/primo-explore/search?tab=default_tab&amp;search_scope=EVERYTHING&amp;vid=01CRU&amp;lang=en_US&amp;offset=0&amp;query=any,contains,991003742819702656","Catalog Record")</f>
        <v/>
      </c>
      <c r="AT2658">
        <f>HYPERLINK("http://www.worldcat.org/oclc/1409977","WorldCat Record")</f>
        <v/>
      </c>
      <c r="AU2658" t="inlineStr">
        <is>
          <t>3855252961:eng</t>
        </is>
      </c>
      <c r="AV2658" t="inlineStr">
        <is>
          <t>1409977</t>
        </is>
      </c>
      <c r="AW2658" t="inlineStr">
        <is>
          <t>991003742819702656</t>
        </is>
      </c>
      <c r="AX2658" t="inlineStr">
        <is>
          <t>991003742819702656</t>
        </is>
      </c>
      <c r="AY2658" t="inlineStr">
        <is>
          <t>2268429050002656</t>
        </is>
      </c>
      <c r="AZ2658" t="inlineStr">
        <is>
          <t>BOOK</t>
        </is>
      </c>
      <c r="BC2658" t="inlineStr">
        <is>
          <t>32285001100303</t>
        </is>
      </c>
      <c r="BD2658" t="inlineStr">
        <is>
          <t>893336879</t>
        </is>
      </c>
    </row>
    <row r="2659">
      <c r="A2659" t="inlineStr">
        <is>
          <t>No</t>
        </is>
      </c>
      <c r="B2659" t="inlineStr">
        <is>
          <t>BX5052.S74 E5 v.2</t>
        </is>
      </c>
      <c r="C2659" t="inlineStr">
        <is>
          <t>0                      BX 5052000S  74                 E  5                                 v.2</t>
        </is>
      </c>
      <c r="D2659" t="inlineStr">
        <is>
          <t>The English church from the Norman conquest to the accession of Edward I (1066-1272) / by W. R. W. Stephens.</t>
        </is>
      </c>
      <c r="E2659" t="inlineStr">
        <is>
          <t>V.2</t>
        </is>
      </c>
      <c r="F2659" t="inlineStr">
        <is>
          <t>No</t>
        </is>
      </c>
      <c r="G2659" t="inlineStr">
        <is>
          <t>1</t>
        </is>
      </c>
      <c r="H2659" t="inlineStr">
        <is>
          <t>No</t>
        </is>
      </c>
      <c r="I2659" t="inlineStr">
        <is>
          <t>Yes</t>
        </is>
      </c>
      <c r="J2659" t="inlineStr">
        <is>
          <t>0</t>
        </is>
      </c>
      <c r="K2659" t="inlineStr">
        <is>
          <t>Stephens, W. R. W. (William Richard Wood), 1839-1902.</t>
        </is>
      </c>
      <c r="L2659" t="inlineStr">
        <is>
          <t>London : Macmillan and co., limited ; New York : The Macmillan company, 1901.</t>
        </is>
      </c>
      <c r="M2659" t="inlineStr">
        <is>
          <t>1901</t>
        </is>
      </c>
      <c r="O2659" t="inlineStr">
        <is>
          <t>eng</t>
        </is>
      </c>
      <c r="P2659" t="inlineStr">
        <is>
          <t>enk</t>
        </is>
      </c>
      <c r="Q2659" t="inlineStr">
        <is>
          <t>A history of the English church ; II</t>
        </is>
      </c>
      <c r="R2659" t="inlineStr">
        <is>
          <t xml:space="preserve">BX </t>
        </is>
      </c>
      <c r="S2659" t="n">
        <v>1</v>
      </c>
      <c r="T2659" t="n">
        <v>1</v>
      </c>
      <c r="U2659" t="inlineStr">
        <is>
          <t>1993-02-14</t>
        </is>
      </c>
      <c r="V2659" t="inlineStr">
        <is>
          <t>1993-02-14</t>
        </is>
      </c>
      <c r="W2659" t="inlineStr">
        <is>
          <t>1992-04-24</t>
        </is>
      </c>
      <c r="X2659" t="inlineStr">
        <is>
          <t>1992-04-24</t>
        </is>
      </c>
      <c r="Y2659" t="n">
        <v>245</v>
      </c>
      <c r="Z2659" t="n">
        <v>182</v>
      </c>
      <c r="AA2659" t="n">
        <v>377</v>
      </c>
      <c r="AB2659" t="n">
        <v>1</v>
      </c>
      <c r="AC2659" t="n">
        <v>3</v>
      </c>
      <c r="AD2659" t="n">
        <v>10</v>
      </c>
      <c r="AE2659" t="n">
        <v>25</v>
      </c>
      <c r="AF2659" t="n">
        <v>3</v>
      </c>
      <c r="AG2659" t="n">
        <v>10</v>
      </c>
      <c r="AH2659" t="n">
        <v>1</v>
      </c>
      <c r="AI2659" t="n">
        <v>4</v>
      </c>
      <c r="AJ2659" t="n">
        <v>7</v>
      </c>
      <c r="AK2659" t="n">
        <v>13</v>
      </c>
      <c r="AL2659" t="n">
        <v>0</v>
      </c>
      <c r="AM2659" t="n">
        <v>2</v>
      </c>
      <c r="AN2659" t="n">
        <v>0</v>
      </c>
      <c r="AO2659" t="n">
        <v>0</v>
      </c>
      <c r="AP2659" t="inlineStr">
        <is>
          <t>Yes</t>
        </is>
      </c>
      <c r="AQ2659" t="inlineStr">
        <is>
          <t>No</t>
        </is>
      </c>
      <c r="AR2659">
        <f>HYPERLINK("http://catalog.hathitrust.org/Record/009778195","HathiTrust Record")</f>
        <v/>
      </c>
      <c r="AS2659">
        <f>HYPERLINK("https://creighton-primo.hosted.exlibrisgroup.com/primo-explore/search?tab=default_tab&amp;search_scope=EVERYTHING&amp;vid=01CRU&amp;lang=en_US&amp;offset=0&amp;query=any,contains,991004410009702656","Catalog Record")</f>
        <v/>
      </c>
      <c r="AT2659">
        <f>HYPERLINK("http://www.worldcat.org/oclc/3335589","WorldCat Record")</f>
        <v/>
      </c>
      <c r="AU2659" t="inlineStr">
        <is>
          <t>3855292555:eng</t>
        </is>
      </c>
      <c r="AV2659" t="inlineStr">
        <is>
          <t>3335589</t>
        </is>
      </c>
      <c r="AW2659" t="inlineStr">
        <is>
          <t>991004410009702656</t>
        </is>
      </c>
      <c r="AX2659" t="inlineStr">
        <is>
          <t>991004410009702656</t>
        </is>
      </c>
      <c r="AY2659" t="inlineStr">
        <is>
          <t>2271237330002656</t>
        </is>
      </c>
      <c r="AZ2659" t="inlineStr">
        <is>
          <t>BOOK</t>
        </is>
      </c>
      <c r="BC2659" t="inlineStr">
        <is>
          <t>32285001100311</t>
        </is>
      </c>
      <c r="BD2659" t="inlineStr">
        <is>
          <t>893782209</t>
        </is>
      </c>
    </row>
    <row r="2660">
      <c r="A2660" t="inlineStr">
        <is>
          <t>No</t>
        </is>
      </c>
      <c r="B2660" t="inlineStr">
        <is>
          <t>BX5070 .H5</t>
        </is>
      </c>
      <c r="C2660" t="inlineStr">
        <is>
          <t>0                      BX 5070000H  5</t>
        </is>
      </c>
      <c r="D2660" t="inlineStr">
        <is>
          <t>Catholic and Reformed; a study of the Anglican Church, 1559-1662.</t>
        </is>
      </c>
      <c r="F2660" t="inlineStr">
        <is>
          <t>No</t>
        </is>
      </c>
      <c r="G2660" t="inlineStr">
        <is>
          <t>1</t>
        </is>
      </c>
      <c r="H2660" t="inlineStr">
        <is>
          <t>No</t>
        </is>
      </c>
      <c r="I2660" t="inlineStr">
        <is>
          <t>No</t>
        </is>
      </c>
      <c r="J2660" t="inlineStr">
        <is>
          <t>0</t>
        </is>
      </c>
      <c r="K2660" t="inlineStr">
        <is>
          <t>Higham, F. M. G. (Florence May Greir), 1896-1980.</t>
        </is>
      </c>
      <c r="L2660" t="inlineStr">
        <is>
          <t>London, S. P. C. K., 1962.</t>
        </is>
      </c>
      <c r="M2660" t="inlineStr">
        <is>
          <t>1962</t>
        </is>
      </c>
      <c r="O2660" t="inlineStr">
        <is>
          <t>eng</t>
        </is>
      </c>
      <c r="P2660" t="inlineStr">
        <is>
          <t xml:space="preserve">xx </t>
        </is>
      </c>
      <c r="R2660" t="inlineStr">
        <is>
          <t xml:space="preserve">BX </t>
        </is>
      </c>
      <c r="S2660" t="n">
        <v>3</v>
      </c>
      <c r="T2660" t="n">
        <v>3</v>
      </c>
      <c r="U2660" t="inlineStr">
        <is>
          <t>1993-09-29</t>
        </is>
      </c>
      <c r="V2660" t="inlineStr">
        <is>
          <t>1993-09-29</t>
        </is>
      </c>
      <c r="W2660" t="inlineStr">
        <is>
          <t>1992-04-24</t>
        </is>
      </c>
      <c r="X2660" t="inlineStr">
        <is>
          <t>1992-04-24</t>
        </is>
      </c>
      <c r="Y2660" t="n">
        <v>318</v>
      </c>
      <c r="Z2660" t="n">
        <v>211</v>
      </c>
      <c r="AA2660" t="n">
        <v>217</v>
      </c>
      <c r="AB2660" t="n">
        <v>1</v>
      </c>
      <c r="AC2660" t="n">
        <v>1</v>
      </c>
      <c r="AD2660" t="n">
        <v>9</v>
      </c>
      <c r="AE2660" t="n">
        <v>9</v>
      </c>
      <c r="AF2660" t="n">
        <v>3</v>
      </c>
      <c r="AG2660" t="n">
        <v>3</v>
      </c>
      <c r="AH2660" t="n">
        <v>2</v>
      </c>
      <c r="AI2660" t="n">
        <v>2</v>
      </c>
      <c r="AJ2660" t="n">
        <v>7</v>
      </c>
      <c r="AK2660" t="n">
        <v>7</v>
      </c>
      <c r="AL2660" t="n">
        <v>0</v>
      </c>
      <c r="AM2660" t="n">
        <v>0</v>
      </c>
      <c r="AN2660" t="n">
        <v>0</v>
      </c>
      <c r="AO2660" t="n">
        <v>0</v>
      </c>
      <c r="AP2660" t="inlineStr">
        <is>
          <t>No</t>
        </is>
      </c>
      <c r="AQ2660" t="inlineStr">
        <is>
          <t>Yes</t>
        </is>
      </c>
      <c r="AR2660">
        <f>HYPERLINK("http://catalog.hathitrust.org/Record/001603136","HathiTrust Record")</f>
        <v/>
      </c>
      <c r="AS2660">
        <f>HYPERLINK("https://creighton-primo.hosted.exlibrisgroup.com/primo-explore/search?tab=default_tab&amp;search_scope=EVERYTHING&amp;vid=01CRU&amp;lang=en_US&amp;offset=0&amp;query=any,contains,991004350459702656","Catalog Record")</f>
        <v/>
      </c>
      <c r="AT2660">
        <f>HYPERLINK("http://www.worldcat.org/oclc/3119558","WorldCat Record")</f>
        <v/>
      </c>
      <c r="AU2660" t="inlineStr">
        <is>
          <t>497804654:eng</t>
        </is>
      </c>
      <c r="AV2660" t="inlineStr">
        <is>
          <t>3119558</t>
        </is>
      </c>
      <c r="AW2660" t="inlineStr">
        <is>
          <t>991004350459702656</t>
        </is>
      </c>
      <c r="AX2660" t="inlineStr">
        <is>
          <t>991004350459702656</t>
        </is>
      </c>
      <c r="AY2660" t="inlineStr">
        <is>
          <t>2268956460002656</t>
        </is>
      </c>
      <c r="AZ2660" t="inlineStr">
        <is>
          <t>BOOK</t>
        </is>
      </c>
      <c r="BC2660" t="inlineStr">
        <is>
          <t>32285001100535</t>
        </is>
      </c>
      <c r="BD2660" t="inlineStr">
        <is>
          <t>893506746</t>
        </is>
      </c>
    </row>
    <row r="2661">
      <c r="A2661" t="inlineStr">
        <is>
          <t>No</t>
        </is>
      </c>
      <c r="B2661" t="inlineStr">
        <is>
          <t>BX5071 .H3</t>
        </is>
      </c>
      <c r="C2661" t="inlineStr">
        <is>
          <t>0                      BX 5071000H  3</t>
        </is>
      </c>
      <c r="D2661" t="inlineStr">
        <is>
          <t>Elizabeth and the English Reformation : the struggle for a stable settlement of religion / by William P. Haugaard.</t>
        </is>
      </c>
      <c r="F2661" t="inlineStr">
        <is>
          <t>No</t>
        </is>
      </c>
      <c r="G2661" t="inlineStr">
        <is>
          <t>1</t>
        </is>
      </c>
      <c r="H2661" t="inlineStr">
        <is>
          <t>No</t>
        </is>
      </c>
      <c r="I2661" t="inlineStr">
        <is>
          <t>No</t>
        </is>
      </c>
      <c r="J2661" t="inlineStr">
        <is>
          <t>0</t>
        </is>
      </c>
      <c r="K2661" t="inlineStr">
        <is>
          <t>Haugaard, William P.</t>
        </is>
      </c>
      <c r="L2661" t="inlineStr">
        <is>
          <t>London : Cambridge University P., 1968.</t>
        </is>
      </c>
      <c r="M2661" t="inlineStr">
        <is>
          <t>1968</t>
        </is>
      </c>
      <c r="O2661" t="inlineStr">
        <is>
          <t>eng</t>
        </is>
      </c>
      <c r="P2661" t="inlineStr">
        <is>
          <t>enk</t>
        </is>
      </c>
      <c r="R2661" t="inlineStr">
        <is>
          <t xml:space="preserve">BX </t>
        </is>
      </c>
      <c r="S2661" t="n">
        <v>5</v>
      </c>
      <c r="T2661" t="n">
        <v>5</v>
      </c>
      <c r="U2661" t="inlineStr">
        <is>
          <t>2003-12-07</t>
        </is>
      </c>
      <c r="V2661" t="inlineStr">
        <is>
          <t>2003-12-07</t>
        </is>
      </c>
      <c r="W2661" t="inlineStr">
        <is>
          <t>1992-04-24</t>
        </is>
      </c>
      <c r="X2661" t="inlineStr">
        <is>
          <t>1992-04-24</t>
        </is>
      </c>
      <c r="Y2661" t="n">
        <v>981</v>
      </c>
      <c r="Z2661" t="n">
        <v>758</v>
      </c>
      <c r="AA2661" t="n">
        <v>760</v>
      </c>
      <c r="AB2661" t="n">
        <v>5</v>
      </c>
      <c r="AC2661" t="n">
        <v>5</v>
      </c>
      <c r="AD2661" t="n">
        <v>33</v>
      </c>
      <c r="AE2661" t="n">
        <v>33</v>
      </c>
      <c r="AF2661" t="n">
        <v>13</v>
      </c>
      <c r="AG2661" t="n">
        <v>13</v>
      </c>
      <c r="AH2661" t="n">
        <v>6</v>
      </c>
      <c r="AI2661" t="n">
        <v>6</v>
      </c>
      <c r="AJ2661" t="n">
        <v>22</v>
      </c>
      <c r="AK2661" t="n">
        <v>22</v>
      </c>
      <c r="AL2661" t="n">
        <v>4</v>
      </c>
      <c r="AM2661" t="n">
        <v>4</v>
      </c>
      <c r="AN2661" t="n">
        <v>0</v>
      </c>
      <c r="AO2661" t="n">
        <v>0</v>
      </c>
      <c r="AP2661" t="inlineStr">
        <is>
          <t>No</t>
        </is>
      </c>
      <c r="AQ2661" t="inlineStr">
        <is>
          <t>No</t>
        </is>
      </c>
      <c r="AS2661">
        <f>HYPERLINK("https://creighton-primo.hosted.exlibrisgroup.com/primo-explore/search?tab=default_tab&amp;search_scope=EVERYTHING&amp;vid=01CRU&amp;lang=en_US&amp;offset=0&amp;query=any,contains,991002236919702656","Catalog Record")</f>
        <v/>
      </c>
      <c r="AT2661">
        <f>HYPERLINK("http://www.worldcat.org/oclc/296084","WorldCat Record")</f>
        <v/>
      </c>
      <c r="AU2661" t="inlineStr">
        <is>
          <t>1493547:eng</t>
        </is>
      </c>
      <c r="AV2661" t="inlineStr">
        <is>
          <t>296084</t>
        </is>
      </c>
      <c r="AW2661" t="inlineStr">
        <is>
          <t>991002236919702656</t>
        </is>
      </c>
      <c r="AX2661" t="inlineStr">
        <is>
          <t>991002236919702656</t>
        </is>
      </c>
      <c r="AY2661" t="inlineStr">
        <is>
          <t>2266048170002656</t>
        </is>
      </c>
      <c r="AZ2661" t="inlineStr">
        <is>
          <t>BOOK</t>
        </is>
      </c>
      <c r="BB2661" t="inlineStr">
        <is>
          <t>9780521072458</t>
        </is>
      </c>
      <c r="BC2661" t="inlineStr">
        <is>
          <t>32285001100550</t>
        </is>
      </c>
      <c r="BD2661" t="inlineStr">
        <is>
          <t>893710042</t>
        </is>
      </c>
    </row>
    <row r="2662">
      <c r="A2662" t="inlineStr">
        <is>
          <t>No</t>
        </is>
      </c>
      <c r="B2662" t="inlineStr">
        <is>
          <t>BX5071 .L34 1988</t>
        </is>
      </c>
      <c r="C2662" t="inlineStr">
        <is>
          <t>0                      BX 5071000L  34          1988</t>
        </is>
      </c>
      <c r="D2662" t="inlineStr">
        <is>
          <t>Anglicans and Puritans? : Presbyterianism and English conformist thought from Whitgift to Hooker / Peter Lake.</t>
        </is>
      </c>
      <c r="F2662" t="inlineStr">
        <is>
          <t>No</t>
        </is>
      </c>
      <c r="G2662" t="inlineStr">
        <is>
          <t>1</t>
        </is>
      </c>
      <c r="H2662" t="inlineStr">
        <is>
          <t>No</t>
        </is>
      </c>
      <c r="I2662" t="inlineStr">
        <is>
          <t>No</t>
        </is>
      </c>
      <c r="J2662" t="inlineStr">
        <is>
          <t>0</t>
        </is>
      </c>
      <c r="K2662" t="inlineStr">
        <is>
          <t>Lake, Peter.</t>
        </is>
      </c>
      <c r="L2662" t="inlineStr">
        <is>
          <t>London ; Boston : Allen &amp; Unwin, 1988.</t>
        </is>
      </c>
      <c r="M2662" t="inlineStr">
        <is>
          <t>1988</t>
        </is>
      </c>
      <c r="O2662" t="inlineStr">
        <is>
          <t>eng</t>
        </is>
      </c>
      <c r="P2662" t="inlineStr">
        <is>
          <t>enk</t>
        </is>
      </c>
      <c r="R2662" t="inlineStr">
        <is>
          <t xml:space="preserve">BX </t>
        </is>
      </c>
      <c r="S2662" t="n">
        <v>11</v>
      </c>
      <c r="T2662" t="n">
        <v>11</v>
      </c>
      <c r="U2662" t="inlineStr">
        <is>
          <t>2003-11-13</t>
        </is>
      </c>
      <c r="V2662" t="inlineStr">
        <is>
          <t>2003-11-13</t>
        </is>
      </c>
      <c r="W2662" t="inlineStr">
        <is>
          <t>1990-02-08</t>
        </is>
      </c>
      <c r="X2662" t="inlineStr">
        <is>
          <t>1990-02-08</t>
        </is>
      </c>
      <c r="Y2662" t="n">
        <v>330</v>
      </c>
      <c r="Z2662" t="n">
        <v>250</v>
      </c>
      <c r="AA2662" t="n">
        <v>291</v>
      </c>
      <c r="AB2662" t="n">
        <v>2</v>
      </c>
      <c r="AC2662" t="n">
        <v>2</v>
      </c>
      <c r="AD2662" t="n">
        <v>11</v>
      </c>
      <c r="AE2662" t="n">
        <v>13</v>
      </c>
      <c r="AF2662" t="n">
        <v>6</v>
      </c>
      <c r="AG2662" t="n">
        <v>6</v>
      </c>
      <c r="AH2662" t="n">
        <v>3</v>
      </c>
      <c r="AI2662" t="n">
        <v>5</v>
      </c>
      <c r="AJ2662" t="n">
        <v>5</v>
      </c>
      <c r="AK2662" t="n">
        <v>7</v>
      </c>
      <c r="AL2662" t="n">
        <v>1</v>
      </c>
      <c r="AM2662" t="n">
        <v>1</v>
      </c>
      <c r="AN2662" t="n">
        <v>0</v>
      </c>
      <c r="AO2662" t="n">
        <v>0</v>
      </c>
      <c r="AP2662" t="inlineStr">
        <is>
          <t>No</t>
        </is>
      </c>
      <c r="AQ2662" t="inlineStr">
        <is>
          <t>Yes</t>
        </is>
      </c>
      <c r="AR2662">
        <f>HYPERLINK("http://catalog.hathitrust.org/Record/000870993","HathiTrust Record")</f>
        <v/>
      </c>
      <c r="AS2662">
        <f>HYPERLINK("https://creighton-primo.hosted.exlibrisgroup.com/primo-explore/search?tab=default_tab&amp;search_scope=EVERYTHING&amp;vid=01CRU&amp;lang=en_US&amp;offset=0&amp;query=any,contains,991001055799702656","Catalog Record")</f>
        <v/>
      </c>
      <c r="AT2662">
        <f>HYPERLINK("http://www.worldcat.org/oclc/15696153","WorldCat Record")</f>
        <v/>
      </c>
      <c r="AU2662" t="inlineStr">
        <is>
          <t>10721435:eng</t>
        </is>
      </c>
      <c r="AV2662" t="inlineStr">
        <is>
          <t>15696153</t>
        </is>
      </c>
      <c r="AW2662" t="inlineStr">
        <is>
          <t>991001055799702656</t>
        </is>
      </c>
      <c r="AX2662" t="inlineStr">
        <is>
          <t>991001055799702656</t>
        </is>
      </c>
      <c r="AY2662" t="inlineStr">
        <is>
          <t>2259914300002656</t>
        </is>
      </c>
      <c r="AZ2662" t="inlineStr">
        <is>
          <t>BOOK</t>
        </is>
      </c>
      <c r="BB2662" t="inlineStr">
        <is>
          <t>9780049422070</t>
        </is>
      </c>
      <c r="BC2662" t="inlineStr">
        <is>
          <t>32285000040302</t>
        </is>
      </c>
      <c r="BD2662" t="inlineStr">
        <is>
          <t>893327844</t>
        </is>
      </c>
    </row>
    <row r="2663">
      <c r="A2663" t="inlineStr">
        <is>
          <t>No</t>
        </is>
      </c>
      <c r="B2663" t="inlineStr">
        <is>
          <t>BX5071 .L4</t>
        </is>
      </c>
      <c r="C2663" t="inlineStr">
        <is>
          <t>0                      BX 5071000L  4</t>
        </is>
      </c>
      <c r="D2663" t="inlineStr">
        <is>
          <t>The church under Queen Elizabeth : an historical sketch / by Frederick George Lee, with an introd. on "The present position of the established church."</t>
        </is>
      </c>
      <c r="F2663" t="inlineStr">
        <is>
          <t>No</t>
        </is>
      </c>
      <c r="G2663" t="inlineStr">
        <is>
          <t>1</t>
        </is>
      </c>
      <c r="H2663" t="inlineStr">
        <is>
          <t>No</t>
        </is>
      </c>
      <c r="I2663" t="inlineStr">
        <is>
          <t>No</t>
        </is>
      </c>
      <c r="J2663" t="inlineStr">
        <is>
          <t>0</t>
        </is>
      </c>
      <c r="K2663" t="inlineStr">
        <is>
          <t>Lee, Frederick George, 1832-1902.</t>
        </is>
      </c>
      <c r="L2663" t="inlineStr">
        <is>
          <t>London : T. Baker, 1896.</t>
        </is>
      </c>
      <c r="M2663" t="inlineStr">
        <is>
          <t>1896</t>
        </is>
      </c>
      <c r="N2663" t="inlineStr">
        <is>
          <t>a new and cheaper ed.</t>
        </is>
      </c>
      <c r="O2663" t="inlineStr">
        <is>
          <t>eng</t>
        </is>
      </c>
      <c r="P2663" t="inlineStr">
        <is>
          <t xml:space="preserve">xx </t>
        </is>
      </c>
      <c r="R2663" t="inlineStr">
        <is>
          <t xml:space="preserve">BX </t>
        </is>
      </c>
      <c r="S2663" t="n">
        <v>3</v>
      </c>
      <c r="T2663" t="n">
        <v>3</v>
      </c>
      <c r="U2663" t="inlineStr">
        <is>
          <t>2003-12-07</t>
        </is>
      </c>
      <c r="V2663" t="inlineStr">
        <is>
          <t>2003-12-07</t>
        </is>
      </c>
      <c r="W2663" t="inlineStr">
        <is>
          <t>1992-04-24</t>
        </is>
      </c>
      <c r="X2663" t="inlineStr">
        <is>
          <t>1992-04-24</t>
        </is>
      </c>
      <c r="Y2663" t="n">
        <v>91</v>
      </c>
      <c r="Z2663" t="n">
        <v>75</v>
      </c>
      <c r="AA2663" t="n">
        <v>227</v>
      </c>
      <c r="AB2663" t="n">
        <v>1</v>
      </c>
      <c r="AC2663" t="n">
        <v>4</v>
      </c>
      <c r="AD2663" t="n">
        <v>9</v>
      </c>
      <c r="AE2663" t="n">
        <v>20</v>
      </c>
      <c r="AF2663" t="n">
        <v>3</v>
      </c>
      <c r="AG2663" t="n">
        <v>7</v>
      </c>
      <c r="AH2663" t="n">
        <v>0</v>
      </c>
      <c r="AI2663" t="n">
        <v>2</v>
      </c>
      <c r="AJ2663" t="n">
        <v>7</v>
      </c>
      <c r="AK2663" t="n">
        <v>11</v>
      </c>
      <c r="AL2663" t="n">
        <v>0</v>
      </c>
      <c r="AM2663" t="n">
        <v>2</v>
      </c>
      <c r="AN2663" t="n">
        <v>0</v>
      </c>
      <c r="AO2663" t="n">
        <v>0</v>
      </c>
      <c r="AP2663" t="inlineStr">
        <is>
          <t>Yes</t>
        </is>
      </c>
      <c r="AQ2663" t="inlineStr">
        <is>
          <t>No</t>
        </is>
      </c>
      <c r="AR2663">
        <f>HYPERLINK("http://catalog.hathitrust.org/Record/001936930","HathiTrust Record")</f>
        <v/>
      </c>
      <c r="AS2663">
        <f>HYPERLINK("https://creighton-primo.hosted.exlibrisgroup.com/primo-explore/search?tab=default_tab&amp;search_scope=EVERYTHING&amp;vid=01CRU&amp;lang=en_US&amp;offset=0&amp;query=any,contains,991004229609702656","Catalog Record")</f>
        <v/>
      </c>
      <c r="AT2663">
        <f>HYPERLINK("http://www.worldcat.org/oclc/2742688","WorldCat Record")</f>
        <v/>
      </c>
      <c r="AU2663" t="inlineStr">
        <is>
          <t>6245266:eng</t>
        </is>
      </c>
      <c r="AV2663" t="inlineStr">
        <is>
          <t>2742688</t>
        </is>
      </c>
      <c r="AW2663" t="inlineStr">
        <is>
          <t>991004229609702656</t>
        </is>
      </c>
      <c r="AX2663" t="inlineStr">
        <is>
          <t>991004229609702656</t>
        </is>
      </c>
      <c r="AY2663" t="inlineStr">
        <is>
          <t>2261705100002656</t>
        </is>
      </c>
      <c r="AZ2663" t="inlineStr">
        <is>
          <t>BOOK</t>
        </is>
      </c>
      <c r="BC2663" t="inlineStr">
        <is>
          <t>32285001100576</t>
        </is>
      </c>
      <c r="BD2663" t="inlineStr">
        <is>
          <t>893612103</t>
        </is>
      </c>
    </row>
    <row r="2664">
      <c r="A2664" t="inlineStr">
        <is>
          <t>No</t>
        </is>
      </c>
      <c r="B2664" t="inlineStr">
        <is>
          <t>BX5073 .T93 1990</t>
        </is>
      </c>
      <c r="C2664" t="inlineStr">
        <is>
          <t>0                      BX 5073000T  93          1990</t>
        </is>
      </c>
      <c r="D2664" t="inlineStr">
        <is>
          <t>Anti-Calvinists : the rise of English Arminianism, c. 1590-1640 / Nicholas Tyacke.</t>
        </is>
      </c>
      <c r="F2664" t="inlineStr">
        <is>
          <t>No</t>
        </is>
      </c>
      <c r="G2664" t="inlineStr">
        <is>
          <t>1</t>
        </is>
      </c>
      <c r="H2664" t="inlineStr">
        <is>
          <t>No</t>
        </is>
      </c>
      <c r="I2664" t="inlineStr">
        <is>
          <t>No</t>
        </is>
      </c>
      <c r="J2664" t="inlineStr">
        <is>
          <t>0</t>
        </is>
      </c>
      <c r="K2664" t="inlineStr">
        <is>
          <t>Tyacke, Nicholas.</t>
        </is>
      </c>
      <c r="L2664" t="inlineStr">
        <is>
          <t>Oxford [England] : Clarendon Press ; New York : Oxford University Press, 1990, c1987.</t>
        </is>
      </c>
      <c r="M2664" t="inlineStr">
        <is>
          <t>1990</t>
        </is>
      </c>
      <c r="O2664" t="inlineStr">
        <is>
          <t>eng</t>
        </is>
      </c>
      <c r="P2664" t="inlineStr">
        <is>
          <t>enk</t>
        </is>
      </c>
      <c r="R2664" t="inlineStr">
        <is>
          <t xml:space="preserve">BX </t>
        </is>
      </c>
      <c r="S2664" t="n">
        <v>5</v>
      </c>
      <c r="T2664" t="n">
        <v>5</v>
      </c>
      <c r="U2664" t="inlineStr">
        <is>
          <t>2009-11-30</t>
        </is>
      </c>
      <c r="V2664" t="inlineStr">
        <is>
          <t>2009-11-30</t>
        </is>
      </c>
      <c r="W2664" t="inlineStr">
        <is>
          <t>1991-02-22</t>
        </is>
      </c>
      <c r="X2664" t="inlineStr">
        <is>
          <t>1991-02-22</t>
        </is>
      </c>
      <c r="Y2664" t="n">
        <v>180</v>
      </c>
      <c r="Z2664" t="n">
        <v>146</v>
      </c>
      <c r="AA2664" t="n">
        <v>495</v>
      </c>
      <c r="AB2664" t="n">
        <v>1</v>
      </c>
      <c r="AC2664" t="n">
        <v>2</v>
      </c>
      <c r="AD2664" t="n">
        <v>8</v>
      </c>
      <c r="AE2664" t="n">
        <v>23</v>
      </c>
      <c r="AF2664" t="n">
        <v>6</v>
      </c>
      <c r="AG2664" t="n">
        <v>8</v>
      </c>
      <c r="AH2664" t="n">
        <v>1</v>
      </c>
      <c r="AI2664" t="n">
        <v>7</v>
      </c>
      <c r="AJ2664" t="n">
        <v>4</v>
      </c>
      <c r="AK2664" t="n">
        <v>13</v>
      </c>
      <c r="AL2664" t="n">
        <v>0</v>
      </c>
      <c r="AM2664" t="n">
        <v>1</v>
      </c>
      <c r="AN2664" t="n">
        <v>0</v>
      </c>
      <c r="AO2664" t="n">
        <v>0</v>
      </c>
      <c r="AP2664" t="inlineStr">
        <is>
          <t>No</t>
        </is>
      </c>
      <c r="AQ2664" t="inlineStr">
        <is>
          <t>Yes</t>
        </is>
      </c>
      <c r="AR2664">
        <f>HYPERLINK("http://catalog.hathitrust.org/Record/009921148","HathiTrust Record")</f>
        <v/>
      </c>
      <c r="AS2664">
        <f>HYPERLINK("https://creighton-primo.hosted.exlibrisgroup.com/primo-explore/search?tab=default_tab&amp;search_scope=EVERYTHING&amp;vid=01CRU&amp;lang=en_US&amp;offset=0&amp;query=any,contains,991001520759702656","Catalog Record")</f>
        <v/>
      </c>
      <c r="AT2664">
        <f>HYPERLINK("http://www.worldcat.org/oclc/19975787","WorldCat Record")</f>
        <v/>
      </c>
      <c r="AU2664" t="inlineStr">
        <is>
          <t>9055167:eng</t>
        </is>
      </c>
      <c r="AV2664" t="inlineStr">
        <is>
          <t>19975787</t>
        </is>
      </c>
      <c r="AW2664" t="inlineStr">
        <is>
          <t>991001520759702656</t>
        </is>
      </c>
      <c r="AX2664" t="inlineStr">
        <is>
          <t>991001520759702656</t>
        </is>
      </c>
      <c r="AY2664" t="inlineStr">
        <is>
          <t>2254728110002656</t>
        </is>
      </c>
      <c r="AZ2664" t="inlineStr">
        <is>
          <t>BOOK</t>
        </is>
      </c>
      <c r="BB2664" t="inlineStr">
        <is>
          <t>9780198201847</t>
        </is>
      </c>
      <c r="BC2664" t="inlineStr">
        <is>
          <t>32285000492735</t>
        </is>
      </c>
      <c r="BD2664" t="inlineStr">
        <is>
          <t>893696805</t>
        </is>
      </c>
    </row>
    <row r="2665">
      <c r="A2665" t="inlineStr">
        <is>
          <t>No</t>
        </is>
      </c>
      <c r="B2665" t="inlineStr">
        <is>
          <t>BX5075 .D38 1992</t>
        </is>
      </c>
      <c r="C2665" t="inlineStr">
        <is>
          <t>0                      BX 5075000D  38          1992</t>
        </is>
      </c>
      <c r="D2665" t="inlineStr">
        <is>
          <t>The Caroline captivity of the church : Charles I and the remoulding of Anglicanism, 1625-1641 / Julian Davies.</t>
        </is>
      </c>
      <c r="F2665" t="inlineStr">
        <is>
          <t>No</t>
        </is>
      </c>
      <c r="G2665" t="inlineStr">
        <is>
          <t>1</t>
        </is>
      </c>
      <c r="H2665" t="inlineStr">
        <is>
          <t>No</t>
        </is>
      </c>
      <c r="I2665" t="inlineStr">
        <is>
          <t>No</t>
        </is>
      </c>
      <c r="J2665" t="inlineStr">
        <is>
          <t>0</t>
        </is>
      </c>
      <c r="K2665" t="inlineStr">
        <is>
          <t>Davies, Julian, 1960-</t>
        </is>
      </c>
      <c r="L2665" t="inlineStr">
        <is>
          <t>Oxford [England] : Clarendon Press ; New York : Oxford University Press, 1992.</t>
        </is>
      </c>
      <c r="M2665" t="inlineStr">
        <is>
          <t>1992</t>
        </is>
      </c>
      <c r="O2665" t="inlineStr">
        <is>
          <t>eng</t>
        </is>
      </c>
      <c r="P2665" t="inlineStr">
        <is>
          <t>enk</t>
        </is>
      </c>
      <c r="Q2665" t="inlineStr">
        <is>
          <t>Oxford historical monographs</t>
        </is>
      </c>
      <c r="R2665" t="inlineStr">
        <is>
          <t xml:space="preserve">BX </t>
        </is>
      </c>
      <c r="S2665" t="n">
        <v>4</v>
      </c>
      <c r="T2665" t="n">
        <v>4</v>
      </c>
      <c r="U2665" t="inlineStr">
        <is>
          <t>1997-01-20</t>
        </is>
      </c>
      <c r="V2665" t="inlineStr">
        <is>
          <t>1997-01-20</t>
        </is>
      </c>
      <c r="W2665" t="inlineStr">
        <is>
          <t>1992-12-08</t>
        </is>
      </c>
      <c r="X2665" t="inlineStr">
        <is>
          <t>1992-12-08</t>
        </is>
      </c>
      <c r="Y2665" t="n">
        <v>336</v>
      </c>
      <c r="Z2665" t="n">
        <v>236</v>
      </c>
      <c r="AA2665" t="n">
        <v>273</v>
      </c>
      <c r="AB2665" t="n">
        <v>2</v>
      </c>
      <c r="AC2665" t="n">
        <v>2</v>
      </c>
      <c r="AD2665" t="n">
        <v>15</v>
      </c>
      <c r="AE2665" t="n">
        <v>16</v>
      </c>
      <c r="AF2665" t="n">
        <v>4</v>
      </c>
      <c r="AG2665" t="n">
        <v>4</v>
      </c>
      <c r="AH2665" t="n">
        <v>5</v>
      </c>
      <c r="AI2665" t="n">
        <v>6</v>
      </c>
      <c r="AJ2665" t="n">
        <v>10</v>
      </c>
      <c r="AK2665" t="n">
        <v>10</v>
      </c>
      <c r="AL2665" t="n">
        <v>1</v>
      </c>
      <c r="AM2665" t="n">
        <v>1</v>
      </c>
      <c r="AN2665" t="n">
        <v>0</v>
      </c>
      <c r="AO2665" t="n">
        <v>0</v>
      </c>
      <c r="AP2665" t="inlineStr">
        <is>
          <t>No</t>
        </is>
      </c>
      <c r="AQ2665" t="inlineStr">
        <is>
          <t>Yes</t>
        </is>
      </c>
      <c r="AR2665">
        <f>HYPERLINK("http://catalog.hathitrust.org/Record/002593323","HathiTrust Record")</f>
        <v/>
      </c>
      <c r="AS2665">
        <f>HYPERLINK("https://creighton-primo.hosted.exlibrisgroup.com/primo-explore/search?tab=default_tab&amp;search_scope=EVERYTHING&amp;vid=01CRU&amp;lang=en_US&amp;offset=0&amp;query=any,contains,991002006759702656","Catalog Record")</f>
        <v/>
      </c>
      <c r="AT2665">
        <f>HYPERLINK("http://www.worldcat.org/oclc/25509459","WorldCat Record")</f>
        <v/>
      </c>
      <c r="AU2665" t="inlineStr">
        <is>
          <t>1016017766:eng</t>
        </is>
      </c>
      <c r="AV2665" t="inlineStr">
        <is>
          <t>25509459</t>
        </is>
      </c>
      <c r="AW2665" t="inlineStr">
        <is>
          <t>991002006759702656</t>
        </is>
      </c>
      <c r="AX2665" t="inlineStr">
        <is>
          <t>991002006759702656</t>
        </is>
      </c>
      <c r="AY2665" t="inlineStr">
        <is>
          <t>2272120020002656</t>
        </is>
      </c>
      <c r="AZ2665" t="inlineStr">
        <is>
          <t>BOOK</t>
        </is>
      </c>
      <c r="BB2665" t="inlineStr">
        <is>
          <t>9780198203117</t>
        </is>
      </c>
      <c r="BC2665" t="inlineStr">
        <is>
          <t>32285001401354</t>
        </is>
      </c>
      <c r="BD2665" t="inlineStr">
        <is>
          <t>893703562</t>
        </is>
      </c>
    </row>
    <row r="2666">
      <c r="A2666" t="inlineStr">
        <is>
          <t>No</t>
        </is>
      </c>
      <c r="B2666" t="inlineStr">
        <is>
          <t>BX5075 .M3</t>
        </is>
      </c>
      <c r="C2666" t="inlineStr">
        <is>
          <t>0                      BX 5075000M  3</t>
        </is>
      </c>
      <c r="D2666" t="inlineStr">
        <is>
          <t>The godly man in Stuart England : Anglicans, Puritans, and the two Tables, 1620-1670 / J. Sears McGee.</t>
        </is>
      </c>
      <c r="F2666" t="inlineStr">
        <is>
          <t>No</t>
        </is>
      </c>
      <c r="G2666" t="inlineStr">
        <is>
          <t>1</t>
        </is>
      </c>
      <c r="H2666" t="inlineStr">
        <is>
          <t>No</t>
        </is>
      </c>
      <c r="I2666" t="inlineStr">
        <is>
          <t>No</t>
        </is>
      </c>
      <c r="J2666" t="inlineStr">
        <is>
          <t>0</t>
        </is>
      </c>
      <c r="K2666" t="inlineStr">
        <is>
          <t>McGee, J. Sears (James Sears), 1942-</t>
        </is>
      </c>
      <c r="L2666" t="inlineStr">
        <is>
          <t>New Haven : Yale University Press, 1976.</t>
        </is>
      </c>
      <c r="M2666" t="inlineStr">
        <is>
          <t>1976</t>
        </is>
      </c>
      <c r="O2666" t="inlineStr">
        <is>
          <t>eng</t>
        </is>
      </c>
      <c r="P2666" t="inlineStr">
        <is>
          <t>ctu</t>
        </is>
      </c>
      <c r="Q2666" t="inlineStr">
        <is>
          <t>Yale historical publications. Miscellany ; 110</t>
        </is>
      </c>
      <c r="R2666" t="inlineStr">
        <is>
          <t xml:space="preserve">BX </t>
        </is>
      </c>
      <c r="S2666" t="n">
        <v>4</v>
      </c>
      <c r="T2666" t="n">
        <v>4</v>
      </c>
      <c r="U2666" t="inlineStr">
        <is>
          <t>2003-10-10</t>
        </is>
      </c>
      <c r="V2666" t="inlineStr">
        <is>
          <t>2003-10-10</t>
        </is>
      </c>
      <c r="W2666" t="inlineStr">
        <is>
          <t>1992-04-24</t>
        </is>
      </c>
      <c r="X2666" t="inlineStr">
        <is>
          <t>1992-04-24</t>
        </is>
      </c>
      <c r="Y2666" t="n">
        <v>624</v>
      </c>
      <c r="Z2666" t="n">
        <v>500</v>
      </c>
      <c r="AA2666" t="n">
        <v>502</v>
      </c>
      <c r="AB2666" t="n">
        <v>4</v>
      </c>
      <c r="AC2666" t="n">
        <v>4</v>
      </c>
      <c r="AD2666" t="n">
        <v>26</v>
      </c>
      <c r="AE2666" t="n">
        <v>26</v>
      </c>
      <c r="AF2666" t="n">
        <v>11</v>
      </c>
      <c r="AG2666" t="n">
        <v>11</v>
      </c>
      <c r="AH2666" t="n">
        <v>8</v>
      </c>
      <c r="AI2666" t="n">
        <v>8</v>
      </c>
      <c r="AJ2666" t="n">
        <v>14</v>
      </c>
      <c r="AK2666" t="n">
        <v>14</v>
      </c>
      <c r="AL2666" t="n">
        <v>3</v>
      </c>
      <c r="AM2666" t="n">
        <v>3</v>
      </c>
      <c r="AN2666" t="n">
        <v>0</v>
      </c>
      <c r="AO2666" t="n">
        <v>0</v>
      </c>
      <c r="AP2666" t="inlineStr">
        <is>
          <t>No</t>
        </is>
      </c>
      <c r="AQ2666" t="inlineStr">
        <is>
          <t>No</t>
        </is>
      </c>
      <c r="AS2666">
        <f>HYPERLINK("https://creighton-primo.hosted.exlibrisgroup.com/primo-explore/search?tab=default_tab&amp;search_scope=EVERYTHING&amp;vid=01CRU&amp;lang=en_US&amp;offset=0&amp;query=any,contains,991004114059702656","Catalog Record")</f>
        <v/>
      </c>
      <c r="AT2666">
        <f>HYPERLINK("http://www.worldcat.org/oclc/2405565","WorldCat Record")</f>
        <v/>
      </c>
      <c r="AU2666" t="inlineStr">
        <is>
          <t>809340259:eng</t>
        </is>
      </c>
      <c r="AV2666" t="inlineStr">
        <is>
          <t>2405565</t>
        </is>
      </c>
      <c r="AW2666" t="inlineStr">
        <is>
          <t>991004114059702656</t>
        </is>
      </c>
      <c r="AX2666" t="inlineStr">
        <is>
          <t>991004114059702656</t>
        </is>
      </c>
      <c r="AY2666" t="inlineStr">
        <is>
          <t>2271274830002656</t>
        </is>
      </c>
      <c r="AZ2666" t="inlineStr">
        <is>
          <t>BOOK</t>
        </is>
      </c>
      <c r="BB2666" t="inlineStr">
        <is>
          <t>9780300016376</t>
        </is>
      </c>
      <c r="BC2666" t="inlineStr">
        <is>
          <t>32285001100584</t>
        </is>
      </c>
      <c r="BD2666" t="inlineStr">
        <is>
          <t>893512822</t>
        </is>
      </c>
    </row>
    <row r="2667">
      <c r="A2667" t="inlineStr">
        <is>
          <t>No</t>
        </is>
      </c>
      <c r="B2667" t="inlineStr">
        <is>
          <t>BX5085 .C7</t>
        </is>
      </c>
      <c r="C2667" t="inlineStr">
        <is>
          <t>0                      BX 5085000C  7</t>
        </is>
      </c>
      <c r="D2667" t="inlineStr">
        <is>
          <t>From Puritanism to the age of reason : a study of changes in religious thought within the Church of England, 1660 to 1700 / by G. R. Cragg.</t>
        </is>
      </c>
      <c r="F2667" t="inlineStr">
        <is>
          <t>No</t>
        </is>
      </c>
      <c r="G2667" t="inlineStr">
        <is>
          <t>1</t>
        </is>
      </c>
      <c r="H2667" t="inlineStr">
        <is>
          <t>No</t>
        </is>
      </c>
      <c r="I2667" t="inlineStr">
        <is>
          <t>No</t>
        </is>
      </c>
      <c r="J2667" t="inlineStr">
        <is>
          <t>0</t>
        </is>
      </c>
      <c r="K2667" t="inlineStr">
        <is>
          <t>Cragg, Gerald R. (Gerald Robertson)</t>
        </is>
      </c>
      <c r="L2667" t="inlineStr">
        <is>
          <t>Cambridge [Eng.] : University Press, 1966, c1950.</t>
        </is>
      </c>
      <c r="M2667" t="inlineStr">
        <is>
          <t>1950</t>
        </is>
      </c>
      <c r="O2667" t="inlineStr">
        <is>
          <t>eng</t>
        </is>
      </c>
      <c r="P2667" t="inlineStr">
        <is>
          <t>enk</t>
        </is>
      </c>
      <c r="R2667" t="inlineStr">
        <is>
          <t xml:space="preserve">BX </t>
        </is>
      </c>
      <c r="S2667" t="n">
        <v>4</v>
      </c>
      <c r="T2667" t="n">
        <v>4</v>
      </c>
      <c r="U2667" t="inlineStr">
        <is>
          <t>1996-02-20</t>
        </is>
      </c>
      <c r="V2667" t="inlineStr">
        <is>
          <t>1996-02-20</t>
        </is>
      </c>
      <c r="W2667" t="inlineStr">
        <is>
          <t>1992-04-24</t>
        </is>
      </c>
      <c r="X2667" t="inlineStr">
        <is>
          <t>1992-04-24</t>
        </is>
      </c>
      <c r="Y2667" t="n">
        <v>538</v>
      </c>
      <c r="Z2667" t="n">
        <v>430</v>
      </c>
      <c r="AA2667" t="n">
        <v>621</v>
      </c>
      <c r="AB2667" t="n">
        <v>3</v>
      </c>
      <c r="AC2667" t="n">
        <v>4</v>
      </c>
      <c r="AD2667" t="n">
        <v>24</v>
      </c>
      <c r="AE2667" t="n">
        <v>36</v>
      </c>
      <c r="AF2667" t="n">
        <v>9</v>
      </c>
      <c r="AG2667" t="n">
        <v>14</v>
      </c>
      <c r="AH2667" t="n">
        <v>6</v>
      </c>
      <c r="AI2667" t="n">
        <v>10</v>
      </c>
      <c r="AJ2667" t="n">
        <v>15</v>
      </c>
      <c r="AK2667" t="n">
        <v>20</v>
      </c>
      <c r="AL2667" t="n">
        <v>2</v>
      </c>
      <c r="AM2667" t="n">
        <v>3</v>
      </c>
      <c r="AN2667" t="n">
        <v>0</v>
      </c>
      <c r="AO2667" t="n">
        <v>0</v>
      </c>
      <c r="AP2667" t="inlineStr">
        <is>
          <t>No</t>
        </is>
      </c>
      <c r="AQ2667" t="inlineStr">
        <is>
          <t>Yes</t>
        </is>
      </c>
      <c r="AR2667">
        <f>HYPERLINK("http://catalog.hathitrust.org/Record/001592677","HathiTrust Record")</f>
        <v/>
      </c>
      <c r="AS2667">
        <f>HYPERLINK("https://creighton-primo.hosted.exlibrisgroup.com/primo-explore/search?tab=default_tab&amp;search_scope=EVERYTHING&amp;vid=01CRU&amp;lang=en_US&amp;offset=0&amp;query=any,contains,991002660999702656","Catalog Record")</f>
        <v/>
      </c>
      <c r="AT2667">
        <f>HYPERLINK("http://www.worldcat.org/oclc/391459","WorldCat Record")</f>
        <v/>
      </c>
      <c r="AU2667" t="inlineStr">
        <is>
          <t>1526914:eng</t>
        </is>
      </c>
      <c r="AV2667" t="inlineStr">
        <is>
          <t>391459</t>
        </is>
      </c>
      <c r="AW2667" t="inlineStr">
        <is>
          <t>991002660999702656</t>
        </is>
      </c>
      <c r="AX2667" t="inlineStr">
        <is>
          <t>991002660999702656</t>
        </is>
      </c>
      <c r="AY2667" t="inlineStr">
        <is>
          <t>2260903060002656</t>
        </is>
      </c>
      <c r="AZ2667" t="inlineStr">
        <is>
          <t>BOOK</t>
        </is>
      </c>
      <c r="BC2667" t="inlineStr">
        <is>
          <t>32285001100600</t>
        </is>
      </c>
      <c r="BD2667" t="inlineStr">
        <is>
          <t>893523890</t>
        </is>
      </c>
    </row>
    <row r="2668">
      <c r="A2668" t="inlineStr">
        <is>
          <t>No</t>
        </is>
      </c>
      <c r="B2668" t="inlineStr">
        <is>
          <t>BX5085 .G73 1978</t>
        </is>
      </c>
      <c r="C2668" t="inlineStr">
        <is>
          <t>0                      BX 5085000G  73          1978</t>
        </is>
      </c>
      <c r="D2668" t="inlineStr">
        <is>
          <t>The re-establishment of the Church of England, 1660-1663 / by I. M. Green.</t>
        </is>
      </c>
      <c r="F2668" t="inlineStr">
        <is>
          <t>No</t>
        </is>
      </c>
      <c r="G2668" t="inlineStr">
        <is>
          <t>1</t>
        </is>
      </c>
      <c r="H2668" t="inlineStr">
        <is>
          <t>No</t>
        </is>
      </c>
      <c r="I2668" t="inlineStr">
        <is>
          <t>No</t>
        </is>
      </c>
      <c r="J2668" t="inlineStr">
        <is>
          <t>0</t>
        </is>
      </c>
      <c r="K2668" t="inlineStr">
        <is>
          <t>Green, I. M.</t>
        </is>
      </c>
      <c r="L2668" t="inlineStr">
        <is>
          <t>Oxford [Eng.] ; New York : Oxford University Press, 1978.</t>
        </is>
      </c>
      <c r="M2668" t="inlineStr">
        <is>
          <t>1978</t>
        </is>
      </c>
      <c r="O2668" t="inlineStr">
        <is>
          <t>eng</t>
        </is>
      </c>
      <c r="P2668" t="inlineStr">
        <is>
          <t>enk</t>
        </is>
      </c>
      <c r="Q2668" t="inlineStr">
        <is>
          <t>Oxford historical monographs</t>
        </is>
      </c>
      <c r="R2668" t="inlineStr">
        <is>
          <t xml:space="preserve">BX </t>
        </is>
      </c>
      <c r="S2668" t="n">
        <v>2</v>
      </c>
      <c r="T2668" t="n">
        <v>2</v>
      </c>
      <c r="U2668" t="inlineStr">
        <is>
          <t>1993-09-29</t>
        </is>
      </c>
      <c r="V2668" t="inlineStr">
        <is>
          <t>1993-09-29</t>
        </is>
      </c>
      <c r="W2668" t="inlineStr">
        <is>
          <t>1992-04-24</t>
        </is>
      </c>
      <c r="X2668" t="inlineStr">
        <is>
          <t>1992-04-24</t>
        </is>
      </c>
      <c r="Y2668" t="n">
        <v>533</v>
      </c>
      <c r="Z2668" t="n">
        <v>372</v>
      </c>
      <c r="AA2668" t="n">
        <v>379</v>
      </c>
      <c r="AB2668" t="n">
        <v>2</v>
      </c>
      <c r="AC2668" t="n">
        <v>2</v>
      </c>
      <c r="AD2668" t="n">
        <v>15</v>
      </c>
      <c r="AE2668" t="n">
        <v>15</v>
      </c>
      <c r="AF2668" t="n">
        <v>4</v>
      </c>
      <c r="AG2668" t="n">
        <v>4</v>
      </c>
      <c r="AH2668" t="n">
        <v>6</v>
      </c>
      <c r="AI2668" t="n">
        <v>6</v>
      </c>
      <c r="AJ2668" t="n">
        <v>9</v>
      </c>
      <c r="AK2668" t="n">
        <v>9</v>
      </c>
      <c r="AL2668" t="n">
        <v>1</v>
      </c>
      <c r="AM2668" t="n">
        <v>1</v>
      </c>
      <c r="AN2668" t="n">
        <v>0</v>
      </c>
      <c r="AO2668" t="n">
        <v>0</v>
      </c>
      <c r="AP2668" t="inlineStr">
        <is>
          <t>No</t>
        </is>
      </c>
      <c r="AQ2668" t="inlineStr">
        <is>
          <t>Yes</t>
        </is>
      </c>
      <c r="AR2668">
        <f>HYPERLINK("http://catalog.hathitrust.org/Record/000292520","HathiTrust Record")</f>
        <v/>
      </c>
      <c r="AS2668">
        <f>HYPERLINK("https://creighton-primo.hosted.exlibrisgroup.com/primo-explore/search?tab=default_tab&amp;search_scope=EVERYTHING&amp;vid=01CRU&amp;lang=en_US&amp;offset=0&amp;query=any,contains,991004352269702656","Catalog Record")</f>
        <v/>
      </c>
      <c r="AT2668">
        <f>HYPERLINK("http://www.worldcat.org/oclc/3121025","WorldCat Record")</f>
        <v/>
      </c>
      <c r="AU2668" t="inlineStr">
        <is>
          <t>8136501:eng</t>
        </is>
      </c>
      <c r="AV2668" t="inlineStr">
        <is>
          <t>3121025</t>
        </is>
      </c>
      <c r="AW2668" t="inlineStr">
        <is>
          <t>991004352269702656</t>
        </is>
      </c>
      <c r="AX2668" t="inlineStr">
        <is>
          <t>991004352269702656</t>
        </is>
      </c>
      <c r="AY2668" t="inlineStr">
        <is>
          <t>2263333970002656</t>
        </is>
      </c>
      <c r="AZ2668" t="inlineStr">
        <is>
          <t>BOOK</t>
        </is>
      </c>
      <c r="BB2668" t="inlineStr">
        <is>
          <t>9780198218678</t>
        </is>
      </c>
      <c r="BC2668" t="inlineStr">
        <is>
          <t>32285001100618</t>
        </is>
      </c>
      <c r="BD2668" t="inlineStr">
        <is>
          <t>893253588</t>
        </is>
      </c>
    </row>
    <row r="2669">
      <c r="A2669" t="inlineStr">
        <is>
          <t>No</t>
        </is>
      </c>
      <c r="B2669" t="inlineStr">
        <is>
          <t>BX5085 .I33 2005</t>
        </is>
      </c>
      <c r="C2669" t="inlineStr">
        <is>
          <t>0                      BX 5085000I  33          2005</t>
        </is>
      </c>
      <c r="D2669" t="inlineStr">
        <is>
          <t>Protestant nations redefined : changing perceptions of national identity in the rhetoric of the English, Dutch, and Swedish public churches, 1685-1772 / by Pasi Ihalainen.</t>
        </is>
      </c>
      <c r="F2669" t="inlineStr">
        <is>
          <t>No</t>
        </is>
      </c>
      <c r="G2669" t="inlineStr">
        <is>
          <t>1</t>
        </is>
      </c>
      <c r="H2669" t="inlineStr">
        <is>
          <t>No</t>
        </is>
      </c>
      <c r="I2669" t="inlineStr">
        <is>
          <t>No</t>
        </is>
      </c>
      <c r="J2669" t="inlineStr">
        <is>
          <t>0</t>
        </is>
      </c>
      <c r="K2669" t="inlineStr">
        <is>
          <t>Ihalainen, Pasi.</t>
        </is>
      </c>
      <c r="L2669" t="inlineStr">
        <is>
          <t>Leiden ; Boston : Brill, 2005.</t>
        </is>
      </c>
      <c r="M2669" t="inlineStr">
        <is>
          <t>2005</t>
        </is>
      </c>
      <c r="O2669" t="inlineStr">
        <is>
          <t>eng</t>
        </is>
      </c>
      <c r="P2669" t="inlineStr">
        <is>
          <t xml:space="preserve">ne </t>
        </is>
      </c>
      <c r="Q2669" t="inlineStr">
        <is>
          <t>Studies in medieval and Reformation traditions, 1573-4188 ; v. 109</t>
        </is>
      </c>
      <c r="R2669" t="inlineStr">
        <is>
          <t xml:space="preserve">BX </t>
        </is>
      </c>
      <c r="S2669" t="n">
        <v>1</v>
      </c>
      <c r="T2669" t="n">
        <v>1</v>
      </c>
      <c r="U2669" t="inlineStr">
        <is>
          <t>2005-12-01</t>
        </is>
      </c>
      <c r="V2669" t="inlineStr">
        <is>
          <t>2005-12-01</t>
        </is>
      </c>
      <c r="W2669" t="inlineStr">
        <is>
          <t>2005-12-01</t>
        </is>
      </c>
      <c r="X2669" t="inlineStr">
        <is>
          <t>2005-12-01</t>
        </is>
      </c>
      <c r="Y2669" t="n">
        <v>188</v>
      </c>
      <c r="Z2669" t="n">
        <v>130</v>
      </c>
      <c r="AA2669" t="n">
        <v>131</v>
      </c>
      <c r="AB2669" t="n">
        <v>2</v>
      </c>
      <c r="AC2669" t="n">
        <v>2</v>
      </c>
      <c r="AD2669" t="n">
        <v>12</v>
      </c>
      <c r="AE2669" t="n">
        <v>12</v>
      </c>
      <c r="AF2669" t="n">
        <v>3</v>
      </c>
      <c r="AG2669" t="n">
        <v>3</v>
      </c>
      <c r="AH2669" t="n">
        <v>2</v>
      </c>
      <c r="AI2669" t="n">
        <v>2</v>
      </c>
      <c r="AJ2669" t="n">
        <v>9</v>
      </c>
      <c r="AK2669" t="n">
        <v>9</v>
      </c>
      <c r="AL2669" t="n">
        <v>1</v>
      </c>
      <c r="AM2669" t="n">
        <v>1</v>
      </c>
      <c r="AN2669" t="n">
        <v>0</v>
      </c>
      <c r="AO2669" t="n">
        <v>0</v>
      </c>
      <c r="AP2669" t="inlineStr">
        <is>
          <t>No</t>
        </is>
      </c>
      <c r="AQ2669" t="inlineStr">
        <is>
          <t>No</t>
        </is>
      </c>
      <c r="AS2669">
        <f>HYPERLINK("https://creighton-primo.hosted.exlibrisgroup.com/primo-explore/search?tab=default_tab&amp;search_scope=EVERYTHING&amp;vid=01CRU&amp;lang=en_US&amp;offset=0&amp;query=any,contains,991004697069702656","Catalog Record")</f>
        <v/>
      </c>
      <c r="AT2669">
        <f>HYPERLINK("http://www.worldcat.org/oclc/61694899","WorldCat Record")</f>
        <v/>
      </c>
      <c r="AU2669" t="inlineStr">
        <is>
          <t>890700558:eng</t>
        </is>
      </c>
      <c r="AV2669" t="inlineStr">
        <is>
          <t>61694899</t>
        </is>
      </c>
      <c r="AW2669" t="inlineStr">
        <is>
          <t>991004697069702656</t>
        </is>
      </c>
      <c r="AX2669" t="inlineStr">
        <is>
          <t>991004697069702656</t>
        </is>
      </c>
      <c r="AY2669" t="inlineStr">
        <is>
          <t>2266227520002656</t>
        </is>
      </c>
      <c r="AZ2669" t="inlineStr">
        <is>
          <t>BOOK</t>
        </is>
      </c>
      <c r="BB2669" t="inlineStr">
        <is>
          <t>9789004144859</t>
        </is>
      </c>
      <c r="BC2669" t="inlineStr">
        <is>
          <t>32285005150486</t>
        </is>
      </c>
      <c r="BD2669" t="inlineStr">
        <is>
          <t>893612662</t>
        </is>
      </c>
    </row>
    <row r="2670">
      <c r="A2670" t="inlineStr">
        <is>
          <t>No</t>
        </is>
      </c>
      <c r="B2670" t="inlineStr">
        <is>
          <t>BX5085 .S68 1991</t>
        </is>
      </c>
      <c r="C2670" t="inlineStr">
        <is>
          <t>0                      BX 5085000S  68          1991</t>
        </is>
      </c>
      <c r="D2670" t="inlineStr">
        <is>
          <t>The Restoration Church of England, 1646-1689 / John Spurr.</t>
        </is>
      </c>
      <c r="F2670" t="inlineStr">
        <is>
          <t>No</t>
        </is>
      </c>
      <c r="G2670" t="inlineStr">
        <is>
          <t>1</t>
        </is>
      </c>
      <c r="H2670" t="inlineStr">
        <is>
          <t>No</t>
        </is>
      </c>
      <c r="I2670" t="inlineStr">
        <is>
          <t>No</t>
        </is>
      </c>
      <c r="J2670" t="inlineStr">
        <is>
          <t>0</t>
        </is>
      </c>
      <c r="K2670" t="inlineStr">
        <is>
          <t>Spurr, John.</t>
        </is>
      </c>
      <c r="L2670" t="inlineStr">
        <is>
          <t>New Haven : Yale University Press, 1991.</t>
        </is>
      </c>
      <c r="M2670" t="inlineStr">
        <is>
          <t>1991</t>
        </is>
      </c>
      <c r="O2670" t="inlineStr">
        <is>
          <t>eng</t>
        </is>
      </c>
      <c r="P2670" t="inlineStr">
        <is>
          <t>ctu</t>
        </is>
      </c>
      <c r="R2670" t="inlineStr">
        <is>
          <t xml:space="preserve">BX </t>
        </is>
      </c>
      <c r="S2670" t="n">
        <v>5</v>
      </c>
      <c r="T2670" t="n">
        <v>5</v>
      </c>
      <c r="U2670" t="inlineStr">
        <is>
          <t>1999-04-19</t>
        </is>
      </c>
      <c r="V2670" t="inlineStr">
        <is>
          <t>1999-04-19</t>
        </is>
      </c>
      <c r="W2670" t="inlineStr">
        <is>
          <t>1994-08-31</t>
        </is>
      </c>
      <c r="X2670" t="inlineStr">
        <is>
          <t>1994-08-31</t>
        </is>
      </c>
      <c r="Y2670" t="n">
        <v>474</v>
      </c>
      <c r="Z2670" t="n">
        <v>345</v>
      </c>
      <c r="AA2670" t="n">
        <v>509</v>
      </c>
      <c r="AB2670" t="n">
        <v>3</v>
      </c>
      <c r="AC2670" t="n">
        <v>3</v>
      </c>
      <c r="AD2670" t="n">
        <v>18</v>
      </c>
      <c r="AE2670" t="n">
        <v>27</v>
      </c>
      <c r="AF2670" t="n">
        <v>8</v>
      </c>
      <c r="AG2670" t="n">
        <v>13</v>
      </c>
      <c r="AH2670" t="n">
        <v>5</v>
      </c>
      <c r="AI2670" t="n">
        <v>8</v>
      </c>
      <c r="AJ2670" t="n">
        <v>10</v>
      </c>
      <c r="AK2670" t="n">
        <v>14</v>
      </c>
      <c r="AL2670" t="n">
        <v>2</v>
      </c>
      <c r="AM2670" t="n">
        <v>2</v>
      </c>
      <c r="AN2670" t="n">
        <v>0</v>
      </c>
      <c r="AO2670" t="n">
        <v>0</v>
      </c>
      <c r="AP2670" t="inlineStr">
        <is>
          <t>No</t>
        </is>
      </c>
      <c r="AQ2670" t="inlineStr">
        <is>
          <t>No</t>
        </is>
      </c>
      <c r="AS2670">
        <f>HYPERLINK("https://creighton-primo.hosted.exlibrisgroup.com/primo-explore/search?tab=default_tab&amp;search_scope=EVERYTHING&amp;vid=01CRU&amp;lang=en_US&amp;offset=0&amp;query=any,contains,991001832649702656","Catalog Record")</f>
        <v/>
      </c>
      <c r="AT2670">
        <f>HYPERLINK("http://www.worldcat.org/oclc/23017255","WorldCat Record")</f>
        <v/>
      </c>
      <c r="AU2670" t="inlineStr">
        <is>
          <t>20905966:eng</t>
        </is>
      </c>
      <c r="AV2670" t="inlineStr">
        <is>
          <t>23017255</t>
        </is>
      </c>
      <c r="AW2670" t="inlineStr">
        <is>
          <t>991001832649702656</t>
        </is>
      </c>
      <c r="AX2670" t="inlineStr">
        <is>
          <t>991001832649702656</t>
        </is>
      </c>
      <c r="AY2670" t="inlineStr">
        <is>
          <t>2266335490002656</t>
        </is>
      </c>
      <c r="AZ2670" t="inlineStr">
        <is>
          <t>BOOK</t>
        </is>
      </c>
      <c r="BB2670" t="inlineStr">
        <is>
          <t>9780300050714</t>
        </is>
      </c>
      <c r="BC2670" t="inlineStr">
        <is>
          <t>32285001944551</t>
        </is>
      </c>
      <c r="BD2670" t="inlineStr">
        <is>
          <t>893340735</t>
        </is>
      </c>
    </row>
    <row r="2671">
      <c r="A2671" t="inlineStr">
        <is>
          <t>No</t>
        </is>
      </c>
      <c r="B2671" t="inlineStr">
        <is>
          <t>BX5093 .O96 1897</t>
        </is>
      </c>
      <c r="C2671" t="inlineStr">
        <is>
          <t>0                      BX 5093000O  96          1897</t>
        </is>
      </c>
      <c r="D2671" t="inlineStr">
        <is>
          <t>The Anglican revival / by J. H. Overton.</t>
        </is>
      </c>
      <c r="F2671" t="inlineStr">
        <is>
          <t>No</t>
        </is>
      </c>
      <c r="G2671" t="inlineStr">
        <is>
          <t>1</t>
        </is>
      </c>
      <c r="H2671" t="inlineStr">
        <is>
          <t>No</t>
        </is>
      </c>
      <c r="I2671" t="inlineStr">
        <is>
          <t>No</t>
        </is>
      </c>
      <c r="J2671" t="inlineStr">
        <is>
          <t>0</t>
        </is>
      </c>
      <c r="K2671" t="inlineStr">
        <is>
          <t>Overton, John Henry, 1835-1903.</t>
        </is>
      </c>
      <c r="L2671" t="inlineStr">
        <is>
          <t>London : Blackie &amp; son, limited, 1897?</t>
        </is>
      </c>
      <c r="M2671" t="inlineStr">
        <is>
          <t>1897</t>
        </is>
      </c>
      <c r="O2671" t="inlineStr">
        <is>
          <t>eng</t>
        </is>
      </c>
      <c r="P2671" t="inlineStr">
        <is>
          <t>enk</t>
        </is>
      </c>
      <c r="Q2671" t="inlineStr">
        <is>
          <t>The Victorian era series</t>
        </is>
      </c>
      <c r="R2671" t="inlineStr">
        <is>
          <t xml:space="preserve">BX </t>
        </is>
      </c>
      <c r="S2671" t="n">
        <v>2</v>
      </c>
      <c r="T2671" t="n">
        <v>2</v>
      </c>
      <c r="U2671" t="inlineStr">
        <is>
          <t>1993-09-29</t>
        </is>
      </c>
      <c r="V2671" t="inlineStr">
        <is>
          <t>1993-09-29</t>
        </is>
      </c>
      <c r="W2671" t="inlineStr">
        <is>
          <t>1992-04-24</t>
        </is>
      </c>
      <c r="X2671" t="inlineStr">
        <is>
          <t>1992-04-24</t>
        </is>
      </c>
      <c r="Y2671" t="n">
        <v>98</v>
      </c>
      <c r="Z2671" t="n">
        <v>59</v>
      </c>
      <c r="AA2671" t="n">
        <v>234</v>
      </c>
      <c r="AB2671" t="n">
        <v>1</v>
      </c>
      <c r="AC2671" t="n">
        <v>4</v>
      </c>
      <c r="AD2671" t="n">
        <v>3</v>
      </c>
      <c r="AE2671" t="n">
        <v>20</v>
      </c>
      <c r="AF2671" t="n">
        <v>1</v>
      </c>
      <c r="AG2671" t="n">
        <v>6</v>
      </c>
      <c r="AH2671" t="n">
        <v>2</v>
      </c>
      <c r="AI2671" t="n">
        <v>4</v>
      </c>
      <c r="AJ2671" t="n">
        <v>0</v>
      </c>
      <c r="AK2671" t="n">
        <v>10</v>
      </c>
      <c r="AL2671" t="n">
        <v>0</v>
      </c>
      <c r="AM2671" t="n">
        <v>3</v>
      </c>
      <c r="AN2671" t="n">
        <v>0</v>
      </c>
      <c r="AO2671" t="n">
        <v>0</v>
      </c>
      <c r="AP2671" t="inlineStr">
        <is>
          <t>Yes</t>
        </is>
      </c>
      <c r="AQ2671" t="inlineStr">
        <is>
          <t>No</t>
        </is>
      </c>
      <c r="AR2671">
        <f>HYPERLINK("http://catalog.hathitrust.org/Record/001942443","HathiTrust Record")</f>
        <v/>
      </c>
      <c r="AS2671">
        <f>HYPERLINK("https://creighton-primo.hosted.exlibrisgroup.com/primo-explore/search?tab=default_tab&amp;search_scope=EVERYTHING&amp;vid=01CRU&amp;lang=en_US&amp;offset=0&amp;query=any,contains,991004505939702656","Catalog Record")</f>
        <v/>
      </c>
      <c r="AT2671">
        <f>HYPERLINK("http://www.worldcat.org/oclc/3735692","WorldCat Record")</f>
        <v/>
      </c>
      <c r="AU2671" t="inlineStr">
        <is>
          <t>4381703:eng</t>
        </is>
      </c>
      <c r="AV2671" t="inlineStr">
        <is>
          <t>3735692</t>
        </is>
      </c>
      <c r="AW2671" t="inlineStr">
        <is>
          <t>991004505939702656</t>
        </is>
      </c>
      <c r="AX2671" t="inlineStr">
        <is>
          <t>991004505939702656</t>
        </is>
      </c>
      <c r="AY2671" t="inlineStr">
        <is>
          <t>2268754390002656</t>
        </is>
      </c>
      <c r="AZ2671" t="inlineStr">
        <is>
          <t>BOOK</t>
        </is>
      </c>
      <c r="BC2671" t="inlineStr">
        <is>
          <t>32285001100667</t>
        </is>
      </c>
      <c r="BD2671" t="inlineStr">
        <is>
          <t>893532465</t>
        </is>
      </c>
    </row>
    <row r="2672">
      <c r="A2672" t="inlineStr">
        <is>
          <t>No</t>
        </is>
      </c>
      <c r="B2672" t="inlineStr">
        <is>
          <t>BX5097 1840</t>
        </is>
      </c>
      <c r="C2672" t="inlineStr">
        <is>
          <t>0                      BX 5097000               1840</t>
        </is>
      </c>
      <c r="D2672" t="inlineStr">
        <is>
          <t>Tracts for the times / by members of the University of Oxford [J.H. Newman , J. Keble, W. Palmer, R.H. Froude, E.B. Pusey, I. Williams, and others]</t>
        </is>
      </c>
      <c r="E2672" t="inlineStr">
        <is>
          <t>V.4</t>
        </is>
      </c>
      <c r="F2672" t="inlineStr">
        <is>
          <t>Yes</t>
        </is>
      </c>
      <c r="G2672" t="inlineStr">
        <is>
          <t>1</t>
        </is>
      </c>
      <c r="H2672" t="inlineStr">
        <is>
          <t>No</t>
        </is>
      </c>
      <c r="I2672" t="inlineStr">
        <is>
          <t>No</t>
        </is>
      </c>
      <c r="J2672" t="inlineStr">
        <is>
          <t>0</t>
        </is>
      </c>
      <c r="L2672" t="inlineStr">
        <is>
          <t>London : Printed for J.G.F. &amp; J. Rivington ; Oxford : J.H. Parker, 1840.</t>
        </is>
      </c>
      <c r="M2672" t="inlineStr">
        <is>
          <t>1840</t>
        </is>
      </c>
      <c r="N2672" t="inlineStr">
        <is>
          <t>Individual vol and sections vary as to edition: v.2, pt.II, 3rd ed.; v.3, new ed.; v.4, new ed.</t>
        </is>
      </c>
      <c r="O2672" t="inlineStr">
        <is>
          <t>eng</t>
        </is>
      </c>
      <c r="P2672" t="inlineStr">
        <is>
          <t>enk</t>
        </is>
      </c>
      <c r="R2672" t="inlineStr">
        <is>
          <t xml:space="preserve">BX </t>
        </is>
      </c>
      <c r="S2672" t="n">
        <v>0</v>
      </c>
      <c r="T2672" t="n">
        <v>4</v>
      </c>
      <c r="V2672" t="inlineStr">
        <is>
          <t>2002-12-20</t>
        </is>
      </c>
      <c r="W2672" t="inlineStr">
        <is>
          <t>1991-09-26</t>
        </is>
      </c>
      <c r="X2672" t="inlineStr">
        <is>
          <t>1991-09-26</t>
        </is>
      </c>
      <c r="Y2672" t="n">
        <v>22</v>
      </c>
      <c r="Z2672" t="n">
        <v>21</v>
      </c>
      <c r="AA2672" t="n">
        <v>211</v>
      </c>
      <c r="AB2672" t="n">
        <v>1</v>
      </c>
      <c r="AC2672" t="n">
        <v>4</v>
      </c>
      <c r="AD2672" t="n">
        <v>0</v>
      </c>
      <c r="AE2672" t="n">
        <v>17</v>
      </c>
      <c r="AF2672" t="n">
        <v>0</v>
      </c>
      <c r="AG2672" t="n">
        <v>4</v>
      </c>
      <c r="AH2672" t="n">
        <v>0</v>
      </c>
      <c r="AI2672" t="n">
        <v>3</v>
      </c>
      <c r="AJ2672" t="n">
        <v>0</v>
      </c>
      <c r="AK2672" t="n">
        <v>9</v>
      </c>
      <c r="AL2672" t="n">
        <v>0</v>
      </c>
      <c r="AM2672" t="n">
        <v>3</v>
      </c>
      <c r="AN2672" t="n">
        <v>0</v>
      </c>
      <c r="AO2672" t="n">
        <v>0</v>
      </c>
      <c r="AP2672" t="inlineStr">
        <is>
          <t>No</t>
        </is>
      </c>
      <c r="AQ2672" t="inlineStr">
        <is>
          <t>No</t>
        </is>
      </c>
      <c r="AS2672">
        <f>HYPERLINK("https://creighton-primo.hosted.exlibrisgroup.com/primo-explore/search?tab=default_tab&amp;search_scope=EVERYTHING&amp;vid=01CRU&amp;lang=en_US&amp;offset=0&amp;query=any,contains,991005406879702656","Catalog Record")</f>
        <v/>
      </c>
      <c r="AT2672">
        <f>HYPERLINK("http://www.worldcat.org/oclc/13895692","WorldCat Record")</f>
        <v/>
      </c>
      <c r="AU2672" t="inlineStr">
        <is>
          <t>3372352486:eng</t>
        </is>
      </c>
      <c r="AV2672" t="inlineStr">
        <is>
          <t>13895692</t>
        </is>
      </c>
      <c r="AW2672" t="inlineStr">
        <is>
          <t>991005406879702656</t>
        </is>
      </c>
      <c r="AX2672" t="inlineStr">
        <is>
          <t>991005406879702656</t>
        </is>
      </c>
      <c r="AY2672" t="inlineStr">
        <is>
          <t>2265844290002656</t>
        </is>
      </c>
      <c r="AZ2672" t="inlineStr">
        <is>
          <t>BOOK</t>
        </is>
      </c>
      <c r="BC2672" t="inlineStr">
        <is>
          <t>32285000761204</t>
        </is>
      </c>
      <c r="BD2672" t="inlineStr">
        <is>
          <t>893236778</t>
        </is>
      </c>
    </row>
    <row r="2673">
      <c r="A2673" t="inlineStr">
        <is>
          <t>No</t>
        </is>
      </c>
      <c r="B2673" t="inlineStr">
        <is>
          <t>BX5097 1840</t>
        </is>
      </c>
      <c r="C2673" t="inlineStr">
        <is>
          <t>0                      BX 5097000               1840</t>
        </is>
      </c>
      <c r="D2673" t="inlineStr">
        <is>
          <t>Tracts for the times / by members of the University of Oxford [J.H. Newman , J. Keble, W. Palmer, R.H. Froude, E.B. Pusey, I. Williams, and others]</t>
        </is>
      </c>
      <c r="E2673" t="inlineStr">
        <is>
          <t>V.1</t>
        </is>
      </c>
      <c r="F2673" t="inlineStr">
        <is>
          <t>Yes</t>
        </is>
      </c>
      <c r="G2673" t="inlineStr">
        <is>
          <t>1</t>
        </is>
      </c>
      <c r="H2673" t="inlineStr">
        <is>
          <t>No</t>
        </is>
      </c>
      <c r="I2673" t="inlineStr">
        <is>
          <t>No</t>
        </is>
      </c>
      <c r="J2673" t="inlineStr">
        <is>
          <t>0</t>
        </is>
      </c>
      <c r="L2673" t="inlineStr">
        <is>
          <t>London : Printed for J.G.F. &amp; J. Rivington ; Oxford : J.H. Parker, 1840.</t>
        </is>
      </c>
      <c r="M2673" t="inlineStr">
        <is>
          <t>1840</t>
        </is>
      </c>
      <c r="N2673" t="inlineStr">
        <is>
          <t>Individual vol and sections vary as to edition: v.2, pt.II, 3rd ed.; v.3, new ed.; v.4, new ed.</t>
        </is>
      </c>
      <c r="O2673" t="inlineStr">
        <is>
          <t>eng</t>
        </is>
      </c>
      <c r="P2673" t="inlineStr">
        <is>
          <t>enk</t>
        </is>
      </c>
      <c r="R2673" t="inlineStr">
        <is>
          <t xml:space="preserve">BX </t>
        </is>
      </c>
      <c r="S2673" t="n">
        <v>3</v>
      </c>
      <c r="T2673" t="n">
        <v>4</v>
      </c>
      <c r="U2673" t="inlineStr">
        <is>
          <t>2000-08-28</t>
        </is>
      </c>
      <c r="V2673" t="inlineStr">
        <is>
          <t>2002-12-20</t>
        </is>
      </c>
      <c r="W2673" t="inlineStr">
        <is>
          <t>1991-09-26</t>
        </is>
      </c>
      <c r="X2673" t="inlineStr">
        <is>
          <t>1991-09-26</t>
        </is>
      </c>
      <c r="Y2673" t="n">
        <v>22</v>
      </c>
      <c r="Z2673" t="n">
        <v>21</v>
      </c>
      <c r="AA2673" t="n">
        <v>211</v>
      </c>
      <c r="AB2673" t="n">
        <v>1</v>
      </c>
      <c r="AC2673" t="n">
        <v>4</v>
      </c>
      <c r="AD2673" t="n">
        <v>0</v>
      </c>
      <c r="AE2673" t="n">
        <v>17</v>
      </c>
      <c r="AF2673" t="n">
        <v>0</v>
      </c>
      <c r="AG2673" t="n">
        <v>4</v>
      </c>
      <c r="AH2673" t="n">
        <v>0</v>
      </c>
      <c r="AI2673" t="n">
        <v>3</v>
      </c>
      <c r="AJ2673" t="n">
        <v>0</v>
      </c>
      <c r="AK2673" t="n">
        <v>9</v>
      </c>
      <c r="AL2673" t="n">
        <v>0</v>
      </c>
      <c r="AM2673" t="n">
        <v>3</v>
      </c>
      <c r="AN2673" t="n">
        <v>0</v>
      </c>
      <c r="AO2673" t="n">
        <v>0</v>
      </c>
      <c r="AP2673" t="inlineStr">
        <is>
          <t>No</t>
        </is>
      </c>
      <c r="AQ2673" t="inlineStr">
        <is>
          <t>No</t>
        </is>
      </c>
      <c r="AS2673">
        <f>HYPERLINK("https://creighton-primo.hosted.exlibrisgroup.com/primo-explore/search?tab=default_tab&amp;search_scope=EVERYTHING&amp;vid=01CRU&amp;lang=en_US&amp;offset=0&amp;query=any,contains,991005406879702656","Catalog Record")</f>
        <v/>
      </c>
      <c r="AT2673">
        <f>HYPERLINK("http://www.worldcat.org/oclc/13895692","WorldCat Record")</f>
        <v/>
      </c>
      <c r="AU2673" t="inlineStr">
        <is>
          <t>3372352486:eng</t>
        </is>
      </c>
      <c r="AV2673" t="inlineStr">
        <is>
          <t>13895692</t>
        </is>
      </c>
      <c r="AW2673" t="inlineStr">
        <is>
          <t>991005406879702656</t>
        </is>
      </c>
      <c r="AX2673" t="inlineStr">
        <is>
          <t>991005406879702656</t>
        </is>
      </c>
      <c r="AY2673" t="inlineStr">
        <is>
          <t>2265844290002656</t>
        </is>
      </c>
      <c r="AZ2673" t="inlineStr">
        <is>
          <t>BOOK</t>
        </is>
      </c>
      <c r="BC2673" t="inlineStr">
        <is>
          <t>32285000761170</t>
        </is>
      </c>
      <c r="BD2673" t="inlineStr">
        <is>
          <t>893254952</t>
        </is>
      </c>
    </row>
    <row r="2674">
      <c r="A2674" t="inlineStr">
        <is>
          <t>No</t>
        </is>
      </c>
      <c r="B2674" t="inlineStr">
        <is>
          <t>BX5097 1840</t>
        </is>
      </c>
      <c r="C2674" t="inlineStr">
        <is>
          <t>0                      BX 5097000               1840</t>
        </is>
      </c>
      <c r="D2674" t="inlineStr">
        <is>
          <t>Tracts for the times / by members of the University of Oxford [J.H. Newman , J. Keble, W. Palmer, R.H. Froude, E.B. Pusey, I. Williams, and others]</t>
        </is>
      </c>
      <c r="E2674" t="inlineStr">
        <is>
          <t>V.5</t>
        </is>
      </c>
      <c r="F2674" t="inlineStr">
        <is>
          <t>Yes</t>
        </is>
      </c>
      <c r="G2674" t="inlineStr">
        <is>
          <t>1</t>
        </is>
      </c>
      <c r="H2674" t="inlineStr">
        <is>
          <t>No</t>
        </is>
      </c>
      <c r="I2674" t="inlineStr">
        <is>
          <t>No</t>
        </is>
      </c>
      <c r="J2674" t="inlineStr">
        <is>
          <t>0</t>
        </is>
      </c>
      <c r="L2674" t="inlineStr">
        <is>
          <t>London : Printed for J.G.F. &amp; J. Rivington ; Oxford : J.H. Parker, 1840.</t>
        </is>
      </c>
      <c r="M2674" t="inlineStr">
        <is>
          <t>1840</t>
        </is>
      </c>
      <c r="N2674" t="inlineStr">
        <is>
          <t>Individual vol and sections vary as to edition: v.2, pt.II, 3rd ed.; v.3, new ed.; v.4, new ed.</t>
        </is>
      </c>
      <c r="O2674" t="inlineStr">
        <is>
          <t>eng</t>
        </is>
      </c>
      <c r="P2674" t="inlineStr">
        <is>
          <t>enk</t>
        </is>
      </c>
      <c r="R2674" t="inlineStr">
        <is>
          <t xml:space="preserve">BX </t>
        </is>
      </c>
      <c r="S2674" t="n">
        <v>1</v>
      </c>
      <c r="T2674" t="n">
        <v>4</v>
      </c>
      <c r="U2674" t="inlineStr">
        <is>
          <t>2002-12-20</t>
        </is>
      </c>
      <c r="V2674" t="inlineStr">
        <is>
          <t>2002-12-20</t>
        </is>
      </c>
      <c r="W2674" t="inlineStr">
        <is>
          <t>1991-09-26</t>
        </is>
      </c>
      <c r="X2674" t="inlineStr">
        <is>
          <t>1991-09-26</t>
        </is>
      </c>
      <c r="Y2674" t="n">
        <v>22</v>
      </c>
      <c r="Z2674" t="n">
        <v>21</v>
      </c>
      <c r="AA2674" t="n">
        <v>211</v>
      </c>
      <c r="AB2674" t="n">
        <v>1</v>
      </c>
      <c r="AC2674" t="n">
        <v>4</v>
      </c>
      <c r="AD2674" t="n">
        <v>0</v>
      </c>
      <c r="AE2674" t="n">
        <v>17</v>
      </c>
      <c r="AF2674" t="n">
        <v>0</v>
      </c>
      <c r="AG2674" t="n">
        <v>4</v>
      </c>
      <c r="AH2674" t="n">
        <v>0</v>
      </c>
      <c r="AI2674" t="n">
        <v>3</v>
      </c>
      <c r="AJ2674" t="n">
        <v>0</v>
      </c>
      <c r="AK2674" t="n">
        <v>9</v>
      </c>
      <c r="AL2674" t="n">
        <v>0</v>
      </c>
      <c r="AM2674" t="n">
        <v>3</v>
      </c>
      <c r="AN2674" t="n">
        <v>0</v>
      </c>
      <c r="AO2674" t="n">
        <v>0</v>
      </c>
      <c r="AP2674" t="inlineStr">
        <is>
          <t>No</t>
        </is>
      </c>
      <c r="AQ2674" t="inlineStr">
        <is>
          <t>No</t>
        </is>
      </c>
      <c r="AS2674">
        <f>HYPERLINK("https://creighton-primo.hosted.exlibrisgroup.com/primo-explore/search?tab=default_tab&amp;search_scope=EVERYTHING&amp;vid=01CRU&amp;lang=en_US&amp;offset=0&amp;query=any,contains,991005406879702656","Catalog Record")</f>
        <v/>
      </c>
      <c r="AT2674">
        <f>HYPERLINK("http://www.worldcat.org/oclc/13895692","WorldCat Record")</f>
        <v/>
      </c>
      <c r="AU2674" t="inlineStr">
        <is>
          <t>3372352486:eng</t>
        </is>
      </c>
      <c r="AV2674" t="inlineStr">
        <is>
          <t>13895692</t>
        </is>
      </c>
      <c r="AW2674" t="inlineStr">
        <is>
          <t>991005406879702656</t>
        </is>
      </c>
      <c r="AX2674" t="inlineStr">
        <is>
          <t>991005406879702656</t>
        </is>
      </c>
      <c r="AY2674" t="inlineStr">
        <is>
          <t>2265844290002656</t>
        </is>
      </c>
      <c r="AZ2674" t="inlineStr">
        <is>
          <t>BOOK</t>
        </is>
      </c>
      <c r="BC2674" t="inlineStr">
        <is>
          <t>32285000761212</t>
        </is>
      </c>
      <c r="BD2674" t="inlineStr">
        <is>
          <t>893236777</t>
        </is>
      </c>
    </row>
    <row r="2675">
      <c r="A2675" t="inlineStr">
        <is>
          <t>No</t>
        </is>
      </c>
      <c r="B2675" t="inlineStr">
        <is>
          <t>BX5097 1840</t>
        </is>
      </c>
      <c r="C2675" t="inlineStr">
        <is>
          <t>0                      BX 5097000               1840</t>
        </is>
      </c>
      <c r="D2675" t="inlineStr">
        <is>
          <t>Tracts for the times / by members of the University of Oxford [J.H. Newman , J. Keble, W. Palmer, R.H. Froude, E.B. Pusey, I. Williams, and others]</t>
        </is>
      </c>
      <c r="E2675" t="inlineStr">
        <is>
          <t>V.3</t>
        </is>
      </c>
      <c r="F2675" t="inlineStr">
        <is>
          <t>Yes</t>
        </is>
      </c>
      <c r="G2675" t="inlineStr">
        <is>
          <t>1</t>
        </is>
      </c>
      <c r="H2675" t="inlineStr">
        <is>
          <t>No</t>
        </is>
      </c>
      <c r="I2675" t="inlineStr">
        <is>
          <t>No</t>
        </is>
      </c>
      <c r="J2675" t="inlineStr">
        <is>
          <t>0</t>
        </is>
      </c>
      <c r="L2675" t="inlineStr">
        <is>
          <t>London : Printed for J.G.F. &amp; J. Rivington ; Oxford : J.H. Parker, 1840.</t>
        </is>
      </c>
      <c r="M2675" t="inlineStr">
        <is>
          <t>1840</t>
        </is>
      </c>
      <c r="N2675" t="inlineStr">
        <is>
          <t>Individual vol and sections vary as to edition: v.2, pt.II, 3rd ed.; v.3, new ed.; v.4, new ed.</t>
        </is>
      </c>
      <c r="O2675" t="inlineStr">
        <is>
          <t>eng</t>
        </is>
      </c>
      <c r="P2675" t="inlineStr">
        <is>
          <t>enk</t>
        </is>
      </c>
      <c r="R2675" t="inlineStr">
        <is>
          <t xml:space="preserve">BX </t>
        </is>
      </c>
      <c r="S2675" t="n">
        <v>0</v>
      </c>
      <c r="T2675" t="n">
        <v>4</v>
      </c>
      <c r="V2675" t="inlineStr">
        <is>
          <t>2002-12-20</t>
        </is>
      </c>
      <c r="W2675" t="inlineStr">
        <is>
          <t>1991-09-26</t>
        </is>
      </c>
      <c r="X2675" t="inlineStr">
        <is>
          <t>1991-09-26</t>
        </is>
      </c>
      <c r="Y2675" t="n">
        <v>22</v>
      </c>
      <c r="Z2675" t="n">
        <v>21</v>
      </c>
      <c r="AA2675" t="n">
        <v>211</v>
      </c>
      <c r="AB2675" t="n">
        <v>1</v>
      </c>
      <c r="AC2675" t="n">
        <v>4</v>
      </c>
      <c r="AD2675" t="n">
        <v>0</v>
      </c>
      <c r="AE2675" t="n">
        <v>17</v>
      </c>
      <c r="AF2675" t="n">
        <v>0</v>
      </c>
      <c r="AG2675" t="n">
        <v>4</v>
      </c>
      <c r="AH2675" t="n">
        <v>0</v>
      </c>
      <c r="AI2675" t="n">
        <v>3</v>
      </c>
      <c r="AJ2675" t="n">
        <v>0</v>
      </c>
      <c r="AK2675" t="n">
        <v>9</v>
      </c>
      <c r="AL2675" t="n">
        <v>0</v>
      </c>
      <c r="AM2675" t="n">
        <v>3</v>
      </c>
      <c r="AN2675" t="n">
        <v>0</v>
      </c>
      <c r="AO2675" t="n">
        <v>0</v>
      </c>
      <c r="AP2675" t="inlineStr">
        <is>
          <t>No</t>
        </is>
      </c>
      <c r="AQ2675" t="inlineStr">
        <is>
          <t>No</t>
        </is>
      </c>
      <c r="AS2675">
        <f>HYPERLINK("https://creighton-primo.hosted.exlibrisgroup.com/primo-explore/search?tab=default_tab&amp;search_scope=EVERYTHING&amp;vid=01CRU&amp;lang=en_US&amp;offset=0&amp;query=any,contains,991005406879702656","Catalog Record")</f>
        <v/>
      </c>
      <c r="AT2675">
        <f>HYPERLINK("http://www.worldcat.org/oclc/13895692","WorldCat Record")</f>
        <v/>
      </c>
      <c r="AU2675" t="inlineStr">
        <is>
          <t>3372352486:eng</t>
        </is>
      </c>
      <c r="AV2675" t="inlineStr">
        <is>
          <t>13895692</t>
        </is>
      </c>
      <c r="AW2675" t="inlineStr">
        <is>
          <t>991005406879702656</t>
        </is>
      </c>
      <c r="AX2675" t="inlineStr">
        <is>
          <t>991005406879702656</t>
        </is>
      </c>
      <c r="AY2675" t="inlineStr">
        <is>
          <t>2265844290002656</t>
        </is>
      </c>
      <c r="AZ2675" t="inlineStr">
        <is>
          <t>BOOK</t>
        </is>
      </c>
      <c r="BC2675" t="inlineStr">
        <is>
          <t>32285000761196</t>
        </is>
      </c>
      <c r="BD2675" t="inlineStr">
        <is>
          <t>893261107</t>
        </is>
      </c>
    </row>
    <row r="2676">
      <c r="A2676" t="inlineStr">
        <is>
          <t>No</t>
        </is>
      </c>
      <c r="B2676" t="inlineStr">
        <is>
          <t>BX5097 1840</t>
        </is>
      </c>
      <c r="C2676" t="inlineStr">
        <is>
          <t>0                      BX 5097000               1840</t>
        </is>
      </c>
      <c r="D2676" t="inlineStr">
        <is>
          <t>Tracts for the times / by members of the University of Oxford [J.H. Newman , J. Keble, W. Palmer, R.H. Froude, E.B. Pusey, I. Williams, and others]</t>
        </is>
      </c>
      <c r="E2676" t="inlineStr">
        <is>
          <t>V.2</t>
        </is>
      </c>
      <c r="F2676" t="inlineStr">
        <is>
          <t>Yes</t>
        </is>
      </c>
      <c r="G2676" t="inlineStr">
        <is>
          <t>1</t>
        </is>
      </c>
      <c r="H2676" t="inlineStr">
        <is>
          <t>No</t>
        </is>
      </c>
      <c r="I2676" t="inlineStr">
        <is>
          <t>No</t>
        </is>
      </c>
      <c r="J2676" t="inlineStr">
        <is>
          <t>0</t>
        </is>
      </c>
      <c r="L2676" t="inlineStr">
        <is>
          <t>London : Printed for J.G.F. &amp; J. Rivington ; Oxford : J.H. Parker, 1840.</t>
        </is>
      </c>
      <c r="M2676" t="inlineStr">
        <is>
          <t>1840</t>
        </is>
      </c>
      <c r="N2676" t="inlineStr">
        <is>
          <t>Individual vol and sections vary as to edition: v.2, pt.II, 3rd ed.; v.3, new ed.; v.4, new ed.</t>
        </is>
      </c>
      <c r="O2676" t="inlineStr">
        <is>
          <t>eng</t>
        </is>
      </c>
      <c r="P2676" t="inlineStr">
        <is>
          <t>enk</t>
        </is>
      </c>
      <c r="R2676" t="inlineStr">
        <is>
          <t xml:space="preserve">BX </t>
        </is>
      </c>
      <c r="S2676" t="n">
        <v>0</v>
      </c>
      <c r="T2676" t="n">
        <v>4</v>
      </c>
      <c r="V2676" t="inlineStr">
        <is>
          <t>2002-12-20</t>
        </is>
      </c>
      <c r="W2676" t="inlineStr">
        <is>
          <t>1991-09-26</t>
        </is>
      </c>
      <c r="X2676" t="inlineStr">
        <is>
          <t>1991-09-26</t>
        </is>
      </c>
      <c r="Y2676" t="n">
        <v>22</v>
      </c>
      <c r="Z2676" t="n">
        <v>21</v>
      </c>
      <c r="AA2676" t="n">
        <v>211</v>
      </c>
      <c r="AB2676" t="n">
        <v>1</v>
      </c>
      <c r="AC2676" t="n">
        <v>4</v>
      </c>
      <c r="AD2676" t="n">
        <v>0</v>
      </c>
      <c r="AE2676" t="n">
        <v>17</v>
      </c>
      <c r="AF2676" t="n">
        <v>0</v>
      </c>
      <c r="AG2676" t="n">
        <v>4</v>
      </c>
      <c r="AH2676" t="n">
        <v>0</v>
      </c>
      <c r="AI2676" t="n">
        <v>3</v>
      </c>
      <c r="AJ2676" t="n">
        <v>0</v>
      </c>
      <c r="AK2676" t="n">
        <v>9</v>
      </c>
      <c r="AL2676" t="n">
        <v>0</v>
      </c>
      <c r="AM2676" t="n">
        <v>3</v>
      </c>
      <c r="AN2676" t="n">
        <v>0</v>
      </c>
      <c r="AO2676" t="n">
        <v>0</v>
      </c>
      <c r="AP2676" t="inlineStr">
        <is>
          <t>No</t>
        </is>
      </c>
      <c r="AQ2676" t="inlineStr">
        <is>
          <t>No</t>
        </is>
      </c>
      <c r="AS2676">
        <f>HYPERLINK("https://creighton-primo.hosted.exlibrisgroup.com/primo-explore/search?tab=default_tab&amp;search_scope=EVERYTHING&amp;vid=01CRU&amp;lang=en_US&amp;offset=0&amp;query=any,contains,991005406879702656","Catalog Record")</f>
        <v/>
      </c>
      <c r="AT2676">
        <f>HYPERLINK("http://www.worldcat.org/oclc/13895692","WorldCat Record")</f>
        <v/>
      </c>
      <c r="AU2676" t="inlineStr">
        <is>
          <t>3372352486:eng</t>
        </is>
      </c>
      <c r="AV2676" t="inlineStr">
        <is>
          <t>13895692</t>
        </is>
      </c>
      <c r="AW2676" t="inlineStr">
        <is>
          <t>991005406879702656</t>
        </is>
      </c>
      <c r="AX2676" t="inlineStr">
        <is>
          <t>991005406879702656</t>
        </is>
      </c>
      <c r="AY2676" t="inlineStr">
        <is>
          <t>2265844290002656</t>
        </is>
      </c>
      <c r="AZ2676" t="inlineStr">
        <is>
          <t>BOOK</t>
        </is>
      </c>
      <c r="BC2676" t="inlineStr">
        <is>
          <t>32285000761188</t>
        </is>
      </c>
      <c r="BD2676" t="inlineStr">
        <is>
          <t>893242697</t>
        </is>
      </c>
    </row>
    <row r="2677">
      <c r="A2677" t="inlineStr">
        <is>
          <t>No</t>
        </is>
      </c>
      <c r="B2677" t="inlineStr">
        <is>
          <t>BX5098 .C5</t>
        </is>
      </c>
      <c r="C2677" t="inlineStr">
        <is>
          <t>0                      BX 5098000C  5</t>
        </is>
      </c>
      <c r="D2677" t="inlineStr">
        <is>
          <t>The Oxford movement : twelve years, 1833-1845 / by R. W. Church.</t>
        </is>
      </c>
      <c r="F2677" t="inlineStr">
        <is>
          <t>No</t>
        </is>
      </c>
      <c r="G2677" t="inlineStr">
        <is>
          <t>1</t>
        </is>
      </c>
      <c r="H2677" t="inlineStr">
        <is>
          <t>No</t>
        </is>
      </c>
      <c r="I2677" t="inlineStr">
        <is>
          <t>Yes</t>
        </is>
      </c>
      <c r="J2677" t="inlineStr">
        <is>
          <t>0</t>
        </is>
      </c>
      <c r="K2677" t="inlineStr">
        <is>
          <t>Church, R. W. (Richard William), 1815-1890.</t>
        </is>
      </c>
      <c r="L2677" t="inlineStr">
        <is>
          <t>London : Macmillan and co., limited, 1922.</t>
        </is>
      </c>
      <c r="M2677" t="inlineStr">
        <is>
          <t>1922</t>
        </is>
      </c>
      <c r="O2677" t="inlineStr">
        <is>
          <t>eng</t>
        </is>
      </c>
      <c r="P2677" t="inlineStr">
        <is>
          <t>enk</t>
        </is>
      </c>
      <c r="R2677" t="inlineStr">
        <is>
          <t xml:space="preserve">BX </t>
        </is>
      </c>
      <c r="S2677" t="n">
        <v>1</v>
      </c>
      <c r="T2677" t="n">
        <v>1</v>
      </c>
      <c r="U2677" t="inlineStr">
        <is>
          <t>1998-05-11</t>
        </is>
      </c>
      <c r="V2677" t="inlineStr">
        <is>
          <t>1998-05-11</t>
        </is>
      </c>
      <c r="W2677" t="inlineStr">
        <is>
          <t>1992-04-27</t>
        </is>
      </c>
      <c r="X2677" t="inlineStr">
        <is>
          <t>1992-04-27</t>
        </is>
      </c>
      <c r="Y2677" t="n">
        <v>69</v>
      </c>
      <c r="Z2677" t="n">
        <v>58</v>
      </c>
      <c r="AA2677" t="n">
        <v>1039</v>
      </c>
      <c r="AB2677" t="n">
        <v>1</v>
      </c>
      <c r="AC2677" t="n">
        <v>12</v>
      </c>
      <c r="AD2677" t="n">
        <v>4</v>
      </c>
      <c r="AE2677" t="n">
        <v>54</v>
      </c>
      <c r="AF2677" t="n">
        <v>2</v>
      </c>
      <c r="AG2677" t="n">
        <v>22</v>
      </c>
      <c r="AH2677" t="n">
        <v>2</v>
      </c>
      <c r="AI2677" t="n">
        <v>10</v>
      </c>
      <c r="AJ2677" t="n">
        <v>2</v>
      </c>
      <c r="AK2677" t="n">
        <v>24</v>
      </c>
      <c r="AL2677" t="n">
        <v>0</v>
      </c>
      <c r="AM2677" t="n">
        <v>10</v>
      </c>
      <c r="AN2677" t="n">
        <v>0</v>
      </c>
      <c r="AO2677" t="n">
        <v>0</v>
      </c>
      <c r="AP2677" t="inlineStr">
        <is>
          <t>Yes</t>
        </is>
      </c>
      <c r="AQ2677" t="inlineStr">
        <is>
          <t>No</t>
        </is>
      </c>
      <c r="AR2677">
        <f>HYPERLINK("http://catalog.hathitrust.org/Record/001942452","HathiTrust Record")</f>
        <v/>
      </c>
      <c r="AS2677">
        <f>HYPERLINK("https://creighton-primo.hosted.exlibrisgroup.com/primo-explore/search?tab=default_tab&amp;search_scope=EVERYTHING&amp;vid=01CRU&amp;lang=en_US&amp;offset=0&amp;query=any,contains,991004417719702656","Catalog Record")</f>
        <v/>
      </c>
      <c r="AT2677">
        <f>HYPERLINK("http://www.worldcat.org/oclc/3370485","WorldCat Record")</f>
        <v/>
      </c>
      <c r="AU2677" t="inlineStr">
        <is>
          <t>1236211:eng</t>
        </is>
      </c>
      <c r="AV2677" t="inlineStr">
        <is>
          <t>3370485</t>
        </is>
      </c>
      <c r="AW2677" t="inlineStr">
        <is>
          <t>991004417719702656</t>
        </is>
      </c>
      <c r="AX2677" t="inlineStr">
        <is>
          <t>991004417719702656</t>
        </is>
      </c>
      <c r="AY2677" t="inlineStr">
        <is>
          <t>2267339950002656</t>
        </is>
      </c>
      <c r="AZ2677" t="inlineStr">
        <is>
          <t>BOOK</t>
        </is>
      </c>
      <c r="BC2677" t="inlineStr">
        <is>
          <t>32285001100949</t>
        </is>
      </c>
      <c r="BD2677" t="inlineStr">
        <is>
          <t>893411518</t>
        </is>
      </c>
    </row>
    <row r="2678">
      <c r="A2678" t="inlineStr">
        <is>
          <t>No</t>
        </is>
      </c>
      <c r="B2678" t="inlineStr">
        <is>
          <t>BX5098 .O25 1969</t>
        </is>
      </c>
      <c r="C2678" t="inlineStr">
        <is>
          <t>0                      BX 5098000O  25          1969</t>
        </is>
      </c>
      <c r="D2678" t="inlineStr">
        <is>
          <t>The Oxford conspirators : a history of the Oxford movement 1833-45 / by Marvin R. O'Connell.</t>
        </is>
      </c>
      <c r="F2678" t="inlineStr">
        <is>
          <t>No</t>
        </is>
      </c>
      <c r="G2678" t="inlineStr">
        <is>
          <t>1</t>
        </is>
      </c>
      <c r="H2678" t="inlineStr">
        <is>
          <t>No</t>
        </is>
      </c>
      <c r="I2678" t="inlineStr">
        <is>
          <t>No</t>
        </is>
      </c>
      <c r="J2678" t="inlineStr">
        <is>
          <t>0</t>
        </is>
      </c>
      <c r="K2678" t="inlineStr">
        <is>
          <t>O'Connell, Marvin R., 1930-2016.</t>
        </is>
      </c>
      <c r="L2678" t="inlineStr">
        <is>
          <t>[New York] : Macmillan, [1969]</t>
        </is>
      </c>
      <c r="M2678" t="inlineStr">
        <is>
          <t>1969</t>
        </is>
      </c>
      <c r="O2678" t="inlineStr">
        <is>
          <t>eng</t>
        </is>
      </c>
      <c r="P2678" t="inlineStr">
        <is>
          <t>nyu</t>
        </is>
      </c>
      <c r="R2678" t="inlineStr">
        <is>
          <t xml:space="preserve">BX </t>
        </is>
      </c>
      <c r="S2678" t="n">
        <v>1</v>
      </c>
      <c r="T2678" t="n">
        <v>1</v>
      </c>
      <c r="U2678" t="inlineStr">
        <is>
          <t>1994-06-27</t>
        </is>
      </c>
      <c r="V2678" t="inlineStr">
        <is>
          <t>1994-06-27</t>
        </is>
      </c>
      <c r="W2678" t="inlineStr">
        <is>
          <t>1992-04-27</t>
        </is>
      </c>
      <c r="X2678" t="inlineStr">
        <is>
          <t>1992-04-27</t>
        </is>
      </c>
      <c r="Y2678" t="n">
        <v>758</v>
      </c>
      <c r="Z2678" t="n">
        <v>684</v>
      </c>
      <c r="AA2678" t="n">
        <v>715</v>
      </c>
      <c r="AB2678" t="n">
        <v>6</v>
      </c>
      <c r="AC2678" t="n">
        <v>6</v>
      </c>
      <c r="AD2678" t="n">
        <v>34</v>
      </c>
      <c r="AE2678" t="n">
        <v>36</v>
      </c>
      <c r="AF2678" t="n">
        <v>12</v>
      </c>
      <c r="AG2678" t="n">
        <v>13</v>
      </c>
      <c r="AH2678" t="n">
        <v>7</v>
      </c>
      <c r="AI2678" t="n">
        <v>8</v>
      </c>
      <c r="AJ2678" t="n">
        <v>20</v>
      </c>
      <c r="AK2678" t="n">
        <v>22</v>
      </c>
      <c r="AL2678" t="n">
        <v>3</v>
      </c>
      <c r="AM2678" t="n">
        <v>3</v>
      </c>
      <c r="AN2678" t="n">
        <v>0</v>
      </c>
      <c r="AO2678" t="n">
        <v>0</v>
      </c>
      <c r="AP2678" t="inlineStr">
        <is>
          <t>No</t>
        </is>
      </c>
      <c r="AQ2678" t="inlineStr">
        <is>
          <t>Yes</t>
        </is>
      </c>
      <c r="AR2678">
        <f>HYPERLINK("http://catalog.hathitrust.org/Record/001942454","HathiTrust Record")</f>
        <v/>
      </c>
      <c r="AS2678">
        <f>HYPERLINK("https://creighton-primo.hosted.exlibrisgroup.com/primo-explore/search?tab=default_tab&amp;search_scope=EVERYTHING&amp;vid=01CRU&amp;lang=en_US&amp;offset=0&amp;query=any,contains,991005433819702656","Catalog Record")</f>
        <v/>
      </c>
      <c r="AT2678">
        <f>HYPERLINK("http://www.worldcat.org/oclc/2116","WorldCat Record")</f>
        <v/>
      </c>
      <c r="AU2678" t="inlineStr">
        <is>
          <t>1125412:eng</t>
        </is>
      </c>
      <c r="AV2678" t="inlineStr">
        <is>
          <t>2116</t>
        </is>
      </c>
      <c r="AW2678" t="inlineStr">
        <is>
          <t>991005433819702656</t>
        </is>
      </c>
      <c r="AX2678" t="inlineStr">
        <is>
          <t>991005433819702656</t>
        </is>
      </c>
      <c r="AY2678" t="inlineStr">
        <is>
          <t>2262673460002656</t>
        </is>
      </c>
      <c r="AZ2678" t="inlineStr">
        <is>
          <t>BOOK</t>
        </is>
      </c>
      <c r="BC2678" t="inlineStr">
        <is>
          <t>32285001100964</t>
        </is>
      </c>
      <c r="BD2678" t="inlineStr">
        <is>
          <t>893446911</t>
        </is>
      </c>
    </row>
    <row r="2679">
      <c r="A2679" t="inlineStr">
        <is>
          <t>No</t>
        </is>
      </c>
      <c r="B2679" t="inlineStr">
        <is>
          <t>BX5099 .C45</t>
        </is>
      </c>
      <c r="C2679" t="inlineStr">
        <is>
          <t>0                      BX 5099000C  45</t>
        </is>
      </c>
      <c r="D2679" t="inlineStr">
        <is>
          <t>The mind of the Oxford movement / edited an introduced by Owen Chadwick.</t>
        </is>
      </c>
      <c r="F2679" t="inlineStr">
        <is>
          <t>No</t>
        </is>
      </c>
      <c r="G2679" t="inlineStr">
        <is>
          <t>1</t>
        </is>
      </c>
      <c r="H2679" t="inlineStr">
        <is>
          <t>No</t>
        </is>
      </c>
      <c r="I2679" t="inlineStr">
        <is>
          <t>No</t>
        </is>
      </c>
      <c r="J2679" t="inlineStr">
        <is>
          <t>0</t>
        </is>
      </c>
      <c r="K2679" t="inlineStr">
        <is>
          <t>Chadwick, Owen editor.</t>
        </is>
      </c>
      <c r="L2679" t="inlineStr">
        <is>
          <t>Stanford, Calif. : Stanford University Press, [c1960]</t>
        </is>
      </c>
      <c r="M2679" t="inlineStr">
        <is>
          <t>1960</t>
        </is>
      </c>
      <c r="O2679" t="inlineStr">
        <is>
          <t>eng</t>
        </is>
      </c>
      <c r="P2679" t="inlineStr">
        <is>
          <t>cau</t>
        </is>
      </c>
      <c r="Q2679" t="inlineStr">
        <is>
          <t>A Library of modern religious thought</t>
        </is>
      </c>
      <c r="R2679" t="inlineStr">
        <is>
          <t xml:space="preserve">BX </t>
        </is>
      </c>
      <c r="S2679" t="n">
        <v>1</v>
      </c>
      <c r="T2679" t="n">
        <v>1</v>
      </c>
      <c r="U2679" t="inlineStr">
        <is>
          <t>1998-05-11</t>
        </is>
      </c>
      <c r="V2679" t="inlineStr">
        <is>
          <t>1998-05-11</t>
        </is>
      </c>
      <c r="W2679" t="inlineStr">
        <is>
          <t>1992-04-27</t>
        </is>
      </c>
      <c r="X2679" t="inlineStr">
        <is>
          <t>1992-04-27</t>
        </is>
      </c>
      <c r="Y2679" t="n">
        <v>653</v>
      </c>
      <c r="Z2679" t="n">
        <v>611</v>
      </c>
      <c r="AA2679" t="n">
        <v>743</v>
      </c>
      <c r="AB2679" t="n">
        <v>2</v>
      </c>
      <c r="AC2679" t="n">
        <v>2</v>
      </c>
      <c r="AD2679" t="n">
        <v>36</v>
      </c>
      <c r="AE2679" t="n">
        <v>42</v>
      </c>
      <c r="AF2679" t="n">
        <v>17</v>
      </c>
      <c r="AG2679" t="n">
        <v>21</v>
      </c>
      <c r="AH2679" t="n">
        <v>10</v>
      </c>
      <c r="AI2679" t="n">
        <v>10</v>
      </c>
      <c r="AJ2679" t="n">
        <v>19</v>
      </c>
      <c r="AK2679" t="n">
        <v>23</v>
      </c>
      <c r="AL2679" t="n">
        <v>1</v>
      </c>
      <c r="AM2679" t="n">
        <v>1</v>
      </c>
      <c r="AN2679" t="n">
        <v>0</v>
      </c>
      <c r="AO2679" t="n">
        <v>0</v>
      </c>
      <c r="AP2679" t="inlineStr">
        <is>
          <t>No</t>
        </is>
      </c>
      <c r="AQ2679" t="inlineStr">
        <is>
          <t>No</t>
        </is>
      </c>
      <c r="AS2679">
        <f>HYPERLINK("https://creighton-primo.hosted.exlibrisgroup.com/primo-explore/search?tab=default_tab&amp;search_scope=EVERYTHING&amp;vid=01CRU&amp;lang=en_US&amp;offset=0&amp;query=any,contains,991002645489702656","Catalog Record")</f>
        <v/>
      </c>
      <c r="AT2679">
        <f>HYPERLINK("http://www.worldcat.org/oclc/385710","WorldCat Record")</f>
        <v/>
      </c>
      <c r="AU2679" t="inlineStr">
        <is>
          <t>14687649:eng</t>
        </is>
      </c>
      <c r="AV2679" t="inlineStr">
        <is>
          <t>385710</t>
        </is>
      </c>
      <c r="AW2679" t="inlineStr">
        <is>
          <t>991002645489702656</t>
        </is>
      </c>
      <c r="AX2679" t="inlineStr">
        <is>
          <t>991002645489702656</t>
        </is>
      </c>
      <c r="AY2679" t="inlineStr">
        <is>
          <t>2258843590002656</t>
        </is>
      </c>
      <c r="AZ2679" t="inlineStr">
        <is>
          <t>BOOK</t>
        </is>
      </c>
      <c r="BC2679" t="inlineStr">
        <is>
          <t>32285001100998</t>
        </is>
      </c>
      <c r="BD2679" t="inlineStr">
        <is>
          <t>893603826</t>
        </is>
      </c>
    </row>
    <row r="2680">
      <c r="A2680" t="inlineStr">
        <is>
          <t>No</t>
        </is>
      </c>
      <c r="B2680" t="inlineStr">
        <is>
          <t>BX510 .U36 1989</t>
        </is>
      </c>
      <c r="C2680" t="inlineStr">
        <is>
          <t>0                      BX 0510000U  36          1989</t>
        </is>
      </c>
      <c r="D2680" t="inlineStr">
        <is>
          <t>The illuminating icon / by Anthony Ugolnik.</t>
        </is>
      </c>
      <c r="F2680" t="inlineStr">
        <is>
          <t>No</t>
        </is>
      </c>
      <c r="G2680" t="inlineStr">
        <is>
          <t>1</t>
        </is>
      </c>
      <c r="H2680" t="inlineStr">
        <is>
          <t>No</t>
        </is>
      </c>
      <c r="I2680" t="inlineStr">
        <is>
          <t>No</t>
        </is>
      </c>
      <c r="J2680" t="inlineStr">
        <is>
          <t>0</t>
        </is>
      </c>
      <c r="K2680" t="inlineStr">
        <is>
          <t>Ugolnik, Anthony, 1944-</t>
        </is>
      </c>
      <c r="L2680" t="inlineStr">
        <is>
          <t>Grand Rapids, Mich. : Eerdmans, c1989.</t>
        </is>
      </c>
      <c r="M2680" t="inlineStr">
        <is>
          <t>1989</t>
        </is>
      </c>
      <c r="O2680" t="inlineStr">
        <is>
          <t>eng</t>
        </is>
      </c>
      <c r="P2680" t="inlineStr">
        <is>
          <t>miu</t>
        </is>
      </c>
      <c r="R2680" t="inlineStr">
        <is>
          <t xml:space="preserve">BX </t>
        </is>
      </c>
      <c r="S2680" t="n">
        <v>5</v>
      </c>
      <c r="T2680" t="n">
        <v>5</v>
      </c>
      <c r="U2680" t="inlineStr">
        <is>
          <t>1997-08-05</t>
        </is>
      </c>
      <c r="V2680" t="inlineStr">
        <is>
          <t>1997-08-05</t>
        </is>
      </c>
      <c r="W2680" t="inlineStr">
        <is>
          <t>1990-03-16</t>
        </is>
      </c>
      <c r="X2680" t="inlineStr">
        <is>
          <t>1990-03-16</t>
        </is>
      </c>
      <c r="Y2680" t="n">
        <v>398</v>
      </c>
      <c r="Z2680" t="n">
        <v>349</v>
      </c>
      <c r="AA2680" t="n">
        <v>366</v>
      </c>
      <c r="AB2680" t="n">
        <v>3</v>
      </c>
      <c r="AC2680" t="n">
        <v>3</v>
      </c>
      <c r="AD2680" t="n">
        <v>17</v>
      </c>
      <c r="AE2680" t="n">
        <v>17</v>
      </c>
      <c r="AF2680" t="n">
        <v>6</v>
      </c>
      <c r="AG2680" t="n">
        <v>6</v>
      </c>
      <c r="AH2680" t="n">
        <v>4</v>
      </c>
      <c r="AI2680" t="n">
        <v>4</v>
      </c>
      <c r="AJ2680" t="n">
        <v>9</v>
      </c>
      <c r="AK2680" t="n">
        <v>9</v>
      </c>
      <c r="AL2680" t="n">
        <v>2</v>
      </c>
      <c r="AM2680" t="n">
        <v>2</v>
      </c>
      <c r="AN2680" t="n">
        <v>0</v>
      </c>
      <c r="AO2680" t="n">
        <v>0</v>
      </c>
      <c r="AP2680" t="inlineStr">
        <is>
          <t>No</t>
        </is>
      </c>
      <c r="AQ2680" t="inlineStr">
        <is>
          <t>Yes</t>
        </is>
      </c>
      <c r="AR2680">
        <f>HYPERLINK("http://catalog.hathitrust.org/Record/001089099","HathiTrust Record")</f>
        <v/>
      </c>
      <c r="AS2680">
        <f>HYPERLINK("https://creighton-primo.hosted.exlibrisgroup.com/primo-explore/search?tab=default_tab&amp;search_scope=EVERYTHING&amp;vid=01CRU&amp;lang=en_US&amp;offset=0&amp;query=any,contains,991001377659702656","Catalog Record")</f>
        <v/>
      </c>
      <c r="AT2680">
        <f>HYPERLINK("http://www.worldcat.org/oclc/18628744","WorldCat Record")</f>
        <v/>
      </c>
      <c r="AU2680" t="inlineStr">
        <is>
          <t>17786510:eng</t>
        </is>
      </c>
      <c r="AV2680" t="inlineStr">
        <is>
          <t>18628744</t>
        </is>
      </c>
      <c r="AW2680" t="inlineStr">
        <is>
          <t>991001377659702656</t>
        </is>
      </c>
      <c r="AX2680" t="inlineStr">
        <is>
          <t>991001377659702656</t>
        </is>
      </c>
      <c r="AY2680" t="inlineStr">
        <is>
          <t>2268207770002656</t>
        </is>
      </c>
      <c r="AZ2680" t="inlineStr">
        <is>
          <t>BOOK</t>
        </is>
      </c>
      <c r="BB2680" t="inlineStr">
        <is>
          <t>9780802836526</t>
        </is>
      </c>
      <c r="BC2680" t="inlineStr">
        <is>
          <t>32285000090117</t>
        </is>
      </c>
      <c r="BD2680" t="inlineStr">
        <is>
          <t>893602557</t>
        </is>
      </c>
    </row>
    <row r="2681">
      <c r="A2681" t="inlineStr">
        <is>
          <t>No</t>
        </is>
      </c>
      <c r="B2681" t="inlineStr">
        <is>
          <t>BX5100 .D6 1967</t>
        </is>
      </c>
      <c r="C2681" t="inlineStr">
        <is>
          <t>0                      BX 5100000D  6           1967</t>
        </is>
      </c>
      <c r="D2681" t="inlineStr">
        <is>
          <t>Men who left the movement : John Henry Newman, Thomas W. Allies, Henry Edward Manning, Basil William Maturin.</t>
        </is>
      </c>
      <c r="F2681" t="inlineStr">
        <is>
          <t>No</t>
        </is>
      </c>
      <c r="G2681" t="inlineStr">
        <is>
          <t>1</t>
        </is>
      </c>
      <c r="H2681" t="inlineStr">
        <is>
          <t>No</t>
        </is>
      </c>
      <c r="I2681" t="inlineStr">
        <is>
          <t>No</t>
        </is>
      </c>
      <c r="J2681" t="inlineStr">
        <is>
          <t>0</t>
        </is>
      </c>
      <c r="K2681" t="inlineStr">
        <is>
          <t>Donald, Gertrude.</t>
        </is>
      </c>
      <c r="L2681" t="inlineStr">
        <is>
          <t>Freeport, N.Y. : Books for Libraries Press, [1967]</t>
        </is>
      </c>
      <c r="M2681" t="inlineStr">
        <is>
          <t>1967</t>
        </is>
      </c>
      <c r="O2681" t="inlineStr">
        <is>
          <t>eng</t>
        </is>
      </c>
      <c r="P2681" t="inlineStr">
        <is>
          <t>nyu</t>
        </is>
      </c>
      <c r="Q2681" t="inlineStr">
        <is>
          <t>Essay index reprint series</t>
        </is>
      </c>
      <c r="R2681" t="inlineStr">
        <is>
          <t xml:space="preserve">BX </t>
        </is>
      </c>
      <c r="S2681" t="n">
        <v>4</v>
      </c>
      <c r="T2681" t="n">
        <v>4</v>
      </c>
      <c r="U2681" t="inlineStr">
        <is>
          <t>1995-03-02</t>
        </is>
      </c>
      <c r="V2681" t="inlineStr">
        <is>
          <t>1995-03-02</t>
        </is>
      </c>
      <c r="W2681" t="inlineStr">
        <is>
          <t>1992-04-27</t>
        </is>
      </c>
      <c r="X2681" t="inlineStr">
        <is>
          <t>1992-04-27</t>
        </is>
      </c>
      <c r="Y2681" t="n">
        <v>368</v>
      </c>
      <c r="Z2681" t="n">
        <v>354</v>
      </c>
      <c r="AA2681" t="n">
        <v>422</v>
      </c>
      <c r="AB2681" t="n">
        <v>3</v>
      </c>
      <c r="AC2681" t="n">
        <v>3</v>
      </c>
      <c r="AD2681" t="n">
        <v>19</v>
      </c>
      <c r="AE2681" t="n">
        <v>26</v>
      </c>
      <c r="AF2681" t="n">
        <v>8</v>
      </c>
      <c r="AG2681" t="n">
        <v>10</v>
      </c>
      <c r="AH2681" t="n">
        <v>3</v>
      </c>
      <c r="AI2681" t="n">
        <v>5</v>
      </c>
      <c r="AJ2681" t="n">
        <v>10</v>
      </c>
      <c r="AK2681" t="n">
        <v>15</v>
      </c>
      <c r="AL2681" t="n">
        <v>2</v>
      </c>
      <c r="AM2681" t="n">
        <v>2</v>
      </c>
      <c r="AN2681" t="n">
        <v>0</v>
      </c>
      <c r="AO2681" t="n">
        <v>0</v>
      </c>
      <c r="AP2681" t="inlineStr">
        <is>
          <t>No</t>
        </is>
      </c>
      <c r="AQ2681" t="inlineStr">
        <is>
          <t>Yes</t>
        </is>
      </c>
      <c r="AR2681">
        <f>HYPERLINK("http://catalog.hathitrust.org/Record/001592702","HathiTrust Record")</f>
        <v/>
      </c>
      <c r="AS2681">
        <f>HYPERLINK("https://creighton-primo.hosted.exlibrisgroup.com/primo-explore/search?tab=default_tab&amp;search_scope=EVERYTHING&amp;vid=01CRU&amp;lang=en_US&amp;offset=0&amp;query=any,contains,991003476819702656","Catalog Record")</f>
        <v/>
      </c>
      <c r="AT2681">
        <f>HYPERLINK("http://www.worldcat.org/oclc/1022083","WorldCat Record")</f>
        <v/>
      </c>
      <c r="AU2681" t="inlineStr">
        <is>
          <t>1950605:eng</t>
        </is>
      </c>
      <c r="AV2681" t="inlineStr">
        <is>
          <t>1022083</t>
        </is>
      </c>
      <c r="AW2681" t="inlineStr">
        <is>
          <t>991003476819702656</t>
        </is>
      </c>
      <c r="AX2681" t="inlineStr">
        <is>
          <t>991003476819702656</t>
        </is>
      </c>
      <c r="AY2681" t="inlineStr">
        <is>
          <t>2272670610002656</t>
        </is>
      </c>
      <c r="AZ2681" t="inlineStr">
        <is>
          <t>BOOK</t>
        </is>
      </c>
      <c r="BC2681" t="inlineStr">
        <is>
          <t>32285001101020</t>
        </is>
      </c>
      <c r="BD2681" t="inlineStr">
        <is>
          <t>893324110</t>
        </is>
      </c>
    </row>
    <row r="2682">
      <c r="A2682" t="inlineStr">
        <is>
          <t>No</t>
        </is>
      </c>
      <c r="B2682" t="inlineStr">
        <is>
          <t>BX5100 .D8</t>
        </is>
      </c>
      <c r="C2682" t="inlineStr">
        <is>
          <t>0                      BX 5100000D  8</t>
        </is>
      </c>
      <c r="D2682" t="inlineStr">
        <is>
          <t>The spirit of the Oxford movement / by Christopher Dawson.</t>
        </is>
      </c>
      <c r="F2682" t="inlineStr">
        <is>
          <t>No</t>
        </is>
      </c>
      <c r="G2682" t="inlineStr">
        <is>
          <t>1</t>
        </is>
      </c>
      <c r="H2682" t="inlineStr">
        <is>
          <t>No</t>
        </is>
      </c>
      <c r="I2682" t="inlineStr">
        <is>
          <t>No</t>
        </is>
      </c>
      <c r="J2682" t="inlineStr">
        <is>
          <t>0</t>
        </is>
      </c>
      <c r="K2682" t="inlineStr">
        <is>
          <t>Dawson, Christopher, 1889-1970.</t>
        </is>
      </c>
      <c r="L2682" t="inlineStr">
        <is>
          <t>New York : Sheed &amp; Ward, inc., 1933.</t>
        </is>
      </c>
      <c r="M2682" t="inlineStr">
        <is>
          <t>1933</t>
        </is>
      </c>
      <c r="O2682" t="inlineStr">
        <is>
          <t>eng</t>
        </is>
      </c>
      <c r="P2682" t="inlineStr">
        <is>
          <t>nyu</t>
        </is>
      </c>
      <c r="R2682" t="inlineStr">
        <is>
          <t xml:space="preserve">BX </t>
        </is>
      </c>
      <c r="S2682" t="n">
        <v>12</v>
      </c>
      <c r="T2682" t="n">
        <v>12</v>
      </c>
      <c r="U2682" t="inlineStr">
        <is>
          <t>1999-08-24</t>
        </is>
      </c>
      <c r="V2682" t="inlineStr">
        <is>
          <t>1999-08-24</t>
        </is>
      </c>
      <c r="W2682" t="inlineStr">
        <is>
          <t>1992-04-27</t>
        </is>
      </c>
      <c r="X2682" t="inlineStr">
        <is>
          <t>1992-04-27</t>
        </is>
      </c>
      <c r="Y2682" t="n">
        <v>174</v>
      </c>
      <c r="Z2682" t="n">
        <v>145</v>
      </c>
      <c r="AA2682" t="n">
        <v>395</v>
      </c>
      <c r="AB2682" t="n">
        <v>1</v>
      </c>
      <c r="AC2682" t="n">
        <v>5</v>
      </c>
      <c r="AD2682" t="n">
        <v>21</v>
      </c>
      <c r="AE2682" t="n">
        <v>39</v>
      </c>
      <c r="AF2682" t="n">
        <v>7</v>
      </c>
      <c r="AG2682" t="n">
        <v>15</v>
      </c>
      <c r="AH2682" t="n">
        <v>5</v>
      </c>
      <c r="AI2682" t="n">
        <v>10</v>
      </c>
      <c r="AJ2682" t="n">
        <v>17</v>
      </c>
      <c r="AK2682" t="n">
        <v>26</v>
      </c>
      <c r="AL2682" t="n">
        <v>0</v>
      </c>
      <c r="AM2682" t="n">
        <v>2</v>
      </c>
      <c r="AN2682" t="n">
        <v>0</v>
      </c>
      <c r="AO2682" t="n">
        <v>0</v>
      </c>
      <c r="AP2682" t="inlineStr">
        <is>
          <t>No</t>
        </is>
      </c>
      <c r="AQ2682" t="inlineStr">
        <is>
          <t>No</t>
        </is>
      </c>
      <c r="AS2682">
        <f>HYPERLINK("https://creighton-primo.hosted.exlibrisgroup.com/primo-explore/search?tab=default_tab&amp;search_scope=EVERYTHING&amp;vid=01CRU&amp;lang=en_US&amp;offset=0&amp;query=any,contains,991004265639702656","Catalog Record")</f>
        <v/>
      </c>
      <c r="AT2682">
        <f>HYPERLINK("http://www.worldcat.org/oclc/2864093","WorldCat Record")</f>
        <v/>
      </c>
      <c r="AU2682" t="inlineStr">
        <is>
          <t>2245808:eng</t>
        </is>
      </c>
      <c r="AV2682" t="inlineStr">
        <is>
          <t>2864093</t>
        </is>
      </c>
      <c r="AW2682" t="inlineStr">
        <is>
          <t>991004265639702656</t>
        </is>
      </c>
      <c r="AX2682" t="inlineStr">
        <is>
          <t>991004265639702656</t>
        </is>
      </c>
      <c r="AY2682" t="inlineStr">
        <is>
          <t>2265342580002656</t>
        </is>
      </c>
      <c r="AZ2682" t="inlineStr">
        <is>
          <t>BOOK</t>
        </is>
      </c>
      <c r="BC2682" t="inlineStr">
        <is>
          <t>32285001101038</t>
        </is>
      </c>
      <c r="BD2682" t="inlineStr">
        <is>
          <t>893800796</t>
        </is>
      </c>
    </row>
    <row r="2683">
      <c r="A2683" t="inlineStr">
        <is>
          <t>No</t>
        </is>
      </c>
      <c r="B2683" t="inlineStr">
        <is>
          <t>BX5100 .F3 1976</t>
        </is>
      </c>
      <c r="C2683" t="inlineStr">
        <is>
          <t>0                      BX 5100000F  3           1976</t>
        </is>
      </c>
      <c r="D2683" t="inlineStr">
        <is>
          <t>Oxford apostles : a character study of the Oxford movement / by Geoffrey Faber.</t>
        </is>
      </c>
      <c r="F2683" t="inlineStr">
        <is>
          <t>No</t>
        </is>
      </c>
      <c r="G2683" t="inlineStr">
        <is>
          <t>1</t>
        </is>
      </c>
      <c r="H2683" t="inlineStr">
        <is>
          <t>No</t>
        </is>
      </c>
      <c r="I2683" t="inlineStr">
        <is>
          <t>No</t>
        </is>
      </c>
      <c r="J2683" t="inlineStr">
        <is>
          <t>0</t>
        </is>
      </c>
      <c r="K2683" t="inlineStr">
        <is>
          <t>Faber, G. C. (Geoffrey Cust), 1889-1961.</t>
        </is>
      </c>
      <c r="L2683" t="inlineStr">
        <is>
          <t>New York : AMS Press, 1976.</t>
        </is>
      </c>
      <c r="M2683" t="inlineStr">
        <is>
          <t>1976</t>
        </is>
      </c>
      <c r="O2683" t="inlineStr">
        <is>
          <t>eng</t>
        </is>
      </c>
      <c r="P2683" t="inlineStr">
        <is>
          <t>nyu</t>
        </is>
      </c>
      <c r="R2683" t="inlineStr">
        <is>
          <t xml:space="preserve">BX </t>
        </is>
      </c>
      <c r="S2683" t="n">
        <v>2</v>
      </c>
      <c r="T2683" t="n">
        <v>2</v>
      </c>
      <c r="U2683" t="inlineStr">
        <is>
          <t>1995-03-17</t>
        </is>
      </c>
      <c r="V2683" t="inlineStr">
        <is>
          <t>1995-03-17</t>
        </is>
      </c>
      <c r="W2683" t="inlineStr">
        <is>
          <t>1992-04-27</t>
        </is>
      </c>
      <c r="X2683" t="inlineStr">
        <is>
          <t>1992-04-27</t>
        </is>
      </c>
      <c r="Y2683" t="n">
        <v>78</v>
      </c>
      <c r="Z2683" t="n">
        <v>61</v>
      </c>
      <c r="AA2683" t="n">
        <v>525</v>
      </c>
      <c r="AB2683" t="n">
        <v>1</v>
      </c>
      <c r="AC2683" t="n">
        <v>4</v>
      </c>
      <c r="AD2683" t="n">
        <v>2</v>
      </c>
      <c r="AE2683" t="n">
        <v>34</v>
      </c>
      <c r="AF2683" t="n">
        <v>0</v>
      </c>
      <c r="AG2683" t="n">
        <v>13</v>
      </c>
      <c r="AH2683" t="n">
        <v>1</v>
      </c>
      <c r="AI2683" t="n">
        <v>8</v>
      </c>
      <c r="AJ2683" t="n">
        <v>2</v>
      </c>
      <c r="AK2683" t="n">
        <v>20</v>
      </c>
      <c r="AL2683" t="n">
        <v>0</v>
      </c>
      <c r="AM2683" t="n">
        <v>2</v>
      </c>
      <c r="AN2683" t="n">
        <v>0</v>
      </c>
      <c r="AO2683" t="n">
        <v>0</v>
      </c>
      <c r="AP2683" t="inlineStr">
        <is>
          <t>No</t>
        </is>
      </c>
      <c r="AQ2683" t="inlineStr">
        <is>
          <t>No</t>
        </is>
      </c>
      <c r="AS2683">
        <f>HYPERLINK("https://creighton-primo.hosted.exlibrisgroup.com/primo-explore/search?tab=default_tab&amp;search_scope=EVERYTHING&amp;vid=01CRU&amp;lang=en_US&amp;offset=0&amp;query=any,contains,991004292819702656","Catalog Record")</f>
        <v/>
      </c>
      <c r="AT2683">
        <f>HYPERLINK("http://www.worldcat.org/oclc/2953368","WorldCat Record")</f>
        <v/>
      </c>
      <c r="AU2683" t="inlineStr">
        <is>
          <t>336696:eng</t>
        </is>
      </c>
      <c r="AV2683" t="inlineStr">
        <is>
          <t>2953368</t>
        </is>
      </c>
      <c r="AW2683" t="inlineStr">
        <is>
          <t>991004292819702656</t>
        </is>
      </c>
      <c r="AX2683" t="inlineStr">
        <is>
          <t>991004292819702656</t>
        </is>
      </c>
      <c r="AY2683" t="inlineStr">
        <is>
          <t>2270534420002656</t>
        </is>
      </c>
      <c r="AZ2683" t="inlineStr">
        <is>
          <t>BOOK</t>
        </is>
      </c>
      <c r="BB2683" t="inlineStr">
        <is>
          <t>9780404140274</t>
        </is>
      </c>
      <c r="BC2683" t="inlineStr">
        <is>
          <t>32285001101053</t>
        </is>
      </c>
      <c r="BD2683" t="inlineStr">
        <is>
          <t>893319032</t>
        </is>
      </c>
    </row>
    <row r="2684">
      <c r="A2684" t="inlineStr">
        <is>
          <t>No</t>
        </is>
      </c>
      <c r="B2684" t="inlineStr">
        <is>
          <t>BX5101 .O4</t>
        </is>
      </c>
      <c r="C2684" t="inlineStr">
        <is>
          <t>0                      BX 5101000O  4</t>
        </is>
      </c>
      <c r="D2684" t="inlineStr">
        <is>
          <t>The Church and social order : social thought in the Church of England, 1918-1939 / John Oliver.</t>
        </is>
      </c>
      <c r="F2684" t="inlineStr">
        <is>
          <t>No</t>
        </is>
      </c>
      <c r="G2684" t="inlineStr">
        <is>
          <t>1</t>
        </is>
      </c>
      <c r="H2684" t="inlineStr">
        <is>
          <t>No</t>
        </is>
      </c>
      <c r="I2684" t="inlineStr">
        <is>
          <t>No</t>
        </is>
      </c>
      <c r="J2684" t="inlineStr">
        <is>
          <t>0</t>
        </is>
      </c>
      <c r="K2684" t="inlineStr">
        <is>
          <t>Oliver, John, 1935-</t>
        </is>
      </c>
      <c r="L2684" t="inlineStr">
        <is>
          <t>London, Mowbray, 1968.</t>
        </is>
      </c>
      <c r="M2684" t="inlineStr">
        <is>
          <t>1968</t>
        </is>
      </c>
      <c r="O2684" t="inlineStr">
        <is>
          <t>eng</t>
        </is>
      </c>
      <c r="P2684" t="inlineStr">
        <is>
          <t>enk</t>
        </is>
      </c>
      <c r="R2684" t="inlineStr">
        <is>
          <t xml:space="preserve">BX </t>
        </is>
      </c>
      <c r="S2684" t="n">
        <v>1</v>
      </c>
      <c r="T2684" t="n">
        <v>1</v>
      </c>
      <c r="U2684" t="inlineStr">
        <is>
          <t>1993-09-29</t>
        </is>
      </c>
      <c r="V2684" t="inlineStr">
        <is>
          <t>1993-09-29</t>
        </is>
      </c>
      <c r="W2684" t="inlineStr">
        <is>
          <t>1992-04-27</t>
        </is>
      </c>
      <c r="X2684" t="inlineStr">
        <is>
          <t>1992-04-27</t>
        </is>
      </c>
      <c r="Y2684" t="n">
        <v>249</v>
      </c>
      <c r="Z2684" t="n">
        <v>151</v>
      </c>
      <c r="AA2684" t="n">
        <v>157</v>
      </c>
      <c r="AB2684" t="n">
        <v>2</v>
      </c>
      <c r="AC2684" t="n">
        <v>2</v>
      </c>
      <c r="AD2684" t="n">
        <v>2</v>
      </c>
      <c r="AE2684" t="n">
        <v>2</v>
      </c>
      <c r="AF2684" t="n">
        <v>0</v>
      </c>
      <c r="AG2684" t="n">
        <v>0</v>
      </c>
      <c r="AH2684" t="n">
        <v>0</v>
      </c>
      <c r="AI2684" t="n">
        <v>0</v>
      </c>
      <c r="AJ2684" t="n">
        <v>1</v>
      </c>
      <c r="AK2684" t="n">
        <v>1</v>
      </c>
      <c r="AL2684" t="n">
        <v>1</v>
      </c>
      <c r="AM2684" t="n">
        <v>1</v>
      </c>
      <c r="AN2684" t="n">
        <v>0</v>
      </c>
      <c r="AO2684" t="n">
        <v>0</v>
      </c>
      <c r="AP2684" t="inlineStr">
        <is>
          <t>No</t>
        </is>
      </c>
      <c r="AQ2684" t="inlineStr">
        <is>
          <t>Yes</t>
        </is>
      </c>
      <c r="AR2684">
        <f>HYPERLINK("http://catalog.hathitrust.org/Record/009519319","HathiTrust Record")</f>
        <v/>
      </c>
      <c r="AS2684">
        <f>HYPERLINK("https://creighton-primo.hosted.exlibrisgroup.com/primo-explore/search?tab=default_tab&amp;search_scope=EVERYTHING&amp;vid=01CRU&amp;lang=en_US&amp;offset=0&amp;query=any,contains,991000096489702656","Catalog Record")</f>
        <v/>
      </c>
      <c r="AT2684">
        <f>HYPERLINK("http://www.worldcat.org/oclc/41803","WorldCat Record")</f>
        <v/>
      </c>
      <c r="AU2684" t="inlineStr">
        <is>
          <t>819994558:eng</t>
        </is>
      </c>
      <c r="AV2684" t="inlineStr">
        <is>
          <t>41803</t>
        </is>
      </c>
      <c r="AW2684" t="inlineStr">
        <is>
          <t>991000096489702656</t>
        </is>
      </c>
      <c r="AX2684" t="inlineStr">
        <is>
          <t>991000096489702656</t>
        </is>
      </c>
      <c r="AY2684" t="inlineStr">
        <is>
          <t>2261803690002656</t>
        </is>
      </c>
      <c r="AZ2684" t="inlineStr">
        <is>
          <t>BOOK</t>
        </is>
      </c>
      <c r="BB2684" t="inlineStr">
        <is>
          <t>9780264655604</t>
        </is>
      </c>
      <c r="BC2684" t="inlineStr">
        <is>
          <t>32285001101103</t>
        </is>
      </c>
      <c r="BD2684" t="inlineStr">
        <is>
          <t>893884102</t>
        </is>
      </c>
    </row>
    <row r="2685">
      <c r="A2685" t="inlineStr">
        <is>
          <t>No</t>
        </is>
      </c>
      <c r="B2685" t="inlineStr">
        <is>
          <t>BX5125 .B76</t>
        </is>
      </c>
      <c r="C2685" t="inlineStr">
        <is>
          <t>0                      BX 5125000B  76</t>
        </is>
      </c>
      <c r="D2685" t="inlineStr">
        <is>
          <t>Fathers of the Victorians : the age of Wilberforce / by Ford K. Brown.</t>
        </is>
      </c>
      <c r="F2685" t="inlineStr">
        <is>
          <t>No</t>
        </is>
      </c>
      <c r="G2685" t="inlineStr">
        <is>
          <t>1</t>
        </is>
      </c>
      <c r="H2685" t="inlineStr">
        <is>
          <t>No</t>
        </is>
      </c>
      <c r="I2685" t="inlineStr">
        <is>
          <t>No</t>
        </is>
      </c>
      <c r="J2685" t="inlineStr">
        <is>
          <t>0</t>
        </is>
      </c>
      <c r="K2685" t="inlineStr">
        <is>
          <t>Brown, Ford K. (Ford Keeler)</t>
        </is>
      </c>
      <c r="L2685" t="inlineStr">
        <is>
          <t>Cambridge [Eng.] : University Press, 1961.</t>
        </is>
      </c>
      <c r="M2685" t="inlineStr">
        <is>
          <t>1961</t>
        </is>
      </c>
      <c r="O2685" t="inlineStr">
        <is>
          <t>eng</t>
        </is>
      </c>
      <c r="P2685" t="inlineStr">
        <is>
          <t>enk</t>
        </is>
      </c>
      <c r="R2685" t="inlineStr">
        <is>
          <t xml:space="preserve">BX </t>
        </is>
      </c>
      <c r="S2685" t="n">
        <v>1</v>
      </c>
      <c r="T2685" t="n">
        <v>1</v>
      </c>
      <c r="U2685" t="inlineStr">
        <is>
          <t>2007-03-23</t>
        </is>
      </c>
      <c r="V2685" t="inlineStr">
        <is>
          <t>2007-03-23</t>
        </is>
      </c>
      <c r="W2685" t="inlineStr">
        <is>
          <t>1992-04-27</t>
        </is>
      </c>
      <c r="X2685" t="inlineStr">
        <is>
          <t>1992-04-27</t>
        </is>
      </c>
      <c r="Y2685" t="n">
        <v>715</v>
      </c>
      <c r="Z2685" t="n">
        <v>579</v>
      </c>
      <c r="AA2685" t="n">
        <v>598</v>
      </c>
      <c r="AB2685" t="n">
        <v>4</v>
      </c>
      <c r="AC2685" t="n">
        <v>4</v>
      </c>
      <c r="AD2685" t="n">
        <v>31</v>
      </c>
      <c r="AE2685" t="n">
        <v>31</v>
      </c>
      <c r="AF2685" t="n">
        <v>12</v>
      </c>
      <c r="AG2685" t="n">
        <v>12</v>
      </c>
      <c r="AH2685" t="n">
        <v>4</v>
      </c>
      <c r="AI2685" t="n">
        <v>4</v>
      </c>
      <c r="AJ2685" t="n">
        <v>18</v>
      </c>
      <c r="AK2685" t="n">
        <v>18</v>
      </c>
      <c r="AL2685" t="n">
        <v>3</v>
      </c>
      <c r="AM2685" t="n">
        <v>3</v>
      </c>
      <c r="AN2685" t="n">
        <v>0</v>
      </c>
      <c r="AO2685" t="n">
        <v>0</v>
      </c>
      <c r="AP2685" t="inlineStr">
        <is>
          <t>No</t>
        </is>
      </c>
      <c r="AQ2685" t="inlineStr">
        <is>
          <t>Yes</t>
        </is>
      </c>
      <c r="AR2685">
        <f>HYPERLINK("http://catalog.hathitrust.org/Record/001592736","HathiTrust Record")</f>
        <v/>
      </c>
      <c r="AS2685">
        <f>HYPERLINK("https://creighton-primo.hosted.exlibrisgroup.com/primo-explore/search?tab=default_tab&amp;search_scope=EVERYTHING&amp;vid=01CRU&amp;lang=en_US&amp;offset=0&amp;query=any,contains,991002660329702656","Catalog Record")</f>
        <v/>
      </c>
      <c r="AT2685">
        <f>HYPERLINK("http://www.worldcat.org/oclc/391170","WorldCat Record")</f>
        <v/>
      </c>
      <c r="AU2685" t="inlineStr">
        <is>
          <t>1526272:eng</t>
        </is>
      </c>
      <c r="AV2685" t="inlineStr">
        <is>
          <t>391170</t>
        </is>
      </c>
      <c r="AW2685" t="inlineStr">
        <is>
          <t>991002660329702656</t>
        </is>
      </c>
      <c r="AX2685" t="inlineStr">
        <is>
          <t>991002660329702656</t>
        </is>
      </c>
      <c r="AY2685" t="inlineStr">
        <is>
          <t>2260797670002656</t>
        </is>
      </c>
      <c r="AZ2685" t="inlineStr">
        <is>
          <t>BOOK</t>
        </is>
      </c>
      <c r="BC2685" t="inlineStr">
        <is>
          <t>32285001101160</t>
        </is>
      </c>
      <c r="BD2685" t="inlineStr">
        <is>
          <t>893498385</t>
        </is>
      </c>
    </row>
    <row r="2686">
      <c r="A2686" t="inlineStr">
        <is>
          <t>No</t>
        </is>
      </c>
      <c r="B2686" t="inlineStr">
        <is>
          <t>BX5125 .S38 1987</t>
        </is>
      </c>
      <c r="C2686" t="inlineStr">
        <is>
          <t>0                      BX 5125000S  38          1987</t>
        </is>
      </c>
      <c r="D2686" t="inlineStr">
        <is>
          <t>The Anglican Church today : evangelicals on the move / Michael Saward.</t>
        </is>
      </c>
      <c r="F2686" t="inlineStr">
        <is>
          <t>No</t>
        </is>
      </c>
      <c r="G2686" t="inlineStr">
        <is>
          <t>1</t>
        </is>
      </c>
      <c r="H2686" t="inlineStr">
        <is>
          <t>No</t>
        </is>
      </c>
      <c r="I2686" t="inlineStr">
        <is>
          <t>No</t>
        </is>
      </c>
      <c r="J2686" t="inlineStr">
        <is>
          <t>0</t>
        </is>
      </c>
      <c r="K2686" t="inlineStr">
        <is>
          <t>Saward, Michael.</t>
        </is>
      </c>
      <c r="L2686" t="inlineStr">
        <is>
          <t>Oxford : Mowbrays, 1987.</t>
        </is>
      </c>
      <c r="M2686" t="inlineStr">
        <is>
          <t>1987</t>
        </is>
      </c>
      <c r="O2686" t="inlineStr">
        <is>
          <t>eng</t>
        </is>
      </c>
      <c r="P2686" t="inlineStr">
        <is>
          <t>enk</t>
        </is>
      </c>
      <c r="Q2686" t="inlineStr">
        <is>
          <t>Mowbray's Lambeth series</t>
        </is>
      </c>
      <c r="R2686" t="inlineStr">
        <is>
          <t xml:space="preserve">BX </t>
        </is>
      </c>
      <c r="S2686" t="n">
        <v>5</v>
      </c>
      <c r="T2686" t="n">
        <v>5</v>
      </c>
      <c r="U2686" t="inlineStr">
        <is>
          <t>1997-04-10</t>
        </is>
      </c>
      <c r="V2686" t="inlineStr">
        <is>
          <t>1997-04-10</t>
        </is>
      </c>
      <c r="W2686" t="inlineStr">
        <is>
          <t>1992-04-27</t>
        </is>
      </c>
      <c r="X2686" t="inlineStr">
        <is>
          <t>1992-04-27</t>
        </is>
      </c>
      <c r="Y2686" t="n">
        <v>63</v>
      </c>
      <c r="Z2686" t="n">
        <v>33</v>
      </c>
      <c r="AA2686" t="n">
        <v>33</v>
      </c>
      <c r="AB2686" t="n">
        <v>1</v>
      </c>
      <c r="AC2686" t="n">
        <v>1</v>
      </c>
      <c r="AD2686" t="n">
        <v>2</v>
      </c>
      <c r="AE2686" t="n">
        <v>2</v>
      </c>
      <c r="AF2686" t="n">
        <v>0</v>
      </c>
      <c r="AG2686" t="n">
        <v>0</v>
      </c>
      <c r="AH2686" t="n">
        <v>1</v>
      </c>
      <c r="AI2686" t="n">
        <v>1</v>
      </c>
      <c r="AJ2686" t="n">
        <v>2</v>
      </c>
      <c r="AK2686" t="n">
        <v>2</v>
      </c>
      <c r="AL2686" t="n">
        <v>0</v>
      </c>
      <c r="AM2686" t="n">
        <v>0</v>
      </c>
      <c r="AN2686" t="n">
        <v>0</v>
      </c>
      <c r="AO2686" t="n">
        <v>0</v>
      </c>
      <c r="AP2686" t="inlineStr">
        <is>
          <t>No</t>
        </is>
      </c>
      <c r="AQ2686" t="inlineStr">
        <is>
          <t>No</t>
        </is>
      </c>
      <c r="AS2686">
        <f>HYPERLINK("https://creighton-primo.hosted.exlibrisgroup.com/primo-explore/search?tab=default_tab&amp;search_scope=EVERYTHING&amp;vid=01CRU&amp;lang=en_US&amp;offset=0&amp;query=any,contains,991001138259702656","Catalog Record")</f>
        <v/>
      </c>
      <c r="AT2686">
        <f>HYPERLINK("http://www.worldcat.org/oclc/16718959","WorldCat Record")</f>
        <v/>
      </c>
      <c r="AU2686" t="inlineStr">
        <is>
          <t>13532466:eng</t>
        </is>
      </c>
      <c r="AV2686" t="inlineStr">
        <is>
          <t>16718959</t>
        </is>
      </c>
      <c r="AW2686" t="inlineStr">
        <is>
          <t>991001138259702656</t>
        </is>
      </c>
      <c r="AX2686" t="inlineStr">
        <is>
          <t>991001138259702656</t>
        </is>
      </c>
      <c r="AY2686" t="inlineStr">
        <is>
          <t>2255256360002656</t>
        </is>
      </c>
      <c r="AZ2686" t="inlineStr">
        <is>
          <t>BOOK</t>
        </is>
      </c>
      <c r="BB2686" t="inlineStr">
        <is>
          <t>9780264671062</t>
        </is>
      </c>
      <c r="BC2686" t="inlineStr">
        <is>
          <t>32285001101178</t>
        </is>
      </c>
      <c r="BD2686" t="inlineStr">
        <is>
          <t>893891341</t>
        </is>
      </c>
    </row>
    <row r="2687">
      <c r="A2687" t="inlineStr">
        <is>
          <t>No</t>
        </is>
      </c>
      <c r="B2687" t="inlineStr">
        <is>
          <t>BX5126 .C36 2004</t>
        </is>
      </c>
      <c r="C2687" t="inlineStr">
        <is>
          <t>0                      BX 5126000C  36          2004</t>
        </is>
      </c>
      <c r="D2687" t="inlineStr">
        <is>
          <t>Cambridge Platonist spirituality / edited and introduced by Charles Taliaferro and Alison J. Teply ; preface by Jaroslav Pelikan.</t>
        </is>
      </c>
      <c r="F2687" t="inlineStr">
        <is>
          <t>No</t>
        </is>
      </c>
      <c r="G2687" t="inlineStr">
        <is>
          <t>1</t>
        </is>
      </c>
      <c r="H2687" t="inlineStr">
        <is>
          <t>No</t>
        </is>
      </c>
      <c r="I2687" t="inlineStr">
        <is>
          <t>No</t>
        </is>
      </c>
      <c r="J2687" t="inlineStr">
        <is>
          <t>0</t>
        </is>
      </c>
      <c r="L2687" t="inlineStr">
        <is>
          <t>New York : Paulist Press, c2004.</t>
        </is>
      </c>
      <c r="M2687" t="inlineStr">
        <is>
          <t>2004</t>
        </is>
      </c>
      <c r="O2687" t="inlineStr">
        <is>
          <t>eng</t>
        </is>
      </c>
      <c r="P2687" t="inlineStr">
        <is>
          <t>nyu</t>
        </is>
      </c>
      <c r="Q2687" t="inlineStr">
        <is>
          <t>The classics of Western spirituality</t>
        </is>
      </c>
      <c r="R2687" t="inlineStr">
        <is>
          <t xml:space="preserve">BX </t>
        </is>
      </c>
      <c r="S2687" t="n">
        <v>1</v>
      </c>
      <c r="T2687" t="n">
        <v>1</v>
      </c>
      <c r="U2687" t="inlineStr">
        <is>
          <t>2004-12-07</t>
        </is>
      </c>
      <c r="V2687" t="inlineStr">
        <is>
          <t>2004-12-07</t>
        </is>
      </c>
      <c r="W2687" t="inlineStr">
        <is>
          <t>2004-12-07</t>
        </is>
      </c>
      <c r="X2687" t="inlineStr">
        <is>
          <t>2004-12-07</t>
        </is>
      </c>
      <c r="Y2687" t="n">
        <v>418</v>
      </c>
      <c r="Z2687" t="n">
        <v>358</v>
      </c>
      <c r="AA2687" t="n">
        <v>358</v>
      </c>
      <c r="AB2687" t="n">
        <v>2</v>
      </c>
      <c r="AC2687" t="n">
        <v>2</v>
      </c>
      <c r="AD2687" t="n">
        <v>31</v>
      </c>
      <c r="AE2687" t="n">
        <v>31</v>
      </c>
      <c r="AF2687" t="n">
        <v>15</v>
      </c>
      <c r="AG2687" t="n">
        <v>15</v>
      </c>
      <c r="AH2687" t="n">
        <v>6</v>
      </c>
      <c r="AI2687" t="n">
        <v>6</v>
      </c>
      <c r="AJ2687" t="n">
        <v>19</v>
      </c>
      <c r="AK2687" t="n">
        <v>19</v>
      </c>
      <c r="AL2687" t="n">
        <v>1</v>
      </c>
      <c r="AM2687" t="n">
        <v>1</v>
      </c>
      <c r="AN2687" t="n">
        <v>0</v>
      </c>
      <c r="AO2687" t="n">
        <v>0</v>
      </c>
      <c r="AP2687" t="inlineStr">
        <is>
          <t>No</t>
        </is>
      </c>
      <c r="AQ2687" t="inlineStr">
        <is>
          <t>No</t>
        </is>
      </c>
      <c r="AS2687">
        <f>HYPERLINK("https://creighton-primo.hosted.exlibrisgroup.com/primo-explore/search?tab=default_tab&amp;search_scope=EVERYTHING&amp;vid=01CRU&amp;lang=en_US&amp;offset=0&amp;query=any,contains,991004426189702656","Catalog Record")</f>
        <v/>
      </c>
      <c r="AT2687">
        <f>HYPERLINK("http://www.worldcat.org/oclc/55124260","WorldCat Record")</f>
        <v/>
      </c>
      <c r="AU2687" t="inlineStr">
        <is>
          <t>510213391:eng</t>
        </is>
      </c>
      <c r="AV2687" t="inlineStr">
        <is>
          <t>55124260</t>
        </is>
      </c>
      <c r="AW2687" t="inlineStr">
        <is>
          <t>991004426189702656</t>
        </is>
      </c>
      <c r="AX2687" t="inlineStr">
        <is>
          <t>991004426189702656</t>
        </is>
      </c>
      <c r="AY2687" t="inlineStr">
        <is>
          <t>2260666230002656</t>
        </is>
      </c>
      <c r="AZ2687" t="inlineStr">
        <is>
          <t>BOOK</t>
        </is>
      </c>
      <c r="BB2687" t="inlineStr">
        <is>
          <t>9780809105397</t>
        </is>
      </c>
      <c r="BC2687" t="inlineStr">
        <is>
          <t>32285005015986</t>
        </is>
      </c>
      <c r="BD2687" t="inlineStr">
        <is>
          <t>893423783</t>
        </is>
      </c>
    </row>
    <row r="2688">
      <c r="A2688" t="inlineStr">
        <is>
          <t>No</t>
        </is>
      </c>
      <c r="B2688" t="inlineStr">
        <is>
          <t>BX5129 .A53 1974</t>
        </is>
      </c>
      <c r="C2688" t="inlineStr">
        <is>
          <t>0                      BX 5129000A  53          1974</t>
        </is>
      </c>
      <c r="D2688" t="inlineStr">
        <is>
          <t>Anglican/Roman Catholic dialogue : the work of the Preparatory Commission / edited by Alan C. Clark and Colin Davey.</t>
        </is>
      </c>
      <c r="F2688" t="inlineStr">
        <is>
          <t>No</t>
        </is>
      </c>
      <c r="G2688" t="inlineStr">
        <is>
          <t>1</t>
        </is>
      </c>
      <c r="H2688" t="inlineStr">
        <is>
          <t>No</t>
        </is>
      </c>
      <c r="I2688" t="inlineStr">
        <is>
          <t>No</t>
        </is>
      </c>
      <c r="J2688" t="inlineStr">
        <is>
          <t>0</t>
        </is>
      </c>
      <c r="K2688" t="inlineStr">
        <is>
          <t>Anglican/Roman Catholic Joint Preparatory Commission.</t>
        </is>
      </c>
      <c r="L2688" t="inlineStr">
        <is>
          <t>London ; New York : Oxford University Press, 1974.</t>
        </is>
      </c>
      <c r="M2688" t="inlineStr">
        <is>
          <t>1974</t>
        </is>
      </c>
      <c r="O2688" t="inlineStr">
        <is>
          <t>eng</t>
        </is>
      </c>
      <c r="P2688" t="inlineStr">
        <is>
          <t>enk</t>
        </is>
      </c>
      <c r="R2688" t="inlineStr">
        <is>
          <t xml:space="preserve">BX </t>
        </is>
      </c>
      <c r="S2688" t="n">
        <v>9</v>
      </c>
      <c r="T2688" t="n">
        <v>9</v>
      </c>
      <c r="U2688" t="inlineStr">
        <is>
          <t>2004-03-05</t>
        </is>
      </c>
      <c r="V2688" t="inlineStr">
        <is>
          <t>2004-03-05</t>
        </is>
      </c>
      <c r="W2688" t="inlineStr">
        <is>
          <t>1992-04-27</t>
        </is>
      </c>
      <c r="X2688" t="inlineStr">
        <is>
          <t>1992-04-27</t>
        </is>
      </c>
      <c r="Y2688" t="n">
        <v>337</v>
      </c>
      <c r="Z2688" t="n">
        <v>242</v>
      </c>
      <c r="AA2688" t="n">
        <v>249</v>
      </c>
      <c r="AB2688" t="n">
        <v>4</v>
      </c>
      <c r="AC2688" t="n">
        <v>4</v>
      </c>
      <c r="AD2688" t="n">
        <v>23</v>
      </c>
      <c r="AE2688" t="n">
        <v>23</v>
      </c>
      <c r="AF2688" t="n">
        <v>5</v>
      </c>
      <c r="AG2688" t="n">
        <v>5</v>
      </c>
      <c r="AH2688" t="n">
        <v>6</v>
      </c>
      <c r="AI2688" t="n">
        <v>6</v>
      </c>
      <c r="AJ2688" t="n">
        <v>16</v>
      </c>
      <c r="AK2688" t="n">
        <v>16</v>
      </c>
      <c r="AL2688" t="n">
        <v>3</v>
      </c>
      <c r="AM2688" t="n">
        <v>3</v>
      </c>
      <c r="AN2688" t="n">
        <v>0</v>
      </c>
      <c r="AO2688" t="n">
        <v>0</v>
      </c>
      <c r="AP2688" t="inlineStr">
        <is>
          <t>No</t>
        </is>
      </c>
      <c r="AQ2688" t="inlineStr">
        <is>
          <t>Yes</t>
        </is>
      </c>
      <c r="AR2688">
        <f>HYPERLINK("http://catalog.hathitrust.org/Record/001592739","HathiTrust Record")</f>
        <v/>
      </c>
      <c r="AS2688">
        <f>HYPERLINK("https://creighton-primo.hosted.exlibrisgroup.com/primo-explore/search?tab=default_tab&amp;search_scope=EVERYTHING&amp;vid=01CRU&amp;lang=en_US&amp;offset=0&amp;query=any,contains,991003365599702656","Catalog Record")</f>
        <v/>
      </c>
      <c r="AT2688">
        <f>HYPERLINK("http://www.worldcat.org/oclc/901618","WorldCat Record")</f>
        <v/>
      </c>
      <c r="AU2688" t="inlineStr">
        <is>
          <t>1009012221:eng</t>
        </is>
      </c>
      <c r="AV2688" t="inlineStr">
        <is>
          <t>901618</t>
        </is>
      </c>
      <c r="AW2688" t="inlineStr">
        <is>
          <t>991003365599702656</t>
        </is>
      </c>
      <c r="AX2688" t="inlineStr">
        <is>
          <t>991003365599702656</t>
        </is>
      </c>
      <c r="AY2688" t="inlineStr">
        <is>
          <t>2265776870002656</t>
        </is>
      </c>
      <c r="AZ2688" t="inlineStr">
        <is>
          <t>BOOK</t>
        </is>
      </c>
      <c r="BB2688" t="inlineStr">
        <is>
          <t>9780192134257</t>
        </is>
      </c>
      <c r="BC2688" t="inlineStr">
        <is>
          <t>32285001101186</t>
        </is>
      </c>
      <c r="BD2688" t="inlineStr">
        <is>
          <t>893881103</t>
        </is>
      </c>
    </row>
    <row r="2689">
      <c r="A2689" t="inlineStr">
        <is>
          <t>No</t>
        </is>
      </c>
      <c r="B2689" t="inlineStr">
        <is>
          <t>BX5129 .A589</t>
        </is>
      </c>
      <c r="C2689" t="inlineStr">
        <is>
          <t>0                      BX 5129000A  589</t>
        </is>
      </c>
      <c r="D2689" t="inlineStr">
        <is>
          <t>The final report : Windsor, September 1981 / Anglican-Roman Catholic International Commission.</t>
        </is>
      </c>
      <c r="F2689" t="inlineStr">
        <is>
          <t>No</t>
        </is>
      </c>
      <c r="G2689" t="inlineStr">
        <is>
          <t>1</t>
        </is>
      </c>
      <c r="H2689" t="inlineStr">
        <is>
          <t>No</t>
        </is>
      </c>
      <c r="I2689" t="inlineStr">
        <is>
          <t>No</t>
        </is>
      </c>
      <c r="J2689" t="inlineStr">
        <is>
          <t>0</t>
        </is>
      </c>
      <c r="K2689" t="inlineStr">
        <is>
          <t>Anglican/Roman Catholic International Commission.</t>
        </is>
      </c>
      <c r="L2689" t="inlineStr">
        <is>
          <t>Cincinnati, Ohio : Forward Movement Publications ; Washington, D.C. : Office of Publishing Services, U.S. Catholic Conference, 1982.</t>
        </is>
      </c>
      <c r="M2689" t="inlineStr">
        <is>
          <t>1982</t>
        </is>
      </c>
      <c r="N2689" t="inlineStr">
        <is>
          <t>North American ed.</t>
        </is>
      </c>
      <c r="O2689" t="inlineStr">
        <is>
          <t>eng</t>
        </is>
      </c>
      <c r="P2689" t="inlineStr">
        <is>
          <t>ohu</t>
        </is>
      </c>
      <c r="R2689" t="inlineStr">
        <is>
          <t xml:space="preserve">BX </t>
        </is>
      </c>
      <c r="S2689" t="n">
        <v>3</v>
      </c>
      <c r="T2689" t="n">
        <v>3</v>
      </c>
      <c r="U2689" t="inlineStr">
        <is>
          <t>2004-04-05</t>
        </is>
      </c>
      <c r="V2689" t="inlineStr">
        <is>
          <t>2004-04-05</t>
        </is>
      </c>
      <c r="W2689" t="inlineStr">
        <is>
          <t>1992-04-27</t>
        </is>
      </c>
      <c r="X2689" t="inlineStr">
        <is>
          <t>1992-04-27</t>
        </is>
      </c>
      <c r="Y2689" t="n">
        <v>228</v>
      </c>
      <c r="Z2689" t="n">
        <v>197</v>
      </c>
      <c r="AA2689" t="n">
        <v>236</v>
      </c>
      <c r="AB2689" t="n">
        <v>3</v>
      </c>
      <c r="AC2689" t="n">
        <v>3</v>
      </c>
      <c r="AD2689" t="n">
        <v>25</v>
      </c>
      <c r="AE2689" t="n">
        <v>26</v>
      </c>
      <c r="AF2689" t="n">
        <v>9</v>
      </c>
      <c r="AG2689" t="n">
        <v>9</v>
      </c>
      <c r="AH2689" t="n">
        <v>7</v>
      </c>
      <c r="AI2689" t="n">
        <v>7</v>
      </c>
      <c r="AJ2689" t="n">
        <v>18</v>
      </c>
      <c r="AK2689" t="n">
        <v>19</v>
      </c>
      <c r="AL2689" t="n">
        <v>0</v>
      </c>
      <c r="AM2689" t="n">
        <v>0</v>
      </c>
      <c r="AN2689" t="n">
        <v>0</v>
      </c>
      <c r="AO2689" t="n">
        <v>0</v>
      </c>
      <c r="AP2689" t="inlineStr">
        <is>
          <t>No</t>
        </is>
      </c>
      <c r="AQ2689" t="inlineStr">
        <is>
          <t>No</t>
        </is>
      </c>
      <c r="AS2689">
        <f>HYPERLINK("https://creighton-primo.hosted.exlibrisgroup.com/primo-explore/search?tab=default_tab&amp;search_scope=EVERYTHING&amp;vid=01CRU&amp;lang=en_US&amp;offset=0&amp;query=any,contains,991005252799702656","Catalog Record")</f>
        <v/>
      </c>
      <c r="AT2689">
        <f>HYPERLINK("http://www.worldcat.org/oclc/8498352","WorldCat Record")</f>
        <v/>
      </c>
      <c r="AU2689" t="inlineStr">
        <is>
          <t>32151876:eng</t>
        </is>
      </c>
      <c r="AV2689" t="inlineStr">
        <is>
          <t>8498352</t>
        </is>
      </c>
      <c r="AW2689" t="inlineStr">
        <is>
          <t>991005252799702656</t>
        </is>
      </c>
      <c r="AX2689" t="inlineStr">
        <is>
          <t>991005252799702656</t>
        </is>
      </c>
      <c r="AY2689" t="inlineStr">
        <is>
          <t>2263533830002656</t>
        </is>
      </c>
      <c r="AZ2689" t="inlineStr">
        <is>
          <t>BOOK</t>
        </is>
      </c>
      <c r="BB2689" t="inlineStr">
        <is>
          <t>9780880280143</t>
        </is>
      </c>
      <c r="BC2689" t="inlineStr">
        <is>
          <t>32285001101202</t>
        </is>
      </c>
      <c r="BD2689" t="inlineStr">
        <is>
          <t>893501587</t>
        </is>
      </c>
    </row>
    <row r="2690">
      <c r="A2690" t="inlineStr">
        <is>
          <t>No</t>
        </is>
      </c>
      <c r="B2690" t="inlineStr">
        <is>
          <t>BX5129 .A589 1987</t>
        </is>
      </c>
      <c r="C2690" t="inlineStr">
        <is>
          <t>0                      BX 5129000A  589         1987</t>
        </is>
      </c>
      <c r="D2690" t="inlineStr">
        <is>
          <t>Salvation and the church : an agreed statement by the Second Anglican-Roman Catholic International Commission, ARCIC II.</t>
        </is>
      </c>
      <c r="F2690" t="inlineStr">
        <is>
          <t>No</t>
        </is>
      </c>
      <c r="G2690" t="inlineStr">
        <is>
          <t>1</t>
        </is>
      </c>
      <c r="H2690" t="inlineStr">
        <is>
          <t>No</t>
        </is>
      </c>
      <c r="I2690" t="inlineStr">
        <is>
          <t>No</t>
        </is>
      </c>
      <c r="J2690" t="inlineStr">
        <is>
          <t>0</t>
        </is>
      </c>
      <c r="K2690" t="inlineStr">
        <is>
          <t>Anglican/Roman Catholic International Commission.</t>
        </is>
      </c>
      <c r="L2690" t="inlineStr">
        <is>
          <t>London : Published for the Anglican Consultative Council and the Secretariat for Promoting Christian Unity, c1987.</t>
        </is>
      </c>
      <c r="M2690" t="inlineStr">
        <is>
          <t>1987</t>
        </is>
      </c>
      <c r="O2690" t="inlineStr">
        <is>
          <t>eng</t>
        </is>
      </c>
      <c r="P2690" t="inlineStr">
        <is>
          <t>enk</t>
        </is>
      </c>
      <c r="R2690" t="inlineStr">
        <is>
          <t xml:space="preserve">BX </t>
        </is>
      </c>
      <c r="S2690" t="n">
        <v>3</v>
      </c>
      <c r="T2690" t="n">
        <v>3</v>
      </c>
      <c r="U2690" t="inlineStr">
        <is>
          <t>2003-04-21</t>
        </is>
      </c>
      <c r="V2690" t="inlineStr">
        <is>
          <t>2003-04-21</t>
        </is>
      </c>
      <c r="W2690" t="inlineStr">
        <is>
          <t>1992-05-04</t>
        </is>
      </c>
      <c r="X2690" t="inlineStr">
        <is>
          <t>1992-05-04</t>
        </is>
      </c>
      <c r="Y2690" t="n">
        <v>76</v>
      </c>
      <c r="Z2690" t="n">
        <v>37</v>
      </c>
      <c r="AA2690" t="n">
        <v>53</v>
      </c>
      <c r="AB2690" t="n">
        <v>1</v>
      </c>
      <c r="AC2690" t="n">
        <v>1</v>
      </c>
      <c r="AD2690" t="n">
        <v>4</v>
      </c>
      <c r="AE2690" t="n">
        <v>5</v>
      </c>
      <c r="AF2690" t="n">
        <v>0</v>
      </c>
      <c r="AG2690" t="n">
        <v>0</v>
      </c>
      <c r="AH2690" t="n">
        <v>1</v>
      </c>
      <c r="AI2690" t="n">
        <v>1</v>
      </c>
      <c r="AJ2690" t="n">
        <v>4</v>
      </c>
      <c r="AK2690" t="n">
        <v>5</v>
      </c>
      <c r="AL2690" t="n">
        <v>0</v>
      </c>
      <c r="AM2690" t="n">
        <v>0</v>
      </c>
      <c r="AN2690" t="n">
        <v>0</v>
      </c>
      <c r="AO2690" t="n">
        <v>0</v>
      </c>
      <c r="AP2690" t="inlineStr">
        <is>
          <t>No</t>
        </is>
      </c>
      <c r="AQ2690" t="inlineStr">
        <is>
          <t>Yes</t>
        </is>
      </c>
      <c r="AR2690">
        <f>HYPERLINK("http://catalog.hathitrust.org/Record/009491057","HathiTrust Record")</f>
        <v/>
      </c>
      <c r="AS2690">
        <f>HYPERLINK("https://creighton-primo.hosted.exlibrisgroup.com/primo-explore/search?tab=default_tab&amp;search_scope=EVERYTHING&amp;vid=01CRU&amp;lang=en_US&amp;offset=0&amp;query=any,contains,991001104139702656","Catalog Record")</f>
        <v/>
      </c>
      <c r="AT2690">
        <f>HYPERLINK("http://www.worldcat.org/oclc/17259353","WorldCat Record")</f>
        <v/>
      </c>
      <c r="AU2690" t="inlineStr">
        <is>
          <t>15540810:eng</t>
        </is>
      </c>
      <c r="AV2690" t="inlineStr">
        <is>
          <t>17259353</t>
        </is>
      </c>
      <c r="AW2690" t="inlineStr">
        <is>
          <t>991001104139702656</t>
        </is>
      </c>
      <c r="AX2690" t="inlineStr">
        <is>
          <t>991001104139702656</t>
        </is>
      </c>
      <c r="AY2690" t="inlineStr">
        <is>
          <t>2258262770002656</t>
        </is>
      </c>
      <c r="AZ2690" t="inlineStr">
        <is>
          <t>BOOK</t>
        </is>
      </c>
      <c r="BB2690" t="inlineStr">
        <is>
          <t>9780851836928</t>
        </is>
      </c>
      <c r="BC2690" t="inlineStr">
        <is>
          <t>32285001092435</t>
        </is>
      </c>
      <c r="BD2690" t="inlineStr">
        <is>
          <t>893709003</t>
        </is>
      </c>
    </row>
    <row r="2691">
      <c r="A2691" t="inlineStr">
        <is>
          <t>No</t>
        </is>
      </c>
      <c r="B2691" t="inlineStr">
        <is>
          <t>BX5129 .C24 1986</t>
        </is>
      </c>
      <c r="C2691" t="inlineStr">
        <is>
          <t>0                      BX 5129000C  24          1986</t>
        </is>
      </c>
      <c r="D2691" t="inlineStr">
        <is>
          <t>Called to full unity : documents on Anglican-Roman Catholic relations 1966-1983 / Joseph W. Witmer, J. Robert Wright, eds. ; Bishops' Committee for Ecumenical and Interreligious Affairs, National Conference of Catholic Bishops ; Ecumenical Office, Executive Council of the Episcopal Church.</t>
        </is>
      </c>
      <c r="F2691" t="inlineStr">
        <is>
          <t>No</t>
        </is>
      </c>
      <c r="G2691" t="inlineStr">
        <is>
          <t>1</t>
        </is>
      </c>
      <c r="H2691" t="inlineStr">
        <is>
          <t>No</t>
        </is>
      </c>
      <c r="I2691" t="inlineStr">
        <is>
          <t>No</t>
        </is>
      </c>
      <c r="J2691" t="inlineStr">
        <is>
          <t>0</t>
        </is>
      </c>
      <c r="L2691" t="inlineStr">
        <is>
          <t>Washington, D.C. : United States Catholic Conference, c1986.</t>
        </is>
      </c>
      <c r="M2691" t="inlineStr">
        <is>
          <t>1986</t>
        </is>
      </c>
      <c r="O2691" t="inlineStr">
        <is>
          <t>eng</t>
        </is>
      </c>
      <c r="P2691" t="inlineStr">
        <is>
          <t>dcu</t>
        </is>
      </c>
      <c r="R2691" t="inlineStr">
        <is>
          <t xml:space="preserve">BX </t>
        </is>
      </c>
      <c r="S2691" t="n">
        <v>7</v>
      </c>
      <c r="T2691" t="n">
        <v>7</v>
      </c>
      <c r="U2691" t="inlineStr">
        <is>
          <t>2004-04-18</t>
        </is>
      </c>
      <c r="V2691" t="inlineStr">
        <is>
          <t>2004-04-18</t>
        </is>
      </c>
      <c r="W2691" t="inlineStr">
        <is>
          <t>1990-04-09</t>
        </is>
      </c>
      <c r="X2691" t="inlineStr">
        <is>
          <t>1990-04-09</t>
        </is>
      </c>
      <c r="Y2691" t="n">
        <v>250</v>
      </c>
      <c r="Z2691" t="n">
        <v>217</v>
      </c>
      <c r="AA2691" t="n">
        <v>218</v>
      </c>
      <c r="AB2691" t="n">
        <v>2</v>
      </c>
      <c r="AC2691" t="n">
        <v>2</v>
      </c>
      <c r="AD2691" t="n">
        <v>29</v>
      </c>
      <c r="AE2691" t="n">
        <v>29</v>
      </c>
      <c r="AF2691" t="n">
        <v>11</v>
      </c>
      <c r="AG2691" t="n">
        <v>11</v>
      </c>
      <c r="AH2691" t="n">
        <v>8</v>
      </c>
      <c r="AI2691" t="n">
        <v>8</v>
      </c>
      <c r="AJ2691" t="n">
        <v>22</v>
      </c>
      <c r="AK2691" t="n">
        <v>22</v>
      </c>
      <c r="AL2691" t="n">
        <v>0</v>
      </c>
      <c r="AM2691" t="n">
        <v>0</v>
      </c>
      <c r="AN2691" t="n">
        <v>0</v>
      </c>
      <c r="AO2691" t="n">
        <v>0</v>
      </c>
      <c r="AP2691" t="inlineStr">
        <is>
          <t>No</t>
        </is>
      </c>
      <c r="AQ2691" t="inlineStr">
        <is>
          <t>No</t>
        </is>
      </c>
      <c r="AS2691">
        <f>HYPERLINK("https://creighton-primo.hosted.exlibrisgroup.com/primo-explore/search?tab=default_tab&amp;search_scope=EVERYTHING&amp;vid=01CRU&amp;lang=en_US&amp;offset=0&amp;query=any,contains,991000819819702656","Catalog Record")</f>
        <v/>
      </c>
      <c r="AT2691">
        <f>HYPERLINK("http://www.worldcat.org/oclc/14377718","WorldCat Record")</f>
        <v/>
      </c>
      <c r="AU2691" t="inlineStr">
        <is>
          <t>509923921:eng</t>
        </is>
      </c>
      <c r="AV2691" t="inlineStr">
        <is>
          <t>14377718</t>
        </is>
      </c>
      <c r="AW2691" t="inlineStr">
        <is>
          <t>991000819819702656</t>
        </is>
      </c>
      <c r="AX2691" t="inlineStr">
        <is>
          <t>991000819819702656</t>
        </is>
      </c>
      <c r="AY2691" t="inlineStr">
        <is>
          <t>2260541140002656</t>
        </is>
      </c>
      <c r="AZ2691" t="inlineStr">
        <is>
          <t>BOOK</t>
        </is>
      </c>
      <c r="BC2691" t="inlineStr">
        <is>
          <t>32285000113943</t>
        </is>
      </c>
      <c r="BD2691" t="inlineStr">
        <is>
          <t>893496587</t>
        </is>
      </c>
    </row>
    <row r="2692">
      <c r="A2692" t="inlineStr">
        <is>
          <t>No</t>
        </is>
      </c>
      <c r="B2692" t="inlineStr">
        <is>
          <t>BX5129 .C3 1973</t>
        </is>
      </c>
      <c r="C2692" t="inlineStr">
        <is>
          <t>0                      BX 5129000C  3           1973</t>
        </is>
      </c>
      <c r="D2692" t="inlineStr">
        <is>
          <t>Documents on Anglican Roman Catholic relations II / compiled by Bishops' Committee on Ecumenical and Interreligious affairs, in cooperation with the Joint Commission on Ecumenical Relations.</t>
        </is>
      </c>
      <c r="F2692" t="inlineStr">
        <is>
          <t>No</t>
        </is>
      </c>
      <c r="G2692" t="inlineStr">
        <is>
          <t>1</t>
        </is>
      </c>
      <c r="H2692" t="inlineStr">
        <is>
          <t>No</t>
        </is>
      </c>
      <c r="I2692" t="inlineStr">
        <is>
          <t>No</t>
        </is>
      </c>
      <c r="J2692" t="inlineStr">
        <is>
          <t>0</t>
        </is>
      </c>
      <c r="K2692" t="inlineStr">
        <is>
          <t>Catholic Church. National Conference of Catholic Bishops. Bishops' Committee for Ecumenical and Interreligious Affairs.</t>
        </is>
      </c>
      <c r="L2692" t="inlineStr">
        <is>
          <t>Washington, D.C. : United States Catholic Conference, 1973.</t>
        </is>
      </c>
      <c r="M2692" t="inlineStr">
        <is>
          <t>1973</t>
        </is>
      </c>
      <c r="O2692" t="inlineStr">
        <is>
          <t>eng</t>
        </is>
      </c>
      <c r="P2692" t="inlineStr">
        <is>
          <t>dcu</t>
        </is>
      </c>
      <c r="R2692" t="inlineStr">
        <is>
          <t xml:space="preserve">BX </t>
        </is>
      </c>
      <c r="S2692" t="n">
        <v>3</v>
      </c>
      <c r="T2692" t="n">
        <v>3</v>
      </c>
      <c r="U2692" t="inlineStr">
        <is>
          <t>2004-04-05</t>
        </is>
      </c>
      <c r="V2692" t="inlineStr">
        <is>
          <t>2004-04-05</t>
        </is>
      </c>
      <c r="W2692" t="inlineStr">
        <is>
          <t>1992-05-04</t>
        </is>
      </c>
      <c r="X2692" t="inlineStr">
        <is>
          <t>1992-05-04</t>
        </is>
      </c>
      <c r="Y2692" t="n">
        <v>60</v>
      </c>
      <c r="Z2692" t="n">
        <v>58</v>
      </c>
      <c r="AA2692" t="n">
        <v>60</v>
      </c>
      <c r="AB2692" t="n">
        <v>2</v>
      </c>
      <c r="AC2692" t="n">
        <v>2</v>
      </c>
      <c r="AD2692" t="n">
        <v>6</v>
      </c>
      <c r="AE2692" t="n">
        <v>6</v>
      </c>
      <c r="AF2692" t="n">
        <v>0</v>
      </c>
      <c r="AG2692" t="n">
        <v>0</v>
      </c>
      <c r="AH2692" t="n">
        <v>2</v>
      </c>
      <c r="AI2692" t="n">
        <v>2</v>
      </c>
      <c r="AJ2692" t="n">
        <v>4</v>
      </c>
      <c r="AK2692" t="n">
        <v>4</v>
      </c>
      <c r="AL2692" t="n">
        <v>0</v>
      </c>
      <c r="AM2692" t="n">
        <v>0</v>
      </c>
      <c r="AN2692" t="n">
        <v>0</v>
      </c>
      <c r="AO2692" t="n">
        <v>0</v>
      </c>
      <c r="AP2692" t="inlineStr">
        <is>
          <t>No</t>
        </is>
      </c>
      <c r="AQ2692" t="inlineStr">
        <is>
          <t>No</t>
        </is>
      </c>
      <c r="AS2692">
        <f>HYPERLINK("https://creighton-primo.hosted.exlibrisgroup.com/primo-explore/search?tab=default_tab&amp;search_scope=EVERYTHING&amp;vid=01CRU&amp;lang=en_US&amp;offset=0&amp;query=any,contains,991004720189702656","Catalog Record")</f>
        <v/>
      </c>
      <c r="AT2692">
        <f>HYPERLINK("http://www.worldcat.org/oclc/4801371","WorldCat Record")</f>
        <v/>
      </c>
      <c r="AU2692" t="inlineStr">
        <is>
          <t>10792312214:eng</t>
        </is>
      </c>
      <c r="AV2692" t="inlineStr">
        <is>
          <t>4801371</t>
        </is>
      </c>
      <c r="AW2692" t="inlineStr">
        <is>
          <t>991004720189702656</t>
        </is>
      </c>
      <c r="AX2692" t="inlineStr">
        <is>
          <t>991004720189702656</t>
        </is>
      </c>
      <c r="AY2692" t="inlineStr">
        <is>
          <t>2268264160002656</t>
        </is>
      </c>
      <c r="AZ2692" t="inlineStr">
        <is>
          <t>BOOK</t>
        </is>
      </c>
      <c r="BC2692" t="inlineStr">
        <is>
          <t>32285001092427</t>
        </is>
      </c>
      <c r="BD2692" t="inlineStr">
        <is>
          <t>893319561</t>
        </is>
      </c>
    </row>
    <row r="2693">
      <c r="A2693" t="inlineStr">
        <is>
          <t>No</t>
        </is>
      </c>
      <c r="B2693" t="inlineStr">
        <is>
          <t>BX5129 .C6 1997</t>
        </is>
      </c>
      <c r="C2693" t="inlineStr">
        <is>
          <t>0                      BX 5129000C  6           1997</t>
        </is>
      </c>
      <c r="D2693" t="inlineStr">
        <is>
          <t>Common witness to the Gospel : documents on Anglican-Roman Catholic relations 1983-1995 / edited by Jeffrey Gros, E. Rozanne Elder, and Ellen K. Wondra.</t>
        </is>
      </c>
      <c r="F2693" t="inlineStr">
        <is>
          <t>No</t>
        </is>
      </c>
      <c r="G2693" t="inlineStr">
        <is>
          <t>1</t>
        </is>
      </c>
      <c r="H2693" t="inlineStr">
        <is>
          <t>No</t>
        </is>
      </c>
      <c r="I2693" t="inlineStr">
        <is>
          <t>No</t>
        </is>
      </c>
      <c r="J2693" t="inlineStr">
        <is>
          <t>0</t>
        </is>
      </c>
      <c r="L2693" t="inlineStr">
        <is>
          <t>Washington, D.C. : United States Catholic Conference, c1997.</t>
        </is>
      </c>
      <c r="M2693" t="inlineStr">
        <is>
          <t>1997</t>
        </is>
      </c>
      <c r="O2693" t="inlineStr">
        <is>
          <t>eng</t>
        </is>
      </c>
      <c r="P2693" t="inlineStr">
        <is>
          <t>dcu</t>
        </is>
      </c>
      <c r="Q2693" t="inlineStr">
        <is>
          <t>Publication (United States Catholic Conference) ; no. 5-060</t>
        </is>
      </c>
      <c r="R2693" t="inlineStr">
        <is>
          <t xml:space="preserve">BX </t>
        </is>
      </c>
      <c r="S2693" t="n">
        <v>4</v>
      </c>
      <c r="T2693" t="n">
        <v>4</v>
      </c>
      <c r="U2693" t="inlineStr">
        <is>
          <t>2001-03-22</t>
        </is>
      </c>
      <c r="V2693" t="inlineStr">
        <is>
          <t>2001-03-22</t>
        </is>
      </c>
      <c r="W2693" t="inlineStr">
        <is>
          <t>1997-09-12</t>
        </is>
      </c>
      <c r="X2693" t="inlineStr">
        <is>
          <t>1997-09-12</t>
        </is>
      </c>
      <c r="Y2693" t="n">
        <v>174</v>
      </c>
      <c r="Z2693" t="n">
        <v>151</v>
      </c>
      <c r="AA2693" t="n">
        <v>151</v>
      </c>
      <c r="AB2693" t="n">
        <v>2</v>
      </c>
      <c r="AC2693" t="n">
        <v>2</v>
      </c>
      <c r="AD2693" t="n">
        <v>19</v>
      </c>
      <c r="AE2693" t="n">
        <v>19</v>
      </c>
      <c r="AF2693" t="n">
        <v>5</v>
      </c>
      <c r="AG2693" t="n">
        <v>5</v>
      </c>
      <c r="AH2693" t="n">
        <v>6</v>
      </c>
      <c r="AI2693" t="n">
        <v>6</v>
      </c>
      <c r="AJ2693" t="n">
        <v>14</v>
      </c>
      <c r="AK2693" t="n">
        <v>14</v>
      </c>
      <c r="AL2693" t="n">
        <v>0</v>
      </c>
      <c r="AM2693" t="n">
        <v>0</v>
      </c>
      <c r="AN2693" t="n">
        <v>0</v>
      </c>
      <c r="AO2693" t="n">
        <v>0</v>
      </c>
      <c r="AP2693" t="inlineStr">
        <is>
          <t>No</t>
        </is>
      </c>
      <c r="AQ2693" t="inlineStr">
        <is>
          <t>No</t>
        </is>
      </c>
      <c r="AS2693">
        <f>HYPERLINK("https://creighton-primo.hosted.exlibrisgroup.com/primo-explore/search?tab=default_tab&amp;search_scope=EVERYTHING&amp;vid=01CRU&amp;lang=en_US&amp;offset=0&amp;query=any,contains,991002840879702656","Catalog Record")</f>
        <v/>
      </c>
      <c r="AT2693">
        <f>HYPERLINK("http://www.worldcat.org/oclc/37430265","WorldCat Record")</f>
        <v/>
      </c>
      <c r="AU2693" t="inlineStr">
        <is>
          <t>902101537:eng</t>
        </is>
      </c>
      <c r="AV2693" t="inlineStr">
        <is>
          <t>37430265</t>
        </is>
      </c>
      <c r="AW2693" t="inlineStr">
        <is>
          <t>991002840879702656</t>
        </is>
      </c>
      <c r="AX2693" t="inlineStr">
        <is>
          <t>991002840879702656</t>
        </is>
      </c>
      <c r="AY2693" t="inlineStr">
        <is>
          <t>2265770140002656</t>
        </is>
      </c>
      <c r="AZ2693" t="inlineStr">
        <is>
          <t>BOOK</t>
        </is>
      </c>
      <c r="BB2693" t="inlineStr">
        <is>
          <t>9781574550603</t>
        </is>
      </c>
      <c r="BC2693" t="inlineStr">
        <is>
          <t>32285003175568</t>
        </is>
      </c>
      <c r="BD2693" t="inlineStr">
        <is>
          <t>893323448</t>
        </is>
      </c>
    </row>
    <row r="2694">
      <c r="A2694" t="inlineStr">
        <is>
          <t>No</t>
        </is>
      </c>
      <c r="B2694" t="inlineStr">
        <is>
          <t>BX5129 .H34 1982</t>
        </is>
      </c>
      <c r="C2694" t="inlineStr">
        <is>
          <t>0                      BX 5129000H  34          1982</t>
        </is>
      </c>
      <c r="D2694" t="inlineStr">
        <is>
          <t>Canterbury and Rome, sister churches : a Roman Catholic monk reflects upon reunion in diversity / Robert Hale. Foreword by Alan C. Clark ; afterword by A.M. Allchin.</t>
        </is>
      </c>
      <c r="F2694" t="inlineStr">
        <is>
          <t>No</t>
        </is>
      </c>
      <c r="G2694" t="inlineStr">
        <is>
          <t>1</t>
        </is>
      </c>
      <c r="H2694" t="inlineStr">
        <is>
          <t>No</t>
        </is>
      </c>
      <c r="I2694" t="inlineStr">
        <is>
          <t>No</t>
        </is>
      </c>
      <c r="J2694" t="inlineStr">
        <is>
          <t>0</t>
        </is>
      </c>
      <c r="K2694" t="inlineStr">
        <is>
          <t>Hale, Robert, 1937-</t>
        </is>
      </c>
      <c r="L2694" t="inlineStr">
        <is>
          <t>London : Darton, Longman and Todd, 1982.</t>
        </is>
      </c>
      <c r="M2694" t="inlineStr">
        <is>
          <t>1982</t>
        </is>
      </c>
      <c r="O2694" t="inlineStr">
        <is>
          <t>eng</t>
        </is>
      </c>
      <c r="P2694" t="inlineStr">
        <is>
          <t>enk</t>
        </is>
      </c>
      <c r="R2694" t="inlineStr">
        <is>
          <t xml:space="preserve">BX </t>
        </is>
      </c>
      <c r="S2694" t="n">
        <v>7</v>
      </c>
      <c r="T2694" t="n">
        <v>7</v>
      </c>
      <c r="U2694" t="inlineStr">
        <is>
          <t>2005-02-21</t>
        </is>
      </c>
      <c r="V2694" t="inlineStr">
        <is>
          <t>2005-02-21</t>
        </is>
      </c>
      <c r="W2694" t="inlineStr">
        <is>
          <t>1992-03-01</t>
        </is>
      </c>
      <c r="X2694" t="inlineStr">
        <is>
          <t>1992-03-01</t>
        </is>
      </c>
      <c r="Y2694" t="n">
        <v>118</v>
      </c>
      <c r="Z2694" t="n">
        <v>59</v>
      </c>
      <c r="AA2694" t="n">
        <v>165</v>
      </c>
      <c r="AB2694" t="n">
        <v>2</v>
      </c>
      <c r="AC2694" t="n">
        <v>3</v>
      </c>
      <c r="AD2694" t="n">
        <v>1</v>
      </c>
      <c r="AE2694" t="n">
        <v>17</v>
      </c>
      <c r="AF2694" t="n">
        <v>0</v>
      </c>
      <c r="AG2694" t="n">
        <v>3</v>
      </c>
      <c r="AH2694" t="n">
        <v>0</v>
      </c>
      <c r="AI2694" t="n">
        <v>7</v>
      </c>
      <c r="AJ2694" t="n">
        <v>1</v>
      </c>
      <c r="AK2694" t="n">
        <v>12</v>
      </c>
      <c r="AL2694" t="n">
        <v>0</v>
      </c>
      <c r="AM2694" t="n">
        <v>1</v>
      </c>
      <c r="AN2694" t="n">
        <v>0</v>
      </c>
      <c r="AO2694" t="n">
        <v>0</v>
      </c>
      <c r="AP2694" t="inlineStr">
        <is>
          <t>No</t>
        </is>
      </c>
      <c r="AQ2694" t="inlineStr">
        <is>
          <t>Yes</t>
        </is>
      </c>
      <c r="AR2694">
        <f>HYPERLINK("http://catalog.hathitrust.org/Record/000104836","HathiTrust Record")</f>
        <v/>
      </c>
      <c r="AS2694">
        <f>HYPERLINK("https://creighton-primo.hosted.exlibrisgroup.com/primo-explore/search?tab=default_tab&amp;search_scope=EVERYTHING&amp;vid=01CRU&amp;lang=en_US&amp;offset=0&amp;query=any,contains,991000119199702656","Catalog Record")</f>
        <v/>
      </c>
      <c r="AT2694">
        <f>HYPERLINK("http://www.worldcat.org/oclc/9058954","WorldCat Record")</f>
        <v/>
      </c>
      <c r="AU2694" t="inlineStr">
        <is>
          <t>889320493:eng</t>
        </is>
      </c>
      <c r="AV2694" t="inlineStr">
        <is>
          <t>9058954</t>
        </is>
      </c>
      <c r="AW2694" t="inlineStr">
        <is>
          <t>991000119199702656</t>
        </is>
      </c>
      <c r="AX2694" t="inlineStr">
        <is>
          <t>991000119199702656</t>
        </is>
      </c>
      <c r="AY2694" t="inlineStr">
        <is>
          <t>2265194640002656</t>
        </is>
      </c>
      <c r="AZ2694" t="inlineStr">
        <is>
          <t>BOOK</t>
        </is>
      </c>
      <c r="BB2694" t="inlineStr">
        <is>
          <t>9780232515558</t>
        </is>
      </c>
      <c r="BC2694" t="inlineStr">
        <is>
          <t>32285000979442</t>
        </is>
      </c>
      <c r="BD2694" t="inlineStr">
        <is>
          <t>893695608</t>
        </is>
      </c>
    </row>
    <row r="2695">
      <c r="A2695" t="inlineStr">
        <is>
          <t>No</t>
        </is>
      </c>
      <c r="B2695" t="inlineStr">
        <is>
          <t>BX5129 .P37</t>
        </is>
      </c>
      <c r="C2695" t="inlineStr">
        <is>
          <t>0                      BX 5129000P  37</t>
        </is>
      </c>
      <c r="D2695" t="inlineStr">
        <is>
          <t>Rome and Canterbury, through four centuries : a study of the relations between the Church of Rome and the Anglican churches, 1530-1973 / by Bernard and Margaret Pawley. With an American epilogue by Arthur A. Vogel.</t>
        </is>
      </c>
      <c r="F2695" t="inlineStr">
        <is>
          <t>No</t>
        </is>
      </c>
      <c r="G2695" t="inlineStr">
        <is>
          <t>1</t>
        </is>
      </c>
      <c r="H2695" t="inlineStr">
        <is>
          <t>No</t>
        </is>
      </c>
      <c r="I2695" t="inlineStr">
        <is>
          <t>No</t>
        </is>
      </c>
      <c r="J2695" t="inlineStr">
        <is>
          <t>0</t>
        </is>
      </c>
      <c r="K2695" t="inlineStr">
        <is>
          <t>Pawley, Bernard C.</t>
        </is>
      </c>
      <c r="L2695" t="inlineStr">
        <is>
          <t>New York : Seabury Press, [1975]</t>
        </is>
      </c>
      <c r="M2695" t="inlineStr">
        <is>
          <t>1975</t>
        </is>
      </c>
      <c r="O2695" t="inlineStr">
        <is>
          <t>eng</t>
        </is>
      </c>
      <c r="P2695" t="inlineStr">
        <is>
          <t>nyu</t>
        </is>
      </c>
      <c r="R2695" t="inlineStr">
        <is>
          <t xml:space="preserve">BX </t>
        </is>
      </c>
      <c r="S2695" t="n">
        <v>6</v>
      </c>
      <c r="T2695" t="n">
        <v>6</v>
      </c>
      <c r="U2695" t="inlineStr">
        <is>
          <t>2004-02-13</t>
        </is>
      </c>
      <c r="V2695" t="inlineStr">
        <is>
          <t>2004-02-13</t>
        </is>
      </c>
      <c r="W2695" t="inlineStr">
        <is>
          <t>1992-04-27</t>
        </is>
      </c>
      <c r="X2695" t="inlineStr">
        <is>
          <t>1992-04-27</t>
        </is>
      </c>
      <c r="Y2695" t="n">
        <v>318</v>
      </c>
      <c r="Z2695" t="n">
        <v>287</v>
      </c>
      <c r="AA2695" t="n">
        <v>364</v>
      </c>
      <c r="AB2695" t="n">
        <v>3</v>
      </c>
      <c r="AC2695" t="n">
        <v>4</v>
      </c>
      <c r="AD2695" t="n">
        <v>19</v>
      </c>
      <c r="AE2695" t="n">
        <v>26</v>
      </c>
      <c r="AF2695" t="n">
        <v>6</v>
      </c>
      <c r="AG2695" t="n">
        <v>9</v>
      </c>
      <c r="AH2695" t="n">
        <v>5</v>
      </c>
      <c r="AI2695" t="n">
        <v>6</v>
      </c>
      <c r="AJ2695" t="n">
        <v>14</v>
      </c>
      <c r="AK2695" t="n">
        <v>18</v>
      </c>
      <c r="AL2695" t="n">
        <v>1</v>
      </c>
      <c r="AM2695" t="n">
        <v>2</v>
      </c>
      <c r="AN2695" t="n">
        <v>0</v>
      </c>
      <c r="AO2695" t="n">
        <v>0</v>
      </c>
      <c r="AP2695" t="inlineStr">
        <is>
          <t>No</t>
        </is>
      </c>
      <c r="AQ2695" t="inlineStr">
        <is>
          <t>Yes</t>
        </is>
      </c>
      <c r="AR2695">
        <f>HYPERLINK("http://catalog.hathitrust.org/Record/102058772","HathiTrust Record")</f>
        <v/>
      </c>
      <c r="AS2695">
        <f>HYPERLINK("https://creighton-primo.hosted.exlibrisgroup.com/primo-explore/search?tab=default_tab&amp;search_scope=EVERYTHING&amp;vid=01CRU&amp;lang=en_US&amp;offset=0&amp;query=any,contains,991003496779702656","Catalog Record")</f>
        <v/>
      </c>
      <c r="AT2695">
        <f>HYPERLINK("http://www.worldcat.org/oclc/1046995","WorldCat Record")</f>
        <v/>
      </c>
      <c r="AU2695" t="inlineStr">
        <is>
          <t>2517246775:eng</t>
        </is>
      </c>
      <c r="AV2695" t="inlineStr">
        <is>
          <t>1046995</t>
        </is>
      </c>
      <c r="AW2695" t="inlineStr">
        <is>
          <t>991003496779702656</t>
        </is>
      </c>
      <c r="AX2695" t="inlineStr">
        <is>
          <t>991003496779702656</t>
        </is>
      </c>
      <c r="AY2695" t="inlineStr">
        <is>
          <t>2266966670002656</t>
        </is>
      </c>
      <c r="AZ2695" t="inlineStr">
        <is>
          <t>BOOK</t>
        </is>
      </c>
      <c r="BB2695" t="inlineStr">
        <is>
          <t>9780816411788</t>
        </is>
      </c>
      <c r="BC2695" t="inlineStr">
        <is>
          <t>32285001101210</t>
        </is>
      </c>
      <c r="BD2695" t="inlineStr">
        <is>
          <t>893799785</t>
        </is>
      </c>
    </row>
    <row r="2696">
      <c r="A2696" t="inlineStr">
        <is>
          <t>No</t>
        </is>
      </c>
      <c r="B2696" t="inlineStr">
        <is>
          <t>BX5131.2 .B35</t>
        </is>
      </c>
      <c r="C2696" t="inlineStr">
        <is>
          <t>0                      BX 5131200B  35</t>
        </is>
      </c>
      <c r="D2696" t="inlineStr">
        <is>
          <t>The Church of England in crisis / Trevor Beeson.</t>
        </is>
      </c>
      <c r="F2696" t="inlineStr">
        <is>
          <t>No</t>
        </is>
      </c>
      <c r="G2696" t="inlineStr">
        <is>
          <t>1</t>
        </is>
      </c>
      <c r="H2696" t="inlineStr">
        <is>
          <t>No</t>
        </is>
      </c>
      <c r="I2696" t="inlineStr">
        <is>
          <t>No</t>
        </is>
      </c>
      <c r="J2696" t="inlineStr">
        <is>
          <t>0</t>
        </is>
      </c>
      <c r="K2696" t="inlineStr">
        <is>
          <t>Beeson, Trevor.</t>
        </is>
      </c>
      <c r="L2696" t="inlineStr">
        <is>
          <t>London : Davis-Poynter Ltd, 1973.</t>
        </is>
      </c>
      <c r="M2696" t="inlineStr">
        <is>
          <t>1973</t>
        </is>
      </c>
      <c r="O2696" t="inlineStr">
        <is>
          <t>eng</t>
        </is>
      </c>
      <c r="P2696" t="inlineStr">
        <is>
          <t>enk</t>
        </is>
      </c>
      <c r="R2696" t="inlineStr">
        <is>
          <t xml:space="preserve">BX </t>
        </is>
      </c>
      <c r="S2696" t="n">
        <v>2</v>
      </c>
      <c r="T2696" t="n">
        <v>2</v>
      </c>
      <c r="U2696" t="inlineStr">
        <is>
          <t>2000-11-12</t>
        </is>
      </c>
      <c r="V2696" t="inlineStr">
        <is>
          <t>2000-11-12</t>
        </is>
      </c>
      <c r="W2696" t="inlineStr">
        <is>
          <t>1992-04-27</t>
        </is>
      </c>
      <c r="X2696" t="inlineStr">
        <is>
          <t>1992-04-27</t>
        </is>
      </c>
      <c r="Y2696" t="n">
        <v>143</v>
      </c>
      <c r="Z2696" t="n">
        <v>84</v>
      </c>
      <c r="AA2696" t="n">
        <v>91</v>
      </c>
      <c r="AB2696" t="n">
        <v>2</v>
      </c>
      <c r="AC2696" t="n">
        <v>2</v>
      </c>
      <c r="AD2696" t="n">
        <v>3</v>
      </c>
      <c r="AE2696" t="n">
        <v>3</v>
      </c>
      <c r="AF2696" t="n">
        <v>0</v>
      </c>
      <c r="AG2696" t="n">
        <v>0</v>
      </c>
      <c r="AH2696" t="n">
        <v>0</v>
      </c>
      <c r="AI2696" t="n">
        <v>0</v>
      </c>
      <c r="AJ2696" t="n">
        <v>2</v>
      </c>
      <c r="AK2696" t="n">
        <v>2</v>
      </c>
      <c r="AL2696" t="n">
        <v>1</v>
      </c>
      <c r="AM2696" t="n">
        <v>1</v>
      </c>
      <c r="AN2696" t="n">
        <v>0</v>
      </c>
      <c r="AO2696" t="n">
        <v>0</v>
      </c>
      <c r="AP2696" t="inlineStr">
        <is>
          <t>No</t>
        </is>
      </c>
      <c r="AQ2696" t="inlineStr">
        <is>
          <t>Yes</t>
        </is>
      </c>
      <c r="AR2696">
        <f>HYPERLINK("http://catalog.hathitrust.org/Record/009519323","HathiTrust Record")</f>
        <v/>
      </c>
      <c r="AS2696">
        <f>HYPERLINK("https://creighton-primo.hosted.exlibrisgroup.com/primo-explore/search?tab=default_tab&amp;search_scope=EVERYTHING&amp;vid=01CRU&amp;lang=en_US&amp;offset=0&amp;query=any,contains,991003117189702656","Catalog Record")</f>
        <v/>
      </c>
      <c r="AT2696">
        <f>HYPERLINK("http://www.worldcat.org/oclc/663383","WorldCat Record")</f>
        <v/>
      </c>
      <c r="AU2696" t="inlineStr">
        <is>
          <t>1662405:eng</t>
        </is>
      </c>
      <c r="AV2696" t="inlineStr">
        <is>
          <t>663383</t>
        </is>
      </c>
      <c r="AW2696" t="inlineStr">
        <is>
          <t>991003117189702656</t>
        </is>
      </c>
      <c r="AX2696" t="inlineStr">
        <is>
          <t>991003117189702656</t>
        </is>
      </c>
      <c r="AY2696" t="inlineStr">
        <is>
          <t>2269897110002656</t>
        </is>
      </c>
      <c r="AZ2696" t="inlineStr">
        <is>
          <t>BOOK</t>
        </is>
      </c>
      <c r="BB2696" t="inlineStr">
        <is>
          <t>9780706700589</t>
        </is>
      </c>
      <c r="BC2696" t="inlineStr">
        <is>
          <t>32285001101277</t>
        </is>
      </c>
      <c r="BD2696" t="inlineStr">
        <is>
          <t>893721793</t>
        </is>
      </c>
    </row>
    <row r="2697">
      <c r="A2697" t="inlineStr">
        <is>
          <t>No</t>
        </is>
      </c>
      <c r="B2697" t="inlineStr">
        <is>
          <t>BX5133 .D61</t>
        </is>
      </c>
      <c r="C2697" t="inlineStr">
        <is>
          <t>0                      BX 5133000D  61</t>
        </is>
      </c>
      <c r="D2697" t="inlineStr">
        <is>
          <t>Donne's sermons : selected passages / with an essay by Logan Pearsall Smith.</t>
        </is>
      </c>
      <c r="F2697" t="inlineStr">
        <is>
          <t>No</t>
        </is>
      </c>
      <c r="G2697" t="inlineStr">
        <is>
          <t>1</t>
        </is>
      </c>
      <c r="H2697" t="inlineStr">
        <is>
          <t>No</t>
        </is>
      </c>
      <c r="I2697" t="inlineStr">
        <is>
          <t>No</t>
        </is>
      </c>
      <c r="J2697" t="inlineStr">
        <is>
          <t>0</t>
        </is>
      </c>
      <c r="K2697" t="inlineStr">
        <is>
          <t>Donne, John, 1572-1631.</t>
        </is>
      </c>
      <c r="L2697" t="inlineStr">
        <is>
          <t>Oxford : The Clarendon press, 1919.</t>
        </is>
      </c>
      <c r="M2697" t="inlineStr">
        <is>
          <t>1919</t>
        </is>
      </c>
      <c r="O2697" t="inlineStr">
        <is>
          <t>eng</t>
        </is>
      </c>
      <c r="P2697" t="inlineStr">
        <is>
          <t>enk</t>
        </is>
      </c>
      <c r="R2697" t="inlineStr">
        <is>
          <t xml:space="preserve">BX </t>
        </is>
      </c>
      <c r="S2697" t="n">
        <v>6</v>
      </c>
      <c r="T2697" t="n">
        <v>6</v>
      </c>
      <c r="U2697" t="inlineStr">
        <is>
          <t>1993-01-18</t>
        </is>
      </c>
      <c r="V2697" t="inlineStr">
        <is>
          <t>1993-01-18</t>
        </is>
      </c>
      <c r="W2697" t="inlineStr">
        <is>
          <t>1992-04-27</t>
        </is>
      </c>
      <c r="X2697" t="inlineStr">
        <is>
          <t>1992-04-27</t>
        </is>
      </c>
      <c r="Y2697" t="n">
        <v>459</v>
      </c>
      <c r="Z2697" t="n">
        <v>383</v>
      </c>
      <c r="AA2697" t="n">
        <v>409</v>
      </c>
      <c r="AB2697" t="n">
        <v>3</v>
      </c>
      <c r="AC2697" t="n">
        <v>3</v>
      </c>
      <c r="AD2697" t="n">
        <v>20</v>
      </c>
      <c r="AE2697" t="n">
        <v>21</v>
      </c>
      <c r="AF2697" t="n">
        <v>6</v>
      </c>
      <c r="AG2697" t="n">
        <v>6</v>
      </c>
      <c r="AH2697" t="n">
        <v>2</v>
      </c>
      <c r="AI2697" t="n">
        <v>3</v>
      </c>
      <c r="AJ2697" t="n">
        <v>14</v>
      </c>
      <c r="AK2697" t="n">
        <v>14</v>
      </c>
      <c r="AL2697" t="n">
        <v>2</v>
      </c>
      <c r="AM2697" t="n">
        <v>2</v>
      </c>
      <c r="AN2697" t="n">
        <v>0</v>
      </c>
      <c r="AO2697" t="n">
        <v>0</v>
      </c>
      <c r="AP2697" t="inlineStr">
        <is>
          <t>Yes</t>
        </is>
      </c>
      <c r="AQ2697" t="inlineStr">
        <is>
          <t>No</t>
        </is>
      </c>
      <c r="AR2697">
        <f>HYPERLINK("http://catalog.hathitrust.org/Record/001017314","HathiTrust Record")</f>
        <v/>
      </c>
      <c r="AS2697">
        <f>HYPERLINK("https://creighton-primo.hosted.exlibrisgroup.com/primo-explore/search?tab=default_tab&amp;search_scope=EVERYTHING&amp;vid=01CRU&amp;lang=en_US&amp;offset=0&amp;query=any,contains,991002660359702656","Catalog Record")</f>
        <v/>
      </c>
      <c r="AT2697">
        <f>HYPERLINK("http://www.worldcat.org/oclc/391180","WorldCat Record")</f>
        <v/>
      </c>
      <c r="AU2697" t="inlineStr">
        <is>
          <t>5218516370:eng</t>
        </is>
      </c>
      <c r="AV2697" t="inlineStr">
        <is>
          <t>391180</t>
        </is>
      </c>
      <c r="AW2697" t="inlineStr">
        <is>
          <t>991002660359702656</t>
        </is>
      </c>
      <c r="AX2697" t="inlineStr">
        <is>
          <t>991002660359702656</t>
        </is>
      </c>
      <c r="AY2697" t="inlineStr">
        <is>
          <t>2260794530002656</t>
        </is>
      </c>
      <c r="AZ2697" t="inlineStr">
        <is>
          <t>BOOK</t>
        </is>
      </c>
      <c r="BC2697" t="inlineStr">
        <is>
          <t>32285001101434</t>
        </is>
      </c>
      <c r="BD2697" t="inlineStr">
        <is>
          <t>893323198</t>
        </is>
      </c>
    </row>
    <row r="2698">
      <c r="A2698" t="inlineStr">
        <is>
          <t>No</t>
        </is>
      </c>
      <c r="B2698" t="inlineStr">
        <is>
          <t>BX5133.D6 S5 1964</t>
        </is>
      </c>
      <c r="C2698" t="inlineStr">
        <is>
          <t>0                      BX 5133000D  6                  S  5           1964</t>
        </is>
      </c>
      <c r="D2698" t="inlineStr">
        <is>
          <t>The showing forth of Christ : sermons / of John Donne. Selected and edited with an introd. by Edmund Fuller.</t>
        </is>
      </c>
      <c r="F2698" t="inlineStr">
        <is>
          <t>No</t>
        </is>
      </c>
      <c r="G2698" t="inlineStr">
        <is>
          <t>1</t>
        </is>
      </c>
      <c r="H2698" t="inlineStr">
        <is>
          <t>No</t>
        </is>
      </c>
      <c r="I2698" t="inlineStr">
        <is>
          <t>No</t>
        </is>
      </c>
      <c r="J2698" t="inlineStr">
        <is>
          <t>0</t>
        </is>
      </c>
      <c r="K2698" t="inlineStr">
        <is>
          <t>Donne, John, 1572-1631.</t>
        </is>
      </c>
      <c r="L2698" t="inlineStr">
        <is>
          <t>New York : Harper &amp; Row, [1964]</t>
        </is>
      </c>
      <c r="M2698" t="inlineStr">
        <is>
          <t>1964</t>
        </is>
      </c>
      <c r="N2698" t="inlineStr">
        <is>
          <t>[1st ed.]</t>
        </is>
      </c>
      <c r="O2698" t="inlineStr">
        <is>
          <t>eng</t>
        </is>
      </c>
      <c r="P2698" t="inlineStr">
        <is>
          <t>___</t>
        </is>
      </c>
      <c r="R2698" t="inlineStr">
        <is>
          <t xml:space="preserve">BX </t>
        </is>
      </c>
      <c r="S2698" t="n">
        <v>2</v>
      </c>
      <c r="T2698" t="n">
        <v>2</v>
      </c>
      <c r="U2698" t="inlineStr">
        <is>
          <t>2008-06-19</t>
        </is>
      </c>
      <c r="V2698" t="inlineStr">
        <is>
          <t>2008-06-19</t>
        </is>
      </c>
      <c r="W2698" t="inlineStr">
        <is>
          <t>1992-04-27</t>
        </is>
      </c>
      <c r="X2698" t="inlineStr">
        <is>
          <t>1992-04-27</t>
        </is>
      </c>
      <c r="Y2698" t="n">
        <v>588</v>
      </c>
      <c r="Z2698" t="n">
        <v>553</v>
      </c>
      <c r="AA2698" t="n">
        <v>556</v>
      </c>
      <c r="AB2698" t="n">
        <v>3</v>
      </c>
      <c r="AC2698" t="n">
        <v>3</v>
      </c>
      <c r="AD2698" t="n">
        <v>23</v>
      </c>
      <c r="AE2698" t="n">
        <v>23</v>
      </c>
      <c r="AF2698" t="n">
        <v>10</v>
      </c>
      <c r="AG2698" t="n">
        <v>10</v>
      </c>
      <c r="AH2698" t="n">
        <v>4</v>
      </c>
      <c r="AI2698" t="n">
        <v>4</v>
      </c>
      <c r="AJ2698" t="n">
        <v>13</v>
      </c>
      <c r="AK2698" t="n">
        <v>13</v>
      </c>
      <c r="AL2698" t="n">
        <v>2</v>
      </c>
      <c r="AM2698" t="n">
        <v>2</v>
      </c>
      <c r="AN2698" t="n">
        <v>0</v>
      </c>
      <c r="AO2698" t="n">
        <v>0</v>
      </c>
      <c r="AP2698" t="inlineStr">
        <is>
          <t>No</t>
        </is>
      </c>
      <c r="AQ2698" t="inlineStr">
        <is>
          <t>Yes</t>
        </is>
      </c>
      <c r="AR2698">
        <f>HYPERLINK("http://catalog.hathitrust.org/Record/001375342","HathiTrust Record")</f>
        <v/>
      </c>
      <c r="AS2698">
        <f>HYPERLINK("https://creighton-primo.hosted.exlibrisgroup.com/primo-explore/search?tab=default_tab&amp;search_scope=EVERYTHING&amp;vid=01CRU&amp;lang=en_US&amp;offset=0&amp;query=any,contains,991002969879702656","Catalog Record")</f>
        <v/>
      </c>
      <c r="AT2698">
        <f>HYPERLINK("http://www.worldcat.org/oclc/547883","WorldCat Record")</f>
        <v/>
      </c>
      <c r="AU2698" t="inlineStr">
        <is>
          <t>292945020:eng</t>
        </is>
      </c>
      <c r="AV2698" t="inlineStr">
        <is>
          <t>547883</t>
        </is>
      </c>
      <c r="AW2698" t="inlineStr">
        <is>
          <t>991002969879702656</t>
        </is>
      </c>
      <c r="AX2698" t="inlineStr">
        <is>
          <t>991002969879702656</t>
        </is>
      </c>
      <c r="AY2698" t="inlineStr">
        <is>
          <t>2265543200002656</t>
        </is>
      </c>
      <c r="AZ2698" t="inlineStr">
        <is>
          <t>BOOK</t>
        </is>
      </c>
      <c r="BC2698" t="inlineStr">
        <is>
          <t>32285001101426</t>
        </is>
      </c>
      <c r="BD2698" t="inlineStr">
        <is>
          <t>893805280</t>
        </is>
      </c>
    </row>
    <row r="2699">
      <c r="A2699" t="inlineStr">
        <is>
          <t>No</t>
        </is>
      </c>
      <c r="B2699" t="inlineStr">
        <is>
          <t>BX5133.N4 P3 1966</t>
        </is>
      </c>
      <c r="C2699" t="inlineStr">
        <is>
          <t>0                      BX 5133000N  4                  P  3           1966</t>
        </is>
      </c>
      <c r="D2699" t="inlineStr">
        <is>
          <t>Parochial and plain sermons / by John Henry Newman.</t>
        </is>
      </c>
      <c r="E2699" t="inlineStr">
        <is>
          <t>V. 6</t>
        </is>
      </c>
      <c r="F2699" t="inlineStr">
        <is>
          <t>Yes</t>
        </is>
      </c>
      <c r="G2699" t="inlineStr">
        <is>
          <t>1</t>
        </is>
      </c>
      <c r="H2699" t="inlineStr">
        <is>
          <t>No</t>
        </is>
      </c>
      <c r="I2699" t="inlineStr">
        <is>
          <t>No</t>
        </is>
      </c>
      <c r="J2699" t="inlineStr">
        <is>
          <t>0</t>
        </is>
      </c>
      <c r="K2699" t="inlineStr">
        <is>
          <t>Newman, John Henry, 1801-1890.</t>
        </is>
      </c>
      <c r="L2699" t="inlineStr">
        <is>
          <t>Westminster, Md., Christian Classics, inc., 1966-</t>
        </is>
      </c>
      <c r="M2699" t="inlineStr">
        <is>
          <t>1966</t>
        </is>
      </c>
      <c r="O2699" t="inlineStr">
        <is>
          <t>eng</t>
        </is>
      </c>
      <c r="P2699" t="inlineStr">
        <is>
          <t>mdu</t>
        </is>
      </c>
      <c r="R2699" t="inlineStr">
        <is>
          <t xml:space="preserve">BX </t>
        </is>
      </c>
      <c r="S2699" t="n">
        <v>1</v>
      </c>
      <c r="T2699" t="n">
        <v>7</v>
      </c>
      <c r="U2699" t="inlineStr">
        <is>
          <t>2001-09-12</t>
        </is>
      </c>
      <c r="V2699" t="inlineStr">
        <is>
          <t>2007-01-17</t>
        </is>
      </c>
      <c r="W2699" t="inlineStr">
        <is>
          <t>2001-09-11</t>
        </is>
      </c>
      <c r="X2699" t="inlineStr">
        <is>
          <t>2001-09-11</t>
        </is>
      </c>
      <c r="Y2699" t="n">
        <v>139</v>
      </c>
      <c r="Z2699" t="n">
        <v>133</v>
      </c>
      <c r="AA2699" t="n">
        <v>135</v>
      </c>
      <c r="AB2699" t="n">
        <v>4</v>
      </c>
      <c r="AC2699" t="n">
        <v>4</v>
      </c>
      <c r="AD2699" t="n">
        <v>10</v>
      </c>
      <c r="AE2699" t="n">
        <v>10</v>
      </c>
      <c r="AF2699" t="n">
        <v>2</v>
      </c>
      <c r="AG2699" t="n">
        <v>2</v>
      </c>
      <c r="AH2699" t="n">
        <v>3</v>
      </c>
      <c r="AI2699" t="n">
        <v>3</v>
      </c>
      <c r="AJ2699" t="n">
        <v>8</v>
      </c>
      <c r="AK2699" t="n">
        <v>8</v>
      </c>
      <c r="AL2699" t="n">
        <v>0</v>
      </c>
      <c r="AM2699" t="n">
        <v>0</v>
      </c>
      <c r="AN2699" t="n">
        <v>0</v>
      </c>
      <c r="AO2699" t="n">
        <v>0</v>
      </c>
      <c r="AP2699" t="inlineStr">
        <is>
          <t>No</t>
        </is>
      </c>
      <c r="AQ2699" t="inlineStr">
        <is>
          <t>Yes</t>
        </is>
      </c>
      <c r="AR2699">
        <f>HYPERLINK("http://catalog.hathitrust.org/Record/001416553","HathiTrust Record")</f>
        <v/>
      </c>
      <c r="AS2699">
        <f>HYPERLINK("https://creighton-primo.hosted.exlibrisgroup.com/primo-explore/search?tab=default_tab&amp;search_scope=EVERYTHING&amp;vid=01CRU&amp;lang=en_US&amp;offset=0&amp;query=any,contains,991003600649702656","Catalog Record")</f>
        <v/>
      </c>
      <c r="AT2699">
        <f>HYPERLINK("http://www.worldcat.org/oclc/2882972","WorldCat Record")</f>
        <v/>
      </c>
      <c r="AU2699" t="inlineStr">
        <is>
          <t>4160831801:eng</t>
        </is>
      </c>
      <c r="AV2699" t="inlineStr">
        <is>
          <t>2882972</t>
        </is>
      </c>
      <c r="AW2699" t="inlineStr">
        <is>
          <t>991003600649702656</t>
        </is>
      </c>
      <c r="AX2699" t="inlineStr">
        <is>
          <t>991003600649702656</t>
        </is>
      </c>
      <c r="AY2699" t="inlineStr">
        <is>
          <t>2257093260002656</t>
        </is>
      </c>
      <c r="AZ2699" t="inlineStr">
        <is>
          <t>BOOK</t>
        </is>
      </c>
      <c r="BC2699" t="inlineStr">
        <is>
          <t>32285004390141</t>
        </is>
      </c>
      <c r="BD2699" t="inlineStr">
        <is>
          <t>893330542</t>
        </is>
      </c>
    </row>
    <row r="2700">
      <c r="A2700" t="inlineStr">
        <is>
          <t>No</t>
        </is>
      </c>
      <c r="B2700" t="inlineStr">
        <is>
          <t>BX5133.N4 P3 1966</t>
        </is>
      </c>
      <c r="C2700" t="inlineStr">
        <is>
          <t>0                      BX 5133000N  4                  P  3           1966</t>
        </is>
      </c>
      <c r="D2700" t="inlineStr">
        <is>
          <t>Parochial and plain sermons / by John Henry Newman.</t>
        </is>
      </c>
      <c r="E2700" t="inlineStr">
        <is>
          <t>V. 4</t>
        </is>
      </c>
      <c r="F2700" t="inlineStr">
        <is>
          <t>Yes</t>
        </is>
      </c>
      <c r="G2700" t="inlineStr">
        <is>
          <t>1</t>
        </is>
      </c>
      <c r="H2700" t="inlineStr">
        <is>
          <t>No</t>
        </is>
      </c>
      <c r="I2700" t="inlineStr">
        <is>
          <t>No</t>
        </is>
      </c>
      <c r="J2700" t="inlineStr">
        <is>
          <t>0</t>
        </is>
      </c>
      <c r="K2700" t="inlineStr">
        <is>
          <t>Newman, John Henry, 1801-1890.</t>
        </is>
      </c>
      <c r="L2700" t="inlineStr">
        <is>
          <t>Westminster, Md., Christian Classics, inc., 1966-</t>
        </is>
      </c>
      <c r="M2700" t="inlineStr">
        <is>
          <t>1966</t>
        </is>
      </c>
      <c r="O2700" t="inlineStr">
        <is>
          <t>eng</t>
        </is>
      </c>
      <c r="P2700" t="inlineStr">
        <is>
          <t>mdu</t>
        </is>
      </c>
      <c r="R2700" t="inlineStr">
        <is>
          <t xml:space="preserve">BX </t>
        </is>
      </c>
      <c r="S2700" t="n">
        <v>1</v>
      </c>
      <c r="T2700" t="n">
        <v>7</v>
      </c>
      <c r="U2700" t="inlineStr">
        <is>
          <t>2001-09-12</t>
        </is>
      </c>
      <c r="V2700" t="inlineStr">
        <is>
          <t>2007-01-17</t>
        </is>
      </c>
      <c r="W2700" t="inlineStr">
        <is>
          <t>2001-09-11</t>
        </is>
      </c>
      <c r="X2700" t="inlineStr">
        <is>
          <t>2001-09-11</t>
        </is>
      </c>
      <c r="Y2700" t="n">
        <v>139</v>
      </c>
      <c r="Z2700" t="n">
        <v>133</v>
      </c>
      <c r="AA2700" t="n">
        <v>135</v>
      </c>
      <c r="AB2700" t="n">
        <v>4</v>
      </c>
      <c r="AC2700" t="n">
        <v>4</v>
      </c>
      <c r="AD2700" t="n">
        <v>10</v>
      </c>
      <c r="AE2700" t="n">
        <v>10</v>
      </c>
      <c r="AF2700" t="n">
        <v>2</v>
      </c>
      <c r="AG2700" t="n">
        <v>2</v>
      </c>
      <c r="AH2700" t="n">
        <v>3</v>
      </c>
      <c r="AI2700" t="n">
        <v>3</v>
      </c>
      <c r="AJ2700" t="n">
        <v>8</v>
      </c>
      <c r="AK2700" t="n">
        <v>8</v>
      </c>
      <c r="AL2700" t="n">
        <v>0</v>
      </c>
      <c r="AM2700" t="n">
        <v>0</v>
      </c>
      <c r="AN2700" t="n">
        <v>0</v>
      </c>
      <c r="AO2700" t="n">
        <v>0</v>
      </c>
      <c r="AP2700" t="inlineStr">
        <is>
          <t>No</t>
        </is>
      </c>
      <c r="AQ2700" t="inlineStr">
        <is>
          <t>Yes</t>
        </is>
      </c>
      <c r="AR2700">
        <f>HYPERLINK("http://catalog.hathitrust.org/Record/001416553","HathiTrust Record")</f>
        <v/>
      </c>
      <c r="AS2700">
        <f>HYPERLINK("https://creighton-primo.hosted.exlibrisgroup.com/primo-explore/search?tab=default_tab&amp;search_scope=EVERYTHING&amp;vid=01CRU&amp;lang=en_US&amp;offset=0&amp;query=any,contains,991003600649702656","Catalog Record")</f>
        <v/>
      </c>
      <c r="AT2700">
        <f>HYPERLINK("http://www.worldcat.org/oclc/2882972","WorldCat Record")</f>
        <v/>
      </c>
      <c r="AU2700" t="inlineStr">
        <is>
          <t>4160831801:eng</t>
        </is>
      </c>
      <c r="AV2700" t="inlineStr">
        <is>
          <t>2882972</t>
        </is>
      </c>
      <c r="AW2700" t="inlineStr">
        <is>
          <t>991003600649702656</t>
        </is>
      </c>
      <c r="AX2700" t="inlineStr">
        <is>
          <t>991003600649702656</t>
        </is>
      </c>
      <c r="AY2700" t="inlineStr">
        <is>
          <t>2257093260002656</t>
        </is>
      </c>
      <c r="AZ2700" t="inlineStr">
        <is>
          <t>BOOK</t>
        </is>
      </c>
      <c r="BC2700" t="inlineStr">
        <is>
          <t>32285004390125</t>
        </is>
      </c>
      <c r="BD2700" t="inlineStr">
        <is>
          <t>893324232</t>
        </is>
      </c>
    </row>
    <row r="2701">
      <c r="A2701" t="inlineStr">
        <is>
          <t>No</t>
        </is>
      </c>
      <c r="B2701" t="inlineStr">
        <is>
          <t>BX5133.N4 P3 1966</t>
        </is>
      </c>
      <c r="C2701" t="inlineStr">
        <is>
          <t>0                      BX 5133000N  4                  P  3           1966</t>
        </is>
      </c>
      <c r="D2701" t="inlineStr">
        <is>
          <t>Parochial and plain sermons / by John Henry Newman.</t>
        </is>
      </c>
      <c r="E2701" t="inlineStr">
        <is>
          <t>V. 3</t>
        </is>
      </c>
      <c r="F2701" t="inlineStr">
        <is>
          <t>Yes</t>
        </is>
      </c>
      <c r="G2701" t="inlineStr">
        <is>
          <t>1</t>
        </is>
      </c>
      <c r="H2701" t="inlineStr">
        <is>
          <t>No</t>
        </is>
      </c>
      <c r="I2701" t="inlineStr">
        <is>
          <t>No</t>
        </is>
      </c>
      <c r="J2701" t="inlineStr">
        <is>
          <t>0</t>
        </is>
      </c>
      <c r="K2701" t="inlineStr">
        <is>
          <t>Newman, John Henry, 1801-1890.</t>
        </is>
      </c>
      <c r="L2701" t="inlineStr">
        <is>
          <t>Westminster, Md., Christian Classics, inc., 1966-</t>
        </is>
      </c>
      <c r="M2701" t="inlineStr">
        <is>
          <t>1966</t>
        </is>
      </c>
      <c r="O2701" t="inlineStr">
        <is>
          <t>eng</t>
        </is>
      </c>
      <c r="P2701" t="inlineStr">
        <is>
          <t>mdu</t>
        </is>
      </c>
      <c r="R2701" t="inlineStr">
        <is>
          <t xml:space="preserve">BX </t>
        </is>
      </c>
      <c r="S2701" t="n">
        <v>1</v>
      </c>
      <c r="T2701" t="n">
        <v>7</v>
      </c>
      <c r="U2701" t="inlineStr">
        <is>
          <t>2001-09-12</t>
        </is>
      </c>
      <c r="V2701" t="inlineStr">
        <is>
          <t>2007-01-17</t>
        </is>
      </c>
      <c r="W2701" t="inlineStr">
        <is>
          <t>2001-09-11</t>
        </is>
      </c>
      <c r="X2701" t="inlineStr">
        <is>
          <t>2001-09-11</t>
        </is>
      </c>
      <c r="Y2701" t="n">
        <v>139</v>
      </c>
      <c r="Z2701" t="n">
        <v>133</v>
      </c>
      <c r="AA2701" t="n">
        <v>135</v>
      </c>
      <c r="AB2701" t="n">
        <v>4</v>
      </c>
      <c r="AC2701" t="n">
        <v>4</v>
      </c>
      <c r="AD2701" t="n">
        <v>10</v>
      </c>
      <c r="AE2701" t="n">
        <v>10</v>
      </c>
      <c r="AF2701" t="n">
        <v>2</v>
      </c>
      <c r="AG2701" t="n">
        <v>2</v>
      </c>
      <c r="AH2701" t="n">
        <v>3</v>
      </c>
      <c r="AI2701" t="n">
        <v>3</v>
      </c>
      <c r="AJ2701" t="n">
        <v>8</v>
      </c>
      <c r="AK2701" t="n">
        <v>8</v>
      </c>
      <c r="AL2701" t="n">
        <v>0</v>
      </c>
      <c r="AM2701" t="n">
        <v>0</v>
      </c>
      <c r="AN2701" t="n">
        <v>0</v>
      </c>
      <c r="AO2701" t="n">
        <v>0</v>
      </c>
      <c r="AP2701" t="inlineStr">
        <is>
          <t>No</t>
        </is>
      </c>
      <c r="AQ2701" t="inlineStr">
        <is>
          <t>Yes</t>
        </is>
      </c>
      <c r="AR2701">
        <f>HYPERLINK("http://catalog.hathitrust.org/Record/001416553","HathiTrust Record")</f>
        <v/>
      </c>
      <c r="AS2701">
        <f>HYPERLINK("https://creighton-primo.hosted.exlibrisgroup.com/primo-explore/search?tab=default_tab&amp;search_scope=EVERYTHING&amp;vid=01CRU&amp;lang=en_US&amp;offset=0&amp;query=any,contains,991003600649702656","Catalog Record")</f>
        <v/>
      </c>
      <c r="AT2701">
        <f>HYPERLINK("http://www.worldcat.org/oclc/2882972","WorldCat Record")</f>
        <v/>
      </c>
      <c r="AU2701" t="inlineStr">
        <is>
          <t>4160831801:eng</t>
        </is>
      </c>
      <c r="AV2701" t="inlineStr">
        <is>
          <t>2882972</t>
        </is>
      </c>
      <c r="AW2701" t="inlineStr">
        <is>
          <t>991003600649702656</t>
        </is>
      </c>
      <c r="AX2701" t="inlineStr">
        <is>
          <t>991003600649702656</t>
        </is>
      </c>
      <c r="AY2701" t="inlineStr">
        <is>
          <t>2257093260002656</t>
        </is>
      </c>
      <c r="AZ2701" t="inlineStr">
        <is>
          <t>BOOK</t>
        </is>
      </c>
      <c r="BC2701" t="inlineStr">
        <is>
          <t>32285004390117</t>
        </is>
      </c>
      <c r="BD2701" t="inlineStr">
        <is>
          <t>893336687</t>
        </is>
      </c>
    </row>
    <row r="2702">
      <c r="A2702" t="inlineStr">
        <is>
          <t>No</t>
        </is>
      </c>
      <c r="B2702" t="inlineStr">
        <is>
          <t>BX5133.N4 P3 1966</t>
        </is>
      </c>
      <c r="C2702" t="inlineStr">
        <is>
          <t>0                      BX 5133000N  4                  P  3           1966</t>
        </is>
      </c>
      <c r="D2702" t="inlineStr">
        <is>
          <t>Parochial and plain sermons / by John Henry Newman.</t>
        </is>
      </c>
      <c r="E2702" t="inlineStr">
        <is>
          <t>V. 5</t>
        </is>
      </c>
      <c r="F2702" t="inlineStr">
        <is>
          <t>Yes</t>
        </is>
      </c>
      <c r="G2702" t="inlineStr">
        <is>
          <t>1</t>
        </is>
      </c>
      <c r="H2702" t="inlineStr">
        <is>
          <t>No</t>
        </is>
      </c>
      <c r="I2702" t="inlineStr">
        <is>
          <t>No</t>
        </is>
      </c>
      <c r="J2702" t="inlineStr">
        <is>
          <t>0</t>
        </is>
      </c>
      <c r="K2702" t="inlineStr">
        <is>
          <t>Newman, John Henry, 1801-1890.</t>
        </is>
      </c>
      <c r="L2702" t="inlineStr">
        <is>
          <t>Westminster, Md., Christian Classics, inc., 1966-</t>
        </is>
      </c>
      <c r="M2702" t="inlineStr">
        <is>
          <t>1966</t>
        </is>
      </c>
      <c r="O2702" t="inlineStr">
        <is>
          <t>eng</t>
        </is>
      </c>
      <c r="P2702" t="inlineStr">
        <is>
          <t>mdu</t>
        </is>
      </c>
      <c r="R2702" t="inlineStr">
        <is>
          <t xml:space="preserve">BX </t>
        </is>
      </c>
      <c r="S2702" t="n">
        <v>2</v>
      </c>
      <c r="T2702" t="n">
        <v>7</v>
      </c>
      <c r="U2702" t="inlineStr">
        <is>
          <t>2004-05-25</t>
        </is>
      </c>
      <c r="V2702" t="inlineStr">
        <is>
          <t>2007-01-17</t>
        </is>
      </c>
      <c r="W2702" t="inlineStr">
        <is>
          <t>2001-09-11</t>
        </is>
      </c>
      <c r="X2702" t="inlineStr">
        <is>
          <t>2001-09-11</t>
        </is>
      </c>
      <c r="Y2702" t="n">
        <v>139</v>
      </c>
      <c r="Z2702" t="n">
        <v>133</v>
      </c>
      <c r="AA2702" t="n">
        <v>135</v>
      </c>
      <c r="AB2702" t="n">
        <v>4</v>
      </c>
      <c r="AC2702" t="n">
        <v>4</v>
      </c>
      <c r="AD2702" t="n">
        <v>10</v>
      </c>
      <c r="AE2702" t="n">
        <v>10</v>
      </c>
      <c r="AF2702" t="n">
        <v>2</v>
      </c>
      <c r="AG2702" t="n">
        <v>2</v>
      </c>
      <c r="AH2702" t="n">
        <v>3</v>
      </c>
      <c r="AI2702" t="n">
        <v>3</v>
      </c>
      <c r="AJ2702" t="n">
        <v>8</v>
      </c>
      <c r="AK2702" t="n">
        <v>8</v>
      </c>
      <c r="AL2702" t="n">
        <v>0</v>
      </c>
      <c r="AM2702" t="n">
        <v>0</v>
      </c>
      <c r="AN2702" t="n">
        <v>0</v>
      </c>
      <c r="AO2702" t="n">
        <v>0</v>
      </c>
      <c r="AP2702" t="inlineStr">
        <is>
          <t>No</t>
        </is>
      </c>
      <c r="AQ2702" t="inlineStr">
        <is>
          <t>Yes</t>
        </is>
      </c>
      <c r="AR2702">
        <f>HYPERLINK("http://catalog.hathitrust.org/Record/001416553","HathiTrust Record")</f>
        <v/>
      </c>
      <c r="AS2702">
        <f>HYPERLINK("https://creighton-primo.hosted.exlibrisgroup.com/primo-explore/search?tab=default_tab&amp;search_scope=EVERYTHING&amp;vid=01CRU&amp;lang=en_US&amp;offset=0&amp;query=any,contains,991003600649702656","Catalog Record")</f>
        <v/>
      </c>
      <c r="AT2702">
        <f>HYPERLINK("http://www.worldcat.org/oclc/2882972","WorldCat Record")</f>
        <v/>
      </c>
      <c r="AU2702" t="inlineStr">
        <is>
          <t>4160831801:eng</t>
        </is>
      </c>
      <c r="AV2702" t="inlineStr">
        <is>
          <t>2882972</t>
        </is>
      </c>
      <c r="AW2702" t="inlineStr">
        <is>
          <t>991003600649702656</t>
        </is>
      </c>
      <c r="AX2702" t="inlineStr">
        <is>
          <t>991003600649702656</t>
        </is>
      </c>
      <c r="AY2702" t="inlineStr">
        <is>
          <t>2257093260002656</t>
        </is>
      </c>
      <c r="AZ2702" t="inlineStr">
        <is>
          <t>BOOK</t>
        </is>
      </c>
      <c r="BC2702" t="inlineStr">
        <is>
          <t>32285004390133</t>
        </is>
      </c>
      <c r="BD2702" t="inlineStr">
        <is>
          <t>893330543</t>
        </is>
      </c>
    </row>
    <row r="2703">
      <c r="A2703" t="inlineStr">
        <is>
          <t>No</t>
        </is>
      </c>
      <c r="B2703" t="inlineStr">
        <is>
          <t>BX5133.N4 P3 1966</t>
        </is>
      </c>
      <c r="C2703" t="inlineStr">
        <is>
          <t>0                      BX 5133000N  4                  P  3           1966</t>
        </is>
      </c>
      <c r="D2703" t="inlineStr">
        <is>
          <t>Parochial and plain sermons / by John Henry Newman.</t>
        </is>
      </c>
      <c r="E2703" t="inlineStr">
        <is>
          <t>V. 2</t>
        </is>
      </c>
      <c r="F2703" t="inlineStr">
        <is>
          <t>Yes</t>
        </is>
      </c>
      <c r="G2703" t="inlineStr">
        <is>
          <t>1</t>
        </is>
      </c>
      <c r="H2703" t="inlineStr">
        <is>
          <t>No</t>
        </is>
      </c>
      <c r="I2703" t="inlineStr">
        <is>
          <t>No</t>
        </is>
      </c>
      <c r="J2703" t="inlineStr">
        <is>
          <t>0</t>
        </is>
      </c>
      <c r="K2703" t="inlineStr">
        <is>
          <t>Newman, John Henry, 1801-1890.</t>
        </is>
      </c>
      <c r="L2703" t="inlineStr">
        <is>
          <t>Westminster, Md., Christian Classics, inc., 1966-</t>
        </is>
      </c>
      <c r="M2703" t="inlineStr">
        <is>
          <t>1966</t>
        </is>
      </c>
      <c r="O2703" t="inlineStr">
        <is>
          <t>eng</t>
        </is>
      </c>
      <c r="P2703" t="inlineStr">
        <is>
          <t>mdu</t>
        </is>
      </c>
      <c r="R2703" t="inlineStr">
        <is>
          <t xml:space="preserve">BX </t>
        </is>
      </c>
      <c r="S2703" t="n">
        <v>2</v>
      </c>
      <c r="T2703" t="n">
        <v>7</v>
      </c>
      <c r="U2703" t="inlineStr">
        <is>
          <t>2007-01-17</t>
        </is>
      </c>
      <c r="V2703" t="inlineStr">
        <is>
          <t>2007-01-17</t>
        </is>
      </c>
      <c r="W2703" t="inlineStr">
        <is>
          <t>2001-09-11</t>
        </is>
      </c>
      <c r="X2703" t="inlineStr">
        <is>
          <t>2001-09-11</t>
        </is>
      </c>
      <c r="Y2703" t="n">
        <v>139</v>
      </c>
      <c r="Z2703" t="n">
        <v>133</v>
      </c>
      <c r="AA2703" t="n">
        <v>135</v>
      </c>
      <c r="AB2703" t="n">
        <v>4</v>
      </c>
      <c r="AC2703" t="n">
        <v>4</v>
      </c>
      <c r="AD2703" t="n">
        <v>10</v>
      </c>
      <c r="AE2703" t="n">
        <v>10</v>
      </c>
      <c r="AF2703" t="n">
        <v>2</v>
      </c>
      <c r="AG2703" t="n">
        <v>2</v>
      </c>
      <c r="AH2703" t="n">
        <v>3</v>
      </c>
      <c r="AI2703" t="n">
        <v>3</v>
      </c>
      <c r="AJ2703" t="n">
        <v>8</v>
      </c>
      <c r="AK2703" t="n">
        <v>8</v>
      </c>
      <c r="AL2703" t="n">
        <v>0</v>
      </c>
      <c r="AM2703" t="n">
        <v>0</v>
      </c>
      <c r="AN2703" t="n">
        <v>0</v>
      </c>
      <c r="AO2703" t="n">
        <v>0</v>
      </c>
      <c r="AP2703" t="inlineStr">
        <is>
          <t>No</t>
        </is>
      </c>
      <c r="AQ2703" t="inlineStr">
        <is>
          <t>Yes</t>
        </is>
      </c>
      <c r="AR2703">
        <f>HYPERLINK("http://catalog.hathitrust.org/Record/001416553","HathiTrust Record")</f>
        <v/>
      </c>
      <c r="AS2703">
        <f>HYPERLINK("https://creighton-primo.hosted.exlibrisgroup.com/primo-explore/search?tab=default_tab&amp;search_scope=EVERYTHING&amp;vid=01CRU&amp;lang=en_US&amp;offset=0&amp;query=any,contains,991003600649702656","Catalog Record")</f>
        <v/>
      </c>
      <c r="AT2703">
        <f>HYPERLINK("http://www.worldcat.org/oclc/2882972","WorldCat Record")</f>
        <v/>
      </c>
      <c r="AU2703" t="inlineStr">
        <is>
          <t>4160831801:eng</t>
        </is>
      </c>
      <c r="AV2703" t="inlineStr">
        <is>
          <t>2882972</t>
        </is>
      </c>
      <c r="AW2703" t="inlineStr">
        <is>
          <t>991003600649702656</t>
        </is>
      </c>
      <c r="AX2703" t="inlineStr">
        <is>
          <t>991003600649702656</t>
        </is>
      </c>
      <c r="AY2703" t="inlineStr">
        <is>
          <t>2257093260002656</t>
        </is>
      </c>
      <c r="AZ2703" t="inlineStr">
        <is>
          <t>BOOK</t>
        </is>
      </c>
      <c r="BC2703" t="inlineStr">
        <is>
          <t>32285004390109</t>
        </is>
      </c>
      <c r="BD2703" t="inlineStr">
        <is>
          <t>893324233</t>
        </is>
      </c>
    </row>
    <row r="2704">
      <c r="A2704" t="inlineStr">
        <is>
          <t>No</t>
        </is>
      </c>
      <c r="B2704" t="inlineStr">
        <is>
          <t>BX5133.N4 P32 1994</t>
        </is>
      </c>
      <c r="C2704" t="inlineStr">
        <is>
          <t>0                      BX 5133000N  4                  P  32          1994</t>
        </is>
      </c>
      <c r="D2704" t="inlineStr">
        <is>
          <t>Selected sermons / John Henry Newman ; edited, with an introduction by Ian Ker ; preface by Henry Chadwick.</t>
        </is>
      </c>
      <c r="F2704" t="inlineStr">
        <is>
          <t>No</t>
        </is>
      </c>
      <c r="G2704" t="inlineStr">
        <is>
          <t>1</t>
        </is>
      </c>
      <c r="H2704" t="inlineStr">
        <is>
          <t>No</t>
        </is>
      </c>
      <c r="I2704" t="inlineStr">
        <is>
          <t>No</t>
        </is>
      </c>
      <c r="J2704" t="inlineStr">
        <is>
          <t>0</t>
        </is>
      </c>
      <c r="K2704" t="inlineStr">
        <is>
          <t>Newman, John Henry, 1801-1890.</t>
        </is>
      </c>
      <c r="L2704" t="inlineStr">
        <is>
          <t>New York : Paulist Press, c1994.</t>
        </is>
      </c>
      <c r="M2704" t="inlineStr">
        <is>
          <t>1994</t>
        </is>
      </c>
      <c r="O2704" t="inlineStr">
        <is>
          <t>eng</t>
        </is>
      </c>
      <c r="P2704" t="inlineStr">
        <is>
          <t>nyu</t>
        </is>
      </c>
      <c r="Q2704" t="inlineStr">
        <is>
          <t>The Classics of Western spirituality</t>
        </is>
      </c>
      <c r="R2704" t="inlineStr">
        <is>
          <t xml:space="preserve">BX </t>
        </is>
      </c>
      <c r="S2704" t="n">
        <v>3</v>
      </c>
      <c r="T2704" t="n">
        <v>3</v>
      </c>
      <c r="U2704" t="inlineStr">
        <is>
          <t>2005-07-09</t>
        </is>
      </c>
      <c r="V2704" t="inlineStr">
        <is>
          <t>2005-07-09</t>
        </is>
      </c>
      <c r="W2704" t="inlineStr">
        <is>
          <t>1994-06-02</t>
        </is>
      </c>
      <c r="X2704" t="inlineStr">
        <is>
          <t>1994-06-02</t>
        </is>
      </c>
      <c r="Y2704" t="n">
        <v>541</v>
      </c>
      <c r="Z2704" t="n">
        <v>475</v>
      </c>
      <c r="AA2704" t="n">
        <v>478</v>
      </c>
      <c r="AB2704" t="n">
        <v>6</v>
      </c>
      <c r="AC2704" t="n">
        <v>6</v>
      </c>
      <c r="AD2704" t="n">
        <v>41</v>
      </c>
      <c r="AE2704" t="n">
        <v>42</v>
      </c>
      <c r="AF2704" t="n">
        <v>19</v>
      </c>
      <c r="AG2704" t="n">
        <v>19</v>
      </c>
      <c r="AH2704" t="n">
        <v>8</v>
      </c>
      <c r="AI2704" t="n">
        <v>8</v>
      </c>
      <c r="AJ2704" t="n">
        <v>23</v>
      </c>
      <c r="AK2704" t="n">
        <v>24</v>
      </c>
      <c r="AL2704" t="n">
        <v>3</v>
      </c>
      <c r="AM2704" t="n">
        <v>3</v>
      </c>
      <c r="AN2704" t="n">
        <v>0</v>
      </c>
      <c r="AO2704" t="n">
        <v>0</v>
      </c>
      <c r="AP2704" t="inlineStr">
        <is>
          <t>No</t>
        </is>
      </c>
      <c r="AQ2704" t="inlineStr">
        <is>
          <t>Yes</t>
        </is>
      </c>
      <c r="AR2704">
        <f>HYPERLINK("http://catalog.hathitrust.org/Record/002818103","HathiTrust Record")</f>
        <v/>
      </c>
      <c r="AS2704">
        <f>HYPERLINK("https://creighton-primo.hosted.exlibrisgroup.com/primo-explore/search?tab=default_tab&amp;search_scope=EVERYTHING&amp;vid=01CRU&amp;lang=en_US&amp;offset=0&amp;query=any,contains,991002268989702656","Catalog Record")</f>
        <v/>
      </c>
      <c r="AT2704">
        <f>HYPERLINK("http://www.worldcat.org/oclc/29429696","WorldCat Record")</f>
        <v/>
      </c>
      <c r="AU2704" t="inlineStr">
        <is>
          <t>229999657:eng</t>
        </is>
      </c>
      <c r="AV2704" t="inlineStr">
        <is>
          <t>29429696</t>
        </is>
      </c>
      <c r="AW2704" t="inlineStr">
        <is>
          <t>991002268989702656</t>
        </is>
      </c>
      <c r="AX2704" t="inlineStr">
        <is>
          <t>991002268989702656</t>
        </is>
      </c>
      <c r="AY2704" t="inlineStr">
        <is>
          <t>2271400780002656</t>
        </is>
      </c>
      <c r="AZ2704" t="inlineStr">
        <is>
          <t>BOOK</t>
        </is>
      </c>
      <c r="BB2704" t="inlineStr">
        <is>
          <t>9780809104659</t>
        </is>
      </c>
      <c r="BC2704" t="inlineStr">
        <is>
          <t>32285001915668</t>
        </is>
      </c>
      <c r="BD2704" t="inlineStr">
        <is>
          <t>893773408</t>
        </is>
      </c>
    </row>
    <row r="2705">
      <c r="A2705" t="inlineStr">
        <is>
          <t>No</t>
        </is>
      </c>
      <c r="B2705" t="inlineStr">
        <is>
          <t>BX5133.N4 P33</t>
        </is>
      </c>
      <c r="C2705" t="inlineStr">
        <is>
          <t>0                      BX 5133000N  4                  P  33</t>
        </is>
      </c>
      <c r="D2705" t="inlineStr">
        <is>
          <t>Newman at St. Mary's : a selection of the parochial and plain sermons; edited with an introduction by Lawrence F. Barmann. --</t>
        </is>
      </c>
      <c r="F2705" t="inlineStr">
        <is>
          <t>No</t>
        </is>
      </c>
      <c r="G2705" t="inlineStr">
        <is>
          <t>1</t>
        </is>
      </c>
      <c r="H2705" t="inlineStr">
        <is>
          <t>Yes</t>
        </is>
      </c>
      <c r="I2705" t="inlineStr">
        <is>
          <t>No</t>
        </is>
      </c>
      <c r="J2705" t="inlineStr">
        <is>
          <t>0</t>
        </is>
      </c>
      <c r="K2705" t="inlineStr">
        <is>
          <t>Newman, John Henry, 1801-1890.</t>
        </is>
      </c>
      <c r="L2705" t="inlineStr">
        <is>
          <t>Westminster, Md. : Newman Press, 1962.</t>
        </is>
      </c>
      <c r="M2705" t="inlineStr">
        <is>
          <t>1962</t>
        </is>
      </c>
      <c r="O2705" t="inlineStr">
        <is>
          <t>eng</t>
        </is>
      </c>
      <c r="P2705" t="inlineStr">
        <is>
          <t>mdu</t>
        </is>
      </c>
      <c r="R2705" t="inlineStr">
        <is>
          <t xml:space="preserve">BX </t>
        </is>
      </c>
      <c r="S2705" t="n">
        <v>2</v>
      </c>
      <c r="T2705" t="n">
        <v>3</v>
      </c>
      <c r="U2705" t="inlineStr">
        <is>
          <t>1998-07-18</t>
        </is>
      </c>
      <c r="V2705" t="inlineStr">
        <is>
          <t>1998-07-18</t>
        </is>
      </c>
      <c r="W2705" t="inlineStr">
        <is>
          <t>1992-04-27</t>
        </is>
      </c>
      <c r="X2705" t="inlineStr">
        <is>
          <t>1992-04-27</t>
        </is>
      </c>
      <c r="Y2705" t="n">
        <v>157</v>
      </c>
      <c r="Z2705" t="n">
        <v>140</v>
      </c>
      <c r="AA2705" t="n">
        <v>146</v>
      </c>
      <c r="AB2705" t="n">
        <v>1</v>
      </c>
      <c r="AC2705" t="n">
        <v>1</v>
      </c>
      <c r="AD2705" t="n">
        <v>21</v>
      </c>
      <c r="AE2705" t="n">
        <v>21</v>
      </c>
      <c r="AF2705" t="n">
        <v>6</v>
      </c>
      <c r="AG2705" t="n">
        <v>6</v>
      </c>
      <c r="AH2705" t="n">
        <v>8</v>
      </c>
      <c r="AI2705" t="n">
        <v>8</v>
      </c>
      <c r="AJ2705" t="n">
        <v>15</v>
      </c>
      <c r="AK2705" t="n">
        <v>15</v>
      </c>
      <c r="AL2705" t="n">
        <v>0</v>
      </c>
      <c r="AM2705" t="n">
        <v>0</v>
      </c>
      <c r="AN2705" t="n">
        <v>0</v>
      </c>
      <c r="AO2705" t="n">
        <v>0</v>
      </c>
      <c r="AP2705" t="inlineStr">
        <is>
          <t>No</t>
        </is>
      </c>
      <c r="AQ2705" t="inlineStr">
        <is>
          <t>No</t>
        </is>
      </c>
      <c r="AS2705">
        <f>HYPERLINK("https://creighton-primo.hosted.exlibrisgroup.com/primo-explore/search?tab=default_tab&amp;search_scope=EVERYTHING&amp;vid=01CRU&amp;lang=en_US&amp;offset=0&amp;query=any,contains,991003317419702656","Catalog Record")</f>
        <v/>
      </c>
      <c r="AT2705">
        <f>HYPERLINK("http://www.worldcat.org/oclc/842870","WorldCat Record")</f>
        <v/>
      </c>
      <c r="AU2705" t="inlineStr">
        <is>
          <t>1781879831:eng</t>
        </is>
      </c>
      <c r="AV2705" t="inlineStr">
        <is>
          <t>842870</t>
        </is>
      </c>
      <c r="AW2705" t="inlineStr">
        <is>
          <t>991003317419702656</t>
        </is>
      </c>
      <c r="AX2705" t="inlineStr">
        <is>
          <t>991003317419702656</t>
        </is>
      </c>
      <c r="AY2705" t="inlineStr">
        <is>
          <t>2265617420002656</t>
        </is>
      </c>
      <c r="AZ2705" t="inlineStr">
        <is>
          <t>BOOK</t>
        </is>
      </c>
      <c r="BC2705" t="inlineStr">
        <is>
          <t>32285001101491</t>
        </is>
      </c>
      <c r="BD2705" t="inlineStr">
        <is>
          <t>893787212</t>
        </is>
      </c>
    </row>
    <row r="2706">
      <c r="A2706" t="inlineStr">
        <is>
          <t>No</t>
        </is>
      </c>
      <c r="B2706" t="inlineStr">
        <is>
          <t>BX5133.N4 P33</t>
        </is>
      </c>
      <c r="C2706" t="inlineStr">
        <is>
          <t>0                      BX 5133000N  4                  P  33</t>
        </is>
      </c>
      <c r="D2706" t="inlineStr">
        <is>
          <t>Newman at St. Mary's : a selection of the parochial and plain sermons; edited with an introduction by Lawrence F. Barmann. --</t>
        </is>
      </c>
      <c r="F2706" t="inlineStr">
        <is>
          <t>No</t>
        </is>
      </c>
      <c r="G2706" t="inlineStr">
        <is>
          <t>1</t>
        </is>
      </c>
      <c r="H2706" t="inlineStr">
        <is>
          <t>Yes</t>
        </is>
      </c>
      <c r="I2706" t="inlineStr">
        <is>
          <t>No</t>
        </is>
      </c>
      <c r="J2706" t="inlineStr">
        <is>
          <t>0</t>
        </is>
      </c>
      <c r="K2706" t="inlineStr">
        <is>
          <t>Newman, John Henry, 1801-1890.</t>
        </is>
      </c>
      <c r="L2706" t="inlineStr">
        <is>
          <t>Westminster, Md. : Newman Press, 1962.</t>
        </is>
      </c>
      <c r="M2706" t="inlineStr">
        <is>
          <t>1962</t>
        </is>
      </c>
      <c r="O2706" t="inlineStr">
        <is>
          <t>eng</t>
        </is>
      </c>
      <c r="P2706" t="inlineStr">
        <is>
          <t>mdu</t>
        </is>
      </c>
      <c r="R2706" t="inlineStr">
        <is>
          <t xml:space="preserve">BX </t>
        </is>
      </c>
      <c r="S2706" t="n">
        <v>1</v>
      </c>
      <c r="T2706" t="n">
        <v>3</v>
      </c>
      <c r="U2706" t="inlineStr">
        <is>
          <t>1998-07-18</t>
        </is>
      </c>
      <c r="V2706" t="inlineStr">
        <is>
          <t>1998-07-18</t>
        </is>
      </c>
      <c r="W2706" t="inlineStr">
        <is>
          <t>1992-04-27</t>
        </is>
      </c>
      <c r="X2706" t="inlineStr">
        <is>
          <t>1992-04-27</t>
        </is>
      </c>
      <c r="Y2706" t="n">
        <v>157</v>
      </c>
      <c r="Z2706" t="n">
        <v>140</v>
      </c>
      <c r="AA2706" t="n">
        <v>146</v>
      </c>
      <c r="AB2706" t="n">
        <v>1</v>
      </c>
      <c r="AC2706" t="n">
        <v>1</v>
      </c>
      <c r="AD2706" t="n">
        <v>21</v>
      </c>
      <c r="AE2706" t="n">
        <v>21</v>
      </c>
      <c r="AF2706" t="n">
        <v>6</v>
      </c>
      <c r="AG2706" t="n">
        <v>6</v>
      </c>
      <c r="AH2706" t="n">
        <v>8</v>
      </c>
      <c r="AI2706" t="n">
        <v>8</v>
      </c>
      <c r="AJ2706" t="n">
        <v>15</v>
      </c>
      <c r="AK2706" t="n">
        <v>15</v>
      </c>
      <c r="AL2706" t="n">
        <v>0</v>
      </c>
      <c r="AM2706" t="n">
        <v>0</v>
      </c>
      <c r="AN2706" t="n">
        <v>0</v>
      </c>
      <c r="AO2706" t="n">
        <v>0</v>
      </c>
      <c r="AP2706" t="inlineStr">
        <is>
          <t>No</t>
        </is>
      </c>
      <c r="AQ2706" t="inlineStr">
        <is>
          <t>No</t>
        </is>
      </c>
      <c r="AS2706">
        <f>HYPERLINK("https://creighton-primo.hosted.exlibrisgroup.com/primo-explore/search?tab=default_tab&amp;search_scope=EVERYTHING&amp;vid=01CRU&amp;lang=en_US&amp;offset=0&amp;query=any,contains,991003317419702656","Catalog Record")</f>
        <v/>
      </c>
      <c r="AT2706">
        <f>HYPERLINK("http://www.worldcat.org/oclc/842870","WorldCat Record")</f>
        <v/>
      </c>
      <c r="AU2706" t="inlineStr">
        <is>
          <t>1781879831:eng</t>
        </is>
      </c>
      <c r="AV2706" t="inlineStr">
        <is>
          <t>842870</t>
        </is>
      </c>
      <c r="AW2706" t="inlineStr">
        <is>
          <t>991003317419702656</t>
        </is>
      </c>
      <c r="AX2706" t="inlineStr">
        <is>
          <t>991003317419702656</t>
        </is>
      </c>
      <c r="AY2706" t="inlineStr">
        <is>
          <t>2265617420002656</t>
        </is>
      </c>
      <c r="AZ2706" t="inlineStr">
        <is>
          <t>BOOK</t>
        </is>
      </c>
      <c r="BC2706" t="inlineStr">
        <is>
          <t>32285001101517</t>
        </is>
      </c>
      <c r="BD2706" t="inlineStr">
        <is>
          <t>893805662</t>
        </is>
      </c>
    </row>
    <row r="2707">
      <c r="A2707" t="inlineStr">
        <is>
          <t>No</t>
        </is>
      </c>
      <c r="B2707" t="inlineStr">
        <is>
          <t>BX5137.B52 T4</t>
        </is>
      </c>
      <c r="C2707" t="inlineStr">
        <is>
          <t>0                      BX 5137000B  52                 T  4</t>
        </is>
      </c>
      <c r="D2707" t="inlineStr">
        <is>
          <t>A theological introduction to the Thirty-nine articles of the Church of England / by E.J. Bicknell.</t>
        </is>
      </c>
      <c r="F2707" t="inlineStr">
        <is>
          <t>No</t>
        </is>
      </c>
      <c r="G2707" t="inlineStr">
        <is>
          <t>1</t>
        </is>
      </c>
      <c r="H2707" t="inlineStr">
        <is>
          <t>No</t>
        </is>
      </c>
      <c r="I2707" t="inlineStr">
        <is>
          <t>No</t>
        </is>
      </c>
      <c r="J2707" t="inlineStr">
        <is>
          <t>0</t>
        </is>
      </c>
      <c r="K2707" t="inlineStr">
        <is>
          <t>Bicknell, E. J. (Edward John), 1882-1934.</t>
        </is>
      </c>
      <c r="L2707" t="inlineStr">
        <is>
          <t>London ; New York : Longmans, [1955]</t>
        </is>
      </c>
      <c r="M2707" t="inlineStr">
        <is>
          <t>1955</t>
        </is>
      </c>
      <c r="N2707" t="inlineStr">
        <is>
          <t>3d ed., rev. by H. J. Carpenter.</t>
        </is>
      </c>
      <c r="O2707" t="inlineStr">
        <is>
          <t>eng</t>
        </is>
      </c>
      <c r="P2707" t="inlineStr">
        <is>
          <t>___</t>
        </is>
      </c>
      <c r="R2707" t="inlineStr">
        <is>
          <t xml:space="preserve">BX </t>
        </is>
      </c>
      <c r="S2707" t="n">
        <v>7</v>
      </c>
      <c r="T2707" t="n">
        <v>7</v>
      </c>
      <c r="U2707" t="inlineStr">
        <is>
          <t>2004-04-18</t>
        </is>
      </c>
      <c r="V2707" t="inlineStr">
        <is>
          <t>2004-04-18</t>
        </is>
      </c>
      <c r="W2707" t="inlineStr">
        <is>
          <t>1992-04-27</t>
        </is>
      </c>
      <c r="X2707" t="inlineStr">
        <is>
          <t>1992-04-27</t>
        </is>
      </c>
      <c r="Y2707" t="n">
        <v>226</v>
      </c>
      <c r="Z2707" t="n">
        <v>198</v>
      </c>
      <c r="AA2707" t="n">
        <v>324</v>
      </c>
      <c r="AB2707" t="n">
        <v>2</v>
      </c>
      <c r="AC2707" t="n">
        <v>2</v>
      </c>
      <c r="AD2707" t="n">
        <v>10</v>
      </c>
      <c r="AE2707" t="n">
        <v>18</v>
      </c>
      <c r="AF2707" t="n">
        <v>1</v>
      </c>
      <c r="AG2707" t="n">
        <v>4</v>
      </c>
      <c r="AH2707" t="n">
        <v>1</v>
      </c>
      <c r="AI2707" t="n">
        <v>5</v>
      </c>
      <c r="AJ2707" t="n">
        <v>7</v>
      </c>
      <c r="AK2707" t="n">
        <v>11</v>
      </c>
      <c r="AL2707" t="n">
        <v>1</v>
      </c>
      <c r="AM2707" t="n">
        <v>1</v>
      </c>
      <c r="AN2707" t="n">
        <v>0</v>
      </c>
      <c r="AO2707" t="n">
        <v>0</v>
      </c>
      <c r="AP2707" t="inlineStr">
        <is>
          <t>No</t>
        </is>
      </c>
      <c r="AQ2707" t="inlineStr">
        <is>
          <t>Yes</t>
        </is>
      </c>
      <c r="AR2707">
        <f>HYPERLINK("http://catalog.hathitrust.org/Record/001592783","HathiTrust Record")</f>
        <v/>
      </c>
      <c r="AS2707">
        <f>HYPERLINK("https://creighton-primo.hosted.exlibrisgroup.com/primo-explore/search?tab=default_tab&amp;search_scope=EVERYTHING&amp;vid=01CRU&amp;lang=en_US&amp;offset=0&amp;query=any,contains,991003647609702656","Catalog Record")</f>
        <v/>
      </c>
      <c r="AT2707">
        <f>HYPERLINK("http://www.worldcat.org/oclc/1249875","WorldCat Record")</f>
        <v/>
      </c>
      <c r="AU2707" t="inlineStr">
        <is>
          <t>1738799:eng</t>
        </is>
      </c>
      <c r="AV2707" t="inlineStr">
        <is>
          <t>1249875</t>
        </is>
      </c>
      <c r="AW2707" t="inlineStr">
        <is>
          <t>991003647609702656</t>
        </is>
      </c>
      <c r="AX2707" t="inlineStr">
        <is>
          <t>991003647609702656</t>
        </is>
      </c>
      <c r="AY2707" t="inlineStr">
        <is>
          <t>2262312370002656</t>
        </is>
      </c>
      <c r="AZ2707" t="inlineStr">
        <is>
          <t>BOOK</t>
        </is>
      </c>
      <c r="BC2707" t="inlineStr">
        <is>
          <t>32285001101541</t>
        </is>
      </c>
      <c r="BD2707" t="inlineStr">
        <is>
          <t>893893953</t>
        </is>
      </c>
    </row>
    <row r="2708">
      <c r="A2708" t="inlineStr">
        <is>
          <t>No</t>
        </is>
      </c>
      <c r="B2708" t="inlineStr">
        <is>
          <t>BX5141 .C8</t>
        </is>
      </c>
      <c r="C2708" t="inlineStr">
        <is>
          <t>0                      BX 5141000C  8</t>
        </is>
      </c>
      <c r="D2708" t="inlineStr">
        <is>
          <t>A history of Anglican liturgy / [by] G. J. Cuming.</t>
        </is>
      </c>
      <c r="F2708" t="inlineStr">
        <is>
          <t>No</t>
        </is>
      </c>
      <c r="G2708" t="inlineStr">
        <is>
          <t>1</t>
        </is>
      </c>
      <c r="H2708" t="inlineStr">
        <is>
          <t>No</t>
        </is>
      </c>
      <c r="I2708" t="inlineStr">
        <is>
          <t>No</t>
        </is>
      </c>
      <c r="J2708" t="inlineStr">
        <is>
          <t>0</t>
        </is>
      </c>
      <c r="K2708" t="inlineStr">
        <is>
          <t>Cuming, G. J.</t>
        </is>
      </c>
      <c r="L2708" t="inlineStr">
        <is>
          <t>London : Macmillan ; New York : St. Martin's P., 1969.</t>
        </is>
      </c>
      <c r="M2708" t="inlineStr">
        <is>
          <t>1969</t>
        </is>
      </c>
      <c r="O2708" t="inlineStr">
        <is>
          <t>eng</t>
        </is>
      </c>
      <c r="P2708" t="inlineStr">
        <is>
          <t>enk</t>
        </is>
      </c>
      <c r="R2708" t="inlineStr">
        <is>
          <t xml:space="preserve">BX </t>
        </is>
      </c>
      <c r="S2708" t="n">
        <v>5</v>
      </c>
      <c r="T2708" t="n">
        <v>5</v>
      </c>
      <c r="U2708" t="inlineStr">
        <is>
          <t>2001-11-08</t>
        </is>
      </c>
      <c r="V2708" t="inlineStr">
        <is>
          <t>2001-11-08</t>
        </is>
      </c>
      <c r="W2708" t="inlineStr">
        <is>
          <t>1990-02-06</t>
        </is>
      </c>
      <c r="X2708" t="inlineStr">
        <is>
          <t>1990-02-06</t>
        </is>
      </c>
      <c r="Y2708" t="n">
        <v>384</v>
      </c>
      <c r="Z2708" t="n">
        <v>245</v>
      </c>
      <c r="AA2708" t="n">
        <v>303</v>
      </c>
      <c r="AB2708" t="n">
        <v>2</v>
      </c>
      <c r="AC2708" t="n">
        <v>2</v>
      </c>
      <c r="AD2708" t="n">
        <v>18</v>
      </c>
      <c r="AE2708" t="n">
        <v>21</v>
      </c>
      <c r="AF2708" t="n">
        <v>4</v>
      </c>
      <c r="AG2708" t="n">
        <v>7</v>
      </c>
      <c r="AH2708" t="n">
        <v>6</v>
      </c>
      <c r="AI2708" t="n">
        <v>6</v>
      </c>
      <c r="AJ2708" t="n">
        <v>11</v>
      </c>
      <c r="AK2708" t="n">
        <v>13</v>
      </c>
      <c r="AL2708" t="n">
        <v>1</v>
      </c>
      <c r="AM2708" t="n">
        <v>1</v>
      </c>
      <c r="AN2708" t="n">
        <v>0</v>
      </c>
      <c r="AO2708" t="n">
        <v>0</v>
      </c>
      <c r="AP2708" t="inlineStr">
        <is>
          <t>No</t>
        </is>
      </c>
      <c r="AQ2708" t="inlineStr">
        <is>
          <t>Yes</t>
        </is>
      </c>
      <c r="AR2708">
        <f>HYPERLINK("http://catalog.hathitrust.org/Record/001592788","HathiTrust Record")</f>
        <v/>
      </c>
      <c r="AS2708">
        <f>HYPERLINK("https://creighton-primo.hosted.exlibrisgroup.com/primo-explore/search?tab=default_tab&amp;search_scope=EVERYTHING&amp;vid=01CRU&amp;lang=en_US&amp;offset=0&amp;query=any,contains,991000003909702656","Catalog Record")</f>
        <v/>
      </c>
      <c r="AT2708">
        <f>HYPERLINK("http://www.worldcat.org/oclc/12390","WorldCat Record")</f>
        <v/>
      </c>
      <c r="AU2708" t="inlineStr">
        <is>
          <t>1135312:eng</t>
        </is>
      </c>
      <c r="AV2708" t="inlineStr">
        <is>
          <t>12390</t>
        </is>
      </c>
      <c r="AW2708" t="inlineStr">
        <is>
          <t>991000003909702656</t>
        </is>
      </c>
      <c r="AX2708" t="inlineStr">
        <is>
          <t>991000003909702656</t>
        </is>
      </c>
      <c r="AY2708" t="inlineStr">
        <is>
          <t>2264969480002656</t>
        </is>
      </c>
      <c r="AZ2708" t="inlineStr">
        <is>
          <t>BOOK</t>
        </is>
      </c>
      <c r="BC2708" t="inlineStr">
        <is>
          <t>32285000039718</t>
        </is>
      </c>
      <c r="BD2708" t="inlineStr">
        <is>
          <t>893236986</t>
        </is>
      </c>
    </row>
    <row r="2709">
      <c r="A2709" t="inlineStr">
        <is>
          <t>No</t>
        </is>
      </c>
      <c r="B2709" t="inlineStr">
        <is>
          <t>BX5141 .S65 1999</t>
        </is>
      </c>
      <c r="C2709" t="inlineStr">
        <is>
          <t>0                      BX 5141000S  65          1999</t>
        </is>
      </c>
      <c r="D2709" t="inlineStr">
        <is>
          <t>Bearing fruit in due season : feminist hermeneutics and the Bible in worship / Elizabeth J. Smith.</t>
        </is>
      </c>
      <c r="F2709" t="inlineStr">
        <is>
          <t>No</t>
        </is>
      </c>
      <c r="G2709" t="inlineStr">
        <is>
          <t>1</t>
        </is>
      </c>
      <c r="H2709" t="inlineStr">
        <is>
          <t>No</t>
        </is>
      </c>
      <c r="I2709" t="inlineStr">
        <is>
          <t>No</t>
        </is>
      </c>
      <c r="J2709" t="inlineStr">
        <is>
          <t>0</t>
        </is>
      </c>
      <c r="K2709" t="inlineStr">
        <is>
          <t>Smith, Elizabeth J., 1956-</t>
        </is>
      </c>
      <c r="L2709" t="inlineStr">
        <is>
          <t>Collegeville, Minn. : Liturgical Press, c1999.</t>
        </is>
      </c>
      <c r="M2709" t="inlineStr">
        <is>
          <t>1999</t>
        </is>
      </c>
      <c r="O2709" t="inlineStr">
        <is>
          <t>eng</t>
        </is>
      </c>
      <c r="P2709" t="inlineStr">
        <is>
          <t>mnu</t>
        </is>
      </c>
      <c r="R2709" t="inlineStr">
        <is>
          <t xml:space="preserve">BX </t>
        </is>
      </c>
      <c r="S2709" t="n">
        <v>1</v>
      </c>
      <c r="T2709" t="n">
        <v>1</v>
      </c>
      <c r="U2709" t="inlineStr">
        <is>
          <t>2003-03-20</t>
        </is>
      </c>
      <c r="V2709" t="inlineStr">
        <is>
          <t>2003-03-20</t>
        </is>
      </c>
      <c r="W2709" t="inlineStr">
        <is>
          <t>2003-03-20</t>
        </is>
      </c>
      <c r="X2709" t="inlineStr">
        <is>
          <t>2003-03-20</t>
        </is>
      </c>
      <c r="Y2709" t="n">
        <v>160</v>
      </c>
      <c r="Z2709" t="n">
        <v>124</v>
      </c>
      <c r="AA2709" t="n">
        <v>129</v>
      </c>
      <c r="AB2709" t="n">
        <v>1</v>
      </c>
      <c r="AC2709" t="n">
        <v>1</v>
      </c>
      <c r="AD2709" t="n">
        <v>12</v>
      </c>
      <c r="AE2709" t="n">
        <v>12</v>
      </c>
      <c r="AF2709" t="n">
        <v>4</v>
      </c>
      <c r="AG2709" t="n">
        <v>4</v>
      </c>
      <c r="AH2709" t="n">
        <v>2</v>
      </c>
      <c r="AI2709" t="n">
        <v>2</v>
      </c>
      <c r="AJ2709" t="n">
        <v>9</v>
      </c>
      <c r="AK2709" t="n">
        <v>9</v>
      </c>
      <c r="AL2709" t="n">
        <v>0</v>
      </c>
      <c r="AM2709" t="n">
        <v>0</v>
      </c>
      <c r="AN2709" t="n">
        <v>0</v>
      </c>
      <c r="AO2709" t="n">
        <v>0</v>
      </c>
      <c r="AP2709" t="inlineStr">
        <is>
          <t>No</t>
        </is>
      </c>
      <c r="AQ2709" t="inlineStr">
        <is>
          <t>No</t>
        </is>
      </c>
      <c r="AS2709">
        <f>HYPERLINK("https://creighton-primo.hosted.exlibrisgroup.com/primo-explore/search?tab=default_tab&amp;search_scope=EVERYTHING&amp;vid=01CRU&amp;lang=en_US&amp;offset=0&amp;query=any,contains,991004006779702656","Catalog Record")</f>
        <v/>
      </c>
      <c r="AT2709">
        <f>HYPERLINK("http://www.worldcat.org/oclc/39052589","WorldCat Record")</f>
        <v/>
      </c>
      <c r="AU2709" t="inlineStr">
        <is>
          <t>25477994:eng</t>
        </is>
      </c>
      <c r="AV2709" t="inlineStr">
        <is>
          <t>39052589</t>
        </is>
      </c>
      <c r="AW2709" t="inlineStr">
        <is>
          <t>991004006779702656</t>
        </is>
      </c>
      <c r="AX2709" t="inlineStr">
        <is>
          <t>991004006779702656</t>
        </is>
      </c>
      <c r="AY2709" t="inlineStr">
        <is>
          <t>2259542940002656</t>
        </is>
      </c>
      <c r="AZ2709" t="inlineStr">
        <is>
          <t>BOOK</t>
        </is>
      </c>
      <c r="BB2709" t="inlineStr">
        <is>
          <t>9780814661710</t>
        </is>
      </c>
      <c r="BC2709" t="inlineStr">
        <is>
          <t>32285004685854</t>
        </is>
      </c>
      <c r="BD2709" t="inlineStr">
        <is>
          <t>893611803</t>
        </is>
      </c>
    </row>
    <row r="2710">
      <c r="A2710" t="inlineStr">
        <is>
          <t>No</t>
        </is>
      </c>
      <c r="B2710" t="inlineStr">
        <is>
          <t>BX5141.A1 M3 1844</t>
        </is>
      </c>
      <c r="C2710" t="inlineStr">
        <is>
          <t>0                      BX 5141000A  1                  M  3           1844</t>
        </is>
      </c>
      <c r="D2710" t="inlineStr">
        <is>
          <t>The ancient liturgy of the Church of England : according to the uses of Sarum, Bangor, York, &amp; Hereford, and the modern Roman liturgy arranged in parallel columns / by William Maskell.</t>
        </is>
      </c>
      <c r="F2710" t="inlineStr">
        <is>
          <t>No</t>
        </is>
      </c>
      <c r="G2710" t="inlineStr">
        <is>
          <t>1</t>
        </is>
      </c>
      <c r="H2710" t="inlineStr">
        <is>
          <t>No</t>
        </is>
      </c>
      <c r="I2710" t="inlineStr">
        <is>
          <t>No</t>
        </is>
      </c>
      <c r="J2710" t="inlineStr">
        <is>
          <t>0</t>
        </is>
      </c>
      <c r="K2710" t="inlineStr">
        <is>
          <t>Maskell, William, 1814?-1890.</t>
        </is>
      </c>
      <c r="L2710" t="inlineStr">
        <is>
          <t>London : William Pickering, 1844.</t>
        </is>
      </c>
      <c r="M2710" t="inlineStr">
        <is>
          <t>1844</t>
        </is>
      </c>
      <c r="O2710" t="inlineStr">
        <is>
          <t>eng</t>
        </is>
      </c>
      <c r="P2710" t="inlineStr">
        <is>
          <t>___</t>
        </is>
      </c>
      <c r="R2710" t="inlineStr">
        <is>
          <t xml:space="preserve">BX </t>
        </is>
      </c>
      <c r="S2710" t="n">
        <v>3</v>
      </c>
      <c r="T2710" t="n">
        <v>3</v>
      </c>
      <c r="U2710" t="inlineStr">
        <is>
          <t>1994-07-20</t>
        </is>
      </c>
      <c r="V2710" t="inlineStr">
        <is>
          <t>1994-07-20</t>
        </is>
      </c>
      <c r="W2710" t="inlineStr">
        <is>
          <t>1992-04-27</t>
        </is>
      </c>
      <c r="X2710" t="inlineStr">
        <is>
          <t>1992-04-27</t>
        </is>
      </c>
      <c r="Y2710" t="n">
        <v>22</v>
      </c>
      <c r="Z2710" t="n">
        <v>15</v>
      </c>
      <c r="AA2710" t="n">
        <v>147</v>
      </c>
      <c r="AB2710" t="n">
        <v>2</v>
      </c>
      <c r="AC2710" t="n">
        <v>2</v>
      </c>
      <c r="AD2710" t="n">
        <v>1</v>
      </c>
      <c r="AE2710" t="n">
        <v>8</v>
      </c>
      <c r="AF2710" t="n">
        <v>0</v>
      </c>
      <c r="AG2710" t="n">
        <v>0</v>
      </c>
      <c r="AH2710" t="n">
        <v>0</v>
      </c>
      <c r="AI2710" t="n">
        <v>3</v>
      </c>
      <c r="AJ2710" t="n">
        <v>1</v>
      </c>
      <c r="AK2710" t="n">
        <v>5</v>
      </c>
      <c r="AL2710" t="n">
        <v>0</v>
      </c>
      <c r="AM2710" t="n">
        <v>0</v>
      </c>
      <c r="AN2710" t="n">
        <v>0</v>
      </c>
      <c r="AO2710" t="n">
        <v>0</v>
      </c>
      <c r="AP2710" t="inlineStr">
        <is>
          <t>Yes</t>
        </is>
      </c>
      <c r="AQ2710" t="inlineStr">
        <is>
          <t>No</t>
        </is>
      </c>
      <c r="AR2710">
        <f>HYPERLINK("http://catalog.hathitrust.org/Record/011556148","HathiTrust Record")</f>
        <v/>
      </c>
      <c r="AS2710">
        <f>HYPERLINK("https://creighton-primo.hosted.exlibrisgroup.com/primo-explore/search?tab=default_tab&amp;search_scope=EVERYTHING&amp;vid=01CRU&amp;lang=en_US&amp;offset=0&amp;query=any,contains,991003678799702656","Catalog Record")</f>
        <v/>
      </c>
      <c r="AT2710">
        <f>HYPERLINK("http://www.worldcat.org/oclc/1302789","WorldCat Record")</f>
        <v/>
      </c>
      <c r="AU2710" t="inlineStr">
        <is>
          <t>1908995037:eng</t>
        </is>
      </c>
      <c r="AV2710" t="inlineStr">
        <is>
          <t>1302789</t>
        </is>
      </c>
      <c r="AW2710" t="inlineStr">
        <is>
          <t>991003678799702656</t>
        </is>
      </c>
      <c r="AX2710" t="inlineStr">
        <is>
          <t>991003678799702656</t>
        </is>
      </c>
      <c r="AY2710" t="inlineStr">
        <is>
          <t>2265186500002656</t>
        </is>
      </c>
      <c r="AZ2710" t="inlineStr">
        <is>
          <t>BOOK</t>
        </is>
      </c>
      <c r="BC2710" t="inlineStr">
        <is>
          <t>32285001101574</t>
        </is>
      </c>
      <c r="BD2710" t="inlineStr">
        <is>
          <t>893887742</t>
        </is>
      </c>
    </row>
    <row r="2711">
      <c r="A2711" t="inlineStr">
        <is>
          <t>No</t>
        </is>
      </c>
      <c r="B2711" t="inlineStr">
        <is>
          <t>BX5145 .C55 1964b</t>
        </is>
      </c>
      <c r="C2711" t="inlineStr">
        <is>
          <t>0                      BX 5145000C  55          1964b</t>
        </is>
      </c>
      <c r="D2711" t="inlineStr">
        <is>
          <t>Liturgy and worship : a companion to the prayer books of the Anglican communion / edited by W. K. Lowther Clarke, D.D., with the assistance of Charles Harris.</t>
        </is>
      </c>
      <c r="F2711" t="inlineStr">
        <is>
          <t>No</t>
        </is>
      </c>
      <c r="G2711" t="inlineStr">
        <is>
          <t>1</t>
        </is>
      </c>
      <c r="H2711" t="inlineStr">
        <is>
          <t>No</t>
        </is>
      </c>
      <c r="I2711" t="inlineStr">
        <is>
          <t>No</t>
        </is>
      </c>
      <c r="J2711" t="inlineStr">
        <is>
          <t>0</t>
        </is>
      </c>
      <c r="K2711" t="inlineStr">
        <is>
          <t>Clarke, W. K. Lowther (William Kemp Lowther), 1879-1968, editor.</t>
        </is>
      </c>
      <c r="L2711" t="inlineStr">
        <is>
          <t>London : S.P.C.K., 1964.</t>
        </is>
      </c>
      <c r="M2711" t="inlineStr">
        <is>
          <t>1964</t>
        </is>
      </c>
      <c r="O2711" t="inlineStr">
        <is>
          <t>eng</t>
        </is>
      </c>
      <c r="P2711" t="inlineStr">
        <is>
          <t>___</t>
        </is>
      </c>
      <c r="R2711" t="inlineStr">
        <is>
          <t xml:space="preserve">BX </t>
        </is>
      </c>
      <c r="S2711" t="n">
        <v>2</v>
      </c>
      <c r="T2711" t="n">
        <v>2</v>
      </c>
      <c r="U2711" t="inlineStr">
        <is>
          <t>1995-03-25</t>
        </is>
      </c>
      <c r="V2711" t="inlineStr">
        <is>
          <t>1995-03-25</t>
        </is>
      </c>
      <c r="W2711" t="inlineStr">
        <is>
          <t>1992-04-27</t>
        </is>
      </c>
      <c r="X2711" t="inlineStr">
        <is>
          <t>1992-04-27</t>
        </is>
      </c>
      <c r="Y2711" t="n">
        <v>78</v>
      </c>
      <c r="Z2711" t="n">
        <v>67</v>
      </c>
      <c r="AA2711" t="n">
        <v>387</v>
      </c>
      <c r="AB2711" t="n">
        <v>1</v>
      </c>
      <c r="AC2711" t="n">
        <v>6</v>
      </c>
      <c r="AD2711" t="n">
        <v>2</v>
      </c>
      <c r="AE2711" t="n">
        <v>18</v>
      </c>
      <c r="AF2711" t="n">
        <v>1</v>
      </c>
      <c r="AG2711" t="n">
        <v>6</v>
      </c>
      <c r="AH2711" t="n">
        <v>0</v>
      </c>
      <c r="AI2711" t="n">
        <v>3</v>
      </c>
      <c r="AJ2711" t="n">
        <v>1</v>
      </c>
      <c r="AK2711" t="n">
        <v>6</v>
      </c>
      <c r="AL2711" t="n">
        <v>0</v>
      </c>
      <c r="AM2711" t="n">
        <v>5</v>
      </c>
      <c r="AN2711" t="n">
        <v>0</v>
      </c>
      <c r="AO2711" t="n">
        <v>0</v>
      </c>
      <c r="AP2711" t="inlineStr">
        <is>
          <t>No</t>
        </is>
      </c>
      <c r="AQ2711" t="inlineStr">
        <is>
          <t>No</t>
        </is>
      </c>
      <c r="AS2711">
        <f>HYPERLINK("https://creighton-primo.hosted.exlibrisgroup.com/primo-explore/search?tab=default_tab&amp;search_scope=EVERYTHING&amp;vid=01CRU&amp;lang=en_US&amp;offset=0&amp;query=any,contains,991003660339702656","Catalog Record")</f>
        <v/>
      </c>
      <c r="AT2711">
        <f>HYPERLINK("http://www.worldcat.org/oclc/1268044","WorldCat Record")</f>
        <v/>
      </c>
      <c r="AU2711" t="inlineStr">
        <is>
          <t>2195013:eng</t>
        </is>
      </c>
      <c r="AV2711" t="inlineStr">
        <is>
          <t>1268044</t>
        </is>
      </c>
      <c r="AW2711" t="inlineStr">
        <is>
          <t>991003660339702656</t>
        </is>
      </c>
      <c r="AX2711" t="inlineStr">
        <is>
          <t>991003660339702656</t>
        </is>
      </c>
      <c r="AY2711" t="inlineStr">
        <is>
          <t>2260357270002656</t>
        </is>
      </c>
      <c r="AZ2711" t="inlineStr">
        <is>
          <t>BOOK</t>
        </is>
      </c>
      <c r="BC2711" t="inlineStr">
        <is>
          <t>32285001101632</t>
        </is>
      </c>
      <c r="BD2711" t="inlineStr">
        <is>
          <t>893793875</t>
        </is>
      </c>
    </row>
    <row r="2712">
      <c r="A2712" t="inlineStr">
        <is>
          <t>No</t>
        </is>
      </c>
      <c r="B2712" t="inlineStr">
        <is>
          <t>BX5145 .L4613 1990</t>
        </is>
      </c>
      <c r="C2712" t="inlineStr">
        <is>
          <t>0                      BX 5145000L  4613        1990</t>
        </is>
      </c>
      <c r="D2712" t="inlineStr">
        <is>
          <t>Archbishop Cranmer's immortal bequest : the Book of common prayer of the Church of England : an evangelistic liturgy / by Samuel Leuenberger ; translated from the German by Samuel Leuenberger and Lewis J. Gorin, Jr. ; with a foreword to the English edition by James I. Packer.</t>
        </is>
      </c>
      <c r="F2712" t="inlineStr">
        <is>
          <t>No</t>
        </is>
      </c>
      <c r="G2712" t="inlineStr">
        <is>
          <t>1</t>
        </is>
      </c>
      <c r="H2712" t="inlineStr">
        <is>
          <t>No</t>
        </is>
      </c>
      <c r="I2712" t="inlineStr">
        <is>
          <t>No</t>
        </is>
      </c>
      <c r="J2712" t="inlineStr">
        <is>
          <t>0</t>
        </is>
      </c>
      <c r="K2712" t="inlineStr">
        <is>
          <t>Leuenberger, Samuel, 1942-</t>
        </is>
      </c>
      <c r="L2712" t="inlineStr">
        <is>
          <t>Grand Rapids, Mich. : W.B. Eerdmans, 1990.</t>
        </is>
      </c>
      <c r="M2712" t="inlineStr">
        <is>
          <t>1990</t>
        </is>
      </c>
      <c r="O2712" t="inlineStr">
        <is>
          <t>eng</t>
        </is>
      </c>
      <c r="P2712" t="inlineStr">
        <is>
          <t>miu</t>
        </is>
      </c>
      <c r="R2712" t="inlineStr">
        <is>
          <t xml:space="preserve">BX </t>
        </is>
      </c>
      <c r="S2712" t="n">
        <v>7</v>
      </c>
      <c r="T2712" t="n">
        <v>7</v>
      </c>
      <c r="U2712" t="inlineStr">
        <is>
          <t>2010-02-18</t>
        </is>
      </c>
      <c r="V2712" t="inlineStr">
        <is>
          <t>2010-02-18</t>
        </is>
      </c>
      <c r="W2712" t="inlineStr">
        <is>
          <t>1991-06-20</t>
        </is>
      </c>
      <c r="X2712" t="inlineStr">
        <is>
          <t>1991-06-20</t>
        </is>
      </c>
      <c r="Y2712" t="n">
        <v>192</v>
      </c>
      <c r="Z2712" t="n">
        <v>141</v>
      </c>
      <c r="AA2712" t="n">
        <v>155</v>
      </c>
      <c r="AB2712" t="n">
        <v>1</v>
      </c>
      <c r="AC2712" t="n">
        <v>2</v>
      </c>
      <c r="AD2712" t="n">
        <v>10</v>
      </c>
      <c r="AE2712" t="n">
        <v>12</v>
      </c>
      <c r="AF2712" t="n">
        <v>2</v>
      </c>
      <c r="AG2712" t="n">
        <v>3</v>
      </c>
      <c r="AH2712" t="n">
        <v>3</v>
      </c>
      <c r="AI2712" t="n">
        <v>4</v>
      </c>
      <c r="AJ2712" t="n">
        <v>7</v>
      </c>
      <c r="AK2712" t="n">
        <v>7</v>
      </c>
      <c r="AL2712" t="n">
        <v>0</v>
      </c>
      <c r="AM2712" t="n">
        <v>1</v>
      </c>
      <c r="AN2712" t="n">
        <v>0</v>
      </c>
      <c r="AO2712" t="n">
        <v>0</v>
      </c>
      <c r="AP2712" t="inlineStr">
        <is>
          <t>No</t>
        </is>
      </c>
      <c r="AQ2712" t="inlineStr">
        <is>
          <t>No</t>
        </is>
      </c>
      <c r="AS2712">
        <f>HYPERLINK("https://creighton-primo.hosted.exlibrisgroup.com/primo-explore/search?tab=default_tab&amp;search_scope=EVERYTHING&amp;vid=01CRU&amp;lang=en_US&amp;offset=0&amp;query=any,contains,991001645949702656","Catalog Record")</f>
        <v/>
      </c>
      <c r="AT2712">
        <f>HYPERLINK("http://www.worldcat.org/oclc/21044055","WorldCat Record")</f>
        <v/>
      </c>
      <c r="AU2712" t="inlineStr">
        <is>
          <t>1151364938:eng</t>
        </is>
      </c>
      <c r="AV2712" t="inlineStr">
        <is>
          <t>21044055</t>
        </is>
      </c>
      <c r="AW2712" t="inlineStr">
        <is>
          <t>991001645949702656</t>
        </is>
      </c>
      <c r="AX2712" t="inlineStr">
        <is>
          <t>991001645949702656</t>
        </is>
      </c>
      <c r="AY2712" t="inlineStr">
        <is>
          <t>2270584740002656</t>
        </is>
      </c>
      <c r="AZ2712" t="inlineStr">
        <is>
          <t>BOOK</t>
        </is>
      </c>
      <c r="BB2712" t="inlineStr">
        <is>
          <t>9780802804747</t>
        </is>
      </c>
      <c r="BC2712" t="inlineStr">
        <is>
          <t>32285000658178</t>
        </is>
      </c>
      <c r="BD2712" t="inlineStr">
        <is>
          <t>893497247</t>
        </is>
      </c>
    </row>
    <row r="2713">
      <c r="A2713" t="inlineStr">
        <is>
          <t>No</t>
        </is>
      </c>
      <c r="B2713" t="inlineStr">
        <is>
          <t>BX5145 .S8</t>
        </is>
      </c>
      <c r="C2713" t="inlineStr">
        <is>
          <t>0                      BX 5145000S  8</t>
        </is>
      </c>
      <c r="D2713" t="inlineStr">
        <is>
          <t>The American Book of common prayer : its origin and development / by John Wallace Suter and George Julius Cleaveland.</t>
        </is>
      </c>
      <c r="F2713" t="inlineStr">
        <is>
          <t>No</t>
        </is>
      </c>
      <c r="G2713" t="inlineStr">
        <is>
          <t>1</t>
        </is>
      </c>
      <c r="H2713" t="inlineStr">
        <is>
          <t>No</t>
        </is>
      </c>
      <c r="I2713" t="inlineStr">
        <is>
          <t>No</t>
        </is>
      </c>
      <c r="J2713" t="inlineStr">
        <is>
          <t>0</t>
        </is>
      </c>
      <c r="K2713" t="inlineStr">
        <is>
          <t>Suter, John Wallace, 1890-1942.</t>
        </is>
      </c>
      <c r="L2713" t="inlineStr">
        <is>
          <t>New York : Oxford Univ. Press, 1949.</t>
        </is>
      </c>
      <c r="M2713" t="inlineStr">
        <is>
          <t>1949</t>
        </is>
      </c>
      <c r="O2713" t="inlineStr">
        <is>
          <t>eng</t>
        </is>
      </c>
      <c r="P2713" t="inlineStr">
        <is>
          <t>___</t>
        </is>
      </c>
      <c r="R2713" t="inlineStr">
        <is>
          <t xml:space="preserve">BX </t>
        </is>
      </c>
      <c r="S2713" t="n">
        <v>3</v>
      </c>
      <c r="T2713" t="n">
        <v>3</v>
      </c>
      <c r="U2713" t="inlineStr">
        <is>
          <t>2004-04-05</t>
        </is>
      </c>
      <c r="V2713" t="inlineStr">
        <is>
          <t>2004-04-05</t>
        </is>
      </c>
      <c r="W2713" t="inlineStr">
        <is>
          <t>1992-04-27</t>
        </is>
      </c>
      <c r="X2713" t="inlineStr">
        <is>
          <t>1992-04-27</t>
        </is>
      </c>
      <c r="Y2713" t="n">
        <v>234</v>
      </c>
      <c r="Z2713" t="n">
        <v>204</v>
      </c>
      <c r="AA2713" t="n">
        <v>207</v>
      </c>
      <c r="AB2713" t="n">
        <v>1</v>
      </c>
      <c r="AC2713" t="n">
        <v>1</v>
      </c>
      <c r="AD2713" t="n">
        <v>4</v>
      </c>
      <c r="AE2713" t="n">
        <v>4</v>
      </c>
      <c r="AF2713" t="n">
        <v>1</v>
      </c>
      <c r="AG2713" t="n">
        <v>1</v>
      </c>
      <c r="AH2713" t="n">
        <v>3</v>
      </c>
      <c r="AI2713" t="n">
        <v>3</v>
      </c>
      <c r="AJ2713" t="n">
        <v>2</v>
      </c>
      <c r="AK2713" t="n">
        <v>2</v>
      </c>
      <c r="AL2713" t="n">
        <v>0</v>
      </c>
      <c r="AM2713" t="n">
        <v>0</v>
      </c>
      <c r="AN2713" t="n">
        <v>0</v>
      </c>
      <c r="AO2713" t="n">
        <v>0</v>
      </c>
      <c r="AP2713" t="inlineStr">
        <is>
          <t>No</t>
        </is>
      </c>
      <c r="AQ2713" t="inlineStr">
        <is>
          <t>Yes</t>
        </is>
      </c>
      <c r="AR2713">
        <f>HYPERLINK("http://catalog.hathitrust.org/Record/001592814","HathiTrust Record")</f>
        <v/>
      </c>
      <c r="AS2713">
        <f>HYPERLINK("https://creighton-primo.hosted.exlibrisgroup.com/primo-explore/search?tab=default_tab&amp;search_scope=EVERYTHING&amp;vid=01CRU&amp;lang=en_US&amp;offset=0&amp;query=any,contains,991002912809702656","Catalog Record")</f>
        <v/>
      </c>
      <c r="AT2713">
        <f>HYPERLINK("http://www.worldcat.org/oclc/522783","WorldCat Record")</f>
        <v/>
      </c>
      <c r="AU2713" t="inlineStr">
        <is>
          <t>376756138:eng</t>
        </is>
      </c>
      <c r="AV2713" t="inlineStr">
        <is>
          <t>522783</t>
        </is>
      </c>
      <c r="AW2713" t="inlineStr">
        <is>
          <t>991002912809702656</t>
        </is>
      </c>
      <c r="AX2713" t="inlineStr">
        <is>
          <t>991002912809702656</t>
        </is>
      </c>
      <c r="AY2713" t="inlineStr">
        <is>
          <t>2260025100002656</t>
        </is>
      </c>
      <c r="AZ2713" t="inlineStr">
        <is>
          <t>BOOK</t>
        </is>
      </c>
      <c r="BC2713" t="inlineStr">
        <is>
          <t>32285001101640</t>
        </is>
      </c>
      <c r="BD2713" t="inlineStr">
        <is>
          <t>893710835</t>
        </is>
      </c>
    </row>
    <row r="2714">
      <c r="A2714" t="inlineStr">
        <is>
          <t>No</t>
        </is>
      </c>
      <c r="B2714" t="inlineStr">
        <is>
          <t>BX5149.C5 E25</t>
        </is>
      </c>
      <c r="C2714" t="inlineStr">
        <is>
          <t>0                      BX 5149000C  5                  E  25</t>
        </is>
      </c>
      <c r="D2714" t="inlineStr">
        <is>
          <t>The Anglican Eucharist in ecumenical perspective : doctrine and rite from Cranmer to Seabury / [by] Edward P. Echlin.</t>
        </is>
      </c>
      <c r="F2714" t="inlineStr">
        <is>
          <t>No</t>
        </is>
      </c>
      <c r="G2714" t="inlineStr">
        <is>
          <t>1</t>
        </is>
      </c>
      <c r="H2714" t="inlineStr">
        <is>
          <t>No</t>
        </is>
      </c>
      <c r="I2714" t="inlineStr">
        <is>
          <t>No</t>
        </is>
      </c>
      <c r="J2714" t="inlineStr">
        <is>
          <t>0</t>
        </is>
      </c>
      <c r="K2714" t="inlineStr">
        <is>
          <t>Echlin, Edward P.</t>
        </is>
      </c>
      <c r="L2714" t="inlineStr">
        <is>
          <t>New York : Seabury Press, [1968]</t>
        </is>
      </c>
      <c r="M2714" t="inlineStr">
        <is>
          <t>1968</t>
        </is>
      </c>
      <c r="O2714" t="inlineStr">
        <is>
          <t>eng</t>
        </is>
      </c>
      <c r="P2714" t="inlineStr">
        <is>
          <t>nyu</t>
        </is>
      </c>
      <c r="R2714" t="inlineStr">
        <is>
          <t xml:space="preserve">BX </t>
        </is>
      </c>
      <c r="S2714" t="n">
        <v>3</v>
      </c>
      <c r="T2714" t="n">
        <v>3</v>
      </c>
      <c r="U2714" t="inlineStr">
        <is>
          <t>2004-11-09</t>
        </is>
      </c>
      <c r="V2714" t="inlineStr">
        <is>
          <t>2004-11-09</t>
        </is>
      </c>
      <c r="W2714" t="inlineStr">
        <is>
          <t>1991-06-26</t>
        </is>
      </c>
      <c r="X2714" t="inlineStr">
        <is>
          <t>1991-06-26</t>
        </is>
      </c>
      <c r="Y2714" t="n">
        <v>302</v>
      </c>
      <c r="Z2714" t="n">
        <v>250</v>
      </c>
      <c r="AA2714" t="n">
        <v>250</v>
      </c>
      <c r="AB2714" t="n">
        <v>2</v>
      </c>
      <c r="AC2714" t="n">
        <v>2</v>
      </c>
      <c r="AD2714" t="n">
        <v>26</v>
      </c>
      <c r="AE2714" t="n">
        <v>26</v>
      </c>
      <c r="AF2714" t="n">
        <v>8</v>
      </c>
      <c r="AG2714" t="n">
        <v>8</v>
      </c>
      <c r="AH2714" t="n">
        <v>6</v>
      </c>
      <c r="AI2714" t="n">
        <v>6</v>
      </c>
      <c r="AJ2714" t="n">
        <v>19</v>
      </c>
      <c r="AK2714" t="n">
        <v>19</v>
      </c>
      <c r="AL2714" t="n">
        <v>1</v>
      </c>
      <c r="AM2714" t="n">
        <v>1</v>
      </c>
      <c r="AN2714" t="n">
        <v>0</v>
      </c>
      <c r="AO2714" t="n">
        <v>0</v>
      </c>
      <c r="AP2714" t="inlineStr">
        <is>
          <t>No</t>
        </is>
      </c>
      <c r="AQ2714" t="inlineStr">
        <is>
          <t>No</t>
        </is>
      </c>
      <c r="AS2714">
        <f>HYPERLINK("https://creighton-primo.hosted.exlibrisgroup.com/primo-explore/search?tab=default_tab&amp;search_scope=EVERYTHING&amp;vid=01CRU&amp;lang=en_US&amp;offset=0&amp;query=any,contains,991002770489702656","Catalog Record")</f>
        <v/>
      </c>
      <c r="AT2714">
        <f>HYPERLINK("http://www.worldcat.org/oclc/436733","WorldCat Record")</f>
        <v/>
      </c>
      <c r="AU2714" t="inlineStr">
        <is>
          <t>291699165:eng</t>
        </is>
      </c>
      <c r="AV2714" t="inlineStr">
        <is>
          <t>436733</t>
        </is>
      </c>
      <c r="AW2714" t="inlineStr">
        <is>
          <t>991002770489702656</t>
        </is>
      </c>
      <c r="AX2714" t="inlineStr">
        <is>
          <t>991002770489702656</t>
        </is>
      </c>
      <c r="AY2714" t="inlineStr">
        <is>
          <t>2270919420002656</t>
        </is>
      </c>
      <c r="AZ2714" t="inlineStr">
        <is>
          <t>BOOK</t>
        </is>
      </c>
      <c r="BC2714" t="inlineStr">
        <is>
          <t>32285000659028</t>
        </is>
      </c>
      <c r="BD2714" t="inlineStr">
        <is>
          <t>893685758</t>
        </is>
      </c>
    </row>
    <row r="2715">
      <c r="A2715" t="inlineStr">
        <is>
          <t>No</t>
        </is>
      </c>
      <c r="B2715" t="inlineStr">
        <is>
          <t>BX5149.C5 H3</t>
        </is>
      </c>
      <c r="C2715" t="inlineStr">
        <is>
          <t>0                      BX 5149000C  5                  H  3</t>
        </is>
      </c>
      <c r="D2715" t="inlineStr">
        <is>
          <t>The Tractarian understanding of the Eucharist / [by] Alf Härdelin.</t>
        </is>
      </c>
      <c r="F2715" t="inlineStr">
        <is>
          <t>No</t>
        </is>
      </c>
      <c r="G2715" t="inlineStr">
        <is>
          <t>1</t>
        </is>
      </c>
      <c r="H2715" t="inlineStr">
        <is>
          <t>No</t>
        </is>
      </c>
      <c r="I2715" t="inlineStr">
        <is>
          <t>No</t>
        </is>
      </c>
      <c r="J2715" t="inlineStr">
        <is>
          <t>0</t>
        </is>
      </c>
      <c r="K2715" t="inlineStr">
        <is>
          <t>Härdelin, Alf.</t>
        </is>
      </c>
      <c r="M2715" t="inlineStr">
        <is>
          <t>1965</t>
        </is>
      </c>
      <c r="O2715" t="inlineStr">
        <is>
          <t>eng</t>
        </is>
      </c>
      <c r="P2715" t="inlineStr">
        <is>
          <t xml:space="preserve">sw </t>
        </is>
      </c>
      <c r="Q2715" t="inlineStr">
        <is>
          <t>Acta Universitatis Upsaliensis. Studia historico-ecclesiastica Upsaliensia ; 8</t>
        </is>
      </c>
      <c r="R2715" t="inlineStr">
        <is>
          <t xml:space="preserve">BX </t>
        </is>
      </c>
      <c r="S2715" t="n">
        <v>3</v>
      </c>
      <c r="T2715" t="n">
        <v>3</v>
      </c>
      <c r="U2715" t="inlineStr">
        <is>
          <t>1997-04-21</t>
        </is>
      </c>
      <c r="V2715" t="inlineStr">
        <is>
          <t>1997-04-21</t>
        </is>
      </c>
      <c r="W2715" t="inlineStr">
        <is>
          <t>1992-04-27</t>
        </is>
      </c>
      <c r="X2715" t="inlineStr">
        <is>
          <t>1992-04-27</t>
        </is>
      </c>
      <c r="Y2715" t="n">
        <v>128</v>
      </c>
      <c r="Z2715" t="n">
        <v>86</v>
      </c>
      <c r="AA2715" t="n">
        <v>86</v>
      </c>
      <c r="AB2715" t="n">
        <v>1</v>
      </c>
      <c r="AC2715" t="n">
        <v>1</v>
      </c>
      <c r="AD2715" t="n">
        <v>8</v>
      </c>
      <c r="AE2715" t="n">
        <v>8</v>
      </c>
      <c r="AF2715" t="n">
        <v>0</v>
      </c>
      <c r="AG2715" t="n">
        <v>0</v>
      </c>
      <c r="AH2715" t="n">
        <v>3</v>
      </c>
      <c r="AI2715" t="n">
        <v>3</v>
      </c>
      <c r="AJ2715" t="n">
        <v>6</v>
      </c>
      <c r="AK2715" t="n">
        <v>6</v>
      </c>
      <c r="AL2715" t="n">
        <v>0</v>
      </c>
      <c r="AM2715" t="n">
        <v>0</v>
      </c>
      <c r="AN2715" t="n">
        <v>0</v>
      </c>
      <c r="AO2715" t="n">
        <v>0</v>
      </c>
      <c r="AP2715" t="inlineStr">
        <is>
          <t>No</t>
        </is>
      </c>
      <c r="AQ2715" t="inlineStr">
        <is>
          <t>No</t>
        </is>
      </c>
      <c r="AS2715">
        <f>HYPERLINK("https://creighton-primo.hosted.exlibrisgroup.com/primo-explore/search?tab=default_tab&amp;search_scope=EVERYTHING&amp;vid=01CRU&amp;lang=en_US&amp;offset=0&amp;query=any,contains,991002762629702656","Catalog Record")</f>
        <v/>
      </c>
      <c r="AT2715">
        <f>HYPERLINK("http://www.worldcat.org/oclc/429883","WorldCat Record")</f>
        <v/>
      </c>
      <c r="AU2715" t="inlineStr">
        <is>
          <t>8908868916:eng</t>
        </is>
      </c>
      <c r="AV2715" t="inlineStr">
        <is>
          <t>429883</t>
        </is>
      </c>
      <c r="AW2715" t="inlineStr">
        <is>
          <t>991002762629702656</t>
        </is>
      </c>
      <c r="AX2715" t="inlineStr">
        <is>
          <t>991002762629702656</t>
        </is>
      </c>
      <c r="AY2715" t="inlineStr">
        <is>
          <t>2265768540002656</t>
        </is>
      </c>
      <c r="AZ2715" t="inlineStr">
        <is>
          <t>BOOK</t>
        </is>
      </c>
      <c r="BC2715" t="inlineStr">
        <is>
          <t>32285001101665</t>
        </is>
      </c>
      <c r="BD2715" t="inlineStr">
        <is>
          <t>893434260</t>
        </is>
      </c>
    </row>
    <row r="2716">
      <c r="A2716" t="inlineStr">
        <is>
          <t>No</t>
        </is>
      </c>
      <c r="B2716" t="inlineStr">
        <is>
          <t>BX5149.C6 S7</t>
        </is>
      </c>
      <c r="C2716" t="inlineStr">
        <is>
          <t>0                      BX 5149000C  6                  S  7</t>
        </is>
      </c>
      <c r="D2716" t="inlineStr">
        <is>
          <t>Confess your sins : the way of reconciliation / by John R. W. Stott.</t>
        </is>
      </c>
      <c r="F2716" t="inlineStr">
        <is>
          <t>No</t>
        </is>
      </c>
      <c r="G2716" t="inlineStr">
        <is>
          <t>1</t>
        </is>
      </c>
      <c r="H2716" t="inlineStr">
        <is>
          <t>No</t>
        </is>
      </c>
      <c r="I2716" t="inlineStr">
        <is>
          <t>No</t>
        </is>
      </c>
      <c r="J2716" t="inlineStr">
        <is>
          <t>0</t>
        </is>
      </c>
      <c r="K2716" t="inlineStr">
        <is>
          <t>Stott, John R. W.</t>
        </is>
      </c>
      <c r="L2716" t="inlineStr">
        <is>
          <t>Philadelphia : Westminster Press, [1965, c1964]</t>
        </is>
      </c>
      <c r="M2716" t="inlineStr">
        <is>
          <t>1965</t>
        </is>
      </c>
      <c r="O2716" t="inlineStr">
        <is>
          <t>eng</t>
        </is>
      </c>
      <c r="P2716" t="inlineStr">
        <is>
          <t>pau</t>
        </is>
      </c>
      <c r="Q2716" t="inlineStr">
        <is>
          <t>Christian foundations</t>
        </is>
      </c>
      <c r="R2716" t="inlineStr">
        <is>
          <t xml:space="preserve">BX </t>
        </is>
      </c>
      <c r="S2716" t="n">
        <v>3</v>
      </c>
      <c r="T2716" t="n">
        <v>3</v>
      </c>
      <c r="U2716" t="inlineStr">
        <is>
          <t>1994-11-21</t>
        </is>
      </c>
      <c r="V2716" t="inlineStr">
        <is>
          <t>1994-11-21</t>
        </is>
      </c>
      <c r="W2716" t="inlineStr">
        <is>
          <t>1992-04-27</t>
        </is>
      </c>
      <c r="X2716" t="inlineStr">
        <is>
          <t>1992-04-27</t>
        </is>
      </c>
      <c r="Y2716" t="n">
        <v>123</v>
      </c>
      <c r="Z2716" t="n">
        <v>118</v>
      </c>
      <c r="AA2716" t="n">
        <v>261</v>
      </c>
      <c r="AB2716" t="n">
        <v>2</v>
      </c>
      <c r="AC2716" t="n">
        <v>5</v>
      </c>
      <c r="AD2716" t="n">
        <v>4</v>
      </c>
      <c r="AE2716" t="n">
        <v>12</v>
      </c>
      <c r="AF2716" t="n">
        <v>1</v>
      </c>
      <c r="AG2716" t="n">
        <v>4</v>
      </c>
      <c r="AH2716" t="n">
        <v>2</v>
      </c>
      <c r="AI2716" t="n">
        <v>4</v>
      </c>
      <c r="AJ2716" t="n">
        <v>1</v>
      </c>
      <c r="AK2716" t="n">
        <v>4</v>
      </c>
      <c r="AL2716" t="n">
        <v>1</v>
      </c>
      <c r="AM2716" t="n">
        <v>3</v>
      </c>
      <c r="AN2716" t="n">
        <v>0</v>
      </c>
      <c r="AO2716" t="n">
        <v>0</v>
      </c>
      <c r="AP2716" t="inlineStr">
        <is>
          <t>No</t>
        </is>
      </c>
      <c r="AQ2716" t="inlineStr">
        <is>
          <t>No</t>
        </is>
      </c>
      <c r="AS2716">
        <f>HYPERLINK("https://creighton-primo.hosted.exlibrisgroup.com/primo-explore/search?tab=default_tab&amp;search_scope=EVERYTHING&amp;vid=01CRU&amp;lang=en_US&amp;offset=0&amp;query=any,contains,991003897759702656","Catalog Record")</f>
        <v/>
      </c>
      <c r="AT2716">
        <f>HYPERLINK("http://www.worldcat.org/oclc/1815886","WorldCat Record")</f>
        <v/>
      </c>
      <c r="AU2716" t="inlineStr">
        <is>
          <t>2614550:eng</t>
        </is>
      </c>
      <c r="AV2716" t="inlineStr">
        <is>
          <t>1815886</t>
        </is>
      </c>
      <c r="AW2716" t="inlineStr">
        <is>
          <t>991003897759702656</t>
        </is>
      </c>
      <c r="AX2716" t="inlineStr">
        <is>
          <t>991003897759702656</t>
        </is>
      </c>
      <c r="AY2716" t="inlineStr">
        <is>
          <t>2270750570002656</t>
        </is>
      </c>
      <c r="AZ2716" t="inlineStr">
        <is>
          <t>BOOK</t>
        </is>
      </c>
      <c r="BC2716" t="inlineStr">
        <is>
          <t>32285001101673</t>
        </is>
      </c>
      <c r="BD2716" t="inlineStr">
        <is>
          <t>893441925</t>
        </is>
      </c>
    </row>
    <row r="2717">
      <c r="A2717" t="inlineStr">
        <is>
          <t>No</t>
        </is>
      </c>
      <c r="B2717" t="inlineStr">
        <is>
          <t>BX5150 .T47</t>
        </is>
      </c>
      <c r="C2717" t="inlineStr">
        <is>
          <t>0                      BX 5150000T  47</t>
        </is>
      </c>
      <c r="D2717" t="inlineStr">
        <is>
          <t>Bureaucracy and Church reform : the organizational response of the Church of England to social change 1800-1965 / by Kenneth A. Thompson.</t>
        </is>
      </c>
      <c r="F2717" t="inlineStr">
        <is>
          <t>No</t>
        </is>
      </c>
      <c r="G2717" t="inlineStr">
        <is>
          <t>1</t>
        </is>
      </c>
      <c r="H2717" t="inlineStr">
        <is>
          <t>No</t>
        </is>
      </c>
      <c r="I2717" t="inlineStr">
        <is>
          <t>No</t>
        </is>
      </c>
      <c r="J2717" t="inlineStr">
        <is>
          <t>0</t>
        </is>
      </c>
      <c r="K2717" t="inlineStr">
        <is>
          <t>Thompson, Kenneth A.</t>
        </is>
      </c>
      <c r="L2717" t="inlineStr">
        <is>
          <t>Oxford : Clarendon P., 1970.</t>
        </is>
      </c>
      <c r="M2717" t="inlineStr">
        <is>
          <t>1970</t>
        </is>
      </c>
      <c r="O2717" t="inlineStr">
        <is>
          <t>eng</t>
        </is>
      </c>
      <c r="P2717" t="inlineStr">
        <is>
          <t>enk</t>
        </is>
      </c>
      <c r="R2717" t="inlineStr">
        <is>
          <t xml:space="preserve">BX </t>
        </is>
      </c>
      <c r="S2717" t="n">
        <v>2</v>
      </c>
      <c r="T2717" t="n">
        <v>2</v>
      </c>
      <c r="U2717" t="inlineStr">
        <is>
          <t>1998-11-12</t>
        </is>
      </c>
      <c r="V2717" t="inlineStr">
        <is>
          <t>1998-11-12</t>
        </is>
      </c>
      <c r="W2717" t="inlineStr">
        <is>
          <t>1992-04-27</t>
        </is>
      </c>
      <c r="X2717" t="inlineStr">
        <is>
          <t>1992-04-27</t>
        </is>
      </c>
      <c r="Y2717" t="n">
        <v>434</v>
      </c>
      <c r="Z2717" t="n">
        <v>297</v>
      </c>
      <c r="AA2717" t="n">
        <v>306</v>
      </c>
      <c r="AB2717" t="n">
        <v>4</v>
      </c>
      <c r="AC2717" t="n">
        <v>4</v>
      </c>
      <c r="AD2717" t="n">
        <v>15</v>
      </c>
      <c r="AE2717" t="n">
        <v>15</v>
      </c>
      <c r="AF2717" t="n">
        <v>2</v>
      </c>
      <c r="AG2717" t="n">
        <v>2</v>
      </c>
      <c r="AH2717" t="n">
        <v>3</v>
      </c>
      <c r="AI2717" t="n">
        <v>3</v>
      </c>
      <c r="AJ2717" t="n">
        <v>9</v>
      </c>
      <c r="AK2717" t="n">
        <v>9</v>
      </c>
      <c r="AL2717" t="n">
        <v>3</v>
      </c>
      <c r="AM2717" t="n">
        <v>3</v>
      </c>
      <c r="AN2717" t="n">
        <v>0</v>
      </c>
      <c r="AO2717" t="n">
        <v>0</v>
      </c>
      <c r="AP2717" t="inlineStr">
        <is>
          <t>No</t>
        </is>
      </c>
      <c r="AQ2717" t="inlineStr">
        <is>
          <t>Yes</t>
        </is>
      </c>
      <c r="AR2717">
        <f>HYPERLINK("http://catalog.hathitrust.org/Record/001592824","HathiTrust Record")</f>
        <v/>
      </c>
      <c r="AS2717">
        <f>HYPERLINK("https://creighton-primo.hosted.exlibrisgroup.com/primo-explore/search?tab=default_tab&amp;search_scope=EVERYTHING&amp;vid=01CRU&amp;lang=en_US&amp;offset=0&amp;query=any,contains,991000209739702656","Catalog Record")</f>
        <v/>
      </c>
      <c r="AT2717">
        <f>HYPERLINK("http://www.worldcat.org/oclc/66202","WorldCat Record")</f>
        <v/>
      </c>
      <c r="AU2717" t="inlineStr">
        <is>
          <t>309367948:eng</t>
        </is>
      </c>
      <c r="AV2717" t="inlineStr">
        <is>
          <t>66202</t>
        </is>
      </c>
      <c r="AW2717" t="inlineStr">
        <is>
          <t>991000209739702656</t>
        </is>
      </c>
      <c r="AX2717" t="inlineStr">
        <is>
          <t>991000209739702656</t>
        </is>
      </c>
      <c r="AY2717" t="inlineStr">
        <is>
          <t>2258840850002656</t>
        </is>
      </c>
      <c r="AZ2717" t="inlineStr">
        <is>
          <t>BOOK</t>
        </is>
      </c>
      <c r="BB2717" t="inlineStr">
        <is>
          <t>9780198264262</t>
        </is>
      </c>
      <c r="BC2717" t="inlineStr">
        <is>
          <t>32285001101707</t>
        </is>
      </c>
      <c r="BD2717" t="inlineStr">
        <is>
          <t>893777783</t>
        </is>
      </c>
    </row>
    <row r="2718">
      <c r="A2718" t="inlineStr">
        <is>
          <t>No</t>
        </is>
      </c>
      <c r="B2718" t="inlineStr">
        <is>
          <t>BX5165 .H55 1968</t>
        </is>
      </c>
      <c r="C2718" t="inlineStr">
        <is>
          <t>0                      BX 5165000H  55          1968</t>
        </is>
      </c>
      <c r="D2718" t="inlineStr">
        <is>
          <t>Economic problems of the church : from Archbishop Whitgift to the Long Parliament / by Christopher Hill.</t>
        </is>
      </c>
      <c r="F2718" t="inlineStr">
        <is>
          <t>No</t>
        </is>
      </c>
      <c r="G2718" t="inlineStr">
        <is>
          <t>1</t>
        </is>
      </c>
      <c r="H2718" t="inlineStr">
        <is>
          <t>No</t>
        </is>
      </c>
      <c r="I2718" t="inlineStr">
        <is>
          <t>No</t>
        </is>
      </c>
      <c r="J2718" t="inlineStr">
        <is>
          <t>0</t>
        </is>
      </c>
      <c r="K2718" t="inlineStr">
        <is>
          <t>Hill, Christopher, 1912-2003.</t>
        </is>
      </c>
      <c r="L2718" t="inlineStr">
        <is>
          <t>Oxford : Clarendon Press, [1968]</t>
        </is>
      </c>
      <c r="M2718" t="inlineStr">
        <is>
          <t>1968</t>
        </is>
      </c>
      <c r="O2718" t="inlineStr">
        <is>
          <t>eng</t>
        </is>
      </c>
      <c r="P2718" t="inlineStr">
        <is>
          <t>___</t>
        </is>
      </c>
      <c r="R2718" t="inlineStr">
        <is>
          <t xml:space="preserve">BX </t>
        </is>
      </c>
      <c r="S2718" t="n">
        <v>3</v>
      </c>
      <c r="T2718" t="n">
        <v>3</v>
      </c>
      <c r="U2718" t="inlineStr">
        <is>
          <t>1995-10-02</t>
        </is>
      </c>
      <c r="V2718" t="inlineStr">
        <is>
          <t>1995-10-02</t>
        </is>
      </c>
      <c r="W2718" t="inlineStr">
        <is>
          <t>1992-04-27</t>
        </is>
      </c>
      <c r="X2718" t="inlineStr">
        <is>
          <t>1992-04-27</t>
        </is>
      </c>
      <c r="Y2718" t="n">
        <v>100</v>
      </c>
      <c r="Z2718" t="n">
        <v>80</v>
      </c>
      <c r="AA2718" t="n">
        <v>477</v>
      </c>
      <c r="AB2718" t="n">
        <v>2</v>
      </c>
      <c r="AC2718" t="n">
        <v>3</v>
      </c>
      <c r="AD2718" t="n">
        <v>4</v>
      </c>
      <c r="AE2718" t="n">
        <v>23</v>
      </c>
      <c r="AF2718" t="n">
        <v>2</v>
      </c>
      <c r="AG2718" t="n">
        <v>7</v>
      </c>
      <c r="AH2718" t="n">
        <v>0</v>
      </c>
      <c r="AI2718" t="n">
        <v>5</v>
      </c>
      <c r="AJ2718" t="n">
        <v>3</v>
      </c>
      <c r="AK2718" t="n">
        <v>16</v>
      </c>
      <c r="AL2718" t="n">
        <v>1</v>
      </c>
      <c r="AM2718" t="n">
        <v>2</v>
      </c>
      <c r="AN2718" t="n">
        <v>0</v>
      </c>
      <c r="AO2718" t="n">
        <v>0</v>
      </c>
      <c r="AP2718" t="inlineStr">
        <is>
          <t>No</t>
        </is>
      </c>
      <c r="AQ2718" t="inlineStr">
        <is>
          <t>No</t>
        </is>
      </c>
      <c r="AS2718">
        <f>HYPERLINK("https://creighton-primo.hosted.exlibrisgroup.com/primo-explore/search?tab=default_tab&amp;search_scope=EVERYTHING&amp;vid=01CRU&amp;lang=en_US&amp;offset=0&amp;query=any,contains,991002253899702656","Catalog Record")</f>
        <v/>
      </c>
      <c r="AT2718">
        <f>HYPERLINK("http://www.worldcat.org/oclc/300670","WorldCat Record")</f>
        <v/>
      </c>
      <c r="AU2718" t="inlineStr">
        <is>
          <t>1526106:eng</t>
        </is>
      </c>
      <c r="AV2718" t="inlineStr">
        <is>
          <t>300670</t>
        </is>
      </c>
      <c r="AW2718" t="inlineStr">
        <is>
          <t>991002253899702656</t>
        </is>
      </c>
      <c r="AX2718" t="inlineStr">
        <is>
          <t>991002253899702656</t>
        </is>
      </c>
      <c r="AY2718" t="inlineStr">
        <is>
          <t>2269529500002656</t>
        </is>
      </c>
      <c r="AZ2718" t="inlineStr">
        <is>
          <t>BOOK</t>
        </is>
      </c>
      <c r="BC2718" t="inlineStr">
        <is>
          <t>32285001101731</t>
        </is>
      </c>
      <c r="BD2718" t="inlineStr">
        <is>
          <t>893886028</t>
        </is>
      </c>
    </row>
    <row r="2719">
      <c r="A2719" t="inlineStr">
        <is>
          <t>No</t>
        </is>
      </c>
      <c r="B2719" t="inlineStr">
        <is>
          <t>BX5195.L7 A28 1957</t>
        </is>
      </c>
      <c r="C2719" t="inlineStr">
        <is>
          <t>0                      BX 5195000L  7                  A  28          1957</t>
        </is>
      </c>
      <c r="D2719" t="inlineStr">
        <is>
          <t>A history of St Paul's Cathedral and the men associated with it / edited by W.R. Matthews and W.M. Atkins ; with a foreword by Sir Ernest Barker.</t>
        </is>
      </c>
      <c r="F2719" t="inlineStr">
        <is>
          <t>No</t>
        </is>
      </c>
      <c r="G2719" t="inlineStr">
        <is>
          <t>1</t>
        </is>
      </c>
      <c r="H2719" t="inlineStr">
        <is>
          <t>No</t>
        </is>
      </c>
      <c r="I2719" t="inlineStr">
        <is>
          <t>No</t>
        </is>
      </c>
      <c r="J2719" t="inlineStr">
        <is>
          <t>0</t>
        </is>
      </c>
      <c r="K2719" t="inlineStr">
        <is>
          <t>Matthews, W. R. (Walter Robert), 1881-1973 editor.</t>
        </is>
      </c>
      <c r="L2719" t="inlineStr">
        <is>
          <t>New York : Pitman Pub. Corp., 1957.</t>
        </is>
      </c>
      <c r="M2719" t="inlineStr">
        <is>
          <t>1957</t>
        </is>
      </c>
      <c r="O2719" t="inlineStr">
        <is>
          <t>eng</t>
        </is>
      </c>
      <c r="P2719" t="inlineStr">
        <is>
          <t>nyu</t>
        </is>
      </c>
      <c r="R2719" t="inlineStr">
        <is>
          <t xml:space="preserve">BX </t>
        </is>
      </c>
      <c r="S2719" t="n">
        <v>1</v>
      </c>
      <c r="T2719" t="n">
        <v>1</v>
      </c>
      <c r="U2719" t="inlineStr">
        <is>
          <t>2004-11-18</t>
        </is>
      </c>
      <c r="V2719" t="inlineStr">
        <is>
          <t>2004-11-18</t>
        </is>
      </c>
      <c r="W2719" t="inlineStr">
        <is>
          <t>2004-11-18</t>
        </is>
      </c>
      <c r="X2719" t="inlineStr">
        <is>
          <t>2004-11-18</t>
        </is>
      </c>
      <c r="Y2719" t="n">
        <v>79</v>
      </c>
      <c r="Z2719" t="n">
        <v>75</v>
      </c>
      <c r="AA2719" t="n">
        <v>252</v>
      </c>
      <c r="AB2719" t="n">
        <v>1</v>
      </c>
      <c r="AC2719" t="n">
        <v>1</v>
      </c>
      <c r="AD2719" t="n">
        <v>5</v>
      </c>
      <c r="AE2719" t="n">
        <v>14</v>
      </c>
      <c r="AF2719" t="n">
        <v>1</v>
      </c>
      <c r="AG2719" t="n">
        <v>4</v>
      </c>
      <c r="AH2719" t="n">
        <v>3</v>
      </c>
      <c r="AI2719" t="n">
        <v>4</v>
      </c>
      <c r="AJ2719" t="n">
        <v>2</v>
      </c>
      <c r="AK2719" t="n">
        <v>9</v>
      </c>
      <c r="AL2719" t="n">
        <v>0</v>
      </c>
      <c r="AM2719" t="n">
        <v>0</v>
      </c>
      <c r="AN2719" t="n">
        <v>0</v>
      </c>
      <c r="AO2719" t="n">
        <v>0</v>
      </c>
      <c r="AP2719" t="inlineStr">
        <is>
          <t>No</t>
        </is>
      </c>
      <c r="AQ2719" t="inlineStr">
        <is>
          <t>Yes</t>
        </is>
      </c>
      <c r="AR2719">
        <f>HYPERLINK("http://catalog.hathitrust.org/Record/101882426","HathiTrust Record")</f>
        <v/>
      </c>
      <c r="AS2719">
        <f>HYPERLINK("https://creighton-primo.hosted.exlibrisgroup.com/primo-explore/search?tab=default_tab&amp;search_scope=EVERYTHING&amp;vid=01CRU&amp;lang=en_US&amp;offset=0&amp;query=any,contains,991004425409702656","Catalog Record")</f>
        <v/>
      </c>
      <c r="AT2719">
        <f>HYPERLINK("http://www.worldcat.org/oclc/3712158","WorldCat Record")</f>
        <v/>
      </c>
      <c r="AU2719" t="inlineStr">
        <is>
          <t>3475219:eng</t>
        </is>
      </c>
      <c r="AV2719" t="inlineStr">
        <is>
          <t>3712158</t>
        </is>
      </c>
      <c r="AW2719" t="inlineStr">
        <is>
          <t>991004425409702656</t>
        </is>
      </c>
      <c r="AX2719" t="inlineStr">
        <is>
          <t>991004425409702656</t>
        </is>
      </c>
      <c r="AY2719" t="inlineStr">
        <is>
          <t>2263038500002656</t>
        </is>
      </c>
      <c r="AZ2719" t="inlineStr">
        <is>
          <t>BOOK</t>
        </is>
      </c>
      <c r="BC2719" t="inlineStr">
        <is>
          <t>32285005012223</t>
        </is>
      </c>
      <c r="BD2719" t="inlineStr">
        <is>
          <t>893500550</t>
        </is>
      </c>
    </row>
    <row r="2720">
      <c r="A2720" t="inlineStr">
        <is>
          <t>No</t>
        </is>
      </c>
      <c r="B2720" t="inlineStr">
        <is>
          <t>BX5199.H5 K4</t>
        </is>
      </c>
      <c r="C2720" t="inlineStr">
        <is>
          <t>0                      BX 5199000H  5                  K  4</t>
        </is>
      </c>
      <c r="D2720" t="inlineStr">
        <is>
          <t>James Hervey and eighteenth-century taste / Flora McLaughlin Kearney.</t>
        </is>
      </c>
      <c r="F2720" t="inlineStr">
        <is>
          <t>No</t>
        </is>
      </c>
      <c r="G2720" t="inlineStr">
        <is>
          <t>1</t>
        </is>
      </c>
      <c r="H2720" t="inlineStr">
        <is>
          <t>No</t>
        </is>
      </c>
      <c r="I2720" t="inlineStr">
        <is>
          <t>No</t>
        </is>
      </c>
      <c r="J2720" t="inlineStr">
        <is>
          <t>0</t>
        </is>
      </c>
      <c r="K2720" t="inlineStr">
        <is>
          <t>Kearney, Flora McLaughlin, 1920-2014.</t>
        </is>
      </c>
      <c r="L2720" t="inlineStr">
        <is>
          <t>Muncie, Ind. : Ball State University, 1969.</t>
        </is>
      </c>
      <c r="M2720" t="inlineStr">
        <is>
          <t>1969</t>
        </is>
      </c>
      <c r="O2720" t="inlineStr">
        <is>
          <t>eng</t>
        </is>
      </c>
      <c r="P2720" t="inlineStr">
        <is>
          <t>inu</t>
        </is>
      </c>
      <c r="Q2720" t="inlineStr">
        <is>
          <t>Ball State monograph ; no. 14</t>
        </is>
      </c>
      <c r="R2720" t="inlineStr">
        <is>
          <t xml:space="preserve">BX </t>
        </is>
      </c>
      <c r="S2720" t="n">
        <v>1</v>
      </c>
      <c r="T2720" t="n">
        <v>1</v>
      </c>
      <c r="U2720" t="inlineStr">
        <is>
          <t>2005-10-20</t>
        </is>
      </c>
      <c r="V2720" t="inlineStr">
        <is>
          <t>2005-10-20</t>
        </is>
      </c>
      <c r="W2720" t="inlineStr">
        <is>
          <t>1992-04-27</t>
        </is>
      </c>
      <c r="X2720" t="inlineStr">
        <is>
          <t>1992-04-27</t>
        </is>
      </c>
      <c r="Y2720" t="n">
        <v>339</v>
      </c>
      <c r="Z2720" t="n">
        <v>325</v>
      </c>
      <c r="AA2720" t="n">
        <v>326</v>
      </c>
      <c r="AB2720" t="n">
        <v>5</v>
      </c>
      <c r="AC2720" t="n">
        <v>5</v>
      </c>
      <c r="AD2720" t="n">
        <v>25</v>
      </c>
      <c r="AE2720" t="n">
        <v>25</v>
      </c>
      <c r="AF2720" t="n">
        <v>8</v>
      </c>
      <c r="AG2720" t="n">
        <v>8</v>
      </c>
      <c r="AH2720" t="n">
        <v>6</v>
      </c>
      <c r="AI2720" t="n">
        <v>6</v>
      </c>
      <c r="AJ2720" t="n">
        <v>12</v>
      </c>
      <c r="AK2720" t="n">
        <v>12</v>
      </c>
      <c r="AL2720" t="n">
        <v>4</v>
      </c>
      <c r="AM2720" t="n">
        <v>4</v>
      </c>
      <c r="AN2720" t="n">
        <v>0</v>
      </c>
      <c r="AO2720" t="n">
        <v>0</v>
      </c>
      <c r="AP2720" t="inlineStr">
        <is>
          <t>No</t>
        </is>
      </c>
      <c r="AQ2720" t="inlineStr">
        <is>
          <t>Yes</t>
        </is>
      </c>
      <c r="AR2720">
        <f>HYPERLINK("http://catalog.hathitrust.org/Record/001655360","HathiTrust Record")</f>
        <v/>
      </c>
      <c r="AS2720">
        <f>HYPERLINK("https://creighton-primo.hosted.exlibrisgroup.com/primo-explore/search?tab=default_tab&amp;search_scope=EVERYTHING&amp;vid=01CRU&amp;lang=en_US&amp;offset=0&amp;query=any,contains,991000036639702656","Catalog Record")</f>
        <v/>
      </c>
      <c r="AT2720">
        <f>HYPERLINK("http://www.worldcat.org/oclc/20393","WorldCat Record")</f>
        <v/>
      </c>
      <c r="AU2720" t="inlineStr">
        <is>
          <t>1142781:eng</t>
        </is>
      </c>
      <c r="AV2720" t="inlineStr">
        <is>
          <t>20393</t>
        </is>
      </c>
      <c r="AW2720" t="inlineStr">
        <is>
          <t>991000036639702656</t>
        </is>
      </c>
      <c r="AX2720" t="inlineStr">
        <is>
          <t>991000036639702656</t>
        </is>
      </c>
      <c r="AY2720" t="inlineStr">
        <is>
          <t>2258378990002656</t>
        </is>
      </c>
      <c r="AZ2720" t="inlineStr">
        <is>
          <t>BOOK</t>
        </is>
      </c>
      <c r="BC2720" t="inlineStr">
        <is>
          <t>32285001102036</t>
        </is>
      </c>
      <c r="BD2720" t="inlineStr">
        <is>
          <t>893871342</t>
        </is>
      </c>
    </row>
    <row r="2721">
      <c r="A2721" t="inlineStr">
        <is>
          <t>No</t>
        </is>
      </c>
      <c r="B2721" t="inlineStr">
        <is>
          <t>BX5199.H813 A73 1983</t>
        </is>
      </c>
      <c r="C2721" t="inlineStr">
        <is>
          <t>0                      BX 5199000H  813                A  73          1983</t>
        </is>
      </c>
      <c r="D2721" t="inlineStr">
        <is>
          <t>Richard Hooker / by Stanley Archer</t>
        </is>
      </c>
      <c r="F2721" t="inlineStr">
        <is>
          <t>No</t>
        </is>
      </c>
      <c r="G2721" t="inlineStr">
        <is>
          <t>1</t>
        </is>
      </c>
      <c r="H2721" t="inlineStr">
        <is>
          <t>No</t>
        </is>
      </c>
      <c r="I2721" t="inlineStr">
        <is>
          <t>No</t>
        </is>
      </c>
      <c r="J2721" t="inlineStr">
        <is>
          <t>0</t>
        </is>
      </c>
      <c r="K2721" t="inlineStr">
        <is>
          <t>Archer, Stanley.</t>
        </is>
      </c>
      <c r="L2721" t="inlineStr">
        <is>
          <t>Boston : Twayne Publishers, c1983.</t>
        </is>
      </c>
      <c r="M2721" t="inlineStr">
        <is>
          <t>1983</t>
        </is>
      </c>
      <c r="O2721" t="inlineStr">
        <is>
          <t>eng</t>
        </is>
      </c>
      <c r="P2721" t="inlineStr">
        <is>
          <t>mau</t>
        </is>
      </c>
      <c r="Q2721" t="inlineStr">
        <is>
          <t>Twayne's English authors series ; TEAS 350</t>
        </is>
      </c>
      <c r="R2721" t="inlineStr">
        <is>
          <t xml:space="preserve">BX </t>
        </is>
      </c>
      <c r="S2721" t="n">
        <v>1</v>
      </c>
      <c r="T2721" t="n">
        <v>1</v>
      </c>
      <c r="U2721" t="inlineStr">
        <is>
          <t>2002-03-10</t>
        </is>
      </c>
      <c r="V2721" t="inlineStr">
        <is>
          <t>2002-03-10</t>
        </is>
      </c>
      <c r="W2721" t="inlineStr">
        <is>
          <t>1992-04-27</t>
        </is>
      </c>
      <c r="X2721" t="inlineStr">
        <is>
          <t>1992-04-27</t>
        </is>
      </c>
      <c r="Y2721" t="n">
        <v>445</v>
      </c>
      <c r="Z2721" t="n">
        <v>385</v>
      </c>
      <c r="AA2721" t="n">
        <v>392</v>
      </c>
      <c r="AB2721" t="n">
        <v>5</v>
      </c>
      <c r="AC2721" t="n">
        <v>5</v>
      </c>
      <c r="AD2721" t="n">
        <v>20</v>
      </c>
      <c r="AE2721" t="n">
        <v>20</v>
      </c>
      <c r="AF2721" t="n">
        <v>5</v>
      </c>
      <c r="AG2721" t="n">
        <v>5</v>
      </c>
      <c r="AH2721" t="n">
        <v>4</v>
      </c>
      <c r="AI2721" t="n">
        <v>4</v>
      </c>
      <c r="AJ2721" t="n">
        <v>13</v>
      </c>
      <c r="AK2721" t="n">
        <v>13</v>
      </c>
      <c r="AL2721" t="n">
        <v>4</v>
      </c>
      <c r="AM2721" t="n">
        <v>4</v>
      </c>
      <c r="AN2721" t="n">
        <v>0</v>
      </c>
      <c r="AO2721" t="n">
        <v>0</v>
      </c>
      <c r="AP2721" t="inlineStr">
        <is>
          <t>No</t>
        </is>
      </c>
      <c r="AQ2721" t="inlineStr">
        <is>
          <t>Yes</t>
        </is>
      </c>
      <c r="AR2721">
        <f>HYPERLINK("http://catalog.hathitrust.org/Record/000318000","HathiTrust Record")</f>
        <v/>
      </c>
      <c r="AS2721">
        <f>HYPERLINK("https://creighton-primo.hosted.exlibrisgroup.com/primo-explore/search?tab=default_tab&amp;search_scope=EVERYTHING&amp;vid=01CRU&amp;lang=en_US&amp;offset=0&amp;query=any,contains,991000165919702656","Catalog Record")</f>
        <v/>
      </c>
      <c r="AT2721">
        <f>HYPERLINK("http://www.worldcat.org/oclc/9283294","WorldCat Record")</f>
        <v/>
      </c>
      <c r="AU2721" t="inlineStr">
        <is>
          <t>43142324:eng</t>
        </is>
      </c>
      <c r="AV2721" t="inlineStr">
        <is>
          <t>9283294</t>
        </is>
      </c>
      <c r="AW2721" t="inlineStr">
        <is>
          <t>991000165919702656</t>
        </is>
      </c>
      <c r="AX2721" t="inlineStr">
        <is>
          <t>991000165919702656</t>
        </is>
      </c>
      <c r="AY2721" t="inlineStr">
        <is>
          <t>2261628650002656</t>
        </is>
      </c>
      <c r="AZ2721" t="inlineStr">
        <is>
          <t>BOOK</t>
        </is>
      </c>
      <c r="BB2721" t="inlineStr">
        <is>
          <t>9780805768367</t>
        </is>
      </c>
      <c r="BC2721" t="inlineStr">
        <is>
          <t>32285001102044</t>
        </is>
      </c>
      <c r="BD2721" t="inlineStr">
        <is>
          <t>893890473</t>
        </is>
      </c>
    </row>
    <row r="2722">
      <c r="A2722" t="inlineStr">
        <is>
          <t>No</t>
        </is>
      </c>
      <c r="B2722" t="inlineStr">
        <is>
          <t>BX5199.H813 P6</t>
        </is>
      </c>
      <c r="C2722" t="inlineStr">
        <is>
          <t>0                      BX 5199000H  813                P  6</t>
        </is>
      </c>
      <c r="D2722" t="inlineStr">
        <is>
          <t>Richard Hooker / by Arthur Pollard.</t>
        </is>
      </c>
      <c r="F2722" t="inlineStr">
        <is>
          <t>No</t>
        </is>
      </c>
      <c r="G2722" t="inlineStr">
        <is>
          <t>1</t>
        </is>
      </c>
      <c r="H2722" t="inlineStr">
        <is>
          <t>No</t>
        </is>
      </c>
      <c r="I2722" t="inlineStr">
        <is>
          <t>No</t>
        </is>
      </c>
      <c r="J2722" t="inlineStr">
        <is>
          <t>0</t>
        </is>
      </c>
      <c r="K2722" t="inlineStr">
        <is>
          <t>Pollard, Arthur.</t>
        </is>
      </c>
      <c r="L2722" t="inlineStr">
        <is>
          <t>[London] : Longmans, Green, [1966]</t>
        </is>
      </c>
      <c r="M2722" t="inlineStr">
        <is>
          <t>1966</t>
        </is>
      </c>
      <c r="N2722" t="inlineStr">
        <is>
          <t>[1st ed.]</t>
        </is>
      </c>
      <c r="O2722" t="inlineStr">
        <is>
          <t>eng</t>
        </is>
      </c>
      <c r="P2722" t="inlineStr">
        <is>
          <t>___</t>
        </is>
      </c>
      <c r="Q2722" t="inlineStr">
        <is>
          <t>Bibliographical series of supplements to British book news on writers and their work ; no. 195</t>
        </is>
      </c>
      <c r="R2722" t="inlineStr">
        <is>
          <t xml:space="preserve">BX </t>
        </is>
      </c>
      <c r="S2722" t="n">
        <v>1</v>
      </c>
      <c r="T2722" t="n">
        <v>1</v>
      </c>
      <c r="U2722" t="inlineStr">
        <is>
          <t>2002-03-10</t>
        </is>
      </c>
      <c r="V2722" t="inlineStr">
        <is>
          <t>2002-03-10</t>
        </is>
      </c>
      <c r="W2722" t="inlineStr">
        <is>
          <t>1992-04-27</t>
        </is>
      </c>
      <c r="X2722" t="inlineStr">
        <is>
          <t>1992-04-27</t>
        </is>
      </c>
      <c r="Y2722" t="n">
        <v>582</v>
      </c>
      <c r="Z2722" t="n">
        <v>450</v>
      </c>
      <c r="AA2722" t="n">
        <v>453</v>
      </c>
      <c r="AB2722" t="n">
        <v>4</v>
      </c>
      <c r="AC2722" t="n">
        <v>4</v>
      </c>
      <c r="AD2722" t="n">
        <v>29</v>
      </c>
      <c r="AE2722" t="n">
        <v>29</v>
      </c>
      <c r="AF2722" t="n">
        <v>12</v>
      </c>
      <c r="AG2722" t="n">
        <v>12</v>
      </c>
      <c r="AH2722" t="n">
        <v>4</v>
      </c>
      <c r="AI2722" t="n">
        <v>4</v>
      </c>
      <c r="AJ2722" t="n">
        <v>18</v>
      </c>
      <c r="AK2722" t="n">
        <v>18</v>
      </c>
      <c r="AL2722" t="n">
        <v>3</v>
      </c>
      <c r="AM2722" t="n">
        <v>3</v>
      </c>
      <c r="AN2722" t="n">
        <v>0</v>
      </c>
      <c r="AO2722" t="n">
        <v>0</v>
      </c>
      <c r="AP2722" t="inlineStr">
        <is>
          <t>No</t>
        </is>
      </c>
      <c r="AQ2722" t="inlineStr">
        <is>
          <t>Yes</t>
        </is>
      </c>
      <c r="AR2722">
        <f>HYPERLINK("http://catalog.hathitrust.org/Record/000438487","HathiTrust Record")</f>
        <v/>
      </c>
      <c r="AS2722">
        <f>HYPERLINK("https://creighton-primo.hosted.exlibrisgroup.com/primo-explore/search?tab=default_tab&amp;search_scope=EVERYTHING&amp;vid=01CRU&amp;lang=en_US&amp;offset=0&amp;query=any,contains,991002098429702656","Catalog Record")</f>
        <v/>
      </c>
      <c r="AT2722">
        <f>HYPERLINK("http://www.worldcat.org/oclc/265931","WorldCat Record")</f>
        <v/>
      </c>
      <c r="AU2722" t="inlineStr">
        <is>
          <t>1383553:eng</t>
        </is>
      </c>
      <c r="AV2722" t="inlineStr">
        <is>
          <t>265931</t>
        </is>
      </c>
      <c r="AW2722" t="inlineStr">
        <is>
          <t>991002098429702656</t>
        </is>
      </c>
      <c r="AX2722" t="inlineStr">
        <is>
          <t>991002098429702656</t>
        </is>
      </c>
      <c r="AY2722" t="inlineStr">
        <is>
          <t>2267779110002656</t>
        </is>
      </c>
      <c r="AZ2722" t="inlineStr">
        <is>
          <t>BOOK</t>
        </is>
      </c>
      <c r="BC2722" t="inlineStr">
        <is>
          <t>32285001102051</t>
        </is>
      </c>
      <c r="BD2722" t="inlineStr">
        <is>
          <t>893892145</t>
        </is>
      </c>
    </row>
    <row r="2723">
      <c r="A2723" t="inlineStr">
        <is>
          <t>No</t>
        </is>
      </c>
      <c r="B2723" t="inlineStr">
        <is>
          <t>BX5199.H85 P37 1988</t>
        </is>
      </c>
      <c r="C2723" t="inlineStr">
        <is>
          <t>0                      BX 5199000H  85                 P  37          1988</t>
        </is>
      </c>
      <c r="D2723" t="inlineStr">
        <is>
          <t>F.J.A. Hort, eminent victorian / Graham A. Patrick.</t>
        </is>
      </c>
      <c r="F2723" t="inlineStr">
        <is>
          <t>No</t>
        </is>
      </c>
      <c r="G2723" t="inlineStr">
        <is>
          <t>1</t>
        </is>
      </c>
      <c r="H2723" t="inlineStr">
        <is>
          <t>No</t>
        </is>
      </c>
      <c r="I2723" t="inlineStr">
        <is>
          <t>No</t>
        </is>
      </c>
      <c r="J2723" t="inlineStr">
        <is>
          <t>0</t>
        </is>
      </c>
      <c r="K2723" t="inlineStr">
        <is>
          <t>Patrick, Graham A.</t>
        </is>
      </c>
      <c r="L2723" t="inlineStr">
        <is>
          <t>Sheffield, Eng. : Almond, 1988, c1987.</t>
        </is>
      </c>
      <c r="M2723" t="inlineStr">
        <is>
          <t>1988</t>
        </is>
      </c>
      <c r="O2723" t="inlineStr">
        <is>
          <t>eng</t>
        </is>
      </c>
      <c r="P2723" t="inlineStr">
        <is>
          <t>enk</t>
        </is>
      </c>
      <c r="Q2723" t="inlineStr">
        <is>
          <t>Historic[al] texts and interpreters in Biblical scholarship</t>
        </is>
      </c>
      <c r="R2723" t="inlineStr">
        <is>
          <t xml:space="preserve">BX </t>
        </is>
      </c>
      <c r="S2723" t="n">
        <v>3</v>
      </c>
      <c r="T2723" t="n">
        <v>3</v>
      </c>
      <c r="U2723" t="inlineStr">
        <is>
          <t>1996-05-08</t>
        </is>
      </c>
      <c r="V2723" t="inlineStr">
        <is>
          <t>1996-05-08</t>
        </is>
      </c>
      <c r="W2723" t="inlineStr">
        <is>
          <t>1995-06-07</t>
        </is>
      </c>
      <c r="X2723" t="inlineStr">
        <is>
          <t>1995-06-07</t>
        </is>
      </c>
      <c r="Y2723" t="n">
        <v>144</v>
      </c>
      <c r="Z2723" t="n">
        <v>104</v>
      </c>
      <c r="AA2723" t="n">
        <v>126</v>
      </c>
      <c r="AB2723" t="n">
        <v>1</v>
      </c>
      <c r="AC2723" t="n">
        <v>1</v>
      </c>
      <c r="AD2723" t="n">
        <v>6</v>
      </c>
      <c r="AE2723" t="n">
        <v>7</v>
      </c>
      <c r="AF2723" t="n">
        <v>3</v>
      </c>
      <c r="AG2723" t="n">
        <v>4</v>
      </c>
      <c r="AH2723" t="n">
        <v>1</v>
      </c>
      <c r="AI2723" t="n">
        <v>2</v>
      </c>
      <c r="AJ2723" t="n">
        <v>4</v>
      </c>
      <c r="AK2723" t="n">
        <v>4</v>
      </c>
      <c r="AL2723" t="n">
        <v>0</v>
      </c>
      <c r="AM2723" t="n">
        <v>0</v>
      </c>
      <c r="AN2723" t="n">
        <v>0</v>
      </c>
      <c r="AO2723" t="n">
        <v>0</v>
      </c>
      <c r="AP2723" t="inlineStr">
        <is>
          <t>No</t>
        </is>
      </c>
      <c r="AQ2723" t="inlineStr">
        <is>
          <t>No</t>
        </is>
      </c>
      <c r="AS2723">
        <f>HYPERLINK("https://creighton-primo.hosted.exlibrisgroup.com/primo-explore/search?tab=default_tab&amp;search_scope=EVERYTHING&amp;vid=01CRU&amp;lang=en_US&amp;offset=0&amp;query=any,contains,991001167059702656","Catalog Record")</f>
        <v/>
      </c>
      <c r="AT2723">
        <f>HYPERLINK("http://www.worldcat.org/oclc/16924650","WorldCat Record")</f>
        <v/>
      </c>
      <c r="AU2723" t="inlineStr">
        <is>
          <t>497607596:eng</t>
        </is>
      </c>
      <c r="AV2723" t="inlineStr">
        <is>
          <t>16924650</t>
        </is>
      </c>
      <c r="AW2723" t="inlineStr">
        <is>
          <t>991001167059702656</t>
        </is>
      </c>
      <c r="AX2723" t="inlineStr">
        <is>
          <t>991001167059702656</t>
        </is>
      </c>
      <c r="AY2723" t="inlineStr">
        <is>
          <t>2271032950002656</t>
        </is>
      </c>
      <c r="AZ2723" t="inlineStr">
        <is>
          <t>BOOK</t>
        </is>
      </c>
      <c r="BB2723" t="inlineStr">
        <is>
          <t>9781850750987</t>
        </is>
      </c>
      <c r="BC2723" t="inlineStr">
        <is>
          <t>32285002050911</t>
        </is>
      </c>
      <c r="BD2723" t="inlineStr">
        <is>
          <t>893256070</t>
        </is>
      </c>
    </row>
    <row r="2724">
      <c r="A2724" t="inlineStr">
        <is>
          <t>No</t>
        </is>
      </c>
      <c r="B2724" t="inlineStr">
        <is>
          <t>BX5199.J4 B6</t>
        </is>
      </c>
      <c r="C2724" t="inlineStr">
        <is>
          <t>0                      BX 5199000J  4                  B  6</t>
        </is>
      </c>
      <c r="D2724" t="inlineStr">
        <is>
          <t>John Jewel as apologist of the Church of England / by John E. Booty.</t>
        </is>
      </c>
      <c r="F2724" t="inlineStr">
        <is>
          <t>No</t>
        </is>
      </c>
      <c r="G2724" t="inlineStr">
        <is>
          <t>1</t>
        </is>
      </c>
      <c r="H2724" t="inlineStr">
        <is>
          <t>No</t>
        </is>
      </c>
      <c r="I2724" t="inlineStr">
        <is>
          <t>No</t>
        </is>
      </c>
      <c r="J2724" t="inlineStr">
        <is>
          <t>0</t>
        </is>
      </c>
      <c r="K2724" t="inlineStr">
        <is>
          <t>Booty, John E.</t>
        </is>
      </c>
      <c r="L2724" t="inlineStr">
        <is>
          <t>London : Published for the Church Historical Society [by] S. P. C. K., 1963.</t>
        </is>
      </c>
      <c r="M2724" t="inlineStr">
        <is>
          <t>1963</t>
        </is>
      </c>
      <c r="O2724" t="inlineStr">
        <is>
          <t>eng</t>
        </is>
      </c>
      <c r="P2724" t="inlineStr">
        <is>
          <t>enk</t>
        </is>
      </c>
      <c r="R2724" t="inlineStr">
        <is>
          <t xml:space="preserve">BX </t>
        </is>
      </c>
      <c r="S2724" t="n">
        <v>2</v>
      </c>
      <c r="T2724" t="n">
        <v>2</v>
      </c>
      <c r="U2724" t="inlineStr">
        <is>
          <t>2002-05-19</t>
        </is>
      </c>
      <c r="V2724" t="inlineStr">
        <is>
          <t>2002-05-19</t>
        </is>
      </c>
      <c r="W2724" t="inlineStr">
        <is>
          <t>1992-04-27</t>
        </is>
      </c>
      <c r="X2724" t="inlineStr">
        <is>
          <t>1992-04-27</t>
        </is>
      </c>
      <c r="Y2724" t="n">
        <v>236</v>
      </c>
      <c r="Z2724" t="n">
        <v>167</v>
      </c>
      <c r="AA2724" t="n">
        <v>173</v>
      </c>
      <c r="AB2724" t="n">
        <v>1</v>
      </c>
      <c r="AC2724" t="n">
        <v>1</v>
      </c>
      <c r="AD2724" t="n">
        <v>9</v>
      </c>
      <c r="AE2724" t="n">
        <v>10</v>
      </c>
      <c r="AF2724" t="n">
        <v>0</v>
      </c>
      <c r="AG2724" t="n">
        <v>0</v>
      </c>
      <c r="AH2724" t="n">
        <v>2</v>
      </c>
      <c r="AI2724" t="n">
        <v>3</v>
      </c>
      <c r="AJ2724" t="n">
        <v>8</v>
      </c>
      <c r="AK2724" t="n">
        <v>9</v>
      </c>
      <c r="AL2724" t="n">
        <v>0</v>
      </c>
      <c r="AM2724" t="n">
        <v>0</v>
      </c>
      <c r="AN2724" t="n">
        <v>0</v>
      </c>
      <c r="AO2724" t="n">
        <v>0</v>
      </c>
      <c r="AP2724" t="inlineStr">
        <is>
          <t>No</t>
        </is>
      </c>
      <c r="AQ2724" t="inlineStr">
        <is>
          <t>Yes</t>
        </is>
      </c>
      <c r="AR2724">
        <f>HYPERLINK("http://catalog.hathitrust.org/Record/001592944","HathiTrust Record")</f>
        <v/>
      </c>
      <c r="AS2724">
        <f>HYPERLINK("https://creighton-primo.hosted.exlibrisgroup.com/primo-explore/search?tab=default_tab&amp;search_scope=EVERYTHING&amp;vid=01CRU&amp;lang=en_US&amp;offset=0&amp;query=any,contains,991002641509702656","Catalog Record")</f>
        <v/>
      </c>
      <c r="AT2724">
        <f>HYPERLINK("http://www.worldcat.org/oclc/384502","WorldCat Record")</f>
        <v/>
      </c>
      <c r="AU2724" t="inlineStr">
        <is>
          <t>1504054:eng</t>
        </is>
      </c>
      <c r="AV2724" t="inlineStr">
        <is>
          <t>384502</t>
        </is>
      </c>
      <c r="AW2724" t="inlineStr">
        <is>
          <t>991002641509702656</t>
        </is>
      </c>
      <c r="AX2724" t="inlineStr">
        <is>
          <t>991002641509702656</t>
        </is>
      </c>
      <c r="AY2724" t="inlineStr">
        <is>
          <t>2256479750002656</t>
        </is>
      </c>
      <c r="AZ2724" t="inlineStr">
        <is>
          <t>BOOK</t>
        </is>
      </c>
      <c r="BC2724" t="inlineStr">
        <is>
          <t>32285001102069</t>
        </is>
      </c>
      <c r="BD2724" t="inlineStr">
        <is>
          <t>893685600</t>
        </is>
      </c>
    </row>
    <row r="2725">
      <c r="A2725" t="inlineStr">
        <is>
          <t>No</t>
        </is>
      </c>
      <c r="B2725" t="inlineStr">
        <is>
          <t>BX5199.L28 B6</t>
        </is>
      </c>
      <c r="C2725" t="inlineStr">
        <is>
          <t>0                      BX 5199000L  28                 B  6</t>
        </is>
      </c>
      <c r="D2725" t="inlineStr">
        <is>
          <t>The Anglicanism of William Laud / by E.C.E. Bourne.</t>
        </is>
      </c>
      <c r="F2725" t="inlineStr">
        <is>
          <t>No</t>
        </is>
      </c>
      <c r="G2725" t="inlineStr">
        <is>
          <t>1</t>
        </is>
      </c>
      <c r="H2725" t="inlineStr">
        <is>
          <t>No</t>
        </is>
      </c>
      <c r="I2725" t="inlineStr">
        <is>
          <t>No</t>
        </is>
      </c>
      <c r="J2725" t="inlineStr">
        <is>
          <t>0</t>
        </is>
      </c>
      <c r="K2725" t="inlineStr">
        <is>
          <t>Bourne, Edward Christopher Eugene.</t>
        </is>
      </c>
      <c r="L2725" t="inlineStr">
        <is>
          <t>London : Society for Promoting Christian Knowledge, [1947]</t>
        </is>
      </c>
      <c r="M2725" t="inlineStr">
        <is>
          <t>1947</t>
        </is>
      </c>
      <c r="O2725" t="inlineStr">
        <is>
          <t>eng</t>
        </is>
      </c>
      <c r="P2725" t="inlineStr">
        <is>
          <t>enk</t>
        </is>
      </c>
      <c r="R2725" t="inlineStr">
        <is>
          <t xml:space="preserve">BX </t>
        </is>
      </c>
      <c r="S2725" t="n">
        <v>2</v>
      </c>
      <c r="T2725" t="n">
        <v>2</v>
      </c>
      <c r="U2725" t="inlineStr">
        <is>
          <t>1996-05-08</t>
        </is>
      </c>
      <c r="V2725" t="inlineStr">
        <is>
          <t>1996-05-08</t>
        </is>
      </c>
      <c r="W2725" t="inlineStr">
        <is>
          <t>1992-04-27</t>
        </is>
      </c>
      <c r="X2725" t="inlineStr">
        <is>
          <t>1992-04-27</t>
        </is>
      </c>
      <c r="Y2725" t="n">
        <v>211</v>
      </c>
      <c r="Z2725" t="n">
        <v>138</v>
      </c>
      <c r="AA2725" t="n">
        <v>148</v>
      </c>
      <c r="AB2725" t="n">
        <v>2</v>
      </c>
      <c r="AC2725" t="n">
        <v>2</v>
      </c>
      <c r="AD2725" t="n">
        <v>6</v>
      </c>
      <c r="AE2725" t="n">
        <v>6</v>
      </c>
      <c r="AF2725" t="n">
        <v>1</v>
      </c>
      <c r="AG2725" t="n">
        <v>1</v>
      </c>
      <c r="AH2725" t="n">
        <v>1</v>
      </c>
      <c r="AI2725" t="n">
        <v>1</v>
      </c>
      <c r="AJ2725" t="n">
        <v>4</v>
      </c>
      <c r="AK2725" t="n">
        <v>4</v>
      </c>
      <c r="AL2725" t="n">
        <v>1</v>
      </c>
      <c r="AM2725" t="n">
        <v>1</v>
      </c>
      <c r="AN2725" t="n">
        <v>0</v>
      </c>
      <c r="AO2725" t="n">
        <v>0</v>
      </c>
      <c r="AP2725" t="inlineStr">
        <is>
          <t>No</t>
        </is>
      </c>
      <c r="AQ2725" t="inlineStr">
        <is>
          <t>Yes</t>
        </is>
      </c>
      <c r="AR2725">
        <f>HYPERLINK("http://catalog.hathitrust.org/Record/001592954","HathiTrust Record")</f>
        <v/>
      </c>
      <c r="AS2725">
        <f>HYPERLINK("https://creighton-primo.hosted.exlibrisgroup.com/primo-explore/search?tab=default_tab&amp;search_scope=EVERYTHING&amp;vid=01CRU&amp;lang=en_US&amp;offset=0&amp;query=any,contains,991004344699702656","Catalog Record")</f>
        <v/>
      </c>
      <c r="AT2725">
        <f>HYPERLINK("http://www.worldcat.org/oclc/3097795","WorldCat Record")</f>
        <v/>
      </c>
      <c r="AU2725" t="inlineStr">
        <is>
          <t>8372684:eng</t>
        </is>
      </c>
      <c r="AV2725" t="inlineStr">
        <is>
          <t>3097795</t>
        </is>
      </c>
      <c r="AW2725" t="inlineStr">
        <is>
          <t>991004344699702656</t>
        </is>
      </c>
      <c r="AX2725" t="inlineStr">
        <is>
          <t>991004344699702656</t>
        </is>
      </c>
      <c r="AY2725" t="inlineStr">
        <is>
          <t>2264929400002656</t>
        </is>
      </c>
      <c r="AZ2725" t="inlineStr">
        <is>
          <t>BOOK</t>
        </is>
      </c>
      <c r="BC2725" t="inlineStr">
        <is>
          <t>32285001102093</t>
        </is>
      </c>
      <c r="BD2725" t="inlineStr">
        <is>
          <t>893500442</t>
        </is>
      </c>
    </row>
    <row r="2726">
      <c r="A2726" t="inlineStr">
        <is>
          <t>No</t>
        </is>
      </c>
      <c r="B2726" t="inlineStr">
        <is>
          <t>BX5199.L49 W3</t>
        </is>
      </c>
      <c r="C2726" t="inlineStr">
        <is>
          <t>0                      BX 5199000L  49                 W  3</t>
        </is>
      </c>
      <c r="D2726" t="inlineStr">
        <is>
          <t>C. S. Lewis : apostle to the skeptics / by Chad Walsh.</t>
        </is>
      </c>
      <c r="F2726" t="inlineStr">
        <is>
          <t>No</t>
        </is>
      </c>
      <c r="G2726" t="inlineStr">
        <is>
          <t>1</t>
        </is>
      </c>
      <c r="H2726" t="inlineStr">
        <is>
          <t>No</t>
        </is>
      </c>
      <c r="I2726" t="inlineStr">
        <is>
          <t>No</t>
        </is>
      </c>
      <c r="J2726" t="inlineStr">
        <is>
          <t>0</t>
        </is>
      </c>
      <c r="K2726" t="inlineStr">
        <is>
          <t>Walsh, Chad, 1914-1991.</t>
        </is>
      </c>
      <c r="L2726" t="inlineStr">
        <is>
          <t>New York : Macmillan Co., 1949.</t>
        </is>
      </c>
      <c r="M2726" t="inlineStr">
        <is>
          <t>1949</t>
        </is>
      </c>
      <c r="O2726" t="inlineStr">
        <is>
          <t>eng</t>
        </is>
      </c>
      <c r="P2726" t="inlineStr">
        <is>
          <t>nyu</t>
        </is>
      </c>
      <c r="R2726" t="inlineStr">
        <is>
          <t xml:space="preserve">BX </t>
        </is>
      </c>
      <c r="S2726" t="n">
        <v>6</v>
      </c>
      <c r="T2726" t="n">
        <v>6</v>
      </c>
      <c r="U2726" t="inlineStr">
        <is>
          <t>2002-04-17</t>
        </is>
      </c>
      <c r="V2726" t="inlineStr">
        <is>
          <t>2002-04-17</t>
        </is>
      </c>
      <c r="W2726" t="inlineStr">
        <is>
          <t>1992-05-08</t>
        </is>
      </c>
      <c r="X2726" t="inlineStr">
        <is>
          <t>1992-05-08</t>
        </is>
      </c>
      <c r="Y2726" t="n">
        <v>539</v>
      </c>
      <c r="Z2726" t="n">
        <v>504</v>
      </c>
      <c r="AA2726" t="n">
        <v>610</v>
      </c>
      <c r="AB2726" t="n">
        <v>3</v>
      </c>
      <c r="AC2726" t="n">
        <v>6</v>
      </c>
      <c r="AD2726" t="n">
        <v>32</v>
      </c>
      <c r="AE2726" t="n">
        <v>36</v>
      </c>
      <c r="AF2726" t="n">
        <v>18</v>
      </c>
      <c r="AG2726" t="n">
        <v>19</v>
      </c>
      <c r="AH2726" t="n">
        <v>2</v>
      </c>
      <c r="AI2726" t="n">
        <v>4</v>
      </c>
      <c r="AJ2726" t="n">
        <v>19</v>
      </c>
      <c r="AK2726" t="n">
        <v>20</v>
      </c>
      <c r="AL2726" t="n">
        <v>1</v>
      </c>
      <c r="AM2726" t="n">
        <v>3</v>
      </c>
      <c r="AN2726" t="n">
        <v>0</v>
      </c>
      <c r="AO2726" t="n">
        <v>0</v>
      </c>
      <c r="AP2726" t="inlineStr">
        <is>
          <t>No</t>
        </is>
      </c>
      <c r="AQ2726" t="inlineStr">
        <is>
          <t>No</t>
        </is>
      </c>
      <c r="AR2726">
        <f>HYPERLINK("http://catalog.hathitrust.org/Record/001592964","HathiTrust Record")</f>
        <v/>
      </c>
      <c r="AS2726">
        <f>HYPERLINK("https://creighton-primo.hosted.exlibrisgroup.com/primo-explore/search?tab=default_tab&amp;search_scope=EVERYTHING&amp;vid=01CRU&amp;lang=en_US&amp;offset=0&amp;query=any,contains,991003030019702656","Catalog Record")</f>
        <v/>
      </c>
      <c r="AT2726">
        <f>HYPERLINK("http://www.worldcat.org/oclc/593241","WorldCat Record")</f>
        <v/>
      </c>
      <c r="AU2726" t="inlineStr">
        <is>
          <t>1888326:eng</t>
        </is>
      </c>
      <c r="AV2726" t="inlineStr">
        <is>
          <t>593241</t>
        </is>
      </c>
      <c r="AW2726" t="inlineStr">
        <is>
          <t>991003030019702656</t>
        </is>
      </c>
      <c r="AX2726" t="inlineStr">
        <is>
          <t>991003030019702656</t>
        </is>
      </c>
      <c r="AY2726" t="inlineStr">
        <is>
          <t>2264807850002656</t>
        </is>
      </c>
      <c r="AZ2726" t="inlineStr">
        <is>
          <t>BOOK</t>
        </is>
      </c>
      <c r="BC2726" t="inlineStr">
        <is>
          <t>32285001121663</t>
        </is>
      </c>
      <c r="BD2726" t="inlineStr">
        <is>
          <t>893793246</t>
        </is>
      </c>
    </row>
    <row r="2727">
      <c r="A2727" t="inlineStr">
        <is>
          <t>No</t>
        </is>
      </c>
      <c r="B2727" t="inlineStr">
        <is>
          <t>BX5199.L53 A42</t>
        </is>
      </c>
      <c r="C2727" t="inlineStr">
        <is>
          <t>0                      BX 5199000L  53                 A  42</t>
        </is>
      </c>
      <c r="D2727" t="inlineStr">
        <is>
          <t>Letters to an American lady / C.S. Lewis. Edited by Clyde S. Kilby.</t>
        </is>
      </c>
      <c r="F2727" t="inlineStr">
        <is>
          <t>No</t>
        </is>
      </c>
      <c r="G2727" t="inlineStr">
        <is>
          <t>1</t>
        </is>
      </c>
      <c r="H2727" t="inlineStr">
        <is>
          <t>No</t>
        </is>
      </c>
      <c r="I2727" t="inlineStr">
        <is>
          <t>No</t>
        </is>
      </c>
      <c r="J2727" t="inlineStr">
        <is>
          <t>0</t>
        </is>
      </c>
      <c r="K2727" t="inlineStr">
        <is>
          <t>Lewis, C. S. (Clive Staples), 1898-1963.</t>
        </is>
      </c>
      <c r="L2727" t="inlineStr">
        <is>
          <t>Grand Rapids, Mich. : W. B. Eerdmans Pub. Co., [1967]</t>
        </is>
      </c>
      <c r="M2727" t="inlineStr">
        <is>
          <t>1967</t>
        </is>
      </c>
      <c r="O2727" t="inlineStr">
        <is>
          <t>eng</t>
        </is>
      </c>
      <c r="P2727" t="inlineStr">
        <is>
          <t>miu</t>
        </is>
      </c>
      <c r="R2727" t="inlineStr">
        <is>
          <t xml:space="preserve">BX </t>
        </is>
      </c>
      <c r="S2727" t="n">
        <v>5</v>
      </c>
      <c r="T2727" t="n">
        <v>5</v>
      </c>
      <c r="U2727" t="inlineStr">
        <is>
          <t>2009-01-22</t>
        </is>
      </c>
      <c r="V2727" t="inlineStr">
        <is>
          <t>2009-01-22</t>
        </is>
      </c>
      <c r="W2727" t="inlineStr">
        <is>
          <t>1992-05-08</t>
        </is>
      </c>
      <c r="X2727" t="inlineStr">
        <is>
          <t>1992-05-08</t>
        </is>
      </c>
      <c r="Y2727" t="n">
        <v>1132</v>
      </c>
      <c r="Z2727" t="n">
        <v>1068</v>
      </c>
      <c r="AA2727" t="n">
        <v>1263</v>
      </c>
      <c r="AB2727" t="n">
        <v>15</v>
      </c>
      <c r="AC2727" t="n">
        <v>16</v>
      </c>
      <c r="AD2727" t="n">
        <v>35</v>
      </c>
      <c r="AE2727" t="n">
        <v>46</v>
      </c>
      <c r="AF2727" t="n">
        <v>12</v>
      </c>
      <c r="AG2727" t="n">
        <v>16</v>
      </c>
      <c r="AH2727" t="n">
        <v>4</v>
      </c>
      <c r="AI2727" t="n">
        <v>7</v>
      </c>
      <c r="AJ2727" t="n">
        <v>18</v>
      </c>
      <c r="AK2727" t="n">
        <v>23</v>
      </c>
      <c r="AL2727" t="n">
        <v>7</v>
      </c>
      <c r="AM2727" t="n">
        <v>8</v>
      </c>
      <c r="AN2727" t="n">
        <v>0</v>
      </c>
      <c r="AO2727" t="n">
        <v>0</v>
      </c>
      <c r="AP2727" t="inlineStr">
        <is>
          <t>No</t>
        </is>
      </c>
      <c r="AQ2727" t="inlineStr">
        <is>
          <t>No</t>
        </is>
      </c>
      <c r="AS2727">
        <f>HYPERLINK("https://creighton-primo.hosted.exlibrisgroup.com/primo-explore/search?tab=default_tab&amp;search_scope=EVERYTHING&amp;vid=01CRU&amp;lang=en_US&amp;offset=0&amp;query=any,contains,991003352349702656","Catalog Record")</f>
        <v/>
      </c>
      <c r="AT2727">
        <f>HYPERLINK("http://www.worldcat.org/oclc/885791","WorldCat Record")</f>
        <v/>
      </c>
      <c r="AU2727" t="inlineStr">
        <is>
          <t>454544:eng</t>
        </is>
      </c>
      <c r="AV2727" t="inlineStr">
        <is>
          <t>885791</t>
        </is>
      </c>
      <c r="AW2727" t="inlineStr">
        <is>
          <t>991003352349702656</t>
        </is>
      </c>
      <c r="AX2727" t="inlineStr">
        <is>
          <t>991003352349702656</t>
        </is>
      </c>
      <c r="AY2727" t="inlineStr">
        <is>
          <t>2257430270002656</t>
        </is>
      </c>
      <c r="AZ2727" t="inlineStr">
        <is>
          <t>BOOK</t>
        </is>
      </c>
      <c r="BC2727" t="inlineStr">
        <is>
          <t>32285001121671</t>
        </is>
      </c>
      <c r="BD2727" t="inlineStr">
        <is>
          <t>893531115</t>
        </is>
      </c>
    </row>
    <row r="2728">
      <c r="A2728" t="inlineStr">
        <is>
          <t>No</t>
        </is>
      </c>
      <c r="B2728" t="inlineStr">
        <is>
          <t>BX5199.L53 S64</t>
        </is>
      </c>
      <c r="C2728" t="inlineStr">
        <is>
          <t>0                      BX 5199000L  53                 S  64</t>
        </is>
      </c>
      <c r="D2728" t="inlineStr">
        <is>
          <t>Patches of Godlight : the pattern of thought of C. S. Lewis / Robert Houston Smith.</t>
        </is>
      </c>
      <c r="F2728" t="inlineStr">
        <is>
          <t>No</t>
        </is>
      </c>
      <c r="G2728" t="inlineStr">
        <is>
          <t>1</t>
        </is>
      </c>
      <c r="H2728" t="inlineStr">
        <is>
          <t>No</t>
        </is>
      </c>
      <c r="I2728" t="inlineStr">
        <is>
          <t>No</t>
        </is>
      </c>
      <c r="J2728" t="inlineStr">
        <is>
          <t>0</t>
        </is>
      </c>
      <c r="K2728" t="inlineStr">
        <is>
          <t>Smith, Robert Houston.</t>
        </is>
      </c>
      <c r="L2728" t="inlineStr">
        <is>
          <t>Athens : University of Georgia Press, c1981.</t>
        </is>
      </c>
      <c r="M2728" t="inlineStr">
        <is>
          <t>1981</t>
        </is>
      </c>
      <c r="O2728" t="inlineStr">
        <is>
          <t>eng</t>
        </is>
      </c>
      <c r="P2728" t="inlineStr">
        <is>
          <t>gau</t>
        </is>
      </c>
      <c r="R2728" t="inlineStr">
        <is>
          <t xml:space="preserve">BX </t>
        </is>
      </c>
      <c r="S2728" t="n">
        <v>1</v>
      </c>
      <c r="T2728" t="n">
        <v>1</v>
      </c>
      <c r="U2728" t="inlineStr">
        <is>
          <t>2009-08-12</t>
        </is>
      </c>
      <c r="V2728" t="inlineStr">
        <is>
          <t>2009-08-12</t>
        </is>
      </c>
      <c r="W2728" t="inlineStr">
        <is>
          <t>1992-05-08</t>
        </is>
      </c>
      <c r="X2728" t="inlineStr">
        <is>
          <t>1992-05-08</t>
        </is>
      </c>
      <c r="Y2728" t="n">
        <v>654</v>
      </c>
      <c r="Z2728" t="n">
        <v>575</v>
      </c>
      <c r="AA2728" t="n">
        <v>579</v>
      </c>
      <c r="AB2728" t="n">
        <v>3</v>
      </c>
      <c r="AC2728" t="n">
        <v>3</v>
      </c>
      <c r="AD2728" t="n">
        <v>32</v>
      </c>
      <c r="AE2728" t="n">
        <v>32</v>
      </c>
      <c r="AF2728" t="n">
        <v>15</v>
      </c>
      <c r="AG2728" t="n">
        <v>15</v>
      </c>
      <c r="AH2728" t="n">
        <v>8</v>
      </c>
      <c r="AI2728" t="n">
        <v>8</v>
      </c>
      <c r="AJ2728" t="n">
        <v>18</v>
      </c>
      <c r="AK2728" t="n">
        <v>18</v>
      </c>
      <c r="AL2728" t="n">
        <v>2</v>
      </c>
      <c r="AM2728" t="n">
        <v>2</v>
      </c>
      <c r="AN2728" t="n">
        <v>0</v>
      </c>
      <c r="AO2728" t="n">
        <v>0</v>
      </c>
      <c r="AP2728" t="inlineStr">
        <is>
          <t>No</t>
        </is>
      </c>
      <c r="AQ2728" t="inlineStr">
        <is>
          <t>Yes</t>
        </is>
      </c>
      <c r="AR2728">
        <f>HYPERLINK("http://catalog.hathitrust.org/Record/000736062","HathiTrust Record")</f>
        <v/>
      </c>
      <c r="AS2728">
        <f>HYPERLINK("https://creighton-primo.hosted.exlibrisgroup.com/primo-explore/search?tab=default_tab&amp;search_scope=EVERYTHING&amp;vid=01CRU&amp;lang=en_US&amp;offset=0&amp;query=any,contains,991004948329702656","Catalog Record")</f>
        <v/>
      </c>
      <c r="AT2728">
        <f>HYPERLINK("http://www.worldcat.org/oclc/6223317","WorldCat Record")</f>
        <v/>
      </c>
      <c r="AU2728" t="inlineStr">
        <is>
          <t>375476242:eng</t>
        </is>
      </c>
      <c r="AV2728" t="inlineStr">
        <is>
          <t>6223317</t>
        </is>
      </c>
      <c r="AW2728" t="inlineStr">
        <is>
          <t>991004948329702656</t>
        </is>
      </c>
      <c r="AX2728" t="inlineStr">
        <is>
          <t>991004948329702656</t>
        </is>
      </c>
      <c r="AY2728" t="inlineStr">
        <is>
          <t>2268495870002656</t>
        </is>
      </c>
      <c r="AZ2728" t="inlineStr">
        <is>
          <t>BOOK</t>
        </is>
      </c>
      <c r="BB2728" t="inlineStr">
        <is>
          <t>9780820305288</t>
        </is>
      </c>
      <c r="BC2728" t="inlineStr">
        <is>
          <t>32285001121713</t>
        </is>
      </c>
      <c r="BD2728" t="inlineStr">
        <is>
          <t>893242011</t>
        </is>
      </c>
    </row>
    <row r="2729">
      <c r="A2729" t="inlineStr">
        <is>
          <t>No</t>
        </is>
      </c>
      <c r="B2729" t="inlineStr">
        <is>
          <t>BX5199.L74 H25</t>
        </is>
      </c>
      <c r="C2729" t="inlineStr">
        <is>
          <t>0                      BX 5199000L  74                 H  25</t>
        </is>
      </c>
      <c r="D2729" t="inlineStr">
        <is>
          <t>William Lloyd, 1627-1717 : bishop, politician, author, and prophet / by A. Tindal Hart.</t>
        </is>
      </c>
      <c r="F2729" t="inlineStr">
        <is>
          <t>No</t>
        </is>
      </c>
      <c r="G2729" t="inlineStr">
        <is>
          <t>1</t>
        </is>
      </c>
      <c r="H2729" t="inlineStr">
        <is>
          <t>No</t>
        </is>
      </c>
      <c r="I2729" t="inlineStr">
        <is>
          <t>No</t>
        </is>
      </c>
      <c r="J2729" t="inlineStr">
        <is>
          <t>0</t>
        </is>
      </c>
      <c r="K2729" t="inlineStr">
        <is>
          <t>Hart, A. Tindal (Arthur Tindal)</t>
        </is>
      </c>
      <c r="L2729" t="inlineStr">
        <is>
          <t>London : S.P.C.K., 1952.</t>
        </is>
      </c>
      <c r="M2729" t="inlineStr">
        <is>
          <t>1952</t>
        </is>
      </c>
      <c r="O2729" t="inlineStr">
        <is>
          <t>eng</t>
        </is>
      </c>
      <c r="P2729" t="inlineStr">
        <is>
          <t>___</t>
        </is>
      </c>
      <c r="R2729" t="inlineStr">
        <is>
          <t xml:space="preserve">BX </t>
        </is>
      </c>
      <c r="S2729" t="n">
        <v>0</v>
      </c>
      <c r="T2729" t="n">
        <v>0</v>
      </c>
      <c r="U2729" t="inlineStr">
        <is>
          <t>2006-08-17</t>
        </is>
      </c>
      <c r="V2729" t="inlineStr">
        <is>
          <t>2006-08-17</t>
        </is>
      </c>
      <c r="W2729" t="inlineStr">
        <is>
          <t>1992-05-08</t>
        </is>
      </c>
      <c r="X2729" t="inlineStr">
        <is>
          <t>1992-05-08</t>
        </is>
      </c>
      <c r="Y2729" t="n">
        <v>163</v>
      </c>
      <c r="Z2729" t="n">
        <v>114</v>
      </c>
      <c r="AA2729" t="n">
        <v>115</v>
      </c>
      <c r="AB2729" t="n">
        <v>1</v>
      </c>
      <c r="AC2729" t="n">
        <v>1</v>
      </c>
      <c r="AD2729" t="n">
        <v>3</v>
      </c>
      <c r="AE2729" t="n">
        <v>3</v>
      </c>
      <c r="AF2729" t="n">
        <v>1</v>
      </c>
      <c r="AG2729" t="n">
        <v>1</v>
      </c>
      <c r="AH2729" t="n">
        <v>1</v>
      </c>
      <c r="AI2729" t="n">
        <v>1</v>
      </c>
      <c r="AJ2729" t="n">
        <v>2</v>
      </c>
      <c r="AK2729" t="n">
        <v>2</v>
      </c>
      <c r="AL2729" t="n">
        <v>0</v>
      </c>
      <c r="AM2729" t="n">
        <v>0</v>
      </c>
      <c r="AN2729" t="n">
        <v>0</v>
      </c>
      <c r="AO2729" t="n">
        <v>0</v>
      </c>
      <c r="AP2729" t="inlineStr">
        <is>
          <t>No</t>
        </is>
      </c>
      <c r="AQ2729" t="inlineStr">
        <is>
          <t>Yes</t>
        </is>
      </c>
      <c r="AR2729">
        <f>HYPERLINK("http://catalog.hathitrust.org/Record/001592965","HathiTrust Record")</f>
        <v/>
      </c>
      <c r="AS2729">
        <f>HYPERLINK("https://creighton-primo.hosted.exlibrisgroup.com/primo-explore/search?tab=default_tab&amp;search_scope=EVERYTHING&amp;vid=01CRU&amp;lang=en_US&amp;offset=0&amp;query=any,contains,991002641759702656","Catalog Record")</f>
        <v/>
      </c>
      <c r="AT2729">
        <f>HYPERLINK("http://www.worldcat.org/oclc/384631","WorldCat Record")</f>
        <v/>
      </c>
      <c r="AU2729" t="inlineStr">
        <is>
          <t>431765896:eng</t>
        </is>
      </c>
      <c r="AV2729" t="inlineStr">
        <is>
          <t>384631</t>
        </is>
      </c>
      <c r="AW2729" t="inlineStr">
        <is>
          <t>991002641759702656</t>
        </is>
      </c>
      <c r="AX2729" t="inlineStr">
        <is>
          <t>991002641759702656</t>
        </is>
      </c>
      <c r="AY2729" t="inlineStr">
        <is>
          <t>2256130840002656</t>
        </is>
      </c>
      <c r="AZ2729" t="inlineStr">
        <is>
          <t>BOOK</t>
        </is>
      </c>
      <c r="BC2729" t="inlineStr">
        <is>
          <t>32285001121739</t>
        </is>
      </c>
      <c r="BD2729" t="inlineStr">
        <is>
          <t>893786367</t>
        </is>
      </c>
    </row>
    <row r="2730">
      <c r="A2730" t="inlineStr">
        <is>
          <t>No</t>
        </is>
      </c>
      <c r="B2730" t="inlineStr">
        <is>
          <t>BX5199.M3 B76</t>
        </is>
      </c>
      <c r="C2730" t="inlineStr">
        <is>
          <t>0                      BX 5199000M  3                  B  76</t>
        </is>
      </c>
      <c r="D2730" t="inlineStr">
        <is>
          <t>Frederick Denison Maurice, rebellious conformist / [by] Olive J. Brose.</t>
        </is>
      </c>
      <c r="F2730" t="inlineStr">
        <is>
          <t>No</t>
        </is>
      </c>
      <c r="G2730" t="inlineStr">
        <is>
          <t>1</t>
        </is>
      </c>
      <c r="H2730" t="inlineStr">
        <is>
          <t>No</t>
        </is>
      </c>
      <c r="I2730" t="inlineStr">
        <is>
          <t>No</t>
        </is>
      </c>
      <c r="J2730" t="inlineStr">
        <is>
          <t>0</t>
        </is>
      </c>
      <c r="K2730" t="inlineStr">
        <is>
          <t>Brose, Olive J.</t>
        </is>
      </c>
      <c r="L2730" t="inlineStr">
        <is>
          <t>[Athens] : Ohio University Press, [1972, c1971]</t>
        </is>
      </c>
      <c r="M2730" t="inlineStr">
        <is>
          <t>1972</t>
        </is>
      </c>
      <c r="O2730" t="inlineStr">
        <is>
          <t>eng</t>
        </is>
      </c>
      <c r="P2730" t="inlineStr">
        <is>
          <t>ohu</t>
        </is>
      </c>
      <c r="R2730" t="inlineStr">
        <is>
          <t xml:space="preserve">BX </t>
        </is>
      </c>
      <c r="S2730" t="n">
        <v>4</v>
      </c>
      <c r="T2730" t="n">
        <v>4</v>
      </c>
      <c r="U2730" t="inlineStr">
        <is>
          <t>2008-11-30</t>
        </is>
      </c>
      <c r="V2730" t="inlineStr">
        <is>
          <t>2008-11-30</t>
        </is>
      </c>
      <c r="W2730" t="inlineStr">
        <is>
          <t>1992-05-08</t>
        </is>
      </c>
      <c r="X2730" t="inlineStr">
        <is>
          <t>1992-05-08</t>
        </is>
      </c>
      <c r="Y2730" t="n">
        <v>411</v>
      </c>
      <c r="Z2730" t="n">
        <v>358</v>
      </c>
      <c r="AA2730" t="n">
        <v>378</v>
      </c>
      <c r="AB2730" t="n">
        <v>3</v>
      </c>
      <c r="AC2730" t="n">
        <v>3</v>
      </c>
      <c r="AD2730" t="n">
        <v>16</v>
      </c>
      <c r="AE2730" t="n">
        <v>17</v>
      </c>
      <c r="AF2730" t="n">
        <v>4</v>
      </c>
      <c r="AG2730" t="n">
        <v>5</v>
      </c>
      <c r="AH2730" t="n">
        <v>4</v>
      </c>
      <c r="AI2730" t="n">
        <v>4</v>
      </c>
      <c r="AJ2730" t="n">
        <v>9</v>
      </c>
      <c r="AK2730" t="n">
        <v>9</v>
      </c>
      <c r="AL2730" t="n">
        <v>2</v>
      </c>
      <c r="AM2730" t="n">
        <v>2</v>
      </c>
      <c r="AN2730" t="n">
        <v>0</v>
      </c>
      <c r="AO2730" t="n">
        <v>0</v>
      </c>
      <c r="AP2730" t="inlineStr">
        <is>
          <t>No</t>
        </is>
      </c>
      <c r="AQ2730" t="inlineStr">
        <is>
          <t>Yes</t>
        </is>
      </c>
      <c r="AR2730">
        <f>HYPERLINK("http://catalog.hathitrust.org/Record/001592970","HathiTrust Record")</f>
        <v/>
      </c>
      <c r="AS2730">
        <f>HYPERLINK("https://creighton-primo.hosted.exlibrisgroup.com/primo-explore/search?tab=default_tab&amp;search_scope=EVERYTHING&amp;vid=01CRU&amp;lang=en_US&amp;offset=0&amp;query=any,contains,991002004559702656","Catalog Record")</f>
        <v/>
      </c>
      <c r="AT2730">
        <f>HYPERLINK("http://www.worldcat.org/oclc/257862","WorldCat Record")</f>
        <v/>
      </c>
      <c r="AU2730" t="inlineStr">
        <is>
          <t>1360277:eng</t>
        </is>
      </c>
      <c r="AV2730" t="inlineStr">
        <is>
          <t>257862</t>
        </is>
      </c>
      <c r="AW2730" t="inlineStr">
        <is>
          <t>991002004559702656</t>
        </is>
      </c>
      <c r="AX2730" t="inlineStr">
        <is>
          <t>991002004559702656</t>
        </is>
      </c>
      <c r="AY2730" t="inlineStr">
        <is>
          <t>2271765170002656</t>
        </is>
      </c>
      <c r="AZ2730" t="inlineStr">
        <is>
          <t>BOOK</t>
        </is>
      </c>
      <c r="BB2730" t="inlineStr">
        <is>
          <t>9780821400920</t>
        </is>
      </c>
      <c r="BC2730" t="inlineStr">
        <is>
          <t>32285001121762</t>
        </is>
      </c>
      <c r="BD2730" t="inlineStr">
        <is>
          <t>893697237</t>
        </is>
      </c>
    </row>
    <row r="2731">
      <c r="A2731" t="inlineStr">
        <is>
          <t>No</t>
        </is>
      </c>
      <c r="B2731" t="inlineStr">
        <is>
          <t>BX5199.P3 B7 1965</t>
        </is>
      </c>
      <c r="C2731" t="inlineStr">
        <is>
          <t>0                      BX 5199000P  3                  B  7           1965</t>
        </is>
      </c>
      <c r="D2731" t="inlineStr">
        <is>
          <t>A life of Archbishop Parker / by V. J. K. Brook.</t>
        </is>
      </c>
      <c r="F2731" t="inlineStr">
        <is>
          <t>No</t>
        </is>
      </c>
      <c r="G2731" t="inlineStr">
        <is>
          <t>1</t>
        </is>
      </c>
      <c r="H2731" t="inlineStr">
        <is>
          <t>No</t>
        </is>
      </c>
      <c r="I2731" t="inlineStr">
        <is>
          <t>No</t>
        </is>
      </c>
      <c r="J2731" t="inlineStr">
        <is>
          <t>0</t>
        </is>
      </c>
      <c r="K2731" t="inlineStr">
        <is>
          <t>Brook, V. J. K. (Victor John Knight), 1887-1974.</t>
        </is>
      </c>
      <c r="L2731" t="inlineStr">
        <is>
          <t>Oxford [Eng.] : Clarendon Press, [1965, c1962]</t>
        </is>
      </c>
      <c r="M2731" t="inlineStr">
        <is>
          <t>1965</t>
        </is>
      </c>
      <c r="O2731" t="inlineStr">
        <is>
          <t>eng</t>
        </is>
      </c>
      <c r="P2731" t="inlineStr">
        <is>
          <t>enk</t>
        </is>
      </c>
      <c r="R2731" t="inlineStr">
        <is>
          <t xml:space="preserve">BX </t>
        </is>
      </c>
      <c r="S2731" t="n">
        <v>1</v>
      </c>
      <c r="T2731" t="n">
        <v>1</v>
      </c>
      <c r="U2731" t="inlineStr">
        <is>
          <t>2001-06-07</t>
        </is>
      </c>
      <c r="V2731" t="inlineStr">
        <is>
          <t>2001-06-07</t>
        </is>
      </c>
      <c r="W2731" t="inlineStr">
        <is>
          <t>1992-05-08</t>
        </is>
      </c>
      <c r="X2731" t="inlineStr">
        <is>
          <t>1992-05-08</t>
        </is>
      </c>
      <c r="Y2731" t="n">
        <v>25</v>
      </c>
      <c r="Z2731" t="n">
        <v>17</v>
      </c>
      <c r="AA2731" t="n">
        <v>330</v>
      </c>
      <c r="AB2731" t="n">
        <v>1</v>
      </c>
      <c r="AC2731" t="n">
        <v>2</v>
      </c>
      <c r="AD2731" t="n">
        <v>1</v>
      </c>
      <c r="AE2731" t="n">
        <v>23</v>
      </c>
      <c r="AF2731" t="n">
        <v>0</v>
      </c>
      <c r="AG2731" t="n">
        <v>6</v>
      </c>
      <c r="AH2731" t="n">
        <v>1</v>
      </c>
      <c r="AI2731" t="n">
        <v>7</v>
      </c>
      <c r="AJ2731" t="n">
        <v>1</v>
      </c>
      <c r="AK2731" t="n">
        <v>16</v>
      </c>
      <c r="AL2731" t="n">
        <v>0</v>
      </c>
      <c r="AM2731" t="n">
        <v>1</v>
      </c>
      <c r="AN2731" t="n">
        <v>0</v>
      </c>
      <c r="AO2731" t="n">
        <v>0</v>
      </c>
      <c r="AP2731" t="inlineStr">
        <is>
          <t>No</t>
        </is>
      </c>
      <c r="AQ2731" t="inlineStr">
        <is>
          <t>No</t>
        </is>
      </c>
      <c r="AS2731">
        <f>HYPERLINK("https://creighton-primo.hosted.exlibrisgroup.com/primo-explore/search?tab=default_tab&amp;search_scope=EVERYTHING&amp;vid=01CRU&amp;lang=en_US&amp;offset=0&amp;query=any,contains,991000315079702656","Catalog Record")</f>
        <v/>
      </c>
      <c r="AT2731">
        <f>HYPERLINK("http://www.worldcat.org/oclc/10115059","WorldCat Record")</f>
        <v/>
      </c>
      <c r="AU2731" t="inlineStr">
        <is>
          <t>1846961:eng</t>
        </is>
      </c>
      <c r="AV2731" t="inlineStr">
        <is>
          <t>10115059</t>
        </is>
      </c>
      <c r="AW2731" t="inlineStr">
        <is>
          <t>991000315079702656</t>
        </is>
      </c>
      <c r="AX2731" t="inlineStr">
        <is>
          <t>991000315079702656</t>
        </is>
      </c>
      <c r="AY2731" t="inlineStr">
        <is>
          <t>2255018230002656</t>
        </is>
      </c>
      <c r="AZ2731" t="inlineStr">
        <is>
          <t>BOOK</t>
        </is>
      </c>
      <c r="BC2731" t="inlineStr">
        <is>
          <t>32285001121770</t>
        </is>
      </c>
      <c r="BD2731" t="inlineStr">
        <is>
          <t>893871565</t>
        </is>
      </c>
    </row>
    <row r="2732">
      <c r="A2732" t="inlineStr">
        <is>
          <t>No</t>
        </is>
      </c>
      <c r="B2732" t="inlineStr">
        <is>
          <t>BX5199.P3 P4 1964</t>
        </is>
      </c>
      <c r="C2732" t="inlineStr">
        <is>
          <t>0                      BX 5199000P  3                  P  4           1964</t>
        </is>
      </c>
      <c r="D2732" t="inlineStr">
        <is>
          <t>Under four Tudors, being the story of Matthew Parker, sometime Archbishop of Canterbury / Edith Weir Perry. With an introd. by the Archbishop of Canterbury.</t>
        </is>
      </c>
      <c r="F2732" t="inlineStr">
        <is>
          <t>No</t>
        </is>
      </c>
      <c r="G2732" t="inlineStr">
        <is>
          <t>1</t>
        </is>
      </c>
      <c r="H2732" t="inlineStr">
        <is>
          <t>No</t>
        </is>
      </c>
      <c r="I2732" t="inlineStr">
        <is>
          <t>No</t>
        </is>
      </c>
      <c r="J2732" t="inlineStr">
        <is>
          <t>0</t>
        </is>
      </c>
      <c r="K2732" t="inlineStr">
        <is>
          <t>Perry, Edith Weir, 1875-</t>
        </is>
      </c>
      <c r="L2732" t="inlineStr">
        <is>
          <t>London : Allen &amp; Unwin, [1964]</t>
        </is>
      </c>
      <c r="M2732" t="inlineStr">
        <is>
          <t>1964</t>
        </is>
      </c>
      <c r="N2732" t="inlineStr">
        <is>
          <t>[2d ed.]</t>
        </is>
      </c>
      <c r="O2732" t="inlineStr">
        <is>
          <t>eng</t>
        </is>
      </c>
      <c r="P2732" t="inlineStr">
        <is>
          <t>enk</t>
        </is>
      </c>
      <c r="R2732" t="inlineStr">
        <is>
          <t xml:space="preserve">BX </t>
        </is>
      </c>
      <c r="S2732" t="n">
        <v>1</v>
      </c>
      <c r="T2732" t="n">
        <v>1</v>
      </c>
      <c r="U2732" t="inlineStr">
        <is>
          <t>2001-06-07</t>
        </is>
      </c>
      <c r="V2732" t="inlineStr">
        <is>
          <t>2001-06-07</t>
        </is>
      </c>
      <c r="W2732" t="inlineStr">
        <is>
          <t>1992-05-08</t>
        </is>
      </c>
      <c r="X2732" t="inlineStr">
        <is>
          <t>1992-05-08</t>
        </is>
      </c>
      <c r="Y2732" t="n">
        <v>351</v>
      </c>
      <c r="Z2732" t="n">
        <v>300</v>
      </c>
      <c r="AA2732" t="n">
        <v>351</v>
      </c>
      <c r="AB2732" t="n">
        <v>1</v>
      </c>
      <c r="AC2732" t="n">
        <v>1</v>
      </c>
      <c r="AD2732" t="n">
        <v>30</v>
      </c>
      <c r="AE2732" t="n">
        <v>31</v>
      </c>
      <c r="AF2732" t="n">
        <v>11</v>
      </c>
      <c r="AG2732" t="n">
        <v>12</v>
      </c>
      <c r="AH2732" t="n">
        <v>8</v>
      </c>
      <c r="AI2732" t="n">
        <v>8</v>
      </c>
      <c r="AJ2732" t="n">
        <v>23</v>
      </c>
      <c r="AK2732" t="n">
        <v>24</v>
      </c>
      <c r="AL2732" t="n">
        <v>0</v>
      </c>
      <c r="AM2732" t="n">
        <v>0</v>
      </c>
      <c r="AN2732" t="n">
        <v>0</v>
      </c>
      <c r="AO2732" t="n">
        <v>0</v>
      </c>
      <c r="AP2732" t="inlineStr">
        <is>
          <t>No</t>
        </is>
      </c>
      <c r="AQ2732" t="inlineStr">
        <is>
          <t>Yes</t>
        </is>
      </c>
      <c r="AR2732">
        <f>HYPERLINK("http://catalog.hathitrust.org/Record/001592979","HathiTrust Record")</f>
        <v/>
      </c>
      <c r="AS2732">
        <f>HYPERLINK("https://creighton-primo.hosted.exlibrisgroup.com/primo-explore/search?tab=default_tab&amp;search_scope=EVERYTHING&amp;vid=01CRU&amp;lang=en_US&amp;offset=0&amp;query=any,contains,991003178889702656","Catalog Record")</f>
        <v/>
      </c>
      <c r="AT2732">
        <f>HYPERLINK("http://www.worldcat.org/oclc/711320","WorldCat Record")</f>
        <v/>
      </c>
      <c r="AU2732" t="inlineStr">
        <is>
          <t>10306366:eng</t>
        </is>
      </c>
      <c r="AV2732" t="inlineStr">
        <is>
          <t>711320</t>
        </is>
      </c>
      <c r="AW2732" t="inlineStr">
        <is>
          <t>991003178889702656</t>
        </is>
      </c>
      <c r="AX2732" t="inlineStr">
        <is>
          <t>991003178889702656</t>
        </is>
      </c>
      <c r="AY2732" t="inlineStr">
        <is>
          <t>2264005480002656</t>
        </is>
      </c>
      <c r="AZ2732" t="inlineStr">
        <is>
          <t>BOOK</t>
        </is>
      </c>
      <c r="BC2732" t="inlineStr">
        <is>
          <t>32285001121788</t>
        </is>
      </c>
      <c r="BD2732" t="inlineStr">
        <is>
          <t>893246094</t>
        </is>
      </c>
    </row>
    <row r="2733">
      <c r="A2733" t="inlineStr">
        <is>
          <t>No</t>
        </is>
      </c>
      <c r="B2733" t="inlineStr">
        <is>
          <t>BX5199.P9 L5</t>
        </is>
      </c>
      <c r="C2733" t="inlineStr">
        <is>
          <t>0                      BX 5199000P  9                  L  5</t>
        </is>
      </c>
      <c r="D2733" t="inlineStr">
        <is>
          <t>Life of Edward Bouverie Pusey : doctor of divinity, canon of Christ church; regius professor of Hebrew in the University of Oxford / by Henry Parry Liddon ... edited and prepared for publication by J. O. Johnston and Robert J. Wilson.</t>
        </is>
      </c>
      <c r="E2733" t="inlineStr">
        <is>
          <t>V.2</t>
        </is>
      </c>
      <c r="F2733" t="inlineStr">
        <is>
          <t>Yes</t>
        </is>
      </c>
      <c r="G2733" t="inlineStr">
        <is>
          <t>1</t>
        </is>
      </c>
      <c r="H2733" t="inlineStr">
        <is>
          <t>No</t>
        </is>
      </c>
      <c r="I2733" t="inlineStr">
        <is>
          <t>No</t>
        </is>
      </c>
      <c r="J2733" t="inlineStr">
        <is>
          <t>0</t>
        </is>
      </c>
      <c r="K2733" t="inlineStr">
        <is>
          <t>Liddon, H. P. (Henry Parry), 1829-1890.</t>
        </is>
      </c>
      <c r="L2733" t="inlineStr">
        <is>
          <t>London ; New York : Longmans, Green, 1893-97.</t>
        </is>
      </c>
      <c r="M2733" t="inlineStr">
        <is>
          <t>1893</t>
        </is>
      </c>
      <c r="O2733" t="inlineStr">
        <is>
          <t>eng</t>
        </is>
      </c>
      <c r="P2733" t="inlineStr">
        <is>
          <t>enk</t>
        </is>
      </c>
      <c r="R2733" t="inlineStr">
        <is>
          <t xml:space="preserve">BX </t>
        </is>
      </c>
      <c r="S2733" t="n">
        <v>2</v>
      </c>
      <c r="T2733" t="n">
        <v>11</v>
      </c>
      <c r="U2733" t="inlineStr">
        <is>
          <t>1999-04-28</t>
        </is>
      </c>
      <c r="V2733" t="inlineStr">
        <is>
          <t>1999-04-28</t>
        </is>
      </c>
      <c r="W2733" t="inlineStr">
        <is>
          <t>1992-05-08</t>
        </is>
      </c>
      <c r="X2733" t="inlineStr">
        <is>
          <t>1992-05-08</t>
        </is>
      </c>
      <c r="Y2733" t="n">
        <v>137</v>
      </c>
      <c r="Z2733" t="n">
        <v>110</v>
      </c>
      <c r="AA2733" t="n">
        <v>244</v>
      </c>
      <c r="AB2733" t="n">
        <v>1</v>
      </c>
      <c r="AC2733" t="n">
        <v>3</v>
      </c>
      <c r="AD2733" t="n">
        <v>6</v>
      </c>
      <c r="AE2733" t="n">
        <v>19</v>
      </c>
      <c r="AF2733" t="n">
        <v>2</v>
      </c>
      <c r="AG2733" t="n">
        <v>7</v>
      </c>
      <c r="AH2733" t="n">
        <v>1</v>
      </c>
      <c r="AI2733" t="n">
        <v>3</v>
      </c>
      <c r="AJ2733" t="n">
        <v>5</v>
      </c>
      <c r="AK2733" t="n">
        <v>12</v>
      </c>
      <c r="AL2733" t="n">
        <v>0</v>
      </c>
      <c r="AM2733" t="n">
        <v>2</v>
      </c>
      <c r="AN2733" t="n">
        <v>0</v>
      </c>
      <c r="AO2733" t="n">
        <v>0</v>
      </c>
      <c r="AP2733" t="inlineStr">
        <is>
          <t>Yes</t>
        </is>
      </c>
      <c r="AQ2733" t="inlineStr">
        <is>
          <t>No</t>
        </is>
      </c>
      <c r="AR2733">
        <f>HYPERLINK("http://catalog.hathitrust.org/Record/006575288","HathiTrust Record")</f>
        <v/>
      </c>
      <c r="AS2733">
        <f>HYPERLINK("https://creighton-primo.hosted.exlibrisgroup.com/primo-explore/search?tab=default_tab&amp;search_scope=EVERYTHING&amp;vid=01CRU&amp;lang=en_US&amp;offset=0&amp;query=any,contains,991004279309702656","Catalog Record")</f>
        <v/>
      </c>
      <c r="AT2733">
        <f>HYPERLINK("http://www.worldcat.org/oclc/2903834","WorldCat Record")</f>
        <v/>
      </c>
      <c r="AU2733" t="inlineStr">
        <is>
          <t>4957701:eng</t>
        </is>
      </c>
      <c r="AV2733" t="inlineStr">
        <is>
          <t>2903834</t>
        </is>
      </c>
      <c r="AW2733" t="inlineStr">
        <is>
          <t>991004279309702656</t>
        </is>
      </c>
      <c r="AX2733" t="inlineStr">
        <is>
          <t>991004279309702656</t>
        </is>
      </c>
      <c r="AY2733" t="inlineStr">
        <is>
          <t>2272391560002656</t>
        </is>
      </c>
      <c r="AZ2733" t="inlineStr">
        <is>
          <t>BOOK</t>
        </is>
      </c>
      <c r="BC2733" t="inlineStr">
        <is>
          <t>32285001121812</t>
        </is>
      </c>
      <c r="BD2733" t="inlineStr">
        <is>
          <t>893343654</t>
        </is>
      </c>
    </row>
    <row r="2734">
      <c r="A2734" t="inlineStr">
        <is>
          <t>No</t>
        </is>
      </c>
      <c r="B2734" t="inlineStr">
        <is>
          <t>BX5199.P9 L5</t>
        </is>
      </c>
      <c r="C2734" t="inlineStr">
        <is>
          <t>0                      BX 5199000P  9                  L  5</t>
        </is>
      </c>
      <c r="D2734" t="inlineStr">
        <is>
          <t>Life of Edward Bouverie Pusey : doctor of divinity, canon of Christ church; regius professor of Hebrew in the University of Oxford / by Henry Parry Liddon ... edited and prepared for publication by J. O. Johnston and Robert J. Wilson.</t>
        </is>
      </c>
      <c r="E2734" t="inlineStr">
        <is>
          <t>V.1</t>
        </is>
      </c>
      <c r="F2734" t="inlineStr">
        <is>
          <t>Yes</t>
        </is>
      </c>
      <c r="G2734" t="inlineStr">
        <is>
          <t>1</t>
        </is>
      </c>
      <c r="H2734" t="inlineStr">
        <is>
          <t>No</t>
        </is>
      </c>
      <c r="I2734" t="inlineStr">
        <is>
          <t>No</t>
        </is>
      </c>
      <c r="J2734" t="inlineStr">
        <is>
          <t>0</t>
        </is>
      </c>
      <c r="K2734" t="inlineStr">
        <is>
          <t>Liddon, H. P. (Henry Parry), 1829-1890.</t>
        </is>
      </c>
      <c r="L2734" t="inlineStr">
        <is>
          <t>London ; New York : Longmans, Green, 1893-97.</t>
        </is>
      </c>
      <c r="M2734" t="inlineStr">
        <is>
          <t>1893</t>
        </is>
      </c>
      <c r="O2734" t="inlineStr">
        <is>
          <t>eng</t>
        </is>
      </c>
      <c r="P2734" t="inlineStr">
        <is>
          <t>enk</t>
        </is>
      </c>
      <c r="R2734" t="inlineStr">
        <is>
          <t xml:space="preserve">BX </t>
        </is>
      </c>
      <c r="S2734" t="n">
        <v>2</v>
      </c>
      <c r="T2734" t="n">
        <v>11</v>
      </c>
      <c r="U2734" t="inlineStr">
        <is>
          <t>1999-04-28</t>
        </is>
      </c>
      <c r="V2734" t="inlineStr">
        <is>
          <t>1999-04-28</t>
        </is>
      </c>
      <c r="W2734" t="inlineStr">
        <is>
          <t>1992-05-08</t>
        </is>
      </c>
      <c r="X2734" t="inlineStr">
        <is>
          <t>1992-05-08</t>
        </is>
      </c>
      <c r="Y2734" t="n">
        <v>137</v>
      </c>
      <c r="Z2734" t="n">
        <v>110</v>
      </c>
      <c r="AA2734" t="n">
        <v>244</v>
      </c>
      <c r="AB2734" t="n">
        <v>1</v>
      </c>
      <c r="AC2734" t="n">
        <v>3</v>
      </c>
      <c r="AD2734" t="n">
        <v>6</v>
      </c>
      <c r="AE2734" t="n">
        <v>19</v>
      </c>
      <c r="AF2734" t="n">
        <v>2</v>
      </c>
      <c r="AG2734" t="n">
        <v>7</v>
      </c>
      <c r="AH2734" t="n">
        <v>1</v>
      </c>
      <c r="AI2734" t="n">
        <v>3</v>
      </c>
      <c r="AJ2734" t="n">
        <v>5</v>
      </c>
      <c r="AK2734" t="n">
        <v>12</v>
      </c>
      <c r="AL2734" t="n">
        <v>0</v>
      </c>
      <c r="AM2734" t="n">
        <v>2</v>
      </c>
      <c r="AN2734" t="n">
        <v>0</v>
      </c>
      <c r="AO2734" t="n">
        <v>0</v>
      </c>
      <c r="AP2734" t="inlineStr">
        <is>
          <t>Yes</t>
        </is>
      </c>
      <c r="AQ2734" t="inlineStr">
        <is>
          <t>No</t>
        </is>
      </c>
      <c r="AR2734">
        <f>HYPERLINK("http://catalog.hathitrust.org/Record/006575288","HathiTrust Record")</f>
        <v/>
      </c>
      <c r="AS2734">
        <f>HYPERLINK("https://creighton-primo.hosted.exlibrisgroup.com/primo-explore/search?tab=default_tab&amp;search_scope=EVERYTHING&amp;vid=01CRU&amp;lang=en_US&amp;offset=0&amp;query=any,contains,991004279309702656","Catalog Record")</f>
        <v/>
      </c>
      <c r="AT2734">
        <f>HYPERLINK("http://www.worldcat.org/oclc/2903834","WorldCat Record")</f>
        <v/>
      </c>
      <c r="AU2734" t="inlineStr">
        <is>
          <t>4957701:eng</t>
        </is>
      </c>
      <c r="AV2734" t="inlineStr">
        <is>
          <t>2903834</t>
        </is>
      </c>
      <c r="AW2734" t="inlineStr">
        <is>
          <t>991004279309702656</t>
        </is>
      </c>
      <c r="AX2734" t="inlineStr">
        <is>
          <t>991004279309702656</t>
        </is>
      </c>
      <c r="AY2734" t="inlineStr">
        <is>
          <t>2272391560002656</t>
        </is>
      </c>
      <c r="AZ2734" t="inlineStr">
        <is>
          <t>BOOK</t>
        </is>
      </c>
      <c r="BC2734" t="inlineStr">
        <is>
          <t>32285001121804</t>
        </is>
      </c>
      <c r="BD2734" t="inlineStr">
        <is>
          <t>893319019</t>
        </is>
      </c>
    </row>
    <row r="2735">
      <c r="A2735" t="inlineStr">
        <is>
          <t>No</t>
        </is>
      </c>
      <c r="B2735" t="inlineStr">
        <is>
          <t>BX5199.P9 L5</t>
        </is>
      </c>
      <c r="C2735" t="inlineStr">
        <is>
          <t>0                      BX 5199000P  9                  L  5</t>
        </is>
      </c>
      <c r="D2735" t="inlineStr">
        <is>
          <t>Life of Edward Bouverie Pusey : doctor of divinity, canon of Christ church; regius professor of Hebrew in the University of Oxford / by Henry Parry Liddon ... edited and prepared for publication by J. O. Johnston and Robert J. Wilson.</t>
        </is>
      </c>
      <c r="E2735" t="inlineStr">
        <is>
          <t>V.4</t>
        </is>
      </c>
      <c r="F2735" t="inlineStr">
        <is>
          <t>Yes</t>
        </is>
      </c>
      <c r="G2735" t="inlineStr">
        <is>
          <t>1</t>
        </is>
      </c>
      <c r="H2735" t="inlineStr">
        <is>
          <t>No</t>
        </is>
      </c>
      <c r="I2735" t="inlineStr">
        <is>
          <t>No</t>
        </is>
      </c>
      <c r="J2735" t="inlineStr">
        <is>
          <t>0</t>
        </is>
      </c>
      <c r="K2735" t="inlineStr">
        <is>
          <t>Liddon, H. P. (Henry Parry), 1829-1890.</t>
        </is>
      </c>
      <c r="L2735" t="inlineStr">
        <is>
          <t>London ; New York : Longmans, Green, 1893-97.</t>
        </is>
      </c>
      <c r="M2735" t="inlineStr">
        <is>
          <t>1893</t>
        </is>
      </c>
      <c r="O2735" t="inlineStr">
        <is>
          <t>eng</t>
        </is>
      </c>
      <c r="P2735" t="inlineStr">
        <is>
          <t>enk</t>
        </is>
      </c>
      <c r="R2735" t="inlineStr">
        <is>
          <t xml:space="preserve">BX </t>
        </is>
      </c>
      <c r="S2735" t="n">
        <v>5</v>
      </c>
      <c r="T2735" t="n">
        <v>11</v>
      </c>
      <c r="U2735" t="inlineStr">
        <is>
          <t>1999-04-28</t>
        </is>
      </c>
      <c r="V2735" t="inlineStr">
        <is>
          <t>1999-04-28</t>
        </is>
      </c>
      <c r="W2735" t="inlineStr">
        <is>
          <t>1992-05-08</t>
        </is>
      </c>
      <c r="X2735" t="inlineStr">
        <is>
          <t>1992-05-08</t>
        </is>
      </c>
      <c r="Y2735" t="n">
        <v>137</v>
      </c>
      <c r="Z2735" t="n">
        <v>110</v>
      </c>
      <c r="AA2735" t="n">
        <v>244</v>
      </c>
      <c r="AB2735" t="n">
        <v>1</v>
      </c>
      <c r="AC2735" t="n">
        <v>3</v>
      </c>
      <c r="AD2735" t="n">
        <v>6</v>
      </c>
      <c r="AE2735" t="n">
        <v>19</v>
      </c>
      <c r="AF2735" t="n">
        <v>2</v>
      </c>
      <c r="AG2735" t="n">
        <v>7</v>
      </c>
      <c r="AH2735" t="n">
        <v>1</v>
      </c>
      <c r="AI2735" t="n">
        <v>3</v>
      </c>
      <c r="AJ2735" t="n">
        <v>5</v>
      </c>
      <c r="AK2735" t="n">
        <v>12</v>
      </c>
      <c r="AL2735" t="n">
        <v>0</v>
      </c>
      <c r="AM2735" t="n">
        <v>2</v>
      </c>
      <c r="AN2735" t="n">
        <v>0</v>
      </c>
      <c r="AO2735" t="n">
        <v>0</v>
      </c>
      <c r="AP2735" t="inlineStr">
        <is>
          <t>Yes</t>
        </is>
      </c>
      <c r="AQ2735" t="inlineStr">
        <is>
          <t>No</t>
        </is>
      </c>
      <c r="AR2735">
        <f>HYPERLINK("http://catalog.hathitrust.org/Record/006575288","HathiTrust Record")</f>
        <v/>
      </c>
      <c r="AS2735">
        <f>HYPERLINK("https://creighton-primo.hosted.exlibrisgroup.com/primo-explore/search?tab=default_tab&amp;search_scope=EVERYTHING&amp;vid=01CRU&amp;lang=en_US&amp;offset=0&amp;query=any,contains,991004279309702656","Catalog Record")</f>
        <v/>
      </c>
      <c r="AT2735">
        <f>HYPERLINK("http://www.worldcat.org/oclc/2903834","WorldCat Record")</f>
        <v/>
      </c>
      <c r="AU2735" t="inlineStr">
        <is>
          <t>4957701:eng</t>
        </is>
      </c>
      <c r="AV2735" t="inlineStr">
        <is>
          <t>2903834</t>
        </is>
      </c>
      <c r="AW2735" t="inlineStr">
        <is>
          <t>991004279309702656</t>
        </is>
      </c>
      <c r="AX2735" t="inlineStr">
        <is>
          <t>991004279309702656</t>
        </is>
      </c>
      <c r="AY2735" t="inlineStr">
        <is>
          <t>2272391560002656</t>
        </is>
      </c>
      <c r="AZ2735" t="inlineStr">
        <is>
          <t>BOOK</t>
        </is>
      </c>
      <c r="BC2735" t="inlineStr">
        <is>
          <t>32285001121838</t>
        </is>
      </c>
      <c r="BD2735" t="inlineStr">
        <is>
          <t>893343653</t>
        </is>
      </c>
    </row>
    <row r="2736">
      <c r="A2736" t="inlineStr">
        <is>
          <t>No</t>
        </is>
      </c>
      <c r="B2736" t="inlineStr">
        <is>
          <t>BX5199.P9 L5</t>
        </is>
      </c>
      <c r="C2736" t="inlineStr">
        <is>
          <t>0                      BX 5199000P  9                  L  5</t>
        </is>
      </c>
      <c r="D2736" t="inlineStr">
        <is>
          <t>Life of Edward Bouverie Pusey : doctor of divinity, canon of Christ church; regius professor of Hebrew in the University of Oxford / by Henry Parry Liddon ... edited and prepared for publication by J. O. Johnston and Robert J. Wilson.</t>
        </is>
      </c>
      <c r="E2736" t="inlineStr">
        <is>
          <t>V.3</t>
        </is>
      </c>
      <c r="F2736" t="inlineStr">
        <is>
          <t>Yes</t>
        </is>
      </c>
      <c r="G2736" t="inlineStr">
        <is>
          <t>1</t>
        </is>
      </c>
      <c r="H2736" t="inlineStr">
        <is>
          <t>No</t>
        </is>
      </c>
      <c r="I2736" t="inlineStr">
        <is>
          <t>No</t>
        </is>
      </c>
      <c r="J2736" t="inlineStr">
        <is>
          <t>0</t>
        </is>
      </c>
      <c r="K2736" t="inlineStr">
        <is>
          <t>Liddon, H. P. (Henry Parry), 1829-1890.</t>
        </is>
      </c>
      <c r="L2736" t="inlineStr">
        <is>
          <t>London ; New York : Longmans, Green, 1893-97.</t>
        </is>
      </c>
      <c r="M2736" t="inlineStr">
        <is>
          <t>1893</t>
        </is>
      </c>
      <c r="O2736" t="inlineStr">
        <is>
          <t>eng</t>
        </is>
      </c>
      <c r="P2736" t="inlineStr">
        <is>
          <t>enk</t>
        </is>
      </c>
      <c r="R2736" t="inlineStr">
        <is>
          <t xml:space="preserve">BX </t>
        </is>
      </c>
      <c r="S2736" t="n">
        <v>2</v>
      </c>
      <c r="T2736" t="n">
        <v>11</v>
      </c>
      <c r="U2736" t="inlineStr">
        <is>
          <t>1999-04-28</t>
        </is>
      </c>
      <c r="V2736" t="inlineStr">
        <is>
          <t>1999-04-28</t>
        </is>
      </c>
      <c r="W2736" t="inlineStr">
        <is>
          <t>1992-05-08</t>
        </is>
      </c>
      <c r="X2736" t="inlineStr">
        <is>
          <t>1992-05-08</t>
        </is>
      </c>
      <c r="Y2736" t="n">
        <v>137</v>
      </c>
      <c r="Z2736" t="n">
        <v>110</v>
      </c>
      <c r="AA2736" t="n">
        <v>244</v>
      </c>
      <c r="AB2736" t="n">
        <v>1</v>
      </c>
      <c r="AC2736" t="n">
        <v>3</v>
      </c>
      <c r="AD2736" t="n">
        <v>6</v>
      </c>
      <c r="AE2736" t="n">
        <v>19</v>
      </c>
      <c r="AF2736" t="n">
        <v>2</v>
      </c>
      <c r="AG2736" t="n">
        <v>7</v>
      </c>
      <c r="AH2736" t="n">
        <v>1</v>
      </c>
      <c r="AI2736" t="n">
        <v>3</v>
      </c>
      <c r="AJ2736" t="n">
        <v>5</v>
      </c>
      <c r="AK2736" t="n">
        <v>12</v>
      </c>
      <c r="AL2736" t="n">
        <v>0</v>
      </c>
      <c r="AM2736" t="n">
        <v>2</v>
      </c>
      <c r="AN2736" t="n">
        <v>0</v>
      </c>
      <c r="AO2736" t="n">
        <v>0</v>
      </c>
      <c r="AP2736" t="inlineStr">
        <is>
          <t>Yes</t>
        </is>
      </c>
      <c r="AQ2736" t="inlineStr">
        <is>
          <t>No</t>
        </is>
      </c>
      <c r="AR2736">
        <f>HYPERLINK("http://catalog.hathitrust.org/Record/006575288","HathiTrust Record")</f>
        <v/>
      </c>
      <c r="AS2736">
        <f>HYPERLINK("https://creighton-primo.hosted.exlibrisgroup.com/primo-explore/search?tab=default_tab&amp;search_scope=EVERYTHING&amp;vid=01CRU&amp;lang=en_US&amp;offset=0&amp;query=any,contains,991004279309702656","Catalog Record")</f>
        <v/>
      </c>
      <c r="AT2736">
        <f>HYPERLINK("http://www.worldcat.org/oclc/2903834","WorldCat Record")</f>
        <v/>
      </c>
      <c r="AU2736" t="inlineStr">
        <is>
          <t>4957701:eng</t>
        </is>
      </c>
      <c r="AV2736" t="inlineStr">
        <is>
          <t>2903834</t>
        </is>
      </c>
      <c r="AW2736" t="inlineStr">
        <is>
          <t>991004279309702656</t>
        </is>
      </c>
      <c r="AX2736" t="inlineStr">
        <is>
          <t>991004279309702656</t>
        </is>
      </c>
      <c r="AY2736" t="inlineStr">
        <is>
          <t>2272391560002656</t>
        </is>
      </c>
      <c r="AZ2736" t="inlineStr">
        <is>
          <t>BOOK</t>
        </is>
      </c>
      <c r="BC2736" t="inlineStr">
        <is>
          <t>32285001121820</t>
        </is>
      </c>
      <c r="BD2736" t="inlineStr">
        <is>
          <t>893349825</t>
        </is>
      </c>
    </row>
    <row r="2737">
      <c r="A2737" t="inlineStr">
        <is>
          <t>No</t>
        </is>
      </c>
      <c r="B2737" t="inlineStr">
        <is>
          <t>BX5199.W6 M4</t>
        </is>
      </c>
      <c r="C2737" t="inlineStr">
        <is>
          <t>0                      BX 5199000W  6                  M  4</t>
        </is>
      </c>
      <c r="D2737" t="inlineStr">
        <is>
          <t>Lord Bishop : the life of Samuel Wilberforce, 1805-1873 / Standish Meachamdge.</t>
        </is>
      </c>
      <c r="F2737" t="inlineStr">
        <is>
          <t>No</t>
        </is>
      </c>
      <c r="G2737" t="inlineStr">
        <is>
          <t>1</t>
        </is>
      </c>
      <c r="H2737" t="inlineStr">
        <is>
          <t>No</t>
        </is>
      </c>
      <c r="I2737" t="inlineStr">
        <is>
          <t>No</t>
        </is>
      </c>
      <c r="J2737" t="inlineStr">
        <is>
          <t>0</t>
        </is>
      </c>
      <c r="K2737" t="inlineStr">
        <is>
          <t>Meacham, Standish.</t>
        </is>
      </c>
      <c r="L2737" t="inlineStr">
        <is>
          <t>Cambridge, Mass. : Harvard University Press, 1970.</t>
        </is>
      </c>
      <c r="M2737" t="inlineStr">
        <is>
          <t>1970</t>
        </is>
      </c>
      <c r="O2737" t="inlineStr">
        <is>
          <t>eng</t>
        </is>
      </c>
      <c r="P2737" t="inlineStr">
        <is>
          <t>mau</t>
        </is>
      </c>
      <c r="R2737" t="inlineStr">
        <is>
          <t xml:space="preserve">BX </t>
        </is>
      </c>
      <c r="S2737" t="n">
        <v>2</v>
      </c>
      <c r="T2737" t="n">
        <v>2</v>
      </c>
      <c r="U2737" t="inlineStr">
        <is>
          <t>2000-02-28</t>
        </is>
      </c>
      <c r="V2737" t="inlineStr">
        <is>
          <t>2000-02-28</t>
        </is>
      </c>
      <c r="W2737" t="inlineStr">
        <is>
          <t>1992-05-08</t>
        </is>
      </c>
      <c r="X2737" t="inlineStr">
        <is>
          <t>1992-05-08</t>
        </is>
      </c>
      <c r="Y2737" t="n">
        <v>643</v>
      </c>
      <c r="Z2737" t="n">
        <v>532</v>
      </c>
      <c r="AA2737" t="n">
        <v>541</v>
      </c>
      <c r="AB2737" t="n">
        <v>4</v>
      </c>
      <c r="AC2737" t="n">
        <v>4</v>
      </c>
      <c r="AD2737" t="n">
        <v>25</v>
      </c>
      <c r="AE2737" t="n">
        <v>25</v>
      </c>
      <c r="AF2737" t="n">
        <v>8</v>
      </c>
      <c r="AG2737" t="n">
        <v>8</v>
      </c>
      <c r="AH2737" t="n">
        <v>6</v>
      </c>
      <c r="AI2737" t="n">
        <v>6</v>
      </c>
      <c r="AJ2737" t="n">
        <v>14</v>
      </c>
      <c r="AK2737" t="n">
        <v>14</v>
      </c>
      <c r="AL2737" t="n">
        <v>3</v>
      </c>
      <c r="AM2737" t="n">
        <v>3</v>
      </c>
      <c r="AN2737" t="n">
        <v>0</v>
      </c>
      <c r="AO2737" t="n">
        <v>0</v>
      </c>
      <c r="AP2737" t="inlineStr">
        <is>
          <t>No</t>
        </is>
      </c>
      <c r="AQ2737" t="inlineStr">
        <is>
          <t>Yes</t>
        </is>
      </c>
      <c r="AR2737">
        <f>HYPERLINK("http://catalog.hathitrust.org/Record/001593031","HathiTrust Record")</f>
        <v/>
      </c>
      <c r="AS2737">
        <f>HYPERLINK("https://creighton-primo.hosted.exlibrisgroup.com/primo-explore/search?tab=default_tab&amp;search_scope=EVERYTHING&amp;vid=01CRU&amp;lang=en_US&amp;offset=0&amp;query=any,contains,991000517359702656","Catalog Record")</f>
        <v/>
      </c>
      <c r="AT2737">
        <f>HYPERLINK("http://www.worldcat.org/oclc/86436","WorldCat Record")</f>
        <v/>
      </c>
      <c r="AU2737" t="inlineStr">
        <is>
          <t>375715703:eng</t>
        </is>
      </c>
      <c r="AV2737" t="inlineStr">
        <is>
          <t>86436</t>
        </is>
      </c>
      <c r="AW2737" t="inlineStr">
        <is>
          <t>991000517359702656</t>
        </is>
      </c>
      <c r="AX2737" t="inlineStr">
        <is>
          <t>991000517359702656</t>
        </is>
      </c>
      <c r="AY2737" t="inlineStr">
        <is>
          <t>2270357520002656</t>
        </is>
      </c>
      <c r="AZ2737" t="inlineStr">
        <is>
          <t>BOOK</t>
        </is>
      </c>
      <c r="BB2737" t="inlineStr">
        <is>
          <t>9780674539136</t>
        </is>
      </c>
      <c r="BC2737" t="inlineStr">
        <is>
          <t>32285001121929</t>
        </is>
      </c>
      <c r="BD2737" t="inlineStr">
        <is>
          <t>893419526</t>
        </is>
      </c>
    </row>
    <row r="2738">
      <c r="A2738" t="inlineStr">
        <is>
          <t>No</t>
        </is>
      </c>
      <c r="B2738" t="inlineStr">
        <is>
          <t>BX5671 .I55</t>
        </is>
      </c>
      <c r="C2738" t="inlineStr">
        <is>
          <t>0                      BX 5671000I  55</t>
        </is>
      </c>
      <c r="D2738" t="inlineStr">
        <is>
          <t>The book of common worship as authorised by the Synod, 1962.</t>
        </is>
      </c>
      <c r="F2738" t="inlineStr">
        <is>
          <t>No</t>
        </is>
      </c>
      <c r="G2738" t="inlineStr">
        <is>
          <t>1</t>
        </is>
      </c>
      <c r="H2738" t="inlineStr">
        <is>
          <t>No</t>
        </is>
      </c>
      <c r="I2738" t="inlineStr">
        <is>
          <t>No</t>
        </is>
      </c>
      <c r="J2738" t="inlineStr">
        <is>
          <t>0</t>
        </is>
      </c>
      <c r="K2738" t="inlineStr">
        <is>
          <t>Church of South India. Book of common worship.</t>
        </is>
      </c>
      <c r="L2738" t="inlineStr">
        <is>
          <t>London : Oxford University Press, [1964, c1963]</t>
        </is>
      </c>
      <c r="M2738" t="inlineStr">
        <is>
          <t>1964</t>
        </is>
      </c>
      <c r="O2738" t="inlineStr">
        <is>
          <t>eng</t>
        </is>
      </c>
      <c r="P2738" t="inlineStr">
        <is>
          <t>enk</t>
        </is>
      </c>
      <c r="R2738" t="inlineStr">
        <is>
          <t xml:space="preserve">BX </t>
        </is>
      </c>
      <c r="S2738" t="n">
        <v>2</v>
      </c>
      <c r="T2738" t="n">
        <v>2</v>
      </c>
      <c r="U2738" t="inlineStr">
        <is>
          <t>2007-06-27</t>
        </is>
      </c>
      <c r="V2738" t="inlineStr">
        <is>
          <t>2007-06-27</t>
        </is>
      </c>
      <c r="W2738" t="inlineStr">
        <is>
          <t>1992-05-08</t>
        </is>
      </c>
      <c r="X2738" t="inlineStr">
        <is>
          <t>1992-05-08</t>
        </is>
      </c>
      <c r="Y2738" t="n">
        <v>160</v>
      </c>
      <c r="Z2738" t="n">
        <v>141</v>
      </c>
      <c r="AA2738" t="n">
        <v>144</v>
      </c>
      <c r="AB2738" t="n">
        <v>2</v>
      </c>
      <c r="AC2738" t="n">
        <v>2</v>
      </c>
      <c r="AD2738" t="n">
        <v>7</v>
      </c>
      <c r="AE2738" t="n">
        <v>7</v>
      </c>
      <c r="AF2738" t="n">
        <v>3</v>
      </c>
      <c r="AG2738" t="n">
        <v>3</v>
      </c>
      <c r="AH2738" t="n">
        <v>2</v>
      </c>
      <c r="AI2738" t="n">
        <v>2</v>
      </c>
      <c r="AJ2738" t="n">
        <v>2</v>
      </c>
      <c r="AK2738" t="n">
        <v>2</v>
      </c>
      <c r="AL2738" t="n">
        <v>1</v>
      </c>
      <c r="AM2738" t="n">
        <v>1</v>
      </c>
      <c r="AN2738" t="n">
        <v>0</v>
      </c>
      <c r="AO2738" t="n">
        <v>0</v>
      </c>
      <c r="AP2738" t="inlineStr">
        <is>
          <t>No</t>
        </is>
      </c>
      <c r="AQ2738" t="inlineStr">
        <is>
          <t>Yes</t>
        </is>
      </c>
      <c r="AR2738">
        <f>HYPERLINK("http://catalog.hathitrust.org/Record/008933192","HathiTrust Record")</f>
        <v/>
      </c>
      <c r="AS2738">
        <f>HYPERLINK("https://creighton-primo.hosted.exlibrisgroup.com/primo-explore/search?tab=default_tab&amp;search_scope=EVERYTHING&amp;vid=01CRU&amp;lang=en_US&amp;offset=0&amp;query=any,contains,991000395959702656","Catalog Record")</f>
        <v/>
      </c>
      <c r="AT2738">
        <f>HYPERLINK("http://www.worldcat.org/oclc/1039189","WorldCat Record")</f>
        <v/>
      </c>
      <c r="AU2738" t="inlineStr">
        <is>
          <t>3900996663:eng</t>
        </is>
      </c>
      <c r="AV2738" t="inlineStr">
        <is>
          <t>1039189</t>
        </is>
      </c>
      <c r="AW2738" t="inlineStr">
        <is>
          <t>991000395959702656</t>
        </is>
      </c>
      <c r="AX2738" t="inlineStr">
        <is>
          <t>991000395959702656</t>
        </is>
      </c>
      <c r="AY2738" t="inlineStr">
        <is>
          <t>2265632040002656</t>
        </is>
      </c>
      <c r="AZ2738" t="inlineStr">
        <is>
          <t>BOOK</t>
        </is>
      </c>
      <c r="BC2738" t="inlineStr">
        <is>
          <t>32285001122125</t>
        </is>
      </c>
      <c r="BD2738" t="inlineStr">
        <is>
          <t>893601709</t>
        </is>
      </c>
    </row>
    <row r="2739">
      <c r="A2739" t="inlineStr">
        <is>
          <t>No</t>
        </is>
      </c>
      <c r="B2739" t="inlineStr">
        <is>
          <t>BX5881 .B77</t>
        </is>
      </c>
      <c r="C2739" t="inlineStr">
        <is>
          <t>0                      BX 5881000B  77</t>
        </is>
      </c>
      <c r="D2739" t="inlineStr">
        <is>
          <t>Mitre and sceptre : transatlantic faiths, ideas, personalities, and politics, 1689-1775 / by Carl Bridenbaugh.</t>
        </is>
      </c>
      <c r="F2739" t="inlineStr">
        <is>
          <t>No</t>
        </is>
      </c>
      <c r="G2739" t="inlineStr">
        <is>
          <t>1</t>
        </is>
      </c>
      <c r="H2739" t="inlineStr">
        <is>
          <t>No</t>
        </is>
      </c>
      <c r="I2739" t="inlineStr">
        <is>
          <t>No</t>
        </is>
      </c>
      <c r="J2739" t="inlineStr">
        <is>
          <t>0</t>
        </is>
      </c>
      <c r="K2739" t="inlineStr">
        <is>
          <t>Bridenbaugh, Carl.</t>
        </is>
      </c>
      <c r="L2739" t="inlineStr">
        <is>
          <t>New York : Oxford University Press, 1967, c1962.</t>
        </is>
      </c>
      <c r="M2739" t="inlineStr">
        <is>
          <t>1962</t>
        </is>
      </c>
      <c r="O2739" t="inlineStr">
        <is>
          <t>eng</t>
        </is>
      </c>
      <c r="P2739" t="inlineStr">
        <is>
          <t>nyu</t>
        </is>
      </c>
      <c r="R2739" t="inlineStr">
        <is>
          <t xml:space="preserve">BX </t>
        </is>
      </c>
      <c r="S2739" t="n">
        <v>2</v>
      </c>
      <c r="T2739" t="n">
        <v>2</v>
      </c>
      <c r="U2739" t="inlineStr">
        <is>
          <t>1995-10-02</t>
        </is>
      </c>
      <c r="V2739" t="inlineStr">
        <is>
          <t>1995-10-02</t>
        </is>
      </c>
      <c r="W2739" t="inlineStr">
        <is>
          <t>1992-05-08</t>
        </is>
      </c>
      <c r="X2739" t="inlineStr">
        <is>
          <t>1992-05-08</t>
        </is>
      </c>
      <c r="Y2739" t="n">
        <v>1179</v>
      </c>
      <c r="Z2739" t="n">
        <v>1051</v>
      </c>
      <c r="AA2739" t="n">
        <v>1115</v>
      </c>
      <c r="AB2739" t="n">
        <v>8</v>
      </c>
      <c r="AC2739" t="n">
        <v>8</v>
      </c>
      <c r="AD2739" t="n">
        <v>47</v>
      </c>
      <c r="AE2739" t="n">
        <v>48</v>
      </c>
      <c r="AF2739" t="n">
        <v>20</v>
      </c>
      <c r="AG2739" t="n">
        <v>21</v>
      </c>
      <c r="AH2739" t="n">
        <v>9</v>
      </c>
      <c r="AI2739" t="n">
        <v>9</v>
      </c>
      <c r="AJ2739" t="n">
        <v>24</v>
      </c>
      <c r="AK2739" t="n">
        <v>24</v>
      </c>
      <c r="AL2739" t="n">
        <v>7</v>
      </c>
      <c r="AM2739" t="n">
        <v>7</v>
      </c>
      <c r="AN2739" t="n">
        <v>0</v>
      </c>
      <c r="AO2739" t="n">
        <v>0</v>
      </c>
      <c r="AP2739" t="inlineStr">
        <is>
          <t>No</t>
        </is>
      </c>
      <c r="AQ2739" t="inlineStr">
        <is>
          <t>No</t>
        </is>
      </c>
      <c r="AS2739">
        <f>HYPERLINK("https://creighton-primo.hosted.exlibrisgroup.com/primo-explore/search?tab=default_tab&amp;search_scope=EVERYTHING&amp;vid=01CRU&amp;lang=en_US&amp;offset=0&amp;query=any,contains,991003428499702656","Catalog Record")</f>
        <v/>
      </c>
      <c r="AT2739">
        <f>HYPERLINK("http://www.worldcat.org/oclc/965050","WorldCat Record")</f>
        <v/>
      </c>
      <c r="AU2739" t="inlineStr">
        <is>
          <t>1512315:eng</t>
        </is>
      </c>
      <c r="AV2739" t="inlineStr">
        <is>
          <t>965050</t>
        </is>
      </c>
      <c r="AW2739" t="inlineStr">
        <is>
          <t>991003428499702656</t>
        </is>
      </c>
      <c r="AX2739" t="inlineStr">
        <is>
          <t>991003428499702656</t>
        </is>
      </c>
      <c r="AY2739" t="inlineStr">
        <is>
          <t>2258340740002656</t>
        </is>
      </c>
      <c r="AZ2739" t="inlineStr">
        <is>
          <t>BOOK</t>
        </is>
      </c>
      <c r="BC2739" t="inlineStr">
        <is>
          <t>32285001122141</t>
        </is>
      </c>
      <c r="BD2739" t="inlineStr">
        <is>
          <t>893228045</t>
        </is>
      </c>
    </row>
    <row r="2740">
      <c r="A2740" t="inlineStr">
        <is>
          <t>No</t>
        </is>
      </c>
      <c r="B2740" t="inlineStr">
        <is>
          <t>BX5883 .K66</t>
        </is>
      </c>
      <c r="C2740" t="inlineStr">
        <is>
          <t>0                      BX 5883000K  66</t>
        </is>
      </c>
      <c r="D2740" t="inlineStr">
        <is>
          <t>The power of their glory : America's ruling class, the Episcopalians / Kit &amp; Frederica Konolige.</t>
        </is>
      </c>
      <c r="F2740" t="inlineStr">
        <is>
          <t>No</t>
        </is>
      </c>
      <c r="G2740" t="inlineStr">
        <is>
          <t>1</t>
        </is>
      </c>
      <c r="H2740" t="inlineStr">
        <is>
          <t>No</t>
        </is>
      </c>
      <c r="I2740" t="inlineStr">
        <is>
          <t>No</t>
        </is>
      </c>
      <c r="J2740" t="inlineStr">
        <is>
          <t>0</t>
        </is>
      </c>
      <c r="K2740" t="inlineStr">
        <is>
          <t>Konolige, Kit.</t>
        </is>
      </c>
      <c r="L2740" t="inlineStr">
        <is>
          <t>New York : Wyden Books : trade distribution by Simon and Schuster, c1978.</t>
        </is>
      </c>
      <c r="M2740" t="inlineStr">
        <is>
          <t>1978</t>
        </is>
      </c>
      <c r="N2740" t="inlineStr">
        <is>
          <t>1st ed.</t>
        </is>
      </c>
      <c r="O2740" t="inlineStr">
        <is>
          <t>eng</t>
        </is>
      </c>
      <c r="P2740" t="inlineStr">
        <is>
          <t>nyu</t>
        </is>
      </c>
      <c r="R2740" t="inlineStr">
        <is>
          <t xml:space="preserve">BX </t>
        </is>
      </c>
      <c r="S2740" t="n">
        <v>9</v>
      </c>
      <c r="T2740" t="n">
        <v>9</v>
      </c>
      <c r="U2740" t="inlineStr">
        <is>
          <t>2001-11-12</t>
        </is>
      </c>
      <c r="V2740" t="inlineStr">
        <is>
          <t>2001-11-12</t>
        </is>
      </c>
      <c r="W2740" t="inlineStr">
        <is>
          <t>1992-05-08</t>
        </is>
      </c>
      <c r="X2740" t="inlineStr">
        <is>
          <t>1992-05-08</t>
        </is>
      </c>
      <c r="Y2740" t="n">
        <v>908</v>
      </c>
      <c r="Z2740" t="n">
        <v>860</v>
      </c>
      <c r="AA2740" t="n">
        <v>867</v>
      </c>
      <c r="AB2740" t="n">
        <v>7</v>
      </c>
      <c r="AC2740" t="n">
        <v>7</v>
      </c>
      <c r="AD2740" t="n">
        <v>28</v>
      </c>
      <c r="AE2740" t="n">
        <v>28</v>
      </c>
      <c r="AF2740" t="n">
        <v>12</v>
      </c>
      <c r="AG2740" t="n">
        <v>12</v>
      </c>
      <c r="AH2740" t="n">
        <v>4</v>
      </c>
      <c r="AI2740" t="n">
        <v>4</v>
      </c>
      <c r="AJ2740" t="n">
        <v>13</v>
      </c>
      <c r="AK2740" t="n">
        <v>13</v>
      </c>
      <c r="AL2740" t="n">
        <v>3</v>
      </c>
      <c r="AM2740" t="n">
        <v>3</v>
      </c>
      <c r="AN2740" t="n">
        <v>0</v>
      </c>
      <c r="AO2740" t="n">
        <v>0</v>
      </c>
      <c r="AP2740" t="inlineStr">
        <is>
          <t>No</t>
        </is>
      </c>
      <c r="AQ2740" t="inlineStr">
        <is>
          <t>Yes</t>
        </is>
      </c>
      <c r="AR2740">
        <f>HYPERLINK("http://catalog.hathitrust.org/Record/000216126","HathiTrust Record")</f>
        <v/>
      </c>
      <c r="AS2740">
        <f>HYPERLINK("https://creighton-primo.hosted.exlibrisgroup.com/primo-explore/search?tab=default_tab&amp;search_scope=EVERYTHING&amp;vid=01CRU&amp;lang=en_US&amp;offset=0&amp;query=any,contains,991004606779702656","Catalog Record")</f>
        <v/>
      </c>
      <c r="AT2740">
        <f>HYPERLINK("http://www.worldcat.org/oclc/4194972","WorldCat Record")</f>
        <v/>
      </c>
      <c r="AU2740" t="inlineStr">
        <is>
          <t>14612731:eng</t>
        </is>
      </c>
      <c r="AV2740" t="inlineStr">
        <is>
          <t>4194972</t>
        </is>
      </c>
      <c r="AW2740" t="inlineStr">
        <is>
          <t>991004606779702656</t>
        </is>
      </c>
      <c r="AX2740" t="inlineStr">
        <is>
          <t>991004606779702656</t>
        </is>
      </c>
      <c r="AY2740" t="inlineStr">
        <is>
          <t>2262059760002656</t>
        </is>
      </c>
      <c r="AZ2740" t="inlineStr">
        <is>
          <t>BOOK</t>
        </is>
      </c>
      <c r="BB2740" t="inlineStr">
        <is>
          <t>9780883261552</t>
        </is>
      </c>
      <c r="BC2740" t="inlineStr">
        <is>
          <t>32285001122174</t>
        </is>
      </c>
      <c r="BD2740" t="inlineStr">
        <is>
          <t>893536106</t>
        </is>
      </c>
    </row>
    <row r="2741">
      <c r="A2741" t="inlineStr">
        <is>
          <t>No</t>
        </is>
      </c>
      <c r="B2741" t="inlineStr">
        <is>
          <t>BX5917.C8 C3</t>
        </is>
      </c>
      <c r="C2741" t="inlineStr">
        <is>
          <t>0                      BX 5917000C  8                  C  3</t>
        </is>
      </c>
      <c r="D2741" t="inlineStr">
        <is>
          <t>The Church of England in pre-Revolutionary Connecticut : new documents and letters concerning the loyalist clergy and the plight of their surviving church / edited by Kenneth Walter Cameron.</t>
        </is>
      </c>
      <c r="F2741" t="inlineStr">
        <is>
          <t>No</t>
        </is>
      </c>
      <c r="G2741" t="inlineStr">
        <is>
          <t>1</t>
        </is>
      </c>
      <c r="H2741" t="inlineStr">
        <is>
          <t>No</t>
        </is>
      </c>
      <c r="I2741" t="inlineStr">
        <is>
          <t>No</t>
        </is>
      </c>
      <c r="J2741" t="inlineStr">
        <is>
          <t>0</t>
        </is>
      </c>
      <c r="K2741" t="inlineStr">
        <is>
          <t>Cameron, Kenneth Walter, 1908-2006.</t>
        </is>
      </c>
      <c r="L2741" t="inlineStr">
        <is>
          <t>Hartford : Transcendental Books, c1976.</t>
        </is>
      </c>
      <c r="M2741" t="inlineStr">
        <is>
          <t>1976</t>
        </is>
      </c>
      <c r="O2741" t="inlineStr">
        <is>
          <t>eng</t>
        </is>
      </c>
      <c r="P2741" t="inlineStr">
        <is>
          <t>ctu</t>
        </is>
      </c>
      <c r="R2741" t="inlineStr">
        <is>
          <t xml:space="preserve">BX </t>
        </is>
      </c>
      <c r="S2741" t="n">
        <v>2</v>
      </c>
      <c r="T2741" t="n">
        <v>2</v>
      </c>
      <c r="U2741" t="inlineStr">
        <is>
          <t>1997-11-09</t>
        </is>
      </c>
      <c r="V2741" t="inlineStr">
        <is>
          <t>1997-11-09</t>
        </is>
      </c>
      <c r="W2741" t="inlineStr">
        <is>
          <t>1992-05-08</t>
        </is>
      </c>
      <c r="X2741" t="inlineStr">
        <is>
          <t>1992-05-08</t>
        </is>
      </c>
      <c r="Y2741" t="n">
        <v>278</v>
      </c>
      <c r="Z2741" t="n">
        <v>269</v>
      </c>
      <c r="AA2741" t="n">
        <v>276</v>
      </c>
      <c r="AB2741" t="n">
        <v>2</v>
      </c>
      <c r="AC2741" t="n">
        <v>2</v>
      </c>
      <c r="AD2741" t="n">
        <v>15</v>
      </c>
      <c r="AE2741" t="n">
        <v>15</v>
      </c>
      <c r="AF2741" t="n">
        <v>4</v>
      </c>
      <c r="AG2741" t="n">
        <v>4</v>
      </c>
      <c r="AH2741" t="n">
        <v>4</v>
      </c>
      <c r="AI2741" t="n">
        <v>4</v>
      </c>
      <c r="AJ2741" t="n">
        <v>8</v>
      </c>
      <c r="AK2741" t="n">
        <v>8</v>
      </c>
      <c r="AL2741" t="n">
        <v>1</v>
      </c>
      <c r="AM2741" t="n">
        <v>1</v>
      </c>
      <c r="AN2741" t="n">
        <v>0</v>
      </c>
      <c r="AO2741" t="n">
        <v>0</v>
      </c>
      <c r="AP2741" t="inlineStr">
        <is>
          <t>No</t>
        </is>
      </c>
      <c r="AQ2741" t="inlineStr">
        <is>
          <t>Yes</t>
        </is>
      </c>
      <c r="AR2741">
        <f>HYPERLINK("http://catalog.hathitrust.org/Record/000083022","HathiTrust Record")</f>
        <v/>
      </c>
      <c r="AS2741">
        <f>HYPERLINK("https://creighton-primo.hosted.exlibrisgroup.com/primo-explore/search?tab=default_tab&amp;search_scope=EVERYTHING&amp;vid=01CRU&amp;lang=en_US&amp;offset=0&amp;query=any,contains,991004145339702656","Catalog Record")</f>
        <v/>
      </c>
      <c r="AT2741">
        <f>HYPERLINK("http://www.worldcat.org/oclc/2508276","WorldCat Record")</f>
        <v/>
      </c>
      <c r="AU2741" t="inlineStr">
        <is>
          <t>5186498:eng</t>
        </is>
      </c>
      <c r="AV2741" t="inlineStr">
        <is>
          <t>2508276</t>
        </is>
      </c>
      <c r="AW2741" t="inlineStr">
        <is>
          <t>991004145339702656</t>
        </is>
      </c>
      <c r="AX2741" t="inlineStr">
        <is>
          <t>991004145339702656</t>
        </is>
      </c>
      <c r="AY2741" t="inlineStr">
        <is>
          <t>2255039810002656</t>
        </is>
      </c>
      <c r="AZ2741" t="inlineStr">
        <is>
          <t>BOOK</t>
        </is>
      </c>
      <c r="BC2741" t="inlineStr">
        <is>
          <t>32285001122182</t>
        </is>
      </c>
      <c r="BD2741" t="inlineStr">
        <is>
          <t>893900866</t>
        </is>
      </c>
    </row>
    <row r="2742">
      <c r="A2742" t="inlineStr">
        <is>
          <t>No</t>
        </is>
      </c>
      <c r="B2742" t="inlineStr">
        <is>
          <t>BX5926 .C65</t>
        </is>
      </c>
      <c r="C2742" t="inlineStr">
        <is>
          <t>0                      BX 5926000C  65</t>
        </is>
      </c>
      <c r="D2742" t="inlineStr">
        <is>
          <t>A Communion of communions : one Eucharistic fellowship : the Detroit report and papers of the triennial ecumenical study of the Episcopal Church, 1976-1979 / edited by J. Robert Wright.</t>
        </is>
      </c>
      <c r="F2742" t="inlineStr">
        <is>
          <t>No</t>
        </is>
      </c>
      <c r="G2742" t="inlineStr">
        <is>
          <t>1</t>
        </is>
      </c>
      <c r="H2742" t="inlineStr">
        <is>
          <t>No</t>
        </is>
      </c>
      <c r="I2742" t="inlineStr">
        <is>
          <t>No</t>
        </is>
      </c>
      <c r="J2742" t="inlineStr">
        <is>
          <t>0</t>
        </is>
      </c>
      <c r="L2742" t="inlineStr">
        <is>
          <t>New York : Seabury Press, 1979.</t>
        </is>
      </c>
      <c r="M2742" t="inlineStr">
        <is>
          <t>1979</t>
        </is>
      </c>
      <c r="O2742" t="inlineStr">
        <is>
          <t>eng</t>
        </is>
      </c>
      <c r="P2742" t="inlineStr">
        <is>
          <t>nyu</t>
        </is>
      </c>
      <c r="R2742" t="inlineStr">
        <is>
          <t xml:space="preserve">BX </t>
        </is>
      </c>
      <c r="S2742" t="n">
        <v>8</v>
      </c>
      <c r="T2742" t="n">
        <v>8</v>
      </c>
      <c r="U2742" t="inlineStr">
        <is>
          <t>1997-04-16</t>
        </is>
      </c>
      <c r="V2742" t="inlineStr">
        <is>
          <t>1997-04-16</t>
        </is>
      </c>
      <c r="W2742" t="inlineStr">
        <is>
          <t>1990-02-28</t>
        </is>
      </c>
      <c r="X2742" t="inlineStr">
        <is>
          <t>1990-02-28</t>
        </is>
      </c>
      <c r="Y2742" t="n">
        <v>219</v>
      </c>
      <c r="Z2742" t="n">
        <v>191</v>
      </c>
      <c r="AA2742" t="n">
        <v>196</v>
      </c>
      <c r="AB2742" t="n">
        <v>3</v>
      </c>
      <c r="AC2742" t="n">
        <v>3</v>
      </c>
      <c r="AD2742" t="n">
        <v>17</v>
      </c>
      <c r="AE2742" t="n">
        <v>17</v>
      </c>
      <c r="AF2742" t="n">
        <v>4</v>
      </c>
      <c r="AG2742" t="n">
        <v>4</v>
      </c>
      <c r="AH2742" t="n">
        <v>4</v>
      </c>
      <c r="AI2742" t="n">
        <v>4</v>
      </c>
      <c r="AJ2742" t="n">
        <v>11</v>
      </c>
      <c r="AK2742" t="n">
        <v>11</v>
      </c>
      <c r="AL2742" t="n">
        <v>2</v>
      </c>
      <c r="AM2742" t="n">
        <v>2</v>
      </c>
      <c r="AN2742" t="n">
        <v>0</v>
      </c>
      <c r="AO2742" t="n">
        <v>0</v>
      </c>
      <c r="AP2742" t="inlineStr">
        <is>
          <t>No</t>
        </is>
      </c>
      <c r="AQ2742" t="inlineStr">
        <is>
          <t>No</t>
        </is>
      </c>
      <c r="AS2742">
        <f>HYPERLINK("https://creighton-primo.hosted.exlibrisgroup.com/primo-explore/search?tab=default_tab&amp;search_scope=EVERYTHING&amp;vid=01CRU&amp;lang=en_US&amp;offset=0&amp;query=any,contains,991004803279702656","Catalog Record")</f>
        <v/>
      </c>
      <c r="AT2742">
        <f>HYPERLINK("http://www.worldcat.org/oclc/5222233","WorldCat Record")</f>
        <v/>
      </c>
      <c r="AU2742" t="inlineStr">
        <is>
          <t>901596812:eng</t>
        </is>
      </c>
      <c r="AV2742" t="inlineStr">
        <is>
          <t>5222233</t>
        </is>
      </c>
      <c r="AW2742" t="inlineStr">
        <is>
          <t>991004803279702656</t>
        </is>
      </c>
      <c r="AX2742" t="inlineStr">
        <is>
          <t>991004803279702656</t>
        </is>
      </c>
      <c r="AY2742" t="inlineStr">
        <is>
          <t>2270766940002656</t>
        </is>
      </c>
      <c r="AZ2742" t="inlineStr">
        <is>
          <t>BOOK</t>
        </is>
      </c>
      <c r="BB2742" t="inlineStr">
        <is>
          <t>9780816420087</t>
        </is>
      </c>
      <c r="BC2742" t="inlineStr">
        <is>
          <t>32285000072867</t>
        </is>
      </c>
      <c r="BD2742" t="inlineStr">
        <is>
          <t>893901781</t>
        </is>
      </c>
    </row>
    <row r="2743">
      <c r="A2743" t="inlineStr">
        <is>
          <t>No</t>
        </is>
      </c>
      <c r="B2743" t="inlineStr">
        <is>
          <t>BX5945 .S5</t>
        </is>
      </c>
      <c r="C2743" t="inlineStr">
        <is>
          <t>0                      BX 5945000S  5</t>
        </is>
      </c>
      <c r="D2743" t="inlineStr">
        <is>
          <t>The Oxford American prayer book commentary / by Massey Hamilton Shepherd, Jr.</t>
        </is>
      </c>
      <c r="F2743" t="inlineStr">
        <is>
          <t>No</t>
        </is>
      </c>
      <c r="G2743" t="inlineStr">
        <is>
          <t>1</t>
        </is>
      </c>
      <c r="H2743" t="inlineStr">
        <is>
          <t>No</t>
        </is>
      </c>
      <c r="I2743" t="inlineStr">
        <is>
          <t>No</t>
        </is>
      </c>
      <c r="J2743" t="inlineStr">
        <is>
          <t>0</t>
        </is>
      </c>
      <c r="K2743" t="inlineStr">
        <is>
          <t>Episcopal Church.</t>
        </is>
      </c>
      <c r="L2743" t="inlineStr">
        <is>
          <t>New York : Oxford University Press, 1950.</t>
        </is>
      </c>
      <c r="M2743" t="inlineStr">
        <is>
          <t>1950</t>
        </is>
      </c>
      <c r="O2743" t="inlineStr">
        <is>
          <t>eng</t>
        </is>
      </c>
      <c r="P2743" t="inlineStr">
        <is>
          <t>___</t>
        </is>
      </c>
      <c r="R2743" t="inlineStr">
        <is>
          <t xml:space="preserve">BX </t>
        </is>
      </c>
      <c r="S2743" t="n">
        <v>6</v>
      </c>
      <c r="T2743" t="n">
        <v>6</v>
      </c>
      <c r="U2743" t="inlineStr">
        <is>
          <t>2007-06-27</t>
        </is>
      </c>
      <c r="V2743" t="inlineStr">
        <is>
          <t>2007-06-27</t>
        </is>
      </c>
      <c r="W2743" t="inlineStr">
        <is>
          <t>1990-03-02</t>
        </is>
      </c>
      <c r="X2743" t="inlineStr">
        <is>
          <t>1990-03-02</t>
        </is>
      </c>
      <c r="Y2743" t="n">
        <v>343</v>
      </c>
      <c r="Z2743" t="n">
        <v>320</v>
      </c>
      <c r="AA2743" t="n">
        <v>394</v>
      </c>
      <c r="AB2743" t="n">
        <v>5</v>
      </c>
      <c r="AC2743" t="n">
        <v>5</v>
      </c>
      <c r="AD2743" t="n">
        <v>20</v>
      </c>
      <c r="AE2743" t="n">
        <v>21</v>
      </c>
      <c r="AF2743" t="n">
        <v>7</v>
      </c>
      <c r="AG2743" t="n">
        <v>7</v>
      </c>
      <c r="AH2743" t="n">
        <v>3</v>
      </c>
      <c r="AI2743" t="n">
        <v>3</v>
      </c>
      <c r="AJ2743" t="n">
        <v>8</v>
      </c>
      <c r="AK2743" t="n">
        <v>9</v>
      </c>
      <c r="AL2743" t="n">
        <v>4</v>
      </c>
      <c r="AM2743" t="n">
        <v>4</v>
      </c>
      <c r="AN2743" t="n">
        <v>0</v>
      </c>
      <c r="AO2743" t="n">
        <v>0</v>
      </c>
      <c r="AP2743" t="inlineStr">
        <is>
          <t>No</t>
        </is>
      </c>
      <c r="AQ2743" t="inlineStr">
        <is>
          <t>Yes</t>
        </is>
      </c>
      <c r="AR2743">
        <f>HYPERLINK("http://catalog.hathitrust.org/Record/001960108","HathiTrust Record")</f>
        <v/>
      </c>
      <c r="AS2743">
        <f>HYPERLINK("https://creighton-primo.hosted.exlibrisgroup.com/primo-explore/search?tab=default_tab&amp;search_scope=EVERYTHING&amp;vid=01CRU&amp;lang=en_US&amp;offset=0&amp;query=any,contains,991003105409702656","Catalog Record")</f>
        <v/>
      </c>
      <c r="AT2743">
        <f>HYPERLINK("http://www.worldcat.org/oclc/653662","WorldCat Record")</f>
        <v/>
      </c>
      <c r="AU2743" t="inlineStr">
        <is>
          <t>571122:eng</t>
        </is>
      </c>
      <c r="AV2743" t="inlineStr">
        <is>
          <t>653662</t>
        </is>
      </c>
      <c r="AW2743" t="inlineStr">
        <is>
          <t>991003105409702656</t>
        </is>
      </c>
      <c r="AX2743" t="inlineStr">
        <is>
          <t>991003105409702656</t>
        </is>
      </c>
      <c r="AY2743" t="inlineStr">
        <is>
          <t>2264082540002656</t>
        </is>
      </c>
      <c r="AZ2743" t="inlineStr">
        <is>
          <t>BOOK</t>
        </is>
      </c>
      <c r="BC2743" t="inlineStr">
        <is>
          <t>32285000074566</t>
        </is>
      </c>
      <c r="BD2743" t="inlineStr">
        <is>
          <t>893428452</t>
        </is>
      </c>
    </row>
    <row r="2744">
      <c r="A2744" t="inlineStr">
        <is>
          <t>No</t>
        </is>
      </c>
      <c r="B2744" t="inlineStr">
        <is>
          <t>BX5967.5 .B66 1982</t>
        </is>
      </c>
      <c r="C2744" t="inlineStr">
        <is>
          <t>0                      BX 5967500B  66          1982</t>
        </is>
      </c>
      <c r="D2744" t="inlineStr">
        <is>
          <t>The servant church : diaconal ministry and the Episcopal Church / John E. Booty.</t>
        </is>
      </c>
      <c r="F2744" t="inlineStr">
        <is>
          <t>No</t>
        </is>
      </c>
      <c r="G2744" t="inlineStr">
        <is>
          <t>1</t>
        </is>
      </c>
      <c r="H2744" t="inlineStr">
        <is>
          <t>No</t>
        </is>
      </c>
      <c r="I2744" t="inlineStr">
        <is>
          <t>No</t>
        </is>
      </c>
      <c r="J2744" t="inlineStr">
        <is>
          <t>0</t>
        </is>
      </c>
      <c r="K2744" t="inlineStr">
        <is>
          <t>Booty, John E.</t>
        </is>
      </c>
      <c r="L2744" t="inlineStr">
        <is>
          <t>Wilton, Conn. : Morehouse-Barlow Co., c1982.</t>
        </is>
      </c>
      <c r="M2744" t="inlineStr">
        <is>
          <t>1982</t>
        </is>
      </c>
      <c r="O2744" t="inlineStr">
        <is>
          <t>eng</t>
        </is>
      </c>
      <c r="P2744" t="inlineStr">
        <is>
          <t>ctu</t>
        </is>
      </c>
      <c r="R2744" t="inlineStr">
        <is>
          <t xml:space="preserve">BX </t>
        </is>
      </c>
      <c r="S2744" t="n">
        <v>6</v>
      </c>
      <c r="T2744" t="n">
        <v>6</v>
      </c>
      <c r="U2744" t="inlineStr">
        <is>
          <t>2005-01-31</t>
        </is>
      </c>
      <c r="V2744" t="inlineStr">
        <is>
          <t>2005-01-31</t>
        </is>
      </c>
      <c r="W2744" t="inlineStr">
        <is>
          <t>1990-03-02</t>
        </is>
      </c>
      <c r="X2744" t="inlineStr">
        <is>
          <t>1990-03-02</t>
        </is>
      </c>
      <c r="Y2744" t="n">
        <v>106</v>
      </c>
      <c r="Z2744" t="n">
        <v>85</v>
      </c>
      <c r="AA2744" t="n">
        <v>85</v>
      </c>
      <c r="AB2744" t="n">
        <v>1</v>
      </c>
      <c r="AC2744" t="n">
        <v>1</v>
      </c>
      <c r="AD2744" t="n">
        <v>5</v>
      </c>
      <c r="AE2744" t="n">
        <v>5</v>
      </c>
      <c r="AF2744" t="n">
        <v>1</v>
      </c>
      <c r="AG2744" t="n">
        <v>1</v>
      </c>
      <c r="AH2744" t="n">
        <v>1</v>
      </c>
      <c r="AI2744" t="n">
        <v>1</v>
      </c>
      <c r="AJ2744" t="n">
        <v>3</v>
      </c>
      <c r="AK2744" t="n">
        <v>3</v>
      </c>
      <c r="AL2744" t="n">
        <v>0</v>
      </c>
      <c r="AM2744" t="n">
        <v>0</v>
      </c>
      <c r="AN2744" t="n">
        <v>0</v>
      </c>
      <c r="AO2744" t="n">
        <v>0</v>
      </c>
      <c r="AP2744" t="inlineStr">
        <is>
          <t>No</t>
        </is>
      </c>
      <c r="AQ2744" t="inlineStr">
        <is>
          <t>No</t>
        </is>
      </c>
      <c r="AS2744">
        <f>HYPERLINK("https://creighton-primo.hosted.exlibrisgroup.com/primo-explore/search?tab=default_tab&amp;search_scope=EVERYTHING&amp;vid=01CRU&amp;lang=en_US&amp;offset=0&amp;query=any,contains,991000078089702656","Catalog Record")</f>
        <v/>
      </c>
      <c r="AT2744">
        <f>HYPERLINK("http://www.worldcat.org/oclc/8824105","WorldCat Record")</f>
        <v/>
      </c>
      <c r="AU2744" t="inlineStr">
        <is>
          <t>42898484:eng</t>
        </is>
      </c>
      <c r="AV2744" t="inlineStr">
        <is>
          <t>8824105</t>
        </is>
      </c>
      <c r="AW2744" t="inlineStr">
        <is>
          <t>991000078089702656</t>
        </is>
      </c>
      <c r="AX2744" t="inlineStr">
        <is>
          <t>991000078089702656</t>
        </is>
      </c>
      <c r="AY2744" t="inlineStr">
        <is>
          <t>2266439260002656</t>
        </is>
      </c>
      <c r="AZ2744" t="inlineStr">
        <is>
          <t>BOOK</t>
        </is>
      </c>
      <c r="BB2744" t="inlineStr">
        <is>
          <t>9780819213167</t>
        </is>
      </c>
      <c r="BC2744" t="inlineStr">
        <is>
          <t>32285000074574</t>
        </is>
      </c>
      <c r="BD2744" t="inlineStr">
        <is>
          <t>893613862</t>
        </is>
      </c>
    </row>
    <row r="2745">
      <c r="A2745" t="inlineStr">
        <is>
          <t>No</t>
        </is>
      </c>
      <c r="B2745" t="inlineStr">
        <is>
          <t>BX597.A74 O7413 1998</t>
        </is>
      </c>
      <c r="C2745" t="inlineStr">
        <is>
          <t>0                      BX 0597000A  74                 O  7413        1998</t>
        </is>
      </c>
      <c r="D2745" t="inlineStr">
        <is>
          <t>Father Arseny, 1893-1973 : priest, prisoner, spiritual father : being the narratives compiled by the servant of God Alexander concerning his spiritual father / translated from the Russian by Vera Bouteneff.</t>
        </is>
      </c>
      <c r="F2745" t="inlineStr">
        <is>
          <t>No</t>
        </is>
      </c>
      <c r="G2745" t="inlineStr">
        <is>
          <t>1</t>
        </is>
      </c>
      <c r="H2745" t="inlineStr">
        <is>
          <t>No</t>
        </is>
      </c>
      <c r="I2745" t="inlineStr">
        <is>
          <t>No</t>
        </is>
      </c>
      <c r="J2745" t="inlineStr">
        <is>
          <t>0</t>
        </is>
      </c>
      <c r="K2745" t="inlineStr">
        <is>
          <t>Otet͡s Arseniĭ. English.</t>
        </is>
      </c>
      <c r="L2745" t="inlineStr">
        <is>
          <t>Crestwood, N.Y. : St. Vladmir's Seminary Press, 1998.</t>
        </is>
      </c>
      <c r="M2745" t="inlineStr">
        <is>
          <t>1998</t>
        </is>
      </c>
      <c r="O2745" t="inlineStr">
        <is>
          <t>eng</t>
        </is>
      </c>
      <c r="P2745" t="inlineStr">
        <is>
          <t>nyu</t>
        </is>
      </c>
      <c r="R2745" t="inlineStr">
        <is>
          <t xml:space="preserve">BX </t>
        </is>
      </c>
      <c r="S2745" t="n">
        <v>1</v>
      </c>
      <c r="T2745" t="n">
        <v>1</v>
      </c>
      <c r="U2745" t="inlineStr">
        <is>
          <t>2009-06-10</t>
        </is>
      </c>
      <c r="V2745" t="inlineStr">
        <is>
          <t>2009-06-10</t>
        </is>
      </c>
      <c r="W2745" t="inlineStr">
        <is>
          <t>2009-06-10</t>
        </is>
      </c>
      <c r="X2745" t="inlineStr">
        <is>
          <t>2009-06-10</t>
        </is>
      </c>
      <c r="Y2745" t="n">
        <v>136</v>
      </c>
      <c r="Z2745" t="n">
        <v>127</v>
      </c>
      <c r="AA2745" t="n">
        <v>138</v>
      </c>
      <c r="AB2745" t="n">
        <v>1</v>
      </c>
      <c r="AC2745" t="n">
        <v>1</v>
      </c>
      <c r="AD2745" t="n">
        <v>8</v>
      </c>
      <c r="AE2745" t="n">
        <v>10</v>
      </c>
      <c r="AF2745" t="n">
        <v>2</v>
      </c>
      <c r="AG2745" t="n">
        <v>3</v>
      </c>
      <c r="AH2745" t="n">
        <v>3</v>
      </c>
      <c r="AI2745" t="n">
        <v>4</v>
      </c>
      <c r="AJ2745" t="n">
        <v>5</v>
      </c>
      <c r="AK2745" t="n">
        <v>7</v>
      </c>
      <c r="AL2745" t="n">
        <v>0</v>
      </c>
      <c r="AM2745" t="n">
        <v>0</v>
      </c>
      <c r="AN2745" t="n">
        <v>0</v>
      </c>
      <c r="AO2745" t="n">
        <v>0</v>
      </c>
      <c r="AP2745" t="inlineStr">
        <is>
          <t>No</t>
        </is>
      </c>
      <c r="AQ2745" t="inlineStr">
        <is>
          <t>No</t>
        </is>
      </c>
      <c r="AS2745">
        <f>HYPERLINK("https://creighton-primo.hosted.exlibrisgroup.com/primo-explore/search?tab=default_tab&amp;search_scope=EVERYTHING&amp;vid=01CRU&amp;lang=en_US&amp;offset=0&amp;query=any,contains,991005321749702656","Catalog Record")</f>
        <v/>
      </c>
      <c r="AT2745">
        <f>HYPERLINK("http://www.worldcat.org/oclc/38738805","WorldCat Record")</f>
        <v/>
      </c>
      <c r="AU2745" t="inlineStr">
        <is>
          <t>56270799:eng</t>
        </is>
      </c>
      <c r="AV2745" t="inlineStr">
        <is>
          <t>38738805</t>
        </is>
      </c>
      <c r="AW2745" t="inlineStr">
        <is>
          <t>991005321749702656</t>
        </is>
      </c>
      <c r="AX2745" t="inlineStr">
        <is>
          <t>991005321749702656</t>
        </is>
      </c>
      <c r="AY2745" t="inlineStr">
        <is>
          <t>2257079600002656</t>
        </is>
      </c>
      <c r="AZ2745" t="inlineStr">
        <is>
          <t>BOOK</t>
        </is>
      </c>
      <c r="BB2745" t="inlineStr">
        <is>
          <t>9780881411805</t>
        </is>
      </c>
      <c r="BC2745" t="inlineStr">
        <is>
          <t>32285005534077</t>
        </is>
      </c>
      <c r="BD2745" t="inlineStr">
        <is>
          <t>893248721</t>
        </is>
      </c>
    </row>
    <row r="2746">
      <c r="A2746" t="inlineStr">
        <is>
          <t>No</t>
        </is>
      </c>
      <c r="B2746" t="inlineStr">
        <is>
          <t>BX597.F42 A25 1991</t>
        </is>
      </c>
      <c r="C2746" t="inlineStr">
        <is>
          <t>0                      BX 0597000F  42                 A  25          1991</t>
        </is>
      </c>
      <c r="D2746" t="inlineStr">
        <is>
          <t>The heart of salvation : the life and teachings of Russia's Saint Theophan the Recluse / translated by Esther Williams ; edited with commentary by Robin Amis and an introduction by George A. Maloney.</t>
        </is>
      </c>
      <c r="F2746" t="inlineStr">
        <is>
          <t>No</t>
        </is>
      </c>
      <c r="G2746" t="inlineStr">
        <is>
          <t>1</t>
        </is>
      </c>
      <c r="H2746" t="inlineStr">
        <is>
          <t>No</t>
        </is>
      </c>
      <c r="I2746" t="inlineStr">
        <is>
          <t>No</t>
        </is>
      </c>
      <c r="J2746" t="inlineStr">
        <is>
          <t>0</t>
        </is>
      </c>
      <c r="K2746" t="inlineStr">
        <is>
          <t>Ḟeofan, Saint, Bishop of Tambov and Shatsk, 1815-1894.</t>
        </is>
      </c>
      <c r="L2746" t="inlineStr">
        <is>
          <t>Newbury, Mass. ; Robertsbridge, East Sussex, England : Praxis Institute Press, [1991?]</t>
        </is>
      </c>
      <c r="M2746" t="inlineStr">
        <is>
          <t>1991</t>
        </is>
      </c>
      <c r="O2746" t="inlineStr">
        <is>
          <t>eng</t>
        </is>
      </c>
      <c r="P2746" t="inlineStr">
        <is>
          <t>enk</t>
        </is>
      </c>
      <c r="R2746" t="inlineStr">
        <is>
          <t xml:space="preserve">BX </t>
        </is>
      </c>
      <c r="S2746" t="n">
        <v>3</v>
      </c>
      <c r="T2746" t="n">
        <v>3</v>
      </c>
      <c r="U2746" t="inlineStr">
        <is>
          <t>2010-08-27</t>
        </is>
      </c>
      <c r="V2746" t="inlineStr">
        <is>
          <t>2010-08-27</t>
        </is>
      </c>
      <c r="W2746" t="inlineStr">
        <is>
          <t>1996-10-11</t>
        </is>
      </c>
      <c r="X2746" t="inlineStr">
        <is>
          <t>1996-10-11</t>
        </is>
      </c>
      <c r="Y2746" t="n">
        <v>53</v>
      </c>
      <c r="Z2746" t="n">
        <v>38</v>
      </c>
      <c r="AA2746" t="n">
        <v>38</v>
      </c>
      <c r="AB2746" t="n">
        <v>1</v>
      </c>
      <c r="AC2746" t="n">
        <v>1</v>
      </c>
      <c r="AD2746" t="n">
        <v>3</v>
      </c>
      <c r="AE2746" t="n">
        <v>3</v>
      </c>
      <c r="AF2746" t="n">
        <v>1</v>
      </c>
      <c r="AG2746" t="n">
        <v>1</v>
      </c>
      <c r="AH2746" t="n">
        <v>0</v>
      </c>
      <c r="AI2746" t="n">
        <v>0</v>
      </c>
      <c r="AJ2746" t="n">
        <v>3</v>
      </c>
      <c r="AK2746" t="n">
        <v>3</v>
      </c>
      <c r="AL2746" t="n">
        <v>0</v>
      </c>
      <c r="AM2746" t="n">
        <v>0</v>
      </c>
      <c r="AN2746" t="n">
        <v>0</v>
      </c>
      <c r="AO2746" t="n">
        <v>0</v>
      </c>
      <c r="AP2746" t="inlineStr">
        <is>
          <t>No</t>
        </is>
      </c>
      <c r="AQ2746" t="inlineStr">
        <is>
          <t>No</t>
        </is>
      </c>
      <c r="AS2746">
        <f>HYPERLINK("https://creighton-primo.hosted.exlibrisgroup.com/primo-explore/search?tab=default_tab&amp;search_scope=EVERYTHING&amp;vid=01CRU&amp;lang=en_US&amp;offset=0&amp;query=any,contains,991002516249702656","Catalog Record")</f>
        <v/>
      </c>
      <c r="AT2746">
        <f>HYPERLINK("http://www.worldcat.org/oclc/32707649","WorldCat Record")</f>
        <v/>
      </c>
      <c r="AU2746" t="inlineStr">
        <is>
          <t>3133877750:eng</t>
        </is>
      </c>
      <c r="AV2746" t="inlineStr">
        <is>
          <t>32707649</t>
        </is>
      </c>
      <c r="AW2746" t="inlineStr">
        <is>
          <t>991002516249702656</t>
        </is>
      </c>
      <c r="AX2746" t="inlineStr">
        <is>
          <t>991002516249702656</t>
        </is>
      </c>
      <c r="AY2746" t="inlineStr">
        <is>
          <t>2255067920002656</t>
        </is>
      </c>
      <c r="AZ2746" t="inlineStr">
        <is>
          <t>BOOK</t>
        </is>
      </c>
      <c r="BB2746" t="inlineStr">
        <is>
          <t>9781872292021</t>
        </is>
      </c>
      <c r="BC2746" t="inlineStr">
        <is>
          <t>32285002365426</t>
        </is>
      </c>
      <c r="BD2746" t="inlineStr">
        <is>
          <t>893716552</t>
        </is>
      </c>
    </row>
    <row r="2747">
      <c r="A2747" t="inlineStr">
        <is>
          <t>No</t>
        </is>
      </c>
      <c r="B2747" t="inlineStr">
        <is>
          <t>BX597.G618 A3 1988</t>
        </is>
      </c>
      <c r="C2747" t="inlineStr">
        <is>
          <t>0                      BX 0597000G  618                A  3           1988</t>
        </is>
      </c>
      <c r="D2747" t="inlineStr">
        <is>
          <t>Talking about God is dangerous : the diary of a Russian dissident / Tatiana Goricheva ; [translated by John Bowden].</t>
        </is>
      </c>
      <c r="F2747" t="inlineStr">
        <is>
          <t>No</t>
        </is>
      </c>
      <c r="G2747" t="inlineStr">
        <is>
          <t>1</t>
        </is>
      </c>
      <c r="H2747" t="inlineStr">
        <is>
          <t>No</t>
        </is>
      </c>
      <c r="I2747" t="inlineStr">
        <is>
          <t>No</t>
        </is>
      </c>
      <c r="J2747" t="inlineStr">
        <is>
          <t>0</t>
        </is>
      </c>
      <c r="K2747" t="inlineStr">
        <is>
          <t>Goricheva, Tatiana.</t>
        </is>
      </c>
      <c r="L2747" t="inlineStr">
        <is>
          <t>New York : Crossroad, 1988.</t>
        </is>
      </c>
      <c r="M2747" t="inlineStr">
        <is>
          <t>1988</t>
        </is>
      </c>
      <c r="O2747" t="inlineStr">
        <is>
          <t>eng</t>
        </is>
      </c>
      <c r="P2747" t="inlineStr">
        <is>
          <t>nyu</t>
        </is>
      </c>
      <c r="R2747" t="inlineStr">
        <is>
          <t xml:space="preserve">BX </t>
        </is>
      </c>
      <c r="S2747" t="n">
        <v>1</v>
      </c>
      <c r="T2747" t="n">
        <v>1</v>
      </c>
      <c r="U2747" t="inlineStr">
        <is>
          <t>2000-09-15</t>
        </is>
      </c>
      <c r="V2747" t="inlineStr">
        <is>
          <t>2000-09-15</t>
        </is>
      </c>
      <c r="W2747" t="inlineStr">
        <is>
          <t>1989-11-01</t>
        </is>
      </c>
      <c r="X2747" t="inlineStr">
        <is>
          <t>1989-11-01</t>
        </is>
      </c>
      <c r="Y2747" t="n">
        <v>194</v>
      </c>
      <c r="Z2747" t="n">
        <v>179</v>
      </c>
      <c r="AA2747" t="n">
        <v>190</v>
      </c>
      <c r="AB2747" t="n">
        <v>3</v>
      </c>
      <c r="AC2747" t="n">
        <v>3</v>
      </c>
      <c r="AD2747" t="n">
        <v>13</v>
      </c>
      <c r="AE2747" t="n">
        <v>13</v>
      </c>
      <c r="AF2747" t="n">
        <v>1</v>
      </c>
      <c r="AG2747" t="n">
        <v>1</v>
      </c>
      <c r="AH2747" t="n">
        <v>5</v>
      </c>
      <c r="AI2747" t="n">
        <v>5</v>
      </c>
      <c r="AJ2747" t="n">
        <v>8</v>
      </c>
      <c r="AK2747" t="n">
        <v>8</v>
      </c>
      <c r="AL2747" t="n">
        <v>2</v>
      </c>
      <c r="AM2747" t="n">
        <v>2</v>
      </c>
      <c r="AN2747" t="n">
        <v>0</v>
      </c>
      <c r="AO2747" t="n">
        <v>0</v>
      </c>
      <c r="AP2747" t="inlineStr">
        <is>
          <t>No</t>
        </is>
      </c>
      <c r="AQ2747" t="inlineStr">
        <is>
          <t>Yes</t>
        </is>
      </c>
      <c r="AR2747">
        <f>HYPERLINK("http://catalog.hathitrust.org/Record/000827524","HathiTrust Record")</f>
        <v/>
      </c>
      <c r="AS2747">
        <f>HYPERLINK("https://creighton-primo.hosted.exlibrisgroup.com/primo-explore/search?tab=default_tab&amp;search_scope=EVERYTHING&amp;vid=01CRU&amp;lang=en_US&amp;offset=0&amp;query=any,contains,991000975499702656","Catalog Record")</f>
        <v/>
      </c>
      <c r="AT2747">
        <f>HYPERLINK("http://www.worldcat.org/oclc/15015211","WorldCat Record")</f>
        <v/>
      </c>
      <c r="AU2747" t="inlineStr">
        <is>
          <t>2998838220:eng</t>
        </is>
      </c>
      <c r="AV2747" t="inlineStr">
        <is>
          <t>15015211</t>
        </is>
      </c>
      <c r="AW2747" t="inlineStr">
        <is>
          <t>991000975499702656</t>
        </is>
      </c>
      <c r="AX2747" t="inlineStr">
        <is>
          <t>991000975499702656</t>
        </is>
      </c>
      <c r="AY2747" t="inlineStr">
        <is>
          <t>2271978030002656</t>
        </is>
      </c>
      <c r="AZ2747" t="inlineStr">
        <is>
          <t>BOOK</t>
        </is>
      </c>
      <c r="BB2747" t="inlineStr">
        <is>
          <t>9780824507985</t>
        </is>
      </c>
      <c r="BC2747" t="inlineStr">
        <is>
          <t>32285000010966</t>
        </is>
      </c>
      <c r="BD2747" t="inlineStr">
        <is>
          <t>893515797</t>
        </is>
      </c>
    </row>
    <row r="2748">
      <c r="A2748" t="inlineStr">
        <is>
          <t>No</t>
        </is>
      </c>
      <c r="B2748" t="inlineStr">
        <is>
          <t>BX597.M3 H32 1982</t>
        </is>
      </c>
      <c r="C2748" t="inlineStr">
        <is>
          <t>0                      BX 0597000M  3                  H  32          1982</t>
        </is>
      </c>
      <c r="D2748" t="inlineStr">
        <is>
          <t>Pearl of great price : the life of Mother Maria Skobtsova, 1891-1945 / Sergei Hackel ; foreword by Metropolitan Anthony of Sourozh.</t>
        </is>
      </c>
      <c r="F2748" t="inlineStr">
        <is>
          <t>No</t>
        </is>
      </c>
      <c r="G2748" t="inlineStr">
        <is>
          <t>1</t>
        </is>
      </c>
      <c r="H2748" t="inlineStr">
        <is>
          <t>No</t>
        </is>
      </c>
      <c r="I2748" t="inlineStr">
        <is>
          <t>No</t>
        </is>
      </c>
      <c r="J2748" t="inlineStr">
        <is>
          <t>0</t>
        </is>
      </c>
      <c r="K2748" t="inlineStr">
        <is>
          <t>Hackel, Sergei.</t>
        </is>
      </c>
      <c r="L2748" t="inlineStr">
        <is>
          <t>London : Darton, Longman &amp; Todd ; Crestwood, N.Y. : St. Vladimir's Seminary Press, 1982.</t>
        </is>
      </c>
      <c r="M2748" t="inlineStr">
        <is>
          <t>1981</t>
        </is>
      </c>
      <c r="O2748" t="inlineStr">
        <is>
          <t>eng</t>
        </is>
      </c>
      <c r="P2748" t="inlineStr">
        <is>
          <t>enk</t>
        </is>
      </c>
      <c r="R2748" t="inlineStr">
        <is>
          <t xml:space="preserve">BX </t>
        </is>
      </c>
      <c r="S2748" t="n">
        <v>1</v>
      </c>
      <c r="T2748" t="n">
        <v>1</v>
      </c>
      <c r="U2748" t="inlineStr">
        <is>
          <t>1997-07-25</t>
        </is>
      </c>
      <c r="V2748" t="inlineStr">
        <is>
          <t>1997-07-25</t>
        </is>
      </c>
      <c r="W2748" t="inlineStr">
        <is>
          <t>1992-04-10</t>
        </is>
      </c>
      <c r="X2748" t="inlineStr">
        <is>
          <t>1992-04-10</t>
        </is>
      </c>
      <c r="Y2748" t="n">
        <v>132</v>
      </c>
      <c r="Z2748" t="n">
        <v>101</v>
      </c>
      <c r="AA2748" t="n">
        <v>108</v>
      </c>
      <c r="AB2748" t="n">
        <v>1</v>
      </c>
      <c r="AC2748" t="n">
        <v>1</v>
      </c>
      <c r="AD2748" t="n">
        <v>10</v>
      </c>
      <c r="AE2748" t="n">
        <v>12</v>
      </c>
      <c r="AF2748" t="n">
        <v>6</v>
      </c>
      <c r="AG2748" t="n">
        <v>7</v>
      </c>
      <c r="AH2748" t="n">
        <v>0</v>
      </c>
      <c r="AI2748" t="n">
        <v>1</v>
      </c>
      <c r="AJ2748" t="n">
        <v>7</v>
      </c>
      <c r="AK2748" t="n">
        <v>9</v>
      </c>
      <c r="AL2748" t="n">
        <v>0</v>
      </c>
      <c r="AM2748" t="n">
        <v>0</v>
      </c>
      <c r="AN2748" t="n">
        <v>0</v>
      </c>
      <c r="AO2748" t="n">
        <v>0</v>
      </c>
      <c r="AP2748" t="inlineStr">
        <is>
          <t>No</t>
        </is>
      </c>
      <c r="AQ2748" t="inlineStr">
        <is>
          <t>No</t>
        </is>
      </c>
      <c r="AS2748">
        <f>HYPERLINK("https://creighton-primo.hosted.exlibrisgroup.com/primo-explore/search?tab=default_tab&amp;search_scope=EVERYTHING&amp;vid=01CRU&amp;lang=en_US&amp;offset=0&amp;query=any,contains,991005195109702656","Catalog Record")</f>
        <v/>
      </c>
      <c r="AT2748">
        <f>HYPERLINK("http://www.worldcat.org/oclc/8034616","WorldCat Record")</f>
        <v/>
      </c>
      <c r="AU2748" t="inlineStr">
        <is>
          <t>12892694:eng</t>
        </is>
      </c>
      <c r="AV2748" t="inlineStr">
        <is>
          <t>8034616</t>
        </is>
      </c>
      <c r="AW2748" t="inlineStr">
        <is>
          <t>991005195109702656</t>
        </is>
      </c>
      <c r="AX2748" t="inlineStr">
        <is>
          <t>991005195109702656</t>
        </is>
      </c>
      <c r="AY2748" t="inlineStr">
        <is>
          <t>2267570730002656</t>
        </is>
      </c>
      <c r="AZ2748" t="inlineStr">
        <is>
          <t>BOOK</t>
        </is>
      </c>
      <c r="BB2748" t="inlineStr">
        <is>
          <t>9780913836859</t>
        </is>
      </c>
      <c r="BC2748" t="inlineStr">
        <is>
          <t>32285001018216</t>
        </is>
      </c>
      <c r="BD2748" t="inlineStr">
        <is>
          <t>893230352</t>
        </is>
      </c>
    </row>
    <row r="2749">
      <c r="A2749" t="inlineStr">
        <is>
          <t>No</t>
        </is>
      </c>
      <c r="B2749" t="inlineStr">
        <is>
          <t>BX597.N52 A2 2003</t>
        </is>
      </c>
      <c r="C2749" t="inlineStr">
        <is>
          <t>0                      BX 0597000N  52                 A  2           2003</t>
        </is>
      </c>
      <c r="D2749" t="inlineStr">
        <is>
          <t>Nil Sorsky, the complete writings / edited and translated by George A. Maloney ; preface by John L. Mina.</t>
        </is>
      </c>
      <c r="F2749" t="inlineStr">
        <is>
          <t>No</t>
        </is>
      </c>
      <c r="G2749" t="inlineStr">
        <is>
          <t>1</t>
        </is>
      </c>
      <c r="H2749" t="inlineStr">
        <is>
          <t>No</t>
        </is>
      </c>
      <c r="I2749" t="inlineStr">
        <is>
          <t>No</t>
        </is>
      </c>
      <c r="J2749" t="inlineStr">
        <is>
          <t>0</t>
        </is>
      </c>
      <c r="K2749" t="inlineStr">
        <is>
          <t>Nil, Sorskiĭ, Saint, approximately 1433-1508</t>
        </is>
      </c>
      <c r="L2749" t="inlineStr">
        <is>
          <t>New York : Paulist Press, c2003.</t>
        </is>
      </c>
      <c r="M2749" t="inlineStr">
        <is>
          <t>2003</t>
        </is>
      </c>
      <c r="O2749" t="inlineStr">
        <is>
          <t>eng</t>
        </is>
      </c>
      <c r="P2749" t="inlineStr">
        <is>
          <t>nyu</t>
        </is>
      </c>
      <c r="Q2749" t="inlineStr">
        <is>
          <t>The classics of Western spirituality</t>
        </is>
      </c>
      <c r="R2749" t="inlineStr">
        <is>
          <t xml:space="preserve">BX </t>
        </is>
      </c>
      <c r="S2749" t="n">
        <v>1</v>
      </c>
      <c r="T2749" t="n">
        <v>1</v>
      </c>
      <c r="U2749" t="inlineStr">
        <is>
          <t>2003-07-30</t>
        </is>
      </c>
      <c r="V2749" t="inlineStr">
        <is>
          <t>2003-07-30</t>
        </is>
      </c>
      <c r="W2749" t="inlineStr">
        <is>
          <t>2003-07-30</t>
        </is>
      </c>
      <c r="X2749" t="inlineStr">
        <is>
          <t>2003-07-30</t>
        </is>
      </c>
      <c r="Y2749" t="n">
        <v>407</v>
      </c>
      <c r="Z2749" t="n">
        <v>355</v>
      </c>
      <c r="AA2749" t="n">
        <v>362</v>
      </c>
      <c r="AB2749" t="n">
        <v>2</v>
      </c>
      <c r="AC2749" t="n">
        <v>2</v>
      </c>
      <c r="AD2749" t="n">
        <v>29</v>
      </c>
      <c r="AE2749" t="n">
        <v>29</v>
      </c>
      <c r="AF2749" t="n">
        <v>13</v>
      </c>
      <c r="AG2749" t="n">
        <v>13</v>
      </c>
      <c r="AH2749" t="n">
        <v>6</v>
      </c>
      <c r="AI2749" t="n">
        <v>6</v>
      </c>
      <c r="AJ2749" t="n">
        <v>19</v>
      </c>
      <c r="AK2749" t="n">
        <v>19</v>
      </c>
      <c r="AL2749" t="n">
        <v>1</v>
      </c>
      <c r="AM2749" t="n">
        <v>1</v>
      </c>
      <c r="AN2749" t="n">
        <v>0</v>
      </c>
      <c r="AO2749" t="n">
        <v>0</v>
      </c>
      <c r="AP2749" t="inlineStr">
        <is>
          <t>No</t>
        </is>
      </c>
      <c r="AQ2749" t="inlineStr">
        <is>
          <t>No</t>
        </is>
      </c>
      <c r="AS2749">
        <f>HYPERLINK("https://creighton-primo.hosted.exlibrisgroup.com/primo-explore/search?tab=default_tab&amp;search_scope=EVERYTHING&amp;vid=01CRU&amp;lang=en_US&amp;offset=0&amp;query=any,contains,991004094419702656","Catalog Record")</f>
        <v/>
      </c>
      <c r="AT2749">
        <f>HYPERLINK("http://www.worldcat.org/oclc/51022817","WorldCat Record")</f>
        <v/>
      </c>
      <c r="AU2749" t="inlineStr">
        <is>
          <t>478679275:eng</t>
        </is>
      </c>
      <c r="AV2749" t="inlineStr">
        <is>
          <t>51022817</t>
        </is>
      </c>
      <c r="AW2749" t="inlineStr">
        <is>
          <t>991004094419702656</t>
        </is>
      </c>
      <c r="AX2749" t="inlineStr">
        <is>
          <t>991004094419702656</t>
        </is>
      </c>
      <c r="AY2749" t="inlineStr">
        <is>
          <t>2266379560002656</t>
        </is>
      </c>
      <c r="AZ2749" t="inlineStr">
        <is>
          <t>BOOK</t>
        </is>
      </c>
      <c r="BB2749" t="inlineStr">
        <is>
          <t>9780809104970</t>
        </is>
      </c>
      <c r="BC2749" t="inlineStr">
        <is>
          <t>32285004757794</t>
        </is>
      </c>
      <c r="BD2749" t="inlineStr">
        <is>
          <t>893605613</t>
        </is>
      </c>
    </row>
    <row r="2750">
      <c r="A2750" t="inlineStr">
        <is>
          <t>No</t>
        </is>
      </c>
      <c r="B2750" t="inlineStr">
        <is>
          <t>BX5979 .B7 1968</t>
        </is>
      </c>
      <c r="C2750" t="inlineStr">
        <is>
          <t>0                      BX 5979000B  7           1968</t>
        </is>
      </c>
      <c r="D2750" t="inlineStr">
        <is>
          <t>History of the Afro-American group of the Episcopal church / by George F. Bragg.</t>
        </is>
      </c>
      <c r="F2750" t="inlineStr">
        <is>
          <t>No</t>
        </is>
      </c>
      <c r="G2750" t="inlineStr">
        <is>
          <t>1</t>
        </is>
      </c>
      <c r="H2750" t="inlineStr">
        <is>
          <t>No</t>
        </is>
      </c>
      <c r="I2750" t="inlineStr">
        <is>
          <t>No</t>
        </is>
      </c>
      <c r="J2750" t="inlineStr">
        <is>
          <t>0</t>
        </is>
      </c>
      <c r="K2750" t="inlineStr">
        <is>
          <t>Bragg, George F. (George Freeman), 1863-1940.</t>
        </is>
      </c>
      <c r="L2750" t="inlineStr">
        <is>
          <t>New York : Johnson Reprint, 1968, c1922.</t>
        </is>
      </c>
      <c r="M2750" t="inlineStr">
        <is>
          <t>1968</t>
        </is>
      </c>
      <c r="O2750" t="inlineStr">
        <is>
          <t>eng</t>
        </is>
      </c>
      <c r="P2750" t="inlineStr">
        <is>
          <t>___</t>
        </is>
      </c>
      <c r="Q2750" t="inlineStr">
        <is>
          <t>The basic Afro-American reprint library</t>
        </is>
      </c>
      <c r="R2750" t="inlineStr">
        <is>
          <t xml:space="preserve">BX </t>
        </is>
      </c>
      <c r="S2750" t="n">
        <v>1</v>
      </c>
      <c r="T2750" t="n">
        <v>1</v>
      </c>
      <c r="U2750" t="inlineStr">
        <is>
          <t>1993-02-28</t>
        </is>
      </c>
      <c r="V2750" t="inlineStr">
        <is>
          <t>1993-02-28</t>
        </is>
      </c>
      <c r="W2750" t="inlineStr">
        <is>
          <t>1992-05-08</t>
        </is>
      </c>
      <c r="X2750" t="inlineStr">
        <is>
          <t>1992-05-08</t>
        </is>
      </c>
      <c r="Y2750" t="n">
        <v>234</v>
      </c>
      <c r="Z2750" t="n">
        <v>226</v>
      </c>
      <c r="AA2750" t="n">
        <v>447</v>
      </c>
      <c r="AB2750" t="n">
        <v>3</v>
      </c>
      <c r="AC2750" t="n">
        <v>5</v>
      </c>
      <c r="AD2750" t="n">
        <v>15</v>
      </c>
      <c r="AE2750" t="n">
        <v>23</v>
      </c>
      <c r="AF2750" t="n">
        <v>7</v>
      </c>
      <c r="AG2750" t="n">
        <v>8</v>
      </c>
      <c r="AH2750" t="n">
        <v>1</v>
      </c>
      <c r="AI2750" t="n">
        <v>4</v>
      </c>
      <c r="AJ2750" t="n">
        <v>7</v>
      </c>
      <c r="AK2750" t="n">
        <v>11</v>
      </c>
      <c r="AL2750" t="n">
        <v>2</v>
      </c>
      <c r="AM2750" t="n">
        <v>4</v>
      </c>
      <c r="AN2750" t="n">
        <v>0</v>
      </c>
      <c r="AO2750" t="n">
        <v>0</v>
      </c>
      <c r="AP2750" t="inlineStr">
        <is>
          <t>No</t>
        </is>
      </c>
      <c r="AQ2750" t="inlineStr">
        <is>
          <t>No</t>
        </is>
      </c>
      <c r="AS2750">
        <f>HYPERLINK("https://creighton-primo.hosted.exlibrisgroup.com/primo-explore/search?tab=default_tab&amp;search_scope=EVERYTHING&amp;vid=01CRU&amp;lang=en_US&amp;offset=0&amp;query=any,contains,991002287579702656","Catalog Record")</f>
        <v/>
      </c>
      <c r="AT2750">
        <f>HYPERLINK("http://www.worldcat.org/oclc/191433","WorldCat Record")</f>
        <v/>
      </c>
      <c r="AU2750" t="inlineStr">
        <is>
          <t>1351331:eng</t>
        </is>
      </c>
      <c r="AV2750" t="inlineStr">
        <is>
          <t>191433</t>
        </is>
      </c>
      <c r="AW2750" t="inlineStr">
        <is>
          <t>991002287579702656</t>
        </is>
      </c>
      <c r="AX2750" t="inlineStr">
        <is>
          <t>991002287579702656</t>
        </is>
      </c>
      <c r="AY2750" t="inlineStr">
        <is>
          <t>2271218930002656</t>
        </is>
      </c>
      <c r="AZ2750" t="inlineStr">
        <is>
          <t>BOOK</t>
        </is>
      </c>
      <c r="BC2750" t="inlineStr">
        <is>
          <t>32285001122240</t>
        </is>
      </c>
      <c r="BD2750" t="inlineStr">
        <is>
          <t>893697586</t>
        </is>
      </c>
    </row>
    <row r="2751">
      <c r="A2751" t="inlineStr">
        <is>
          <t>No</t>
        </is>
      </c>
      <c r="B2751" t="inlineStr">
        <is>
          <t>BX5995.B66 A3 1986</t>
        </is>
      </c>
      <c r="C2751" t="inlineStr">
        <is>
          <t>0                      BX 5995000B  66                 A  3           1986</t>
        </is>
      </c>
      <c r="D2751" t="inlineStr">
        <is>
          <t>Gay priest : an inner journey / Malcolm Boyd.</t>
        </is>
      </c>
      <c r="F2751" t="inlineStr">
        <is>
          <t>No</t>
        </is>
      </c>
      <c r="G2751" t="inlineStr">
        <is>
          <t>1</t>
        </is>
      </c>
      <c r="H2751" t="inlineStr">
        <is>
          <t>No</t>
        </is>
      </c>
      <c r="I2751" t="inlineStr">
        <is>
          <t>No</t>
        </is>
      </c>
      <c r="J2751" t="inlineStr">
        <is>
          <t>0</t>
        </is>
      </c>
      <c r="K2751" t="inlineStr">
        <is>
          <t>Boyd, Malcolm, 1923-2015.</t>
        </is>
      </c>
      <c r="L2751" t="inlineStr">
        <is>
          <t>New York : St. Martin's Press, c1986.</t>
        </is>
      </c>
      <c r="M2751" t="inlineStr">
        <is>
          <t>1986</t>
        </is>
      </c>
      <c r="N2751" t="inlineStr">
        <is>
          <t>1st ed.</t>
        </is>
      </c>
      <c r="O2751" t="inlineStr">
        <is>
          <t>eng</t>
        </is>
      </c>
      <c r="P2751" t="inlineStr">
        <is>
          <t>nyu</t>
        </is>
      </c>
      <c r="R2751" t="inlineStr">
        <is>
          <t xml:space="preserve">BX </t>
        </is>
      </c>
      <c r="S2751" t="n">
        <v>7</v>
      </c>
      <c r="T2751" t="n">
        <v>7</v>
      </c>
      <c r="U2751" t="inlineStr">
        <is>
          <t>2002-06-18</t>
        </is>
      </c>
      <c r="V2751" t="inlineStr">
        <is>
          <t>2002-06-18</t>
        </is>
      </c>
      <c r="W2751" t="inlineStr">
        <is>
          <t>1996-11-13</t>
        </is>
      </c>
      <c r="X2751" t="inlineStr">
        <is>
          <t>1996-11-13</t>
        </is>
      </c>
      <c r="Y2751" t="n">
        <v>298</v>
      </c>
      <c r="Z2751" t="n">
        <v>265</v>
      </c>
      <c r="AA2751" t="n">
        <v>271</v>
      </c>
      <c r="AB2751" t="n">
        <v>1</v>
      </c>
      <c r="AC2751" t="n">
        <v>1</v>
      </c>
      <c r="AD2751" t="n">
        <v>6</v>
      </c>
      <c r="AE2751" t="n">
        <v>6</v>
      </c>
      <c r="AF2751" t="n">
        <v>1</v>
      </c>
      <c r="AG2751" t="n">
        <v>1</v>
      </c>
      <c r="AH2751" t="n">
        <v>1</v>
      </c>
      <c r="AI2751" t="n">
        <v>1</v>
      </c>
      <c r="AJ2751" t="n">
        <v>4</v>
      </c>
      <c r="AK2751" t="n">
        <v>4</v>
      </c>
      <c r="AL2751" t="n">
        <v>0</v>
      </c>
      <c r="AM2751" t="n">
        <v>0</v>
      </c>
      <c r="AN2751" t="n">
        <v>0</v>
      </c>
      <c r="AO2751" t="n">
        <v>0</v>
      </c>
      <c r="AP2751" t="inlineStr">
        <is>
          <t>No</t>
        </is>
      </c>
      <c r="AQ2751" t="inlineStr">
        <is>
          <t>No</t>
        </is>
      </c>
      <c r="AS2751">
        <f>HYPERLINK("https://creighton-primo.hosted.exlibrisgroup.com/primo-explore/search?tab=default_tab&amp;search_scope=EVERYTHING&amp;vid=01CRU&amp;lang=en_US&amp;offset=0&amp;query=any,contains,991000878429702656","Catalog Record")</f>
        <v/>
      </c>
      <c r="AT2751">
        <f>HYPERLINK("http://www.worldcat.org/oclc/13821780","WorldCat Record")</f>
        <v/>
      </c>
      <c r="AU2751" t="inlineStr">
        <is>
          <t>138570217:eng</t>
        </is>
      </c>
      <c r="AV2751" t="inlineStr">
        <is>
          <t>13821780</t>
        </is>
      </c>
      <c r="AW2751" t="inlineStr">
        <is>
          <t>991000878429702656</t>
        </is>
      </c>
      <c r="AX2751" t="inlineStr">
        <is>
          <t>991000878429702656</t>
        </is>
      </c>
      <c r="AY2751" t="inlineStr">
        <is>
          <t>2266673510002656</t>
        </is>
      </c>
      <c r="AZ2751" t="inlineStr">
        <is>
          <t>BOOK</t>
        </is>
      </c>
      <c r="BB2751" t="inlineStr">
        <is>
          <t>9780312317973</t>
        </is>
      </c>
      <c r="BC2751" t="inlineStr">
        <is>
          <t>32285002372372</t>
        </is>
      </c>
      <c r="BD2751" t="inlineStr">
        <is>
          <t>893432384</t>
        </is>
      </c>
    </row>
    <row r="2752">
      <c r="A2752" t="inlineStr">
        <is>
          <t>No</t>
        </is>
      </c>
      <c r="B2752" t="inlineStr">
        <is>
          <t>BX5995.K38 A3 1993</t>
        </is>
      </c>
      <c r="C2752" t="inlineStr">
        <is>
          <t>0                      BX 5995000K  38                 A  3           1993</t>
        </is>
      </c>
      <c r="D2752" t="inlineStr">
        <is>
          <t>A dresser of sycamore trees : the finding of a ministry / Garret Keizer.</t>
        </is>
      </c>
      <c r="F2752" t="inlineStr">
        <is>
          <t>No</t>
        </is>
      </c>
      <c r="G2752" t="inlineStr">
        <is>
          <t>1</t>
        </is>
      </c>
      <c r="H2752" t="inlineStr">
        <is>
          <t>No</t>
        </is>
      </c>
      <c r="I2752" t="inlineStr">
        <is>
          <t>No</t>
        </is>
      </c>
      <c r="J2752" t="inlineStr">
        <is>
          <t>0</t>
        </is>
      </c>
      <c r="K2752" t="inlineStr">
        <is>
          <t>Keizer, Garret.</t>
        </is>
      </c>
      <c r="L2752" t="inlineStr">
        <is>
          <t>San Francisco, Calif. : HarperSanFrancisco, 1993.</t>
        </is>
      </c>
      <c r="M2752" t="inlineStr">
        <is>
          <t>1993</t>
        </is>
      </c>
      <c r="N2752" t="inlineStr">
        <is>
          <t>1st HarpersCollins Paperback ed.</t>
        </is>
      </c>
      <c r="O2752" t="inlineStr">
        <is>
          <t>eng</t>
        </is>
      </c>
      <c r="P2752" t="inlineStr">
        <is>
          <t>cau</t>
        </is>
      </c>
      <c r="R2752" t="inlineStr">
        <is>
          <t xml:space="preserve">BX </t>
        </is>
      </c>
      <c r="S2752" t="n">
        <v>1</v>
      </c>
      <c r="T2752" t="n">
        <v>1</v>
      </c>
      <c r="U2752" t="inlineStr">
        <is>
          <t>2004-03-17</t>
        </is>
      </c>
      <c r="V2752" t="inlineStr">
        <is>
          <t>2004-03-17</t>
        </is>
      </c>
      <c r="W2752" t="inlineStr">
        <is>
          <t>2004-03-17</t>
        </is>
      </c>
      <c r="X2752" t="inlineStr">
        <is>
          <t>2004-03-17</t>
        </is>
      </c>
      <c r="Y2752" t="n">
        <v>59</v>
      </c>
      <c r="Z2752" t="n">
        <v>58</v>
      </c>
      <c r="AA2752" t="n">
        <v>241</v>
      </c>
      <c r="AB2752" t="n">
        <v>1</v>
      </c>
      <c r="AC2752" t="n">
        <v>1</v>
      </c>
      <c r="AD2752" t="n">
        <v>3</v>
      </c>
      <c r="AE2752" t="n">
        <v>7</v>
      </c>
      <c r="AF2752" t="n">
        <v>2</v>
      </c>
      <c r="AG2752" t="n">
        <v>3</v>
      </c>
      <c r="AH2752" t="n">
        <v>0</v>
      </c>
      <c r="AI2752" t="n">
        <v>1</v>
      </c>
      <c r="AJ2752" t="n">
        <v>1</v>
      </c>
      <c r="AK2752" t="n">
        <v>3</v>
      </c>
      <c r="AL2752" t="n">
        <v>0</v>
      </c>
      <c r="AM2752" t="n">
        <v>0</v>
      </c>
      <c r="AN2752" t="n">
        <v>0</v>
      </c>
      <c r="AO2752" t="n">
        <v>0</v>
      </c>
      <c r="AP2752" t="inlineStr">
        <is>
          <t>No</t>
        </is>
      </c>
      <c r="AQ2752" t="inlineStr">
        <is>
          <t>No</t>
        </is>
      </c>
      <c r="AS2752">
        <f>HYPERLINK("https://creighton-primo.hosted.exlibrisgroup.com/primo-explore/search?tab=default_tab&amp;search_scope=EVERYTHING&amp;vid=01CRU&amp;lang=en_US&amp;offset=0&amp;query=any,contains,991004264049702656","Catalog Record")</f>
        <v/>
      </c>
      <c r="AT2752">
        <f>HYPERLINK("http://www.worldcat.org/oclc/27431786","WorldCat Record")</f>
        <v/>
      </c>
      <c r="AU2752" t="inlineStr">
        <is>
          <t>325503:eng</t>
        </is>
      </c>
      <c r="AV2752" t="inlineStr">
        <is>
          <t>27431786</t>
        </is>
      </c>
      <c r="AW2752" t="inlineStr">
        <is>
          <t>991004264049702656</t>
        </is>
      </c>
      <c r="AX2752" t="inlineStr">
        <is>
          <t>991004264049702656</t>
        </is>
      </c>
      <c r="AY2752" t="inlineStr">
        <is>
          <t>2264383920002656</t>
        </is>
      </c>
      <c r="AZ2752" t="inlineStr">
        <is>
          <t>BOOK</t>
        </is>
      </c>
      <c r="BB2752" t="inlineStr">
        <is>
          <t>9780060643577</t>
        </is>
      </c>
      <c r="BC2752" t="inlineStr">
        <is>
          <t>32285004895024</t>
        </is>
      </c>
      <c r="BD2752" t="inlineStr">
        <is>
          <t>893259520</t>
        </is>
      </c>
    </row>
    <row r="2753">
      <c r="A2753" t="inlineStr">
        <is>
          <t>No</t>
        </is>
      </c>
      <c r="B2753" t="inlineStr">
        <is>
          <t>BX5995.R56 A33 2006</t>
        </is>
      </c>
      <c r="C2753" t="inlineStr">
        <is>
          <t>0                      BX 5995000R  56                 A  33          2006</t>
        </is>
      </c>
      <c r="D2753" t="inlineStr">
        <is>
          <t>Going to heaven : the life and election of Bishop Gene Robinson / by Elizabeth Adams.</t>
        </is>
      </c>
      <c r="F2753" t="inlineStr">
        <is>
          <t>No</t>
        </is>
      </c>
      <c r="G2753" t="inlineStr">
        <is>
          <t>1</t>
        </is>
      </c>
      <c r="H2753" t="inlineStr">
        <is>
          <t>No</t>
        </is>
      </c>
      <c r="I2753" t="inlineStr">
        <is>
          <t>No</t>
        </is>
      </c>
      <c r="J2753" t="inlineStr">
        <is>
          <t>0</t>
        </is>
      </c>
      <c r="K2753" t="inlineStr">
        <is>
          <t>Adams, Elizabeth.</t>
        </is>
      </c>
      <c r="L2753" t="inlineStr">
        <is>
          <t>Brooklyn, NY : Soft Skull Press : Distributed by Publishers Group West, 2006.</t>
        </is>
      </c>
      <c r="M2753" t="inlineStr">
        <is>
          <t>2006</t>
        </is>
      </c>
      <c r="O2753" t="inlineStr">
        <is>
          <t>eng</t>
        </is>
      </c>
      <c r="P2753" t="inlineStr">
        <is>
          <t>nyu</t>
        </is>
      </c>
      <c r="R2753" t="inlineStr">
        <is>
          <t xml:space="preserve">BX </t>
        </is>
      </c>
      <c r="S2753" t="n">
        <v>4</v>
      </c>
      <c r="T2753" t="n">
        <v>4</v>
      </c>
      <c r="U2753" t="inlineStr">
        <is>
          <t>2008-04-03</t>
        </is>
      </c>
      <c r="V2753" t="inlineStr">
        <is>
          <t>2008-04-03</t>
        </is>
      </c>
      <c r="W2753" t="inlineStr">
        <is>
          <t>2007-06-12</t>
        </is>
      </c>
      <c r="X2753" t="inlineStr">
        <is>
          <t>2007-06-12</t>
        </is>
      </c>
      <c r="Y2753" t="n">
        <v>161</v>
      </c>
      <c r="Z2753" t="n">
        <v>146</v>
      </c>
      <c r="AA2753" t="n">
        <v>149</v>
      </c>
      <c r="AB2753" t="n">
        <v>1</v>
      </c>
      <c r="AC2753" t="n">
        <v>1</v>
      </c>
      <c r="AD2753" t="n">
        <v>5</v>
      </c>
      <c r="AE2753" t="n">
        <v>5</v>
      </c>
      <c r="AF2753" t="n">
        <v>1</v>
      </c>
      <c r="AG2753" t="n">
        <v>1</v>
      </c>
      <c r="AH2753" t="n">
        <v>3</v>
      </c>
      <c r="AI2753" t="n">
        <v>3</v>
      </c>
      <c r="AJ2753" t="n">
        <v>3</v>
      </c>
      <c r="AK2753" t="n">
        <v>3</v>
      </c>
      <c r="AL2753" t="n">
        <v>0</v>
      </c>
      <c r="AM2753" t="n">
        <v>0</v>
      </c>
      <c r="AN2753" t="n">
        <v>0</v>
      </c>
      <c r="AO2753" t="n">
        <v>0</v>
      </c>
      <c r="AP2753" t="inlineStr">
        <is>
          <t>No</t>
        </is>
      </c>
      <c r="AQ2753" t="inlineStr">
        <is>
          <t>Yes</t>
        </is>
      </c>
      <c r="AR2753">
        <f>HYPERLINK("http://catalog.hathitrust.org/Record/005283561","HathiTrust Record")</f>
        <v/>
      </c>
      <c r="AS2753">
        <f>HYPERLINK("https://creighton-primo.hosted.exlibrisgroup.com/primo-explore/search?tab=default_tab&amp;search_scope=EVERYTHING&amp;vid=01CRU&amp;lang=en_US&amp;offset=0&amp;query=any,contains,991005088829702656","Catalog Record")</f>
        <v/>
      </c>
      <c r="AT2753">
        <f>HYPERLINK("http://www.worldcat.org/oclc/70122473","WorldCat Record")</f>
        <v/>
      </c>
      <c r="AU2753" t="inlineStr">
        <is>
          <t>1205491274:eng</t>
        </is>
      </c>
      <c r="AV2753" t="inlineStr">
        <is>
          <t>70122473</t>
        </is>
      </c>
      <c r="AW2753" t="inlineStr">
        <is>
          <t>991005088829702656</t>
        </is>
      </c>
      <c r="AX2753" t="inlineStr">
        <is>
          <t>991005088829702656</t>
        </is>
      </c>
      <c r="AY2753" t="inlineStr">
        <is>
          <t>2258224890002656</t>
        </is>
      </c>
      <c r="AZ2753" t="inlineStr">
        <is>
          <t>BOOK</t>
        </is>
      </c>
      <c r="BB2753" t="inlineStr">
        <is>
          <t>9781933368221</t>
        </is>
      </c>
      <c r="BC2753" t="inlineStr">
        <is>
          <t>32285005316806</t>
        </is>
      </c>
      <c r="BD2753" t="inlineStr">
        <is>
          <t>893902080</t>
        </is>
      </c>
    </row>
    <row r="2754">
      <c r="A2754" t="inlineStr">
        <is>
          <t>No</t>
        </is>
      </c>
      <c r="B2754" t="inlineStr">
        <is>
          <t>BX5995.T53 A3 2001</t>
        </is>
      </c>
      <c r="C2754" t="inlineStr">
        <is>
          <t>0                      BX 5995000T  53                 A  3           2001</t>
        </is>
      </c>
      <c r="D2754" t="inlineStr">
        <is>
          <t>The shaping of a life : a spiritual landscape / Phyllis Tickle.</t>
        </is>
      </c>
      <c r="F2754" t="inlineStr">
        <is>
          <t>No</t>
        </is>
      </c>
      <c r="G2754" t="inlineStr">
        <is>
          <t>1</t>
        </is>
      </c>
      <c r="H2754" t="inlineStr">
        <is>
          <t>No</t>
        </is>
      </c>
      <c r="I2754" t="inlineStr">
        <is>
          <t>No</t>
        </is>
      </c>
      <c r="J2754" t="inlineStr">
        <is>
          <t>0</t>
        </is>
      </c>
      <c r="K2754" t="inlineStr">
        <is>
          <t>Tickle, Phyllis.</t>
        </is>
      </c>
      <c r="L2754" t="inlineStr">
        <is>
          <t>New York : Doubleday, 2001.</t>
        </is>
      </c>
      <c r="M2754" t="inlineStr">
        <is>
          <t>2001</t>
        </is>
      </c>
      <c r="N2754" t="inlineStr">
        <is>
          <t>1st ed.</t>
        </is>
      </c>
      <c r="O2754" t="inlineStr">
        <is>
          <t>eng</t>
        </is>
      </c>
      <c r="P2754" t="inlineStr">
        <is>
          <t>nyu</t>
        </is>
      </c>
      <c r="R2754" t="inlineStr">
        <is>
          <t xml:space="preserve">BX </t>
        </is>
      </c>
      <c r="S2754" t="n">
        <v>2</v>
      </c>
      <c r="T2754" t="n">
        <v>2</v>
      </c>
      <c r="U2754" t="inlineStr">
        <is>
          <t>2009-11-10</t>
        </is>
      </c>
      <c r="V2754" t="inlineStr">
        <is>
          <t>2009-11-10</t>
        </is>
      </c>
      <c r="W2754" t="inlineStr">
        <is>
          <t>2001-05-15</t>
        </is>
      </c>
      <c r="X2754" t="inlineStr">
        <is>
          <t>2001-05-15</t>
        </is>
      </c>
      <c r="Y2754" t="n">
        <v>375</v>
      </c>
      <c r="Z2754" t="n">
        <v>359</v>
      </c>
      <c r="AA2754" t="n">
        <v>422</v>
      </c>
      <c r="AB2754" t="n">
        <v>1</v>
      </c>
      <c r="AC2754" t="n">
        <v>2</v>
      </c>
      <c r="AD2754" t="n">
        <v>6</v>
      </c>
      <c r="AE2754" t="n">
        <v>8</v>
      </c>
      <c r="AF2754" t="n">
        <v>3</v>
      </c>
      <c r="AG2754" t="n">
        <v>3</v>
      </c>
      <c r="AH2754" t="n">
        <v>2</v>
      </c>
      <c r="AI2754" t="n">
        <v>2</v>
      </c>
      <c r="AJ2754" t="n">
        <v>2</v>
      </c>
      <c r="AK2754" t="n">
        <v>3</v>
      </c>
      <c r="AL2754" t="n">
        <v>0</v>
      </c>
      <c r="AM2754" t="n">
        <v>1</v>
      </c>
      <c r="AN2754" t="n">
        <v>0</v>
      </c>
      <c r="AO2754" t="n">
        <v>0</v>
      </c>
      <c r="AP2754" t="inlineStr">
        <is>
          <t>No</t>
        </is>
      </c>
      <c r="AQ2754" t="inlineStr">
        <is>
          <t>No</t>
        </is>
      </c>
      <c r="AS2754">
        <f>HYPERLINK("https://creighton-primo.hosted.exlibrisgroup.com/primo-explore/search?tab=default_tab&amp;search_scope=EVERYTHING&amp;vid=01CRU&amp;lang=en_US&amp;offset=0&amp;query=any,contains,991003532529702656","Catalog Record")</f>
        <v/>
      </c>
      <c r="AT2754">
        <f>HYPERLINK("http://www.worldcat.org/oclc/45890349","WorldCat Record")</f>
        <v/>
      </c>
      <c r="AU2754" t="inlineStr">
        <is>
          <t>793897488:eng</t>
        </is>
      </c>
      <c r="AV2754" t="inlineStr">
        <is>
          <t>45890349</t>
        </is>
      </c>
      <c r="AW2754" t="inlineStr">
        <is>
          <t>991003532529702656</t>
        </is>
      </c>
      <c r="AX2754" t="inlineStr">
        <is>
          <t>991003532529702656</t>
        </is>
      </c>
      <c r="AY2754" t="inlineStr">
        <is>
          <t>2265089270002656</t>
        </is>
      </c>
      <c r="AZ2754" t="inlineStr">
        <is>
          <t>BOOK</t>
        </is>
      </c>
      <c r="BB2754" t="inlineStr">
        <is>
          <t>9780385497558</t>
        </is>
      </c>
      <c r="BC2754" t="inlineStr">
        <is>
          <t>32285004317607</t>
        </is>
      </c>
      <c r="BD2754" t="inlineStr">
        <is>
          <t>893805884</t>
        </is>
      </c>
    </row>
    <row r="2755">
      <c r="A2755" t="inlineStr">
        <is>
          <t>No</t>
        </is>
      </c>
      <c r="B2755" t="inlineStr">
        <is>
          <t>BX5995.V33 A38 1985</t>
        </is>
      </c>
      <c r="C2755" t="inlineStr">
        <is>
          <t>0                      BX 5995000V  33                 A  38          1985</t>
        </is>
      </c>
      <c r="D2755" t="inlineStr">
        <is>
          <t>Under the mercy / by Sheldon Vanauken.</t>
        </is>
      </c>
      <c r="F2755" t="inlineStr">
        <is>
          <t>No</t>
        </is>
      </c>
      <c r="G2755" t="inlineStr">
        <is>
          <t>1</t>
        </is>
      </c>
      <c r="H2755" t="inlineStr">
        <is>
          <t>No</t>
        </is>
      </c>
      <c r="I2755" t="inlineStr">
        <is>
          <t>No</t>
        </is>
      </c>
      <c r="J2755" t="inlineStr">
        <is>
          <t>0</t>
        </is>
      </c>
      <c r="K2755" t="inlineStr">
        <is>
          <t>Vanauken, Sheldon.</t>
        </is>
      </c>
      <c r="L2755" t="inlineStr">
        <is>
          <t>Nashville : T. Nelson, c1985.</t>
        </is>
      </c>
      <c r="M2755" t="inlineStr">
        <is>
          <t>1985</t>
        </is>
      </c>
      <c r="O2755" t="inlineStr">
        <is>
          <t>eng</t>
        </is>
      </c>
      <c r="P2755" t="inlineStr">
        <is>
          <t>tnu</t>
        </is>
      </c>
      <c r="R2755" t="inlineStr">
        <is>
          <t xml:space="preserve">BX </t>
        </is>
      </c>
      <c r="S2755" t="n">
        <v>2</v>
      </c>
      <c r="T2755" t="n">
        <v>2</v>
      </c>
      <c r="U2755" t="inlineStr">
        <is>
          <t>2007-08-24</t>
        </is>
      </c>
      <c r="V2755" t="inlineStr">
        <is>
          <t>2007-08-24</t>
        </is>
      </c>
      <c r="W2755" t="inlineStr">
        <is>
          <t>1990-05-01</t>
        </is>
      </c>
      <c r="X2755" t="inlineStr">
        <is>
          <t>1990-05-01</t>
        </is>
      </c>
      <c r="Y2755" t="n">
        <v>220</v>
      </c>
      <c r="Z2755" t="n">
        <v>204</v>
      </c>
      <c r="AA2755" t="n">
        <v>296</v>
      </c>
      <c r="AB2755" t="n">
        <v>2</v>
      </c>
      <c r="AC2755" t="n">
        <v>3</v>
      </c>
      <c r="AD2755" t="n">
        <v>9</v>
      </c>
      <c r="AE2755" t="n">
        <v>17</v>
      </c>
      <c r="AF2755" t="n">
        <v>3</v>
      </c>
      <c r="AG2755" t="n">
        <v>6</v>
      </c>
      <c r="AH2755" t="n">
        <v>2</v>
      </c>
      <c r="AI2755" t="n">
        <v>3</v>
      </c>
      <c r="AJ2755" t="n">
        <v>6</v>
      </c>
      <c r="AK2755" t="n">
        <v>11</v>
      </c>
      <c r="AL2755" t="n">
        <v>0</v>
      </c>
      <c r="AM2755" t="n">
        <v>1</v>
      </c>
      <c r="AN2755" t="n">
        <v>0</v>
      </c>
      <c r="AO2755" t="n">
        <v>0</v>
      </c>
      <c r="AP2755" t="inlineStr">
        <is>
          <t>No</t>
        </is>
      </c>
      <c r="AQ2755" t="inlineStr">
        <is>
          <t>No</t>
        </is>
      </c>
      <c r="AS2755">
        <f>HYPERLINK("https://creighton-primo.hosted.exlibrisgroup.com/primo-explore/search?tab=default_tab&amp;search_scope=EVERYTHING&amp;vid=01CRU&amp;lang=en_US&amp;offset=0&amp;query=any,contains,991000557569702656","Catalog Record")</f>
        <v/>
      </c>
      <c r="AT2755">
        <f>HYPERLINK("http://www.worldcat.org/oclc/11573340","WorldCat Record")</f>
        <v/>
      </c>
      <c r="AU2755" t="inlineStr">
        <is>
          <t>4462724:eng</t>
        </is>
      </c>
      <c r="AV2755" t="inlineStr">
        <is>
          <t>11573340</t>
        </is>
      </c>
      <c r="AW2755" t="inlineStr">
        <is>
          <t>991000557569702656</t>
        </is>
      </c>
      <c r="AX2755" t="inlineStr">
        <is>
          <t>991000557569702656</t>
        </is>
      </c>
      <c r="AY2755" t="inlineStr">
        <is>
          <t>2263029420002656</t>
        </is>
      </c>
      <c r="AZ2755" t="inlineStr">
        <is>
          <t>BOOK</t>
        </is>
      </c>
      <c r="BB2755" t="inlineStr">
        <is>
          <t>9780840754332</t>
        </is>
      </c>
      <c r="BC2755" t="inlineStr">
        <is>
          <t>32285000145770</t>
        </is>
      </c>
      <c r="BD2755" t="inlineStr">
        <is>
          <t>893225105</t>
        </is>
      </c>
    </row>
    <row r="2756">
      <c r="A2756" t="inlineStr">
        <is>
          <t>No</t>
        </is>
      </c>
      <c r="B2756" t="inlineStr">
        <is>
          <t>BX6 .W67 1986</t>
        </is>
      </c>
      <c r="C2756" t="inlineStr">
        <is>
          <t>0                      BX 0006000W  67          1986</t>
        </is>
      </c>
      <c r="D2756" t="inlineStr">
        <is>
          <t>Faith and renewal : reports and documents of the Commission on Faith and Order, Stavanger 1985, Norway, 13-25 August 1985 / edited by Thomas F. Best.</t>
        </is>
      </c>
      <c r="F2756" t="inlineStr">
        <is>
          <t>No</t>
        </is>
      </c>
      <c r="G2756" t="inlineStr">
        <is>
          <t>1</t>
        </is>
      </c>
      <c r="H2756" t="inlineStr">
        <is>
          <t>No</t>
        </is>
      </c>
      <c r="I2756" t="inlineStr">
        <is>
          <t>No</t>
        </is>
      </c>
      <c r="J2756" t="inlineStr">
        <is>
          <t>0</t>
        </is>
      </c>
      <c r="K2756" t="inlineStr">
        <is>
          <t>World Council of Churches. Commission on Faith and Order.</t>
        </is>
      </c>
      <c r="L2756" t="inlineStr">
        <is>
          <t>Geneva : The Council, c1986.</t>
        </is>
      </c>
      <c r="M2756" t="inlineStr">
        <is>
          <t>1986</t>
        </is>
      </c>
      <c r="O2756" t="inlineStr">
        <is>
          <t>eng</t>
        </is>
      </c>
      <c r="P2756" t="inlineStr">
        <is>
          <t xml:space="preserve">sz </t>
        </is>
      </c>
      <c r="Q2756" t="inlineStr">
        <is>
          <t>Faith and order paper ; no. 131</t>
        </is>
      </c>
      <c r="R2756" t="inlineStr">
        <is>
          <t xml:space="preserve">BX </t>
        </is>
      </c>
      <c r="S2756" t="n">
        <v>2</v>
      </c>
      <c r="T2756" t="n">
        <v>2</v>
      </c>
      <c r="U2756" t="inlineStr">
        <is>
          <t>2002-04-30</t>
        </is>
      </c>
      <c r="V2756" t="inlineStr">
        <is>
          <t>2002-04-30</t>
        </is>
      </c>
      <c r="W2756" t="inlineStr">
        <is>
          <t>1992-03-20</t>
        </is>
      </c>
      <c r="X2756" t="inlineStr">
        <is>
          <t>1992-03-20</t>
        </is>
      </c>
      <c r="Y2756" t="n">
        <v>144</v>
      </c>
      <c r="Z2756" t="n">
        <v>97</v>
      </c>
      <c r="AA2756" t="n">
        <v>98</v>
      </c>
      <c r="AB2756" t="n">
        <v>1</v>
      </c>
      <c r="AC2756" t="n">
        <v>1</v>
      </c>
      <c r="AD2756" t="n">
        <v>5</v>
      </c>
      <c r="AE2756" t="n">
        <v>5</v>
      </c>
      <c r="AF2756" t="n">
        <v>1</v>
      </c>
      <c r="AG2756" t="n">
        <v>1</v>
      </c>
      <c r="AH2756" t="n">
        <v>2</v>
      </c>
      <c r="AI2756" t="n">
        <v>2</v>
      </c>
      <c r="AJ2756" t="n">
        <v>3</v>
      </c>
      <c r="AK2756" t="n">
        <v>3</v>
      </c>
      <c r="AL2756" t="n">
        <v>0</v>
      </c>
      <c r="AM2756" t="n">
        <v>0</v>
      </c>
      <c r="AN2756" t="n">
        <v>0</v>
      </c>
      <c r="AO2756" t="n">
        <v>0</v>
      </c>
      <c r="AP2756" t="inlineStr">
        <is>
          <t>No</t>
        </is>
      </c>
      <c r="AQ2756" t="inlineStr">
        <is>
          <t>No</t>
        </is>
      </c>
      <c r="AS2756">
        <f>HYPERLINK("https://creighton-primo.hosted.exlibrisgroup.com/primo-explore/search?tab=default_tab&amp;search_scope=EVERYTHING&amp;vid=01CRU&amp;lang=en_US&amp;offset=0&amp;query=any,contains,991000876389702656","Catalog Record")</f>
        <v/>
      </c>
      <c r="AT2756">
        <f>HYPERLINK("http://www.worldcat.org/oclc/13803810","WorldCat Record")</f>
        <v/>
      </c>
      <c r="AU2756" t="inlineStr">
        <is>
          <t>808449255:eng</t>
        </is>
      </c>
      <c r="AV2756" t="inlineStr">
        <is>
          <t>13803810</t>
        </is>
      </c>
      <c r="AW2756" t="inlineStr">
        <is>
          <t>991000876389702656</t>
        </is>
      </c>
      <c r="AX2756" t="inlineStr">
        <is>
          <t>991000876389702656</t>
        </is>
      </c>
      <c r="AY2756" t="inlineStr">
        <is>
          <t>2272473410002656</t>
        </is>
      </c>
      <c r="AZ2756" t="inlineStr">
        <is>
          <t>BOOK</t>
        </is>
      </c>
      <c r="BB2756" t="inlineStr">
        <is>
          <t>9782825408582</t>
        </is>
      </c>
      <c r="BC2756" t="inlineStr">
        <is>
          <t>32285001016616</t>
        </is>
      </c>
      <c r="BD2756" t="inlineStr">
        <is>
          <t>893772063</t>
        </is>
      </c>
    </row>
    <row r="2757">
      <c r="A2757" t="inlineStr">
        <is>
          <t>No</t>
        </is>
      </c>
      <c r="B2757" t="inlineStr">
        <is>
          <t>BX6 .W75 1963c</t>
        </is>
      </c>
      <c r="C2757" t="inlineStr">
        <is>
          <t>0                      BX 0006000W  75          1963c</t>
        </is>
      </c>
      <c r="D2757" t="inlineStr">
        <is>
          <t>Report / edited by P. C. Rodger and Lukas Vischer.</t>
        </is>
      </c>
      <c r="F2757" t="inlineStr">
        <is>
          <t>No</t>
        </is>
      </c>
      <c r="G2757" t="inlineStr">
        <is>
          <t>1</t>
        </is>
      </c>
      <c r="H2757" t="inlineStr">
        <is>
          <t>No</t>
        </is>
      </c>
      <c r="I2757" t="inlineStr">
        <is>
          <t>No</t>
        </is>
      </c>
      <c r="J2757" t="inlineStr">
        <is>
          <t>0</t>
        </is>
      </c>
      <c r="K2757" t="inlineStr">
        <is>
          <t>World Conference on Faith and Order (4th : 1963 : Montréal, Québec)</t>
        </is>
      </c>
      <c r="L2757" t="inlineStr">
        <is>
          <t>New York, Association Press [1964]</t>
        </is>
      </c>
      <c r="M2757" t="inlineStr">
        <is>
          <t>1964</t>
        </is>
      </c>
      <c r="O2757" t="inlineStr">
        <is>
          <t>eng</t>
        </is>
      </c>
      <c r="P2757" t="inlineStr">
        <is>
          <t>nyu</t>
        </is>
      </c>
      <c r="R2757" t="inlineStr">
        <is>
          <t xml:space="preserve">BX </t>
        </is>
      </c>
      <c r="S2757" t="n">
        <v>1</v>
      </c>
      <c r="T2757" t="n">
        <v>1</v>
      </c>
      <c r="U2757" t="inlineStr">
        <is>
          <t>2002-04-30</t>
        </is>
      </c>
      <c r="V2757" t="inlineStr">
        <is>
          <t>2002-04-30</t>
        </is>
      </c>
      <c r="W2757" t="inlineStr">
        <is>
          <t>1992-03-20</t>
        </is>
      </c>
      <c r="X2757" t="inlineStr">
        <is>
          <t>1992-03-20</t>
        </is>
      </c>
      <c r="Y2757" t="n">
        <v>158</v>
      </c>
      <c r="Z2757" t="n">
        <v>145</v>
      </c>
      <c r="AA2757" t="n">
        <v>161</v>
      </c>
      <c r="AB2757" t="n">
        <v>3</v>
      </c>
      <c r="AC2757" t="n">
        <v>3</v>
      </c>
      <c r="AD2757" t="n">
        <v>12</v>
      </c>
      <c r="AE2757" t="n">
        <v>15</v>
      </c>
      <c r="AF2757" t="n">
        <v>4</v>
      </c>
      <c r="AG2757" t="n">
        <v>4</v>
      </c>
      <c r="AH2757" t="n">
        <v>4</v>
      </c>
      <c r="AI2757" t="n">
        <v>4</v>
      </c>
      <c r="AJ2757" t="n">
        <v>6</v>
      </c>
      <c r="AK2757" t="n">
        <v>9</v>
      </c>
      <c r="AL2757" t="n">
        <v>2</v>
      </c>
      <c r="AM2757" t="n">
        <v>2</v>
      </c>
      <c r="AN2757" t="n">
        <v>0</v>
      </c>
      <c r="AO2757" t="n">
        <v>0</v>
      </c>
      <c r="AP2757" t="inlineStr">
        <is>
          <t>No</t>
        </is>
      </c>
      <c r="AQ2757" t="inlineStr">
        <is>
          <t>Yes</t>
        </is>
      </c>
      <c r="AR2757">
        <f>HYPERLINK("http://catalog.hathitrust.org/Record/009957974","HathiTrust Record")</f>
        <v/>
      </c>
      <c r="AS2757">
        <f>HYPERLINK("https://creighton-primo.hosted.exlibrisgroup.com/primo-explore/search?tab=default_tab&amp;search_scope=EVERYTHING&amp;vid=01CRU&amp;lang=en_US&amp;offset=0&amp;query=any,contains,991003732429702656","Catalog Record")</f>
        <v/>
      </c>
      <c r="AT2757">
        <f>HYPERLINK("http://www.worldcat.org/oclc/1384116","WorldCat Record")</f>
        <v/>
      </c>
      <c r="AU2757" t="inlineStr">
        <is>
          <t>2318654:eng</t>
        </is>
      </c>
      <c r="AV2757" t="inlineStr">
        <is>
          <t>1384116</t>
        </is>
      </c>
      <c r="AW2757" t="inlineStr">
        <is>
          <t>991003732429702656</t>
        </is>
      </c>
      <c r="AX2757" t="inlineStr">
        <is>
          <t>991003732429702656</t>
        </is>
      </c>
      <c r="AY2757" t="inlineStr">
        <is>
          <t>2262133040002656</t>
        </is>
      </c>
      <c r="AZ2757" t="inlineStr">
        <is>
          <t>BOOK</t>
        </is>
      </c>
      <c r="BC2757" t="inlineStr">
        <is>
          <t>32285001016640</t>
        </is>
      </c>
      <c r="BD2757" t="inlineStr">
        <is>
          <t>893810142</t>
        </is>
      </c>
    </row>
    <row r="2758">
      <c r="A2758" t="inlineStr">
        <is>
          <t>No</t>
        </is>
      </c>
      <c r="B2758" t="inlineStr">
        <is>
          <t>BX6 .W75 1993a</t>
        </is>
      </c>
      <c r="C2758" t="inlineStr">
        <is>
          <t>0                      BX 0006000W  75          1993a</t>
        </is>
      </c>
      <c r="D2758" t="inlineStr">
        <is>
          <t>On the way to fuller koinonia : official report of the fifth World Conference on Faith and Order / edited by Thomas F. Best and Günther Gassmann.</t>
        </is>
      </c>
      <c r="F2758" t="inlineStr">
        <is>
          <t>No</t>
        </is>
      </c>
      <c r="G2758" t="inlineStr">
        <is>
          <t>1</t>
        </is>
      </c>
      <c r="H2758" t="inlineStr">
        <is>
          <t>No</t>
        </is>
      </c>
      <c r="I2758" t="inlineStr">
        <is>
          <t>No</t>
        </is>
      </c>
      <c r="J2758" t="inlineStr">
        <is>
          <t>0</t>
        </is>
      </c>
      <c r="K2758" t="inlineStr">
        <is>
          <t>World Conference on Faith and Order (5th : 1993 : Santiago de Compostela, Spain)</t>
        </is>
      </c>
      <c r="L2758" t="inlineStr">
        <is>
          <t>Geneva : WCC Publications, c1994.</t>
        </is>
      </c>
      <c r="M2758" t="inlineStr">
        <is>
          <t>1994</t>
        </is>
      </c>
      <c r="O2758" t="inlineStr">
        <is>
          <t>eng</t>
        </is>
      </c>
      <c r="P2758" t="inlineStr">
        <is>
          <t xml:space="preserve">sz </t>
        </is>
      </c>
      <c r="Q2758" t="inlineStr">
        <is>
          <t>Faith and order paper ; no. 166</t>
        </is>
      </c>
      <c r="R2758" t="inlineStr">
        <is>
          <t xml:space="preserve">BX </t>
        </is>
      </c>
      <c r="S2758" t="n">
        <v>5</v>
      </c>
      <c r="T2758" t="n">
        <v>5</v>
      </c>
      <c r="U2758" t="inlineStr">
        <is>
          <t>2008-02-29</t>
        </is>
      </c>
      <c r="V2758" t="inlineStr">
        <is>
          <t>2008-02-29</t>
        </is>
      </c>
      <c r="W2758" t="inlineStr">
        <is>
          <t>1999-09-16</t>
        </is>
      </c>
      <c r="X2758" t="inlineStr">
        <is>
          <t>1999-09-16</t>
        </is>
      </c>
      <c r="Y2758" t="n">
        <v>166</v>
      </c>
      <c r="Z2758" t="n">
        <v>116</v>
      </c>
      <c r="AA2758" t="n">
        <v>121</v>
      </c>
      <c r="AB2758" t="n">
        <v>1</v>
      </c>
      <c r="AC2758" t="n">
        <v>1</v>
      </c>
      <c r="AD2758" t="n">
        <v>10</v>
      </c>
      <c r="AE2758" t="n">
        <v>10</v>
      </c>
      <c r="AF2758" t="n">
        <v>3</v>
      </c>
      <c r="AG2758" t="n">
        <v>3</v>
      </c>
      <c r="AH2758" t="n">
        <v>2</v>
      </c>
      <c r="AI2758" t="n">
        <v>2</v>
      </c>
      <c r="AJ2758" t="n">
        <v>7</v>
      </c>
      <c r="AK2758" t="n">
        <v>7</v>
      </c>
      <c r="AL2758" t="n">
        <v>0</v>
      </c>
      <c r="AM2758" t="n">
        <v>0</v>
      </c>
      <c r="AN2758" t="n">
        <v>0</v>
      </c>
      <c r="AO2758" t="n">
        <v>0</v>
      </c>
      <c r="AP2758" t="inlineStr">
        <is>
          <t>No</t>
        </is>
      </c>
      <c r="AQ2758" t="inlineStr">
        <is>
          <t>Yes</t>
        </is>
      </c>
      <c r="AR2758">
        <f>HYPERLINK("http://catalog.hathitrust.org/Record/002932681","HathiTrust Record")</f>
        <v/>
      </c>
      <c r="AS2758">
        <f>HYPERLINK("https://creighton-primo.hosted.exlibrisgroup.com/primo-explore/search?tab=default_tab&amp;search_scope=EVERYTHING&amp;vid=01CRU&amp;lang=en_US&amp;offset=0&amp;query=any,contains,991002358969702656","Catalog Record")</f>
        <v/>
      </c>
      <c r="AT2758">
        <f>HYPERLINK("http://www.worldcat.org/oclc/30680304","WorldCat Record")</f>
        <v/>
      </c>
      <c r="AU2758" t="inlineStr">
        <is>
          <t>890467352:eng</t>
        </is>
      </c>
      <c r="AV2758" t="inlineStr">
        <is>
          <t>30680304</t>
        </is>
      </c>
      <c r="AW2758" t="inlineStr">
        <is>
          <t>991002358969702656</t>
        </is>
      </c>
      <c r="AX2758" t="inlineStr">
        <is>
          <t>991002358969702656</t>
        </is>
      </c>
      <c r="AY2758" t="inlineStr">
        <is>
          <t>2270566340002656</t>
        </is>
      </c>
      <c r="AZ2758" t="inlineStr">
        <is>
          <t>BOOK</t>
        </is>
      </c>
      <c r="BB2758" t="inlineStr">
        <is>
          <t>9782825411278</t>
        </is>
      </c>
      <c r="BC2758" t="inlineStr">
        <is>
          <t>32285003589446</t>
        </is>
      </c>
      <c r="BD2758" t="inlineStr">
        <is>
          <t>893892457</t>
        </is>
      </c>
    </row>
    <row r="2759">
      <c r="A2759" t="inlineStr">
        <is>
          <t>No</t>
        </is>
      </c>
      <c r="B2759" t="inlineStr">
        <is>
          <t>BX6.5 .C6613 1985</t>
        </is>
      </c>
      <c r="C2759" t="inlineStr">
        <is>
          <t>0                      BX 0006500C  6613        1985</t>
        </is>
      </c>
      <c r="D2759" t="inlineStr">
        <is>
          <t>Diversity and communion / Yves Congar ; [translated by John Bowden].</t>
        </is>
      </c>
      <c r="F2759" t="inlineStr">
        <is>
          <t>No</t>
        </is>
      </c>
      <c r="G2759" t="inlineStr">
        <is>
          <t>1</t>
        </is>
      </c>
      <c r="H2759" t="inlineStr">
        <is>
          <t>No</t>
        </is>
      </c>
      <c r="I2759" t="inlineStr">
        <is>
          <t>No</t>
        </is>
      </c>
      <c r="J2759" t="inlineStr">
        <is>
          <t>0</t>
        </is>
      </c>
      <c r="K2759" t="inlineStr">
        <is>
          <t>Congar, Yves, 1904-1995.</t>
        </is>
      </c>
      <c r="L2759" t="inlineStr">
        <is>
          <t>Mystic, Conn. : Twenty-Third Publications, 1985.</t>
        </is>
      </c>
      <c r="M2759" t="inlineStr">
        <is>
          <t>1985</t>
        </is>
      </c>
      <c r="O2759" t="inlineStr">
        <is>
          <t>eng</t>
        </is>
      </c>
      <c r="P2759" t="inlineStr">
        <is>
          <t>ctu</t>
        </is>
      </c>
      <c r="R2759" t="inlineStr">
        <is>
          <t xml:space="preserve">BX </t>
        </is>
      </c>
      <c r="S2759" t="n">
        <v>7</v>
      </c>
      <c r="T2759" t="n">
        <v>7</v>
      </c>
      <c r="U2759" t="inlineStr">
        <is>
          <t>2010-03-13</t>
        </is>
      </c>
      <c r="V2759" t="inlineStr">
        <is>
          <t>2010-03-13</t>
        </is>
      </c>
      <c r="W2759" t="inlineStr">
        <is>
          <t>1992-05-18</t>
        </is>
      </c>
      <c r="X2759" t="inlineStr">
        <is>
          <t>1992-05-18</t>
        </is>
      </c>
      <c r="Y2759" t="n">
        <v>258</v>
      </c>
      <c r="Z2759" t="n">
        <v>239</v>
      </c>
      <c r="AA2759" t="n">
        <v>322</v>
      </c>
      <c r="AB2759" t="n">
        <v>2</v>
      </c>
      <c r="AC2759" t="n">
        <v>2</v>
      </c>
      <c r="AD2759" t="n">
        <v>29</v>
      </c>
      <c r="AE2759" t="n">
        <v>32</v>
      </c>
      <c r="AF2759" t="n">
        <v>10</v>
      </c>
      <c r="AG2759" t="n">
        <v>11</v>
      </c>
      <c r="AH2759" t="n">
        <v>6</v>
      </c>
      <c r="AI2759" t="n">
        <v>8</v>
      </c>
      <c r="AJ2759" t="n">
        <v>21</v>
      </c>
      <c r="AK2759" t="n">
        <v>23</v>
      </c>
      <c r="AL2759" t="n">
        <v>1</v>
      </c>
      <c r="AM2759" t="n">
        <v>1</v>
      </c>
      <c r="AN2759" t="n">
        <v>0</v>
      </c>
      <c r="AO2759" t="n">
        <v>0</v>
      </c>
      <c r="AP2759" t="inlineStr">
        <is>
          <t>No</t>
        </is>
      </c>
      <c r="AQ2759" t="inlineStr">
        <is>
          <t>Yes</t>
        </is>
      </c>
      <c r="AR2759">
        <f>HYPERLINK("http://catalog.hathitrust.org/Record/006018717","HathiTrust Record")</f>
        <v/>
      </c>
      <c r="AS2759">
        <f>HYPERLINK("https://creighton-primo.hosted.exlibrisgroup.com/primo-explore/search?tab=default_tab&amp;search_scope=EVERYTHING&amp;vid=01CRU&amp;lang=en_US&amp;offset=0&amp;query=any,contains,991000746269702656","Catalog Record")</f>
        <v/>
      </c>
      <c r="AT2759">
        <f>HYPERLINK("http://www.worldcat.org/oclc/12849457","WorldCat Record")</f>
        <v/>
      </c>
      <c r="AU2759" t="inlineStr">
        <is>
          <t>69706346:eng</t>
        </is>
      </c>
      <c r="AV2759" t="inlineStr">
        <is>
          <t>12849457</t>
        </is>
      </c>
      <c r="AW2759" t="inlineStr">
        <is>
          <t>991000746269702656</t>
        </is>
      </c>
      <c r="AX2759" t="inlineStr">
        <is>
          <t>991000746269702656</t>
        </is>
      </c>
      <c r="AY2759" t="inlineStr">
        <is>
          <t>2262715350002656</t>
        </is>
      </c>
      <c r="AZ2759" t="inlineStr">
        <is>
          <t>BOOK</t>
        </is>
      </c>
      <c r="BB2759" t="inlineStr">
        <is>
          <t>9780896222755</t>
        </is>
      </c>
      <c r="BC2759" t="inlineStr">
        <is>
          <t>32285001111771</t>
        </is>
      </c>
      <c r="BD2759" t="inlineStr">
        <is>
          <t>893351641</t>
        </is>
      </c>
    </row>
    <row r="2760">
      <c r="A2760" t="inlineStr">
        <is>
          <t>No</t>
        </is>
      </c>
      <c r="B2760" t="inlineStr">
        <is>
          <t>BX6.5 .K56 2003</t>
        </is>
      </c>
      <c r="C2760" t="inlineStr">
        <is>
          <t>0                      BX 0006500K  56          2003</t>
        </is>
      </c>
      <c r="D2760" t="inlineStr">
        <is>
          <t>The vision of the ecumenical movement and how it has been impoverished by its friends / Michael Kinnamon.</t>
        </is>
      </c>
      <c r="F2760" t="inlineStr">
        <is>
          <t>No</t>
        </is>
      </c>
      <c r="G2760" t="inlineStr">
        <is>
          <t>1</t>
        </is>
      </c>
      <c r="H2760" t="inlineStr">
        <is>
          <t>No</t>
        </is>
      </c>
      <c r="I2760" t="inlineStr">
        <is>
          <t>No</t>
        </is>
      </c>
      <c r="J2760" t="inlineStr">
        <is>
          <t>0</t>
        </is>
      </c>
      <c r="K2760" t="inlineStr">
        <is>
          <t>Kinnamon, Michael.</t>
        </is>
      </c>
      <c r="L2760" t="inlineStr">
        <is>
          <t>St. Louis, Mo. : Chalice Press, 2003.</t>
        </is>
      </c>
      <c r="M2760" t="inlineStr">
        <is>
          <t>2003</t>
        </is>
      </c>
      <c r="O2760" t="inlineStr">
        <is>
          <t>eng</t>
        </is>
      </c>
      <c r="P2760" t="inlineStr">
        <is>
          <t>mou</t>
        </is>
      </c>
      <c r="R2760" t="inlineStr">
        <is>
          <t xml:space="preserve">BX </t>
        </is>
      </c>
      <c r="S2760" t="n">
        <v>2</v>
      </c>
      <c r="T2760" t="n">
        <v>2</v>
      </c>
      <c r="U2760" t="inlineStr">
        <is>
          <t>2005-05-03</t>
        </is>
      </c>
      <c r="V2760" t="inlineStr">
        <is>
          <t>2005-05-03</t>
        </is>
      </c>
      <c r="W2760" t="inlineStr">
        <is>
          <t>2005-05-03</t>
        </is>
      </c>
      <c r="X2760" t="inlineStr">
        <is>
          <t>2005-05-03</t>
        </is>
      </c>
      <c r="Y2760" t="n">
        <v>188</v>
      </c>
      <c r="Z2760" t="n">
        <v>161</v>
      </c>
      <c r="AA2760" t="n">
        <v>161</v>
      </c>
      <c r="AB2760" t="n">
        <v>1</v>
      </c>
      <c r="AC2760" t="n">
        <v>1</v>
      </c>
      <c r="AD2760" t="n">
        <v>16</v>
      </c>
      <c r="AE2760" t="n">
        <v>16</v>
      </c>
      <c r="AF2760" t="n">
        <v>8</v>
      </c>
      <c r="AG2760" t="n">
        <v>8</v>
      </c>
      <c r="AH2760" t="n">
        <v>4</v>
      </c>
      <c r="AI2760" t="n">
        <v>4</v>
      </c>
      <c r="AJ2760" t="n">
        <v>9</v>
      </c>
      <c r="AK2760" t="n">
        <v>9</v>
      </c>
      <c r="AL2760" t="n">
        <v>0</v>
      </c>
      <c r="AM2760" t="n">
        <v>0</v>
      </c>
      <c r="AN2760" t="n">
        <v>0</v>
      </c>
      <c r="AO2760" t="n">
        <v>0</v>
      </c>
      <c r="AP2760" t="inlineStr">
        <is>
          <t>No</t>
        </is>
      </c>
      <c r="AQ2760" t="inlineStr">
        <is>
          <t>No</t>
        </is>
      </c>
      <c r="AS2760">
        <f>HYPERLINK("https://creighton-primo.hosted.exlibrisgroup.com/primo-explore/search?tab=default_tab&amp;search_scope=EVERYTHING&amp;vid=01CRU&amp;lang=en_US&amp;offset=0&amp;query=any,contains,991004387939702656","Catalog Record")</f>
        <v/>
      </c>
      <c r="AT2760">
        <f>HYPERLINK("http://www.worldcat.org/oclc/51477902","WorldCat Record")</f>
        <v/>
      </c>
      <c r="AU2760" t="inlineStr">
        <is>
          <t>1024861:eng</t>
        </is>
      </c>
      <c r="AV2760" t="inlineStr">
        <is>
          <t>51477902</t>
        </is>
      </c>
      <c r="AW2760" t="inlineStr">
        <is>
          <t>991004387939702656</t>
        </is>
      </c>
      <c r="AX2760" t="inlineStr">
        <is>
          <t>991004387939702656</t>
        </is>
      </c>
      <c r="AY2760" t="inlineStr">
        <is>
          <t>2255478240002656</t>
        </is>
      </c>
      <c r="AZ2760" t="inlineStr">
        <is>
          <t>BOOK</t>
        </is>
      </c>
      <c r="BB2760" t="inlineStr">
        <is>
          <t>9780827240063</t>
        </is>
      </c>
      <c r="BC2760" t="inlineStr">
        <is>
          <t>32285005034904</t>
        </is>
      </c>
      <c r="BD2760" t="inlineStr">
        <is>
          <t>893506791</t>
        </is>
      </c>
    </row>
    <row r="2761">
      <c r="A2761" t="inlineStr">
        <is>
          <t>No</t>
        </is>
      </c>
      <c r="B2761" t="inlineStr">
        <is>
          <t>BX6.R6 A5 1963</t>
        </is>
      </c>
      <c r="C2761" t="inlineStr">
        <is>
          <t>0                      BX 0006000R  6                  A  5           1963</t>
        </is>
      </c>
      <c r="D2761" t="inlineStr">
        <is>
          <t>Ecumenical dialogue at Harvard / edited by Samuel H. Miller and G. Ernest Wright.</t>
        </is>
      </c>
      <c r="F2761" t="inlineStr">
        <is>
          <t>No</t>
        </is>
      </c>
      <c r="G2761" t="inlineStr">
        <is>
          <t>1</t>
        </is>
      </c>
      <c r="H2761" t="inlineStr">
        <is>
          <t>No</t>
        </is>
      </c>
      <c r="I2761" t="inlineStr">
        <is>
          <t>No</t>
        </is>
      </c>
      <c r="J2761" t="inlineStr">
        <is>
          <t>0</t>
        </is>
      </c>
      <c r="K2761" t="inlineStr">
        <is>
          <t>Roman Catholic--Protestant Colloquium.</t>
        </is>
      </c>
      <c r="L2761" t="inlineStr">
        <is>
          <t>Cambridge, Mass., The Belknap Press of Harvard University Press, 1964.</t>
        </is>
      </c>
      <c r="M2761" t="inlineStr">
        <is>
          <t>1964</t>
        </is>
      </c>
      <c r="O2761" t="inlineStr">
        <is>
          <t>eng</t>
        </is>
      </c>
      <c r="P2761" t="inlineStr">
        <is>
          <t>mau</t>
        </is>
      </c>
      <c r="R2761" t="inlineStr">
        <is>
          <t xml:space="preserve">BX </t>
        </is>
      </c>
      <c r="S2761" t="n">
        <v>4</v>
      </c>
      <c r="T2761" t="n">
        <v>4</v>
      </c>
      <c r="U2761" t="inlineStr">
        <is>
          <t>2008-04-14</t>
        </is>
      </c>
      <c r="V2761" t="inlineStr">
        <is>
          <t>2008-04-14</t>
        </is>
      </c>
      <c r="W2761" t="inlineStr">
        <is>
          <t>1992-03-20</t>
        </is>
      </c>
      <c r="X2761" t="inlineStr">
        <is>
          <t>1992-03-20</t>
        </is>
      </c>
      <c r="Y2761" t="n">
        <v>568</v>
      </c>
      <c r="Z2761" t="n">
        <v>528</v>
      </c>
      <c r="AA2761" t="n">
        <v>554</v>
      </c>
      <c r="AB2761" t="n">
        <v>3</v>
      </c>
      <c r="AC2761" t="n">
        <v>3</v>
      </c>
      <c r="AD2761" t="n">
        <v>33</v>
      </c>
      <c r="AE2761" t="n">
        <v>33</v>
      </c>
      <c r="AF2761" t="n">
        <v>14</v>
      </c>
      <c r="AG2761" t="n">
        <v>14</v>
      </c>
      <c r="AH2761" t="n">
        <v>7</v>
      </c>
      <c r="AI2761" t="n">
        <v>7</v>
      </c>
      <c r="AJ2761" t="n">
        <v>21</v>
      </c>
      <c r="AK2761" t="n">
        <v>21</v>
      </c>
      <c r="AL2761" t="n">
        <v>1</v>
      </c>
      <c r="AM2761" t="n">
        <v>1</v>
      </c>
      <c r="AN2761" t="n">
        <v>0</v>
      </c>
      <c r="AO2761" t="n">
        <v>0</v>
      </c>
      <c r="AP2761" t="inlineStr">
        <is>
          <t>No</t>
        </is>
      </c>
      <c r="AQ2761" t="inlineStr">
        <is>
          <t>Yes</t>
        </is>
      </c>
      <c r="AR2761">
        <f>HYPERLINK("http://catalog.hathitrust.org/Record/001958561","HathiTrust Record")</f>
        <v/>
      </c>
      <c r="AS2761">
        <f>HYPERLINK("https://creighton-primo.hosted.exlibrisgroup.com/primo-explore/search?tab=default_tab&amp;search_scope=EVERYTHING&amp;vid=01CRU&amp;lang=en_US&amp;offset=0&amp;query=any,contains,991003506859702656","Catalog Record")</f>
        <v/>
      </c>
      <c r="AT2761">
        <f>HYPERLINK("http://www.worldcat.org/oclc/1059101","WorldCat Record")</f>
        <v/>
      </c>
      <c r="AU2761" t="inlineStr">
        <is>
          <t>147498536:eng</t>
        </is>
      </c>
      <c r="AV2761" t="inlineStr">
        <is>
          <t>1059101</t>
        </is>
      </c>
      <c r="AW2761" t="inlineStr">
        <is>
          <t>991003506859702656</t>
        </is>
      </c>
      <c r="AX2761" t="inlineStr">
        <is>
          <t>991003506859702656</t>
        </is>
      </c>
      <c r="AY2761" t="inlineStr">
        <is>
          <t>2262790520002656</t>
        </is>
      </c>
      <c r="AZ2761" t="inlineStr">
        <is>
          <t>BOOK</t>
        </is>
      </c>
      <c r="BC2761" t="inlineStr">
        <is>
          <t>32285001016608</t>
        </is>
      </c>
      <c r="BD2761" t="inlineStr">
        <is>
          <t>893805844</t>
        </is>
      </c>
    </row>
    <row r="2762">
      <c r="A2762" t="inlineStr">
        <is>
          <t>No</t>
        </is>
      </c>
      <c r="B2762" t="inlineStr">
        <is>
          <t>BX6.W78 V33 1992b</t>
        </is>
      </c>
      <c r="C2762" t="inlineStr">
        <is>
          <t>0                      BX 0006000W  78                 V  33          1992b</t>
        </is>
      </c>
      <c r="D2762" t="inlineStr">
        <is>
          <t>Introducing the World Council of Churches / Marlin VanElderen.</t>
        </is>
      </c>
      <c r="F2762" t="inlineStr">
        <is>
          <t>No</t>
        </is>
      </c>
      <c r="G2762" t="inlineStr">
        <is>
          <t>1</t>
        </is>
      </c>
      <c r="H2762" t="inlineStr">
        <is>
          <t>No</t>
        </is>
      </c>
      <c r="I2762" t="inlineStr">
        <is>
          <t>No</t>
        </is>
      </c>
      <c r="J2762" t="inlineStr">
        <is>
          <t>0</t>
        </is>
      </c>
      <c r="K2762" t="inlineStr">
        <is>
          <t>VanElderen, Marlin.</t>
        </is>
      </c>
      <c r="L2762" t="inlineStr">
        <is>
          <t>Geneva, Switzerland : WCC Publications, [1992], c1990.</t>
        </is>
      </c>
      <c r="M2762" t="inlineStr">
        <is>
          <t>1992</t>
        </is>
      </c>
      <c r="N2762" t="inlineStr">
        <is>
          <t>Revised ed., 2nd printing, rev.</t>
        </is>
      </c>
      <c r="O2762" t="inlineStr">
        <is>
          <t>eng</t>
        </is>
      </c>
      <c r="P2762" t="inlineStr">
        <is>
          <t xml:space="preserve">sz </t>
        </is>
      </c>
      <c r="Q2762" t="inlineStr">
        <is>
          <t>Risk book series ; no. 46</t>
        </is>
      </c>
      <c r="R2762" t="inlineStr">
        <is>
          <t xml:space="preserve">BX </t>
        </is>
      </c>
      <c r="S2762" t="n">
        <v>5</v>
      </c>
      <c r="T2762" t="n">
        <v>5</v>
      </c>
      <c r="U2762" t="inlineStr">
        <is>
          <t>2008-04-14</t>
        </is>
      </c>
      <c r="V2762" t="inlineStr">
        <is>
          <t>2008-04-14</t>
        </is>
      </c>
      <c r="W2762" t="inlineStr">
        <is>
          <t>1994-04-18</t>
        </is>
      </c>
      <c r="X2762" t="inlineStr">
        <is>
          <t>1994-04-18</t>
        </is>
      </c>
      <c r="Y2762" t="n">
        <v>29</v>
      </c>
      <c r="Z2762" t="n">
        <v>22</v>
      </c>
      <c r="AA2762" t="n">
        <v>252</v>
      </c>
      <c r="AB2762" t="n">
        <v>1</v>
      </c>
      <c r="AC2762" t="n">
        <v>1</v>
      </c>
      <c r="AD2762" t="n">
        <v>0</v>
      </c>
      <c r="AE2762" t="n">
        <v>13</v>
      </c>
      <c r="AF2762" t="n">
        <v>0</v>
      </c>
      <c r="AG2762" t="n">
        <v>4</v>
      </c>
      <c r="AH2762" t="n">
        <v>0</v>
      </c>
      <c r="AI2762" t="n">
        <v>4</v>
      </c>
      <c r="AJ2762" t="n">
        <v>0</v>
      </c>
      <c r="AK2762" t="n">
        <v>7</v>
      </c>
      <c r="AL2762" t="n">
        <v>0</v>
      </c>
      <c r="AM2762" t="n">
        <v>0</v>
      </c>
      <c r="AN2762" t="n">
        <v>0</v>
      </c>
      <c r="AO2762" t="n">
        <v>0</v>
      </c>
      <c r="AP2762" t="inlineStr">
        <is>
          <t>No</t>
        </is>
      </c>
      <c r="AQ2762" t="inlineStr">
        <is>
          <t>Yes</t>
        </is>
      </c>
      <c r="AR2762">
        <f>HYPERLINK("http://catalog.hathitrust.org/Record/002817551","HathiTrust Record")</f>
        <v/>
      </c>
      <c r="AS2762">
        <f>HYPERLINK("https://creighton-primo.hosted.exlibrisgroup.com/primo-explore/search?tab=default_tab&amp;search_scope=EVERYTHING&amp;vid=01CRU&amp;lang=en_US&amp;offset=0&amp;query=any,contains,991002110409702656","Catalog Record")</f>
        <v/>
      </c>
      <c r="AT2762">
        <f>HYPERLINK("http://www.worldcat.org/oclc/27039268","WorldCat Record")</f>
        <v/>
      </c>
      <c r="AU2762" t="inlineStr">
        <is>
          <t>6387825:eng</t>
        </is>
      </c>
      <c r="AV2762" t="inlineStr">
        <is>
          <t>27039268</t>
        </is>
      </c>
      <c r="AW2762" t="inlineStr">
        <is>
          <t>991002110409702656</t>
        </is>
      </c>
      <c r="AX2762" t="inlineStr">
        <is>
          <t>991002110409702656</t>
        </is>
      </c>
      <c r="AY2762" t="inlineStr">
        <is>
          <t>2272057990002656</t>
        </is>
      </c>
      <c r="AZ2762" t="inlineStr">
        <is>
          <t>BOOK</t>
        </is>
      </c>
      <c r="BB2762" t="inlineStr">
        <is>
          <t>9782825409732</t>
        </is>
      </c>
      <c r="BC2762" t="inlineStr">
        <is>
          <t>32285001875359</t>
        </is>
      </c>
      <c r="BD2762" t="inlineStr">
        <is>
          <t>893341039</t>
        </is>
      </c>
    </row>
    <row r="2763">
      <c r="A2763" t="inlineStr">
        <is>
          <t>No</t>
        </is>
      </c>
      <c r="B2763" t="inlineStr">
        <is>
          <t>BX605.A8 A3 1979</t>
        </is>
      </c>
      <c r="C2763" t="inlineStr">
        <is>
          <t>0                      BX 0605000A  8                  A  3           1979</t>
        </is>
      </c>
      <c r="D2763" t="inlineStr">
        <is>
          <t>Archpriest Avvakum, the life written by himself : with the study of V. V. Vinogradov / translations, annotations, commentary, and historical introd. by Kenneth N. Brostrom.</t>
        </is>
      </c>
      <c r="F2763" t="inlineStr">
        <is>
          <t>No</t>
        </is>
      </c>
      <c r="G2763" t="inlineStr">
        <is>
          <t>1</t>
        </is>
      </c>
      <c r="H2763" t="inlineStr">
        <is>
          <t>No</t>
        </is>
      </c>
      <c r="I2763" t="inlineStr">
        <is>
          <t>No</t>
        </is>
      </c>
      <c r="J2763" t="inlineStr">
        <is>
          <t>0</t>
        </is>
      </c>
      <c r="K2763" t="inlineStr">
        <is>
          <t>Avvakum Petrovich, Protopope, 1620 or 1621-1682.</t>
        </is>
      </c>
      <c r="L2763" t="inlineStr">
        <is>
          <t>Ann Arbor : Michigan Slavic Publications, University of Michigan, c1979.</t>
        </is>
      </c>
      <c r="M2763" t="inlineStr">
        <is>
          <t>1979</t>
        </is>
      </c>
      <c r="O2763" t="inlineStr">
        <is>
          <t>eng</t>
        </is>
      </c>
      <c r="P2763" t="inlineStr">
        <is>
          <t>miu</t>
        </is>
      </c>
      <c r="Q2763" t="inlineStr">
        <is>
          <t>Michigan Slavic translations ; no. 4</t>
        </is>
      </c>
      <c r="R2763" t="inlineStr">
        <is>
          <t xml:space="preserve">BX </t>
        </is>
      </c>
      <c r="S2763" t="n">
        <v>1</v>
      </c>
      <c r="T2763" t="n">
        <v>1</v>
      </c>
      <c r="U2763" t="inlineStr">
        <is>
          <t>2004-08-23</t>
        </is>
      </c>
      <c r="V2763" t="inlineStr">
        <is>
          <t>2004-08-23</t>
        </is>
      </c>
      <c r="W2763" t="inlineStr">
        <is>
          <t>1992-04-10</t>
        </is>
      </c>
      <c r="X2763" t="inlineStr">
        <is>
          <t>1992-04-10</t>
        </is>
      </c>
      <c r="Y2763" t="n">
        <v>184</v>
      </c>
      <c r="Z2763" t="n">
        <v>151</v>
      </c>
      <c r="AA2763" t="n">
        <v>153</v>
      </c>
      <c r="AB2763" t="n">
        <v>2</v>
      </c>
      <c r="AC2763" t="n">
        <v>2</v>
      </c>
      <c r="AD2763" t="n">
        <v>7</v>
      </c>
      <c r="AE2763" t="n">
        <v>7</v>
      </c>
      <c r="AF2763" t="n">
        <v>2</v>
      </c>
      <c r="AG2763" t="n">
        <v>2</v>
      </c>
      <c r="AH2763" t="n">
        <v>3</v>
      </c>
      <c r="AI2763" t="n">
        <v>3</v>
      </c>
      <c r="AJ2763" t="n">
        <v>3</v>
      </c>
      <c r="AK2763" t="n">
        <v>3</v>
      </c>
      <c r="AL2763" t="n">
        <v>1</v>
      </c>
      <c r="AM2763" t="n">
        <v>1</v>
      </c>
      <c r="AN2763" t="n">
        <v>0</v>
      </c>
      <c r="AO2763" t="n">
        <v>0</v>
      </c>
      <c r="AP2763" t="inlineStr">
        <is>
          <t>No</t>
        </is>
      </c>
      <c r="AQ2763" t="inlineStr">
        <is>
          <t>Yes</t>
        </is>
      </c>
      <c r="AR2763">
        <f>HYPERLINK("http://catalog.hathitrust.org/Record/000756869","HathiTrust Record")</f>
        <v/>
      </c>
      <c r="AS2763">
        <f>HYPERLINK("https://creighton-primo.hosted.exlibrisgroup.com/primo-explore/search?tab=default_tab&amp;search_scope=EVERYTHING&amp;vid=01CRU&amp;lang=en_US&amp;offset=0&amp;query=any,contains,991004821039702656","Catalog Record")</f>
        <v/>
      </c>
      <c r="AT2763">
        <f>HYPERLINK("http://www.worldcat.org/oclc/5333817","WorldCat Record")</f>
        <v/>
      </c>
      <c r="AU2763" t="inlineStr">
        <is>
          <t>2999384042:eng</t>
        </is>
      </c>
      <c r="AV2763" t="inlineStr">
        <is>
          <t>5333817</t>
        </is>
      </c>
      <c r="AW2763" t="inlineStr">
        <is>
          <t>991004821039702656</t>
        </is>
      </c>
      <c r="AX2763" t="inlineStr">
        <is>
          <t>991004821039702656</t>
        </is>
      </c>
      <c r="AY2763" t="inlineStr">
        <is>
          <t>2265712090002656</t>
        </is>
      </c>
      <c r="AZ2763" t="inlineStr">
        <is>
          <t>BOOK</t>
        </is>
      </c>
      <c r="BB2763" t="inlineStr">
        <is>
          <t>9780930042332</t>
        </is>
      </c>
      <c r="BC2763" t="inlineStr">
        <is>
          <t>32285001018265</t>
        </is>
      </c>
      <c r="BD2763" t="inlineStr">
        <is>
          <t>893619123</t>
        </is>
      </c>
    </row>
    <row r="2764">
      <c r="A2764" t="inlineStr">
        <is>
          <t>No</t>
        </is>
      </c>
      <c r="B2764" t="inlineStr">
        <is>
          <t>BX6111 .W57 1950a</t>
        </is>
      </c>
      <c r="C2764" t="inlineStr">
        <is>
          <t>0                      BX 6111000W  57          1950a</t>
        </is>
      </c>
      <c r="D2764" t="inlineStr">
        <is>
          <t>The great controversy between Christ and Satan : the conflict of the ages in the Christian dispensation / by Ellen G. White.</t>
        </is>
      </c>
      <c r="F2764" t="inlineStr">
        <is>
          <t>No</t>
        </is>
      </c>
      <c r="G2764" t="inlineStr">
        <is>
          <t>1</t>
        </is>
      </c>
      <c r="H2764" t="inlineStr">
        <is>
          <t>No</t>
        </is>
      </c>
      <c r="I2764" t="inlineStr">
        <is>
          <t>No</t>
        </is>
      </c>
      <c r="J2764" t="inlineStr">
        <is>
          <t>0</t>
        </is>
      </c>
      <c r="K2764" t="inlineStr">
        <is>
          <t>White, Ellen G., 1827-1915.</t>
        </is>
      </c>
      <c r="L2764" t="inlineStr">
        <is>
          <t>Mountain View, Calif. : Pacific Press Pub. Association, c1950.</t>
        </is>
      </c>
      <c r="M2764" t="inlineStr">
        <is>
          <t>1950</t>
        </is>
      </c>
      <c r="O2764" t="inlineStr">
        <is>
          <t>eng</t>
        </is>
      </c>
      <c r="P2764" t="inlineStr">
        <is>
          <t>cau</t>
        </is>
      </c>
      <c r="Q2764" t="inlineStr">
        <is>
          <t>Christian home library</t>
        </is>
      </c>
      <c r="R2764" t="inlineStr">
        <is>
          <t xml:space="preserve">BX </t>
        </is>
      </c>
      <c r="S2764" t="n">
        <v>9</v>
      </c>
      <c r="T2764" t="n">
        <v>9</v>
      </c>
      <c r="U2764" t="inlineStr">
        <is>
          <t>2004-03-20</t>
        </is>
      </c>
      <c r="V2764" t="inlineStr">
        <is>
          <t>2004-03-20</t>
        </is>
      </c>
      <c r="W2764" t="inlineStr">
        <is>
          <t>1990-04-30</t>
        </is>
      </c>
      <c r="X2764" t="inlineStr">
        <is>
          <t>1990-04-30</t>
        </is>
      </c>
      <c r="Y2764" t="n">
        <v>110</v>
      </c>
      <c r="Z2764" t="n">
        <v>95</v>
      </c>
      <c r="AA2764" t="n">
        <v>2010</v>
      </c>
      <c r="AB2764" t="n">
        <v>2</v>
      </c>
      <c r="AC2764" t="n">
        <v>23</v>
      </c>
      <c r="AD2764" t="n">
        <v>2</v>
      </c>
      <c r="AE2764" t="n">
        <v>55</v>
      </c>
      <c r="AF2764" t="n">
        <v>0</v>
      </c>
      <c r="AG2764" t="n">
        <v>20</v>
      </c>
      <c r="AH2764" t="n">
        <v>0</v>
      </c>
      <c r="AI2764" t="n">
        <v>9</v>
      </c>
      <c r="AJ2764" t="n">
        <v>1</v>
      </c>
      <c r="AK2764" t="n">
        <v>20</v>
      </c>
      <c r="AL2764" t="n">
        <v>1</v>
      </c>
      <c r="AM2764" t="n">
        <v>15</v>
      </c>
      <c r="AN2764" t="n">
        <v>0</v>
      </c>
      <c r="AO2764" t="n">
        <v>0</v>
      </c>
      <c r="AP2764" t="inlineStr">
        <is>
          <t>No</t>
        </is>
      </c>
      <c r="AQ2764" t="inlineStr">
        <is>
          <t>No</t>
        </is>
      </c>
      <c r="AS2764">
        <f>HYPERLINK("https://creighton-primo.hosted.exlibrisgroup.com/primo-explore/search?tab=default_tab&amp;search_scope=EVERYTHING&amp;vid=01CRU&amp;lang=en_US&amp;offset=0&amp;query=any,contains,991004357889702656","Catalog Record")</f>
        <v/>
      </c>
      <c r="AT2764">
        <f>HYPERLINK("http://www.worldcat.org/oclc/3150224","WorldCat Record")</f>
        <v/>
      </c>
      <c r="AU2764" t="inlineStr">
        <is>
          <t>21156868:eng</t>
        </is>
      </c>
      <c r="AV2764" t="inlineStr">
        <is>
          <t>3150224</t>
        </is>
      </c>
      <c r="AW2764" t="inlineStr">
        <is>
          <t>991004357889702656</t>
        </is>
      </c>
      <c r="AX2764" t="inlineStr">
        <is>
          <t>991004357889702656</t>
        </is>
      </c>
      <c r="AY2764" t="inlineStr">
        <is>
          <t>2260050800002656</t>
        </is>
      </c>
      <c r="AZ2764" t="inlineStr">
        <is>
          <t>BOOK</t>
        </is>
      </c>
      <c r="BC2764" t="inlineStr">
        <is>
          <t>32285000128297</t>
        </is>
      </c>
      <c r="BD2764" t="inlineStr">
        <is>
          <t>893349917</t>
        </is>
      </c>
    </row>
    <row r="2765">
      <c r="A2765" t="inlineStr">
        <is>
          <t>No</t>
        </is>
      </c>
      <c r="B2765" t="inlineStr">
        <is>
          <t>BX6115 .D62 1987</t>
        </is>
      </c>
      <c r="C2765" t="inlineStr">
        <is>
          <t>0                      BX 6115000D  62          1987</t>
        </is>
      </c>
      <c r="D2765" t="inlineStr">
        <is>
          <t>The Miller heresy, Millennialism, and American culture / Ruth Alden Doan.</t>
        </is>
      </c>
      <c r="F2765" t="inlineStr">
        <is>
          <t>No</t>
        </is>
      </c>
      <c r="G2765" t="inlineStr">
        <is>
          <t>1</t>
        </is>
      </c>
      <c r="H2765" t="inlineStr">
        <is>
          <t>No</t>
        </is>
      </c>
      <c r="I2765" t="inlineStr">
        <is>
          <t>No</t>
        </is>
      </c>
      <c r="J2765" t="inlineStr">
        <is>
          <t>0</t>
        </is>
      </c>
      <c r="K2765" t="inlineStr">
        <is>
          <t>Doan, Ruth Alden.</t>
        </is>
      </c>
      <c r="L2765" t="inlineStr">
        <is>
          <t>Philadelphia : Temple University Press, 1987.</t>
        </is>
      </c>
      <c r="M2765" t="inlineStr">
        <is>
          <t>1987</t>
        </is>
      </c>
      <c r="O2765" t="inlineStr">
        <is>
          <t>eng</t>
        </is>
      </c>
      <c r="P2765" t="inlineStr">
        <is>
          <t>pau</t>
        </is>
      </c>
      <c r="R2765" t="inlineStr">
        <is>
          <t xml:space="preserve">BX </t>
        </is>
      </c>
      <c r="S2765" t="n">
        <v>4</v>
      </c>
      <c r="T2765" t="n">
        <v>4</v>
      </c>
      <c r="U2765" t="inlineStr">
        <is>
          <t>1999-10-12</t>
        </is>
      </c>
      <c r="V2765" t="inlineStr">
        <is>
          <t>1999-10-12</t>
        </is>
      </c>
      <c r="W2765" t="inlineStr">
        <is>
          <t>1989-10-19</t>
        </is>
      </c>
      <c r="X2765" t="inlineStr">
        <is>
          <t>1989-10-19</t>
        </is>
      </c>
      <c r="Y2765" t="n">
        <v>443</v>
      </c>
      <c r="Z2765" t="n">
        <v>398</v>
      </c>
      <c r="AA2765" t="n">
        <v>416</v>
      </c>
      <c r="AB2765" t="n">
        <v>3</v>
      </c>
      <c r="AC2765" t="n">
        <v>3</v>
      </c>
      <c r="AD2765" t="n">
        <v>17</v>
      </c>
      <c r="AE2765" t="n">
        <v>18</v>
      </c>
      <c r="AF2765" t="n">
        <v>7</v>
      </c>
      <c r="AG2765" t="n">
        <v>8</v>
      </c>
      <c r="AH2765" t="n">
        <v>4</v>
      </c>
      <c r="AI2765" t="n">
        <v>4</v>
      </c>
      <c r="AJ2765" t="n">
        <v>10</v>
      </c>
      <c r="AK2765" t="n">
        <v>10</v>
      </c>
      <c r="AL2765" t="n">
        <v>2</v>
      </c>
      <c r="AM2765" t="n">
        <v>2</v>
      </c>
      <c r="AN2765" t="n">
        <v>0</v>
      </c>
      <c r="AO2765" t="n">
        <v>0</v>
      </c>
      <c r="AP2765" t="inlineStr">
        <is>
          <t>No</t>
        </is>
      </c>
      <c r="AQ2765" t="inlineStr">
        <is>
          <t>No</t>
        </is>
      </c>
      <c r="AS2765">
        <f>HYPERLINK("https://creighton-primo.hosted.exlibrisgroup.com/primo-explore/search?tab=default_tab&amp;search_scope=EVERYTHING&amp;vid=01CRU&amp;lang=en_US&amp;offset=0&amp;query=any,contains,991000983209702656","Catalog Record")</f>
        <v/>
      </c>
      <c r="AT2765">
        <f>HYPERLINK("http://www.worldcat.org/oclc/15054022","WorldCat Record")</f>
        <v/>
      </c>
      <c r="AU2765" t="inlineStr">
        <is>
          <t>5687344:eng</t>
        </is>
      </c>
      <c r="AV2765" t="inlineStr">
        <is>
          <t>15054022</t>
        </is>
      </c>
      <c r="AW2765" t="inlineStr">
        <is>
          <t>991000983209702656</t>
        </is>
      </c>
      <c r="AX2765" t="inlineStr">
        <is>
          <t>991000983209702656</t>
        </is>
      </c>
      <c r="AY2765" t="inlineStr">
        <is>
          <t>2256077540002656</t>
        </is>
      </c>
      <c r="AZ2765" t="inlineStr">
        <is>
          <t>BOOK</t>
        </is>
      </c>
      <c r="BB2765" t="inlineStr">
        <is>
          <t>9780877224815</t>
        </is>
      </c>
      <c r="BC2765" t="inlineStr">
        <is>
          <t>32285000000462</t>
        </is>
      </c>
      <c r="BD2765" t="inlineStr">
        <is>
          <t>893231597</t>
        </is>
      </c>
    </row>
    <row r="2766">
      <c r="A2766" t="inlineStr">
        <is>
          <t>No</t>
        </is>
      </c>
      <c r="B2766" t="inlineStr">
        <is>
          <t>BX614.R53 H37 1992</t>
        </is>
      </c>
      <c r="C2766" t="inlineStr">
        <is>
          <t>0                      BX 0614000R  53                 H  37          1992</t>
        </is>
      </c>
      <c r="D2766" t="inlineStr">
        <is>
          <t>Time, religion, and social experience in rural Greece / Laurie Kain Hart.</t>
        </is>
      </c>
      <c r="F2766" t="inlineStr">
        <is>
          <t>No</t>
        </is>
      </c>
      <c r="G2766" t="inlineStr">
        <is>
          <t>1</t>
        </is>
      </c>
      <c r="H2766" t="inlineStr">
        <is>
          <t>No</t>
        </is>
      </c>
      <c r="I2766" t="inlineStr">
        <is>
          <t>No</t>
        </is>
      </c>
      <c r="J2766" t="inlineStr">
        <is>
          <t>0</t>
        </is>
      </c>
      <c r="K2766" t="inlineStr">
        <is>
          <t>Hart, Laurie Kain.</t>
        </is>
      </c>
      <c r="L2766" t="inlineStr">
        <is>
          <t>Lanham, Md. : Rowman &amp; Littlefield, c1992.</t>
        </is>
      </c>
      <c r="M2766" t="inlineStr">
        <is>
          <t>1992</t>
        </is>
      </c>
      <c r="O2766" t="inlineStr">
        <is>
          <t>eng</t>
        </is>
      </c>
      <c r="P2766" t="inlineStr">
        <is>
          <t>mdu</t>
        </is>
      </c>
      <c r="R2766" t="inlineStr">
        <is>
          <t xml:space="preserve">BX </t>
        </is>
      </c>
      <c r="S2766" t="n">
        <v>2</v>
      </c>
      <c r="T2766" t="n">
        <v>2</v>
      </c>
      <c r="U2766" t="inlineStr">
        <is>
          <t>2006-01-11</t>
        </is>
      </c>
      <c r="V2766" t="inlineStr">
        <is>
          <t>2006-01-11</t>
        </is>
      </c>
      <c r="W2766" t="inlineStr">
        <is>
          <t>1994-02-11</t>
        </is>
      </c>
      <c r="X2766" t="inlineStr">
        <is>
          <t>1994-02-11</t>
        </is>
      </c>
      <c r="Y2766" t="n">
        <v>200</v>
      </c>
      <c r="Z2766" t="n">
        <v>149</v>
      </c>
      <c r="AA2766" t="n">
        <v>160</v>
      </c>
      <c r="AB2766" t="n">
        <v>1</v>
      </c>
      <c r="AC2766" t="n">
        <v>2</v>
      </c>
      <c r="AD2766" t="n">
        <v>9</v>
      </c>
      <c r="AE2766" t="n">
        <v>10</v>
      </c>
      <c r="AF2766" t="n">
        <v>3</v>
      </c>
      <c r="AG2766" t="n">
        <v>3</v>
      </c>
      <c r="AH2766" t="n">
        <v>4</v>
      </c>
      <c r="AI2766" t="n">
        <v>4</v>
      </c>
      <c r="AJ2766" t="n">
        <v>7</v>
      </c>
      <c r="AK2766" t="n">
        <v>7</v>
      </c>
      <c r="AL2766" t="n">
        <v>0</v>
      </c>
      <c r="AM2766" t="n">
        <v>1</v>
      </c>
      <c r="AN2766" t="n">
        <v>0</v>
      </c>
      <c r="AO2766" t="n">
        <v>0</v>
      </c>
      <c r="AP2766" t="inlineStr">
        <is>
          <t>No</t>
        </is>
      </c>
      <c r="AQ2766" t="inlineStr">
        <is>
          <t>Yes</t>
        </is>
      </c>
      <c r="AR2766">
        <f>HYPERLINK("http://catalog.hathitrust.org/Record/002600312","HathiTrust Record")</f>
        <v/>
      </c>
      <c r="AS2766">
        <f>HYPERLINK("https://creighton-primo.hosted.exlibrisgroup.com/primo-explore/search?tab=default_tab&amp;search_scope=EVERYTHING&amp;vid=01CRU&amp;lang=en_US&amp;offset=0&amp;query=any,contains,991001931779702656","Catalog Record")</f>
        <v/>
      </c>
      <c r="AT2766">
        <f>HYPERLINK("http://www.worldcat.org/oclc/24379133","WorldCat Record")</f>
        <v/>
      </c>
      <c r="AU2766" t="inlineStr">
        <is>
          <t>18489531:eng</t>
        </is>
      </c>
      <c r="AV2766" t="inlineStr">
        <is>
          <t>24379133</t>
        </is>
      </c>
      <c r="AW2766" t="inlineStr">
        <is>
          <t>991001931779702656</t>
        </is>
      </c>
      <c r="AX2766" t="inlineStr">
        <is>
          <t>991001931779702656</t>
        </is>
      </c>
      <c r="AY2766" t="inlineStr">
        <is>
          <t>2264731690002656</t>
        </is>
      </c>
      <c r="AZ2766" t="inlineStr">
        <is>
          <t>BOOK</t>
        </is>
      </c>
      <c r="BB2766" t="inlineStr">
        <is>
          <t>9780847676873</t>
        </is>
      </c>
      <c r="BC2766" t="inlineStr">
        <is>
          <t>32285001841146</t>
        </is>
      </c>
      <c r="BD2766" t="inlineStr">
        <is>
          <t>893866604</t>
        </is>
      </c>
    </row>
    <row r="2767">
      <c r="A2767" t="inlineStr">
        <is>
          <t>No</t>
        </is>
      </c>
      <c r="B2767" t="inlineStr">
        <is>
          <t>BX6159 .P37 1922</t>
        </is>
      </c>
      <c r="C2767" t="inlineStr">
        <is>
          <t>0                      BX 6159000P  37          1922</t>
        </is>
      </c>
      <c r="D2767" t="inlineStr">
        <is>
          <t>The story of patriarchs and prophets : the conflict of the ages illustrated in the lives of holy men of old / by Ellen G. White.</t>
        </is>
      </c>
      <c r="F2767" t="inlineStr">
        <is>
          <t>No</t>
        </is>
      </c>
      <c r="G2767" t="inlineStr">
        <is>
          <t>1</t>
        </is>
      </c>
      <c r="H2767" t="inlineStr">
        <is>
          <t>No</t>
        </is>
      </c>
      <c r="I2767" t="inlineStr">
        <is>
          <t>No</t>
        </is>
      </c>
      <c r="J2767" t="inlineStr">
        <is>
          <t>0</t>
        </is>
      </c>
      <c r="K2767" t="inlineStr">
        <is>
          <t>White, Ellen G., 1827-1915.</t>
        </is>
      </c>
      <c r="L2767" t="inlineStr">
        <is>
          <t>Nashville : Southern Pub. Association, 1922.</t>
        </is>
      </c>
      <c r="M2767" t="inlineStr">
        <is>
          <t>1922</t>
        </is>
      </c>
      <c r="O2767" t="inlineStr">
        <is>
          <t>eng</t>
        </is>
      </c>
      <c r="P2767" t="inlineStr">
        <is>
          <t>tnu</t>
        </is>
      </c>
      <c r="R2767" t="inlineStr">
        <is>
          <t xml:space="preserve">BX </t>
        </is>
      </c>
      <c r="S2767" t="n">
        <v>1</v>
      </c>
      <c r="T2767" t="n">
        <v>1</v>
      </c>
      <c r="U2767" t="inlineStr">
        <is>
          <t>2001-07-16</t>
        </is>
      </c>
      <c r="V2767" t="inlineStr">
        <is>
          <t>2001-07-16</t>
        </is>
      </c>
      <c r="W2767" t="inlineStr">
        <is>
          <t>2001-07-16</t>
        </is>
      </c>
      <c r="X2767" t="inlineStr">
        <is>
          <t>2001-07-16</t>
        </is>
      </c>
      <c r="Y2767" t="n">
        <v>14</v>
      </c>
      <c r="Z2767" t="n">
        <v>14</v>
      </c>
      <c r="AA2767" t="n">
        <v>63</v>
      </c>
      <c r="AB2767" t="n">
        <v>2</v>
      </c>
      <c r="AC2767" t="n">
        <v>3</v>
      </c>
      <c r="AD2767" t="n">
        <v>1</v>
      </c>
      <c r="AE2767" t="n">
        <v>4</v>
      </c>
      <c r="AF2767" t="n">
        <v>0</v>
      </c>
      <c r="AG2767" t="n">
        <v>1</v>
      </c>
      <c r="AH2767" t="n">
        <v>0</v>
      </c>
      <c r="AI2767" t="n">
        <v>1</v>
      </c>
      <c r="AJ2767" t="n">
        <v>0</v>
      </c>
      <c r="AK2767" t="n">
        <v>0</v>
      </c>
      <c r="AL2767" t="n">
        <v>1</v>
      </c>
      <c r="AM2767" t="n">
        <v>2</v>
      </c>
      <c r="AN2767" t="n">
        <v>0</v>
      </c>
      <c r="AO2767" t="n">
        <v>0</v>
      </c>
      <c r="AP2767" t="inlineStr">
        <is>
          <t>No</t>
        </is>
      </c>
      <c r="AQ2767" t="inlineStr">
        <is>
          <t>No</t>
        </is>
      </c>
      <c r="AS2767">
        <f>HYPERLINK("https://creighton-primo.hosted.exlibrisgroup.com/primo-explore/search?tab=default_tab&amp;search_scope=EVERYTHING&amp;vid=01CRU&amp;lang=en_US&amp;offset=0&amp;query=any,contains,991003569669702656","Catalog Record")</f>
        <v/>
      </c>
      <c r="AT2767">
        <f>HYPERLINK("http://www.worldcat.org/oclc/6781381","WorldCat Record")</f>
        <v/>
      </c>
      <c r="AU2767" t="inlineStr">
        <is>
          <t>4535542190:eng</t>
        </is>
      </c>
      <c r="AV2767" t="inlineStr">
        <is>
          <t>6781381</t>
        </is>
      </c>
      <c r="AW2767" t="inlineStr">
        <is>
          <t>991003569669702656</t>
        </is>
      </c>
      <c r="AX2767" t="inlineStr">
        <is>
          <t>991003569669702656</t>
        </is>
      </c>
      <c r="AY2767" t="inlineStr">
        <is>
          <t>2256381190002656</t>
        </is>
      </c>
      <c r="AZ2767" t="inlineStr">
        <is>
          <t>BOOK</t>
        </is>
      </c>
      <c r="BC2767" t="inlineStr">
        <is>
          <t>32285004332762</t>
        </is>
      </c>
      <c r="BD2767" t="inlineStr">
        <is>
          <t>893868573</t>
        </is>
      </c>
    </row>
    <row r="2768">
      <c r="A2768" t="inlineStr">
        <is>
          <t>No</t>
        </is>
      </c>
      <c r="B2768" t="inlineStr">
        <is>
          <t>BX618 .A413</t>
        </is>
      </c>
      <c r="C2768" t="inlineStr">
        <is>
          <t>0                      BX 0618000A  413</t>
        </is>
      </c>
      <c r="D2768" t="inlineStr">
        <is>
          <t>The newer temples of the Greeks / Leo Allatios. Translated, annotated, and with introd. by Anthony Cutler.</t>
        </is>
      </c>
      <c r="F2768" t="inlineStr">
        <is>
          <t>No</t>
        </is>
      </c>
      <c r="G2768" t="inlineStr">
        <is>
          <t>1</t>
        </is>
      </c>
      <c r="H2768" t="inlineStr">
        <is>
          <t>No</t>
        </is>
      </c>
      <c r="I2768" t="inlineStr">
        <is>
          <t>No</t>
        </is>
      </c>
      <c r="J2768" t="inlineStr">
        <is>
          <t>0</t>
        </is>
      </c>
      <c r="K2768" t="inlineStr">
        <is>
          <t>Allacci, Leone, 1586-1669.</t>
        </is>
      </c>
      <c r="L2768" t="inlineStr">
        <is>
          <t>University Park, Pennsylvania State University Press, 1969.</t>
        </is>
      </c>
      <c r="M2768" t="inlineStr">
        <is>
          <t>1969</t>
        </is>
      </c>
      <c r="O2768" t="inlineStr">
        <is>
          <t>eng</t>
        </is>
      </c>
      <c r="P2768" t="inlineStr">
        <is>
          <t>pau</t>
        </is>
      </c>
      <c r="R2768" t="inlineStr">
        <is>
          <t xml:space="preserve">BX </t>
        </is>
      </c>
      <c r="S2768" t="n">
        <v>2</v>
      </c>
      <c r="T2768" t="n">
        <v>2</v>
      </c>
      <c r="U2768" t="inlineStr">
        <is>
          <t>2006-01-11</t>
        </is>
      </c>
      <c r="V2768" t="inlineStr">
        <is>
          <t>2006-01-11</t>
        </is>
      </c>
      <c r="W2768" t="inlineStr">
        <is>
          <t>1992-04-10</t>
        </is>
      </c>
      <c r="X2768" t="inlineStr">
        <is>
          <t>1992-04-10</t>
        </is>
      </c>
      <c r="Y2768" t="n">
        <v>472</v>
      </c>
      <c r="Z2768" t="n">
        <v>408</v>
      </c>
      <c r="AA2768" t="n">
        <v>415</v>
      </c>
      <c r="AB2768" t="n">
        <v>3</v>
      </c>
      <c r="AC2768" t="n">
        <v>3</v>
      </c>
      <c r="AD2768" t="n">
        <v>24</v>
      </c>
      <c r="AE2768" t="n">
        <v>24</v>
      </c>
      <c r="AF2768" t="n">
        <v>10</v>
      </c>
      <c r="AG2768" t="n">
        <v>10</v>
      </c>
      <c r="AH2768" t="n">
        <v>5</v>
      </c>
      <c r="AI2768" t="n">
        <v>5</v>
      </c>
      <c r="AJ2768" t="n">
        <v>15</v>
      </c>
      <c r="AK2768" t="n">
        <v>15</v>
      </c>
      <c r="AL2768" t="n">
        <v>2</v>
      </c>
      <c r="AM2768" t="n">
        <v>2</v>
      </c>
      <c r="AN2768" t="n">
        <v>0</v>
      </c>
      <c r="AO2768" t="n">
        <v>0</v>
      </c>
      <c r="AP2768" t="inlineStr">
        <is>
          <t>No</t>
        </is>
      </c>
      <c r="AQ2768" t="inlineStr">
        <is>
          <t>Yes</t>
        </is>
      </c>
      <c r="AR2768">
        <f>HYPERLINK("http://catalog.hathitrust.org/Record/001415450","HathiTrust Record")</f>
        <v/>
      </c>
      <c r="AS2768">
        <f>HYPERLINK("https://creighton-primo.hosted.exlibrisgroup.com/primo-explore/search?tab=default_tab&amp;search_scope=EVERYTHING&amp;vid=01CRU&amp;lang=en_US&amp;offset=0&amp;query=any,contains,991005431399702656","Catalog Record")</f>
        <v/>
      </c>
      <c r="AT2768">
        <f>HYPERLINK("http://www.worldcat.org/oclc/530","WorldCat Record")</f>
        <v/>
      </c>
      <c r="AU2768" t="inlineStr">
        <is>
          <t>3901300691:eng</t>
        </is>
      </c>
      <c r="AV2768" t="inlineStr">
        <is>
          <t>530</t>
        </is>
      </c>
      <c r="AW2768" t="inlineStr">
        <is>
          <t>991005431399702656</t>
        </is>
      </c>
      <c r="AX2768" t="inlineStr">
        <is>
          <t>991005431399702656</t>
        </is>
      </c>
      <c r="AY2768" t="inlineStr">
        <is>
          <t>2272504840002656</t>
        </is>
      </c>
      <c r="AZ2768" t="inlineStr">
        <is>
          <t>BOOK</t>
        </is>
      </c>
      <c r="BB2768" t="inlineStr">
        <is>
          <t>9780271000763</t>
        </is>
      </c>
      <c r="BC2768" t="inlineStr">
        <is>
          <t>32285001018273</t>
        </is>
      </c>
      <c r="BD2768" t="inlineStr">
        <is>
          <t>893601216</t>
        </is>
      </c>
    </row>
    <row r="2769">
      <c r="A2769" t="inlineStr">
        <is>
          <t>No</t>
        </is>
      </c>
      <c r="B2769" t="inlineStr">
        <is>
          <t>BX6196 .M84 1991</t>
        </is>
      </c>
      <c r="C2769" t="inlineStr">
        <is>
          <t>0                      BX 6196000M  84          1991</t>
        </is>
      </c>
      <c r="D2769" t="inlineStr">
        <is>
          <t>God, creation, and providence in the thought of Jacob Arminius : sources and directions of scholastic Protestantism in the era of early orthodoxy / Richard A. Muller.</t>
        </is>
      </c>
      <c r="F2769" t="inlineStr">
        <is>
          <t>No</t>
        </is>
      </c>
      <c r="G2769" t="inlineStr">
        <is>
          <t>1</t>
        </is>
      </c>
      <c r="H2769" t="inlineStr">
        <is>
          <t>No</t>
        </is>
      </c>
      <c r="I2769" t="inlineStr">
        <is>
          <t>No</t>
        </is>
      </c>
      <c r="J2769" t="inlineStr">
        <is>
          <t>0</t>
        </is>
      </c>
      <c r="K2769" t="inlineStr">
        <is>
          <t>Muller, Richard A. (Richard Alfred), 1948-</t>
        </is>
      </c>
      <c r="L2769" t="inlineStr">
        <is>
          <t>Grand Rapids, Mich. : Baker Book House, c1991.</t>
        </is>
      </c>
      <c r="M2769" t="inlineStr">
        <is>
          <t>1991</t>
        </is>
      </c>
      <c r="O2769" t="inlineStr">
        <is>
          <t>eng</t>
        </is>
      </c>
      <c r="P2769" t="inlineStr">
        <is>
          <t>miu</t>
        </is>
      </c>
      <c r="R2769" t="inlineStr">
        <is>
          <t xml:space="preserve">BX </t>
        </is>
      </c>
      <c r="S2769" t="n">
        <v>0</v>
      </c>
      <c r="T2769" t="n">
        <v>0</v>
      </c>
      <c r="U2769" t="inlineStr">
        <is>
          <t>2008-04-08</t>
        </is>
      </c>
      <c r="V2769" t="inlineStr">
        <is>
          <t>2008-04-08</t>
        </is>
      </c>
      <c r="W2769" t="inlineStr">
        <is>
          <t>1994-02-17</t>
        </is>
      </c>
      <c r="X2769" t="inlineStr">
        <is>
          <t>1994-02-17</t>
        </is>
      </c>
      <c r="Y2769" t="n">
        <v>269</v>
      </c>
      <c r="Z2769" t="n">
        <v>222</v>
      </c>
      <c r="AA2769" t="n">
        <v>224</v>
      </c>
      <c r="AB2769" t="n">
        <v>1</v>
      </c>
      <c r="AC2769" t="n">
        <v>1</v>
      </c>
      <c r="AD2769" t="n">
        <v>11</v>
      </c>
      <c r="AE2769" t="n">
        <v>11</v>
      </c>
      <c r="AF2769" t="n">
        <v>5</v>
      </c>
      <c r="AG2769" t="n">
        <v>5</v>
      </c>
      <c r="AH2769" t="n">
        <v>2</v>
      </c>
      <c r="AI2769" t="n">
        <v>2</v>
      </c>
      <c r="AJ2769" t="n">
        <v>7</v>
      </c>
      <c r="AK2769" t="n">
        <v>7</v>
      </c>
      <c r="AL2769" t="n">
        <v>0</v>
      </c>
      <c r="AM2769" t="n">
        <v>0</v>
      </c>
      <c r="AN2769" t="n">
        <v>0</v>
      </c>
      <c r="AO2769" t="n">
        <v>0</v>
      </c>
      <c r="AP2769" t="inlineStr">
        <is>
          <t>No</t>
        </is>
      </c>
      <c r="AQ2769" t="inlineStr">
        <is>
          <t>Yes</t>
        </is>
      </c>
      <c r="AR2769">
        <f>HYPERLINK("http://catalog.hathitrust.org/Record/002455337","HathiTrust Record")</f>
        <v/>
      </c>
      <c r="AS2769">
        <f>HYPERLINK("https://creighton-primo.hosted.exlibrisgroup.com/primo-explore/search?tab=default_tab&amp;search_scope=EVERYTHING&amp;vid=01CRU&amp;lang=en_US&amp;offset=0&amp;query=any,contains,991001832439702656","Catalog Record")</f>
        <v/>
      </c>
      <c r="AT2769">
        <f>HYPERLINK("http://www.worldcat.org/oclc/23016927","WorldCat Record")</f>
        <v/>
      </c>
      <c r="AU2769" t="inlineStr">
        <is>
          <t>372772144:eng</t>
        </is>
      </c>
      <c r="AV2769" t="inlineStr">
        <is>
          <t>23016927</t>
        </is>
      </c>
      <c r="AW2769" t="inlineStr">
        <is>
          <t>991001832439702656</t>
        </is>
      </c>
      <c r="AX2769" t="inlineStr">
        <is>
          <t>991001832439702656</t>
        </is>
      </c>
      <c r="AY2769" t="inlineStr">
        <is>
          <t>2264548480002656</t>
        </is>
      </c>
      <c r="AZ2769" t="inlineStr">
        <is>
          <t>BOOK</t>
        </is>
      </c>
      <c r="BB2769" t="inlineStr">
        <is>
          <t>9780801062797</t>
        </is>
      </c>
      <c r="BC2769" t="inlineStr">
        <is>
          <t>32285001843019</t>
        </is>
      </c>
      <c r="BD2769" t="inlineStr">
        <is>
          <t>893444822</t>
        </is>
      </c>
    </row>
    <row r="2770">
      <c r="A2770" t="inlineStr">
        <is>
          <t>No</t>
        </is>
      </c>
      <c r="B2770" t="inlineStr">
        <is>
          <t>BX6207.A36 H3 1971</t>
        </is>
      </c>
      <c r="C2770" t="inlineStr">
        <is>
          <t>0                      BX 6207000A  36                 H  3           1971</t>
        </is>
      </c>
      <c r="D2770" t="inlineStr">
        <is>
          <t>Authority and power in the free church tradition : a social case study of the American Baptist Convention / by Paul M. Harrison.</t>
        </is>
      </c>
      <c r="F2770" t="inlineStr">
        <is>
          <t>No</t>
        </is>
      </c>
      <c r="G2770" t="inlineStr">
        <is>
          <t>1</t>
        </is>
      </c>
      <c r="H2770" t="inlineStr">
        <is>
          <t>No</t>
        </is>
      </c>
      <c r="I2770" t="inlineStr">
        <is>
          <t>No</t>
        </is>
      </c>
      <c r="J2770" t="inlineStr">
        <is>
          <t>0</t>
        </is>
      </c>
      <c r="K2770" t="inlineStr">
        <is>
          <t>Harrison, Paul M. (Paul Mansfield)</t>
        </is>
      </c>
      <c r="L2770" t="inlineStr">
        <is>
          <t>Carbondale : Southern Illinois University Press, c[1959]</t>
        </is>
      </c>
      <c r="M2770" t="inlineStr">
        <is>
          <t>1959</t>
        </is>
      </c>
      <c r="O2770" t="inlineStr">
        <is>
          <t>eng</t>
        </is>
      </c>
      <c r="P2770" t="inlineStr">
        <is>
          <t>ilu</t>
        </is>
      </c>
      <c r="R2770" t="inlineStr">
        <is>
          <t xml:space="preserve">BX </t>
        </is>
      </c>
      <c r="S2770" t="n">
        <v>6</v>
      </c>
      <c r="T2770" t="n">
        <v>6</v>
      </c>
      <c r="U2770" t="inlineStr">
        <is>
          <t>2010-03-04</t>
        </is>
      </c>
      <c r="V2770" t="inlineStr">
        <is>
          <t>2010-03-04</t>
        </is>
      </c>
      <c r="W2770" t="inlineStr">
        <is>
          <t>1992-05-08</t>
        </is>
      </c>
      <c r="X2770" t="inlineStr">
        <is>
          <t>1992-05-08</t>
        </is>
      </c>
      <c r="Y2770" t="n">
        <v>22</v>
      </c>
      <c r="Z2770" t="n">
        <v>20</v>
      </c>
      <c r="AA2770" t="n">
        <v>602</v>
      </c>
      <c r="AB2770" t="n">
        <v>1</v>
      </c>
      <c r="AC2770" t="n">
        <v>4</v>
      </c>
      <c r="AD2770" t="n">
        <v>0</v>
      </c>
      <c r="AE2770" t="n">
        <v>33</v>
      </c>
      <c r="AF2770" t="n">
        <v>0</v>
      </c>
      <c r="AG2770" t="n">
        <v>16</v>
      </c>
      <c r="AH2770" t="n">
        <v>0</v>
      </c>
      <c r="AI2770" t="n">
        <v>5</v>
      </c>
      <c r="AJ2770" t="n">
        <v>0</v>
      </c>
      <c r="AK2770" t="n">
        <v>20</v>
      </c>
      <c r="AL2770" t="n">
        <v>0</v>
      </c>
      <c r="AM2770" t="n">
        <v>3</v>
      </c>
      <c r="AN2770" t="n">
        <v>0</v>
      </c>
      <c r="AO2770" t="n">
        <v>0</v>
      </c>
      <c r="AP2770" t="inlineStr">
        <is>
          <t>No</t>
        </is>
      </c>
      <c r="AQ2770" t="inlineStr">
        <is>
          <t>No</t>
        </is>
      </c>
      <c r="AS2770">
        <f>HYPERLINK("https://creighton-primo.hosted.exlibrisgroup.com/primo-explore/search?tab=default_tab&amp;search_scope=EVERYTHING&amp;vid=01CRU&amp;lang=en_US&amp;offset=0&amp;query=any,contains,991000819219702656","Catalog Record")</f>
        <v/>
      </c>
      <c r="AT2770">
        <f>HYPERLINK("http://www.worldcat.org/oclc/13377965","WorldCat Record")</f>
        <v/>
      </c>
      <c r="AU2770" t="inlineStr">
        <is>
          <t>579538:eng</t>
        </is>
      </c>
      <c r="AV2770" t="inlineStr">
        <is>
          <t>13377965</t>
        </is>
      </c>
      <c r="AW2770" t="inlineStr">
        <is>
          <t>991000819219702656</t>
        </is>
      </c>
      <c r="AX2770" t="inlineStr">
        <is>
          <t>991000819219702656</t>
        </is>
      </c>
      <c r="AY2770" t="inlineStr">
        <is>
          <t>2262863590002656</t>
        </is>
      </c>
      <c r="AZ2770" t="inlineStr">
        <is>
          <t>BOOK</t>
        </is>
      </c>
      <c r="BC2770" t="inlineStr">
        <is>
          <t>32285001122562</t>
        </is>
      </c>
      <c r="BD2770" t="inlineStr">
        <is>
          <t>893509137</t>
        </is>
      </c>
    </row>
    <row r="2771">
      <c r="A2771" t="inlineStr">
        <is>
          <t>No</t>
        </is>
      </c>
      <c r="B2771" t="inlineStr">
        <is>
          <t>BX6207.S68 T47 1982</t>
        </is>
      </c>
      <c r="C2771" t="inlineStr">
        <is>
          <t>0                      BX 6207000S  68                 T  47          1982</t>
        </is>
      </c>
      <c r="D2771" t="inlineStr">
        <is>
          <t>Tried as by fire : Southern Baptists and the religious controversies of the 1920s / James J. Thompson, Jr.</t>
        </is>
      </c>
      <c r="F2771" t="inlineStr">
        <is>
          <t>No</t>
        </is>
      </c>
      <c r="G2771" t="inlineStr">
        <is>
          <t>1</t>
        </is>
      </c>
      <c r="H2771" t="inlineStr">
        <is>
          <t>No</t>
        </is>
      </c>
      <c r="I2771" t="inlineStr">
        <is>
          <t>No</t>
        </is>
      </c>
      <c r="J2771" t="inlineStr">
        <is>
          <t>0</t>
        </is>
      </c>
      <c r="K2771" t="inlineStr">
        <is>
          <t>Thompson, James J., 1944-</t>
        </is>
      </c>
      <c r="L2771" t="inlineStr">
        <is>
          <t>Macon, GA : Mercer University Press, c1982.</t>
        </is>
      </c>
      <c r="M2771" t="inlineStr">
        <is>
          <t>1982</t>
        </is>
      </c>
      <c r="O2771" t="inlineStr">
        <is>
          <t>eng</t>
        </is>
      </c>
      <c r="P2771" t="inlineStr">
        <is>
          <t>gau</t>
        </is>
      </c>
      <c r="R2771" t="inlineStr">
        <is>
          <t xml:space="preserve">BX </t>
        </is>
      </c>
      <c r="S2771" t="n">
        <v>1</v>
      </c>
      <c r="T2771" t="n">
        <v>1</v>
      </c>
      <c r="U2771" t="inlineStr">
        <is>
          <t>1994-09-27</t>
        </is>
      </c>
      <c r="V2771" t="inlineStr">
        <is>
          <t>1994-09-27</t>
        </is>
      </c>
      <c r="W2771" t="inlineStr">
        <is>
          <t>1992-05-04</t>
        </is>
      </c>
      <c r="X2771" t="inlineStr">
        <is>
          <t>1992-05-04</t>
        </is>
      </c>
      <c r="Y2771" t="n">
        <v>476</v>
      </c>
      <c r="Z2771" t="n">
        <v>441</v>
      </c>
      <c r="AA2771" t="n">
        <v>448</v>
      </c>
      <c r="AB2771" t="n">
        <v>3</v>
      </c>
      <c r="AC2771" t="n">
        <v>3</v>
      </c>
      <c r="AD2771" t="n">
        <v>13</v>
      </c>
      <c r="AE2771" t="n">
        <v>13</v>
      </c>
      <c r="AF2771" t="n">
        <v>6</v>
      </c>
      <c r="AG2771" t="n">
        <v>6</v>
      </c>
      <c r="AH2771" t="n">
        <v>1</v>
      </c>
      <c r="AI2771" t="n">
        <v>1</v>
      </c>
      <c r="AJ2771" t="n">
        <v>7</v>
      </c>
      <c r="AK2771" t="n">
        <v>7</v>
      </c>
      <c r="AL2771" t="n">
        <v>2</v>
      </c>
      <c r="AM2771" t="n">
        <v>2</v>
      </c>
      <c r="AN2771" t="n">
        <v>0</v>
      </c>
      <c r="AO2771" t="n">
        <v>0</v>
      </c>
      <c r="AP2771" t="inlineStr">
        <is>
          <t>No</t>
        </is>
      </c>
      <c r="AQ2771" t="inlineStr">
        <is>
          <t>Yes</t>
        </is>
      </c>
      <c r="AR2771">
        <f>HYPERLINK("http://catalog.hathitrust.org/Record/000146890","HathiTrust Record")</f>
        <v/>
      </c>
      <c r="AS2771">
        <f>HYPERLINK("https://creighton-primo.hosted.exlibrisgroup.com/primo-explore/search?tab=default_tab&amp;search_scope=EVERYTHING&amp;vid=01CRU&amp;lang=en_US&amp;offset=0&amp;query=any,contains,991005248069702656","Catalog Record")</f>
        <v/>
      </c>
      <c r="AT2771">
        <f>HYPERLINK("http://www.worldcat.org/oclc/8475062","WorldCat Record")</f>
        <v/>
      </c>
      <c r="AU2771" t="inlineStr">
        <is>
          <t>428923752:eng</t>
        </is>
      </c>
      <c r="AV2771" t="inlineStr">
        <is>
          <t>8475062</t>
        </is>
      </c>
      <c r="AW2771" t="inlineStr">
        <is>
          <t>991005248069702656</t>
        </is>
      </c>
      <c r="AX2771" t="inlineStr">
        <is>
          <t>991005248069702656</t>
        </is>
      </c>
      <c r="AY2771" t="inlineStr">
        <is>
          <t>2259399870002656</t>
        </is>
      </c>
      <c r="AZ2771" t="inlineStr">
        <is>
          <t>BOOK</t>
        </is>
      </c>
      <c r="BB2771" t="inlineStr">
        <is>
          <t>9780865540323</t>
        </is>
      </c>
      <c r="BC2771" t="inlineStr">
        <is>
          <t>32285001092419</t>
        </is>
      </c>
      <c r="BD2771" t="inlineStr">
        <is>
          <t>893688833</t>
        </is>
      </c>
    </row>
    <row r="2772">
      <c r="A2772" t="inlineStr">
        <is>
          <t>No</t>
        </is>
      </c>
      <c r="B2772" t="inlineStr">
        <is>
          <t>BX6217 .B25 1968</t>
        </is>
      </c>
      <c r="C2772" t="inlineStr">
        <is>
          <t>0                      BX 6217000B  25          1968</t>
        </is>
      </c>
      <c r="D2772" t="inlineStr">
        <is>
          <t>Isaac Backus on church, state, and Calvinism : pamphlets, 1754-1789 / edited by William G. McLoughlin.</t>
        </is>
      </c>
      <c r="F2772" t="inlineStr">
        <is>
          <t>No</t>
        </is>
      </c>
      <c r="G2772" t="inlineStr">
        <is>
          <t>1</t>
        </is>
      </c>
      <c r="H2772" t="inlineStr">
        <is>
          <t>No</t>
        </is>
      </c>
      <c r="I2772" t="inlineStr">
        <is>
          <t>No</t>
        </is>
      </c>
      <c r="J2772" t="inlineStr">
        <is>
          <t>0</t>
        </is>
      </c>
      <c r="K2772" t="inlineStr">
        <is>
          <t>Backus, Isaac, 1724-1806.</t>
        </is>
      </c>
      <c r="L2772" t="inlineStr">
        <is>
          <t>Cambridge, Mass. : Belknap Press of Harvard University Press, 1968.</t>
        </is>
      </c>
      <c r="M2772" t="inlineStr">
        <is>
          <t>1968</t>
        </is>
      </c>
      <c r="O2772" t="inlineStr">
        <is>
          <t>eng</t>
        </is>
      </c>
      <c r="P2772" t="inlineStr">
        <is>
          <t>mau</t>
        </is>
      </c>
      <c r="Q2772" t="inlineStr">
        <is>
          <t>The John Harvard library</t>
        </is>
      </c>
      <c r="R2772" t="inlineStr">
        <is>
          <t xml:space="preserve">BX </t>
        </is>
      </c>
      <c r="S2772" t="n">
        <v>2</v>
      </c>
      <c r="T2772" t="n">
        <v>2</v>
      </c>
      <c r="U2772" t="inlineStr">
        <is>
          <t>2000-08-23</t>
        </is>
      </c>
      <c r="V2772" t="inlineStr">
        <is>
          <t>2000-08-23</t>
        </is>
      </c>
      <c r="W2772" t="inlineStr">
        <is>
          <t>2000-08-21</t>
        </is>
      </c>
      <c r="X2772" t="inlineStr">
        <is>
          <t>2000-08-21</t>
        </is>
      </c>
      <c r="Y2772" t="n">
        <v>777</v>
      </c>
      <c r="Z2772" t="n">
        <v>709</v>
      </c>
      <c r="AA2772" t="n">
        <v>720</v>
      </c>
      <c r="AB2772" t="n">
        <v>4</v>
      </c>
      <c r="AC2772" t="n">
        <v>4</v>
      </c>
      <c r="AD2772" t="n">
        <v>35</v>
      </c>
      <c r="AE2772" t="n">
        <v>35</v>
      </c>
      <c r="AF2772" t="n">
        <v>14</v>
      </c>
      <c r="AG2772" t="n">
        <v>14</v>
      </c>
      <c r="AH2772" t="n">
        <v>8</v>
      </c>
      <c r="AI2772" t="n">
        <v>8</v>
      </c>
      <c r="AJ2772" t="n">
        <v>18</v>
      </c>
      <c r="AK2772" t="n">
        <v>18</v>
      </c>
      <c r="AL2772" t="n">
        <v>3</v>
      </c>
      <c r="AM2772" t="n">
        <v>3</v>
      </c>
      <c r="AN2772" t="n">
        <v>1</v>
      </c>
      <c r="AO2772" t="n">
        <v>1</v>
      </c>
      <c r="AP2772" t="inlineStr">
        <is>
          <t>No</t>
        </is>
      </c>
      <c r="AQ2772" t="inlineStr">
        <is>
          <t>Yes</t>
        </is>
      </c>
      <c r="AR2772">
        <f>HYPERLINK("http://catalog.hathitrust.org/Record/001593258","HathiTrust Record")</f>
        <v/>
      </c>
      <c r="AS2772">
        <f>HYPERLINK("https://creighton-primo.hosted.exlibrisgroup.com/primo-explore/search?tab=default_tab&amp;search_scope=EVERYTHING&amp;vid=01CRU&amp;lang=en_US&amp;offset=0&amp;query=any,contains,991003269709702656","Catalog Record")</f>
        <v/>
      </c>
      <c r="AT2772">
        <f>HYPERLINK("http://www.worldcat.org/oclc/386591","WorldCat Record")</f>
        <v/>
      </c>
      <c r="AU2772" t="inlineStr">
        <is>
          <t>836712415:eng</t>
        </is>
      </c>
      <c r="AV2772" t="inlineStr">
        <is>
          <t>386591</t>
        </is>
      </c>
      <c r="AW2772" t="inlineStr">
        <is>
          <t>991003269709702656</t>
        </is>
      </c>
      <c r="AX2772" t="inlineStr">
        <is>
          <t>991003269709702656</t>
        </is>
      </c>
      <c r="AY2772" t="inlineStr">
        <is>
          <t>2259528200002656</t>
        </is>
      </c>
      <c r="AZ2772" t="inlineStr">
        <is>
          <t>BOOK</t>
        </is>
      </c>
      <c r="BC2772" t="inlineStr">
        <is>
          <t>32285003758066</t>
        </is>
      </c>
      <c r="BD2772" t="inlineStr">
        <is>
          <t>893887303</t>
        </is>
      </c>
    </row>
    <row r="2773">
      <c r="A2773" t="inlineStr">
        <is>
          <t>No</t>
        </is>
      </c>
      <c r="B2773" t="inlineStr">
        <is>
          <t>BX6235 .S8 1964</t>
        </is>
      </c>
      <c r="C2773" t="inlineStr">
        <is>
          <t>0                      BX 6235000S  8           1964</t>
        </is>
      </c>
      <c r="D2773" t="inlineStr">
        <is>
          <t>The Baptists : a collection of source material / by William Warren Sweet. General introd. by Shirley Jackson Case.</t>
        </is>
      </c>
      <c r="F2773" t="inlineStr">
        <is>
          <t>No</t>
        </is>
      </c>
      <c r="G2773" t="inlineStr">
        <is>
          <t>1</t>
        </is>
      </c>
      <c r="H2773" t="inlineStr">
        <is>
          <t>No</t>
        </is>
      </c>
      <c r="I2773" t="inlineStr">
        <is>
          <t>No</t>
        </is>
      </c>
      <c r="J2773" t="inlineStr">
        <is>
          <t>0</t>
        </is>
      </c>
      <c r="K2773" t="inlineStr">
        <is>
          <t>Sweet, William Warren, 1881-1959 editor.</t>
        </is>
      </c>
      <c r="L2773" t="inlineStr">
        <is>
          <t>New York : Cooper Square Publishers, 1964.</t>
        </is>
      </c>
      <c r="M2773" t="inlineStr">
        <is>
          <t>1964</t>
        </is>
      </c>
      <c r="O2773" t="inlineStr">
        <is>
          <t>eng</t>
        </is>
      </c>
      <c r="P2773" t="inlineStr">
        <is>
          <t>nyu</t>
        </is>
      </c>
      <c r="Q2773" t="inlineStr">
        <is>
          <t>His Religion on the American frontier, 1783-1830, v. 1</t>
        </is>
      </c>
      <c r="R2773" t="inlineStr">
        <is>
          <t xml:space="preserve">BX </t>
        </is>
      </c>
      <c r="S2773" t="n">
        <v>2</v>
      </c>
      <c r="T2773" t="n">
        <v>2</v>
      </c>
      <c r="U2773" t="inlineStr">
        <is>
          <t>2002-04-29</t>
        </is>
      </c>
      <c r="V2773" t="inlineStr">
        <is>
          <t>2002-04-29</t>
        </is>
      </c>
      <c r="W2773" t="inlineStr">
        <is>
          <t>1992-05-08</t>
        </is>
      </c>
      <c r="X2773" t="inlineStr">
        <is>
          <t>1992-05-08</t>
        </is>
      </c>
      <c r="Y2773" t="n">
        <v>489</v>
      </c>
      <c r="Z2773" t="n">
        <v>464</v>
      </c>
      <c r="AA2773" t="n">
        <v>471</v>
      </c>
      <c r="AB2773" t="n">
        <v>6</v>
      </c>
      <c r="AC2773" t="n">
        <v>6</v>
      </c>
      <c r="AD2773" t="n">
        <v>21</v>
      </c>
      <c r="AE2773" t="n">
        <v>21</v>
      </c>
      <c r="AF2773" t="n">
        <v>8</v>
      </c>
      <c r="AG2773" t="n">
        <v>8</v>
      </c>
      <c r="AH2773" t="n">
        <v>2</v>
      </c>
      <c r="AI2773" t="n">
        <v>2</v>
      </c>
      <c r="AJ2773" t="n">
        <v>11</v>
      </c>
      <c r="AK2773" t="n">
        <v>11</v>
      </c>
      <c r="AL2773" t="n">
        <v>4</v>
      </c>
      <c r="AM2773" t="n">
        <v>4</v>
      </c>
      <c r="AN2773" t="n">
        <v>0</v>
      </c>
      <c r="AO2773" t="n">
        <v>0</v>
      </c>
      <c r="AP2773" t="inlineStr">
        <is>
          <t>No</t>
        </is>
      </c>
      <c r="AQ2773" t="inlineStr">
        <is>
          <t>No</t>
        </is>
      </c>
      <c r="AS2773">
        <f>HYPERLINK("https://creighton-primo.hosted.exlibrisgroup.com/primo-explore/search?tab=default_tab&amp;search_scope=EVERYTHING&amp;vid=01CRU&amp;lang=en_US&amp;offset=0&amp;query=any,contains,991002644219702656","Catalog Record")</f>
        <v/>
      </c>
      <c r="AT2773">
        <f>HYPERLINK("http://www.worldcat.org/oclc/385254","WorldCat Record")</f>
        <v/>
      </c>
      <c r="AU2773" t="inlineStr">
        <is>
          <t>3901647572:eng</t>
        </is>
      </c>
      <c r="AV2773" t="inlineStr">
        <is>
          <t>385254</t>
        </is>
      </c>
      <c r="AW2773" t="inlineStr">
        <is>
          <t>991002644219702656</t>
        </is>
      </c>
      <c r="AX2773" t="inlineStr">
        <is>
          <t>991002644219702656</t>
        </is>
      </c>
      <c r="AY2773" t="inlineStr">
        <is>
          <t>2258928090002656</t>
        </is>
      </c>
      <c r="AZ2773" t="inlineStr">
        <is>
          <t>BOOK</t>
        </is>
      </c>
      <c r="BC2773" t="inlineStr">
        <is>
          <t>32285001122596</t>
        </is>
      </c>
      <c r="BD2773" t="inlineStr">
        <is>
          <t>893886526</t>
        </is>
      </c>
    </row>
    <row r="2774">
      <c r="A2774" t="inlineStr">
        <is>
          <t>No</t>
        </is>
      </c>
      <c r="B2774" t="inlineStr">
        <is>
          <t>BX6237 .D38</t>
        </is>
      </c>
      <c r="C2774" t="inlineStr">
        <is>
          <t>0                      BX 6237000D  38</t>
        </is>
      </c>
      <c r="D2774" t="inlineStr">
        <is>
          <t>Immigrants, Baptists, and the Protestant mind in America / [by] Lawrence B. Davis.</t>
        </is>
      </c>
      <c r="F2774" t="inlineStr">
        <is>
          <t>No</t>
        </is>
      </c>
      <c r="G2774" t="inlineStr">
        <is>
          <t>1</t>
        </is>
      </c>
      <c r="H2774" t="inlineStr">
        <is>
          <t>No</t>
        </is>
      </c>
      <c r="I2774" t="inlineStr">
        <is>
          <t>No</t>
        </is>
      </c>
      <c r="J2774" t="inlineStr">
        <is>
          <t>0</t>
        </is>
      </c>
      <c r="K2774" t="inlineStr">
        <is>
          <t>Davis, Lawrence B.</t>
        </is>
      </c>
      <c r="L2774" t="inlineStr">
        <is>
          <t>Urbana : University of Illinois Press, [1973]</t>
        </is>
      </c>
      <c r="M2774" t="inlineStr">
        <is>
          <t>1973</t>
        </is>
      </c>
      <c r="O2774" t="inlineStr">
        <is>
          <t>eng</t>
        </is>
      </c>
      <c r="P2774" t="inlineStr">
        <is>
          <t>ilu</t>
        </is>
      </c>
      <c r="R2774" t="inlineStr">
        <is>
          <t xml:space="preserve">BX </t>
        </is>
      </c>
      <c r="S2774" t="n">
        <v>2</v>
      </c>
      <c r="T2774" t="n">
        <v>2</v>
      </c>
      <c r="U2774" t="inlineStr">
        <is>
          <t>2003-12-15</t>
        </is>
      </c>
      <c r="V2774" t="inlineStr">
        <is>
          <t>2003-12-15</t>
        </is>
      </c>
      <c r="W2774" t="inlineStr">
        <is>
          <t>1992-05-08</t>
        </is>
      </c>
      <c r="X2774" t="inlineStr">
        <is>
          <t>1992-05-08</t>
        </is>
      </c>
      <c r="Y2774" t="n">
        <v>684</v>
      </c>
      <c r="Z2774" t="n">
        <v>607</v>
      </c>
      <c r="AA2774" t="n">
        <v>614</v>
      </c>
      <c r="AB2774" t="n">
        <v>5</v>
      </c>
      <c r="AC2774" t="n">
        <v>5</v>
      </c>
      <c r="AD2774" t="n">
        <v>29</v>
      </c>
      <c r="AE2774" t="n">
        <v>29</v>
      </c>
      <c r="AF2774" t="n">
        <v>13</v>
      </c>
      <c r="AG2774" t="n">
        <v>13</v>
      </c>
      <c r="AH2774" t="n">
        <v>6</v>
      </c>
      <c r="AI2774" t="n">
        <v>6</v>
      </c>
      <c r="AJ2774" t="n">
        <v>14</v>
      </c>
      <c r="AK2774" t="n">
        <v>14</v>
      </c>
      <c r="AL2774" t="n">
        <v>3</v>
      </c>
      <c r="AM2774" t="n">
        <v>3</v>
      </c>
      <c r="AN2774" t="n">
        <v>0</v>
      </c>
      <c r="AO2774" t="n">
        <v>0</v>
      </c>
      <c r="AP2774" t="inlineStr">
        <is>
          <t>No</t>
        </is>
      </c>
      <c r="AQ2774" t="inlineStr">
        <is>
          <t>Yes</t>
        </is>
      </c>
      <c r="AR2774">
        <f>HYPERLINK("http://catalog.hathitrust.org/Record/007473900","HathiTrust Record")</f>
        <v/>
      </c>
      <c r="AS2774">
        <f>HYPERLINK("https://creighton-primo.hosted.exlibrisgroup.com/primo-explore/search?tab=default_tab&amp;search_scope=EVERYTHING&amp;vid=01CRU&amp;lang=en_US&amp;offset=0&amp;query=any,contains,991003079359702656","Catalog Record")</f>
        <v/>
      </c>
      <c r="AT2774">
        <f>HYPERLINK("http://www.worldcat.org/oclc/631966","WorldCat Record")</f>
        <v/>
      </c>
      <c r="AU2774" t="inlineStr">
        <is>
          <t>1744550:eng</t>
        </is>
      </c>
      <c r="AV2774" t="inlineStr">
        <is>
          <t>631966</t>
        </is>
      </c>
      <c r="AW2774" t="inlineStr">
        <is>
          <t>991003079359702656</t>
        </is>
      </c>
      <c r="AX2774" t="inlineStr">
        <is>
          <t>991003079359702656</t>
        </is>
      </c>
      <c r="AY2774" t="inlineStr">
        <is>
          <t>2263172740002656</t>
        </is>
      </c>
      <c r="AZ2774" t="inlineStr">
        <is>
          <t>BOOK</t>
        </is>
      </c>
      <c r="BB2774" t="inlineStr">
        <is>
          <t>9780252002472</t>
        </is>
      </c>
      <c r="BC2774" t="inlineStr">
        <is>
          <t>32285001122604</t>
        </is>
      </c>
      <c r="BD2774" t="inlineStr">
        <is>
          <t>893698649</t>
        </is>
      </c>
    </row>
    <row r="2775">
      <c r="A2775" t="inlineStr">
        <is>
          <t>No</t>
        </is>
      </c>
      <c r="B2775" t="inlineStr">
        <is>
          <t>BX6239 .M25</t>
        </is>
      </c>
      <c r="C2775" t="inlineStr">
        <is>
          <t>0                      BX 6239000M  25</t>
        </is>
      </c>
      <c r="D2775" t="inlineStr">
        <is>
          <t>New England dissent, 1630-1833 : the Baptists and the separation of church and state / [by] William G. McLoughlin.</t>
        </is>
      </c>
      <c r="F2775" t="inlineStr">
        <is>
          <t>Yes</t>
        </is>
      </c>
      <c r="G2775" t="inlineStr">
        <is>
          <t>1</t>
        </is>
      </c>
      <c r="H2775" t="inlineStr">
        <is>
          <t>Yes</t>
        </is>
      </c>
      <c r="I2775" t="inlineStr">
        <is>
          <t>No</t>
        </is>
      </c>
      <c r="J2775" t="inlineStr">
        <is>
          <t>0</t>
        </is>
      </c>
      <c r="K2775" t="inlineStr">
        <is>
          <t>McLoughlin, William G. (William Gerald), 1922-1992.</t>
        </is>
      </c>
      <c r="L2775" t="inlineStr">
        <is>
          <t>Cambridge, Mass. : Harvard University Press, 1971.</t>
        </is>
      </c>
      <c r="M2775" t="inlineStr">
        <is>
          <t>1971</t>
        </is>
      </c>
      <c r="O2775" t="inlineStr">
        <is>
          <t>eng</t>
        </is>
      </c>
      <c r="P2775" t="inlineStr">
        <is>
          <t>mau</t>
        </is>
      </c>
      <c r="R2775" t="inlineStr">
        <is>
          <t xml:space="preserve">BX </t>
        </is>
      </c>
      <c r="S2775" t="n">
        <v>4</v>
      </c>
      <c r="T2775" t="n">
        <v>7</v>
      </c>
      <c r="U2775" t="inlineStr">
        <is>
          <t>2005-03-18</t>
        </is>
      </c>
      <c r="V2775" t="inlineStr">
        <is>
          <t>2005-03-18</t>
        </is>
      </c>
      <c r="W2775" t="inlineStr">
        <is>
          <t>1992-05-08</t>
        </is>
      </c>
      <c r="X2775" t="inlineStr">
        <is>
          <t>1992-05-08</t>
        </is>
      </c>
      <c r="Y2775" t="n">
        <v>914</v>
      </c>
      <c r="Z2775" t="n">
        <v>823</v>
      </c>
      <c r="AA2775" t="n">
        <v>831</v>
      </c>
      <c r="AB2775" t="n">
        <v>6</v>
      </c>
      <c r="AC2775" t="n">
        <v>6</v>
      </c>
      <c r="AD2775" t="n">
        <v>41</v>
      </c>
      <c r="AE2775" t="n">
        <v>41</v>
      </c>
      <c r="AF2775" t="n">
        <v>18</v>
      </c>
      <c r="AG2775" t="n">
        <v>18</v>
      </c>
      <c r="AH2775" t="n">
        <v>8</v>
      </c>
      <c r="AI2775" t="n">
        <v>8</v>
      </c>
      <c r="AJ2775" t="n">
        <v>19</v>
      </c>
      <c r="AK2775" t="n">
        <v>19</v>
      </c>
      <c r="AL2775" t="n">
        <v>5</v>
      </c>
      <c r="AM2775" t="n">
        <v>5</v>
      </c>
      <c r="AN2775" t="n">
        <v>1</v>
      </c>
      <c r="AO2775" t="n">
        <v>1</v>
      </c>
      <c r="AP2775" t="inlineStr">
        <is>
          <t>No</t>
        </is>
      </c>
      <c r="AQ2775" t="inlineStr">
        <is>
          <t>Yes</t>
        </is>
      </c>
      <c r="AR2775">
        <f>HYPERLINK("http://catalog.hathitrust.org/Record/001593265","HathiTrust Record")</f>
        <v/>
      </c>
      <c r="AS2775">
        <f>HYPERLINK("https://creighton-primo.hosted.exlibrisgroup.com/primo-explore/search?tab=default_tab&amp;search_scope=EVERYTHING&amp;vid=01CRU&amp;lang=en_US&amp;offset=0&amp;query=any,contains,991000733919702656","Catalog Record")</f>
        <v/>
      </c>
      <c r="AT2775">
        <f>HYPERLINK("http://www.worldcat.org/oclc/128483","WorldCat Record")</f>
        <v/>
      </c>
      <c r="AU2775" t="inlineStr">
        <is>
          <t>1258127:eng</t>
        </is>
      </c>
      <c r="AV2775" t="inlineStr">
        <is>
          <t>128483</t>
        </is>
      </c>
      <c r="AW2775" t="inlineStr">
        <is>
          <t>991000733919702656</t>
        </is>
      </c>
      <c r="AX2775" t="inlineStr">
        <is>
          <t>991000733919702656</t>
        </is>
      </c>
      <c r="AY2775" t="inlineStr">
        <is>
          <t>2261621970002656</t>
        </is>
      </c>
      <c r="AZ2775" t="inlineStr">
        <is>
          <t>BOOK</t>
        </is>
      </c>
      <c r="BB2775" t="inlineStr">
        <is>
          <t>9780674611757</t>
        </is>
      </c>
      <c r="BC2775" t="inlineStr">
        <is>
          <t>32285001122612</t>
        </is>
      </c>
      <c r="BD2775" t="inlineStr">
        <is>
          <t>893884708</t>
        </is>
      </c>
    </row>
    <row r="2776">
      <c r="A2776" t="inlineStr">
        <is>
          <t>No</t>
        </is>
      </c>
      <c r="B2776" t="inlineStr">
        <is>
          <t>BX6239 .M25 V.2</t>
        </is>
      </c>
      <c r="C2776" t="inlineStr">
        <is>
          <t>0                      BX 6239000M  25                                                      V.2</t>
        </is>
      </c>
      <c r="D2776" t="inlineStr">
        <is>
          <t>New England dissent, 1630-1833 : the Baptists and the separation of church and state / [by] William G. McLoughlin.</t>
        </is>
      </c>
      <c r="E2776" t="inlineStr">
        <is>
          <t>V.2*</t>
        </is>
      </c>
      <c r="F2776" t="inlineStr">
        <is>
          <t>Yes</t>
        </is>
      </c>
      <c r="G2776" t="inlineStr">
        <is>
          <t>1</t>
        </is>
      </c>
      <c r="H2776" t="inlineStr">
        <is>
          <t>No</t>
        </is>
      </c>
      <c r="I2776" t="inlineStr">
        <is>
          <t>No</t>
        </is>
      </c>
      <c r="J2776" t="inlineStr">
        <is>
          <t>0</t>
        </is>
      </c>
      <c r="K2776" t="inlineStr">
        <is>
          <t>McLoughlin, William G. (William Gerald), 1922-1992.</t>
        </is>
      </c>
      <c r="L2776" t="inlineStr">
        <is>
          <t>Cambridge, Mass. : Harvard University Press, 1971.</t>
        </is>
      </c>
      <c r="M2776" t="inlineStr">
        <is>
          <t>1971</t>
        </is>
      </c>
      <c r="O2776" t="inlineStr">
        <is>
          <t>eng</t>
        </is>
      </c>
      <c r="P2776" t="inlineStr">
        <is>
          <t>mau</t>
        </is>
      </c>
      <c r="R2776" t="inlineStr">
        <is>
          <t xml:space="preserve">BX </t>
        </is>
      </c>
      <c r="S2776" t="n">
        <v>3</v>
      </c>
      <c r="T2776" t="n">
        <v>7</v>
      </c>
      <c r="U2776" t="inlineStr">
        <is>
          <t>2005-03-18</t>
        </is>
      </c>
      <c r="V2776" t="inlineStr">
        <is>
          <t>2005-03-18</t>
        </is>
      </c>
      <c r="W2776" t="inlineStr">
        <is>
          <t>1992-05-08</t>
        </is>
      </c>
      <c r="X2776" t="inlineStr">
        <is>
          <t>1992-05-08</t>
        </is>
      </c>
      <c r="Y2776" t="n">
        <v>914</v>
      </c>
      <c r="Z2776" t="n">
        <v>823</v>
      </c>
      <c r="AA2776" t="n">
        <v>831</v>
      </c>
      <c r="AB2776" t="n">
        <v>6</v>
      </c>
      <c r="AC2776" t="n">
        <v>6</v>
      </c>
      <c r="AD2776" t="n">
        <v>41</v>
      </c>
      <c r="AE2776" t="n">
        <v>41</v>
      </c>
      <c r="AF2776" t="n">
        <v>18</v>
      </c>
      <c r="AG2776" t="n">
        <v>18</v>
      </c>
      <c r="AH2776" t="n">
        <v>8</v>
      </c>
      <c r="AI2776" t="n">
        <v>8</v>
      </c>
      <c r="AJ2776" t="n">
        <v>19</v>
      </c>
      <c r="AK2776" t="n">
        <v>19</v>
      </c>
      <c r="AL2776" t="n">
        <v>5</v>
      </c>
      <c r="AM2776" t="n">
        <v>5</v>
      </c>
      <c r="AN2776" t="n">
        <v>1</v>
      </c>
      <c r="AO2776" t="n">
        <v>1</v>
      </c>
      <c r="AP2776" t="inlineStr">
        <is>
          <t>No</t>
        </is>
      </c>
      <c r="AQ2776" t="inlineStr">
        <is>
          <t>Yes</t>
        </is>
      </c>
      <c r="AR2776">
        <f>HYPERLINK("http://catalog.hathitrust.org/Record/001593265","HathiTrust Record")</f>
        <v/>
      </c>
      <c r="AS2776">
        <f>HYPERLINK("https://creighton-primo.hosted.exlibrisgroup.com/primo-explore/search?tab=default_tab&amp;search_scope=EVERYTHING&amp;vid=01CRU&amp;lang=en_US&amp;offset=0&amp;query=any,contains,991000733919702656","Catalog Record")</f>
        <v/>
      </c>
      <c r="AT2776">
        <f>HYPERLINK("http://www.worldcat.org/oclc/128483","WorldCat Record")</f>
        <v/>
      </c>
      <c r="AU2776" t="inlineStr">
        <is>
          <t>1258127:eng</t>
        </is>
      </c>
      <c r="AV2776" t="inlineStr">
        <is>
          <t>128483</t>
        </is>
      </c>
      <c r="AW2776" t="inlineStr">
        <is>
          <t>991000733919702656</t>
        </is>
      </c>
      <c r="AX2776" t="inlineStr">
        <is>
          <t>991000733919702656</t>
        </is>
      </c>
      <c r="AY2776" t="inlineStr">
        <is>
          <t>2261621970002656</t>
        </is>
      </c>
      <c r="AZ2776" t="inlineStr">
        <is>
          <t>BOOK</t>
        </is>
      </c>
      <c r="BB2776" t="inlineStr">
        <is>
          <t>9780674611757</t>
        </is>
      </c>
      <c r="BC2776" t="inlineStr">
        <is>
          <t>32285001122620</t>
        </is>
      </c>
      <c r="BD2776" t="inlineStr">
        <is>
          <t>893903141</t>
        </is>
      </c>
    </row>
    <row r="2777">
      <c r="A2777" t="inlineStr">
        <is>
          <t>No</t>
        </is>
      </c>
      <c r="B2777" t="inlineStr">
        <is>
          <t>BX6266.T74 G55 1991</t>
        </is>
      </c>
      <c r="C2777" t="inlineStr">
        <is>
          <t>0                      BX 6266000T  74                 G  55          1991</t>
        </is>
      </c>
      <c r="D2777" t="inlineStr">
        <is>
          <t>Marchin' the pilgrims home : a study of the Spiritual Baptists of Trinidad / Stephen D. Glazier.</t>
        </is>
      </c>
      <c r="F2777" t="inlineStr">
        <is>
          <t>No</t>
        </is>
      </c>
      <c r="G2777" t="inlineStr">
        <is>
          <t>1</t>
        </is>
      </c>
      <c r="H2777" t="inlineStr">
        <is>
          <t>No</t>
        </is>
      </c>
      <c r="I2777" t="inlineStr">
        <is>
          <t>No</t>
        </is>
      </c>
      <c r="J2777" t="inlineStr">
        <is>
          <t>0</t>
        </is>
      </c>
      <c r="K2777" t="inlineStr">
        <is>
          <t>Glazier, Stephen D.</t>
        </is>
      </c>
      <c r="L2777" t="inlineStr">
        <is>
          <t>Salem, Wisc. : Sheffield Pub. Co., 1991, c1983.</t>
        </is>
      </c>
      <c r="M2777" t="inlineStr">
        <is>
          <t>1991</t>
        </is>
      </c>
      <c r="O2777" t="inlineStr">
        <is>
          <t>eng</t>
        </is>
      </c>
      <c r="P2777" t="inlineStr">
        <is>
          <t>wiu</t>
        </is>
      </c>
      <c r="R2777" t="inlineStr">
        <is>
          <t xml:space="preserve">BX </t>
        </is>
      </c>
      <c r="S2777" t="n">
        <v>3</v>
      </c>
      <c r="T2777" t="n">
        <v>3</v>
      </c>
      <c r="U2777" t="inlineStr">
        <is>
          <t>2002-10-18</t>
        </is>
      </c>
      <c r="V2777" t="inlineStr">
        <is>
          <t>2002-10-18</t>
        </is>
      </c>
      <c r="W2777" t="inlineStr">
        <is>
          <t>1992-03-25</t>
        </is>
      </c>
      <c r="X2777" t="inlineStr">
        <is>
          <t>1992-03-25</t>
        </is>
      </c>
      <c r="Y2777" t="n">
        <v>46</v>
      </c>
      <c r="Z2777" t="n">
        <v>42</v>
      </c>
      <c r="AA2777" t="n">
        <v>43</v>
      </c>
      <c r="AB2777" t="n">
        <v>4</v>
      </c>
      <c r="AC2777" t="n">
        <v>4</v>
      </c>
      <c r="AD2777" t="n">
        <v>7</v>
      </c>
      <c r="AE2777" t="n">
        <v>7</v>
      </c>
      <c r="AF2777" t="n">
        <v>1</v>
      </c>
      <c r="AG2777" t="n">
        <v>1</v>
      </c>
      <c r="AH2777" t="n">
        <v>1</v>
      </c>
      <c r="AI2777" t="n">
        <v>1</v>
      </c>
      <c r="AJ2777" t="n">
        <v>3</v>
      </c>
      <c r="AK2777" t="n">
        <v>3</v>
      </c>
      <c r="AL2777" t="n">
        <v>3</v>
      </c>
      <c r="AM2777" t="n">
        <v>3</v>
      </c>
      <c r="AN2777" t="n">
        <v>0</v>
      </c>
      <c r="AO2777" t="n">
        <v>0</v>
      </c>
      <c r="AP2777" t="inlineStr">
        <is>
          <t>No</t>
        </is>
      </c>
      <c r="AQ2777" t="inlineStr">
        <is>
          <t>No</t>
        </is>
      </c>
      <c r="AS2777">
        <f>HYPERLINK("https://creighton-primo.hosted.exlibrisgroup.com/primo-explore/search?tab=default_tab&amp;search_scope=EVERYTHING&amp;vid=01CRU&amp;lang=en_US&amp;offset=0&amp;query=any,contains,991001991489702656","Catalog Record")</f>
        <v/>
      </c>
      <c r="AT2777">
        <f>HYPERLINK("http://www.worldcat.org/oclc/25287136","WorldCat Record")</f>
        <v/>
      </c>
      <c r="AU2777" t="inlineStr">
        <is>
          <t>28340112:eng</t>
        </is>
      </c>
      <c r="AV2777" t="inlineStr">
        <is>
          <t>25287136</t>
        </is>
      </c>
      <c r="AW2777" t="inlineStr">
        <is>
          <t>991001991489702656</t>
        </is>
      </c>
      <c r="AX2777" t="inlineStr">
        <is>
          <t>991001991489702656</t>
        </is>
      </c>
      <c r="AY2777" t="inlineStr">
        <is>
          <t>2269588680002656</t>
        </is>
      </c>
      <c r="AZ2777" t="inlineStr">
        <is>
          <t>BOOK</t>
        </is>
      </c>
      <c r="BB2777" t="inlineStr">
        <is>
          <t>9781879215054</t>
        </is>
      </c>
      <c r="BC2777" t="inlineStr">
        <is>
          <t>32285000939941</t>
        </is>
      </c>
      <c r="BD2777" t="inlineStr">
        <is>
          <t>893510154</t>
        </is>
      </c>
    </row>
    <row r="2778">
      <c r="A2778" t="inlineStr">
        <is>
          <t>No</t>
        </is>
      </c>
      <c r="B2778" t="inlineStr">
        <is>
          <t>BX6331.2 .R65 1960</t>
        </is>
      </c>
      <c r="C2778" t="inlineStr">
        <is>
          <t>0                      BX 6331200R  65          1960</t>
        </is>
      </c>
      <c r="D2778" t="inlineStr">
        <is>
          <t>The Congregational way of life / Arthur Rouner.</t>
        </is>
      </c>
      <c r="F2778" t="inlineStr">
        <is>
          <t>No</t>
        </is>
      </c>
      <c r="G2778" t="inlineStr">
        <is>
          <t>1</t>
        </is>
      </c>
      <c r="H2778" t="inlineStr">
        <is>
          <t>No</t>
        </is>
      </c>
      <c r="I2778" t="inlineStr">
        <is>
          <t>No</t>
        </is>
      </c>
      <c r="J2778" t="inlineStr">
        <is>
          <t>0</t>
        </is>
      </c>
      <c r="K2778" t="inlineStr">
        <is>
          <t>Rouner, Arthur Acy.</t>
        </is>
      </c>
      <c r="L2778" t="inlineStr">
        <is>
          <t>Englewood Cliffs, N.J. : Prentice-Hall, [c1960]</t>
        </is>
      </c>
      <c r="M2778" t="inlineStr">
        <is>
          <t>1960</t>
        </is>
      </c>
      <c r="O2778" t="inlineStr">
        <is>
          <t>eng</t>
        </is>
      </c>
      <c r="P2778" t="inlineStr">
        <is>
          <t xml:space="preserve">xx </t>
        </is>
      </c>
      <c r="R2778" t="inlineStr">
        <is>
          <t xml:space="preserve">BX </t>
        </is>
      </c>
      <c r="S2778" t="n">
        <v>1</v>
      </c>
      <c r="T2778" t="n">
        <v>1</v>
      </c>
      <c r="U2778" t="inlineStr">
        <is>
          <t>2003-04-21</t>
        </is>
      </c>
      <c r="V2778" t="inlineStr">
        <is>
          <t>2003-04-21</t>
        </is>
      </c>
      <c r="W2778" t="inlineStr">
        <is>
          <t>1990-09-10</t>
        </is>
      </c>
      <c r="X2778" t="inlineStr">
        <is>
          <t>1990-09-10</t>
        </is>
      </c>
      <c r="Y2778" t="n">
        <v>221</v>
      </c>
      <c r="Z2778" t="n">
        <v>208</v>
      </c>
      <c r="AA2778" t="n">
        <v>233</v>
      </c>
      <c r="AB2778" t="n">
        <v>2</v>
      </c>
      <c r="AC2778" t="n">
        <v>2</v>
      </c>
      <c r="AD2778" t="n">
        <v>10</v>
      </c>
      <c r="AE2778" t="n">
        <v>11</v>
      </c>
      <c r="AF2778" t="n">
        <v>5</v>
      </c>
      <c r="AG2778" t="n">
        <v>5</v>
      </c>
      <c r="AH2778" t="n">
        <v>3</v>
      </c>
      <c r="AI2778" t="n">
        <v>3</v>
      </c>
      <c r="AJ2778" t="n">
        <v>1</v>
      </c>
      <c r="AK2778" t="n">
        <v>2</v>
      </c>
      <c r="AL2778" t="n">
        <v>1</v>
      </c>
      <c r="AM2778" t="n">
        <v>1</v>
      </c>
      <c r="AN2778" t="n">
        <v>0</v>
      </c>
      <c r="AO2778" t="n">
        <v>0</v>
      </c>
      <c r="AP2778" t="inlineStr">
        <is>
          <t>Yes</t>
        </is>
      </c>
      <c r="AQ2778" t="inlineStr">
        <is>
          <t>No</t>
        </is>
      </c>
      <c r="AR2778">
        <f>HYPERLINK("http://catalog.hathitrust.org/Record/005946240","HathiTrust Record")</f>
        <v/>
      </c>
      <c r="AS2778">
        <f>HYPERLINK("https://creighton-primo.hosted.exlibrisgroup.com/primo-explore/search?tab=default_tab&amp;search_scope=EVERYTHING&amp;vid=01CRU&amp;lang=en_US&amp;offset=0&amp;query=any,contains,991003686819702656","Catalog Record")</f>
        <v/>
      </c>
      <c r="AT2778">
        <f>HYPERLINK("http://www.worldcat.org/oclc/1315221","WorldCat Record")</f>
        <v/>
      </c>
      <c r="AU2778" t="inlineStr">
        <is>
          <t>2189895:eng</t>
        </is>
      </c>
      <c r="AV2778" t="inlineStr">
        <is>
          <t>1315221</t>
        </is>
      </c>
      <c r="AW2778" t="inlineStr">
        <is>
          <t>991003686819702656</t>
        </is>
      </c>
      <c r="AX2778" t="inlineStr">
        <is>
          <t>991003686819702656</t>
        </is>
      </c>
      <c r="AY2778" t="inlineStr">
        <is>
          <t>2270012910002656</t>
        </is>
      </c>
      <c r="AZ2778" t="inlineStr">
        <is>
          <t>BOOK</t>
        </is>
      </c>
      <c r="BC2778" t="inlineStr">
        <is>
          <t>32285000295310</t>
        </is>
      </c>
      <c r="BD2778" t="inlineStr">
        <is>
          <t>893627705</t>
        </is>
      </c>
    </row>
    <row r="2779">
      <c r="A2779" t="inlineStr">
        <is>
          <t>No</t>
        </is>
      </c>
      <c r="B2779" t="inlineStr">
        <is>
          <t>BX6447 .H54 1993</t>
        </is>
      </c>
      <c r="C2779" t="inlineStr">
        <is>
          <t>0                      BX 6447000H  54          1993</t>
        </is>
      </c>
      <c r="D2779" t="inlineStr">
        <is>
          <t>Righteous discontent : the women's movement in the Black Baptist Church, 1880-1920 / Evelyn Brooks Higginbotham.</t>
        </is>
      </c>
      <c r="F2779" t="inlineStr">
        <is>
          <t>No</t>
        </is>
      </c>
      <c r="G2779" t="inlineStr">
        <is>
          <t>1</t>
        </is>
      </c>
      <c r="H2779" t="inlineStr">
        <is>
          <t>No</t>
        </is>
      </c>
      <c r="I2779" t="inlineStr">
        <is>
          <t>No</t>
        </is>
      </c>
      <c r="J2779" t="inlineStr">
        <is>
          <t>0</t>
        </is>
      </c>
      <c r="K2779" t="inlineStr">
        <is>
          <t>Higginbotham, Evelyn Brooks, 1945-</t>
        </is>
      </c>
      <c r="L2779" t="inlineStr">
        <is>
          <t>Cambridge, Mass. : Harvard University Press, 1993.</t>
        </is>
      </c>
      <c r="M2779" t="inlineStr">
        <is>
          <t>1993</t>
        </is>
      </c>
      <c r="O2779" t="inlineStr">
        <is>
          <t>eng</t>
        </is>
      </c>
      <c r="P2779" t="inlineStr">
        <is>
          <t>mau</t>
        </is>
      </c>
      <c r="R2779" t="inlineStr">
        <is>
          <t xml:space="preserve">BX </t>
        </is>
      </c>
      <c r="S2779" t="n">
        <v>5</v>
      </c>
      <c r="T2779" t="n">
        <v>5</v>
      </c>
      <c r="U2779" t="inlineStr">
        <is>
          <t>1999-03-23</t>
        </is>
      </c>
      <c r="V2779" t="inlineStr">
        <is>
          <t>1999-03-23</t>
        </is>
      </c>
      <c r="W2779" t="inlineStr">
        <is>
          <t>1993-11-02</t>
        </is>
      </c>
      <c r="X2779" t="inlineStr">
        <is>
          <t>1993-11-02</t>
        </is>
      </c>
      <c r="Y2779" t="n">
        <v>971</v>
      </c>
      <c r="Z2779" t="n">
        <v>871</v>
      </c>
      <c r="AA2779" t="n">
        <v>1096</v>
      </c>
      <c r="AB2779" t="n">
        <v>5</v>
      </c>
      <c r="AC2779" t="n">
        <v>7</v>
      </c>
      <c r="AD2779" t="n">
        <v>37</v>
      </c>
      <c r="AE2779" t="n">
        <v>50</v>
      </c>
      <c r="AF2779" t="n">
        <v>17</v>
      </c>
      <c r="AG2779" t="n">
        <v>21</v>
      </c>
      <c r="AH2779" t="n">
        <v>6</v>
      </c>
      <c r="AI2779" t="n">
        <v>10</v>
      </c>
      <c r="AJ2779" t="n">
        <v>20</v>
      </c>
      <c r="AK2779" t="n">
        <v>25</v>
      </c>
      <c r="AL2779" t="n">
        <v>4</v>
      </c>
      <c r="AM2779" t="n">
        <v>6</v>
      </c>
      <c r="AN2779" t="n">
        <v>1</v>
      </c>
      <c r="AO2779" t="n">
        <v>1</v>
      </c>
      <c r="AP2779" t="inlineStr">
        <is>
          <t>No</t>
        </is>
      </c>
      <c r="AQ2779" t="inlineStr">
        <is>
          <t>No</t>
        </is>
      </c>
      <c r="AS2779">
        <f>HYPERLINK("https://creighton-primo.hosted.exlibrisgroup.com/primo-explore/search?tab=default_tab&amp;search_scope=EVERYTHING&amp;vid=01CRU&amp;lang=en_US&amp;offset=0&amp;query=any,contains,991002037039702656","Catalog Record")</f>
        <v/>
      </c>
      <c r="AT2779">
        <f>HYPERLINK("http://www.worldcat.org/oclc/25965363","WorldCat Record")</f>
        <v/>
      </c>
      <c r="AU2779" t="inlineStr">
        <is>
          <t>836907494:eng</t>
        </is>
      </c>
      <c r="AV2779" t="inlineStr">
        <is>
          <t>25965363</t>
        </is>
      </c>
      <c r="AW2779" t="inlineStr">
        <is>
          <t>991002037039702656</t>
        </is>
      </c>
      <c r="AX2779" t="inlineStr">
        <is>
          <t>991002037039702656</t>
        </is>
      </c>
      <c r="AY2779" t="inlineStr">
        <is>
          <t>2260964160002656</t>
        </is>
      </c>
      <c r="AZ2779" t="inlineStr">
        <is>
          <t>BOOK</t>
        </is>
      </c>
      <c r="BB2779" t="inlineStr">
        <is>
          <t>9780674769779</t>
        </is>
      </c>
      <c r="BC2779" t="inlineStr">
        <is>
          <t>32285001789881</t>
        </is>
      </c>
      <c r="BD2779" t="inlineStr">
        <is>
          <t>893684881</t>
        </is>
      </c>
    </row>
    <row r="2780">
      <c r="A2780" t="inlineStr">
        <is>
          <t>No</t>
        </is>
      </c>
      <c r="B2780" t="inlineStr">
        <is>
          <t>BX6480.W9 A95 2004</t>
        </is>
      </c>
      <c r="C2780" t="inlineStr">
        <is>
          <t>0                      BX 6480000W  9                  A  95          2004</t>
        </is>
      </c>
      <c r="D2780" t="inlineStr">
        <is>
          <t>Spirit and flesh : life in a fundamentalist Baptist church / James M. Ault, Jr.</t>
        </is>
      </c>
      <c r="F2780" t="inlineStr">
        <is>
          <t>No</t>
        </is>
      </c>
      <c r="G2780" t="inlineStr">
        <is>
          <t>1</t>
        </is>
      </c>
      <c r="H2780" t="inlineStr">
        <is>
          <t>No</t>
        </is>
      </c>
      <c r="I2780" t="inlineStr">
        <is>
          <t>No</t>
        </is>
      </c>
      <c r="J2780" t="inlineStr">
        <is>
          <t>0</t>
        </is>
      </c>
      <c r="K2780" t="inlineStr">
        <is>
          <t>Ault, James M., 1946-</t>
        </is>
      </c>
      <c r="L2780" t="inlineStr">
        <is>
          <t>New York : Knopf : Distributed by Random House, 2004.</t>
        </is>
      </c>
      <c r="M2780" t="inlineStr">
        <is>
          <t>2004</t>
        </is>
      </c>
      <c r="N2780" t="inlineStr">
        <is>
          <t>1st ed.</t>
        </is>
      </c>
      <c r="O2780" t="inlineStr">
        <is>
          <t>eng</t>
        </is>
      </c>
      <c r="P2780" t="inlineStr">
        <is>
          <t>nyu</t>
        </is>
      </c>
      <c r="R2780" t="inlineStr">
        <is>
          <t xml:space="preserve">BX </t>
        </is>
      </c>
      <c r="S2780" t="n">
        <v>3</v>
      </c>
      <c r="T2780" t="n">
        <v>3</v>
      </c>
      <c r="U2780" t="inlineStr">
        <is>
          <t>2007-02-28</t>
        </is>
      </c>
      <c r="V2780" t="inlineStr">
        <is>
          <t>2007-02-28</t>
        </is>
      </c>
      <c r="W2780" t="inlineStr">
        <is>
          <t>2004-10-06</t>
        </is>
      </c>
      <c r="X2780" t="inlineStr">
        <is>
          <t>2004-10-06</t>
        </is>
      </c>
      <c r="Y2780" t="n">
        <v>657</v>
      </c>
      <c r="Z2780" t="n">
        <v>622</v>
      </c>
      <c r="AA2780" t="n">
        <v>695</v>
      </c>
      <c r="AB2780" t="n">
        <v>4</v>
      </c>
      <c r="AC2780" t="n">
        <v>4</v>
      </c>
      <c r="AD2780" t="n">
        <v>24</v>
      </c>
      <c r="AE2780" t="n">
        <v>26</v>
      </c>
      <c r="AF2780" t="n">
        <v>11</v>
      </c>
      <c r="AG2780" t="n">
        <v>11</v>
      </c>
      <c r="AH2780" t="n">
        <v>5</v>
      </c>
      <c r="AI2780" t="n">
        <v>6</v>
      </c>
      <c r="AJ2780" t="n">
        <v>12</v>
      </c>
      <c r="AK2780" t="n">
        <v>13</v>
      </c>
      <c r="AL2780" t="n">
        <v>3</v>
      </c>
      <c r="AM2780" t="n">
        <v>3</v>
      </c>
      <c r="AN2780" t="n">
        <v>0</v>
      </c>
      <c r="AO2780" t="n">
        <v>0</v>
      </c>
      <c r="AP2780" t="inlineStr">
        <is>
          <t>No</t>
        </is>
      </c>
      <c r="AQ2780" t="inlineStr">
        <is>
          <t>Yes</t>
        </is>
      </c>
      <c r="AR2780">
        <f>HYPERLINK("http://catalog.hathitrust.org/Record/004764237","HathiTrust Record")</f>
        <v/>
      </c>
      <c r="AS2780">
        <f>HYPERLINK("https://creighton-primo.hosted.exlibrisgroup.com/primo-explore/search?tab=default_tab&amp;search_scope=EVERYTHING&amp;vid=01CRU&amp;lang=en_US&amp;offset=0&amp;query=any,contains,991004357059702656","Catalog Record")</f>
        <v/>
      </c>
      <c r="AT2780">
        <f>HYPERLINK("http://www.worldcat.org/oclc/53144594","WorldCat Record")</f>
        <v/>
      </c>
      <c r="AU2780" t="inlineStr">
        <is>
          <t>793969593:eng</t>
        </is>
      </c>
      <c r="AV2780" t="inlineStr">
        <is>
          <t>53144594</t>
        </is>
      </c>
      <c r="AW2780" t="inlineStr">
        <is>
          <t>991004357059702656</t>
        </is>
      </c>
      <c r="AX2780" t="inlineStr">
        <is>
          <t>991004357059702656</t>
        </is>
      </c>
      <c r="AY2780" t="inlineStr">
        <is>
          <t>2267196560002656</t>
        </is>
      </c>
      <c r="AZ2780" t="inlineStr">
        <is>
          <t>BOOK</t>
        </is>
      </c>
      <c r="BB2780" t="inlineStr">
        <is>
          <t>9780375402425</t>
        </is>
      </c>
      <c r="BC2780" t="inlineStr">
        <is>
          <t>32285005001283</t>
        </is>
      </c>
      <c r="BD2780" t="inlineStr">
        <is>
          <t>893519550</t>
        </is>
      </c>
    </row>
    <row r="2781">
      <c r="A2781" t="inlineStr">
        <is>
          <t>No</t>
        </is>
      </c>
      <c r="B2781" t="inlineStr">
        <is>
          <t>BX6495.B32 G73 1983</t>
        </is>
      </c>
      <c r="C2781" t="inlineStr">
        <is>
          <t>0                      BX 6495000B  32                 G  73          1983</t>
        </is>
      </c>
      <c r="D2781" t="inlineStr">
        <is>
          <t>Isaac Backus--Puritan and Baptist : his place in history, his thought, and their implications for modern Baptist theology / by Stanley Grenz.</t>
        </is>
      </c>
      <c r="F2781" t="inlineStr">
        <is>
          <t>No</t>
        </is>
      </c>
      <c r="G2781" t="inlineStr">
        <is>
          <t>1</t>
        </is>
      </c>
      <c r="H2781" t="inlineStr">
        <is>
          <t>No</t>
        </is>
      </c>
      <c r="I2781" t="inlineStr">
        <is>
          <t>No</t>
        </is>
      </c>
      <c r="J2781" t="inlineStr">
        <is>
          <t>0</t>
        </is>
      </c>
      <c r="K2781" t="inlineStr">
        <is>
          <t>Grenz, Stanley J. (Stanley James), 1950-2005.</t>
        </is>
      </c>
      <c r="L2781" t="inlineStr">
        <is>
          <t>Macon, Ga. : Mercer University Press, c1983.</t>
        </is>
      </c>
      <c r="M2781" t="inlineStr">
        <is>
          <t>1983</t>
        </is>
      </c>
      <c r="O2781" t="inlineStr">
        <is>
          <t>eng</t>
        </is>
      </c>
      <c r="P2781" t="inlineStr">
        <is>
          <t>gau</t>
        </is>
      </c>
      <c r="Q2781" t="inlineStr">
        <is>
          <t>NABPR dissertation series ; no. 4</t>
        </is>
      </c>
      <c r="R2781" t="inlineStr">
        <is>
          <t xml:space="preserve">BX </t>
        </is>
      </c>
      <c r="S2781" t="n">
        <v>4</v>
      </c>
      <c r="T2781" t="n">
        <v>4</v>
      </c>
      <c r="U2781" t="inlineStr">
        <is>
          <t>2010-03-02</t>
        </is>
      </c>
      <c r="V2781" t="inlineStr">
        <is>
          <t>2010-03-02</t>
        </is>
      </c>
      <c r="W2781" t="inlineStr">
        <is>
          <t>1990-04-02</t>
        </is>
      </c>
      <c r="X2781" t="inlineStr">
        <is>
          <t>1990-04-02</t>
        </is>
      </c>
      <c r="Y2781" t="n">
        <v>328</v>
      </c>
      <c r="Z2781" t="n">
        <v>293</v>
      </c>
      <c r="AA2781" t="n">
        <v>295</v>
      </c>
      <c r="AB2781" t="n">
        <v>1</v>
      </c>
      <c r="AC2781" t="n">
        <v>1</v>
      </c>
      <c r="AD2781" t="n">
        <v>12</v>
      </c>
      <c r="AE2781" t="n">
        <v>12</v>
      </c>
      <c r="AF2781" t="n">
        <v>5</v>
      </c>
      <c r="AG2781" t="n">
        <v>5</v>
      </c>
      <c r="AH2781" t="n">
        <v>2</v>
      </c>
      <c r="AI2781" t="n">
        <v>2</v>
      </c>
      <c r="AJ2781" t="n">
        <v>8</v>
      </c>
      <c r="AK2781" t="n">
        <v>8</v>
      </c>
      <c r="AL2781" t="n">
        <v>0</v>
      </c>
      <c r="AM2781" t="n">
        <v>0</v>
      </c>
      <c r="AN2781" t="n">
        <v>0</v>
      </c>
      <c r="AO2781" t="n">
        <v>0</v>
      </c>
      <c r="AP2781" t="inlineStr">
        <is>
          <t>No</t>
        </is>
      </c>
      <c r="AQ2781" t="inlineStr">
        <is>
          <t>Yes</t>
        </is>
      </c>
      <c r="AR2781">
        <f>HYPERLINK("http://catalog.hathitrust.org/Record/000290314","HathiTrust Record")</f>
        <v/>
      </c>
      <c r="AS2781">
        <f>HYPERLINK("https://creighton-primo.hosted.exlibrisgroup.com/primo-explore/search?tab=default_tab&amp;search_scope=EVERYTHING&amp;vid=01CRU&amp;lang=en_US&amp;offset=0&amp;query=any,contains,991000239929702656","Catalog Record")</f>
        <v/>
      </c>
      <c r="AT2781">
        <f>HYPERLINK("http://www.worldcat.org/oclc/9683073","WorldCat Record")</f>
        <v/>
      </c>
      <c r="AU2781" t="inlineStr">
        <is>
          <t>3857795593:eng</t>
        </is>
      </c>
      <c r="AV2781" t="inlineStr">
        <is>
          <t>9683073</t>
        </is>
      </c>
      <c r="AW2781" t="inlineStr">
        <is>
          <t>991000239929702656</t>
        </is>
      </c>
      <c r="AX2781" t="inlineStr">
        <is>
          <t>991000239929702656</t>
        </is>
      </c>
      <c r="AY2781" t="inlineStr">
        <is>
          <t>2261883550002656</t>
        </is>
      </c>
      <c r="AZ2781" t="inlineStr">
        <is>
          <t>BOOK</t>
        </is>
      </c>
      <c r="BB2781" t="inlineStr">
        <is>
          <t>9780865540675</t>
        </is>
      </c>
      <c r="BC2781" t="inlineStr">
        <is>
          <t>32285000107762</t>
        </is>
      </c>
      <c r="BD2781" t="inlineStr">
        <is>
          <t>893243100</t>
        </is>
      </c>
    </row>
    <row r="2782">
      <c r="A2782" t="inlineStr">
        <is>
          <t>No</t>
        </is>
      </c>
      <c r="B2782" t="inlineStr">
        <is>
          <t>BX6495.J65 A25 2003</t>
        </is>
      </c>
      <c r="C2782" t="inlineStr">
        <is>
          <t>0                      BX 6495000J  65                 A  25          2003</t>
        </is>
      </c>
      <c r="D2782" t="inlineStr">
        <is>
          <t>Clarence Jordan : essential writings / Clarence Jordan ; selected with an introduction by Joyce Hollyday.</t>
        </is>
      </c>
      <c r="F2782" t="inlineStr">
        <is>
          <t>No</t>
        </is>
      </c>
      <c r="G2782" t="inlineStr">
        <is>
          <t>1</t>
        </is>
      </c>
      <c r="H2782" t="inlineStr">
        <is>
          <t>No</t>
        </is>
      </c>
      <c r="I2782" t="inlineStr">
        <is>
          <t>No</t>
        </is>
      </c>
      <c r="J2782" t="inlineStr">
        <is>
          <t>0</t>
        </is>
      </c>
      <c r="K2782" t="inlineStr">
        <is>
          <t>Jordan, Clarence.</t>
        </is>
      </c>
      <c r="L2782" t="inlineStr">
        <is>
          <t>Maryknoll, N.Y. : Orbis Books, c2003.</t>
        </is>
      </c>
      <c r="M2782" t="inlineStr">
        <is>
          <t>2003</t>
        </is>
      </c>
      <c r="O2782" t="inlineStr">
        <is>
          <t>eng</t>
        </is>
      </c>
      <c r="P2782" t="inlineStr">
        <is>
          <t>nyu</t>
        </is>
      </c>
      <c r="Q2782" t="inlineStr">
        <is>
          <t>Modern spiritual masters</t>
        </is>
      </c>
      <c r="R2782" t="inlineStr">
        <is>
          <t xml:space="preserve">BX </t>
        </is>
      </c>
      <c r="S2782" t="n">
        <v>2</v>
      </c>
      <c r="T2782" t="n">
        <v>2</v>
      </c>
      <c r="U2782" t="inlineStr">
        <is>
          <t>2009-06-21</t>
        </is>
      </c>
      <c r="V2782" t="inlineStr">
        <is>
          <t>2009-06-21</t>
        </is>
      </c>
      <c r="W2782" t="inlineStr">
        <is>
          <t>2006-11-29</t>
        </is>
      </c>
      <c r="X2782" t="inlineStr">
        <is>
          <t>2006-11-29</t>
        </is>
      </c>
      <c r="Y2782" t="n">
        <v>231</v>
      </c>
      <c r="Z2782" t="n">
        <v>214</v>
      </c>
      <c r="AA2782" t="n">
        <v>216</v>
      </c>
      <c r="AB2782" t="n">
        <v>2</v>
      </c>
      <c r="AC2782" t="n">
        <v>2</v>
      </c>
      <c r="AD2782" t="n">
        <v>15</v>
      </c>
      <c r="AE2782" t="n">
        <v>15</v>
      </c>
      <c r="AF2782" t="n">
        <v>7</v>
      </c>
      <c r="AG2782" t="n">
        <v>7</v>
      </c>
      <c r="AH2782" t="n">
        <v>4</v>
      </c>
      <c r="AI2782" t="n">
        <v>4</v>
      </c>
      <c r="AJ2782" t="n">
        <v>8</v>
      </c>
      <c r="AK2782" t="n">
        <v>8</v>
      </c>
      <c r="AL2782" t="n">
        <v>1</v>
      </c>
      <c r="AM2782" t="n">
        <v>1</v>
      </c>
      <c r="AN2782" t="n">
        <v>0</v>
      </c>
      <c r="AO2782" t="n">
        <v>0</v>
      </c>
      <c r="AP2782" t="inlineStr">
        <is>
          <t>No</t>
        </is>
      </c>
      <c r="AQ2782" t="inlineStr">
        <is>
          <t>Yes</t>
        </is>
      </c>
      <c r="AR2782">
        <f>HYPERLINK("http://catalog.hathitrust.org/Record/004377372","HathiTrust Record")</f>
        <v/>
      </c>
      <c r="AS2782">
        <f>HYPERLINK("https://creighton-primo.hosted.exlibrisgroup.com/primo-explore/search?tab=default_tab&amp;search_scope=EVERYTHING&amp;vid=01CRU&amp;lang=en_US&amp;offset=0&amp;query=any,contains,991004950829702656","Catalog Record")</f>
        <v/>
      </c>
      <c r="AT2782">
        <f>HYPERLINK("http://www.worldcat.org/oclc/52312533","WorldCat Record")</f>
        <v/>
      </c>
      <c r="AU2782" t="inlineStr">
        <is>
          <t>226692036:eng</t>
        </is>
      </c>
      <c r="AV2782" t="inlineStr">
        <is>
          <t>52312533</t>
        </is>
      </c>
      <c r="AW2782" t="inlineStr">
        <is>
          <t>991004950829702656</t>
        </is>
      </c>
      <c r="AX2782" t="inlineStr">
        <is>
          <t>991004950829702656</t>
        </is>
      </c>
      <c r="AY2782" t="inlineStr">
        <is>
          <t>2256071300002656</t>
        </is>
      </c>
      <c r="AZ2782" t="inlineStr">
        <is>
          <t>BOOK</t>
        </is>
      </c>
      <c r="BB2782" t="inlineStr">
        <is>
          <t>9781570754975</t>
        </is>
      </c>
      <c r="BC2782" t="inlineStr">
        <is>
          <t>32285005263164</t>
        </is>
      </c>
      <c r="BD2782" t="inlineStr">
        <is>
          <t>893688403</t>
        </is>
      </c>
    </row>
    <row r="2783">
      <c r="A2783" t="inlineStr">
        <is>
          <t>No</t>
        </is>
      </c>
      <c r="B2783" t="inlineStr">
        <is>
          <t>BX6495.R3 M56 1988</t>
        </is>
      </c>
      <c r="C2783" t="inlineStr">
        <is>
          <t>0                      BX 6495000R  3                  M  56          1988</t>
        </is>
      </c>
      <c r="D2783" t="inlineStr">
        <is>
          <t>Walter Rauschenbusch, American reformer / Paul M. Minus.</t>
        </is>
      </c>
      <c r="F2783" t="inlineStr">
        <is>
          <t>No</t>
        </is>
      </c>
      <c r="G2783" t="inlineStr">
        <is>
          <t>1</t>
        </is>
      </c>
      <c r="H2783" t="inlineStr">
        <is>
          <t>No</t>
        </is>
      </c>
      <c r="I2783" t="inlineStr">
        <is>
          <t>No</t>
        </is>
      </c>
      <c r="J2783" t="inlineStr">
        <is>
          <t>0</t>
        </is>
      </c>
      <c r="K2783" t="inlineStr">
        <is>
          <t>Minus, Paul M.</t>
        </is>
      </c>
      <c r="L2783" t="inlineStr">
        <is>
          <t>New York : Macmillan ; London : Collier Macmillan, c1988.</t>
        </is>
      </c>
      <c r="M2783" t="inlineStr">
        <is>
          <t>1988</t>
        </is>
      </c>
      <c r="O2783" t="inlineStr">
        <is>
          <t>eng</t>
        </is>
      </c>
      <c r="P2783" t="inlineStr">
        <is>
          <t>nyu</t>
        </is>
      </c>
      <c r="R2783" t="inlineStr">
        <is>
          <t xml:space="preserve">BX </t>
        </is>
      </c>
      <c r="S2783" t="n">
        <v>3</v>
      </c>
      <c r="T2783" t="n">
        <v>3</v>
      </c>
      <c r="U2783" t="inlineStr">
        <is>
          <t>2008-11-20</t>
        </is>
      </c>
      <c r="V2783" t="inlineStr">
        <is>
          <t>2008-11-20</t>
        </is>
      </c>
      <c r="W2783" t="inlineStr">
        <is>
          <t>1990-07-27</t>
        </is>
      </c>
      <c r="X2783" t="inlineStr">
        <is>
          <t>1990-07-27</t>
        </is>
      </c>
      <c r="Y2783" t="n">
        <v>599</v>
      </c>
      <c r="Z2783" t="n">
        <v>545</v>
      </c>
      <c r="AA2783" t="n">
        <v>551</v>
      </c>
      <c r="AB2783" t="n">
        <v>5</v>
      </c>
      <c r="AC2783" t="n">
        <v>5</v>
      </c>
      <c r="AD2783" t="n">
        <v>27</v>
      </c>
      <c r="AE2783" t="n">
        <v>27</v>
      </c>
      <c r="AF2783" t="n">
        <v>11</v>
      </c>
      <c r="AG2783" t="n">
        <v>11</v>
      </c>
      <c r="AH2783" t="n">
        <v>4</v>
      </c>
      <c r="AI2783" t="n">
        <v>4</v>
      </c>
      <c r="AJ2783" t="n">
        <v>15</v>
      </c>
      <c r="AK2783" t="n">
        <v>15</v>
      </c>
      <c r="AL2783" t="n">
        <v>4</v>
      </c>
      <c r="AM2783" t="n">
        <v>4</v>
      </c>
      <c r="AN2783" t="n">
        <v>0</v>
      </c>
      <c r="AO2783" t="n">
        <v>0</v>
      </c>
      <c r="AP2783" t="inlineStr">
        <is>
          <t>No</t>
        </is>
      </c>
      <c r="AQ2783" t="inlineStr">
        <is>
          <t>Yes</t>
        </is>
      </c>
      <c r="AR2783">
        <f>HYPERLINK("http://catalog.hathitrust.org/Record/001071548","HathiTrust Record")</f>
        <v/>
      </c>
      <c r="AS2783">
        <f>HYPERLINK("https://creighton-primo.hosted.exlibrisgroup.com/primo-explore/search?tab=default_tab&amp;search_scope=EVERYTHING&amp;vid=01CRU&amp;lang=en_US&amp;offset=0&amp;query=any,contains,991001236759702656","Catalog Record")</f>
        <v/>
      </c>
      <c r="AT2783">
        <f>HYPERLINK("http://www.worldcat.org/oclc/17551627","WorldCat Record")</f>
        <v/>
      </c>
      <c r="AU2783" t="inlineStr">
        <is>
          <t>15409252:eng</t>
        </is>
      </c>
      <c r="AV2783" t="inlineStr">
        <is>
          <t>17551627</t>
        </is>
      </c>
      <c r="AW2783" t="inlineStr">
        <is>
          <t>991001236759702656</t>
        </is>
      </c>
      <c r="AX2783" t="inlineStr">
        <is>
          <t>991001236759702656</t>
        </is>
      </c>
      <c r="AY2783" t="inlineStr">
        <is>
          <t>2263296620002656</t>
        </is>
      </c>
      <c r="AZ2783" t="inlineStr">
        <is>
          <t>BOOK</t>
        </is>
      </c>
      <c r="BB2783" t="inlineStr">
        <is>
          <t>9780028964706</t>
        </is>
      </c>
      <c r="BC2783" t="inlineStr">
        <is>
          <t>32285000240829</t>
        </is>
      </c>
      <c r="BD2783" t="inlineStr">
        <is>
          <t>893885158</t>
        </is>
      </c>
    </row>
    <row r="2784">
      <c r="A2784" t="inlineStr">
        <is>
          <t>No</t>
        </is>
      </c>
      <c r="B2784" t="inlineStr">
        <is>
          <t>BX6495.W55 G38 1991</t>
        </is>
      </c>
      <c r="C2784" t="inlineStr">
        <is>
          <t>0                      BX 6495000W  55                 G  38          1991</t>
        </is>
      </c>
      <c r="D2784" t="inlineStr">
        <is>
          <t>Liberty of conscience : Roger Williams in America / Edwin S. Gaustad.</t>
        </is>
      </c>
      <c r="F2784" t="inlineStr">
        <is>
          <t>No</t>
        </is>
      </c>
      <c r="G2784" t="inlineStr">
        <is>
          <t>1</t>
        </is>
      </c>
      <c r="H2784" t="inlineStr">
        <is>
          <t>No</t>
        </is>
      </c>
      <c r="I2784" t="inlineStr">
        <is>
          <t>No</t>
        </is>
      </c>
      <c r="J2784" t="inlineStr">
        <is>
          <t>0</t>
        </is>
      </c>
      <c r="K2784" t="inlineStr">
        <is>
          <t>Gaustad, Edwin S. (Edwin Scott)</t>
        </is>
      </c>
      <c r="L2784" t="inlineStr">
        <is>
          <t>Grand Rapids, Mich. : W.B. Eerdmans Pub. Co., c1991.</t>
        </is>
      </c>
      <c r="M2784" t="inlineStr">
        <is>
          <t>1991</t>
        </is>
      </c>
      <c r="O2784" t="inlineStr">
        <is>
          <t>eng</t>
        </is>
      </c>
      <c r="P2784" t="inlineStr">
        <is>
          <t>miu</t>
        </is>
      </c>
      <c r="Q2784" t="inlineStr">
        <is>
          <t>Library of religious biography</t>
        </is>
      </c>
      <c r="R2784" t="inlineStr">
        <is>
          <t xml:space="preserve">BX </t>
        </is>
      </c>
      <c r="S2784" t="n">
        <v>4</v>
      </c>
      <c r="T2784" t="n">
        <v>4</v>
      </c>
      <c r="U2784" t="inlineStr">
        <is>
          <t>1999-03-17</t>
        </is>
      </c>
      <c r="V2784" t="inlineStr">
        <is>
          <t>1999-03-17</t>
        </is>
      </c>
      <c r="W2784" t="inlineStr">
        <is>
          <t>1994-08-25</t>
        </is>
      </c>
      <c r="X2784" t="inlineStr">
        <is>
          <t>1994-08-25</t>
        </is>
      </c>
      <c r="Y2784" t="n">
        <v>681</v>
      </c>
      <c r="Z2784" t="n">
        <v>619</v>
      </c>
      <c r="AA2784" t="n">
        <v>696</v>
      </c>
      <c r="AB2784" t="n">
        <v>4</v>
      </c>
      <c r="AC2784" t="n">
        <v>4</v>
      </c>
      <c r="AD2784" t="n">
        <v>30</v>
      </c>
      <c r="AE2784" t="n">
        <v>32</v>
      </c>
      <c r="AF2784" t="n">
        <v>12</v>
      </c>
      <c r="AG2784" t="n">
        <v>13</v>
      </c>
      <c r="AH2784" t="n">
        <v>7</v>
      </c>
      <c r="AI2784" t="n">
        <v>8</v>
      </c>
      <c r="AJ2784" t="n">
        <v>16</v>
      </c>
      <c r="AK2784" t="n">
        <v>16</v>
      </c>
      <c r="AL2784" t="n">
        <v>3</v>
      </c>
      <c r="AM2784" t="n">
        <v>3</v>
      </c>
      <c r="AN2784" t="n">
        <v>0</v>
      </c>
      <c r="AO2784" t="n">
        <v>0</v>
      </c>
      <c r="AP2784" t="inlineStr">
        <is>
          <t>No</t>
        </is>
      </c>
      <c r="AQ2784" t="inlineStr">
        <is>
          <t>Yes</t>
        </is>
      </c>
      <c r="AR2784">
        <f>HYPERLINK("http://catalog.hathitrust.org/Record/003011399","HathiTrust Record")</f>
        <v/>
      </c>
      <c r="AS2784">
        <f>HYPERLINK("https://creighton-primo.hosted.exlibrisgroup.com/primo-explore/search?tab=default_tab&amp;search_scope=EVERYTHING&amp;vid=01CRU&amp;lang=en_US&amp;offset=0&amp;query=any,contains,991001800519702656","Catalog Record")</f>
        <v/>
      </c>
      <c r="AT2784">
        <f>HYPERLINK("http://www.worldcat.org/oclc/22629822","WorldCat Record")</f>
        <v/>
      </c>
      <c r="AU2784" t="inlineStr">
        <is>
          <t>908797725:eng</t>
        </is>
      </c>
      <c r="AV2784" t="inlineStr">
        <is>
          <t>22629822</t>
        </is>
      </c>
      <c r="AW2784" t="inlineStr">
        <is>
          <t>991001800519702656</t>
        </is>
      </c>
      <c r="AX2784" t="inlineStr">
        <is>
          <t>991001800519702656</t>
        </is>
      </c>
      <c r="AY2784" t="inlineStr">
        <is>
          <t>2269009270002656</t>
        </is>
      </c>
      <c r="AZ2784" t="inlineStr">
        <is>
          <t>BOOK</t>
        </is>
      </c>
      <c r="BB2784" t="inlineStr">
        <is>
          <t>9780802801531</t>
        </is>
      </c>
      <c r="BC2784" t="inlineStr">
        <is>
          <t>32285001944098</t>
        </is>
      </c>
      <c r="BD2784" t="inlineStr">
        <is>
          <t>893703343</t>
        </is>
      </c>
    </row>
    <row r="2785">
      <c r="A2785" t="inlineStr">
        <is>
          <t>No</t>
        </is>
      </c>
      <c r="B2785" t="inlineStr">
        <is>
          <t>BX6495.W55 G54</t>
        </is>
      </c>
      <c r="C2785" t="inlineStr">
        <is>
          <t>0                      BX 6495000W  55                 G  54</t>
        </is>
      </c>
      <c r="D2785" t="inlineStr">
        <is>
          <t>The millenarian piety of Roger Williams / W. Clark Gilpin.</t>
        </is>
      </c>
      <c r="F2785" t="inlineStr">
        <is>
          <t>No</t>
        </is>
      </c>
      <c r="G2785" t="inlineStr">
        <is>
          <t>1</t>
        </is>
      </c>
      <c r="H2785" t="inlineStr">
        <is>
          <t>No</t>
        </is>
      </c>
      <c r="I2785" t="inlineStr">
        <is>
          <t>No</t>
        </is>
      </c>
      <c r="J2785" t="inlineStr">
        <is>
          <t>0</t>
        </is>
      </c>
      <c r="K2785" t="inlineStr">
        <is>
          <t>Gilpin, W. Clark.</t>
        </is>
      </c>
      <c r="L2785" t="inlineStr">
        <is>
          <t>Chicago : University of Chicago Press, 1979.</t>
        </is>
      </c>
      <c r="M2785" t="inlineStr">
        <is>
          <t>1979</t>
        </is>
      </c>
      <c r="O2785" t="inlineStr">
        <is>
          <t>eng</t>
        </is>
      </c>
      <c r="P2785" t="inlineStr">
        <is>
          <t>ilu</t>
        </is>
      </c>
      <c r="R2785" t="inlineStr">
        <is>
          <t xml:space="preserve">BX </t>
        </is>
      </c>
      <c r="S2785" t="n">
        <v>7</v>
      </c>
      <c r="T2785" t="n">
        <v>7</v>
      </c>
      <c r="U2785" t="inlineStr">
        <is>
          <t>1998-12-04</t>
        </is>
      </c>
      <c r="V2785" t="inlineStr">
        <is>
          <t>1998-12-04</t>
        </is>
      </c>
      <c r="W2785" t="inlineStr">
        <is>
          <t>1992-05-08</t>
        </is>
      </c>
      <c r="X2785" t="inlineStr">
        <is>
          <t>1992-05-08</t>
        </is>
      </c>
      <c r="Y2785" t="n">
        <v>664</v>
      </c>
      <c r="Z2785" t="n">
        <v>579</v>
      </c>
      <c r="AA2785" t="n">
        <v>579</v>
      </c>
      <c r="AB2785" t="n">
        <v>5</v>
      </c>
      <c r="AC2785" t="n">
        <v>5</v>
      </c>
      <c r="AD2785" t="n">
        <v>33</v>
      </c>
      <c r="AE2785" t="n">
        <v>33</v>
      </c>
      <c r="AF2785" t="n">
        <v>15</v>
      </c>
      <c r="AG2785" t="n">
        <v>15</v>
      </c>
      <c r="AH2785" t="n">
        <v>6</v>
      </c>
      <c r="AI2785" t="n">
        <v>6</v>
      </c>
      <c r="AJ2785" t="n">
        <v>16</v>
      </c>
      <c r="AK2785" t="n">
        <v>16</v>
      </c>
      <c r="AL2785" t="n">
        <v>4</v>
      </c>
      <c r="AM2785" t="n">
        <v>4</v>
      </c>
      <c r="AN2785" t="n">
        <v>0</v>
      </c>
      <c r="AO2785" t="n">
        <v>0</v>
      </c>
      <c r="AP2785" t="inlineStr">
        <is>
          <t>No</t>
        </is>
      </c>
      <c r="AQ2785" t="inlineStr">
        <is>
          <t>No</t>
        </is>
      </c>
      <c r="AS2785">
        <f>HYPERLINK("https://creighton-primo.hosted.exlibrisgroup.com/primo-explore/search?tab=default_tab&amp;search_scope=EVERYTHING&amp;vid=01CRU&amp;lang=en_US&amp;offset=0&amp;query=any,contains,991004669289702656","Catalog Record")</f>
        <v/>
      </c>
      <c r="AT2785">
        <f>HYPERLINK("http://www.worldcat.org/oclc/4515038","WorldCat Record")</f>
        <v/>
      </c>
      <c r="AU2785" t="inlineStr">
        <is>
          <t>418421:eng</t>
        </is>
      </c>
      <c r="AV2785" t="inlineStr">
        <is>
          <t>4515038</t>
        </is>
      </c>
      <c r="AW2785" t="inlineStr">
        <is>
          <t>991004669289702656</t>
        </is>
      </c>
      <c r="AX2785" t="inlineStr">
        <is>
          <t>991004669289702656</t>
        </is>
      </c>
      <c r="AY2785" t="inlineStr">
        <is>
          <t>2262606430002656</t>
        </is>
      </c>
      <c r="AZ2785" t="inlineStr">
        <is>
          <t>BOOK</t>
        </is>
      </c>
      <c r="BB2785" t="inlineStr">
        <is>
          <t>9780226293974</t>
        </is>
      </c>
      <c r="BC2785" t="inlineStr">
        <is>
          <t>32285001122745</t>
        </is>
      </c>
      <c r="BD2785" t="inlineStr">
        <is>
          <t>893253974</t>
        </is>
      </c>
    </row>
    <row r="2786">
      <c r="A2786" t="inlineStr">
        <is>
          <t>No</t>
        </is>
      </c>
      <c r="B2786" t="inlineStr">
        <is>
          <t>BX6931 .F73 1999</t>
        </is>
      </c>
      <c r="C2786" t="inlineStr">
        <is>
          <t>0                      BX 6931000F  73          1999</t>
        </is>
      </c>
      <c r="D2786" t="inlineStr">
        <is>
          <t>God's perfect child : living and dying in the Christian Science Church / Caroline Fraser.</t>
        </is>
      </c>
      <c r="F2786" t="inlineStr">
        <is>
          <t>No</t>
        </is>
      </c>
      <c r="G2786" t="inlineStr">
        <is>
          <t>1</t>
        </is>
      </c>
      <c r="H2786" t="inlineStr">
        <is>
          <t>No</t>
        </is>
      </c>
      <c r="I2786" t="inlineStr">
        <is>
          <t>No</t>
        </is>
      </c>
      <c r="J2786" t="inlineStr">
        <is>
          <t>0</t>
        </is>
      </c>
      <c r="K2786" t="inlineStr">
        <is>
          <t>Fraser, Caroline.</t>
        </is>
      </c>
      <c r="L2786" t="inlineStr">
        <is>
          <t>New York : Metropolitan Books, 1999.</t>
        </is>
      </c>
      <c r="M2786" t="inlineStr">
        <is>
          <t>1999</t>
        </is>
      </c>
      <c r="N2786" t="inlineStr">
        <is>
          <t>1st ed.</t>
        </is>
      </c>
      <c r="O2786" t="inlineStr">
        <is>
          <t>eng</t>
        </is>
      </c>
      <c r="P2786" t="inlineStr">
        <is>
          <t>nyu</t>
        </is>
      </c>
      <c r="R2786" t="inlineStr">
        <is>
          <t xml:space="preserve">BX </t>
        </is>
      </c>
      <c r="S2786" t="n">
        <v>8</v>
      </c>
      <c r="T2786" t="n">
        <v>8</v>
      </c>
      <c r="U2786" t="inlineStr">
        <is>
          <t>2004-11-08</t>
        </is>
      </c>
      <c r="V2786" t="inlineStr">
        <is>
          <t>2004-11-08</t>
        </is>
      </c>
      <c r="W2786" t="inlineStr">
        <is>
          <t>1999-11-08</t>
        </is>
      </c>
      <c r="X2786" t="inlineStr">
        <is>
          <t>1999-11-08</t>
        </is>
      </c>
      <c r="Y2786" t="n">
        <v>722</v>
      </c>
      <c r="Z2786" t="n">
        <v>682</v>
      </c>
      <c r="AA2786" t="n">
        <v>796</v>
      </c>
      <c r="AB2786" t="n">
        <v>4</v>
      </c>
      <c r="AC2786" t="n">
        <v>5</v>
      </c>
      <c r="AD2786" t="n">
        <v>27</v>
      </c>
      <c r="AE2786" t="n">
        <v>31</v>
      </c>
      <c r="AF2786" t="n">
        <v>13</v>
      </c>
      <c r="AG2786" t="n">
        <v>14</v>
      </c>
      <c r="AH2786" t="n">
        <v>3</v>
      </c>
      <c r="AI2786" t="n">
        <v>5</v>
      </c>
      <c r="AJ2786" t="n">
        <v>17</v>
      </c>
      <c r="AK2786" t="n">
        <v>17</v>
      </c>
      <c r="AL2786" t="n">
        <v>3</v>
      </c>
      <c r="AM2786" t="n">
        <v>4</v>
      </c>
      <c r="AN2786" t="n">
        <v>0</v>
      </c>
      <c r="AO2786" t="n">
        <v>0</v>
      </c>
      <c r="AP2786" t="inlineStr">
        <is>
          <t>No</t>
        </is>
      </c>
      <c r="AQ2786" t="inlineStr">
        <is>
          <t>No</t>
        </is>
      </c>
      <c r="AS2786">
        <f>HYPERLINK("https://creighton-primo.hosted.exlibrisgroup.com/primo-explore/search?tab=default_tab&amp;search_scope=EVERYTHING&amp;vid=01CRU&amp;lang=en_US&amp;offset=0&amp;query=any,contains,991003007959702656","Catalog Record")</f>
        <v/>
      </c>
      <c r="AT2786">
        <f>HYPERLINK("http://www.worldcat.org/oclc/40783869","WorldCat Record")</f>
        <v/>
      </c>
      <c r="AU2786" t="inlineStr">
        <is>
          <t>9301539:eng</t>
        </is>
      </c>
      <c r="AV2786" t="inlineStr">
        <is>
          <t>40783869</t>
        </is>
      </c>
      <c r="AW2786" t="inlineStr">
        <is>
          <t>991003007959702656</t>
        </is>
      </c>
      <c r="AX2786" t="inlineStr">
        <is>
          <t>991003007959702656</t>
        </is>
      </c>
      <c r="AY2786" t="inlineStr">
        <is>
          <t>2255428140002656</t>
        </is>
      </c>
      <c r="AZ2786" t="inlineStr">
        <is>
          <t>BOOK</t>
        </is>
      </c>
      <c r="BB2786" t="inlineStr">
        <is>
          <t>9780805044300</t>
        </is>
      </c>
      <c r="BC2786" t="inlineStr">
        <is>
          <t>32285003618823</t>
        </is>
      </c>
      <c r="BD2786" t="inlineStr">
        <is>
          <t>893604335</t>
        </is>
      </c>
    </row>
    <row r="2787">
      <c r="A2787" t="inlineStr">
        <is>
          <t>No</t>
        </is>
      </c>
      <c r="B2787" t="inlineStr">
        <is>
          <t>BX695 .S7</t>
        </is>
      </c>
      <c r="C2787" t="inlineStr">
        <is>
          <t>0                      BX 0695000S  7</t>
        </is>
      </c>
      <c r="D2787" t="inlineStr">
        <is>
          <t>Theology and the church / Dumitru Staniloae ; translated by Robert Barringer ; foreword by John Meyendorff.</t>
        </is>
      </c>
      <c r="F2787" t="inlineStr">
        <is>
          <t>No</t>
        </is>
      </c>
      <c r="G2787" t="inlineStr">
        <is>
          <t>1</t>
        </is>
      </c>
      <c r="H2787" t="inlineStr">
        <is>
          <t>No</t>
        </is>
      </c>
      <c r="I2787" t="inlineStr">
        <is>
          <t>No</t>
        </is>
      </c>
      <c r="J2787" t="inlineStr">
        <is>
          <t>0</t>
        </is>
      </c>
      <c r="K2787" t="inlineStr">
        <is>
          <t>Stăniloae, Dumitru.</t>
        </is>
      </c>
      <c r="L2787" t="inlineStr">
        <is>
          <t>Crestwood, N.Y. : St. Vladimir's Seminary Press, 1980.</t>
        </is>
      </c>
      <c r="M2787" t="inlineStr">
        <is>
          <t>1980</t>
        </is>
      </c>
      <c r="O2787" t="inlineStr">
        <is>
          <t>eng</t>
        </is>
      </c>
      <c r="P2787" t="inlineStr">
        <is>
          <t>nyu</t>
        </is>
      </c>
      <c r="R2787" t="inlineStr">
        <is>
          <t xml:space="preserve">BX </t>
        </is>
      </c>
      <c r="S2787" t="n">
        <v>4</v>
      </c>
      <c r="T2787" t="n">
        <v>4</v>
      </c>
      <c r="U2787" t="inlineStr">
        <is>
          <t>2002-12-01</t>
        </is>
      </c>
      <c r="V2787" t="inlineStr">
        <is>
          <t>2002-12-01</t>
        </is>
      </c>
      <c r="W2787" t="inlineStr">
        <is>
          <t>1990-07-23</t>
        </is>
      </c>
      <c r="X2787" t="inlineStr">
        <is>
          <t>1990-07-23</t>
        </is>
      </c>
      <c r="Y2787" t="n">
        <v>237</v>
      </c>
      <c r="Z2787" t="n">
        <v>193</v>
      </c>
      <c r="AA2787" t="n">
        <v>193</v>
      </c>
      <c r="AB2787" t="n">
        <v>1</v>
      </c>
      <c r="AC2787" t="n">
        <v>1</v>
      </c>
      <c r="AD2787" t="n">
        <v>17</v>
      </c>
      <c r="AE2787" t="n">
        <v>17</v>
      </c>
      <c r="AF2787" t="n">
        <v>3</v>
      </c>
      <c r="AG2787" t="n">
        <v>3</v>
      </c>
      <c r="AH2787" t="n">
        <v>4</v>
      </c>
      <c r="AI2787" t="n">
        <v>4</v>
      </c>
      <c r="AJ2787" t="n">
        <v>13</v>
      </c>
      <c r="AK2787" t="n">
        <v>13</v>
      </c>
      <c r="AL2787" t="n">
        <v>0</v>
      </c>
      <c r="AM2787" t="n">
        <v>0</v>
      </c>
      <c r="AN2787" t="n">
        <v>0</v>
      </c>
      <c r="AO2787" t="n">
        <v>0</v>
      </c>
      <c r="AP2787" t="inlineStr">
        <is>
          <t>No</t>
        </is>
      </c>
      <c r="AQ2787" t="inlineStr">
        <is>
          <t>No</t>
        </is>
      </c>
      <c r="AS2787">
        <f>HYPERLINK("https://creighton-primo.hosted.exlibrisgroup.com/primo-explore/search?tab=default_tab&amp;search_scope=EVERYTHING&amp;vid=01CRU&amp;lang=en_US&amp;offset=0&amp;query=any,contains,991005002869702656","Catalog Record")</f>
        <v/>
      </c>
      <c r="AT2787">
        <f>HYPERLINK("http://www.worldcat.org/oclc/6554938","WorldCat Record")</f>
        <v/>
      </c>
      <c r="AU2787" t="inlineStr">
        <is>
          <t>2939453:eng</t>
        </is>
      </c>
      <c r="AV2787" t="inlineStr">
        <is>
          <t>6554938</t>
        </is>
      </c>
      <c r="AW2787" t="inlineStr">
        <is>
          <t>991005002869702656</t>
        </is>
      </c>
      <c r="AX2787" t="inlineStr">
        <is>
          <t>991005002869702656</t>
        </is>
      </c>
      <c r="AY2787" t="inlineStr">
        <is>
          <t>2256677730002656</t>
        </is>
      </c>
      <c r="AZ2787" t="inlineStr">
        <is>
          <t>BOOK</t>
        </is>
      </c>
      <c r="BB2787" t="inlineStr">
        <is>
          <t>9780913836699</t>
        </is>
      </c>
      <c r="BC2787" t="inlineStr">
        <is>
          <t>32285000247246</t>
        </is>
      </c>
      <c r="BD2787" t="inlineStr">
        <is>
          <t>893526760</t>
        </is>
      </c>
    </row>
    <row r="2788">
      <c r="A2788" t="inlineStr">
        <is>
          <t>No</t>
        </is>
      </c>
      <c r="B2788" t="inlineStr">
        <is>
          <t>BX6955 .C6 1907a</t>
        </is>
      </c>
      <c r="C2788" t="inlineStr">
        <is>
          <t>0                      BX 6955000C  6           1907a</t>
        </is>
      </c>
      <c r="D2788" t="inlineStr">
        <is>
          <t>Christian science : with notes containing corrections to date / by Mark Twain [i.e., S. L. Clemens]</t>
        </is>
      </c>
      <c r="F2788" t="inlineStr">
        <is>
          <t>No</t>
        </is>
      </c>
      <c r="G2788" t="inlineStr">
        <is>
          <t>1</t>
        </is>
      </c>
      <c r="H2788" t="inlineStr">
        <is>
          <t>No</t>
        </is>
      </c>
      <c r="I2788" t="inlineStr">
        <is>
          <t>No</t>
        </is>
      </c>
      <c r="J2788" t="inlineStr">
        <is>
          <t>0</t>
        </is>
      </c>
      <c r="K2788" t="inlineStr">
        <is>
          <t>Twain, Mark, 1835-1910.</t>
        </is>
      </c>
      <c r="L2788" t="inlineStr">
        <is>
          <t>New York : Collier, [c1907]</t>
        </is>
      </c>
      <c r="M2788" t="inlineStr">
        <is>
          <t>1907</t>
        </is>
      </c>
      <c r="O2788" t="inlineStr">
        <is>
          <t>eng</t>
        </is>
      </c>
      <c r="P2788" t="inlineStr">
        <is>
          <t>nyu</t>
        </is>
      </c>
      <c r="R2788" t="inlineStr">
        <is>
          <t xml:space="preserve">BX </t>
        </is>
      </c>
      <c r="S2788" t="n">
        <v>3</v>
      </c>
      <c r="T2788" t="n">
        <v>3</v>
      </c>
      <c r="U2788" t="inlineStr">
        <is>
          <t>2004-04-06</t>
        </is>
      </c>
      <c r="V2788" t="inlineStr">
        <is>
          <t>2004-04-06</t>
        </is>
      </c>
      <c r="W2788" t="inlineStr">
        <is>
          <t>1992-05-08</t>
        </is>
      </c>
      <c r="X2788" t="inlineStr">
        <is>
          <t>1992-05-08</t>
        </is>
      </c>
      <c r="Y2788" t="n">
        <v>78</v>
      </c>
      <c r="Z2788" t="n">
        <v>67</v>
      </c>
      <c r="AA2788" t="n">
        <v>1002</v>
      </c>
      <c r="AB2788" t="n">
        <v>4</v>
      </c>
      <c r="AC2788" t="n">
        <v>11</v>
      </c>
      <c r="AD2788" t="n">
        <v>4</v>
      </c>
      <c r="AE2788" t="n">
        <v>32</v>
      </c>
      <c r="AF2788" t="n">
        <v>2</v>
      </c>
      <c r="AG2788" t="n">
        <v>12</v>
      </c>
      <c r="AH2788" t="n">
        <v>0</v>
      </c>
      <c r="AI2788" t="n">
        <v>4</v>
      </c>
      <c r="AJ2788" t="n">
        <v>0</v>
      </c>
      <c r="AK2788" t="n">
        <v>13</v>
      </c>
      <c r="AL2788" t="n">
        <v>2</v>
      </c>
      <c r="AM2788" t="n">
        <v>7</v>
      </c>
      <c r="AN2788" t="n">
        <v>0</v>
      </c>
      <c r="AO2788" t="n">
        <v>0</v>
      </c>
      <c r="AP2788" t="inlineStr">
        <is>
          <t>Yes</t>
        </is>
      </c>
      <c r="AQ2788" t="inlineStr">
        <is>
          <t>No</t>
        </is>
      </c>
      <c r="AR2788">
        <f>HYPERLINK("http://catalog.hathitrust.org/Record/003855416","HathiTrust Record")</f>
        <v/>
      </c>
      <c r="AS2788">
        <f>HYPERLINK("https://creighton-primo.hosted.exlibrisgroup.com/primo-explore/search?tab=default_tab&amp;search_scope=EVERYTHING&amp;vid=01CRU&amp;lang=en_US&amp;offset=0&amp;query=any,contains,991004521669702656","Catalog Record")</f>
        <v/>
      </c>
      <c r="AT2788">
        <f>HYPERLINK("http://www.worldcat.org/oclc/3823043","WorldCat Record")</f>
        <v/>
      </c>
      <c r="AU2788" t="inlineStr">
        <is>
          <t>1581661:eng</t>
        </is>
      </c>
      <c r="AV2788" t="inlineStr">
        <is>
          <t>3823043</t>
        </is>
      </c>
      <c r="AW2788" t="inlineStr">
        <is>
          <t>991004521669702656</t>
        </is>
      </c>
      <c r="AX2788" t="inlineStr">
        <is>
          <t>991004521669702656</t>
        </is>
      </c>
      <c r="AY2788" t="inlineStr">
        <is>
          <t>2257495760002656</t>
        </is>
      </c>
      <c r="AZ2788" t="inlineStr">
        <is>
          <t>BOOK</t>
        </is>
      </c>
      <c r="BC2788" t="inlineStr">
        <is>
          <t>32285001122760</t>
        </is>
      </c>
      <c r="BD2788" t="inlineStr">
        <is>
          <t>893706530</t>
        </is>
      </c>
    </row>
    <row r="2789">
      <c r="A2789" t="inlineStr">
        <is>
          <t>No</t>
        </is>
      </c>
      <c r="B2789" t="inlineStr">
        <is>
          <t>BX6995 .D33</t>
        </is>
      </c>
      <c r="C2789" t="inlineStr">
        <is>
          <t>0                      BX 6995000D  33</t>
        </is>
      </c>
      <c r="D2789" t="inlineStr">
        <is>
          <t>Mrs. Eddy : the biography of a virginal mind / by Edwin Franden Dakin.</t>
        </is>
      </c>
      <c r="F2789" t="inlineStr">
        <is>
          <t>No</t>
        </is>
      </c>
      <c r="G2789" t="inlineStr">
        <is>
          <t>1</t>
        </is>
      </c>
      <c r="H2789" t="inlineStr">
        <is>
          <t>No</t>
        </is>
      </c>
      <c r="I2789" t="inlineStr">
        <is>
          <t>No</t>
        </is>
      </c>
      <c r="J2789" t="inlineStr">
        <is>
          <t>0</t>
        </is>
      </c>
      <c r="K2789" t="inlineStr">
        <is>
          <t>Dakin, Edwin Franden, 1898-1976.</t>
        </is>
      </c>
      <c r="L2789" t="inlineStr">
        <is>
          <t>New York ; London : C. Scribner's sons, c1930.</t>
        </is>
      </c>
      <c r="M2789" t="inlineStr">
        <is>
          <t>1930</t>
        </is>
      </c>
      <c r="O2789" t="inlineStr">
        <is>
          <t>eng</t>
        </is>
      </c>
      <c r="P2789" t="inlineStr">
        <is>
          <t>nyu</t>
        </is>
      </c>
      <c r="R2789" t="inlineStr">
        <is>
          <t xml:space="preserve">BX </t>
        </is>
      </c>
      <c r="S2789" t="n">
        <v>3</v>
      </c>
      <c r="T2789" t="n">
        <v>3</v>
      </c>
      <c r="U2789" t="inlineStr">
        <is>
          <t>2001-04-10</t>
        </is>
      </c>
      <c r="V2789" t="inlineStr">
        <is>
          <t>2001-04-10</t>
        </is>
      </c>
      <c r="W2789" t="inlineStr">
        <is>
          <t>1990-03-28</t>
        </is>
      </c>
      <c r="X2789" t="inlineStr">
        <is>
          <t>1990-03-28</t>
        </is>
      </c>
      <c r="Y2789" t="n">
        <v>288</v>
      </c>
      <c r="Z2789" t="n">
        <v>263</v>
      </c>
      <c r="AA2789" t="n">
        <v>831</v>
      </c>
      <c r="AB2789" t="n">
        <v>2</v>
      </c>
      <c r="AC2789" t="n">
        <v>5</v>
      </c>
      <c r="AD2789" t="n">
        <v>12</v>
      </c>
      <c r="AE2789" t="n">
        <v>35</v>
      </c>
      <c r="AF2789" t="n">
        <v>3</v>
      </c>
      <c r="AG2789" t="n">
        <v>15</v>
      </c>
      <c r="AH2789" t="n">
        <v>2</v>
      </c>
      <c r="AI2789" t="n">
        <v>7</v>
      </c>
      <c r="AJ2789" t="n">
        <v>7</v>
      </c>
      <c r="AK2789" t="n">
        <v>15</v>
      </c>
      <c r="AL2789" t="n">
        <v>1</v>
      </c>
      <c r="AM2789" t="n">
        <v>3</v>
      </c>
      <c r="AN2789" t="n">
        <v>0</v>
      </c>
      <c r="AO2789" t="n">
        <v>0</v>
      </c>
      <c r="AP2789" t="inlineStr">
        <is>
          <t>No</t>
        </is>
      </c>
      <c r="AQ2789" t="inlineStr">
        <is>
          <t>Yes</t>
        </is>
      </c>
      <c r="AR2789">
        <f>HYPERLINK("http://catalog.hathitrust.org/Record/001593387","HathiTrust Record")</f>
        <v/>
      </c>
      <c r="AS2789">
        <f>HYPERLINK("https://creighton-primo.hosted.exlibrisgroup.com/primo-explore/search?tab=default_tab&amp;search_scope=EVERYTHING&amp;vid=01CRU&amp;lang=en_US&amp;offset=0&amp;query=any,contains,991003930939702656","Catalog Record")</f>
        <v/>
      </c>
      <c r="AT2789">
        <f>HYPERLINK("http://www.worldcat.org/oclc/1896677","WorldCat Record")</f>
        <v/>
      </c>
      <c r="AU2789" t="inlineStr">
        <is>
          <t>1183875:eng</t>
        </is>
      </c>
      <c r="AV2789" t="inlineStr">
        <is>
          <t>1896677</t>
        </is>
      </c>
      <c r="AW2789" t="inlineStr">
        <is>
          <t>991003930939702656</t>
        </is>
      </c>
      <c r="AX2789" t="inlineStr">
        <is>
          <t>991003930939702656</t>
        </is>
      </c>
      <c r="AY2789" t="inlineStr">
        <is>
          <t>2260971340002656</t>
        </is>
      </c>
      <c r="AZ2789" t="inlineStr">
        <is>
          <t>BOOK</t>
        </is>
      </c>
      <c r="BC2789" t="inlineStr">
        <is>
          <t>32285000105246</t>
        </is>
      </c>
      <c r="BD2789" t="inlineStr">
        <is>
          <t>893435674</t>
        </is>
      </c>
    </row>
    <row r="2790">
      <c r="A2790" t="inlineStr">
        <is>
          <t>No</t>
        </is>
      </c>
      <c r="B2790" t="inlineStr">
        <is>
          <t>BX7117 .M25</t>
        </is>
      </c>
      <c r="C2790" t="inlineStr">
        <is>
          <t>0                      BX 7117000M  25</t>
        </is>
      </c>
      <c r="D2790" t="inlineStr">
        <is>
          <t>Selections from Cotton Mather / edited with an introduction and notes by Kenneth B. Murdock.</t>
        </is>
      </c>
      <c r="F2790" t="inlineStr">
        <is>
          <t>No</t>
        </is>
      </c>
      <c r="G2790" t="inlineStr">
        <is>
          <t>1</t>
        </is>
      </c>
      <c r="H2790" t="inlineStr">
        <is>
          <t>No</t>
        </is>
      </c>
      <c r="I2790" t="inlineStr">
        <is>
          <t>No</t>
        </is>
      </c>
      <c r="J2790" t="inlineStr">
        <is>
          <t>0</t>
        </is>
      </c>
      <c r="K2790" t="inlineStr">
        <is>
          <t>Mather, Cotton, 1663-1728.</t>
        </is>
      </c>
      <c r="L2790" t="inlineStr">
        <is>
          <t>New York : Harcourt, Brace, [c1926]</t>
        </is>
      </c>
      <c r="M2790" t="inlineStr">
        <is>
          <t>1926</t>
        </is>
      </c>
      <c r="O2790" t="inlineStr">
        <is>
          <t>eng</t>
        </is>
      </c>
      <c r="P2790" t="inlineStr">
        <is>
          <t>nyu</t>
        </is>
      </c>
      <c r="Q2790" t="inlineStr">
        <is>
          <t>American authors series</t>
        </is>
      </c>
      <c r="R2790" t="inlineStr">
        <is>
          <t xml:space="preserve">BX </t>
        </is>
      </c>
      <c r="S2790" t="n">
        <v>2</v>
      </c>
      <c r="T2790" t="n">
        <v>2</v>
      </c>
      <c r="U2790" t="inlineStr">
        <is>
          <t>1995-01-05</t>
        </is>
      </c>
      <c r="V2790" t="inlineStr">
        <is>
          <t>1995-01-05</t>
        </is>
      </c>
      <c r="W2790" t="inlineStr">
        <is>
          <t>1990-04-25</t>
        </is>
      </c>
      <c r="X2790" t="inlineStr">
        <is>
          <t>1990-04-25</t>
        </is>
      </c>
      <c r="Y2790" t="n">
        <v>298</v>
      </c>
      <c r="Z2790" t="n">
        <v>289</v>
      </c>
      <c r="AA2790" t="n">
        <v>731</v>
      </c>
      <c r="AB2790" t="n">
        <v>5</v>
      </c>
      <c r="AC2790" t="n">
        <v>7</v>
      </c>
      <c r="AD2790" t="n">
        <v>11</v>
      </c>
      <c r="AE2790" t="n">
        <v>32</v>
      </c>
      <c r="AF2790" t="n">
        <v>3</v>
      </c>
      <c r="AG2790" t="n">
        <v>14</v>
      </c>
      <c r="AH2790" t="n">
        <v>2</v>
      </c>
      <c r="AI2790" t="n">
        <v>3</v>
      </c>
      <c r="AJ2790" t="n">
        <v>3</v>
      </c>
      <c r="AK2790" t="n">
        <v>14</v>
      </c>
      <c r="AL2790" t="n">
        <v>4</v>
      </c>
      <c r="AM2790" t="n">
        <v>6</v>
      </c>
      <c r="AN2790" t="n">
        <v>0</v>
      </c>
      <c r="AO2790" t="n">
        <v>0</v>
      </c>
      <c r="AP2790" t="inlineStr">
        <is>
          <t>No</t>
        </is>
      </c>
      <c r="AQ2790" t="inlineStr">
        <is>
          <t>Yes</t>
        </is>
      </c>
      <c r="AR2790">
        <f>HYPERLINK("http://catalog.hathitrust.org/Record/001593416","HathiTrust Record")</f>
        <v/>
      </c>
      <c r="AS2790">
        <f>HYPERLINK("https://creighton-primo.hosted.exlibrisgroup.com/primo-explore/search?tab=default_tab&amp;search_scope=EVERYTHING&amp;vid=01CRU&amp;lang=en_US&amp;offset=0&amp;query=any,contains,991003941409702656","Catalog Record")</f>
        <v/>
      </c>
      <c r="AT2790">
        <f>HYPERLINK("http://www.worldcat.org/oclc/1932027","WorldCat Record")</f>
        <v/>
      </c>
      <c r="AU2790" t="inlineStr">
        <is>
          <t>196289:eng</t>
        </is>
      </c>
      <c r="AV2790" t="inlineStr">
        <is>
          <t>1932027</t>
        </is>
      </c>
      <c r="AW2790" t="inlineStr">
        <is>
          <t>991003941409702656</t>
        </is>
      </c>
      <c r="AX2790" t="inlineStr">
        <is>
          <t>991003941409702656</t>
        </is>
      </c>
      <c r="AY2790" t="inlineStr">
        <is>
          <t>2263644450002656</t>
        </is>
      </c>
      <c r="AZ2790" t="inlineStr">
        <is>
          <t>BOOK</t>
        </is>
      </c>
      <c r="BC2790" t="inlineStr">
        <is>
          <t>32285000132406</t>
        </is>
      </c>
      <c r="BD2790" t="inlineStr">
        <is>
          <t>893349411</t>
        </is>
      </c>
    </row>
    <row r="2791">
      <c r="A2791" t="inlineStr">
        <is>
          <t>No</t>
        </is>
      </c>
      <c r="B2791" t="inlineStr">
        <is>
          <t>BX7131 .S9 1964</t>
        </is>
      </c>
      <c r="C2791" t="inlineStr">
        <is>
          <t>0                      BX 7131000S  9           1964</t>
        </is>
      </c>
      <c r="D2791" t="inlineStr">
        <is>
          <t>The Congregationalists : a collection of source materials / by William Warren Sweet.</t>
        </is>
      </c>
      <c r="F2791" t="inlineStr">
        <is>
          <t>No</t>
        </is>
      </c>
      <c r="G2791" t="inlineStr">
        <is>
          <t>1</t>
        </is>
      </c>
      <c r="H2791" t="inlineStr">
        <is>
          <t>No</t>
        </is>
      </c>
      <c r="I2791" t="inlineStr">
        <is>
          <t>No</t>
        </is>
      </c>
      <c r="J2791" t="inlineStr">
        <is>
          <t>0</t>
        </is>
      </c>
      <c r="K2791" t="inlineStr">
        <is>
          <t>Sweet, William Warren, 1881-1959 editor.</t>
        </is>
      </c>
      <c r="L2791" t="inlineStr">
        <is>
          <t>New York : Cooper Square Publishers, 1964 [c1939]</t>
        </is>
      </c>
      <c r="M2791" t="inlineStr">
        <is>
          <t>1964</t>
        </is>
      </c>
      <c r="O2791" t="inlineStr">
        <is>
          <t>eng</t>
        </is>
      </c>
      <c r="P2791" t="inlineStr">
        <is>
          <t>nyu</t>
        </is>
      </c>
      <c r="Q2791" t="inlineStr">
        <is>
          <t>His Religion on the American frontier, 1783-1850, v. 3</t>
        </is>
      </c>
      <c r="R2791" t="inlineStr">
        <is>
          <t xml:space="preserve">BX </t>
        </is>
      </c>
      <c r="S2791" t="n">
        <v>1</v>
      </c>
      <c r="T2791" t="n">
        <v>1</v>
      </c>
      <c r="U2791" t="inlineStr">
        <is>
          <t>2009-03-29</t>
        </is>
      </c>
      <c r="V2791" t="inlineStr">
        <is>
          <t>2009-03-29</t>
        </is>
      </c>
      <c r="W2791" t="inlineStr">
        <is>
          <t>1992-05-18</t>
        </is>
      </c>
      <c r="X2791" t="inlineStr">
        <is>
          <t>1992-05-18</t>
        </is>
      </c>
      <c r="Y2791" t="n">
        <v>422</v>
      </c>
      <c r="Z2791" t="n">
        <v>403</v>
      </c>
      <c r="AA2791" t="n">
        <v>778</v>
      </c>
      <c r="AB2791" t="n">
        <v>5</v>
      </c>
      <c r="AC2791" t="n">
        <v>10</v>
      </c>
      <c r="AD2791" t="n">
        <v>17</v>
      </c>
      <c r="AE2791" t="n">
        <v>38</v>
      </c>
      <c r="AF2791" t="n">
        <v>7</v>
      </c>
      <c r="AG2791" t="n">
        <v>17</v>
      </c>
      <c r="AH2791" t="n">
        <v>0</v>
      </c>
      <c r="AI2791" t="n">
        <v>4</v>
      </c>
      <c r="AJ2791" t="n">
        <v>9</v>
      </c>
      <c r="AK2791" t="n">
        <v>15</v>
      </c>
      <c r="AL2791" t="n">
        <v>3</v>
      </c>
      <c r="AM2791" t="n">
        <v>8</v>
      </c>
      <c r="AN2791" t="n">
        <v>0</v>
      </c>
      <c r="AO2791" t="n">
        <v>0</v>
      </c>
      <c r="AP2791" t="inlineStr">
        <is>
          <t>No</t>
        </is>
      </c>
      <c r="AQ2791" t="inlineStr">
        <is>
          <t>Yes</t>
        </is>
      </c>
      <c r="AR2791">
        <f>HYPERLINK("http://catalog.hathitrust.org/Record/001960348","HathiTrust Record")</f>
        <v/>
      </c>
      <c r="AS2791">
        <f>HYPERLINK("https://creighton-primo.hosted.exlibrisgroup.com/primo-explore/search?tab=default_tab&amp;search_scope=EVERYTHING&amp;vid=01CRU&amp;lang=en_US&amp;offset=0&amp;query=any,contains,991002143789702656","Catalog Record")</f>
        <v/>
      </c>
      <c r="AT2791">
        <f>HYPERLINK("http://www.worldcat.org/oclc/16741759","WorldCat Record")</f>
        <v/>
      </c>
      <c r="AU2791" t="inlineStr">
        <is>
          <t>2530154:eng</t>
        </is>
      </c>
      <c r="AV2791" t="inlineStr">
        <is>
          <t>16741759</t>
        </is>
      </c>
      <c r="AW2791" t="inlineStr">
        <is>
          <t>991002143789702656</t>
        </is>
      </c>
      <c r="AX2791" t="inlineStr">
        <is>
          <t>991002143789702656</t>
        </is>
      </c>
      <c r="AY2791" t="inlineStr">
        <is>
          <t>2261875760002656</t>
        </is>
      </c>
      <c r="AZ2791" t="inlineStr">
        <is>
          <t>BOOK</t>
        </is>
      </c>
      <c r="BC2791" t="inlineStr">
        <is>
          <t>32285001123370</t>
        </is>
      </c>
      <c r="BD2791" t="inlineStr">
        <is>
          <t>893691248</t>
        </is>
      </c>
    </row>
    <row r="2792">
      <c r="A2792" t="inlineStr">
        <is>
          <t>No</t>
        </is>
      </c>
      <c r="B2792" t="inlineStr">
        <is>
          <t>BX7135 .Y68 1990</t>
        </is>
      </c>
      <c r="C2792" t="inlineStr">
        <is>
          <t>0                      BX 7135000Y  68          1990</t>
        </is>
      </c>
      <c r="D2792" t="inlineStr">
        <is>
          <t>The Congregationalists / J. William T. Youngs.</t>
        </is>
      </c>
      <c r="F2792" t="inlineStr">
        <is>
          <t>No</t>
        </is>
      </c>
      <c r="G2792" t="inlineStr">
        <is>
          <t>1</t>
        </is>
      </c>
      <c r="H2792" t="inlineStr">
        <is>
          <t>No</t>
        </is>
      </c>
      <c r="I2792" t="inlineStr">
        <is>
          <t>No</t>
        </is>
      </c>
      <c r="J2792" t="inlineStr">
        <is>
          <t>0</t>
        </is>
      </c>
      <c r="K2792" t="inlineStr">
        <is>
          <t>Youngs, J. William T. (John William Theodore), 1941-</t>
        </is>
      </c>
      <c r="L2792" t="inlineStr">
        <is>
          <t>New York : Greenwood Press, 1990.</t>
        </is>
      </c>
      <c r="M2792" t="inlineStr">
        <is>
          <t>1990</t>
        </is>
      </c>
      <c r="O2792" t="inlineStr">
        <is>
          <t>eng</t>
        </is>
      </c>
      <c r="P2792" t="inlineStr">
        <is>
          <t>nyu</t>
        </is>
      </c>
      <c r="Q2792" t="inlineStr">
        <is>
          <t>Denominations in America, 0193-6883 ; no. 4</t>
        </is>
      </c>
      <c r="R2792" t="inlineStr">
        <is>
          <t xml:space="preserve">BX </t>
        </is>
      </c>
      <c r="S2792" t="n">
        <v>4</v>
      </c>
      <c r="T2792" t="n">
        <v>4</v>
      </c>
      <c r="U2792" t="inlineStr">
        <is>
          <t>2009-03-29</t>
        </is>
      </c>
      <c r="V2792" t="inlineStr">
        <is>
          <t>2009-03-29</t>
        </is>
      </c>
      <c r="W2792" t="inlineStr">
        <is>
          <t>1995-01-14</t>
        </is>
      </c>
      <c r="X2792" t="inlineStr">
        <is>
          <t>1995-01-14</t>
        </is>
      </c>
      <c r="Y2792" t="n">
        <v>507</v>
      </c>
      <c r="Z2792" t="n">
        <v>459</v>
      </c>
      <c r="AA2792" t="n">
        <v>564</v>
      </c>
      <c r="AB2792" t="n">
        <v>6</v>
      </c>
      <c r="AC2792" t="n">
        <v>7</v>
      </c>
      <c r="AD2792" t="n">
        <v>27</v>
      </c>
      <c r="AE2792" t="n">
        <v>34</v>
      </c>
      <c r="AF2792" t="n">
        <v>14</v>
      </c>
      <c r="AG2792" t="n">
        <v>16</v>
      </c>
      <c r="AH2792" t="n">
        <v>4</v>
      </c>
      <c r="AI2792" t="n">
        <v>5</v>
      </c>
      <c r="AJ2792" t="n">
        <v>13</v>
      </c>
      <c r="AK2792" t="n">
        <v>16</v>
      </c>
      <c r="AL2792" t="n">
        <v>3</v>
      </c>
      <c r="AM2792" t="n">
        <v>4</v>
      </c>
      <c r="AN2792" t="n">
        <v>0</v>
      </c>
      <c r="AO2792" t="n">
        <v>0</v>
      </c>
      <c r="AP2792" t="inlineStr">
        <is>
          <t>No</t>
        </is>
      </c>
      <c r="AQ2792" t="inlineStr">
        <is>
          <t>Yes</t>
        </is>
      </c>
      <c r="AR2792">
        <f>HYPERLINK("http://catalog.hathitrust.org/Record/002422354","HathiTrust Record")</f>
        <v/>
      </c>
      <c r="AS2792">
        <f>HYPERLINK("https://creighton-primo.hosted.exlibrisgroup.com/primo-explore/search?tab=default_tab&amp;search_scope=EVERYTHING&amp;vid=01CRU&amp;lang=en_US&amp;offset=0&amp;query=any,contains,991002261459702656","Catalog Record")</f>
        <v/>
      </c>
      <c r="AT2792">
        <f>HYPERLINK("http://www.worldcat.org/oclc/20932321","WorldCat Record")</f>
        <v/>
      </c>
      <c r="AU2792" t="inlineStr">
        <is>
          <t>2580808:eng</t>
        </is>
      </c>
      <c r="AV2792" t="inlineStr">
        <is>
          <t>20932321</t>
        </is>
      </c>
      <c r="AW2792" t="inlineStr">
        <is>
          <t>991002261459702656</t>
        </is>
      </c>
      <c r="AX2792" t="inlineStr">
        <is>
          <t>991002261459702656</t>
        </is>
      </c>
      <c r="AY2792" t="inlineStr">
        <is>
          <t>2265644360002656</t>
        </is>
      </c>
      <c r="AZ2792" t="inlineStr">
        <is>
          <t>BOOK</t>
        </is>
      </c>
      <c r="BB2792" t="inlineStr">
        <is>
          <t>9780313221590</t>
        </is>
      </c>
      <c r="BC2792" t="inlineStr">
        <is>
          <t>32285001992907</t>
        </is>
      </c>
      <c r="BD2792" t="inlineStr">
        <is>
          <t>893898548</t>
        </is>
      </c>
    </row>
    <row r="2793">
      <c r="A2793" t="inlineStr">
        <is>
          <t>No</t>
        </is>
      </c>
      <c r="B2793" t="inlineStr">
        <is>
          <t>BX7230 .C748 1968</t>
        </is>
      </c>
      <c r="C2793" t="inlineStr">
        <is>
          <t>0                      BX 7230000C  748         1968</t>
        </is>
      </c>
      <c r="D2793" t="inlineStr">
        <is>
          <t>John Cotton on the churches of New England / edited by Larzer Ziff.</t>
        </is>
      </c>
      <c r="F2793" t="inlineStr">
        <is>
          <t>No</t>
        </is>
      </c>
      <c r="G2793" t="inlineStr">
        <is>
          <t>1</t>
        </is>
      </c>
      <c r="H2793" t="inlineStr">
        <is>
          <t>No</t>
        </is>
      </c>
      <c r="I2793" t="inlineStr">
        <is>
          <t>No</t>
        </is>
      </c>
      <c r="J2793" t="inlineStr">
        <is>
          <t>0</t>
        </is>
      </c>
      <c r="K2793" t="inlineStr">
        <is>
          <t>Cotton, John, 1584-1652.</t>
        </is>
      </c>
      <c r="L2793" t="inlineStr">
        <is>
          <t>Cambridge, Mass. : Belknap Press of Harvard University Press, 1968.</t>
        </is>
      </c>
      <c r="M2793" t="inlineStr">
        <is>
          <t>1968</t>
        </is>
      </c>
      <c r="O2793" t="inlineStr">
        <is>
          <t>eng</t>
        </is>
      </c>
      <c r="P2793" t="inlineStr">
        <is>
          <t>mau</t>
        </is>
      </c>
      <c r="Q2793" t="inlineStr">
        <is>
          <t>The John Harvard library</t>
        </is>
      </c>
      <c r="R2793" t="inlineStr">
        <is>
          <t xml:space="preserve">BX </t>
        </is>
      </c>
      <c r="S2793" t="n">
        <v>2</v>
      </c>
      <c r="T2793" t="n">
        <v>2</v>
      </c>
      <c r="U2793" t="inlineStr">
        <is>
          <t>2000-08-23</t>
        </is>
      </c>
      <c r="V2793" t="inlineStr">
        <is>
          <t>2000-08-23</t>
        </is>
      </c>
      <c r="W2793" t="inlineStr">
        <is>
          <t>2000-08-22</t>
        </is>
      </c>
      <c r="X2793" t="inlineStr">
        <is>
          <t>2000-08-22</t>
        </is>
      </c>
      <c r="Y2793" t="n">
        <v>780</v>
      </c>
      <c r="Z2793" t="n">
        <v>691</v>
      </c>
      <c r="AA2793" t="n">
        <v>816</v>
      </c>
      <c r="AB2793" t="n">
        <v>4</v>
      </c>
      <c r="AC2793" t="n">
        <v>5</v>
      </c>
      <c r="AD2793" t="n">
        <v>34</v>
      </c>
      <c r="AE2793" t="n">
        <v>41</v>
      </c>
      <c r="AF2793" t="n">
        <v>13</v>
      </c>
      <c r="AG2793" t="n">
        <v>17</v>
      </c>
      <c r="AH2793" t="n">
        <v>7</v>
      </c>
      <c r="AI2793" t="n">
        <v>10</v>
      </c>
      <c r="AJ2793" t="n">
        <v>18</v>
      </c>
      <c r="AK2793" t="n">
        <v>20</v>
      </c>
      <c r="AL2793" t="n">
        <v>3</v>
      </c>
      <c r="AM2793" t="n">
        <v>4</v>
      </c>
      <c r="AN2793" t="n">
        <v>0</v>
      </c>
      <c r="AO2793" t="n">
        <v>0</v>
      </c>
      <c r="AP2793" t="inlineStr">
        <is>
          <t>No</t>
        </is>
      </c>
      <c r="AQ2793" t="inlineStr">
        <is>
          <t>Yes</t>
        </is>
      </c>
      <c r="AR2793">
        <f>HYPERLINK("http://catalog.hathitrust.org/Record/001593432","HathiTrust Record")</f>
        <v/>
      </c>
      <c r="AS2793">
        <f>HYPERLINK("https://creighton-primo.hosted.exlibrisgroup.com/primo-explore/search?tab=default_tab&amp;search_scope=EVERYTHING&amp;vid=01CRU&amp;lang=en_US&amp;offset=0&amp;query=any,contains,991003270869702656","Catalog Record")</f>
        <v/>
      </c>
      <c r="AT2793">
        <f>HYPERLINK("http://www.worldcat.org/oclc/386587","WorldCat Record")</f>
        <v/>
      </c>
      <c r="AU2793" t="inlineStr">
        <is>
          <t>45379226:eng</t>
        </is>
      </c>
      <c r="AV2793" t="inlineStr">
        <is>
          <t>386587</t>
        </is>
      </c>
      <c r="AW2793" t="inlineStr">
        <is>
          <t>991003270869702656</t>
        </is>
      </c>
      <c r="AX2793" t="inlineStr">
        <is>
          <t>991003270869702656</t>
        </is>
      </c>
      <c r="AY2793" t="inlineStr">
        <is>
          <t>2259524660002656</t>
        </is>
      </c>
      <c r="AZ2793" t="inlineStr">
        <is>
          <t>BOOK</t>
        </is>
      </c>
      <c r="BC2793" t="inlineStr">
        <is>
          <t>32285003758314</t>
        </is>
      </c>
      <c r="BD2793" t="inlineStr">
        <is>
          <t>893598431</t>
        </is>
      </c>
    </row>
    <row r="2794">
      <c r="A2794" t="inlineStr">
        <is>
          <t>No</t>
        </is>
      </c>
      <c r="B2794" t="inlineStr">
        <is>
          <t>BX7237 .G7 1984</t>
        </is>
      </c>
      <c r="C2794" t="inlineStr">
        <is>
          <t>0                      BX 7237000G  7           1984</t>
        </is>
      </c>
      <c r="D2794" t="inlineStr">
        <is>
          <t>Congregational worshipbook / Henry David Gray.</t>
        </is>
      </c>
      <c r="F2794" t="inlineStr">
        <is>
          <t>No</t>
        </is>
      </c>
      <c r="G2794" t="inlineStr">
        <is>
          <t>1</t>
        </is>
      </c>
      <c r="H2794" t="inlineStr">
        <is>
          <t>No</t>
        </is>
      </c>
      <c r="I2794" t="inlineStr">
        <is>
          <t>No</t>
        </is>
      </c>
      <c r="J2794" t="inlineStr">
        <is>
          <t>0</t>
        </is>
      </c>
      <c r="K2794" t="inlineStr">
        <is>
          <t>Gray, Henry David, 1908-</t>
        </is>
      </c>
      <c r="L2794" t="inlineStr">
        <is>
          <t>Ventura, Calif. (298 Fairfax Ave., Ventura 93003) : American Congregational Center, c1984.</t>
        </is>
      </c>
      <c r="M2794" t="inlineStr">
        <is>
          <t>1984</t>
        </is>
      </c>
      <c r="N2794" t="inlineStr">
        <is>
          <t>Rev. ed.</t>
        </is>
      </c>
      <c r="O2794" t="inlineStr">
        <is>
          <t>eng</t>
        </is>
      </c>
      <c r="P2794" t="inlineStr">
        <is>
          <t>cau</t>
        </is>
      </c>
      <c r="R2794" t="inlineStr">
        <is>
          <t xml:space="preserve">BX </t>
        </is>
      </c>
      <c r="S2794" t="n">
        <v>6</v>
      </c>
      <c r="T2794" t="n">
        <v>6</v>
      </c>
      <c r="U2794" t="inlineStr">
        <is>
          <t>2006-10-26</t>
        </is>
      </c>
      <c r="V2794" t="inlineStr">
        <is>
          <t>2006-10-26</t>
        </is>
      </c>
      <c r="W2794" t="inlineStr">
        <is>
          <t>1992-05-18</t>
        </is>
      </c>
      <c r="X2794" t="inlineStr">
        <is>
          <t>1992-05-18</t>
        </is>
      </c>
      <c r="Y2794" t="n">
        <v>83</v>
      </c>
      <c r="Z2794" t="n">
        <v>78</v>
      </c>
      <c r="AA2794" t="n">
        <v>128</v>
      </c>
      <c r="AB2794" t="n">
        <v>1</v>
      </c>
      <c r="AC2794" t="n">
        <v>1</v>
      </c>
      <c r="AD2794" t="n">
        <v>5</v>
      </c>
      <c r="AE2794" t="n">
        <v>5</v>
      </c>
      <c r="AF2794" t="n">
        <v>1</v>
      </c>
      <c r="AG2794" t="n">
        <v>1</v>
      </c>
      <c r="AH2794" t="n">
        <v>2</v>
      </c>
      <c r="AI2794" t="n">
        <v>2</v>
      </c>
      <c r="AJ2794" t="n">
        <v>4</v>
      </c>
      <c r="AK2794" t="n">
        <v>4</v>
      </c>
      <c r="AL2794" t="n">
        <v>0</v>
      </c>
      <c r="AM2794" t="n">
        <v>0</v>
      </c>
      <c r="AN2794" t="n">
        <v>0</v>
      </c>
      <c r="AO2794" t="n">
        <v>0</v>
      </c>
      <c r="AP2794" t="inlineStr">
        <is>
          <t>No</t>
        </is>
      </c>
      <c r="AQ2794" t="inlineStr">
        <is>
          <t>No</t>
        </is>
      </c>
      <c r="AS2794">
        <f>HYPERLINK("https://creighton-primo.hosted.exlibrisgroup.com/primo-explore/search?tab=default_tab&amp;search_scope=EVERYTHING&amp;vid=01CRU&amp;lang=en_US&amp;offset=0&amp;query=any,contains,991000635399702656","Catalog Record")</f>
        <v/>
      </c>
      <c r="AT2794">
        <f>HYPERLINK("http://www.worldcat.org/oclc/12080423","WorldCat Record")</f>
        <v/>
      </c>
      <c r="AU2794" t="inlineStr">
        <is>
          <t>4696275:eng</t>
        </is>
      </c>
      <c r="AV2794" t="inlineStr">
        <is>
          <t>12080423</t>
        </is>
      </c>
      <c r="AW2794" t="inlineStr">
        <is>
          <t>991000635399702656</t>
        </is>
      </c>
      <c r="AX2794" t="inlineStr">
        <is>
          <t>991000635399702656</t>
        </is>
      </c>
      <c r="AY2794" t="inlineStr">
        <is>
          <t>2267868870002656</t>
        </is>
      </c>
      <c r="AZ2794" t="inlineStr">
        <is>
          <t>BOOK</t>
        </is>
      </c>
      <c r="BC2794" t="inlineStr">
        <is>
          <t>32285001123412</t>
        </is>
      </c>
      <c r="BD2794" t="inlineStr">
        <is>
          <t>893413540</t>
        </is>
      </c>
    </row>
    <row r="2795">
      <c r="A2795" t="inlineStr">
        <is>
          <t>No</t>
        </is>
      </c>
      <c r="B2795" t="inlineStr">
        <is>
          <t>BX7259 .M32 1989</t>
        </is>
      </c>
      <c r="C2795" t="inlineStr">
        <is>
          <t>0                      BX 7259000M  32          1989</t>
        </is>
      </c>
      <c r="D2795" t="inlineStr">
        <is>
          <t>Two Mather biographies : Life and death and Parentator / edited by William J. Scheick.</t>
        </is>
      </c>
      <c r="F2795" t="inlineStr">
        <is>
          <t>No</t>
        </is>
      </c>
      <c r="G2795" t="inlineStr">
        <is>
          <t>1</t>
        </is>
      </c>
      <c r="H2795" t="inlineStr">
        <is>
          <t>No</t>
        </is>
      </c>
      <c r="I2795" t="inlineStr">
        <is>
          <t>No</t>
        </is>
      </c>
      <c r="J2795" t="inlineStr">
        <is>
          <t>0</t>
        </is>
      </c>
      <c r="K2795" t="inlineStr">
        <is>
          <t>Mather, Cotton, 1663-1728.</t>
        </is>
      </c>
      <c r="L2795" t="inlineStr">
        <is>
          <t>Bethlehem, Pa. : Lehigh University Press, c1989.</t>
        </is>
      </c>
      <c r="M2795" t="inlineStr">
        <is>
          <t>1989</t>
        </is>
      </c>
      <c r="O2795" t="inlineStr">
        <is>
          <t>eng</t>
        </is>
      </c>
      <c r="P2795" t="inlineStr">
        <is>
          <t>pau</t>
        </is>
      </c>
      <c r="R2795" t="inlineStr">
        <is>
          <t xml:space="preserve">BX </t>
        </is>
      </c>
      <c r="S2795" t="n">
        <v>1</v>
      </c>
      <c r="T2795" t="n">
        <v>1</v>
      </c>
      <c r="U2795" t="inlineStr">
        <is>
          <t>2009-07-31</t>
        </is>
      </c>
      <c r="V2795" t="inlineStr">
        <is>
          <t>2009-07-31</t>
        </is>
      </c>
      <c r="W2795" t="inlineStr">
        <is>
          <t>1989-12-29</t>
        </is>
      </c>
      <c r="X2795" t="inlineStr">
        <is>
          <t>1989-12-29</t>
        </is>
      </c>
      <c r="Y2795" t="n">
        <v>254</v>
      </c>
      <c r="Z2795" t="n">
        <v>225</v>
      </c>
      <c r="AA2795" t="n">
        <v>558</v>
      </c>
      <c r="AB2795" t="n">
        <v>2</v>
      </c>
      <c r="AC2795" t="n">
        <v>3</v>
      </c>
      <c r="AD2795" t="n">
        <v>11</v>
      </c>
      <c r="AE2795" t="n">
        <v>19</v>
      </c>
      <c r="AF2795" t="n">
        <v>3</v>
      </c>
      <c r="AG2795" t="n">
        <v>8</v>
      </c>
      <c r="AH2795" t="n">
        <v>3</v>
      </c>
      <c r="AI2795" t="n">
        <v>4</v>
      </c>
      <c r="AJ2795" t="n">
        <v>9</v>
      </c>
      <c r="AK2795" t="n">
        <v>12</v>
      </c>
      <c r="AL2795" t="n">
        <v>1</v>
      </c>
      <c r="AM2795" t="n">
        <v>2</v>
      </c>
      <c r="AN2795" t="n">
        <v>0</v>
      </c>
      <c r="AO2795" t="n">
        <v>0</v>
      </c>
      <c r="AP2795" t="inlineStr">
        <is>
          <t>No</t>
        </is>
      </c>
      <c r="AQ2795" t="inlineStr">
        <is>
          <t>Yes</t>
        </is>
      </c>
      <c r="AR2795">
        <f>HYPERLINK("http://catalog.hathitrust.org/Record/001820567","HathiTrust Record")</f>
        <v/>
      </c>
      <c r="AS2795">
        <f>HYPERLINK("https://creighton-primo.hosted.exlibrisgroup.com/primo-explore/search?tab=default_tab&amp;search_scope=EVERYTHING&amp;vid=01CRU&amp;lang=en_US&amp;offset=0&amp;query=any,contains,991001408209702656","Catalog Record")</f>
        <v/>
      </c>
      <c r="AT2795">
        <f>HYPERLINK("http://www.worldcat.org/oclc/18871623","WorldCat Record")</f>
        <v/>
      </c>
      <c r="AU2795" t="inlineStr">
        <is>
          <t>864035386:eng</t>
        </is>
      </c>
      <c r="AV2795" t="inlineStr">
        <is>
          <t>18871623</t>
        </is>
      </c>
      <c r="AW2795" t="inlineStr">
        <is>
          <t>991001408209702656</t>
        </is>
      </c>
      <c r="AX2795" t="inlineStr">
        <is>
          <t>991001408209702656</t>
        </is>
      </c>
      <c r="AY2795" t="inlineStr">
        <is>
          <t>2272090270002656</t>
        </is>
      </c>
      <c r="AZ2795" t="inlineStr">
        <is>
          <t>BOOK</t>
        </is>
      </c>
      <c r="BB2795" t="inlineStr">
        <is>
          <t>9780934223065</t>
        </is>
      </c>
      <c r="BC2795" t="inlineStr">
        <is>
          <t>32285000025055</t>
        </is>
      </c>
      <c r="BD2795" t="inlineStr">
        <is>
          <t>893803600</t>
        </is>
      </c>
    </row>
    <row r="2796">
      <c r="A2796" t="inlineStr">
        <is>
          <t>No</t>
        </is>
      </c>
      <c r="B2796" t="inlineStr">
        <is>
          <t>BX7260.B3 A67 2006</t>
        </is>
      </c>
      <c r="C2796" t="inlineStr">
        <is>
          <t>0                      BX 7260000B  3                  A  67          2006</t>
        </is>
      </c>
      <c r="D2796" t="inlineStr">
        <is>
          <t>The most famous man in America : the biography of Henry Ward Beecher / Debby Applegate.</t>
        </is>
      </c>
      <c r="F2796" t="inlineStr">
        <is>
          <t>No</t>
        </is>
      </c>
      <c r="G2796" t="inlineStr">
        <is>
          <t>1</t>
        </is>
      </c>
      <c r="H2796" t="inlineStr">
        <is>
          <t>No</t>
        </is>
      </c>
      <c r="I2796" t="inlineStr">
        <is>
          <t>No</t>
        </is>
      </c>
      <c r="J2796" t="inlineStr">
        <is>
          <t>0</t>
        </is>
      </c>
      <c r="K2796" t="inlineStr">
        <is>
          <t>Applegate, Debby.</t>
        </is>
      </c>
      <c r="L2796" t="inlineStr">
        <is>
          <t>New York : Doubleday, c2006.</t>
        </is>
      </c>
      <c r="M2796" t="inlineStr">
        <is>
          <t>2006</t>
        </is>
      </c>
      <c r="N2796" t="inlineStr">
        <is>
          <t>1st ed.</t>
        </is>
      </c>
      <c r="O2796" t="inlineStr">
        <is>
          <t>eng</t>
        </is>
      </c>
      <c r="P2796" t="inlineStr">
        <is>
          <t>nyu</t>
        </is>
      </c>
      <c r="R2796" t="inlineStr">
        <is>
          <t xml:space="preserve">BX </t>
        </is>
      </c>
      <c r="S2796" t="n">
        <v>2</v>
      </c>
      <c r="T2796" t="n">
        <v>2</v>
      </c>
      <c r="U2796" t="inlineStr">
        <is>
          <t>2006-08-08</t>
        </is>
      </c>
      <c r="V2796" t="inlineStr">
        <is>
          <t>2006-08-08</t>
        </is>
      </c>
      <c r="W2796" t="inlineStr">
        <is>
          <t>2006-08-08</t>
        </is>
      </c>
      <c r="X2796" t="inlineStr">
        <is>
          <t>2006-08-08</t>
        </is>
      </c>
      <c r="Y2796" t="n">
        <v>1424</v>
      </c>
      <c r="Z2796" t="n">
        <v>1379</v>
      </c>
      <c r="AA2796" t="n">
        <v>1711</v>
      </c>
      <c r="AB2796" t="n">
        <v>12</v>
      </c>
      <c r="AC2796" t="n">
        <v>16</v>
      </c>
      <c r="AD2796" t="n">
        <v>40</v>
      </c>
      <c r="AE2796" t="n">
        <v>44</v>
      </c>
      <c r="AF2796" t="n">
        <v>18</v>
      </c>
      <c r="AG2796" t="n">
        <v>19</v>
      </c>
      <c r="AH2796" t="n">
        <v>7</v>
      </c>
      <c r="AI2796" t="n">
        <v>9</v>
      </c>
      <c r="AJ2796" t="n">
        <v>16</v>
      </c>
      <c r="AK2796" t="n">
        <v>17</v>
      </c>
      <c r="AL2796" t="n">
        <v>8</v>
      </c>
      <c r="AM2796" t="n">
        <v>9</v>
      </c>
      <c r="AN2796" t="n">
        <v>0</v>
      </c>
      <c r="AO2796" t="n">
        <v>0</v>
      </c>
      <c r="AP2796" t="inlineStr">
        <is>
          <t>No</t>
        </is>
      </c>
      <c r="AQ2796" t="inlineStr">
        <is>
          <t>No</t>
        </is>
      </c>
      <c r="AS2796">
        <f>HYPERLINK("https://creighton-primo.hosted.exlibrisgroup.com/primo-explore/search?tab=default_tab&amp;search_scope=EVERYTHING&amp;vid=01CRU&amp;lang=en_US&amp;offset=0&amp;query=any,contains,991004896319702656","Catalog Record")</f>
        <v/>
      </c>
      <c r="AT2796">
        <f>HYPERLINK("http://www.worldcat.org/oclc/62302519","WorldCat Record")</f>
        <v/>
      </c>
      <c r="AU2796" t="inlineStr">
        <is>
          <t>794223969:eng</t>
        </is>
      </c>
      <c r="AV2796" t="inlineStr">
        <is>
          <t>62302519</t>
        </is>
      </c>
      <c r="AW2796" t="inlineStr">
        <is>
          <t>991004896319702656</t>
        </is>
      </c>
      <c r="AX2796" t="inlineStr">
        <is>
          <t>991004896319702656</t>
        </is>
      </c>
      <c r="AY2796" t="inlineStr">
        <is>
          <t>2259657240002656</t>
        </is>
      </c>
      <c r="AZ2796" t="inlineStr">
        <is>
          <t>BOOK</t>
        </is>
      </c>
      <c r="BB2796" t="inlineStr">
        <is>
          <t>9780385513968</t>
        </is>
      </c>
      <c r="BC2796" t="inlineStr">
        <is>
          <t>32285005199954</t>
        </is>
      </c>
      <c r="BD2796" t="inlineStr">
        <is>
          <t>893424313</t>
        </is>
      </c>
    </row>
    <row r="2797">
      <c r="A2797" t="inlineStr">
        <is>
          <t>No</t>
        </is>
      </c>
      <c r="B2797" t="inlineStr">
        <is>
          <t>BX7260.B31 F68 1999</t>
        </is>
      </c>
      <c r="C2797" t="inlineStr">
        <is>
          <t>0                      BX 7260000B  31                 F  68          1999</t>
        </is>
      </c>
      <c r="D2797" t="inlineStr">
        <is>
          <t>Trials of intimacy : love and loss in the Beecher-Tilton scandal / Richard Wightman Fox.</t>
        </is>
      </c>
      <c r="F2797" t="inlineStr">
        <is>
          <t>No</t>
        </is>
      </c>
      <c r="G2797" t="inlineStr">
        <is>
          <t>1</t>
        </is>
      </c>
      <c r="H2797" t="inlineStr">
        <is>
          <t>No</t>
        </is>
      </c>
      <c r="I2797" t="inlineStr">
        <is>
          <t>No</t>
        </is>
      </c>
      <c r="J2797" t="inlineStr">
        <is>
          <t>0</t>
        </is>
      </c>
      <c r="K2797" t="inlineStr">
        <is>
          <t>Fox, Richard Wightman, 1945-</t>
        </is>
      </c>
      <c r="L2797" t="inlineStr">
        <is>
          <t>Chicago : University of Chicago Press, 1999.</t>
        </is>
      </c>
      <c r="M2797" t="inlineStr">
        <is>
          <t>1999</t>
        </is>
      </c>
      <c r="O2797" t="inlineStr">
        <is>
          <t>eng</t>
        </is>
      </c>
      <c r="P2797" t="inlineStr">
        <is>
          <t>ilu</t>
        </is>
      </c>
      <c r="R2797" t="inlineStr">
        <is>
          <t xml:space="preserve">BX </t>
        </is>
      </c>
      <c r="S2797" t="n">
        <v>2</v>
      </c>
      <c r="T2797" t="n">
        <v>2</v>
      </c>
      <c r="U2797" t="inlineStr">
        <is>
          <t>2009-04-22</t>
        </is>
      </c>
      <c r="V2797" t="inlineStr">
        <is>
          <t>2009-04-22</t>
        </is>
      </c>
      <c r="W2797" t="inlineStr">
        <is>
          <t>1999-11-08</t>
        </is>
      </c>
      <c r="X2797" t="inlineStr">
        <is>
          <t>1999-11-08</t>
        </is>
      </c>
      <c r="Y2797" t="n">
        <v>678</v>
      </c>
      <c r="Z2797" t="n">
        <v>635</v>
      </c>
      <c r="AA2797" t="n">
        <v>653</v>
      </c>
      <c r="AB2797" t="n">
        <v>3</v>
      </c>
      <c r="AC2797" t="n">
        <v>4</v>
      </c>
      <c r="AD2797" t="n">
        <v>31</v>
      </c>
      <c r="AE2797" t="n">
        <v>32</v>
      </c>
      <c r="AF2797" t="n">
        <v>12</v>
      </c>
      <c r="AG2797" t="n">
        <v>12</v>
      </c>
      <c r="AH2797" t="n">
        <v>6</v>
      </c>
      <c r="AI2797" t="n">
        <v>6</v>
      </c>
      <c r="AJ2797" t="n">
        <v>13</v>
      </c>
      <c r="AK2797" t="n">
        <v>13</v>
      </c>
      <c r="AL2797" t="n">
        <v>2</v>
      </c>
      <c r="AM2797" t="n">
        <v>2</v>
      </c>
      <c r="AN2797" t="n">
        <v>4</v>
      </c>
      <c r="AO2797" t="n">
        <v>5</v>
      </c>
      <c r="AP2797" t="inlineStr">
        <is>
          <t>No</t>
        </is>
      </c>
      <c r="AQ2797" t="inlineStr">
        <is>
          <t>No</t>
        </is>
      </c>
      <c r="AS2797">
        <f>HYPERLINK("https://creighton-primo.hosted.exlibrisgroup.com/primo-explore/search?tab=default_tab&amp;search_scope=EVERYTHING&amp;vid=01CRU&amp;lang=en_US&amp;offset=0&amp;query=any,contains,991003020759702656","Catalog Record")</f>
        <v/>
      </c>
      <c r="AT2797">
        <f>HYPERLINK("http://www.worldcat.org/oclc/41156340","WorldCat Record")</f>
        <v/>
      </c>
      <c r="AU2797" t="inlineStr">
        <is>
          <t>836968393:eng</t>
        </is>
      </c>
      <c r="AV2797" t="inlineStr">
        <is>
          <t>41156340</t>
        </is>
      </c>
      <c r="AW2797" t="inlineStr">
        <is>
          <t>991003020759702656</t>
        </is>
      </c>
      <c r="AX2797" t="inlineStr">
        <is>
          <t>991003020759702656</t>
        </is>
      </c>
      <c r="AY2797" t="inlineStr">
        <is>
          <t>2261397520002656</t>
        </is>
      </c>
      <c r="AZ2797" t="inlineStr">
        <is>
          <t>BOOK</t>
        </is>
      </c>
      <c r="BB2797" t="inlineStr">
        <is>
          <t>9780226259383</t>
        </is>
      </c>
      <c r="BC2797" t="inlineStr">
        <is>
          <t>32285003618872</t>
        </is>
      </c>
      <c r="BD2797" t="inlineStr">
        <is>
          <t>893440836</t>
        </is>
      </c>
    </row>
    <row r="2798">
      <c r="A2798" t="inlineStr">
        <is>
          <t>No</t>
        </is>
      </c>
      <c r="B2798" t="inlineStr">
        <is>
          <t>BX7260.B33 A3</t>
        </is>
      </c>
      <c r="C2798" t="inlineStr">
        <is>
          <t>0                      BX 7260000B  33                 A  3</t>
        </is>
      </c>
      <c r="D2798" t="inlineStr">
        <is>
          <t>The Autobiography of Lyman Beecher / edited by Barbara M. Cross.</t>
        </is>
      </c>
      <c r="E2798" t="inlineStr">
        <is>
          <t>V. 1</t>
        </is>
      </c>
      <c r="F2798" t="inlineStr">
        <is>
          <t>Yes</t>
        </is>
      </c>
      <c r="G2798" t="inlineStr">
        <is>
          <t>1</t>
        </is>
      </c>
      <c r="H2798" t="inlineStr">
        <is>
          <t>No</t>
        </is>
      </c>
      <c r="I2798" t="inlineStr">
        <is>
          <t>No</t>
        </is>
      </c>
      <c r="J2798" t="inlineStr">
        <is>
          <t>0</t>
        </is>
      </c>
      <c r="K2798" t="inlineStr">
        <is>
          <t>Beecher, Lyman, 1775-1863.</t>
        </is>
      </c>
      <c r="L2798" t="inlineStr">
        <is>
          <t>Cambridge : Belknap Press of Harvard University Press, 1961.</t>
        </is>
      </c>
      <c r="M2798" t="inlineStr">
        <is>
          <t>1961</t>
        </is>
      </c>
      <c r="O2798" t="inlineStr">
        <is>
          <t>eng</t>
        </is>
      </c>
      <c r="P2798" t="inlineStr">
        <is>
          <t>mau</t>
        </is>
      </c>
      <c r="Q2798" t="inlineStr">
        <is>
          <t>The John Harvard library</t>
        </is>
      </c>
      <c r="R2798" t="inlineStr">
        <is>
          <t xml:space="preserve">BX </t>
        </is>
      </c>
      <c r="S2798" t="n">
        <v>1</v>
      </c>
      <c r="T2798" t="n">
        <v>2</v>
      </c>
      <c r="U2798" t="inlineStr">
        <is>
          <t>1993-02-22</t>
        </is>
      </c>
      <c r="V2798" t="inlineStr">
        <is>
          <t>1993-02-22</t>
        </is>
      </c>
      <c r="W2798" t="inlineStr">
        <is>
          <t>1992-05-18</t>
        </is>
      </c>
      <c r="X2798" t="inlineStr">
        <is>
          <t>1992-05-18</t>
        </is>
      </c>
      <c r="Y2798" t="n">
        <v>588</v>
      </c>
      <c r="Z2798" t="n">
        <v>550</v>
      </c>
      <c r="AA2798" t="n">
        <v>569</v>
      </c>
      <c r="AB2798" t="n">
        <v>5</v>
      </c>
      <c r="AC2798" t="n">
        <v>5</v>
      </c>
      <c r="AD2798" t="n">
        <v>32</v>
      </c>
      <c r="AE2798" t="n">
        <v>32</v>
      </c>
      <c r="AF2798" t="n">
        <v>16</v>
      </c>
      <c r="AG2798" t="n">
        <v>16</v>
      </c>
      <c r="AH2798" t="n">
        <v>3</v>
      </c>
      <c r="AI2798" t="n">
        <v>3</v>
      </c>
      <c r="AJ2798" t="n">
        <v>18</v>
      </c>
      <c r="AK2798" t="n">
        <v>18</v>
      </c>
      <c r="AL2798" t="n">
        <v>3</v>
      </c>
      <c r="AM2798" t="n">
        <v>3</v>
      </c>
      <c r="AN2798" t="n">
        <v>0</v>
      </c>
      <c r="AO2798" t="n">
        <v>0</v>
      </c>
      <c r="AP2798" t="inlineStr">
        <is>
          <t>Yes</t>
        </is>
      </c>
      <c r="AQ2798" t="inlineStr">
        <is>
          <t>No</t>
        </is>
      </c>
      <c r="AR2798">
        <f>HYPERLINK("http://catalog.hathitrust.org/Record/001594350","HathiTrust Record")</f>
        <v/>
      </c>
      <c r="AS2798">
        <f>HYPERLINK("https://creighton-primo.hosted.exlibrisgroup.com/primo-explore/search?tab=default_tab&amp;search_scope=EVERYTHING&amp;vid=01CRU&amp;lang=en_US&amp;offset=0&amp;query=any,contains,991002648919702656","Catalog Record")</f>
        <v/>
      </c>
      <c r="AT2798">
        <f>HYPERLINK("http://www.worldcat.org/oclc/386589","WorldCat Record")</f>
        <v/>
      </c>
      <c r="AU2798" t="inlineStr">
        <is>
          <t>57696870:eng</t>
        </is>
      </c>
      <c r="AV2798" t="inlineStr">
        <is>
          <t>386589</t>
        </is>
      </c>
      <c r="AW2798" t="inlineStr">
        <is>
          <t>991002648919702656</t>
        </is>
      </c>
      <c r="AX2798" t="inlineStr">
        <is>
          <t>991002648919702656</t>
        </is>
      </c>
      <c r="AY2798" t="inlineStr">
        <is>
          <t>2259524400002656</t>
        </is>
      </c>
      <c r="AZ2798" t="inlineStr">
        <is>
          <t>BOOK</t>
        </is>
      </c>
      <c r="BC2798" t="inlineStr">
        <is>
          <t>32285001123495</t>
        </is>
      </c>
      <c r="BD2798" t="inlineStr">
        <is>
          <t>893341673</t>
        </is>
      </c>
    </row>
    <row r="2799">
      <c r="A2799" t="inlineStr">
        <is>
          <t>No</t>
        </is>
      </c>
      <c r="B2799" t="inlineStr">
        <is>
          <t>BX7260.B33 A3</t>
        </is>
      </c>
      <c r="C2799" t="inlineStr">
        <is>
          <t>0                      BX 7260000B  33                 A  3</t>
        </is>
      </c>
      <c r="D2799" t="inlineStr">
        <is>
          <t>The Autobiography of Lyman Beecher / edited by Barbara M. Cross.</t>
        </is>
      </c>
      <c r="E2799" t="inlineStr">
        <is>
          <t>V. 2</t>
        </is>
      </c>
      <c r="F2799" t="inlineStr">
        <is>
          <t>Yes</t>
        </is>
      </c>
      <c r="G2799" t="inlineStr">
        <is>
          <t>1</t>
        </is>
      </c>
      <c r="H2799" t="inlineStr">
        <is>
          <t>No</t>
        </is>
      </c>
      <c r="I2799" t="inlineStr">
        <is>
          <t>No</t>
        </is>
      </c>
      <c r="J2799" t="inlineStr">
        <is>
          <t>0</t>
        </is>
      </c>
      <c r="K2799" t="inlineStr">
        <is>
          <t>Beecher, Lyman, 1775-1863.</t>
        </is>
      </c>
      <c r="L2799" t="inlineStr">
        <is>
          <t>Cambridge : Belknap Press of Harvard University Press, 1961.</t>
        </is>
      </c>
      <c r="M2799" t="inlineStr">
        <is>
          <t>1961</t>
        </is>
      </c>
      <c r="O2799" t="inlineStr">
        <is>
          <t>eng</t>
        </is>
      </c>
      <c r="P2799" t="inlineStr">
        <is>
          <t>mau</t>
        </is>
      </c>
      <c r="Q2799" t="inlineStr">
        <is>
          <t>The John Harvard library</t>
        </is>
      </c>
      <c r="R2799" t="inlineStr">
        <is>
          <t xml:space="preserve">BX </t>
        </is>
      </c>
      <c r="S2799" t="n">
        <v>1</v>
      </c>
      <c r="T2799" t="n">
        <v>2</v>
      </c>
      <c r="U2799" t="inlineStr">
        <is>
          <t>1993-02-22</t>
        </is>
      </c>
      <c r="V2799" t="inlineStr">
        <is>
          <t>1993-02-22</t>
        </is>
      </c>
      <c r="W2799" t="inlineStr">
        <is>
          <t>1992-05-18</t>
        </is>
      </c>
      <c r="X2799" t="inlineStr">
        <is>
          <t>1992-05-18</t>
        </is>
      </c>
      <c r="Y2799" t="n">
        <v>588</v>
      </c>
      <c r="Z2799" t="n">
        <v>550</v>
      </c>
      <c r="AA2799" t="n">
        <v>569</v>
      </c>
      <c r="AB2799" t="n">
        <v>5</v>
      </c>
      <c r="AC2799" t="n">
        <v>5</v>
      </c>
      <c r="AD2799" t="n">
        <v>32</v>
      </c>
      <c r="AE2799" t="n">
        <v>32</v>
      </c>
      <c r="AF2799" t="n">
        <v>16</v>
      </c>
      <c r="AG2799" t="n">
        <v>16</v>
      </c>
      <c r="AH2799" t="n">
        <v>3</v>
      </c>
      <c r="AI2799" t="n">
        <v>3</v>
      </c>
      <c r="AJ2799" t="n">
        <v>18</v>
      </c>
      <c r="AK2799" t="n">
        <v>18</v>
      </c>
      <c r="AL2799" t="n">
        <v>3</v>
      </c>
      <c r="AM2799" t="n">
        <v>3</v>
      </c>
      <c r="AN2799" t="n">
        <v>0</v>
      </c>
      <c r="AO2799" t="n">
        <v>0</v>
      </c>
      <c r="AP2799" t="inlineStr">
        <is>
          <t>Yes</t>
        </is>
      </c>
      <c r="AQ2799" t="inlineStr">
        <is>
          <t>No</t>
        </is>
      </c>
      <c r="AR2799">
        <f>HYPERLINK("http://catalog.hathitrust.org/Record/001594350","HathiTrust Record")</f>
        <v/>
      </c>
      <c r="AS2799">
        <f>HYPERLINK("https://creighton-primo.hosted.exlibrisgroup.com/primo-explore/search?tab=default_tab&amp;search_scope=EVERYTHING&amp;vid=01CRU&amp;lang=en_US&amp;offset=0&amp;query=any,contains,991002648919702656","Catalog Record")</f>
        <v/>
      </c>
      <c r="AT2799">
        <f>HYPERLINK("http://www.worldcat.org/oclc/386589","WorldCat Record")</f>
        <v/>
      </c>
      <c r="AU2799" t="inlineStr">
        <is>
          <t>57696870:eng</t>
        </is>
      </c>
      <c r="AV2799" t="inlineStr">
        <is>
          <t>386589</t>
        </is>
      </c>
      <c r="AW2799" t="inlineStr">
        <is>
          <t>991002648919702656</t>
        </is>
      </c>
      <c r="AX2799" t="inlineStr">
        <is>
          <t>991002648919702656</t>
        </is>
      </c>
      <c r="AY2799" t="inlineStr">
        <is>
          <t>2259524400002656</t>
        </is>
      </c>
      <c r="AZ2799" t="inlineStr">
        <is>
          <t>BOOK</t>
        </is>
      </c>
      <c r="BC2799" t="inlineStr">
        <is>
          <t>32285001123503</t>
        </is>
      </c>
      <c r="BD2799" t="inlineStr">
        <is>
          <t>893323183</t>
        </is>
      </c>
    </row>
    <row r="2800">
      <c r="A2800" t="inlineStr">
        <is>
          <t>No</t>
        </is>
      </c>
      <c r="B2800" t="inlineStr">
        <is>
          <t>BX7260.B33 S33 2003</t>
        </is>
      </c>
      <c r="C2800" t="inlineStr">
        <is>
          <t>0                      BX 7260000B  33                 S  33          2003</t>
        </is>
      </c>
      <c r="D2800" t="inlineStr">
        <is>
          <t>The passionate Beechers : a family saga of sanctity and scandal that changed America / Samuel A. Schreiner, Jr.</t>
        </is>
      </c>
      <c r="F2800" t="inlineStr">
        <is>
          <t>No</t>
        </is>
      </c>
      <c r="G2800" t="inlineStr">
        <is>
          <t>1</t>
        </is>
      </c>
      <c r="H2800" t="inlineStr">
        <is>
          <t>No</t>
        </is>
      </c>
      <c r="I2800" t="inlineStr">
        <is>
          <t>No</t>
        </is>
      </c>
      <c r="J2800" t="inlineStr">
        <is>
          <t>0</t>
        </is>
      </c>
      <c r="K2800" t="inlineStr">
        <is>
          <t>Schreiner, Samuel A., Jr., 1921-</t>
        </is>
      </c>
      <c r="L2800" t="inlineStr">
        <is>
          <t>Hoboken, N.J. : John Wiley &amp; Sons, 2003.</t>
        </is>
      </c>
      <c r="M2800" t="inlineStr">
        <is>
          <t>2003</t>
        </is>
      </c>
      <c r="O2800" t="inlineStr">
        <is>
          <t>eng</t>
        </is>
      </c>
      <c r="P2800" t="inlineStr">
        <is>
          <t>nju</t>
        </is>
      </c>
      <c r="R2800" t="inlineStr">
        <is>
          <t xml:space="preserve">BX </t>
        </is>
      </c>
      <c r="S2800" t="n">
        <v>2</v>
      </c>
      <c r="T2800" t="n">
        <v>2</v>
      </c>
      <c r="U2800" t="inlineStr">
        <is>
          <t>2004-11-05</t>
        </is>
      </c>
      <c r="V2800" t="inlineStr">
        <is>
          <t>2004-11-05</t>
        </is>
      </c>
      <c r="W2800" t="inlineStr">
        <is>
          <t>2004-10-06</t>
        </is>
      </c>
      <c r="X2800" t="inlineStr">
        <is>
          <t>2004-10-06</t>
        </is>
      </c>
      <c r="Y2800" t="n">
        <v>482</v>
      </c>
      <c r="Z2800" t="n">
        <v>464</v>
      </c>
      <c r="AA2800" t="n">
        <v>472</v>
      </c>
      <c r="AB2800" t="n">
        <v>3</v>
      </c>
      <c r="AC2800" t="n">
        <v>3</v>
      </c>
      <c r="AD2800" t="n">
        <v>18</v>
      </c>
      <c r="AE2800" t="n">
        <v>18</v>
      </c>
      <c r="AF2800" t="n">
        <v>8</v>
      </c>
      <c r="AG2800" t="n">
        <v>8</v>
      </c>
      <c r="AH2800" t="n">
        <v>5</v>
      </c>
      <c r="AI2800" t="n">
        <v>5</v>
      </c>
      <c r="AJ2800" t="n">
        <v>10</v>
      </c>
      <c r="AK2800" t="n">
        <v>10</v>
      </c>
      <c r="AL2800" t="n">
        <v>1</v>
      </c>
      <c r="AM2800" t="n">
        <v>1</v>
      </c>
      <c r="AN2800" t="n">
        <v>0</v>
      </c>
      <c r="AO2800" t="n">
        <v>0</v>
      </c>
      <c r="AP2800" t="inlineStr">
        <is>
          <t>No</t>
        </is>
      </c>
      <c r="AQ2800" t="inlineStr">
        <is>
          <t>No</t>
        </is>
      </c>
      <c r="AS2800">
        <f>HYPERLINK("https://creighton-primo.hosted.exlibrisgroup.com/primo-explore/search?tab=default_tab&amp;search_scope=EVERYTHING&amp;vid=01CRU&amp;lang=en_US&amp;offset=0&amp;query=any,contains,991004358469702656","Catalog Record")</f>
        <v/>
      </c>
      <c r="AT2800">
        <f>HYPERLINK("http://www.worldcat.org/oclc/51095515","WorldCat Record")</f>
        <v/>
      </c>
      <c r="AU2800" t="inlineStr">
        <is>
          <t>703440:eng</t>
        </is>
      </c>
      <c r="AV2800" t="inlineStr">
        <is>
          <t>51095515</t>
        </is>
      </c>
      <c r="AW2800" t="inlineStr">
        <is>
          <t>991004358469702656</t>
        </is>
      </c>
      <c r="AX2800" t="inlineStr">
        <is>
          <t>991004358469702656</t>
        </is>
      </c>
      <c r="AY2800" t="inlineStr">
        <is>
          <t>2269284750002656</t>
        </is>
      </c>
      <c r="AZ2800" t="inlineStr">
        <is>
          <t>BOOK</t>
        </is>
      </c>
      <c r="BB2800" t="inlineStr">
        <is>
          <t>9780471414841</t>
        </is>
      </c>
      <c r="BC2800" t="inlineStr">
        <is>
          <t>32285005001275</t>
        </is>
      </c>
      <c r="BD2800" t="inlineStr">
        <is>
          <t>893532304</t>
        </is>
      </c>
    </row>
    <row r="2801">
      <c r="A2801" t="inlineStr">
        <is>
          <t>No</t>
        </is>
      </c>
      <c r="B2801" t="inlineStr">
        <is>
          <t>BX7260.D84 B47</t>
        </is>
      </c>
      <c r="C2801" t="inlineStr">
        <is>
          <t>0                      BX 7260000D  84                 B  47</t>
        </is>
      </c>
      <c r="D2801" t="inlineStr">
        <is>
          <t>Calvinism versus democracy; Timothy Dwight and the origins of American evangelical orthodoxy, by Stephen E. Berk.</t>
        </is>
      </c>
      <c r="F2801" t="inlineStr">
        <is>
          <t>No</t>
        </is>
      </c>
      <c r="G2801" t="inlineStr">
        <is>
          <t>1</t>
        </is>
      </c>
      <c r="H2801" t="inlineStr">
        <is>
          <t>No</t>
        </is>
      </c>
      <c r="I2801" t="inlineStr">
        <is>
          <t>No</t>
        </is>
      </c>
      <c r="J2801" t="inlineStr">
        <is>
          <t>0</t>
        </is>
      </c>
      <c r="K2801" t="inlineStr">
        <is>
          <t>Berk, Stephen E.</t>
        </is>
      </c>
      <c r="L2801" t="inlineStr">
        <is>
          <t>[Hamden, Conn.] Archon Books, 1974.</t>
        </is>
      </c>
      <c r="M2801" t="inlineStr">
        <is>
          <t>1974</t>
        </is>
      </c>
      <c r="O2801" t="inlineStr">
        <is>
          <t>eng</t>
        </is>
      </c>
      <c r="P2801" t="inlineStr">
        <is>
          <t>ctu</t>
        </is>
      </c>
      <c r="R2801" t="inlineStr">
        <is>
          <t xml:space="preserve">BX </t>
        </is>
      </c>
      <c r="S2801" t="n">
        <v>3</v>
      </c>
      <c r="T2801" t="n">
        <v>3</v>
      </c>
      <c r="U2801" t="inlineStr">
        <is>
          <t>2003-03-06</t>
        </is>
      </c>
      <c r="V2801" t="inlineStr">
        <is>
          <t>2003-03-06</t>
        </is>
      </c>
      <c r="W2801" t="inlineStr">
        <is>
          <t>1992-05-18</t>
        </is>
      </c>
      <c r="X2801" t="inlineStr">
        <is>
          <t>1992-05-18</t>
        </is>
      </c>
      <c r="Y2801" t="n">
        <v>541</v>
      </c>
      <c r="Z2801" t="n">
        <v>493</v>
      </c>
      <c r="AA2801" t="n">
        <v>500</v>
      </c>
      <c r="AB2801" t="n">
        <v>5</v>
      </c>
      <c r="AC2801" t="n">
        <v>5</v>
      </c>
      <c r="AD2801" t="n">
        <v>20</v>
      </c>
      <c r="AE2801" t="n">
        <v>20</v>
      </c>
      <c r="AF2801" t="n">
        <v>7</v>
      </c>
      <c r="AG2801" t="n">
        <v>7</v>
      </c>
      <c r="AH2801" t="n">
        <v>3</v>
      </c>
      <c r="AI2801" t="n">
        <v>3</v>
      </c>
      <c r="AJ2801" t="n">
        <v>10</v>
      </c>
      <c r="AK2801" t="n">
        <v>10</v>
      </c>
      <c r="AL2801" t="n">
        <v>4</v>
      </c>
      <c r="AM2801" t="n">
        <v>4</v>
      </c>
      <c r="AN2801" t="n">
        <v>0</v>
      </c>
      <c r="AO2801" t="n">
        <v>0</v>
      </c>
      <c r="AP2801" t="inlineStr">
        <is>
          <t>No</t>
        </is>
      </c>
      <c r="AQ2801" t="inlineStr">
        <is>
          <t>Yes</t>
        </is>
      </c>
      <c r="AR2801">
        <f>HYPERLINK("http://catalog.hathitrust.org/Record/001593515","HathiTrust Record")</f>
        <v/>
      </c>
      <c r="AS2801">
        <f>HYPERLINK("https://creighton-primo.hosted.exlibrisgroup.com/primo-explore/search?tab=default_tab&amp;search_scope=EVERYTHING&amp;vid=01CRU&amp;lang=en_US&amp;offset=0&amp;query=any,contains,991003225519702656","Catalog Record")</f>
        <v/>
      </c>
      <c r="AT2801">
        <f>HYPERLINK("http://www.worldcat.org/oclc/749963","WorldCat Record")</f>
        <v/>
      </c>
      <c r="AU2801" t="inlineStr">
        <is>
          <t>308879091:eng</t>
        </is>
      </c>
      <c r="AV2801" t="inlineStr">
        <is>
          <t>749963</t>
        </is>
      </c>
      <c r="AW2801" t="inlineStr">
        <is>
          <t>991003225519702656</t>
        </is>
      </c>
      <c r="AX2801" t="inlineStr">
        <is>
          <t>991003225519702656</t>
        </is>
      </c>
      <c r="AY2801" t="inlineStr">
        <is>
          <t>2255268350002656</t>
        </is>
      </c>
      <c r="AZ2801" t="inlineStr">
        <is>
          <t>BOOK</t>
        </is>
      </c>
      <c r="BB2801" t="inlineStr">
        <is>
          <t>9780208014191</t>
        </is>
      </c>
      <c r="BC2801" t="inlineStr">
        <is>
          <t>32285001123552</t>
        </is>
      </c>
      <c r="BD2801" t="inlineStr">
        <is>
          <t>893342354</t>
        </is>
      </c>
    </row>
    <row r="2802">
      <c r="A2802" t="inlineStr">
        <is>
          <t>No</t>
        </is>
      </c>
      <c r="B2802" t="inlineStr">
        <is>
          <t>BX7260.E3 A59</t>
        </is>
      </c>
      <c r="C2802" t="inlineStr">
        <is>
          <t>0                      BX 7260000E  3                  A  59</t>
        </is>
      </c>
      <c r="D2802" t="inlineStr">
        <is>
          <t>Jonathan Edwards / Alfred Owen Aldridge.</t>
        </is>
      </c>
      <c r="F2802" t="inlineStr">
        <is>
          <t>No</t>
        </is>
      </c>
      <c r="G2802" t="inlineStr">
        <is>
          <t>1</t>
        </is>
      </c>
      <c r="H2802" t="inlineStr">
        <is>
          <t>No</t>
        </is>
      </c>
      <c r="I2802" t="inlineStr">
        <is>
          <t>No</t>
        </is>
      </c>
      <c r="J2802" t="inlineStr">
        <is>
          <t>0</t>
        </is>
      </c>
      <c r="K2802" t="inlineStr">
        <is>
          <t>Aldridge, Alfred Owen, 1915-2005.</t>
        </is>
      </c>
      <c r="L2802" t="inlineStr">
        <is>
          <t>New York : Washington Square Press, 1966, c1964.</t>
        </is>
      </c>
      <c r="M2802" t="inlineStr">
        <is>
          <t>1966</t>
        </is>
      </c>
      <c r="O2802" t="inlineStr">
        <is>
          <t>eng</t>
        </is>
      </c>
      <c r="P2802" t="inlineStr">
        <is>
          <t>nyu</t>
        </is>
      </c>
      <c r="Q2802" t="inlineStr">
        <is>
          <t>The Great American thinkers series, W881</t>
        </is>
      </c>
      <c r="R2802" t="inlineStr">
        <is>
          <t xml:space="preserve">BX </t>
        </is>
      </c>
      <c r="S2802" t="n">
        <v>2</v>
      </c>
      <c r="T2802" t="n">
        <v>2</v>
      </c>
      <c r="U2802" t="inlineStr">
        <is>
          <t>2001-04-08</t>
        </is>
      </c>
      <c r="V2802" t="inlineStr">
        <is>
          <t>2001-04-08</t>
        </is>
      </c>
      <c r="W2802" t="inlineStr">
        <is>
          <t>1992-05-18</t>
        </is>
      </c>
      <c r="X2802" t="inlineStr">
        <is>
          <t>1992-05-18</t>
        </is>
      </c>
      <c r="Y2802" t="n">
        <v>183</v>
      </c>
      <c r="Z2802" t="n">
        <v>168</v>
      </c>
      <c r="AA2802" t="n">
        <v>784</v>
      </c>
      <c r="AB2802" t="n">
        <v>3</v>
      </c>
      <c r="AC2802" t="n">
        <v>6</v>
      </c>
      <c r="AD2802" t="n">
        <v>5</v>
      </c>
      <c r="AE2802" t="n">
        <v>32</v>
      </c>
      <c r="AF2802" t="n">
        <v>1</v>
      </c>
      <c r="AG2802" t="n">
        <v>11</v>
      </c>
      <c r="AH2802" t="n">
        <v>2</v>
      </c>
      <c r="AI2802" t="n">
        <v>9</v>
      </c>
      <c r="AJ2802" t="n">
        <v>3</v>
      </c>
      <c r="AK2802" t="n">
        <v>17</v>
      </c>
      <c r="AL2802" t="n">
        <v>1</v>
      </c>
      <c r="AM2802" t="n">
        <v>4</v>
      </c>
      <c r="AN2802" t="n">
        <v>0</v>
      </c>
      <c r="AO2802" t="n">
        <v>0</v>
      </c>
      <c r="AP2802" t="inlineStr">
        <is>
          <t>No</t>
        </is>
      </c>
      <c r="AQ2802" t="inlineStr">
        <is>
          <t>No</t>
        </is>
      </c>
      <c r="AS2802">
        <f>HYPERLINK("https://creighton-primo.hosted.exlibrisgroup.com/primo-explore/search?tab=default_tab&amp;search_scope=EVERYTHING&amp;vid=01CRU&amp;lang=en_US&amp;offset=0&amp;query=any,contains,991004502369702656","Catalog Record")</f>
        <v/>
      </c>
      <c r="AT2802">
        <f>HYPERLINK("http://www.worldcat.org/oclc/3727109","WorldCat Record")</f>
        <v/>
      </c>
      <c r="AU2802" t="inlineStr">
        <is>
          <t>767131963:eng</t>
        </is>
      </c>
      <c r="AV2802" t="inlineStr">
        <is>
          <t>3727109</t>
        </is>
      </c>
      <c r="AW2802" t="inlineStr">
        <is>
          <t>991004502369702656</t>
        </is>
      </c>
      <c r="AX2802" t="inlineStr">
        <is>
          <t>991004502369702656</t>
        </is>
      </c>
      <c r="AY2802" t="inlineStr">
        <is>
          <t>2263923640002656</t>
        </is>
      </c>
      <c r="AZ2802" t="inlineStr">
        <is>
          <t>BOOK</t>
        </is>
      </c>
      <c r="BC2802" t="inlineStr">
        <is>
          <t>32285001123560</t>
        </is>
      </c>
      <c r="BD2802" t="inlineStr">
        <is>
          <t>893506929</t>
        </is>
      </c>
    </row>
    <row r="2803">
      <c r="A2803" t="inlineStr">
        <is>
          <t>No</t>
        </is>
      </c>
      <c r="B2803" t="inlineStr">
        <is>
          <t>BX7260.E3 D26 2004</t>
        </is>
      </c>
      <c r="C2803" t="inlineStr">
        <is>
          <t>0                      BX 7260000E  3                  D  26          2004</t>
        </is>
      </c>
      <c r="D2803" t="inlineStr">
        <is>
          <t>The Trinitarian ethics of Jonathan Edwards / William J. Danaher, Jr.</t>
        </is>
      </c>
      <c r="F2803" t="inlineStr">
        <is>
          <t>No</t>
        </is>
      </c>
      <c r="G2803" t="inlineStr">
        <is>
          <t>1</t>
        </is>
      </c>
      <c r="H2803" t="inlineStr">
        <is>
          <t>No</t>
        </is>
      </c>
      <c r="I2803" t="inlineStr">
        <is>
          <t>No</t>
        </is>
      </c>
      <c r="J2803" t="inlineStr">
        <is>
          <t>0</t>
        </is>
      </c>
      <c r="K2803" t="inlineStr">
        <is>
          <t>Danaher, William J., 1965-</t>
        </is>
      </c>
      <c r="L2803" t="inlineStr">
        <is>
          <t>Louisville, Ky. : Westminster John Knox Press, c2004.</t>
        </is>
      </c>
      <c r="M2803" t="inlineStr">
        <is>
          <t>2004</t>
        </is>
      </c>
      <c r="N2803" t="inlineStr">
        <is>
          <t>1st ed.</t>
        </is>
      </c>
      <c r="O2803" t="inlineStr">
        <is>
          <t>eng</t>
        </is>
      </c>
      <c r="P2803" t="inlineStr">
        <is>
          <t>kyu</t>
        </is>
      </c>
      <c r="Q2803" t="inlineStr">
        <is>
          <t>Columbia series in Reformed theology</t>
        </is>
      </c>
      <c r="R2803" t="inlineStr">
        <is>
          <t xml:space="preserve">BX </t>
        </is>
      </c>
      <c r="S2803" t="n">
        <v>2</v>
      </c>
      <c r="T2803" t="n">
        <v>2</v>
      </c>
      <c r="U2803" t="inlineStr">
        <is>
          <t>2008-03-11</t>
        </is>
      </c>
      <c r="V2803" t="inlineStr">
        <is>
          <t>2008-03-11</t>
        </is>
      </c>
      <c r="W2803" t="inlineStr">
        <is>
          <t>2008-03-11</t>
        </is>
      </c>
      <c r="X2803" t="inlineStr">
        <is>
          <t>2008-03-11</t>
        </is>
      </c>
      <c r="Y2803" t="n">
        <v>230</v>
      </c>
      <c r="Z2803" t="n">
        <v>196</v>
      </c>
      <c r="AA2803" t="n">
        <v>197</v>
      </c>
      <c r="AB2803" t="n">
        <v>1</v>
      </c>
      <c r="AC2803" t="n">
        <v>1</v>
      </c>
      <c r="AD2803" t="n">
        <v>15</v>
      </c>
      <c r="AE2803" t="n">
        <v>15</v>
      </c>
      <c r="AF2803" t="n">
        <v>7</v>
      </c>
      <c r="AG2803" t="n">
        <v>7</v>
      </c>
      <c r="AH2803" t="n">
        <v>3</v>
      </c>
      <c r="AI2803" t="n">
        <v>3</v>
      </c>
      <c r="AJ2803" t="n">
        <v>10</v>
      </c>
      <c r="AK2803" t="n">
        <v>10</v>
      </c>
      <c r="AL2803" t="n">
        <v>0</v>
      </c>
      <c r="AM2803" t="n">
        <v>0</v>
      </c>
      <c r="AN2803" t="n">
        <v>0</v>
      </c>
      <c r="AO2803" t="n">
        <v>0</v>
      </c>
      <c r="AP2803" t="inlineStr">
        <is>
          <t>No</t>
        </is>
      </c>
      <c r="AQ2803" t="inlineStr">
        <is>
          <t>No</t>
        </is>
      </c>
      <c r="AS2803">
        <f>HYPERLINK("https://creighton-primo.hosted.exlibrisgroup.com/primo-explore/search?tab=default_tab&amp;search_scope=EVERYTHING&amp;vid=01CRU&amp;lang=en_US&amp;offset=0&amp;query=any,contains,991005184899702656","Catalog Record")</f>
        <v/>
      </c>
      <c r="AT2803">
        <f>HYPERLINK("http://www.worldcat.org/oclc/52846479","WorldCat Record")</f>
        <v/>
      </c>
      <c r="AU2803" t="inlineStr">
        <is>
          <t>64056774:eng</t>
        </is>
      </c>
      <c r="AV2803" t="inlineStr">
        <is>
          <t>52846479</t>
        </is>
      </c>
      <c r="AW2803" t="inlineStr">
        <is>
          <t>991005184899702656</t>
        </is>
      </c>
      <c r="AX2803" t="inlineStr">
        <is>
          <t>991005184899702656</t>
        </is>
      </c>
      <c r="AY2803" t="inlineStr">
        <is>
          <t>2260892780002656</t>
        </is>
      </c>
      <c r="AZ2803" t="inlineStr">
        <is>
          <t>BOOK</t>
        </is>
      </c>
      <c r="BB2803" t="inlineStr">
        <is>
          <t>9780664227371</t>
        </is>
      </c>
      <c r="BC2803" t="inlineStr">
        <is>
          <t>32285005396717</t>
        </is>
      </c>
      <c r="BD2803" t="inlineStr">
        <is>
          <t>893600767</t>
        </is>
      </c>
    </row>
    <row r="2804">
      <c r="A2804" t="inlineStr">
        <is>
          <t>No</t>
        </is>
      </c>
      <c r="B2804" t="inlineStr">
        <is>
          <t>BX7260.E3 E5</t>
        </is>
      </c>
      <c r="C2804" t="inlineStr">
        <is>
          <t>0                      BX 7260000E  3                  E  5</t>
        </is>
      </c>
      <c r="D2804" t="inlineStr">
        <is>
          <t>The philosophical theology of Jonathan Edwards / by Douglas J. Elwood.</t>
        </is>
      </c>
      <c r="F2804" t="inlineStr">
        <is>
          <t>No</t>
        </is>
      </c>
      <c r="G2804" t="inlineStr">
        <is>
          <t>1</t>
        </is>
      </c>
      <c r="H2804" t="inlineStr">
        <is>
          <t>No</t>
        </is>
      </c>
      <c r="I2804" t="inlineStr">
        <is>
          <t>No</t>
        </is>
      </c>
      <c r="J2804" t="inlineStr">
        <is>
          <t>0</t>
        </is>
      </c>
      <c r="K2804" t="inlineStr">
        <is>
          <t>Elwood, Douglas J.</t>
        </is>
      </c>
      <c r="L2804" t="inlineStr">
        <is>
          <t>New York : Columbia Universiy Press, 1960.</t>
        </is>
      </c>
      <c r="M2804" t="inlineStr">
        <is>
          <t>1960</t>
        </is>
      </c>
      <c r="O2804" t="inlineStr">
        <is>
          <t>eng</t>
        </is>
      </c>
      <c r="P2804" t="inlineStr">
        <is>
          <t>___</t>
        </is>
      </c>
      <c r="R2804" t="inlineStr">
        <is>
          <t xml:space="preserve">BX </t>
        </is>
      </c>
      <c r="S2804" t="n">
        <v>5</v>
      </c>
      <c r="T2804" t="n">
        <v>5</v>
      </c>
      <c r="U2804" t="inlineStr">
        <is>
          <t>1997-09-29</t>
        </is>
      </c>
      <c r="V2804" t="inlineStr">
        <is>
          <t>1997-09-29</t>
        </is>
      </c>
      <c r="W2804" t="inlineStr">
        <is>
          <t>1992-05-18</t>
        </is>
      </c>
      <c r="X2804" t="inlineStr">
        <is>
          <t>1992-05-18</t>
        </is>
      </c>
      <c r="Y2804" t="n">
        <v>609</v>
      </c>
      <c r="Z2804" t="n">
        <v>544</v>
      </c>
      <c r="AA2804" t="n">
        <v>575</v>
      </c>
      <c r="AB2804" t="n">
        <v>6</v>
      </c>
      <c r="AC2804" t="n">
        <v>6</v>
      </c>
      <c r="AD2804" t="n">
        <v>29</v>
      </c>
      <c r="AE2804" t="n">
        <v>30</v>
      </c>
      <c r="AF2804" t="n">
        <v>9</v>
      </c>
      <c r="AG2804" t="n">
        <v>9</v>
      </c>
      <c r="AH2804" t="n">
        <v>5</v>
      </c>
      <c r="AI2804" t="n">
        <v>6</v>
      </c>
      <c r="AJ2804" t="n">
        <v>17</v>
      </c>
      <c r="AK2804" t="n">
        <v>18</v>
      </c>
      <c r="AL2804" t="n">
        <v>5</v>
      </c>
      <c r="AM2804" t="n">
        <v>5</v>
      </c>
      <c r="AN2804" t="n">
        <v>0</v>
      </c>
      <c r="AO2804" t="n">
        <v>0</v>
      </c>
      <c r="AP2804" t="inlineStr">
        <is>
          <t>No</t>
        </is>
      </c>
      <c r="AQ2804" t="inlineStr">
        <is>
          <t>No</t>
        </is>
      </c>
      <c r="AS2804">
        <f>HYPERLINK("https://creighton-primo.hosted.exlibrisgroup.com/primo-explore/search?tab=default_tab&amp;search_scope=EVERYTHING&amp;vid=01CRU&amp;lang=en_US&amp;offset=0&amp;query=any,contains,991002649409702656","Catalog Record")</f>
        <v/>
      </c>
      <c r="AT2804">
        <f>HYPERLINK("http://www.worldcat.org/oclc/386657","WorldCat Record")</f>
        <v/>
      </c>
      <c r="AU2804" t="inlineStr">
        <is>
          <t>1512137:eng</t>
        </is>
      </c>
      <c r="AV2804" t="inlineStr">
        <is>
          <t>386657</t>
        </is>
      </c>
      <c r="AW2804" t="inlineStr">
        <is>
          <t>991002649409702656</t>
        </is>
      </c>
      <c r="AX2804" t="inlineStr">
        <is>
          <t>991002649409702656</t>
        </is>
      </c>
      <c r="AY2804" t="inlineStr">
        <is>
          <t>2259562590002656</t>
        </is>
      </c>
      <c r="AZ2804" t="inlineStr">
        <is>
          <t>BOOK</t>
        </is>
      </c>
      <c r="BC2804" t="inlineStr">
        <is>
          <t>32285001123578</t>
        </is>
      </c>
      <c r="BD2804" t="inlineStr">
        <is>
          <t>893616379</t>
        </is>
      </c>
    </row>
    <row r="2805">
      <c r="A2805" t="inlineStr">
        <is>
          <t>No</t>
        </is>
      </c>
      <c r="B2805" t="inlineStr">
        <is>
          <t>BX7260.E3 H57 1973</t>
        </is>
      </c>
      <c r="C2805" t="inlineStr">
        <is>
          <t>0                      BX 7260000E  3                  H  57          1973</t>
        </is>
      </c>
      <c r="D2805" t="inlineStr">
        <is>
          <t>The ethics of Jonathan Edwards : morality and aesthetics / [by] Clyde A. Holbrook.</t>
        </is>
      </c>
      <c r="F2805" t="inlineStr">
        <is>
          <t>No</t>
        </is>
      </c>
      <c r="G2805" t="inlineStr">
        <is>
          <t>1</t>
        </is>
      </c>
      <c r="H2805" t="inlineStr">
        <is>
          <t>No</t>
        </is>
      </c>
      <c r="I2805" t="inlineStr">
        <is>
          <t>No</t>
        </is>
      </c>
      <c r="J2805" t="inlineStr">
        <is>
          <t>0</t>
        </is>
      </c>
      <c r="K2805" t="inlineStr">
        <is>
          <t>Holbrook, Clyde A.</t>
        </is>
      </c>
      <c r="L2805" t="inlineStr">
        <is>
          <t>Ann Arbor : University of Michigan Press, [1973]</t>
        </is>
      </c>
      <c r="M2805" t="inlineStr">
        <is>
          <t>1973</t>
        </is>
      </c>
      <c r="O2805" t="inlineStr">
        <is>
          <t>eng</t>
        </is>
      </c>
      <c r="P2805" t="inlineStr">
        <is>
          <t>miu</t>
        </is>
      </c>
      <c r="R2805" t="inlineStr">
        <is>
          <t xml:space="preserve">BX </t>
        </is>
      </c>
      <c r="S2805" t="n">
        <v>2</v>
      </c>
      <c r="T2805" t="n">
        <v>2</v>
      </c>
      <c r="U2805" t="inlineStr">
        <is>
          <t>2004-11-18</t>
        </is>
      </c>
      <c r="V2805" t="inlineStr">
        <is>
          <t>2004-11-18</t>
        </is>
      </c>
      <c r="W2805" t="inlineStr">
        <is>
          <t>1992-05-18</t>
        </is>
      </c>
      <c r="X2805" t="inlineStr">
        <is>
          <t>1992-05-18</t>
        </is>
      </c>
      <c r="Y2805" t="n">
        <v>597</v>
      </c>
      <c r="Z2805" t="n">
        <v>512</v>
      </c>
      <c r="AA2805" t="n">
        <v>515</v>
      </c>
      <c r="AB2805" t="n">
        <v>6</v>
      </c>
      <c r="AC2805" t="n">
        <v>6</v>
      </c>
      <c r="AD2805" t="n">
        <v>34</v>
      </c>
      <c r="AE2805" t="n">
        <v>34</v>
      </c>
      <c r="AF2805" t="n">
        <v>13</v>
      </c>
      <c r="AG2805" t="n">
        <v>13</v>
      </c>
      <c r="AH2805" t="n">
        <v>7</v>
      </c>
      <c r="AI2805" t="n">
        <v>7</v>
      </c>
      <c r="AJ2805" t="n">
        <v>17</v>
      </c>
      <c r="AK2805" t="n">
        <v>17</v>
      </c>
      <c r="AL2805" t="n">
        <v>4</v>
      </c>
      <c r="AM2805" t="n">
        <v>4</v>
      </c>
      <c r="AN2805" t="n">
        <v>0</v>
      </c>
      <c r="AO2805" t="n">
        <v>0</v>
      </c>
      <c r="AP2805" t="inlineStr">
        <is>
          <t>No</t>
        </is>
      </c>
      <c r="AQ2805" t="inlineStr">
        <is>
          <t>Yes</t>
        </is>
      </c>
      <c r="AR2805">
        <f>HYPERLINK("http://catalog.hathitrust.org/Record/001593522","HathiTrust Record")</f>
        <v/>
      </c>
      <c r="AS2805">
        <f>HYPERLINK("https://creighton-primo.hosted.exlibrisgroup.com/primo-explore/search?tab=default_tab&amp;search_scope=EVERYTHING&amp;vid=01CRU&amp;lang=en_US&amp;offset=0&amp;query=any,contains,991003155799702656","Catalog Record")</f>
        <v/>
      </c>
      <c r="AT2805">
        <f>HYPERLINK("http://www.worldcat.org/oclc/695225","WorldCat Record")</f>
        <v/>
      </c>
      <c r="AU2805" t="inlineStr">
        <is>
          <t>1808909:eng</t>
        </is>
      </c>
      <c r="AV2805" t="inlineStr">
        <is>
          <t>695225</t>
        </is>
      </c>
      <c r="AW2805" t="inlineStr">
        <is>
          <t>991003155799702656</t>
        </is>
      </c>
      <c r="AX2805" t="inlineStr">
        <is>
          <t>991003155799702656</t>
        </is>
      </c>
      <c r="AY2805" t="inlineStr">
        <is>
          <t>2267769170002656</t>
        </is>
      </c>
      <c r="AZ2805" t="inlineStr">
        <is>
          <t>BOOK</t>
        </is>
      </c>
      <c r="BB2805" t="inlineStr">
        <is>
          <t>9780472448005</t>
        </is>
      </c>
      <c r="BC2805" t="inlineStr">
        <is>
          <t>32285001123594</t>
        </is>
      </c>
      <c r="BD2805" t="inlineStr">
        <is>
          <t>893592240</t>
        </is>
      </c>
    </row>
    <row r="2806">
      <c r="A2806" t="inlineStr">
        <is>
          <t>No</t>
        </is>
      </c>
      <c r="B2806" t="inlineStr">
        <is>
          <t>BX7260.E3 J655 2003</t>
        </is>
      </c>
      <c r="C2806" t="inlineStr">
        <is>
          <t>0                      BX 7260000E  3                  J  655         2003</t>
        </is>
      </c>
      <c r="D2806" t="inlineStr">
        <is>
          <t>Jonathan Edwards at home and abroad : historical memories, cultural movements, global horizons / edited by David W. Kling and Douglas A. Sweeney.</t>
        </is>
      </c>
      <c r="F2806" t="inlineStr">
        <is>
          <t>No</t>
        </is>
      </c>
      <c r="G2806" t="inlineStr">
        <is>
          <t>1</t>
        </is>
      </c>
      <c r="H2806" t="inlineStr">
        <is>
          <t>No</t>
        </is>
      </c>
      <c r="I2806" t="inlineStr">
        <is>
          <t>No</t>
        </is>
      </c>
      <c r="J2806" t="inlineStr">
        <is>
          <t>0</t>
        </is>
      </c>
      <c r="L2806" t="inlineStr">
        <is>
          <t>Columbia, S.C. : University of South Carolina Press, c2003.</t>
        </is>
      </c>
      <c r="M2806" t="inlineStr">
        <is>
          <t>2003</t>
        </is>
      </c>
      <c r="O2806" t="inlineStr">
        <is>
          <t>eng</t>
        </is>
      </c>
      <c r="P2806" t="inlineStr">
        <is>
          <t>scu</t>
        </is>
      </c>
      <c r="R2806" t="inlineStr">
        <is>
          <t xml:space="preserve">BX </t>
        </is>
      </c>
      <c r="S2806" t="n">
        <v>8</v>
      </c>
      <c r="T2806" t="n">
        <v>8</v>
      </c>
      <c r="U2806" t="inlineStr">
        <is>
          <t>2006-10-06</t>
        </is>
      </c>
      <c r="V2806" t="inlineStr">
        <is>
          <t>2006-10-06</t>
        </is>
      </c>
      <c r="W2806" t="inlineStr">
        <is>
          <t>2005-01-06</t>
        </is>
      </c>
      <c r="X2806" t="inlineStr">
        <is>
          <t>2005-01-06</t>
        </is>
      </c>
      <c r="Y2806" t="n">
        <v>281</v>
      </c>
      <c r="Z2806" t="n">
        <v>252</v>
      </c>
      <c r="AA2806" t="n">
        <v>252</v>
      </c>
      <c r="AB2806" t="n">
        <v>4</v>
      </c>
      <c r="AC2806" t="n">
        <v>4</v>
      </c>
      <c r="AD2806" t="n">
        <v>18</v>
      </c>
      <c r="AE2806" t="n">
        <v>18</v>
      </c>
      <c r="AF2806" t="n">
        <v>6</v>
      </c>
      <c r="AG2806" t="n">
        <v>6</v>
      </c>
      <c r="AH2806" t="n">
        <v>4</v>
      </c>
      <c r="AI2806" t="n">
        <v>4</v>
      </c>
      <c r="AJ2806" t="n">
        <v>11</v>
      </c>
      <c r="AK2806" t="n">
        <v>11</v>
      </c>
      <c r="AL2806" t="n">
        <v>3</v>
      </c>
      <c r="AM2806" t="n">
        <v>3</v>
      </c>
      <c r="AN2806" t="n">
        <v>0</v>
      </c>
      <c r="AO2806" t="n">
        <v>0</v>
      </c>
      <c r="AP2806" t="inlineStr">
        <is>
          <t>No</t>
        </is>
      </c>
      <c r="AQ2806" t="inlineStr">
        <is>
          <t>No</t>
        </is>
      </c>
      <c r="AS2806">
        <f>HYPERLINK("https://creighton-primo.hosted.exlibrisgroup.com/primo-explore/search?tab=default_tab&amp;search_scope=EVERYTHING&amp;vid=01CRU&amp;lang=en_US&amp;offset=0&amp;query=any,contains,991004388669702656","Catalog Record")</f>
        <v/>
      </c>
      <c r="AT2806">
        <f>HYPERLINK("http://www.worldcat.org/oclc/52750172","WorldCat Record")</f>
        <v/>
      </c>
      <c r="AU2806" t="inlineStr">
        <is>
          <t>840428106:eng</t>
        </is>
      </c>
      <c r="AV2806" t="inlineStr">
        <is>
          <t>52750172</t>
        </is>
      </c>
      <c r="AW2806" t="inlineStr">
        <is>
          <t>991004388669702656</t>
        </is>
      </c>
      <c r="AX2806" t="inlineStr">
        <is>
          <t>991004388669702656</t>
        </is>
      </c>
      <c r="AY2806" t="inlineStr">
        <is>
          <t>2263461180002656</t>
        </is>
      </c>
      <c r="AZ2806" t="inlineStr">
        <is>
          <t>BOOK</t>
        </is>
      </c>
      <c r="BB2806" t="inlineStr">
        <is>
          <t>9781570035197</t>
        </is>
      </c>
      <c r="BC2806" t="inlineStr">
        <is>
          <t>32285005019392</t>
        </is>
      </c>
      <c r="BD2806" t="inlineStr">
        <is>
          <t>893526040</t>
        </is>
      </c>
    </row>
    <row r="2807">
      <c r="A2807" t="inlineStr">
        <is>
          <t>No</t>
        </is>
      </c>
      <c r="B2807" t="inlineStr">
        <is>
          <t>BX7260.E3 M5 1973</t>
        </is>
      </c>
      <c r="C2807" t="inlineStr">
        <is>
          <t>0                      BX 7260000E  3                  M  5           1973</t>
        </is>
      </c>
      <c r="D2807" t="inlineStr">
        <is>
          <t>Jonathan Edwards / Perry Miller.</t>
        </is>
      </c>
      <c r="F2807" t="inlineStr">
        <is>
          <t>No</t>
        </is>
      </c>
      <c r="G2807" t="inlineStr">
        <is>
          <t>1</t>
        </is>
      </c>
      <c r="H2807" t="inlineStr">
        <is>
          <t>No</t>
        </is>
      </c>
      <c r="I2807" t="inlineStr">
        <is>
          <t>No</t>
        </is>
      </c>
      <c r="J2807" t="inlineStr">
        <is>
          <t>0</t>
        </is>
      </c>
      <c r="K2807" t="inlineStr">
        <is>
          <t>Miller, Perry, 1905-1963.</t>
        </is>
      </c>
      <c r="L2807" t="inlineStr">
        <is>
          <t>Westport, Conn. : Greenwood Press, [1973, c1949]</t>
        </is>
      </c>
      <c r="M2807" t="inlineStr">
        <is>
          <t>1973</t>
        </is>
      </c>
      <c r="O2807" t="inlineStr">
        <is>
          <t>eng</t>
        </is>
      </c>
      <c r="P2807" t="inlineStr">
        <is>
          <t>ctu</t>
        </is>
      </c>
      <c r="R2807" t="inlineStr">
        <is>
          <t xml:space="preserve">BX </t>
        </is>
      </c>
      <c r="S2807" t="n">
        <v>4</v>
      </c>
      <c r="T2807" t="n">
        <v>4</v>
      </c>
      <c r="U2807" t="inlineStr">
        <is>
          <t>2001-11-06</t>
        </is>
      </c>
      <c r="V2807" t="inlineStr">
        <is>
          <t>2001-11-06</t>
        </is>
      </c>
      <c r="W2807" t="inlineStr">
        <is>
          <t>1992-05-18</t>
        </is>
      </c>
      <c r="X2807" t="inlineStr">
        <is>
          <t>1992-05-18</t>
        </is>
      </c>
      <c r="Y2807" t="n">
        <v>269</v>
      </c>
      <c r="Z2807" t="n">
        <v>237</v>
      </c>
      <c r="AA2807" t="n">
        <v>1383</v>
      </c>
      <c r="AB2807" t="n">
        <v>1</v>
      </c>
      <c r="AC2807" t="n">
        <v>12</v>
      </c>
      <c r="AD2807" t="n">
        <v>8</v>
      </c>
      <c r="AE2807" t="n">
        <v>55</v>
      </c>
      <c r="AF2807" t="n">
        <v>3</v>
      </c>
      <c r="AG2807" t="n">
        <v>24</v>
      </c>
      <c r="AH2807" t="n">
        <v>4</v>
      </c>
      <c r="AI2807" t="n">
        <v>9</v>
      </c>
      <c r="AJ2807" t="n">
        <v>4</v>
      </c>
      <c r="AK2807" t="n">
        <v>25</v>
      </c>
      <c r="AL2807" t="n">
        <v>0</v>
      </c>
      <c r="AM2807" t="n">
        <v>10</v>
      </c>
      <c r="AN2807" t="n">
        <v>0</v>
      </c>
      <c r="AO2807" t="n">
        <v>0</v>
      </c>
      <c r="AP2807" t="inlineStr">
        <is>
          <t>No</t>
        </is>
      </c>
      <c r="AQ2807" t="inlineStr">
        <is>
          <t>No</t>
        </is>
      </c>
      <c r="AS2807">
        <f>HYPERLINK("https://creighton-primo.hosted.exlibrisgroup.com/primo-explore/search?tab=default_tab&amp;search_scope=EVERYTHING&amp;vid=01CRU&amp;lang=en_US&amp;offset=0&amp;query=any,contains,991003011089702656","Catalog Record")</f>
        <v/>
      </c>
      <c r="AT2807">
        <f>HYPERLINK("http://www.worldcat.org/oclc/577985","WorldCat Record")</f>
        <v/>
      </c>
      <c r="AU2807" t="inlineStr">
        <is>
          <t>3768374752:eng</t>
        </is>
      </c>
      <c r="AV2807" t="inlineStr">
        <is>
          <t>577985</t>
        </is>
      </c>
      <c r="AW2807" t="inlineStr">
        <is>
          <t>991003011089702656</t>
        </is>
      </c>
      <c r="AX2807" t="inlineStr">
        <is>
          <t>991003011089702656</t>
        </is>
      </c>
      <c r="AY2807" t="inlineStr">
        <is>
          <t>2259506580002656</t>
        </is>
      </c>
      <c r="AZ2807" t="inlineStr">
        <is>
          <t>BOOK</t>
        </is>
      </c>
      <c r="BB2807" t="inlineStr">
        <is>
          <t>9780837165516</t>
        </is>
      </c>
      <c r="BC2807" t="inlineStr">
        <is>
          <t>32285001123644</t>
        </is>
      </c>
      <c r="BD2807" t="inlineStr">
        <is>
          <t>893717215</t>
        </is>
      </c>
    </row>
    <row r="2808">
      <c r="A2808" t="inlineStr">
        <is>
          <t>No</t>
        </is>
      </c>
      <c r="B2808" t="inlineStr">
        <is>
          <t>BX7260.E3 P3</t>
        </is>
      </c>
      <c r="C2808" t="inlineStr">
        <is>
          <t>0                      BX 7260000E  3                  P  3</t>
        </is>
      </c>
      <c r="D2808" t="inlineStr">
        <is>
          <t>Jonathan Edwards, the fiery Puritan / by Henry Bamford Parkes.</t>
        </is>
      </c>
      <c r="F2808" t="inlineStr">
        <is>
          <t>No</t>
        </is>
      </c>
      <c r="G2808" t="inlineStr">
        <is>
          <t>1</t>
        </is>
      </c>
      <c r="H2808" t="inlineStr">
        <is>
          <t>No</t>
        </is>
      </c>
      <c r="I2808" t="inlineStr">
        <is>
          <t>No</t>
        </is>
      </c>
      <c r="J2808" t="inlineStr">
        <is>
          <t>0</t>
        </is>
      </c>
      <c r="K2808" t="inlineStr">
        <is>
          <t>Parkes, Henry Bamford, 1904-1972.</t>
        </is>
      </c>
      <c r="L2808" t="inlineStr">
        <is>
          <t>New York : Minton, Balch &amp; Company, 1930.</t>
        </is>
      </c>
      <c r="M2808" t="inlineStr">
        <is>
          <t>1930</t>
        </is>
      </c>
      <c r="O2808" t="inlineStr">
        <is>
          <t>eng</t>
        </is>
      </c>
      <c r="P2808" t="inlineStr">
        <is>
          <t>nyu</t>
        </is>
      </c>
      <c r="R2808" t="inlineStr">
        <is>
          <t xml:space="preserve">BX </t>
        </is>
      </c>
      <c r="S2808" t="n">
        <v>2</v>
      </c>
      <c r="T2808" t="n">
        <v>2</v>
      </c>
      <c r="U2808" t="inlineStr">
        <is>
          <t>2001-04-11</t>
        </is>
      </c>
      <c r="V2808" t="inlineStr">
        <is>
          <t>2001-04-11</t>
        </is>
      </c>
      <c r="W2808" t="inlineStr">
        <is>
          <t>1992-05-18</t>
        </is>
      </c>
      <c r="X2808" t="inlineStr">
        <is>
          <t>1992-05-18</t>
        </is>
      </c>
      <c r="Y2808" t="n">
        <v>427</v>
      </c>
      <c r="Z2808" t="n">
        <v>411</v>
      </c>
      <c r="AA2808" t="n">
        <v>483</v>
      </c>
      <c r="AB2808" t="n">
        <v>3</v>
      </c>
      <c r="AC2808" t="n">
        <v>3</v>
      </c>
      <c r="AD2808" t="n">
        <v>19</v>
      </c>
      <c r="AE2808" t="n">
        <v>20</v>
      </c>
      <c r="AF2808" t="n">
        <v>7</v>
      </c>
      <c r="AG2808" t="n">
        <v>7</v>
      </c>
      <c r="AH2808" t="n">
        <v>4</v>
      </c>
      <c r="AI2808" t="n">
        <v>4</v>
      </c>
      <c r="AJ2808" t="n">
        <v>11</v>
      </c>
      <c r="AK2808" t="n">
        <v>12</v>
      </c>
      <c r="AL2808" t="n">
        <v>2</v>
      </c>
      <c r="AM2808" t="n">
        <v>2</v>
      </c>
      <c r="AN2808" t="n">
        <v>1</v>
      </c>
      <c r="AO2808" t="n">
        <v>1</v>
      </c>
      <c r="AP2808" t="inlineStr">
        <is>
          <t>Yes</t>
        </is>
      </c>
      <c r="AQ2808" t="inlineStr">
        <is>
          <t>No</t>
        </is>
      </c>
      <c r="AR2808">
        <f>HYPERLINK("http://catalog.hathitrust.org/Record/001593528","HathiTrust Record")</f>
        <v/>
      </c>
      <c r="AS2808">
        <f>HYPERLINK("https://creighton-primo.hosted.exlibrisgroup.com/primo-explore/search?tab=default_tab&amp;search_scope=EVERYTHING&amp;vid=01CRU&amp;lang=en_US&amp;offset=0&amp;query=any,contains,991003656099702656","Catalog Record")</f>
        <v/>
      </c>
      <c r="AT2808">
        <f>HYPERLINK("http://www.worldcat.org/oclc/1260642","WorldCat Record")</f>
        <v/>
      </c>
      <c r="AU2808" t="inlineStr">
        <is>
          <t>476010:eng</t>
        </is>
      </c>
      <c r="AV2808" t="inlineStr">
        <is>
          <t>1260642</t>
        </is>
      </c>
      <c r="AW2808" t="inlineStr">
        <is>
          <t>991003656099702656</t>
        </is>
      </c>
      <c r="AX2808" t="inlineStr">
        <is>
          <t>991003656099702656</t>
        </is>
      </c>
      <c r="AY2808" t="inlineStr">
        <is>
          <t>2265032760002656</t>
        </is>
      </c>
      <c r="AZ2808" t="inlineStr">
        <is>
          <t>BOOK</t>
        </is>
      </c>
      <c r="BC2808" t="inlineStr">
        <is>
          <t>32285001123651</t>
        </is>
      </c>
      <c r="BD2808" t="inlineStr">
        <is>
          <t>893228281</t>
        </is>
      </c>
    </row>
    <row r="2809">
      <c r="A2809" t="inlineStr">
        <is>
          <t>No</t>
        </is>
      </c>
      <c r="B2809" t="inlineStr">
        <is>
          <t>BX7260.E3 T72</t>
        </is>
      </c>
      <c r="C2809" t="inlineStr">
        <is>
          <t>0                      BX 7260000E  3                  T  72</t>
        </is>
      </c>
      <c r="D2809" t="inlineStr">
        <is>
          <t>Jonathan Edwards, pastor : religion and society in eighteenth century Northampton / Patricia J. Tracy.</t>
        </is>
      </c>
      <c r="F2809" t="inlineStr">
        <is>
          <t>No</t>
        </is>
      </c>
      <c r="G2809" t="inlineStr">
        <is>
          <t>1</t>
        </is>
      </c>
      <c r="H2809" t="inlineStr">
        <is>
          <t>No</t>
        </is>
      </c>
      <c r="I2809" t="inlineStr">
        <is>
          <t>No</t>
        </is>
      </c>
      <c r="J2809" t="inlineStr">
        <is>
          <t>0</t>
        </is>
      </c>
      <c r="K2809" t="inlineStr">
        <is>
          <t>Tracy, Patricia J., 1947-</t>
        </is>
      </c>
      <c r="L2809" t="inlineStr">
        <is>
          <t>New York : Hill and Wang, 1980.</t>
        </is>
      </c>
      <c r="M2809" t="inlineStr">
        <is>
          <t>1980</t>
        </is>
      </c>
      <c r="N2809" t="inlineStr">
        <is>
          <t>1st ed.</t>
        </is>
      </c>
      <c r="O2809" t="inlineStr">
        <is>
          <t>eng</t>
        </is>
      </c>
      <c r="P2809" t="inlineStr">
        <is>
          <t>nyu</t>
        </is>
      </c>
      <c r="Q2809" t="inlineStr">
        <is>
          <t>American century series</t>
        </is>
      </c>
      <c r="R2809" t="inlineStr">
        <is>
          <t xml:space="preserve">BX </t>
        </is>
      </c>
      <c r="S2809" t="n">
        <v>5</v>
      </c>
      <c r="T2809" t="n">
        <v>5</v>
      </c>
      <c r="U2809" t="inlineStr">
        <is>
          <t>2006-11-13</t>
        </is>
      </c>
      <c r="V2809" t="inlineStr">
        <is>
          <t>2006-11-13</t>
        </is>
      </c>
      <c r="W2809" t="inlineStr">
        <is>
          <t>1992-05-18</t>
        </is>
      </c>
      <c r="X2809" t="inlineStr">
        <is>
          <t>1992-05-18</t>
        </is>
      </c>
      <c r="Y2809" t="n">
        <v>861</v>
      </c>
      <c r="Z2809" t="n">
        <v>785</v>
      </c>
      <c r="AA2809" t="n">
        <v>800</v>
      </c>
      <c r="AB2809" t="n">
        <v>7</v>
      </c>
      <c r="AC2809" t="n">
        <v>7</v>
      </c>
      <c r="AD2809" t="n">
        <v>41</v>
      </c>
      <c r="AE2809" t="n">
        <v>41</v>
      </c>
      <c r="AF2809" t="n">
        <v>20</v>
      </c>
      <c r="AG2809" t="n">
        <v>20</v>
      </c>
      <c r="AH2809" t="n">
        <v>9</v>
      </c>
      <c r="AI2809" t="n">
        <v>9</v>
      </c>
      <c r="AJ2809" t="n">
        <v>18</v>
      </c>
      <c r="AK2809" t="n">
        <v>18</v>
      </c>
      <c r="AL2809" t="n">
        <v>6</v>
      </c>
      <c r="AM2809" t="n">
        <v>6</v>
      </c>
      <c r="AN2809" t="n">
        <v>0</v>
      </c>
      <c r="AO2809" t="n">
        <v>0</v>
      </c>
      <c r="AP2809" t="inlineStr">
        <is>
          <t>No</t>
        </is>
      </c>
      <c r="AQ2809" t="inlineStr">
        <is>
          <t>No</t>
        </is>
      </c>
      <c r="AS2809">
        <f>HYPERLINK("https://creighton-primo.hosted.exlibrisgroup.com/primo-explore/search?tab=default_tab&amp;search_scope=EVERYTHING&amp;vid=01CRU&amp;lang=en_US&amp;offset=0&amp;query=any,contains,991004935729702656","Catalog Record")</f>
        <v/>
      </c>
      <c r="AT2809">
        <f>HYPERLINK("http://www.worldcat.org/oclc/6142869","WorldCat Record")</f>
        <v/>
      </c>
      <c r="AU2809" t="inlineStr">
        <is>
          <t>21709232:eng</t>
        </is>
      </c>
      <c r="AV2809" t="inlineStr">
        <is>
          <t>6142869</t>
        </is>
      </c>
      <c r="AW2809" t="inlineStr">
        <is>
          <t>991004935729702656</t>
        </is>
      </c>
      <c r="AX2809" t="inlineStr">
        <is>
          <t>991004935729702656</t>
        </is>
      </c>
      <c r="AY2809" t="inlineStr">
        <is>
          <t>2261568330002656</t>
        </is>
      </c>
      <c r="AZ2809" t="inlineStr">
        <is>
          <t>BOOK</t>
        </is>
      </c>
      <c r="BB2809" t="inlineStr">
        <is>
          <t>9780809001491</t>
        </is>
      </c>
      <c r="BC2809" t="inlineStr">
        <is>
          <t>32285001123669</t>
        </is>
      </c>
      <c r="BD2809" t="inlineStr">
        <is>
          <t>893412109</t>
        </is>
      </c>
    </row>
    <row r="2810">
      <c r="A2810" t="inlineStr">
        <is>
          <t>No</t>
        </is>
      </c>
      <c r="B2810" t="inlineStr">
        <is>
          <t>BX7260.E3 W5 1973</t>
        </is>
      </c>
      <c r="C2810" t="inlineStr">
        <is>
          <t>0                      BX 7260000E  3                  W  5           1973</t>
        </is>
      </c>
      <c r="D2810" t="inlineStr">
        <is>
          <t>Jonathan Edwards, 1703-1758 : a biography / by Ola Elizabeth Winslow.</t>
        </is>
      </c>
      <c r="F2810" t="inlineStr">
        <is>
          <t>No</t>
        </is>
      </c>
      <c r="G2810" t="inlineStr">
        <is>
          <t>1</t>
        </is>
      </c>
      <c r="H2810" t="inlineStr">
        <is>
          <t>No</t>
        </is>
      </c>
      <c r="I2810" t="inlineStr">
        <is>
          <t>No</t>
        </is>
      </c>
      <c r="J2810" t="inlineStr">
        <is>
          <t>0</t>
        </is>
      </c>
      <c r="K2810" t="inlineStr">
        <is>
          <t>Winslow, Ola Elizabeth.</t>
        </is>
      </c>
      <c r="L2810" t="inlineStr">
        <is>
          <t>New York : Octagon Books, 1973 [c1940]</t>
        </is>
      </c>
      <c r="M2810" t="inlineStr">
        <is>
          <t>1973</t>
        </is>
      </c>
      <c r="O2810" t="inlineStr">
        <is>
          <t>eng</t>
        </is>
      </c>
      <c r="P2810" t="inlineStr">
        <is>
          <t>nyu</t>
        </is>
      </c>
      <c r="R2810" t="inlineStr">
        <is>
          <t xml:space="preserve">BX </t>
        </is>
      </c>
      <c r="S2810" t="n">
        <v>6</v>
      </c>
      <c r="T2810" t="n">
        <v>6</v>
      </c>
      <c r="U2810" t="inlineStr">
        <is>
          <t>2001-04-08</t>
        </is>
      </c>
      <c r="V2810" t="inlineStr">
        <is>
          <t>2001-04-08</t>
        </is>
      </c>
      <c r="W2810" t="inlineStr">
        <is>
          <t>1992-05-18</t>
        </is>
      </c>
      <c r="X2810" t="inlineStr">
        <is>
          <t>1992-05-18</t>
        </is>
      </c>
      <c r="Y2810" t="n">
        <v>226</v>
      </c>
      <c r="Z2810" t="n">
        <v>211</v>
      </c>
      <c r="AA2810" t="n">
        <v>908</v>
      </c>
      <c r="AB2810" t="n">
        <v>3</v>
      </c>
      <c r="AC2810" t="n">
        <v>7</v>
      </c>
      <c r="AD2810" t="n">
        <v>12</v>
      </c>
      <c r="AE2810" t="n">
        <v>41</v>
      </c>
      <c r="AF2810" t="n">
        <v>4</v>
      </c>
      <c r="AG2810" t="n">
        <v>21</v>
      </c>
      <c r="AH2810" t="n">
        <v>5</v>
      </c>
      <c r="AI2810" t="n">
        <v>8</v>
      </c>
      <c r="AJ2810" t="n">
        <v>5</v>
      </c>
      <c r="AK2810" t="n">
        <v>19</v>
      </c>
      <c r="AL2810" t="n">
        <v>2</v>
      </c>
      <c r="AM2810" t="n">
        <v>5</v>
      </c>
      <c r="AN2810" t="n">
        <v>0</v>
      </c>
      <c r="AO2810" t="n">
        <v>0</v>
      </c>
      <c r="AP2810" t="inlineStr">
        <is>
          <t>No</t>
        </is>
      </c>
      <c r="AQ2810" t="inlineStr">
        <is>
          <t>Yes</t>
        </is>
      </c>
      <c r="AR2810">
        <f>HYPERLINK("http://catalog.hathitrust.org/Record/006027309","HathiTrust Record")</f>
        <v/>
      </c>
      <c r="AS2810">
        <f>HYPERLINK("https://creighton-primo.hosted.exlibrisgroup.com/primo-explore/search?tab=default_tab&amp;search_scope=EVERYTHING&amp;vid=01CRU&amp;lang=en_US&amp;offset=0&amp;query=any,contains,991003116759702656","Catalog Record")</f>
        <v/>
      </c>
      <c r="AT2810">
        <f>HYPERLINK("http://www.worldcat.org/oclc/662130","WorldCat Record")</f>
        <v/>
      </c>
      <c r="AU2810" t="inlineStr">
        <is>
          <t>1512131:eng</t>
        </is>
      </c>
      <c r="AV2810" t="inlineStr">
        <is>
          <t>662130</t>
        </is>
      </c>
      <c r="AW2810" t="inlineStr">
        <is>
          <t>991003116759702656</t>
        </is>
      </c>
      <c r="AX2810" t="inlineStr">
        <is>
          <t>991003116759702656</t>
        </is>
      </c>
      <c r="AY2810" t="inlineStr">
        <is>
          <t>2269675140002656</t>
        </is>
      </c>
      <c r="AZ2810" t="inlineStr">
        <is>
          <t>BOOK</t>
        </is>
      </c>
      <c r="BC2810" t="inlineStr">
        <is>
          <t>32285001123677</t>
        </is>
      </c>
      <c r="BD2810" t="inlineStr">
        <is>
          <t>893524429</t>
        </is>
      </c>
    </row>
    <row r="2811">
      <c r="A2811" t="inlineStr">
        <is>
          <t>No</t>
        </is>
      </c>
      <c r="B2811" t="inlineStr">
        <is>
          <t>BX7260.F47 H35 1996</t>
        </is>
      </c>
      <c r="C2811" t="inlineStr">
        <is>
          <t>0                      BX 7260000F  47                 H  35          1996</t>
        </is>
      </c>
      <c r="D2811" t="inlineStr">
        <is>
          <t>Charles G. Finney and the spirit of American Evangelicalism / Charles E. Hambrick-Stowe.</t>
        </is>
      </c>
      <c r="F2811" t="inlineStr">
        <is>
          <t>No</t>
        </is>
      </c>
      <c r="G2811" t="inlineStr">
        <is>
          <t>1</t>
        </is>
      </c>
      <c r="H2811" t="inlineStr">
        <is>
          <t>No</t>
        </is>
      </c>
      <c r="I2811" t="inlineStr">
        <is>
          <t>No</t>
        </is>
      </c>
      <c r="J2811" t="inlineStr">
        <is>
          <t>0</t>
        </is>
      </c>
      <c r="K2811" t="inlineStr">
        <is>
          <t>Hambrick-Stowe, Charles E.</t>
        </is>
      </c>
      <c r="L2811" t="inlineStr">
        <is>
          <t>Grand Rapids, Mich. : W.B. Eerdmans Pub. Co., c1996.</t>
        </is>
      </c>
      <c r="M2811" t="inlineStr">
        <is>
          <t>1996</t>
        </is>
      </c>
      <c r="O2811" t="inlineStr">
        <is>
          <t>eng</t>
        </is>
      </c>
      <c r="P2811" t="inlineStr">
        <is>
          <t>miu</t>
        </is>
      </c>
      <c r="Q2811" t="inlineStr">
        <is>
          <t>Library of religious biography</t>
        </is>
      </c>
      <c r="R2811" t="inlineStr">
        <is>
          <t xml:space="preserve">BX </t>
        </is>
      </c>
      <c r="S2811" t="n">
        <v>4</v>
      </c>
      <c r="T2811" t="n">
        <v>4</v>
      </c>
      <c r="U2811" t="inlineStr">
        <is>
          <t>2007-10-17</t>
        </is>
      </c>
      <c r="V2811" t="inlineStr">
        <is>
          <t>2007-10-17</t>
        </is>
      </c>
      <c r="W2811" t="inlineStr">
        <is>
          <t>1997-11-04</t>
        </is>
      </c>
      <c r="X2811" t="inlineStr">
        <is>
          <t>1997-11-04</t>
        </is>
      </c>
      <c r="Y2811" t="n">
        <v>614</v>
      </c>
      <c r="Z2811" t="n">
        <v>555</v>
      </c>
      <c r="AA2811" t="n">
        <v>556</v>
      </c>
      <c r="AB2811" t="n">
        <v>3</v>
      </c>
      <c r="AC2811" t="n">
        <v>3</v>
      </c>
      <c r="AD2811" t="n">
        <v>25</v>
      </c>
      <c r="AE2811" t="n">
        <v>25</v>
      </c>
      <c r="AF2811" t="n">
        <v>12</v>
      </c>
      <c r="AG2811" t="n">
        <v>12</v>
      </c>
      <c r="AH2811" t="n">
        <v>6</v>
      </c>
      <c r="AI2811" t="n">
        <v>6</v>
      </c>
      <c r="AJ2811" t="n">
        <v>11</v>
      </c>
      <c r="AK2811" t="n">
        <v>11</v>
      </c>
      <c r="AL2811" t="n">
        <v>2</v>
      </c>
      <c r="AM2811" t="n">
        <v>2</v>
      </c>
      <c r="AN2811" t="n">
        <v>0</v>
      </c>
      <c r="AO2811" t="n">
        <v>0</v>
      </c>
      <c r="AP2811" t="inlineStr">
        <is>
          <t>No</t>
        </is>
      </c>
      <c r="AQ2811" t="inlineStr">
        <is>
          <t>No</t>
        </is>
      </c>
      <c r="AS2811">
        <f>HYPERLINK("https://creighton-primo.hosted.exlibrisgroup.com/primo-explore/search?tab=default_tab&amp;search_scope=EVERYTHING&amp;vid=01CRU&amp;lang=en_US&amp;offset=0&amp;query=any,contains,991002636869702656","Catalog Record")</f>
        <v/>
      </c>
      <c r="AT2811">
        <f>HYPERLINK("http://www.worldcat.org/oclc/34545673","WorldCat Record")</f>
        <v/>
      </c>
      <c r="AU2811" t="inlineStr">
        <is>
          <t>40550438:eng</t>
        </is>
      </c>
      <c r="AV2811" t="inlineStr">
        <is>
          <t>34545673</t>
        </is>
      </c>
      <c r="AW2811" t="inlineStr">
        <is>
          <t>991002636869702656</t>
        </is>
      </c>
      <c r="AX2811" t="inlineStr">
        <is>
          <t>991002636869702656</t>
        </is>
      </c>
      <c r="AY2811" t="inlineStr">
        <is>
          <t>2261913010002656</t>
        </is>
      </c>
      <c r="AZ2811" t="inlineStr">
        <is>
          <t>BOOK</t>
        </is>
      </c>
      <c r="BB2811" t="inlineStr">
        <is>
          <t>9780802801296</t>
        </is>
      </c>
      <c r="BC2811" t="inlineStr">
        <is>
          <t>32285003275459</t>
        </is>
      </c>
      <c r="BD2811" t="inlineStr">
        <is>
          <t>893517539</t>
        </is>
      </c>
    </row>
    <row r="2812">
      <c r="A2812" t="inlineStr">
        <is>
          <t>No</t>
        </is>
      </c>
      <c r="B2812" t="inlineStr">
        <is>
          <t>BX7260.H596 S55</t>
        </is>
      </c>
      <c r="C2812" t="inlineStr">
        <is>
          <t>0                      BX 7260000H  596                S  55</t>
        </is>
      </c>
      <c r="D2812" t="inlineStr">
        <is>
          <t>Thomas Hooker, 1586-1647 / Frank Shuffelton.</t>
        </is>
      </c>
      <c r="F2812" t="inlineStr">
        <is>
          <t>No</t>
        </is>
      </c>
      <c r="G2812" t="inlineStr">
        <is>
          <t>1</t>
        </is>
      </c>
      <c r="H2812" t="inlineStr">
        <is>
          <t>No</t>
        </is>
      </c>
      <c r="I2812" t="inlineStr">
        <is>
          <t>No</t>
        </is>
      </c>
      <c r="J2812" t="inlineStr">
        <is>
          <t>0</t>
        </is>
      </c>
      <c r="K2812" t="inlineStr">
        <is>
          <t>Shuffelton, Frank, 1940-</t>
        </is>
      </c>
      <c r="L2812" t="inlineStr">
        <is>
          <t>Princeton, N.J. : Princeton University Press, c1977.</t>
        </is>
      </c>
      <c r="M2812" t="inlineStr">
        <is>
          <t>1977</t>
        </is>
      </c>
      <c r="O2812" t="inlineStr">
        <is>
          <t>eng</t>
        </is>
      </c>
      <c r="P2812" t="inlineStr">
        <is>
          <t>nju</t>
        </is>
      </c>
      <c r="R2812" t="inlineStr">
        <is>
          <t xml:space="preserve">BX </t>
        </is>
      </c>
      <c r="S2812" t="n">
        <v>2</v>
      </c>
      <c r="T2812" t="n">
        <v>2</v>
      </c>
      <c r="U2812" t="inlineStr">
        <is>
          <t>1996-11-19</t>
        </is>
      </c>
      <c r="V2812" t="inlineStr">
        <is>
          <t>1996-11-19</t>
        </is>
      </c>
      <c r="W2812" t="inlineStr">
        <is>
          <t>1992-05-18</t>
        </is>
      </c>
      <c r="X2812" t="inlineStr">
        <is>
          <t>1992-05-18</t>
        </is>
      </c>
      <c r="Y2812" t="n">
        <v>740</v>
      </c>
      <c r="Z2812" t="n">
        <v>636</v>
      </c>
      <c r="AA2812" t="n">
        <v>882</v>
      </c>
      <c r="AB2812" t="n">
        <v>3</v>
      </c>
      <c r="AC2812" t="n">
        <v>5</v>
      </c>
      <c r="AD2812" t="n">
        <v>29</v>
      </c>
      <c r="AE2812" t="n">
        <v>39</v>
      </c>
      <c r="AF2812" t="n">
        <v>13</v>
      </c>
      <c r="AG2812" t="n">
        <v>19</v>
      </c>
      <c r="AH2812" t="n">
        <v>8</v>
      </c>
      <c r="AI2812" t="n">
        <v>11</v>
      </c>
      <c r="AJ2812" t="n">
        <v>14</v>
      </c>
      <c r="AK2812" t="n">
        <v>17</v>
      </c>
      <c r="AL2812" t="n">
        <v>2</v>
      </c>
      <c r="AM2812" t="n">
        <v>3</v>
      </c>
      <c r="AN2812" t="n">
        <v>0</v>
      </c>
      <c r="AO2812" t="n">
        <v>0</v>
      </c>
      <c r="AP2812" t="inlineStr">
        <is>
          <t>No</t>
        </is>
      </c>
      <c r="AQ2812" t="inlineStr">
        <is>
          <t>No</t>
        </is>
      </c>
      <c r="AS2812">
        <f>HYPERLINK("https://creighton-primo.hosted.exlibrisgroup.com/primo-explore/search?tab=default_tab&amp;search_scope=EVERYTHING&amp;vid=01CRU&amp;lang=en_US&amp;offset=0&amp;query=any,contains,991004308459702656","Catalog Record")</f>
        <v/>
      </c>
      <c r="AT2812">
        <f>HYPERLINK("http://www.worldcat.org/oclc/2985479","WorldCat Record")</f>
        <v/>
      </c>
      <c r="AU2812" t="inlineStr">
        <is>
          <t>375471981:eng</t>
        </is>
      </c>
      <c r="AV2812" t="inlineStr">
        <is>
          <t>2985479</t>
        </is>
      </c>
      <c r="AW2812" t="inlineStr">
        <is>
          <t>991004308459702656</t>
        </is>
      </c>
      <c r="AX2812" t="inlineStr">
        <is>
          <t>991004308459702656</t>
        </is>
      </c>
      <c r="AY2812" t="inlineStr">
        <is>
          <t>2262077090002656</t>
        </is>
      </c>
      <c r="AZ2812" t="inlineStr">
        <is>
          <t>BOOK</t>
        </is>
      </c>
      <c r="BB2812" t="inlineStr">
        <is>
          <t>9780691052496</t>
        </is>
      </c>
      <c r="BC2812" t="inlineStr">
        <is>
          <t>32285001123719</t>
        </is>
      </c>
      <c r="BD2812" t="inlineStr">
        <is>
          <t>893263191</t>
        </is>
      </c>
    </row>
    <row r="2813">
      <c r="A2813" t="inlineStr">
        <is>
          <t>No</t>
        </is>
      </c>
      <c r="B2813" t="inlineStr">
        <is>
          <t>BX7260.O3 T86 1988</t>
        </is>
      </c>
      <c r="C2813" t="inlineStr">
        <is>
          <t>0                      BX 7260000O  3                  T  86          1988</t>
        </is>
      </c>
      <c r="D2813" t="inlineStr">
        <is>
          <t>Two reformers of fundamentalism : Harold John Ockenga and Carl F.H. Henry / edited with an introduction by Joel A. Carpenter.</t>
        </is>
      </c>
      <c r="F2813" t="inlineStr">
        <is>
          <t>No</t>
        </is>
      </c>
      <c r="G2813" t="inlineStr">
        <is>
          <t>1</t>
        </is>
      </c>
      <c r="H2813" t="inlineStr">
        <is>
          <t>No</t>
        </is>
      </c>
      <c r="I2813" t="inlineStr">
        <is>
          <t>No</t>
        </is>
      </c>
      <c r="J2813" t="inlineStr">
        <is>
          <t>0</t>
        </is>
      </c>
      <c r="L2813" t="inlineStr">
        <is>
          <t>New York : Garland, 1988.</t>
        </is>
      </c>
      <c r="M2813" t="inlineStr">
        <is>
          <t>1988</t>
        </is>
      </c>
      <c r="O2813" t="inlineStr">
        <is>
          <t>eng</t>
        </is>
      </c>
      <c r="P2813" t="inlineStr">
        <is>
          <t>nyu</t>
        </is>
      </c>
      <c r="Q2813" t="inlineStr">
        <is>
          <t>Fundamentalism in American religion, 1880-1950 ; 45</t>
        </is>
      </c>
      <c r="R2813" t="inlineStr">
        <is>
          <t xml:space="preserve">BX </t>
        </is>
      </c>
      <c r="S2813" t="n">
        <v>3</v>
      </c>
      <c r="T2813" t="n">
        <v>3</v>
      </c>
      <c r="U2813" t="inlineStr">
        <is>
          <t>1998-07-29</t>
        </is>
      </c>
      <c r="V2813" t="inlineStr">
        <is>
          <t>1998-07-29</t>
        </is>
      </c>
      <c r="W2813" t="inlineStr">
        <is>
          <t>1992-03-06</t>
        </is>
      </c>
      <c r="X2813" t="inlineStr">
        <is>
          <t>1992-03-06</t>
        </is>
      </c>
      <c r="Y2813" t="n">
        <v>103</v>
      </c>
      <c r="Z2813" t="n">
        <v>90</v>
      </c>
      <c r="AA2813" t="n">
        <v>91</v>
      </c>
      <c r="AB2813" t="n">
        <v>2</v>
      </c>
      <c r="AC2813" t="n">
        <v>2</v>
      </c>
      <c r="AD2813" t="n">
        <v>4</v>
      </c>
      <c r="AE2813" t="n">
        <v>4</v>
      </c>
      <c r="AF2813" t="n">
        <v>2</v>
      </c>
      <c r="AG2813" t="n">
        <v>2</v>
      </c>
      <c r="AH2813" t="n">
        <v>0</v>
      </c>
      <c r="AI2813" t="n">
        <v>0</v>
      </c>
      <c r="AJ2813" t="n">
        <v>1</v>
      </c>
      <c r="AK2813" t="n">
        <v>1</v>
      </c>
      <c r="AL2813" t="n">
        <v>1</v>
      </c>
      <c r="AM2813" t="n">
        <v>1</v>
      </c>
      <c r="AN2813" t="n">
        <v>0</v>
      </c>
      <c r="AO2813" t="n">
        <v>0</v>
      </c>
      <c r="AP2813" t="inlineStr">
        <is>
          <t>No</t>
        </is>
      </c>
      <c r="AQ2813" t="inlineStr">
        <is>
          <t>No</t>
        </is>
      </c>
      <c r="AS2813">
        <f>HYPERLINK("https://creighton-primo.hosted.exlibrisgroup.com/primo-explore/search?tab=default_tab&amp;search_scope=EVERYTHING&amp;vid=01CRU&amp;lang=en_US&amp;offset=0&amp;query=any,contains,991001315249702656","Catalog Record")</f>
        <v/>
      </c>
      <c r="AT2813">
        <f>HYPERLINK("http://www.worldcat.org/oclc/18167267","WorldCat Record")</f>
        <v/>
      </c>
      <c r="AU2813" t="inlineStr">
        <is>
          <t>5090702144:eng</t>
        </is>
      </c>
      <c r="AV2813" t="inlineStr">
        <is>
          <t>18167267</t>
        </is>
      </c>
      <c r="AW2813" t="inlineStr">
        <is>
          <t>991001315249702656</t>
        </is>
      </c>
      <c r="AX2813" t="inlineStr">
        <is>
          <t>991001315249702656</t>
        </is>
      </c>
      <c r="AY2813" t="inlineStr">
        <is>
          <t>2263979550002656</t>
        </is>
      </c>
      <c r="AZ2813" t="inlineStr">
        <is>
          <t>BOOK</t>
        </is>
      </c>
      <c r="BB2813" t="inlineStr">
        <is>
          <t>9780824050474</t>
        </is>
      </c>
      <c r="BC2813" t="inlineStr">
        <is>
          <t>32285000937853</t>
        </is>
      </c>
      <c r="BD2813" t="inlineStr">
        <is>
          <t>893785027</t>
        </is>
      </c>
    </row>
    <row r="2814">
      <c r="A2814" t="inlineStr">
        <is>
          <t>No</t>
        </is>
      </c>
      <c r="B2814" t="inlineStr">
        <is>
          <t>BX7260.T32 S94 2003</t>
        </is>
      </c>
      <c r="C2814" t="inlineStr">
        <is>
          <t>0                      BX 7260000T  32                 S  94          2003</t>
        </is>
      </c>
      <c r="D2814" t="inlineStr">
        <is>
          <t>Nathaniel Taylor, New Haven theology, and the legacy of Jonathan Edwards / Douglas A. Sweeney.</t>
        </is>
      </c>
      <c r="F2814" t="inlineStr">
        <is>
          <t>No</t>
        </is>
      </c>
      <c r="G2814" t="inlineStr">
        <is>
          <t>1</t>
        </is>
      </c>
      <c r="H2814" t="inlineStr">
        <is>
          <t>No</t>
        </is>
      </c>
      <c r="I2814" t="inlineStr">
        <is>
          <t>No</t>
        </is>
      </c>
      <c r="J2814" t="inlineStr">
        <is>
          <t>0</t>
        </is>
      </c>
      <c r="K2814" t="inlineStr">
        <is>
          <t>Sweeney, Douglas A.</t>
        </is>
      </c>
      <c r="L2814" t="inlineStr">
        <is>
          <t>Oxford ; New York : Oxford University Press, c2003.</t>
        </is>
      </c>
      <c r="M2814" t="inlineStr">
        <is>
          <t>2003</t>
        </is>
      </c>
      <c r="O2814" t="inlineStr">
        <is>
          <t>eng</t>
        </is>
      </c>
      <c r="P2814" t="inlineStr">
        <is>
          <t>enk</t>
        </is>
      </c>
      <c r="Q2814" t="inlineStr">
        <is>
          <t>Religion in America series</t>
        </is>
      </c>
      <c r="R2814" t="inlineStr">
        <is>
          <t xml:space="preserve">BX </t>
        </is>
      </c>
      <c r="S2814" t="n">
        <v>1</v>
      </c>
      <c r="T2814" t="n">
        <v>1</v>
      </c>
      <c r="U2814" t="inlineStr">
        <is>
          <t>2004-01-07</t>
        </is>
      </c>
      <c r="V2814" t="inlineStr">
        <is>
          <t>2004-01-07</t>
        </is>
      </c>
      <c r="W2814" t="inlineStr">
        <is>
          <t>2004-01-07</t>
        </is>
      </c>
      <c r="X2814" t="inlineStr">
        <is>
          <t>2004-01-07</t>
        </is>
      </c>
      <c r="Y2814" t="n">
        <v>400</v>
      </c>
      <c r="Z2814" t="n">
        <v>353</v>
      </c>
      <c r="AA2814" t="n">
        <v>432</v>
      </c>
      <c r="AB2814" t="n">
        <v>2</v>
      </c>
      <c r="AC2814" t="n">
        <v>3</v>
      </c>
      <c r="AD2814" t="n">
        <v>26</v>
      </c>
      <c r="AE2814" t="n">
        <v>30</v>
      </c>
      <c r="AF2814" t="n">
        <v>14</v>
      </c>
      <c r="AG2814" t="n">
        <v>15</v>
      </c>
      <c r="AH2814" t="n">
        <v>5</v>
      </c>
      <c r="AI2814" t="n">
        <v>7</v>
      </c>
      <c r="AJ2814" t="n">
        <v>14</v>
      </c>
      <c r="AK2814" t="n">
        <v>15</v>
      </c>
      <c r="AL2814" t="n">
        <v>1</v>
      </c>
      <c r="AM2814" t="n">
        <v>2</v>
      </c>
      <c r="AN2814" t="n">
        <v>0</v>
      </c>
      <c r="AO2814" t="n">
        <v>0</v>
      </c>
      <c r="AP2814" t="inlineStr">
        <is>
          <t>No</t>
        </is>
      </c>
      <c r="AQ2814" t="inlineStr">
        <is>
          <t>No</t>
        </is>
      </c>
      <c r="AS2814">
        <f>HYPERLINK("https://creighton-primo.hosted.exlibrisgroup.com/primo-explore/search?tab=default_tab&amp;search_scope=EVERYTHING&amp;vid=01CRU&amp;lang=en_US&amp;offset=0&amp;query=any,contains,991004171179702656","Catalog Record")</f>
        <v/>
      </c>
      <c r="AT2814">
        <f>HYPERLINK("http://www.worldcat.org/oclc/48957885","WorldCat Record")</f>
        <v/>
      </c>
      <c r="AU2814" t="inlineStr">
        <is>
          <t>18401951:eng</t>
        </is>
      </c>
      <c r="AV2814" t="inlineStr">
        <is>
          <t>48957885</t>
        </is>
      </c>
      <c r="AW2814" t="inlineStr">
        <is>
          <t>991004171179702656</t>
        </is>
      </c>
      <c r="AX2814" t="inlineStr">
        <is>
          <t>991004171179702656</t>
        </is>
      </c>
      <c r="AY2814" t="inlineStr">
        <is>
          <t>2269883940002656</t>
        </is>
      </c>
      <c r="AZ2814" t="inlineStr">
        <is>
          <t>BOOK</t>
        </is>
      </c>
      <c r="BB2814" t="inlineStr">
        <is>
          <t>9780195154283</t>
        </is>
      </c>
      <c r="BC2814" t="inlineStr">
        <is>
          <t>32285004849591</t>
        </is>
      </c>
      <c r="BD2814" t="inlineStr">
        <is>
          <t>893519328</t>
        </is>
      </c>
    </row>
    <row r="2815">
      <c r="A2815" t="inlineStr">
        <is>
          <t>No</t>
        </is>
      </c>
      <c r="B2815" t="inlineStr">
        <is>
          <t>BX7260.W48 A3 1970</t>
        </is>
      </c>
      <c r="C2815" t="inlineStr">
        <is>
          <t>0                      BX 7260000W  48                 A  3           1970</t>
        </is>
      </c>
      <c r="D2815" t="inlineStr">
        <is>
          <t>The diary of Michael Wigglesworth, 1653-1657 : the conscience of a Puritan / edited by Edmund S. Morgan.</t>
        </is>
      </c>
      <c r="F2815" t="inlineStr">
        <is>
          <t>No</t>
        </is>
      </c>
      <c r="G2815" t="inlineStr">
        <is>
          <t>1</t>
        </is>
      </c>
      <c r="H2815" t="inlineStr">
        <is>
          <t>No</t>
        </is>
      </c>
      <c r="I2815" t="inlineStr">
        <is>
          <t>No</t>
        </is>
      </c>
      <c r="J2815" t="inlineStr">
        <is>
          <t>0</t>
        </is>
      </c>
      <c r="K2815" t="inlineStr">
        <is>
          <t>Wigglesworth, Michael, 1631-1705.</t>
        </is>
      </c>
      <c r="L2815" t="inlineStr">
        <is>
          <t>Gloucester, Mass. : Peter Smith, 1970 [c1946]</t>
        </is>
      </c>
      <c r="M2815" t="inlineStr">
        <is>
          <t>1970</t>
        </is>
      </c>
      <c r="O2815" t="inlineStr">
        <is>
          <t>eng</t>
        </is>
      </c>
      <c r="P2815" t="inlineStr">
        <is>
          <t>mau</t>
        </is>
      </c>
      <c r="R2815" t="inlineStr">
        <is>
          <t xml:space="preserve">BX </t>
        </is>
      </c>
      <c r="S2815" t="n">
        <v>1</v>
      </c>
      <c r="T2815" t="n">
        <v>1</v>
      </c>
      <c r="U2815" t="inlineStr">
        <is>
          <t>2006-02-27</t>
        </is>
      </c>
      <c r="V2815" t="inlineStr">
        <is>
          <t>2006-02-27</t>
        </is>
      </c>
      <c r="W2815" t="inlineStr">
        <is>
          <t>1993-07-29</t>
        </is>
      </c>
      <c r="X2815" t="inlineStr">
        <is>
          <t>1993-07-29</t>
        </is>
      </c>
      <c r="Y2815" t="n">
        <v>190</v>
      </c>
      <c r="Z2815" t="n">
        <v>170</v>
      </c>
      <c r="AA2815" t="n">
        <v>522</v>
      </c>
      <c r="AB2815" t="n">
        <v>2</v>
      </c>
      <c r="AC2815" t="n">
        <v>3</v>
      </c>
      <c r="AD2815" t="n">
        <v>8</v>
      </c>
      <c r="AE2815" t="n">
        <v>22</v>
      </c>
      <c r="AF2815" t="n">
        <v>4</v>
      </c>
      <c r="AG2815" t="n">
        <v>10</v>
      </c>
      <c r="AH2815" t="n">
        <v>1</v>
      </c>
      <c r="AI2815" t="n">
        <v>5</v>
      </c>
      <c r="AJ2815" t="n">
        <v>5</v>
      </c>
      <c r="AK2815" t="n">
        <v>12</v>
      </c>
      <c r="AL2815" t="n">
        <v>1</v>
      </c>
      <c r="AM2815" t="n">
        <v>1</v>
      </c>
      <c r="AN2815" t="n">
        <v>0</v>
      </c>
      <c r="AO2815" t="n">
        <v>0</v>
      </c>
      <c r="AP2815" t="inlineStr">
        <is>
          <t>No</t>
        </is>
      </c>
      <c r="AQ2815" t="inlineStr">
        <is>
          <t>Yes</t>
        </is>
      </c>
      <c r="AR2815">
        <f>HYPERLINK("http://catalog.hathitrust.org/Record/001960491","HathiTrust Record")</f>
        <v/>
      </c>
      <c r="AS2815">
        <f>HYPERLINK("https://creighton-primo.hosted.exlibrisgroup.com/primo-explore/search?tab=default_tab&amp;search_scope=EVERYTHING&amp;vid=01CRU&amp;lang=en_US&amp;offset=0&amp;query=any,contains,991000566919702656","Catalog Record")</f>
        <v/>
      </c>
      <c r="AT2815">
        <f>HYPERLINK("http://www.worldcat.org/oclc/94388","WorldCat Record")</f>
        <v/>
      </c>
      <c r="AU2815" t="inlineStr">
        <is>
          <t>1313851:eng</t>
        </is>
      </c>
      <c r="AV2815" t="inlineStr">
        <is>
          <t>94388</t>
        </is>
      </c>
      <c r="AW2815" t="inlineStr">
        <is>
          <t>991000566919702656</t>
        </is>
      </c>
      <c r="AX2815" t="inlineStr">
        <is>
          <t>991000566919702656</t>
        </is>
      </c>
      <c r="AY2815" t="inlineStr">
        <is>
          <t>2266135370002656</t>
        </is>
      </c>
      <c r="AZ2815" t="inlineStr">
        <is>
          <t>BOOK</t>
        </is>
      </c>
      <c r="BC2815" t="inlineStr">
        <is>
          <t>32285001703973</t>
        </is>
      </c>
      <c r="BD2815" t="inlineStr">
        <is>
          <t>893683546</t>
        </is>
      </c>
    </row>
    <row r="2816">
      <c r="A2816" t="inlineStr">
        <is>
          <t>No</t>
        </is>
      </c>
      <c r="B2816" t="inlineStr">
        <is>
          <t>BX7260.W5 L68 1974</t>
        </is>
      </c>
      <c r="C2816" t="inlineStr">
        <is>
          <t>0                      BX 7260000W  5                  L  68          1974</t>
        </is>
      </c>
      <c r="D2816" t="inlineStr">
        <is>
          <t>The shape of the Puritan mind : the thought of Samuel Willard / Ernest Benson Lowrie.</t>
        </is>
      </c>
      <c r="F2816" t="inlineStr">
        <is>
          <t>No</t>
        </is>
      </c>
      <c r="G2816" t="inlineStr">
        <is>
          <t>1</t>
        </is>
      </c>
      <c r="H2816" t="inlineStr">
        <is>
          <t>No</t>
        </is>
      </c>
      <c r="I2816" t="inlineStr">
        <is>
          <t>No</t>
        </is>
      </c>
      <c r="J2816" t="inlineStr">
        <is>
          <t>0</t>
        </is>
      </c>
      <c r="K2816" t="inlineStr">
        <is>
          <t>Lowrie, Ernest Benson.</t>
        </is>
      </c>
      <c r="L2816" t="inlineStr">
        <is>
          <t>New Haven : Yale University Press, 1974.</t>
        </is>
      </c>
      <c r="M2816" t="inlineStr">
        <is>
          <t>1974</t>
        </is>
      </c>
      <c r="O2816" t="inlineStr">
        <is>
          <t>eng</t>
        </is>
      </c>
      <c r="P2816" t="inlineStr">
        <is>
          <t>ctu</t>
        </is>
      </c>
      <c r="R2816" t="inlineStr">
        <is>
          <t xml:space="preserve">BX </t>
        </is>
      </c>
      <c r="S2816" t="n">
        <v>6</v>
      </c>
      <c r="T2816" t="n">
        <v>6</v>
      </c>
      <c r="U2816" t="inlineStr">
        <is>
          <t>2000-04-12</t>
        </is>
      </c>
      <c r="V2816" t="inlineStr">
        <is>
          <t>2000-04-12</t>
        </is>
      </c>
      <c r="W2816" t="inlineStr">
        <is>
          <t>1992-05-18</t>
        </is>
      </c>
      <c r="X2816" t="inlineStr">
        <is>
          <t>1992-05-18</t>
        </is>
      </c>
      <c r="Y2816" t="n">
        <v>603</v>
      </c>
      <c r="Z2816" t="n">
        <v>515</v>
      </c>
      <c r="AA2816" t="n">
        <v>517</v>
      </c>
      <c r="AB2816" t="n">
        <v>4</v>
      </c>
      <c r="AC2816" t="n">
        <v>4</v>
      </c>
      <c r="AD2816" t="n">
        <v>20</v>
      </c>
      <c r="AE2816" t="n">
        <v>20</v>
      </c>
      <c r="AF2816" t="n">
        <v>6</v>
      </c>
      <c r="AG2816" t="n">
        <v>6</v>
      </c>
      <c r="AH2816" t="n">
        <v>4</v>
      </c>
      <c r="AI2816" t="n">
        <v>4</v>
      </c>
      <c r="AJ2816" t="n">
        <v>13</v>
      </c>
      <c r="AK2816" t="n">
        <v>13</v>
      </c>
      <c r="AL2816" t="n">
        <v>3</v>
      </c>
      <c r="AM2816" t="n">
        <v>3</v>
      </c>
      <c r="AN2816" t="n">
        <v>0</v>
      </c>
      <c r="AO2816" t="n">
        <v>0</v>
      </c>
      <c r="AP2816" t="inlineStr">
        <is>
          <t>No</t>
        </is>
      </c>
      <c r="AQ2816" t="inlineStr">
        <is>
          <t>No</t>
        </is>
      </c>
      <c r="AS2816">
        <f>HYPERLINK("https://creighton-primo.hosted.exlibrisgroup.com/primo-explore/search?tab=default_tab&amp;search_scope=EVERYTHING&amp;vid=01CRU&amp;lang=en_US&amp;offset=0&amp;query=any,contains,991003531609702656","Catalog Record")</f>
        <v/>
      </c>
      <c r="AT2816">
        <f>HYPERLINK("http://www.worldcat.org/oclc/1093781","WorldCat Record")</f>
        <v/>
      </c>
      <c r="AU2816" t="inlineStr">
        <is>
          <t>2068116:eng</t>
        </is>
      </c>
      <c r="AV2816" t="inlineStr">
        <is>
          <t>1093781</t>
        </is>
      </c>
      <c r="AW2816" t="inlineStr">
        <is>
          <t>991003531609702656</t>
        </is>
      </c>
      <c r="AX2816" t="inlineStr">
        <is>
          <t>991003531609702656</t>
        </is>
      </c>
      <c r="AY2816" t="inlineStr">
        <is>
          <t>2264890840002656</t>
        </is>
      </c>
      <c r="AZ2816" t="inlineStr">
        <is>
          <t>BOOK</t>
        </is>
      </c>
      <c r="BB2816" t="inlineStr">
        <is>
          <t>9780300017144</t>
        </is>
      </c>
      <c r="BC2816" t="inlineStr">
        <is>
          <t>32285001123792</t>
        </is>
      </c>
      <c r="BD2816" t="inlineStr">
        <is>
          <t>893422668</t>
        </is>
      </c>
    </row>
    <row r="2817">
      <c r="A2817" t="inlineStr">
        <is>
          <t>No</t>
        </is>
      </c>
      <c r="B2817" t="inlineStr">
        <is>
          <t>BX7260.W5 V3 1972</t>
        </is>
      </c>
      <c r="C2817" t="inlineStr">
        <is>
          <t>0                      BX 7260000W  5                  V  3           1972</t>
        </is>
      </c>
      <c r="D2817" t="inlineStr">
        <is>
          <t>Samuel Willard, 1640-1707 : preacher of orthodoxy in an era of change / by Seymour Van Dyken.</t>
        </is>
      </c>
      <c r="F2817" t="inlineStr">
        <is>
          <t>No</t>
        </is>
      </c>
      <c r="G2817" t="inlineStr">
        <is>
          <t>1</t>
        </is>
      </c>
      <c r="H2817" t="inlineStr">
        <is>
          <t>No</t>
        </is>
      </c>
      <c r="I2817" t="inlineStr">
        <is>
          <t>No</t>
        </is>
      </c>
      <c r="J2817" t="inlineStr">
        <is>
          <t>0</t>
        </is>
      </c>
      <c r="K2817" t="inlineStr">
        <is>
          <t>Van Dyken, Seymour.</t>
        </is>
      </c>
      <c r="L2817" t="inlineStr">
        <is>
          <t>Grand Rapids : Eerdmans, [1972]</t>
        </is>
      </c>
      <c r="M2817" t="inlineStr">
        <is>
          <t>1972</t>
        </is>
      </c>
      <c r="O2817" t="inlineStr">
        <is>
          <t>eng</t>
        </is>
      </c>
      <c r="P2817" t="inlineStr">
        <is>
          <t>miu</t>
        </is>
      </c>
      <c r="R2817" t="inlineStr">
        <is>
          <t xml:space="preserve">BX </t>
        </is>
      </c>
      <c r="S2817" t="n">
        <v>2</v>
      </c>
      <c r="T2817" t="n">
        <v>2</v>
      </c>
      <c r="U2817" t="inlineStr">
        <is>
          <t>2000-08-23</t>
        </is>
      </c>
      <c r="V2817" t="inlineStr">
        <is>
          <t>2000-08-23</t>
        </is>
      </c>
      <c r="W2817" t="inlineStr">
        <is>
          <t>2000-08-21</t>
        </is>
      </c>
      <c r="X2817" t="inlineStr">
        <is>
          <t>2000-08-21</t>
        </is>
      </c>
      <c r="Y2817" t="n">
        <v>278</v>
      </c>
      <c r="Z2817" t="n">
        <v>251</v>
      </c>
      <c r="AA2817" t="n">
        <v>256</v>
      </c>
      <c r="AB2817" t="n">
        <v>2</v>
      </c>
      <c r="AC2817" t="n">
        <v>2</v>
      </c>
      <c r="AD2817" t="n">
        <v>11</v>
      </c>
      <c r="AE2817" t="n">
        <v>11</v>
      </c>
      <c r="AF2817" t="n">
        <v>3</v>
      </c>
      <c r="AG2817" t="n">
        <v>3</v>
      </c>
      <c r="AH2817" t="n">
        <v>2</v>
      </c>
      <c r="AI2817" t="n">
        <v>2</v>
      </c>
      <c r="AJ2817" t="n">
        <v>9</v>
      </c>
      <c r="AK2817" t="n">
        <v>9</v>
      </c>
      <c r="AL2817" t="n">
        <v>1</v>
      </c>
      <c r="AM2817" t="n">
        <v>1</v>
      </c>
      <c r="AN2817" t="n">
        <v>0</v>
      </c>
      <c r="AO2817" t="n">
        <v>0</v>
      </c>
      <c r="AP2817" t="inlineStr">
        <is>
          <t>No</t>
        </is>
      </c>
      <c r="AQ2817" t="inlineStr">
        <is>
          <t>Yes</t>
        </is>
      </c>
      <c r="AR2817">
        <f>HYPERLINK("http://catalog.hathitrust.org/Record/007092875","HathiTrust Record")</f>
        <v/>
      </c>
      <c r="AS2817">
        <f>HYPERLINK("https://creighton-primo.hosted.exlibrisgroup.com/primo-explore/search?tab=default_tab&amp;search_scope=EVERYTHING&amp;vid=01CRU&amp;lang=en_US&amp;offset=0&amp;query=any,contains,991003269169702656","Catalog Record")</f>
        <v/>
      </c>
      <c r="AT2817">
        <f>HYPERLINK("http://www.worldcat.org/oclc/315213","WorldCat Record")</f>
        <v/>
      </c>
      <c r="AU2817" t="inlineStr">
        <is>
          <t>1383879:eng</t>
        </is>
      </c>
      <c r="AV2817" t="inlineStr">
        <is>
          <t>315213</t>
        </is>
      </c>
      <c r="AW2817" t="inlineStr">
        <is>
          <t>991003269169702656</t>
        </is>
      </c>
      <c r="AX2817" t="inlineStr">
        <is>
          <t>991003269169702656</t>
        </is>
      </c>
      <c r="AY2817" t="inlineStr">
        <is>
          <t>2270882000002656</t>
        </is>
      </c>
      <c r="AZ2817" t="inlineStr">
        <is>
          <t>BOOK</t>
        </is>
      </c>
      <c r="BB2817" t="inlineStr">
        <is>
          <t>9780802834089</t>
        </is>
      </c>
      <c r="BC2817" t="inlineStr">
        <is>
          <t>32285003757878</t>
        </is>
      </c>
      <c r="BD2817" t="inlineStr">
        <is>
          <t>893246200</t>
        </is>
      </c>
    </row>
    <row r="2818">
      <c r="A2818" t="inlineStr">
        <is>
          <t>No</t>
        </is>
      </c>
      <c r="B2818" t="inlineStr">
        <is>
          <t>BX7305 .C37 1991</t>
        </is>
      </c>
      <c r="C2818" t="inlineStr">
        <is>
          <t>0                      BX 7305000C  37          1991</t>
        </is>
      </c>
      <c r="D2818" t="inlineStr">
        <is>
          <t>A Case study of mainstream Protestantism : the Disciples' relation to American culture, 1880-1989 / edited by D. Newell Williams.</t>
        </is>
      </c>
      <c r="F2818" t="inlineStr">
        <is>
          <t>No</t>
        </is>
      </c>
      <c r="G2818" t="inlineStr">
        <is>
          <t>1</t>
        </is>
      </c>
      <c r="H2818" t="inlineStr">
        <is>
          <t>No</t>
        </is>
      </c>
      <c r="I2818" t="inlineStr">
        <is>
          <t>No</t>
        </is>
      </c>
      <c r="J2818" t="inlineStr">
        <is>
          <t>0</t>
        </is>
      </c>
      <c r="L2818" t="inlineStr">
        <is>
          <t>Grand Rapids, Mich. : W.B. Eerdmans Pub. Co. ; St. Louis, Mo. : Chalice Press, 1991.</t>
        </is>
      </c>
      <c r="M2818" t="inlineStr">
        <is>
          <t>1991</t>
        </is>
      </c>
      <c r="O2818" t="inlineStr">
        <is>
          <t>eng</t>
        </is>
      </c>
      <c r="P2818" t="inlineStr">
        <is>
          <t>miu</t>
        </is>
      </c>
      <c r="R2818" t="inlineStr">
        <is>
          <t xml:space="preserve">BX </t>
        </is>
      </c>
      <c r="S2818" t="n">
        <v>3</v>
      </c>
      <c r="T2818" t="n">
        <v>3</v>
      </c>
      <c r="U2818" t="inlineStr">
        <is>
          <t>2003-04-21</t>
        </is>
      </c>
      <c r="V2818" t="inlineStr">
        <is>
          <t>2003-04-21</t>
        </is>
      </c>
      <c r="W2818" t="inlineStr">
        <is>
          <t>1994-06-20</t>
        </is>
      </c>
      <c r="X2818" t="inlineStr">
        <is>
          <t>1994-06-20</t>
        </is>
      </c>
      <c r="Y2818" t="n">
        <v>233</v>
      </c>
      <c r="Z2818" t="n">
        <v>208</v>
      </c>
      <c r="AA2818" t="n">
        <v>210</v>
      </c>
      <c r="AB2818" t="n">
        <v>3</v>
      </c>
      <c r="AC2818" t="n">
        <v>3</v>
      </c>
      <c r="AD2818" t="n">
        <v>12</v>
      </c>
      <c r="AE2818" t="n">
        <v>12</v>
      </c>
      <c r="AF2818" t="n">
        <v>4</v>
      </c>
      <c r="AG2818" t="n">
        <v>4</v>
      </c>
      <c r="AH2818" t="n">
        <v>2</v>
      </c>
      <c r="AI2818" t="n">
        <v>2</v>
      </c>
      <c r="AJ2818" t="n">
        <v>5</v>
      </c>
      <c r="AK2818" t="n">
        <v>5</v>
      </c>
      <c r="AL2818" t="n">
        <v>1</v>
      </c>
      <c r="AM2818" t="n">
        <v>1</v>
      </c>
      <c r="AN2818" t="n">
        <v>0</v>
      </c>
      <c r="AO2818" t="n">
        <v>0</v>
      </c>
      <c r="AP2818" t="inlineStr">
        <is>
          <t>No</t>
        </is>
      </c>
      <c r="AQ2818" t="inlineStr">
        <is>
          <t>Yes</t>
        </is>
      </c>
      <c r="AR2818">
        <f>HYPERLINK("http://catalog.hathitrust.org/Record/002510845","HathiTrust Record")</f>
        <v/>
      </c>
      <c r="AS2818">
        <f>HYPERLINK("https://creighton-primo.hosted.exlibrisgroup.com/primo-explore/search?tab=default_tab&amp;search_scope=EVERYTHING&amp;vid=01CRU&amp;lang=en_US&amp;offset=0&amp;query=any,contains,991001865559702656","Catalog Record")</f>
        <v/>
      </c>
      <c r="AT2818">
        <f>HYPERLINK("http://www.worldcat.org/oclc/23462884","WorldCat Record")</f>
        <v/>
      </c>
      <c r="AU2818" t="inlineStr">
        <is>
          <t>24939182:eng</t>
        </is>
      </c>
      <c r="AV2818" t="inlineStr">
        <is>
          <t>23462884</t>
        </is>
      </c>
      <c r="AW2818" t="inlineStr">
        <is>
          <t>991001865559702656</t>
        </is>
      </c>
      <c r="AX2818" t="inlineStr">
        <is>
          <t>991001865559702656</t>
        </is>
      </c>
      <c r="AY2818" t="inlineStr">
        <is>
          <t>2255533470002656</t>
        </is>
      </c>
      <c r="AZ2818" t="inlineStr">
        <is>
          <t>BOOK</t>
        </is>
      </c>
      <c r="BB2818" t="inlineStr">
        <is>
          <t>9780802805409</t>
        </is>
      </c>
      <c r="BC2818" t="inlineStr">
        <is>
          <t>32285001923860</t>
        </is>
      </c>
      <c r="BD2818" t="inlineStr">
        <is>
          <t>893334673</t>
        </is>
      </c>
    </row>
    <row r="2819">
      <c r="A2819" t="inlineStr">
        <is>
          <t>No</t>
        </is>
      </c>
      <c r="B2819" t="inlineStr">
        <is>
          <t>BX7315 .T75 1988</t>
        </is>
      </c>
      <c r="C2819" t="inlineStr">
        <is>
          <t>0                      BX 7315000T  75          1988</t>
        </is>
      </c>
      <c r="D2819" t="inlineStr">
        <is>
          <t>The origins of the restoration movement : an intellectual history / Richard M. Tristano.</t>
        </is>
      </c>
      <c r="F2819" t="inlineStr">
        <is>
          <t>No</t>
        </is>
      </c>
      <c r="G2819" t="inlineStr">
        <is>
          <t>1</t>
        </is>
      </c>
      <c r="H2819" t="inlineStr">
        <is>
          <t>No</t>
        </is>
      </c>
      <c r="I2819" t="inlineStr">
        <is>
          <t>No</t>
        </is>
      </c>
      <c r="J2819" t="inlineStr">
        <is>
          <t>0</t>
        </is>
      </c>
      <c r="K2819" t="inlineStr">
        <is>
          <t>Tristano, Richard.</t>
        </is>
      </c>
      <c r="L2819" t="inlineStr">
        <is>
          <t>[Atlanta, Ga. : Glenmary Research Center, c1988]</t>
        </is>
      </c>
      <c r="M2819" t="inlineStr">
        <is>
          <t>1988</t>
        </is>
      </c>
      <c r="O2819" t="inlineStr">
        <is>
          <t>eng</t>
        </is>
      </c>
      <c r="P2819" t="inlineStr">
        <is>
          <t>gau</t>
        </is>
      </c>
      <c r="R2819" t="inlineStr">
        <is>
          <t xml:space="preserve">BX </t>
        </is>
      </c>
      <c r="S2819" t="n">
        <v>6</v>
      </c>
      <c r="T2819" t="n">
        <v>6</v>
      </c>
      <c r="U2819" t="inlineStr">
        <is>
          <t>2003-03-17</t>
        </is>
      </c>
      <c r="V2819" t="inlineStr">
        <is>
          <t>2003-03-17</t>
        </is>
      </c>
      <c r="W2819" t="inlineStr">
        <is>
          <t>1991-08-20</t>
        </is>
      </c>
      <c r="X2819" t="inlineStr">
        <is>
          <t>1991-08-20</t>
        </is>
      </c>
      <c r="Y2819" t="n">
        <v>116</v>
      </c>
      <c r="Z2819" t="n">
        <v>113</v>
      </c>
      <c r="AA2819" t="n">
        <v>116</v>
      </c>
      <c r="AB2819" t="n">
        <v>2</v>
      </c>
      <c r="AC2819" t="n">
        <v>2</v>
      </c>
      <c r="AD2819" t="n">
        <v>9</v>
      </c>
      <c r="AE2819" t="n">
        <v>9</v>
      </c>
      <c r="AF2819" t="n">
        <v>3</v>
      </c>
      <c r="AG2819" t="n">
        <v>3</v>
      </c>
      <c r="AH2819" t="n">
        <v>1</v>
      </c>
      <c r="AI2819" t="n">
        <v>1</v>
      </c>
      <c r="AJ2819" t="n">
        <v>6</v>
      </c>
      <c r="AK2819" t="n">
        <v>6</v>
      </c>
      <c r="AL2819" t="n">
        <v>0</v>
      </c>
      <c r="AM2819" t="n">
        <v>0</v>
      </c>
      <c r="AN2819" t="n">
        <v>0</v>
      </c>
      <c r="AO2819" t="n">
        <v>0</v>
      </c>
      <c r="AP2819" t="inlineStr">
        <is>
          <t>No</t>
        </is>
      </c>
      <c r="AQ2819" t="inlineStr">
        <is>
          <t>Yes</t>
        </is>
      </c>
      <c r="AR2819">
        <f>HYPERLINK("http://catalog.hathitrust.org/Record/006027306","HathiTrust Record")</f>
        <v/>
      </c>
      <c r="AS2819">
        <f>HYPERLINK("https://creighton-primo.hosted.exlibrisgroup.com/primo-explore/search?tab=default_tab&amp;search_scope=EVERYTHING&amp;vid=01CRU&amp;lang=en_US&amp;offset=0&amp;query=any,contains,991001540449702656","Catalog Record")</f>
        <v/>
      </c>
      <c r="AT2819">
        <f>HYPERLINK("http://www.worldcat.org/oclc/20128473","WorldCat Record")</f>
        <v/>
      </c>
      <c r="AU2819" t="inlineStr">
        <is>
          <t>21583056:eng</t>
        </is>
      </c>
      <c r="AV2819" t="inlineStr">
        <is>
          <t>20128473</t>
        </is>
      </c>
      <c r="AW2819" t="inlineStr">
        <is>
          <t>991001540449702656</t>
        </is>
      </c>
      <c r="AX2819" t="inlineStr">
        <is>
          <t>991001540449702656</t>
        </is>
      </c>
      <c r="AY2819" t="inlineStr">
        <is>
          <t>2265079110002656</t>
        </is>
      </c>
      <c r="AZ2819" t="inlineStr">
        <is>
          <t>BOOK</t>
        </is>
      </c>
      <c r="BB2819" t="inlineStr">
        <is>
          <t>9780914422174</t>
        </is>
      </c>
      <c r="BC2819" t="inlineStr">
        <is>
          <t>32285000649359</t>
        </is>
      </c>
      <c r="BD2819" t="inlineStr">
        <is>
          <t>893703083</t>
        </is>
      </c>
    </row>
    <row r="2820">
      <c r="A2820" t="inlineStr">
        <is>
          <t>No</t>
        </is>
      </c>
      <c r="B2820" t="inlineStr">
        <is>
          <t>BX7350 .B87</t>
        </is>
      </c>
      <c r="C2820" t="inlineStr">
        <is>
          <t>0                      BX 7350000B  87</t>
        </is>
      </c>
      <c r="D2820" t="inlineStr">
        <is>
          <t>God comes to America : Father Divine and the Peace Mission Movement / Kenneth E. Burnham.</t>
        </is>
      </c>
      <c r="F2820" t="inlineStr">
        <is>
          <t>No</t>
        </is>
      </c>
      <c r="G2820" t="inlineStr">
        <is>
          <t>1</t>
        </is>
      </c>
      <c r="H2820" t="inlineStr">
        <is>
          <t>No</t>
        </is>
      </c>
      <c r="I2820" t="inlineStr">
        <is>
          <t>No</t>
        </is>
      </c>
      <c r="J2820" t="inlineStr">
        <is>
          <t>0</t>
        </is>
      </c>
      <c r="K2820" t="inlineStr">
        <is>
          <t>Burnham, Kenneth E.</t>
        </is>
      </c>
      <c r="L2820" t="inlineStr">
        <is>
          <t>Boston : Lambeth Press, c1979.</t>
        </is>
      </c>
      <c r="M2820" t="inlineStr">
        <is>
          <t>1979</t>
        </is>
      </c>
      <c r="O2820" t="inlineStr">
        <is>
          <t>eng</t>
        </is>
      </c>
      <c r="P2820" t="inlineStr">
        <is>
          <t>mau</t>
        </is>
      </c>
      <c r="R2820" t="inlineStr">
        <is>
          <t xml:space="preserve">BX </t>
        </is>
      </c>
      <c r="S2820" t="n">
        <v>1</v>
      </c>
      <c r="T2820" t="n">
        <v>1</v>
      </c>
      <c r="U2820" t="inlineStr">
        <is>
          <t>2002-10-23</t>
        </is>
      </c>
      <c r="V2820" t="inlineStr">
        <is>
          <t>2002-10-23</t>
        </is>
      </c>
      <c r="W2820" t="inlineStr">
        <is>
          <t>1992-05-18</t>
        </is>
      </c>
      <c r="X2820" t="inlineStr">
        <is>
          <t>1992-05-18</t>
        </is>
      </c>
      <c r="Y2820" t="n">
        <v>332</v>
      </c>
      <c r="Z2820" t="n">
        <v>313</v>
      </c>
      <c r="AA2820" t="n">
        <v>317</v>
      </c>
      <c r="AB2820" t="n">
        <v>2</v>
      </c>
      <c r="AC2820" t="n">
        <v>2</v>
      </c>
      <c r="AD2820" t="n">
        <v>10</v>
      </c>
      <c r="AE2820" t="n">
        <v>10</v>
      </c>
      <c r="AF2820" t="n">
        <v>2</v>
      </c>
      <c r="AG2820" t="n">
        <v>2</v>
      </c>
      <c r="AH2820" t="n">
        <v>2</v>
      </c>
      <c r="AI2820" t="n">
        <v>2</v>
      </c>
      <c r="AJ2820" t="n">
        <v>8</v>
      </c>
      <c r="AK2820" t="n">
        <v>8</v>
      </c>
      <c r="AL2820" t="n">
        <v>1</v>
      </c>
      <c r="AM2820" t="n">
        <v>1</v>
      </c>
      <c r="AN2820" t="n">
        <v>0</v>
      </c>
      <c r="AO2820" t="n">
        <v>0</v>
      </c>
      <c r="AP2820" t="inlineStr">
        <is>
          <t>No</t>
        </is>
      </c>
      <c r="AQ2820" t="inlineStr">
        <is>
          <t>No</t>
        </is>
      </c>
      <c r="AS2820">
        <f>HYPERLINK("https://creighton-primo.hosted.exlibrisgroup.com/primo-explore/search?tab=default_tab&amp;search_scope=EVERYTHING&amp;vid=01CRU&amp;lang=en_US&amp;offset=0&amp;query=any,contains,991004686329702656","Catalog Record")</f>
        <v/>
      </c>
      <c r="AT2820">
        <f>HYPERLINK("http://www.worldcat.org/oclc/4593125","WorldCat Record")</f>
        <v/>
      </c>
      <c r="AU2820" t="inlineStr">
        <is>
          <t>563079:eng</t>
        </is>
      </c>
      <c r="AV2820" t="inlineStr">
        <is>
          <t>4593125</t>
        </is>
      </c>
      <c r="AW2820" t="inlineStr">
        <is>
          <t>991004686329702656</t>
        </is>
      </c>
      <c r="AX2820" t="inlineStr">
        <is>
          <t>991004686329702656</t>
        </is>
      </c>
      <c r="AY2820" t="inlineStr">
        <is>
          <t>2271095820002656</t>
        </is>
      </c>
      <c r="AZ2820" t="inlineStr">
        <is>
          <t>BOOK</t>
        </is>
      </c>
      <c r="BB2820" t="inlineStr">
        <is>
          <t>9780931186011</t>
        </is>
      </c>
      <c r="BC2820" t="inlineStr">
        <is>
          <t>32285001123826</t>
        </is>
      </c>
      <c r="BD2820" t="inlineStr">
        <is>
          <t>893700541</t>
        </is>
      </c>
    </row>
    <row r="2821">
      <c r="A2821" t="inlineStr">
        <is>
          <t>No</t>
        </is>
      </c>
      <c r="B2821" t="inlineStr">
        <is>
          <t>BX754.E8 B66 1984</t>
        </is>
      </c>
      <c r="C2821" t="inlineStr">
        <is>
          <t>0                      BX 0754000E  8                  B  66          1984</t>
        </is>
      </c>
      <c r="D2821" t="inlineStr">
        <is>
          <t>An annotated and classified bibliography of English literature pertaining to the Ethiopian Orthodox Church / by Jon Bonk.</t>
        </is>
      </c>
      <c r="F2821" t="inlineStr">
        <is>
          <t>No</t>
        </is>
      </c>
      <c r="G2821" t="inlineStr">
        <is>
          <t>1</t>
        </is>
      </c>
      <c r="H2821" t="inlineStr">
        <is>
          <t>No</t>
        </is>
      </c>
      <c r="I2821" t="inlineStr">
        <is>
          <t>No</t>
        </is>
      </c>
      <c r="J2821" t="inlineStr">
        <is>
          <t>0</t>
        </is>
      </c>
      <c r="K2821" t="inlineStr">
        <is>
          <t>Bonk, Jon, 1945-</t>
        </is>
      </c>
      <c r="L2821" t="inlineStr">
        <is>
          <t>Metuchen, N.J. : American Theological Library Association and Scarecrow Press, 1984.</t>
        </is>
      </c>
      <c r="M2821" t="inlineStr">
        <is>
          <t>1984</t>
        </is>
      </c>
      <c r="O2821" t="inlineStr">
        <is>
          <t>eng</t>
        </is>
      </c>
      <c r="P2821" t="inlineStr">
        <is>
          <t>nju</t>
        </is>
      </c>
      <c r="Q2821" t="inlineStr">
        <is>
          <t>ATLA bibliography series ; no. 11</t>
        </is>
      </c>
      <c r="R2821" t="inlineStr">
        <is>
          <t xml:space="preserve">BX </t>
        </is>
      </c>
      <c r="S2821" t="n">
        <v>5</v>
      </c>
      <c r="T2821" t="n">
        <v>5</v>
      </c>
      <c r="U2821" t="inlineStr">
        <is>
          <t>2002-10-04</t>
        </is>
      </c>
      <c r="V2821" t="inlineStr">
        <is>
          <t>2002-10-04</t>
        </is>
      </c>
      <c r="W2821" t="inlineStr">
        <is>
          <t>1990-02-26</t>
        </is>
      </c>
      <c r="X2821" t="inlineStr">
        <is>
          <t>1990-02-26</t>
        </is>
      </c>
      <c r="Y2821" t="n">
        <v>260</v>
      </c>
      <c r="Z2821" t="n">
        <v>211</v>
      </c>
      <c r="AA2821" t="n">
        <v>213</v>
      </c>
      <c r="AB2821" t="n">
        <v>2</v>
      </c>
      <c r="AC2821" t="n">
        <v>2</v>
      </c>
      <c r="AD2821" t="n">
        <v>9</v>
      </c>
      <c r="AE2821" t="n">
        <v>9</v>
      </c>
      <c r="AF2821" t="n">
        <v>0</v>
      </c>
      <c r="AG2821" t="n">
        <v>0</v>
      </c>
      <c r="AH2821" t="n">
        <v>3</v>
      </c>
      <c r="AI2821" t="n">
        <v>3</v>
      </c>
      <c r="AJ2821" t="n">
        <v>7</v>
      </c>
      <c r="AK2821" t="n">
        <v>7</v>
      </c>
      <c r="AL2821" t="n">
        <v>1</v>
      </c>
      <c r="AM2821" t="n">
        <v>1</v>
      </c>
      <c r="AN2821" t="n">
        <v>0</v>
      </c>
      <c r="AO2821" t="n">
        <v>0</v>
      </c>
      <c r="AP2821" t="inlineStr">
        <is>
          <t>No</t>
        </is>
      </c>
      <c r="AQ2821" t="inlineStr">
        <is>
          <t>Yes</t>
        </is>
      </c>
      <c r="AR2821">
        <f>HYPERLINK("http://catalog.hathitrust.org/Record/000564889","HathiTrust Record")</f>
        <v/>
      </c>
      <c r="AS2821">
        <f>HYPERLINK("https://creighton-primo.hosted.exlibrisgroup.com/primo-explore/search?tab=default_tab&amp;search_scope=EVERYTHING&amp;vid=01CRU&amp;lang=en_US&amp;offset=0&amp;query=any,contains,991000438469702656","Catalog Record")</f>
        <v/>
      </c>
      <c r="AT2821">
        <f>HYPERLINK("http://www.worldcat.org/oclc/10800709","WorldCat Record")</f>
        <v/>
      </c>
      <c r="AU2821" t="inlineStr">
        <is>
          <t>2865104:eng</t>
        </is>
      </c>
      <c r="AV2821" t="inlineStr">
        <is>
          <t>10800709</t>
        </is>
      </c>
      <c r="AW2821" t="inlineStr">
        <is>
          <t>991000438469702656</t>
        </is>
      </c>
      <c r="AX2821" t="inlineStr">
        <is>
          <t>991000438469702656</t>
        </is>
      </c>
      <c r="AY2821" t="inlineStr">
        <is>
          <t>2268911430002656</t>
        </is>
      </c>
      <c r="AZ2821" t="inlineStr">
        <is>
          <t>BOOK</t>
        </is>
      </c>
      <c r="BB2821" t="inlineStr">
        <is>
          <t>9780810817104</t>
        </is>
      </c>
      <c r="BC2821" t="inlineStr">
        <is>
          <t>32285000070481</t>
        </is>
      </c>
      <c r="BD2821" t="inlineStr">
        <is>
          <t>893231104</t>
        </is>
      </c>
    </row>
    <row r="2822">
      <c r="A2822" t="inlineStr">
        <is>
          <t>No</t>
        </is>
      </c>
      <c r="B2822" t="inlineStr">
        <is>
          <t>BX7631 .F58</t>
        </is>
      </c>
      <c r="C2822" t="inlineStr">
        <is>
          <t>0                      BX 7631000F  58</t>
        </is>
      </c>
      <c r="D2822" t="inlineStr">
        <is>
          <t>The story of Quakerism, 1652-1952 / by Elfrida Vipont.</t>
        </is>
      </c>
      <c r="F2822" t="inlineStr">
        <is>
          <t>No</t>
        </is>
      </c>
      <c r="G2822" t="inlineStr">
        <is>
          <t>1</t>
        </is>
      </c>
      <c r="H2822" t="inlineStr">
        <is>
          <t>No</t>
        </is>
      </c>
      <c r="I2822" t="inlineStr">
        <is>
          <t>No</t>
        </is>
      </c>
      <c r="J2822" t="inlineStr">
        <is>
          <t>0</t>
        </is>
      </c>
      <c r="K2822" t="inlineStr">
        <is>
          <t>Foulds, Elfrida Vipont, 1902-1992.</t>
        </is>
      </c>
      <c r="L2822" t="inlineStr">
        <is>
          <t>London : Bannisdale Press, ; c1954.</t>
        </is>
      </c>
      <c r="M2822" t="inlineStr">
        <is>
          <t>1954</t>
        </is>
      </c>
      <c r="O2822" t="inlineStr">
        <is>
          <t>eng</t>
        </is>
      </c>
      <c r="P2822" t="inlineStr">
        <is>
          <t>enk</t>
        </is>
      </c>
      <c r="R2822" t="inlineStr">
        <is>
          <t xml:space="preserve">BX </t>
        </is>
      </c>
      <c r="S2822" t="n">
        <v>9</v>
      </c>
      <c r="T2822" t="n">
        <v>9</v>
      </c>
      <c r="U2822" t="inlineStr">
        <is>
          <t>2009-04-20</t>
        </is>
      </c>
      <c r="V2822" t="inlineStr">
        <is>
          <t>2009-04-20</t>
        </is>
      </c>
      <c r="W2822" t="inlineStr">
        <is>
          <t>1990-03-02</t>
        </is>
      </c>
      <c r="X2822" t="inlineStr">
        <is>
          <t>1990-03-02</t>
        </is>
      </c>
      <c r="Y2822" t="n">
        <v>187</v>
      </c>
      <c r="Z2822" t="n">
        <v>148</v>
      </c>
      <c r="AA2822" t="n">
        <v>169</v>
      </c>
      <c r="AB2822" t="n">
        <v>1</v>
      </c>
      <c r="AC2822" t="n">
        <v>1</v>
      </c>
      <c r="AD2822" t="n">
        <v>7</v>
      </c>
      <c r="AE2822" t="n">
        <v>9</v>
      </c>
      <c r="AF2822" t="n">
        <v>4</v>
      </c>
      <c r="AG2822" t="n">
        <v>4</v>
      </c>
      <c r="AH2822" t="n">
        <v>2</v>
      </c>
      <c r="AI2822" t="n">
        <v>3</v>
      </c>
      <c r="AJ2822" t="n">
        <v>4</v>
      </c>
      <c r="AK2822" t="n">
        <v>5</v>
      </c>
      <c r="AL2822" t="n">
        <v>0</v>
      </c>
      <c r="AM2822" t="n">
        <v>0</v>
      </c>
      <c r="AN2822" t="n">
        <v>0</v>
      </c>
      <c r="AO2822" t="n">
        <v>0</v>
      </c>
      <c r="AP2822" t="inlineStr">
        <is>
          <t>No</t>
        </is>
      </c>
      <c r="AQ2822" t="inlineStr">
        <is>
          <t>No</t>
        </is>
      </c>
      <c r="AS2822">
        <f>HYPERLINK("https://creighton-primo.hosted.exlibrisgroup.com/primo-explore/search?tab=default_tab&amp;search_scope=EVERYTHING&amp;vid=01CRU&amp;lang=en_US&amp;offset=0&amp;query=any,contains,991005140499702656","Catalog Record")</f>
        <v/>
      </c>
      <c r="AT2822">
        <f>HYPERLINK("http://www.worldcat.org/oclc/708922","WorldCat Record")</f>
        <v/>
      </c>
      <c r="AU2822" t="inlineStr">
        <is>
          <t>4159902380:eng</t>
        </is>
      </c>
      <c r="AV2822" t="inlineStr">
        <is>
          <t>708922</t>
        </is>
      </c>
      <c r="AW2822" t="inlineStr">
        <is>
          <t>991005140499702656</t>
        </is>
      </c>
      <c r="AX2822" t="inlineStr">
        <is>
          <t>991005140499702656</t>
        </is>
      </c>
      <c r="AY2822" t="inlineStr">
        <is>
          <t>2260401030002656</t>
        </is>
      </c>
      <c r="AZ2822" t="inlineStr">
        <is>
          <t>BOOK</t>
        </is>
      </c>
      <c r="BC2822" t="inlineStr">
        <is>
          <t>32285000074582</t>
        </is>
      </c>
      <c r="BD2822" t="inlineStr">
        <is>
          <t>893713501</t>
        </is>
      </c>
    </row>
    <row r="2823">
      <c r="A2823" t="inlineStr">
        <is>
          <t>No</t>
        </is>
      </c>
      <c r="B2823" t="inlineStr">
        <is>
          <t>BX7631 .J6 1970</t>
        </is>
      </c>
      <c r="C2823" t="inlineStr">
        <is>
          <t>0                      BX 7631000J  6           1970</t>
        </is>
      </c>
      <c r="D2823" t="inlineStr">
        <is>
          <t>The later periods of Quakerism / by Rufus M. Jones.</t>
        </is>
      </c>
      <c r="F2823" t="inlineStr">
        <is>
          <t>Yes</t>
        </is>
      </c>
      <c r="G2823" t="inlineStr">
        <is>
          <t>1</t>
        </is>
      </c>
      <c r="H2823" t="inlineStr">
        <is>
          <t>Yes</t>
        </is>
      </c>
      <c r="I2823" t="inlineStr">
        <is>
          <t>No</t>
        </is>
      </c>
      <c r="J2823" t="inlineStr">
        <is>
          <t>0</t>
        </is>
      </c>
      <c r="K2823" t="inlineStr">
        <is>
          <t>Jones, Rufus M. (Rufus Matthew), 1863-1948.</t>
        </is>
      </c>
      <c r="L2823" t="inlineStr">
        <is>
          <t>Westport, Conn. : Greenwood Press, [1970]</t>
        </is>
      </c>
      <c r="M2823" t="inlineStr">
        <is>
          <t>1970</t>
        </is>
      </c>
      <c r="O2823" t="inlineStr">
        <is>
          <t>eng</t>
        </is>
      </c>
      <c r="P2823" t="inlineStr">
        <is>
          <t>ctu</t>
        </is>
      </c>
      <c r="R2823" t="inlineStr">
        <is>
          <t xml:space="preserve">BX </t>
        </is>
      </c>
      <c r="S2823" t="n">
        <v>2</v>
      </c>
      <c r="T2823" t="n">
        <v>5</v>
      </c>
      <c r="U2823" t="inlineStr">
        <is>
          <t>2000-06-22</t>
        </is>
      </c>
      <c r="V2823" t="inlineStr">
        <is>
          <t>2000-06-22</t>
        </is>
      </c>
      <c r="W2823" t="inlineStr">
        <is>
          <t>1992-05-18</t>
        </is>
      </c>
      <c r="X2823" t="inlineStr">
        <is>
          <t>1992-05-18</t>
        </is>
      </c>
      <c r="Y2823" t="n">
        <v>180</v>
      </c>
      <c r="Z2823" t="n">
        <v>171</v>
      </c>
      <c r="AA2823" t="n">
        <v>465</v>
      </c>
      <c r="AB2823" t="n">
        <v>2</v>
      </c>
      <c r="AC2823" t="n">
        <v>4</v>
      </c>
      <c r="AD2823" t="n">
        <v>6</v>
      </c>
      <c r="AE2823" t="n">
        <v>15</v>
      </c>
      <c r="AF2823" t="n">
        <v>0</v>
      </c>
      <c r="AG2823" t="n">
        <v>2</v>
      </c>
      <c r="AH2823" t="n">
        <v>3</v>
      </c>
      <c r="AI2823" t="n">
        <v>5</v>
      </c>
      <c r="AJ2823" t="n">
        <v>2</v>
      </c>
      <c r="AK2823" t="n">
        <v>6</v>
      </c>
      <c r="AL2823" t="n">
        <v>1</v>
      </c>
      <c r="AM2823" t="n">
        <v>3</v>
      </c>
      <c r="AN2823" t="n">
        <v>0</v>
      </c>
      <c r="AO2823" t="n">
        <v>0</v>
      </c>
      <c r="AP2823" t="inlineStr">
        <is>
          <t>No</t>
        </is>
      </c>
      <c r="AQ2823" t="inlineStr">
        <is>
          <t>Yes</t>
        </is>
      </c>
      <c r="AR2823">
        <f>HYPERLINK("http://catalog.hathitrust.org/Record/008372300","HathiTrust Record")</f>
        <v/>
      </c>
      <c r="AS2823">
        <f>HYPERLINK("https://creighton-primo.hosted.exlibrisgroup.com/primo-explore/search?tab=default_tab&amp;search_scope=EVERYTHING&amp;vid=01CRU&amp;lang=en_US&amp;offset=0&amp;query=any,contains,991000829699702656","Catalog Record")</f>
        <v/>
      </c>
      <c r="AT2823">
        <f>HYPERLINK("http://www.worldcat.org/oclc/147312","WorldCat Record")</f>
        <v/>
      </c>
      <c r="AU2823" t="inlineStr">
        <is>
          <t>1329501:eng</t>
        </is>
      </c>
      <c r="AV2823" t="inlineStr">
        <is>
          <t>147312</t>
        </is>
      </c>
      <c r="AW2823" t="inlineStr">
        <is>
          <t>991000829699702656</t>
        </is>
      </c>
      <c r="AX2823" t="inlineStr">
        <is>
          <t>991000829699702656</t>
        </is>
      </c>
      <c r="AY2823" t="inlineStr">
        <is>
          <t>2258867630002656</t>
        </is>
      </c>
      <c r="AZ2823" t="inlineStr">
        <is>
          <t>BOOK</t>
        </is>
      </c>
      <c r="BB2823" t="inlineStr">
        <is>
          <t>9780837142487</t>
        </is>
      </c>
      <c r="BC2823" t="inlineStr">
        <is>
          <t>32285001123859</t>
        </is>
      </c>
      <c r="BD2823" t="inlineStr">
        <is>
          <t>893714932</t>
        </is>
      </c>
    </row>
    <row r="2824">
      <c r="A2824" t="inlineStr">
        <is>
          <t>No</t>
        </is>
      </c>
      <c r="B2824" t="inlineStr">
        <is>
          <t>BX7631 .J6 1970 V. 2</t>
        </is>
      </c>
      <c r="C2824" t="inlineStr">
        <is>
          <t>0                      BX 7631000J  6           1970                                        V. 2</t>
        </is>
      </c>
      <c r="D2824" t="inlineStr">
        <is>
          <t>The later periods of Quakerism / by Rufus M. Jones.</t>
        </is>
      </c>
      <c r="E2824" t="inlineStr">
        <is>
          <t>V. 2*</t>
        </is>
      </c>
      <c r="F2824" t="inlineStr">
        <is>
          <t>Yes</t>
        </is>
      </c>
      <c r="G2824" t="inlineStr">
        <is>
          <t>1</t>
        </is>
      </c>
      <c r="H2824" t="inlineStr">
        <is>
          <t>No</t>
        </is>
      </c>
      <c r="I2824" t="inlineStr">
        <is>
          <t>No</t>
        </is>
      </c>
      <c r="J2824" t="inlineStr">
        <is>
          <t>0</t>
        </is>
      </c>
      <c r="K2824" t="inlineStr">
        <is>
          <t>Jones, Rufus M. (Rufus Matthew), 1863-1948.</t>
        </is>
      </c>
      <c r="L2824" t="inlineStr">
        <is>
          <t>Westport, Conn. : Greenwood Press, [1970]</t>
        </is>
      </c>
      <c r="M2824" t="inlineStr">
        <is>
          <t>1970</t>
        </is>
      </c>
      <c r="O2824" t="inlineStr">
        <is>
          <t>eng</t>
        </is>
      </c>
      <c r="P2824" t="inlineStr">
        <is>
          <t>ctu</t>
        </is>
      </c>
      <c r="R2824" t="inlineStr">
        <is>
          <t xml:space="preserve">BX </t>
        </is>
      </c>
      <c r="S2824" t="n">
        <v>3</v>
      </c>
      <c r="T2824" t="n">
        <v>5</v>
      </c>
      <c r="U2824" t="inlineStr">
        <is>
          <t>1995-03-30</t>
        </is>
      </c>
      <c r="V2824" t="inlineStr">
        <is>
          <t>2000-06-22</t>
        </is>
      </c>
      <c r="W2824" t="inlineStr">
        <is>
          <t>1992-05-18</t>
        </is>
      </c>
      <c r="X2824" t="inlineStr">
        <is>
          <t>1992-05-18</t>
        </is>
      </c>
      <c r="Y2824" t="n">
        <v>180</v>
      </c>
      <c r="Z2824" t="n">
        <v>171</v>
      </c>
      <c r="AA2824" t="n">
        <v>465</v>
      </c>
      <c r="AB2824" t="n">
        <v>2</v>
      </c>
      <c r="AC2824" t="n">
        <v>4</v>
      </c>
      <c r="AD2824" t="n">
        <v>6</v>
      </c>
      <c r="AE2824" t="n">
        <v>15</v>
      </c>
      <c r="AF2824" t="n">
        <v>0</v>
      </c>
      <c r="AG2824" t="n">
        <v>2</v>
      </c>
      <c r="AH2824" t="n">
        <v>3</v>
      </c>
      <c r="AI2824" t="n">
        <v>5</v>
      </c>
      <c r="AJ2824" t="n">
        <v>2</v>
      </c>
      <c r="AK2824" t="n">
        <v>6</v>
      </c>
      <c r="AL2824" t="n">
        <v>1</v>
      </c>
      <c r="AM2824" t="n">
        <v>3</v>
      </c>
      <c r="AN2824" t="n">
        <v>0</v>
      </c>
      <c r="AO2824" t="n">
        <v>0</v>
      </c>
      <c r="AP2824" t="inlineStr">
        <is>
          <t>No</t>
        </is>
      </c>
      <c r="AQ2824" t="inlineStr">
        <is>
          <t>Yes</t>
        </is>
      </c>
      <c r="AR2824">
        <f>HYPERLINK("http://catalog.hathitrust.org/Record/008372300","HathiTrust Record")</f>
        <v/>
      </c>
      <c r="AS2824">
        <f>HYPERLINK("https://creighton-primo.hosted.exlibrisgroup.com/primo-explore/search?tab=default_tab&amp;search_scope=EVERYTHING&amp;vid=01CRU&amp;lang=en_US&amp;offset=0&amp;query=any,contains,991000829699702656","Catalog Record")</f>
        <v/>
      </c>
      <c r="AT2824">
        <f>HYPERLINK("http://www.worldcat.org/oclc/147312","WorldCat Record")</f>
        <v/>
      </c>
      <c r="AU2824" t="inlineStr">
        <is>
          <t>1329501:eng</t>
        </is>
      </c>
      <c r="AV2824" t="inlineStr">
        <is>
          <t>147312</t>
        </is>
      </c>
      <c r="AW2824" t="inlineStr">
        <is>
          <t>991000829699702656</t>
        </is>
      </c>
      <c r="AX2824" t="inlineStr">
        <is>
          <t>991000829699702656</t>
        </is>
      </c>
      <c r="AY2824" t="inlineStr">
        <is>
          <t>2258867630002656</t>
        </is>
      </c>
      <c r="AZ2824" t="inlineStr">
        <is>
          <t>BOOK</t>
        </is>
      </c>
      <c r="BB2824" t="inlineStr">
        <is>
          <t>9780837142487</t>
        </is>
      </c>
      <c r="BC2824" t="inlineStr">
        <is>
          <t>32285001123867</t>
        </is>
      </c>
      <c r="BD2824" t="inlineStr">
        <is>
          <t>893714931</t>
        </is>
      </c>
    </row>
    <row r="2825">
      <c r="A2825" t="inlineStr">
        <is>
          <t>No</t>
        </is>
      </c>
      <c r="B2825" t="inlineStr">
        <is>
          <t>BX7631.2 .P8 1984</t>
        </is>
      </c>
      <c r="C2825" t="inlineStr">
        <is>
          <t>0                      BX 7631200P  8           1984</t>
        </is>
      </c>
      <c r="D2825" t="inlineStr">
        <is>
          <t>Portrait in grey : a short history of the Quakers / John Punshon.</t>
        </is>
      </c>
      <c r="F2825" t="inlineStr">
        <is>
          <t>No</t>
        </is>
      </c>
      <c r="G2825" t="inlineStr">
        <is>
          <t>1</t>
        </is>
      </c>
      <c r="H2825" t="inlineStr">
        <is>
          <t>No</t>
        </is>
      </c>
      <c r="I2825" t="inlineStr">
        <is>
          <t>No</t>
        </is>
      </c>
      <c r="J2825" t="inlineStr">
        <is>
          <t>0</t>
        </is>
      </c>
      <c r="K2825" t="inlineStr">
        <is>
          <t>Punshon, John.</t>
        </is>
      </c>
      <c r="L2825" t="inlineStr">
        <is>
          <t>London : Quaker Home Service, 1984.</t>
        </is>
      </c>
      <c r="M2825" t="inlineStr">
        <is>
          <t>1984</t>
        </is>
      </c>
      <c r="O2825" t="inlineStr">
        <is>
          <t>eng</t>
        </is>
      </c>
      <c r="P2825" t="inlineStr">
        <is>
          <t>enk</t>
        </is>
      </c>
      <c r="R2825" t="inlineStr">
        <is>
          <t xml:space="preserve">BX </t>
        </is>
      </c>
      <c r="S2825" t="n">
        <v>7</v>
      </c>
      <c r="T2825" t="n">
        <v>7</v>
      </c>
      <c r="U2825" t="inlineStr">
        <is>
          <t>2004-11-10</t>
        </is>
      </c>
      <c r="V2825" t="inlineStr">
        <is>
          <t>2004-11-10</t>
        </is>
      </c>
      <c r="W2825" t="inlineStr">
        <is>
          <t>1990-03-02</t>
        </is>
      </c>
      <c r="X2825" t="inlineStr">
        <is>
          <t>1990-03-02</t>
        </is>
      </c>
      <c r="Y2825" t="n">
        <v>151</v>
      </c>
      <c r="Z2825" t="n">
        <v>73</v>
      </c>
      <c r="AA2825" t="n">
        <v>113</v>
      </c>
      <c r="AB2825" t="n">
        <v>2</v>
      </c>
      <c r="AC2825" t="n">
        <v>2</v>
      </c>
      <c r="AD2825" t="n">
        <v>3</v>
      </c>
      <c r="AE2825" t="n">
        <v>5</v>
      </c>
      <c r="AF2825" t="n">
        <v>1</v>
      </c>
      <c r="AG2825" t="n">
        <v>1</v>
      </c>
      <c r="AH2825" t="n">
        <v>1</v>
      </c>
      <c r="AI2825" t="n">
        <v>1</v>
      </c>
      <c r="AJ2825" t="n">
        <v>1</v>
      </c>
      <c r="AK2825" t="n">
        <v>3</v>
      </c>
      <c r="AL2825" t="n">
        <v>1</v>
      </c>
      <c r="AM2825" t="n">
        <v>1</v>
      </c>
      <c r="AN2825" t="n">
        <v>0</v>
      </c>
      <c r="AO2825" t="n">
        <v>0</v>
      </c>
      <c r="AP2825" t="inlineStr">
        <is>
          <t>No</t>
        </is>
      </c>
      <c r="AQ2825" t="inlineStr">
        <is>
          <t>Yes</t>
        </is>
      </c>
      <c r="AR2825">
        <f>HYPERLINK("http://catalog.hathitrust.org/Record/000339150","HathiTrust Record")</f>
        <v/>
      </c>
      <c r="AS2825">
        <f>HYPERLINK("https://creighton-primo.hosted.exlibrisgroup.com/primo-explore/search?tab=default_tab&amp;search_scope=EVERYTHING&amp;vid=01CRU&amp;lang=en_US&amp;offset=0&amp;query=any,contains,991000494109702656","Catalog Record")</f>
        <v/>
      </c>
      <c r="AT2825">
        <f>HYPERLINK("http://www.worldcat.org/oclc/11128321","WorldCat Record")</f>
        <v/>
      </c>
      <c r="AU2825" t="inlineStr">
        <is>
          <t>836676698:eng</t>
        </is>
      </c>
      <c r="AV2825" t="inlineStr">
        <is>
          <t>11128321</t>
        </is>
      </c>
      <c r="AW2825" t="inlineStr">
        <is>
          <t>991000494109702656</t>
        </is>
      </c>
      <c r="AX2825" t="inlineStr">
        <is>
          <t>991000494109702656</t>
        </is>
      </c>
      <c r="AY2825" t="inlineStr">
        <is>
          <t>2260302960002656</t>
        </is>
      </c>
      <c r="AZ2825" t="inlineStr">
        <is>
          <t>BOOK</t>
        </is>
      </c>
      <c r="BB2825" t="inlineStr">
        <is>
          <t>9780852451809</t>
        </is>
      </c>
      <c r="BC2825" t="inlineStr">
        <is>
          <t>32285000074590</t>
        </is>
      </c>
      <c r="BD2825" t="inlineStr">
        <is>
          <t>893521716</t>
        </is>
      </c>
    </row>
    <row r="2826">
      <c r="A2826" t="inlineStr">
        <is>
          <t>No</t>
        </is>
      </c>
      <c r="B2826" t="inlineStr">
        <is>
          <t>BX7631.2 .T6</t>
        </is>
      </c>
      <c r="C2826" t="inlineStr">
        <is>
          <t>0                      BX 7631200T  6</t>
        </is>
      </c>
      <c r="D2826" t="inlineStr">
        <is>
          <t>Quakers and the Atlantic culture / by Frederick B. Tolles.</t>
        </is>
      </c>
      <c r="F2826" t="inlineStr">
        <is>
          <t>No</t>
        </is>
      </c>
      <c r="G2826" t="inlineStr">
        <is>
          <t>1</t>
        </is>
      </c>
      <c r="H2826" t="inlineStr">
        <is>
          <t>No</t>
        </is>
      </c>
      <c r="I2826" t="inlineStr">
        <is>
          <t>No</t>
        </is>
      </c>
      <c r="J2826" t="inlineStr">
        <is>
          <t>0</t>
        </is>
      </c>
      <c r="K2826" t="inlineStr">
        <is>
          <t>Tolles, Frederick Barnes, 1915-1975.</t>
        </is>
      </c>
      <c r="L2826" t="inlineStr">
        <is>
          <t>New York : Macmillan, 1960.</t>
        </is>
      </c>
      <c r="M2826" t="inlineStr">
        <is>
          <t>1960</t>
        </is>
      </c>
      <c r="O2826" t="inlineStr">
        <is>
          <t>eng</t>
        </is>
      </c>
      <c r="P2826" t="inlineStr">
        <is>
          <t>nyu</t>
        </is>
      </c>
      <c r="R2826" t="inlineStr">
        <is>
          <t xml:space="preserve">BX </t>
        </is>
      </c>
      <c r="S2826" t="n">
        <v>1</v>
      </c>
      <c r="T2826" t="n">
        <v>1</v>
      </c>
      <c r="U2826" t="inlineStr">
        <is>
          <t>1993-02-11</t>
        </is>
      </c>
      <c r="V2826" t="inlineStr">
        <is>
          <t>1993-02-11</t>
        </is>
      </c>
      <c r="W2826" t="inlineStr">
        <is>
          <t>1992-05-18</t>
        </is>
      </c>
      <c r="X2826" t="inlineStr">
        <is>
          <t>1992-05-18</t>
        </is>
      </c>
      <c r="Y2826" t="n">
        <v>780</v>
      </c>
      <c r="Z2826" t="n">
        <v>711</v>
      </c>
      <c r="AA2826" t="n">
        <v>776</v>
      </c>
      <c r="AB2826" t="n">
        <v>4</v>
      </c>
      <c r="AC2826" t="n">
        <v>4</v>
      </c>
      <c r="AD2826" t="n">
        <v>27</v>
      </c>
      <c r="AE2826" t="n">
        <v>30</v>
      </c>
      <c r="AF2826" t="n">
        <v>10</v>
      </c>
      <c r="AG2826" t="n">
        <v>12</v>
      </c>
      <c r="AH2826" t="n">
        <v>7</v>
      </c>
      <c r="AI2826" t="n">
        <v>8</v>
      </c>
      <c r="AJ2826" t="n">
        <v>13</v>
      </c>
      <c r="AK2826" t="n">
        <v>14</v>
      </c>
      <c r="AL2826" t="n">
        <v>3</v>
      </c>
      <c r="AM2826" t="n">
        <v>3</v>
      </c>
      <c r="AN2826" t="n">
        <v>0</v>
      </c>
      <c r="AO2826" t="n">
        <v>0</v>
      </c>
      <c r="AP2826" t="inlineStr">
        <is>
          <t>No</t>
        </is>
      </c>
      <c r="AQ2826" t="inlineStr">
        <is>
          <t>Yes</t>
        </is>
      </c>
      <c r="AR2826">
        <f>HYPERLINK("http://catalog.hathitrust.org/Record/001960539","HathiTrust Record")</f>
        <v/>
      </c>
      <c r="AS2826">
        <f>HYPERLINK("https://creighton-primo.hosted.exlibrisgroup.com/primo-explore/search?tab=default_tab&amp;search_scope=EVERYTHING&amp;vid=01CRU&amp;lang=en_US&amp;offset=0&amp;query=any,contains,991002649109702656","Catalog Record")</f>
        <v/>
      </c>
      <c r="AT2826">
        <f>HYPERLINK("http://www.worldcat.org/oclc/386612","WorldCat Record")</f>
        <v/>
      </c>
      <c r="AU2826" t="inlineStr">
        <is>
          <t>1512015:eng</t>
        </is>
      </c>
      <c r="AV2826" t="inlineStr">
        <is>
          <t>386612</t>
        </is>
      </c>
      <c r="AW2826" t="inlineStr">
        <is>
          <t>991002649109702656</t>
        </is>
      </c>
      <c r="AX2826" t="inlineStr">
        <is>
          <t>991002649109702656</t>
        </is>
      </c>
      <c r="AY2826" t="inlineStr">
        <is>
          <t>2259550040002656</t>
        </is>
      </c>
      <c r="AZ2826" t="inlineStr">
        <is>
          <t>BOOK</t>
        </is>
      </c>
      <c r="BC2826" t="inlineStr">
        <is>
          <t>32285001123883</t>
        </is>
      </c>
      <c r="BD2826" t="inlineStr">
        <is>
          <t>893504641</t>
        </is>
      </c>
    </row>
    <row r="2827">
      <c r="A2827" t="inlineStr">
        <is>
          <t>No</t>
        </is>
      </c>
      <c r="B2827" t="inlineStr">
        <is>
          <t>BX7632 .F75</t>
        </is>
      </c>
      <c r="C2827" t="inlineStr">
        <is>
          <t>0                      BX 7632000F  75</t>
        </is>
      </c>
      <c r="D2827" t="inlineStr">
        <is>
          <t>Towards a quaker view of sex : an essay by a group of Friends / editor Alastair Heron.</t>
        </is>
      </c>
      <c r="F2827" t="inlineStr">
        <is>
          <t>No</t>
        </is>
      </c>
      <c r="G2827" t="inlineStr">
        <is>
          <t>1</t>
        </is>
      </c>
      <c r="H2827" t="inlineStr">
        <is>
          <t>No</t>
        </is>
      </c>
      <c r="I2827" t="inlineStr">
        <is>
          <t>No</t>
        </is>
      </c>
      <c r="J2827" t="inlineStr">
        <is>
          <t>0</t>
        </is>
      </c>
      <c r="K2827" t="inlineStr">
        <is>
          <t>Heron, Alastair.</t>
        </is>
      </c>
      <c r="L2827" t="inlineStr">
        <is>
          <t>London : Friends Home Service Committee, 1964.</t>
        </is>
      </c>
      <c r="M2827" t="inlineStr">
        <is>
          <t>1964</t>
        </is>
      </c>
      <c r="N2827" t="inlineStr">
        <is>
          <t>Rev. ed.</t>
        </is>
      </c>
      <c r="O2827" t="inlineStr">
        <is>
          <t>eng</t>
        </is>
      </c>
      <c r="P2827" t="inlineStr">
        <is>
          <t>enk</t>
        </is>
      </c>
      <c r="R2827" t="inlineStr">
        <is>
          <t xml:space="preserve">BX </t>
        </is>
      </c>
      <c r="S2827" t="n">
        <v>5</v>
      </c>
      <c r="T2827" t="n">
        <v>5</v>
      </c>
      <c r="U2827" t="inlineStr">
        <is>
          <t>2004-06-21</t>
        </is>
      </c>
      <c r="V2827" t="inlineStr">
        <is>
          <t>2004-06-21</t>
        </is>
      </c>
      <c r="W2827" t="inlineStr">
        <is>
          <t>1992-05-19</t>
        </is>
      </c>
      <c r="X2827" t="inlineStr">
        <is>
          <t>1992-05-19</t>
        </is>
      </c>
      <c r="Y2827" t="n">
        <v>147</v>
      </c>
      <c r="Z2827" t="n">
        <v>117</v>
      </c>
      <c r="AA2827" t="n">
        <v>185</v>
      </c>
      <c r="AB2827" t="n">
        <v>2</v>
      </c>
      <c r="AC2827" t="n">
        <v>2</v>
      </c>
      <c r="AD2827" t="n">
        <v>4</v>
      </c>
      <c r="AE2827" t="n">
        <v>5</v>
      </c>
      <c r="AF2827" t="n">
        <v>1</v>
      </c>
      <c r="AG2827" t="n">
        <v>1</v>
      </c>
      <c r="AH2827" t="n">
        <v>1</v>
      </c>
      <c r="AI2827" t="n">
        <v>1</v>
      </c>
      <c r="AJ2827" t="n">
        <v>2</v>
      </c>
      <c r="AK2827" t="n">
        <v>3</v>
      </c>
      <c r="AL2827" t="n">
        <v>1</v>
      </c>
      <c r="AM2827" t="n">
        <v>1</v>
      </c>
      <c r="AN2827" t="n">
        <v>0</v>
      </c>
      <c r="AO2827" t="n">
        <v>0</v>
      </c>
      <c r="AP2827" t="inlineStr">
        <is>
          <t>No</t>
        </is>
      </c>
      <c r="AQ2827" t="inlineStr">
        <is>
          <t>Yes</t>
        </is>
      </c>
      <c r="AR2827">
        <f>HYPERLINK("http://catalog.hathitrust.org/Record/010550450","HathiTrust Record")</f>
        <v/>
      </c>
      <c r="AS2827">
        <f>HYPERLINK("https://creighton-primo.hosted.exlibrisgroup.com/primo-explore/search?tab=default_tab&amp;search_scope=EVERYTHING&amp;vid=01CRU&amp;lang=en_US&amp;offset=0&amp;query=any,contains,991004640419702656","Catalog Record")</f>
        <v/>
      </c>
      <c r="AT2827">
        <f>HYPERLINK("http://www.worldcat.org/oclc/4455498","WorldCat Record")</f>
        <v/>
      </c>
      <c r="AU2827" t="inlineStr">
        <is>
          <t>3943393419:eng</t>
        </is>
      </c>
      <c r="AV2827" t="inlineStr">
        <is>
          <t>4455498</t>
        </is>
      </c>
      <c r="AW2827" t="inlineStr">
        <is>
          <t>991004640419702656</t>
        </is>
      </c>
      <c r="AX2827" t="inlineStr">
        <is>
          <t>991004640419702656</t>
        </is>
      </c>
      <c r="AY2827" t="inlineStr">
        <is>
          <t>2272582590002656</t>
        </is>
      </c>
      <c r="AZ2827" t="inlineStr">
        <is>
          <t>BOOK</t>
        </is>
      </c>
      <c r="BC2827" t="inlineStr">
        <is>
          <t>32285001123891</t>
        </is>
      </c>
      <c r="BD2827" t="inlineStr">
        <is>
          <t>893513501</t>
        </is>
      </c>
    </row>
    <row r="2828">
      <c r="A2828" t="inlineStr">
        <is>
          <t>No</t>
        </is>
      </c>
      <c r="B2828" t="inlineStr">
        <is>
          <t>BX7635 .N48</t>
        </is>
      </c>
      <c r="C2828" t="inlineStr">
        <is>
          <t>0                      BX 7635000N  48</t>
        </is>
      </c>
      <c r="D2828" t="inlineStr">
        <is>
          <t>A procession of Friends : Quakers in America / by Daisy Newman.</t>
        </is>
      </c>
      <c r="F2828" t="inlineStr">
        <is>
          <t>No</t>
        </is>
      </c>
      <c r="G2828" t="inlineStr">
        <is>
          <t>1</t>
        </is>
      </c>
      <c r="H2828" t="inlineStr">
        <is>
          <t>No</t>
        </is>
      </c>
      <c r="I2828" t="inlineStr">
        <is>
          <t>No</t>
        </is>
      </c>
      <c r="J2828" t="inlineStr">
        <is>
          <t>0</t>
        </is>
      </c>
      <c r="K2828" t="inlineStr">
        <is>
          <t>Newman, Daisy, 1904-1994.</t>
        </is>
      </c>
      <c r="L2828" t="inlineStr">
        <is>
          <t>Garden City, N.Y. : Doubleday, 1972.</t>
        </is>
      </c>
      <c r="M2828" t="inlineStr">
        <is>
          <t>1972</t>
        </is>
      </c>
      <c r="N2828" t="inlineStr">
        <is>
          <t>[1st ed.]</t>
        </is>
      </c>
      <c r="O2828" t="inlineStr">
        <is>
          <t>eng</t>
        </is>
      </c>
      <c r="P2828" t="inlineStr">
        <is>
          <t>nyu</t>
        </is>
      </c>
      <c r="Q2828" t="inlineStr">
        <is>
          <t>Religion in America series</t>
        </is>
      </c>
      <c r="R2828" t="inlineStr">
        <is>
          <t xml:space="preserve">BX </t>
        </is>
      </c>
      <c r="S2828" t="n">
        <v>9</v>
      </c>
      <c r="T2828" t="n">
        <v>9</v>
      </c>
      <c r="U2828" t="inlineStr">
        <is>
          <t>2001-04-11</t>
        </is>
      </c>
      <c r="V2828" t="inlineStr">
        <is>
          <t>2001-04-11</t>
        </is>
      </c>
      <c r="W2828" t="inlineStr">
        <is>
          <t>1990-04-09</t>
        </is>
      </c>
      <c r="X2828" t="inlineStr">
        <is>
          <t>1990-04-09</t>
        </is>
      </c>
      <c r="Y2828" t="n">
        <v>922</v>
      </c>
      <c r="Z2828" t="n">
        <v>874</v>
      </c>
      <c r="AA2828" t="n">
        <v>916</v>
      </c>
      <c r="AB2828" t="n">
        <v>5</v>
      </c>
      <c r="AC2828" t="n">
        <v>5</v>
      </c>
      <c r="AD2828" t="n">
        <v>25</v>
      </c>
      <c r="AE2828" t="n">
        <v>28</v>
      </c>
      <c r="AF2828" t="n">
        <v>9</v>
      </c>
      <c r="AG2828" t="n">
        <v>10</v>
      </c>
      <c r="AH2828" t="n">
        <v>6</v>
      </c>
      <c r="AI2828" t="n">
        <v>6</v>
      </c>
      <c r="AJ2828" t="n">
        <v>14</v>
      </c>
      <c r="AK2828" t="n">
        <v>16</v>
      </c>
      <c r="AL2828" t="n">
        <v>4</v>
      </c>
      <c r="AM2828" t="n">
        <v>4</v>
      </c>
      <c r="AN2828" t="n">
        <v>0</v>
      </c>
      <c r="AO2828" t="n">
        <v>0</v>
      </c>
      <c r="AP2828" t="inlineStr">
        <is>
          <t>No</t>
        </is>
      </c>
      <c r="AQ2828" t="inlineStr">
        <is>
          <t>Yes</t>
        </is>
      </c>
      <c r="AR2828">
        <f>HYPERLINK("http://catalog.hathitrust.org/Record/007091285","HathiTrust Record")</f>
        <v/>
      </c>
      <c r="AS2828">
        <f>HYPERLINK("https://creighton-primo.hosted.exlibrisgroup.com/primo-explore/search?tab=default_tab&amp;search_scope=EVERYTHING&amp;vid=01CRU&amp;lang=en_US&amp;offset=0&amp;query=any,contains,991002113949702656","Catalog Record")</f>
        <v/>
      </c>
      <c r="AT2828">
        <f>HYPERLINK("http://www.worldcat.org/oclc/267883","WorldCat Record")</f>
        <v/>
      </c>
      <c r="AU2828" t="inlineStr">
        <is>
          <t>558295:eng</t>
        </is>
      </c>
      <c r="AV2828" t="inlineStr">
        <is>
          <t>267883</t>
        </is>
      </c>
      <c r="AW2828" t="inlineStr">
        <is>
          <t>991002113949702656</t>
        </is>
      </c>
      <c r="AX2828" t="inlineStr">
        <is>
          <t>991002113949702656</t>
        </is>
      </c>
      <c r="AY2828" t="inlineStr">
        <is>
          <t>2270658950002656</t>
        </is>
      </c>
      <c r="AZ2828" t="inlineStr">
        <is>
          <t>BOOK</t>
        </is>
      </c>
      <c r="BC2828" t="inlineStr">
        <is>
          <t>32285000113950</t>
        </is>
      </c>
      <c r="BD2828" t="inlineStr">
        <is>
          <t>893615708</t>
        </is>
      </c>
    </row>
    <row r="2829">
      <c r="A2829" t="inlineStr">
        <is>
          <t>No</t>
        </is>
      </c>
      <c r="B2829" t="inlineStr">
        <is>
          <t>BX7635 .Y68 2007</t>
        </is>
      </c>
      <c r="C2829" t="inlineStr">
        <is>
          <t>0                      BX 7635000Y  68          2007</t>
        </is>
      </c>
      <c r="D2829" t="inlineStr">
        <is>
          <t>How the Quakers invented America / David Yount.</t>
        </is>
      </c>
      <c r="F2829" t="inlineStr">
        <is>
          <t>No</t>
        </is>
      </c>
      <c r="G2829" t="inlineStr">
        <is>
          <t>1</t>
        </is>
      </c>
      <c r="H2829" t="inlineStr">
        <is>
          <t>No</t>
        </is>
      </c>
      <c r="I2829" t="inlineStr">
        <is>
          <t>No</t>
        </is>
      </c>
      <c r="J2829" t="inlineStr">
        <is>
          <t>0</t>
        </is>
      </c>
      <c r="K2829" t="inlineStr">
        <is>
          <t>Yount, David.</t>
        </is>
      </c>
      <c r="L2829" t="inlineStr">
        <is>
          <t>Lanham : Rowman &amp; Littlefield Publishers : [Distributed by National Book Network], c2007.</t>
        </is>
      </c>
      <c r="M2829" t="inlineStr">
        <is>
          <t>2007</t>
        </is>
      </c>
      <c r="O2829" t="inlineStr">
        <is>
          <t>eng</t>
        </is>
      </c>
      <c r="P2829" t="inlineStr">
        <is>
          <t>mdu</t>
        </is>
      </c>
      <c r="R2829" t="inlineStr">
        <is>
          <t xml:space="preserve">BX </t>
        </is>
      </c>
      <c r="S2829" t="n">
        <v>5</v>
      </c>
      <c r="T2829" t="n">
        <v>5</v>
      </c>
      <c r="U2829" t="inlineStr">
        <is>
          <t>2010-04-28</t>
        </is>
      </c>
      <c r="V2829" t="inlineStr">
        <is>
          <t>2010-04-28</t>
        </is>
      </c>
      <c r="W2829" t="inlineStr">
        <is>
          <t>2008-09-17</t>
        </is>
      </c>
      <c r="X2829" t="inlineStr">
        <is>
          <t>2008-09-17</t>
        </is>
      </c>
      <c r="Y2829" t="n">
        <v>291</v>
      </c>
      <c r="Z2829" t="n">
        <v>279</v>
      </c>
      <c r="AA2829" t="n">
        <v>280</v>
      </c>
      <c r="AB2829" t="n">
        <v>2</v>
      </c>
      <c r="AC2829" t="n">
        <v>2</v>
      </c>
      <c r="AD2829" t="n">
        <v>12</v>
      </c>
      <c r="AE2829" t="n">
        <v>12</v>
      </c>
      <c r="AF2829" t="n">
        <v>7</v>
      </c>
      <c r="AG2829" t="n">
        <v>7</v>
      </c>
      <c r="AH2829" t="n">
        <v>3</v>
      </c>
      <c r="AI2829" t="n">
        <v>3</v>
      </c>
      <c r="AJ2829" t="n">
        <v>6</v>
      </c>
      <c r="AK2829" t="n">
        <v>6</v>
      </c>
      <c r="AL2829" t="n">
        <v>0</v>
      </c>
      <c r="AM2829" t="n">
        <v>0</v>
      </c>
      <c r="AN2829" t="n">
        <v>0</v>
      </c>
      <c r="AO2829" t="n">
        <v>0</v>
      </c>
      <c r="AP2829" t="inlineStr">
        <is>
          <t>No</t>
        </is>
      </c>
      <c r="AQ2829" t="inlineStr">
        <is>
          <t>No</t>
        </is>
      </c>
      <c r="AS2829">
        <f>HYPERLINK("https://creighton-primo.hosted.exlibrisgroup.com/primo-explore/search?tab=default_tab&amp;search_scope=EVERYTHING&amp;vid=01CRU&amp;lang=en_US&amp;offset=0&amp;query=any,contains,991005261639702656","Catalog Record")</f>
        <v/>
      </c>
      <c r="AT2829">
        <f>HYPERLINK("http://www.worldcat.org/oclc/84838316","WorldCat Record")</f>
        <v/>
      </c>
      <c r="AU2829" t="inlineStr">
        <is>
          <t>68906131:eng</t>
        </is>
      </c>
      <c r="AV2829" t="inlineStr">
        <is>
          <t>84838316</t>
        </is>
      </c>
      <c r="AW2829" t="inlineStr">
        <is>
          <t>991005261639702656</t>
        </is>
      </c>
      <c r="AX2829" t="inlineStr">
        <is>
          <t>991005261639702656</t>
        </is>
      </c>
      <c r="AY2829" t="inlineStr">
        <is>
          <t>2259190800002656</t>
        </is>
      </c>
      <c r="AZ2829" t="inlineStr">
        <is>
          <t>BOOK</t>
        </is>
      </c>
      <c r="BB2829" t="inlineStr">
        <is>
          <t>9780742558335</t>
        </is>
      </c>
      <c r="BC2829" t="inlineStr">
        <is>
          <t>32285005458541</t>
        </is>
      </c>
      <c r="BD2829" t="inlineStr">
        <is>
          <t>893870780</t>
        </is>
      </c>
    </row>
    <row r="2830">
      <c r="A2830" t="inlineStr">
        <is>
          <t>No</t>
        </is>
      </c>
      <c r="B2830" t="inlineStr">
        <is>
          <t>BX7649.P5 B46</t>
        </is>
      </c>
      <c r="C2830" t="inlineStr">
        <is>
          <t>0                      BX 7649000P  5                  B  46</t>
        </is>
      </c>
      <c r="D2830" t="inlineStr">
        <is>
          <t>The Philadelphia Quakers in the industrial age, 1865-1920 / Philip S. Benjamin.</t>
        </is>
      </c>
      <c r="F2830" t="inlineStr">
        <is>
          <t>No</t>
        </is>
      </c>
      <c r="G2830" t="inlineStr">
        <is>
          <t>1</t>
        </is>
      </c>
      <c r="H2830" t="inlineStr">
        <is>
          <t>No</t>
        </is>
      </c>
      <c r="I2830" t="inlineStr">
        <is>
          <t>No</t>
        </is>
      </c>
      <c r="J2830" t="inlineStr">
        <is>
          <t>0</t>
        </is>
      </c>
      <c r="K2830" t="inlineStr">
        <is>
          <t>Benjamin, Philip S.</t>
        </is>
      </c>
      <c r="L2830" t="inlineStr">
        <is>
          <t>Philadelphia : Temple University Press, 1976.</t>
        </is>
      </c>
      <c r="M2830" t="inlineStr">
        <is>
          <t>1976</t>
        </is>
      </c>
      <c r="O2830" t="inlineStr">
        <is>
          <t>eng</t>
        </is>
      </c>
      <c r="P2830" t="inlineStr">
        <is>
          <t>pau</t>
        </is>
      </c>
      <c r="R2830" t="inlineStr">
        <is>
          <t xml:space="preserve">BX </t>
        </is>
      </c>
      <c r="S2830" t="n">
        <v>2</v>
      </c>
      <c r="T2830" t="n">
        <v>2</v>
      </c>
      <c r="U2830" t="inlineStr">
        <is>
          <t>1994-04-02</t>
        </is>
      </c>
      <c r="V2830" t="inlineStr">
        <is>
          <t>1994-04-02</t>
        </is>
      </c>
      <c r="W2830" t="inlineStr">
        <is>
          <t>1990-03-02</t>
        </is>
      </c>
      <c r="X2830" t="inlineStr">
        <is>
          <t>1990-03-02</t>
        </is>
      </c>
      <c r="Y2830" t="n">
        <v>530</v>
      </c>
      <c r="Z2830" t="n">
        <v>477</v>
      </c>
      <c r="AA2830" t="n">
        <v>485</v>
      </c>
      <c r="AB2830" t="n">
        <v>4</v>
      </c>
      <c r="AC2830" t="n">
        <v>4</v>
      </c>
      <c r="AD2830" t="n">
        <v>22</v>
      </c>
      <c r="AE2830" t="n">
        <v>22</v>
      </c>
      <c r="AF2830" t="n">
        <v>6</v>
      </c>
      <c r="AG2830" t="n">
        <v>6</v>
      </c>
      <c r="AH2830" t="n">
        <v>6</v>
      </c>
      <c r="AI2830" t="n">
        <v>6</v>
      </c>
      <c r="AJ2830" t="n">
        <v>12</v>
      </c>
      <c r="AK2830" t="n">
        <v>12</v>
      </c>
      <c r="AL2830" t="n">
        <v>3</v>
      </c>
      <c r="AM2830" t="n">
        <v>3</v>
      </c>
      <c r="AN2830" t="n">
        <v>0</v>
      </c>
      <c r="AO2830" t="n">
        <v>0</v>
      </c>
      <c r="AP2830" t="inlineStr">
        <is>
          <t>No</t>
        </is>
      </c>
      <c r="AQ2830" t="inlineStr">
        <is>
          <t>Yes</t>
        </is>
      </c>
      <c r="AR2830">
        <f>HYPERLINK("http://catalog.hathitrust.org/Record/000710565","HathiTrust Record")</f>
        <v/>
      </c>
      <c r="AS2830">
        <f>HYPERLINK("https://creighton-primo.hosted.exlibrisgroup.com/primo-explore/search?tab=default_tab&amp;search_scope=EVERYTHING&amp;vid=01CRU&amp;lang=en_US&amp;offset=0&amp;query=any,contains,991004057939702656","Catalog Record")</f>
        <v/>
      </c>
      <c r="AT2830">
        <f>HYPERLINK("http://www.worldcat.org/oclc/2231559","WorldCat Record")</f>
        <v/>
      </c>
      <c r="AU2830" t="inlineStr">
        <is>
          <t>4488029:eng</t>
        </is>
      </c>
      <c r="AV2830" t="inlineStr">
        <is>
          <t>2231559</t>
        </is>
      </c>
      <c r="AW2830" t="inlineStr">
        <is>
          <t>991004057939702656</t>
        </is>
      </c>
      <c r="AX2830" t="inlineStr">
        <is>
          <t>991004057939702656</t>
        </is>
      </c>
      <c r="AY2830" t="inlineStr">
        <is>
          <t>2254841280002656</t>
        </is>
      </c>
      <c r="AZ2830" t="inlineStr">
        <is>
          <t>BOOK</t>
        </is>
      </c>
      <c r="BB2830" t="inlineStr">
        <is>
          <t>9780877220862</t>
        </is>
      </c>
      <c r="BC2830" t="inlineStr">
        <is>
          <t>32285000074616</t>
        </is>
      </c>
      <c r="BD2830" t="inlineStr">
        <is>
          <t>893506315</t>
        </is>
      </c>
    </row>
    <row r="2831">
      <c r="A2831" t="inlineStr">
        <is>
          <t>No</t>
        </is>
      </c>
      <c r="B2831" t="inlineStr">
        <is>
          <t>BX7676.2 .V34</t>
        </is>
      </c>
      <c r="C2831" t="inlineStr">
        <is>
          <t>0                      BX 7676200V  34</t>
        </is>
      </c>
      <c r="D2831" t="inlineStr">
        <is>
          <t>The social development of English Quakerism, 1655-1755 / by Richard T. Vann.</t>
        </is>
      </c>
      <c r="F2831" t="inlineStr">
        <is>
          <t>No</t>
        </is>
      </c>
      <c r="G2831" t="inlineStr">
        <is>
          <t>1</t>
        </is>
      </c>
      <c r="H2831" t="inlineStr">
        <is>
          <t>No</t>
        </is>
      </c>
      <c r="I2831" t="inlineStr">
        <is>
          <t>No</t>
        </is>
      </c>
      <c r="J2831" t="inlineStr">
        <is>
          <t>0</t>
        </is>
      </c>
      <c r="K2831" t="inlineStr">
        <is>
          <t>Vann, Richard T.</t>
        </is>
      </c>
      <c r="L2831" t="inlineStr">
        <is>
          <t>Cambridge, Mass. : Harvard University Press, 1969.</t>
        </is>
      </c>
      <c r="M2831" t="inlineStr">
        <is>
          <t>1969</t>
        </is>
      </c>
      <c r="O2831" t="inlineStr">
        <is>
          <t>eng</t>
        </is>
      </c>
      <c r="P2831" t="inlineStr">
        <is>
          <t>mau</t>
        </is>
      </c>
      <c r="R2831" t="inlineStr">
        <is>
          <t xml:space="preserve">BX </t>
        </is>
      </c>
      <c r="S2831" t="n">
        <v>1</v>
      </c>
      <c r="T2831" t="n">
        <v>1</v>
      </c>
      <c r="U2831" t="inlineStr">
        <is>
          <t>2006-12-03</t>
        </is>
      </c>
      <c r="V2831" t="inlineStr">
        <is>
          <t>2006-12-03</t>
        </is>
      </c>
      <c r="W2831" t="inlineStr">
        <is>
          <t>1990-03-20</t>
        </is>
      </c>
      <c r="X2831" t="inlineStr">
        <is>
          <t>1990-03-20</t>
        </is>
      </c>
      <c r="Y2831" t="n">
        <v>774</v>
      </c>
      <c r="Z2831" t="n">
        <v>632</v>
      </c>
      <c r="AA2831" t="n">
        <v>643</v>
      </c>
      <c r="AB2831" t="n">
        <v>5</v>
      </c>
      <c r="AC2831" t="n">
        <v>5</v>
      </c>
      <c r="AD2831" t="n">
        <v>26</v>
      </c>
      <c r="AE2831" t="n">
        <v>26</v>
      </c>
      <c r="AF2831" t="n">
        <v>3</v>
      </c>
      <c r="AG2831" t="n">
        <v>3</v>
      </c>
      <c r="AH2831" t="n">
        <v>6</v>
      </c>
      <c r="AI2831" t="n">
        <v>6</v>
      </c>
      <c r="AJ2831" t="n">
        <v>17</v>
      </c>
      <c r="AK2831" t="n">
        <v>17</v>
      </c>
      <c r="AL2831" t="n">
        <v>4</v>
      </c>
      <c r="AM2831" t="n">
        <v>4</v>
      </c>
      <c r="AN2831" t="n">
        <v>0</v>
      </c>
      <c r="AO2831" t="n">
        <v>0</v>
      </c>
      <c r="AP2831" t="inlineStr">
        <is>
          <t>No</t>
        </is>
      </c>
      <c r="AQ2831" t="inlineStr">
        <is>
          <t>Yes</t>
        </is>
      </c>
      <c r="AR2831">
        <f>HYPERLINK("http://catalog.hathitrust.org/Record/001593640","HathiTrust Record")</f>
        <v/>
      </c>
      <c r="AS2831">
        <f>HYPERLINK("https://creighton-primo.hosted.exlibrisgroup.com/primo-explore/search?tab=default_tab&amp;search_scope=EVERYTHING&amp;vid=01CRU&amp;lang=en_US&amp;offset=0&amp;query=any,contains,991000519049702656","Catalog Record")</f>
        <v/>
      </c>
      <c r="AT2831">
        <f>HYPERLINK("http://www.worldcat.org/oclc/87371","WorldCat Record")</f>
        <v/>
      </c>
      <c r="AU2831" t="inlineStr">
        <is>
          <t>1285762:eng</t>
        </is>
      </c>
      <c r="AV2831" t="inlineStr">
        <is>
          <t>87371</t>
        </is>
      </c>
      <c r="AW2831" t="inlineStr">
        <is>
          <t>991000519049702656</t>
        </is>
      </c>
      <c r="AX2831" t="inlineStr">
        <is>
          <t>991000519049702656</t>
        </is>
      </c>
      <c r="AY2831" t="inlineStr">
        <is>
          <t>2270911320002656</t>
        </is>
      </c>
      <c r="AZ2831" t="inlineStr">
        <is>
          <t>BOOK</t>
        </is>
      </c>
      <c r="BB2831" t="inlineStr">
        <is>
          <t>9780674812901</t>
        </is>
      </c>
      <c r="BC2831" t="inlineStr">
        <is>
          <t>32285000087485</t>
        </is>
      </c>
      <c r="BD2831" t="inlineStr">
        <is>
          <t>893502552</t>
        </is>
      </c>
    </row>
    <row r="2832">
      <c r="A2832" t="inlineStr">
        <is>
          <t>No</t>
        </is>
      </c>
      <c r="B2832" t="inlineStr">
        <is>
          <t>BX7748.C48 H6 1972</t>
        </is>
      </c>
      <c r="C2832" t="inlineStr">
        <is>
          <t>0                      BX 7748000C  48                 H  6           1972</t>
        </is>
      </c>
      <c r="D2832" t="inlineStr">
        <is>
          <t>Children &amp; Quakerism : a study of the place of children in the theory and practice of the Society of Friends, commonly called Quakers / by Walter Joseph Homan.</t>
        </is>
      </c>
      <c r="F2832" t="inlineStr">
        <is>
          <t>No</t>
        </is>
      </c>
      <c r="G2832" t="inlineStr">
        <is>
          <t>1</t>
        </is>
      </c>
      <c r="H2832" t="inlineStr">
        <is>
          <t>No</t>
        </is>
      </c>
      <c r="I2832" t="inlineStr">
        <is>
          <t>No</t>
        </is>
      </c>
      <c r="J2832" t="inlineStr">
        <is>
          <t>0</t>
        </is>
      </c>
      <c r="K2832" t="inlineStr">
        <is>
          <t>Homan, Walter J.</t>
        </is>
      </c>
      <c r="L2832" t="inlineStr">
        <is>
          <t>New Yorkz: Arno Press, 1972.</t>
        </is>
      </c>
      <c r="M2832" t="inlineStr">
        <is>
          <t>1972</t>
        </is>
      </c>
      <c r="O2832" t="inlineStr">
        <is>
          <t>eng</t>
        </is>
      </c>
      <c r="P2832" t="inlineStr">
        <is>
          <t>nyu</t>
        </is>
      </c>
      <c r="Q2832" t="inlineStr">
        <is>
          <t>Family in America</t>
        </is>
      </c>
      <c r="R2832" t="inlineStr">
        <is>
          <t xml:space="preserve">BX </t>
        </is>
      </c>
      <c r="S2832" t="n">
        <v>8</v>
      </c>
      <c r="T2832" t="n">
        <v>8</v>
      </c>
      <c r="U2832" t="inlineStr">
        <is>
          <t>1995-03-30</t>
        </is>
      </c>
      <c r="V2832" t="inlineStr">
        <is>
          <t>1995-03-30</t>
        </is>
      </c>
      <c r="W2832" t="inlineStr">
        <is>
          <t>1990-02-08</t>
        </is>
      </c>
      <c r="X2832" t="inlineStr">
        <is>
          <t>1990-02-08</t>
        </is>
      </c>
      <c r="Y2832" t="n">
        <v>222</v>
      </c>
      <c r="Z2832" t="n">
        <v>203</v>
      </c>
      <c r="AA2832" t="n">
        <v>248</v>
      </c>
      <c r="AB2832" t="n">
        <v>4</v>
      </c>
      <c r="AC2832" t="n">
        <v>4</v>
      </c>
      <c r="AD2832" t="n">
        <v>6</v>
      </c>
      <c r="AE2832" t="n">
        <v>9</v>
      </c>
      <c r="AF2832" t="n">
        <v>0</v>
      </c>
      <c r="AG2832" t="n">
        <v>2</v>
      </c>
      <c r="AH2832" t="n">
        <v>2</v>
      </c>
      <c r="AI2832" t="n">
        <v>2</v>
      </c>
      <c r="AJ2832" t="n">
        <v>3</v>
      </c>
      <c r="AK2832" t="n">
        <v>5</v>
      </c>
      <c r="AL2832" t="n">
        <v>2</v>
      </c>
      <c r="AM2832" t="n">
        <v>2</v>
      </c>
      <c r="AN2832" t="n">
        <v>0</v>
      </c>
      <c r="AO2832" t="n">
        <v>0</v>
      </c>
      <c r="AP2832" t="inlineStr">
        <is>
          <t>No</t>
        </is>
      </c>
      <c r="AQ2832" t="inlineStr">
        <is>
          <t>Yes</t>
        </is>
      </c>
      <c r="AR2832">
        <f>HYPERLINK("http://catalog.hathitrust.org/Record/001593676","HathiTrust Record")</f>
        <v/>
      </c>
      <c r="AS2832">
        <f>HYPERLINK("https://creighton-primo.hosted.exlibrisgroup.com/primo-explore/search?tab=default_tab&amp;search_scope=EVERYTHING&amp;vid=01CRU&amp;lang=en_US&amp;offset=0&amp;query=any,contains,991002494739702656","Catalog Record")</f>
        <v/>
      </c>
      <c r="AT2832">
        <f>HYPERLINK("http://www.worldcat.org/oclc/363453","WorldCat Record")</f>
        <v/>
      </c>
      <c r="AU2832" t="inlineStr">
        <is>
          <t>1419235:eng</t>
        </is>
      </c>
      <c r="AV2832" t="inlineStr">
        <is>
          <t>363453</t>
        </is>
      </c>
      <c r="AW2832" t="inlineStr">
        <is>
          <t>991002494739702656</t>
        </is>
      </c>
      <c r="AX2832" t="inlineStr">
        <is>
          <t>991002494739702656</t>
        </is>
      </c>
      <c r="AY2832" t="inlineStr">
        <is>
          <t>2264009020002656</t>
        </is>
      </c>
      <c r="AZ2832" t="inlineStr">
        <is>
          <t>BOOK</t>
        </is>
      </c>
      <c r="BB2832" t="inlineStr">
        <is>
          <t>9780405038648</t>
        </is>
      </c>
      <c r="BC2832" t="inlineStr">
        <is>
          <t>32285000007921</t>
        </is>
      </c>
      <c r="BD2832" t="inlineStr">
        <is>
          <t>893710359</t>
        </is>
      </c>
    </row>
    <row r="2833">
      <c r="A2833" t="inlineStr">
        <is>
          <t>No</t>
        </is>
      </c>
      <c r="B2833" t="inlineStr">
        <is>
          <t>BX7748.C5 W54</t>
        </is>
      </c>
      <c r="C2833" t="inlineStr">
        <is>
          <t>0                      BX 7748000C  5                  W  54</t>
        </is>
      </c>
      <c r="D2833" t="inlineStr">
        <is>
          <t>Uphill for peace : Quaker impact on Congress / by E. Raymond Wilson.</t>
        </is>
      </c>
      <c r="F2833" t="inlineStr">
        <is>
          <t>No</t>
        </is>
      </c>
      <c r="G2833" t="inlineStr">
        <is>
          <t>1</t>
        </is>
      </c>
      <c r="H2833" t="inlineStr">
        <is>
          <t>No</t>
        </is>
      </c>
      <c r="I2833" t="inlineStr">
        <is>
          <t>No</t>
        </is>
      </c>
      <c r="J2833" t="inlineStr">
        <is>
          <t>0</t>
        </is>
      </c>
      <c r="K2833" t="inlineStr">
        <is>
          <t>Wilson, E. Raymond (Edward Raymond), 1896-1987.</t>
        </is>
      </c>
      <c r="L2833" t="inlineStr">
        <is>
          <t>Richmond, Ind. : Friends United Press, [1975]</t>
        </is>
      </c>
      <c r="M2833" t="inlineStr">
        <is>
          <t>1975</t>
        </is>
      </c>
      <c r="O2833" t="inlineStr">
        <is>
          <t>eng</t>
        </is>
      </c>
      <c r="P2833" t="inlineStr">
        <is>
          <t>inu</t>
        </is>
      </c>
      <c r="R2833" t="inlineStr">
        <is>
          <t xml:space="preserve">BX </t>
        </is>
      </c>
      <c r="S2833" t="n">
        <v>3</v>
      </c>
      <c r="T2833" t="n">
        <v>3</v>
      </c>
      <c r="U2833" t="inlineStr">
        <is>
          <t>1995-01-11</t>
        </is>
      </c>
      <c r="V2833" t="inlineStr">
        <is>
          <t>1995-01-11</t>
        </is>
      </c>
      <c r="W2833" t="inlineStr">
        <is>
          <t>1992-05-19</t>
        </is>
      </c>
      <c r="X2833" t="inlineStr">
        <is>
          <t>1992-05-19</t>
        </is>
      </c>
      <c r="Y2833" t="n">
        <v>412</v>
      </c>
      <c r="Z2833" t="n">
        <v>385</v>
      </c>
      <c r="AA2833" t="n">
        <v>386</v>
      </c>
      <c r="AB2833" t="n">
        <v>3</v>
      </c>
      <c r="AC2833" t="n">
        <v>3</v>
      </c>
      <c r="AD2833" t="n">
        <v>12</v>
      </c>
      <c r="AE2833" t="n">
        <v>12</v>
      </c>
      <c r="AF2833" t="n">
        <v>3</v>
      </c>
      <c r="AG2833" t="n">
        <v>3</v>
      </c>
      <c r="AH2833" t="n">
        <v>5</v>
      </c>
      <c r="AI2833" t="n">
        <v>5</v>
      </c>
      <c r="AJ2833" t="n">
        <v>6</v>
      </c>
      <c r="AK2833" t="n">
        <v>6</v>
      </c>
      <c r="AL2833" t="n">
        <v>2</v>
      </c>
      <c r="AM2833" t="n">
        <v>2</v>
      </c>
      <c r="AN2833" t="n">
        <v>0</v>
      </c>
      <c r="AO2833" t="n">
        <v>0</v>
      </c>
      <c r="AP2833" t="inlineStr">
        <is>
          <t>No</t>
        </is>
      </c>
      <c r="AQ2833" t="inlineStr">
        <is>
          <t>No</t>
        </is>
      </c>
      <c r="AS2833">
        <f>HYPERLINK("https://creighton-primo.hosted.exlibrisgroup.com/primo-explore/search?tab=default_tab&amp;search_scope=EVERYTHING&amp;vid=01CRU&amp;lang=en_US&amp;offset=0&amp;query=any,contains,991003588479702656","Catalog Record")</f>
        <v/>
      </c>
      <c r="AT2833">
        <f>HYPERLINK("http://www.worldcat.org/oclc/1169862","WorldCat Record")</f>
        <v/>
      </c>
      <c r="AU2833" t="inlineStr">
        <is>
          <t>2109991:eng</t>
        </is>
      </c>
      <c r="AV2833" t="inlineStr">
        <is>
          <t>1169862</t>
        </is>
      </c>
      <c r="AW2833" t="inlineStr">
        <is>
          <t>991003588479702656</t>
        </is>
      </c>
      <c r="AX2833" t="inlineStr">
        <is>
          <t>991003588479702656</t>
        </is>
      </c>
      <c r="AY2833" t="inlineStr">
        <is>
          <t>2266659130002656</t>
        </is>
      </c>
      <c r="AZ2833" t="inlineStr">
        <is>
          <t>BOOK</t>
        </is>
      </c>
      <c r="BB2833" t="inlineStr">
        <is>
          <t>9780913408162</t>
        </is>
      </c>
      <c r="BC2833" t="inlineStr">
        <is>
          <t>32285001123974</t>
        </is>
      </c>
      <c r="BD2833" t="inlineStr">
        <is>
          <t>893512121</t>
        </is>
      </c>
    </row>
    <row r="2834">
      <c r="A2834" t="inlineStr">
        <is>
          <t>No</t>
        </is>
      </c>
      <c r="B2834" t="inlineStr">
        <is>
          <t>BX7748.W2 B73 1990</t>
        </is>
      </c>
      <c r="C2834" t="inlineStr">
        <is>
          <t>0                      BX 7748000W  2                  B  73          1990</t>
        </is>
      </c>
      <c r="D2834" t="inlineStr">
        <is>
          <t>The Quaker peace testimony 1660 to 1914 / by Peter Brock.</t>
        </is>
      </c>
      <c r="F2834" t="inlineStr">
        <is>
          <t>No</t>
        </is>
      </c>
      <c r="G2834" t="inlineStr">
        <is>
          <t>1</t>
        </is>
      </c>
      <c r="H2834" t="inlineStr">
        <is>
          <t>No</t>
        </is>
      </c>
      <c r="I2834" t="inlineStr">
        <is>
          <t>No</t>
        </is>
      </c>
      <c r="J2834" t="inlineStr">
        <is>
          <t>0</t>
        </is>
      </c>
      <c r="K2834" t="inlineStr">
        <is>
          <t>Brock, Peter, 1920-2006.</t>
        </is>
      </c>
      <c r="L2834" t="inlineStr">
        <is>
          <t>York, England : Sessions Book Trust ; Syracuse, N.Y., USA : North American distributors, Syracuse University Press, 1990.</t>
        </is>
      </c>
      <c r="M2834" t="inlineStr">
        <is>
          <t>1990</t>
        </is>
      </c>
      <c r="O2834" t="inlineStr">
        <is>
          <t>eng</t>
        </is>
      </c>
      <c r="P2834" t="inlineStr">
        <is>
          <t>enk</t>
        </is>
      </c>
      <c r="R2834" t="inlineStr">
        <is>
          <t xml:space="preserve">BX </t>
        </is>
      </c>
      <c r="S2834" t="n">
        <v>8</v>
      </c>
      <c r="T2834" t="n">
        <v>8</v>
      </c>
      <c r="U2834" t="inlineStr">
        <is>
          <t>2010-04-28</t>
        </is>
      </c>
      <c r="V2834" t="inlineStr">
        <is>
          <t>2010-04-28</t>
        </is>
      </c>
      <c r="W2834" t="inlineStr">
        <is>
          <t>1991-10-16</t>
        </is>
      </c>
      <c r="X2834" t="inlineStr">
        <is>
          <t>1991-10-16</t>
        </is>
      </c>
      <c r="Y2834" t="n">
        <v>408</v>
      </c>
      <c r="Z2834" t="n">
        <v>349</v>
      </c>
      <c r="AA2834" t="n">
        <v>363</v>
      </c>
      <c r="AB2834" t="n">
        <v>2</v>
      </c>
      <c r="AC2834" t="n">
        <v>2</v>
      </c>
      <c r="AD2834" t="n">
        <v>18</v>
      </c>
      <c r="AE2834" t="n">
        <v>18</v>
      </c>
      <c r="AF2834" t="n">
        <v>6</v>
      </c>
      <c r="AG2834" t="n">
        <v>6</v>
      </c>
      <c r="AH2834" t="n">
        <v>6</v>
      </c>
      <c r="AI2834" t="n">
        <v>6</v>
      </c>
      <c r="AJ2834" t="n">
        <v>11</v>
      </c>
      <c r="AK2834" t="n">
        <v>11</v>
      </c>
      <c r="AL2834" t="n">
        <v>1</v>
      </c>
      <c r="AM2834" t="n">
        <v>1</v>
      </c>
      <c r="AN2834" t="n">
        <v>0</v>
      </c>
      <c r="AO2834" t="n">
        <v>0</v>
      </c>
      <c r="AP2834" t="inlineStr">
        <is>
          <t>No</t>
        </is>
      </c>
      <c r="AQ2834" t="inlineStr">
        <is>
          <t>Yes</t>
        </is>
      </c>
      <c r="AR2834">
        <f>HYPERLINK("http://catalog.hathitrust.org/Record/002229824","HathiTrust Record")</f>
        <v/>
      </c>
      <c r="AS2834">
        <f>HYPERLINK("https://creighton-primo.hosted.exlibrisgroup.com/primo-explore/search?tab=default_tab&amp;search_scope=EVERYTHING&amp;vid=01CRU&amp;lang=en_US&amp;offset=0&amp;query=any,contains,991001836749702656","Catalog Record")</f>
        <v/>
      </c>
      <c r="AT2834">
        <f>HYPERLINK("http://www.worldcat.org/oclc/23079592","WorldCat Record")</f>
        <v/>
      </c>
      <c r="AU2834" t="inlineStr">
        <is>
          <t>24461455:eng</t>
        </is>
      </c>
      <c r="AV2834" t="inlineStr">
        <is>
          <t>23079592</t>
        </is>
      </c>
      <c r="AW2834" t="inlineStr">
        <is>
          <t>991001836749702656</t>
        </is>
      </c>
      <c r="AX2834" t="inlineStr">
        <is>
          <t>991001836749702656</t>
        </is>
      </c>
      <c r="AY2834" t="inlineStr">
        <is>
          <t>2260354950002656</t>
        </is>
      </c>
      <c r="AZ2834" t="inlineStr">
        <is>
          <t>BOOK</t>
        </is>
      </c>
      <c r="BB2834" t="inlineStr">
        <is>
          <t>9781850720744</t>
        </is>
      </c>
      <c r="BC2834" t="inlineStr">
        <is>
          <t>32285000726280</t>
        </is>
      </c>
      <c r="BD2834" t="inlineStr">
        <is>
          <t>893715762</t>
        </is>
      </c>
    </row>
    <row r="2835">
      <c r="A2835" t="inlineStr">
        <is>
          <t>No</t>
        </is>
      </c>
      <c r="B2835" t="inlineStr">
        <is>
          <t>BX7748.W64 B33 1986</t>
        </is>
      </c>
      <c r="C2835" t="inlineStr">
        <is>
          <t>0                      BX 7748000W  64                 B  33          1986</t>
        </is>
      </c>
      <c r="D2835" t="inlineStr">
        <is>
          <t>Mothers of feminism : the story of Quaker women in America / Margaret Hope Bacon.</t>
        </is>
      </c>
      <c r="F2835" t="inlineStr">
        <is>
          <t>No</t>
        </is>
      </c>
      <c r="G2835" t="inlineStr">
        <is>
          <t>1</t>
        </is>
      </c>
      <c r="H2835" t="inlineStr">
        <is>
          <t>No</t>
        </is>
      </c>
      <c r="I2835" t="inlineStr">
        <is>
          <t>No</t>
        </is>
      </c>
      <c r="J2835" t="inlineStr">
        <is>
          <t>0</t>
        </is>
      </c>
      <c r="K2835" t="inlineStr">
        <is>
          <t>Bacon, Margaret Hope.</t>
        </is>
      </c>
      <c r="L2835" t="inlineStr">
        <is>
          <t>San Francisco : Harper &amp; Row, c1986.</t>
        </is>
      </c>
      <c r="M2835" t="inlineStr">
        <is>
          <t>1986</t>
        </is>
      </c>
      <c r="N2835" t="inlineStr">
        <is>
          <t>1st ed.</t>
        </is>
      </c>
      <c r="O2835" t="inlineStr">
        <is>
          <t>eng</t>
        </is>
      </c>
      <c r="P2835" t="inlineStr">
        <is>
          <t>cau</t>
        </is>
      </c>
      <c r="R2835" t="inlineStr">
        <is>
          <t xml:space="preserve">BX </t>
        </is>
      </c>
      <c r="S2835" t="n">
        <v>2</v>
      </c>
      <c r="T2835" t="n">
        <v>2</v>
      </c>
      <c r="U2835" t="inlineStr">
        <is>
          <t>2010-11-29</t>
        </is>
      </c>
      <c r="V2835" t="inlineStr">
        <is>
          <t>2010-11-29</t>
        </is>
      </c>
      <c r="W2835" t="inlineStr">
        <is>
          <t>1998-09-21</t>
        </is>
      </c>
      <c r="X2835" t="inlineStr">
        <is>
          <t>1998-09-21</t>
        </is>
      </c>
      <c r="Y2835" t="n">
        <v>1164</v>
      </c>
      <c r="Z2835" t="n">
        <v>1069</v>
      </c>
      <c r="AA2835" t="n">
        <v>1124</v>
      </c>
      <c r="AB2835" t="n">
        <v>5</v>
      </c>
      <c r="AC2835" t="n">
        <v>5</v>
      </c>
      <c r="AD2835" t="n">
        <v>30</v>
      </c>
      <c r="AE2835" t="n">
        <v>30</v>
      </c>
      <c r="AF2835" t="n">
        <v>12</v>
      </c>
      <c r="AG2835" t="n">
        <v>12</v>
      </c>
      <c r="AH2835" t="n">
        <v>6</v>
      </c>
      <c r="AI2835" t="n">
        <v>6</v>
      </c>
      <c r="AJ2835" t="n">
        <v>16</v>
      </c>
      <c r="AK2835" t="n">
        <v>16</v>
      </c>
      <c r="AL2835" t="n">
        <v>3</v>
      </c>
      <c r="AM2835" t="n">
        <v>3</v>
      </c>
      <c r="AN2835" t="n">
        <v>0</v>
      </c>
      <c r="AO2835" t="n">
        <v>0</v>
      </c>
      <c r="AP2835" t="inlineStr">
        <is>
          <t>No</t>
        </is>
      </c>
      <c r="AQ2835" t="inlineStr">
        <is>
          <t>Yes</t>
        </is>
      </c>
      <c r="AR2835">
        <f>HYPERLINK("http://catalog.hathitrust.org/Record/000480814","HathiTrust Record")</f>
        <v/>
      </c>
      <c r="AS2835">
        <f>HYPERLINK("https://creighton-primo.hosted.exlibrisgroup.com/primo-explore/search?tab=default_tab&amp;search_scope=EVERYTHING&amp;vid=01CRU&amp;lang=en_US&amp;offset=0&amp;query=any,contains,991000826859702656","Catalog Record")</f>
        <v/>
      </c>
      <c r="AT2835">
        <f>HYPERLINK("http://www.worldcat.org/oclc/13423886","WorldCat Record")</f>
        <v/>
      </c>
      <c r="AU2835" t="inlineStr">
        <is>
          <t>7255023:eng</t>
        </is>
      </c>
      <c r="AV2835" t="inlineStr">
        <is>
          <t>13423886</t>
        </is>
      </c>
      <c r="AW2835" t="inlineStr">
        <is>
          <t>991000826859702656</t>
        </is>
      </c>
      <c r="AX2835" t="inlineStr">
        <is>
          <t>991000826859702656</t>
        </is>
      </c>
      <c r="AY2835" t="inlineStr">
        <is>
          <t>2266013250002656</t>
        </is>
      </c>
      <c r="AZ2835" t="inlineStr">
        <is>
          <t>BOOK</t>
        </is>
      </c>
      <c r="BB2835" t="inlineStr">
        <is>
          <t>9780062500434</t>
        </is>
      </c>
      <c r="BC2835" t="inlineStr">
        <is>
          <t>32285003469680</t>
        </is>
      </c>
      <c r="BD2835" t="inlineStr">
        <is>
          <t>893872044</t>
        </is>
      </c>
    </row>
    <row r="2836">
      <c r="A2836" t="inlineStr">
        <is>
          <t>No</t>
        </is>
      </c>
      <c r="B2836" t="inlineStr">
        <is>
          <t>BX7795.W7 A3 1971b</t>
        </is>
      </c>
      <c r="C2836" t="inlineStr">
        <is>
          <t>0                      BX 7795000W  7                  A  3           1971b</t>
        </is>
      </c>
      <c r="D2836" t="inlineStr">
        <is>
          <t>The journal and major essays of John Woolman / edited by Phillips P. Moulton.</t>
        </is>
      </c>
      <c r="F2836" t="inlineStr">
        <is>
          <t>No</t>
        </is>
      </c>
      <c r="G2836" t="inlineStr">
        <is>
          <t>1</t>
        </is>
      </c>
      <c r="H2836" t="inlineStr">
        <is>
          <t>No</t>
        </is>
      </c>
      <c r="I2836" t="inlineStr">
        <is>
          <t>No</t>
        </is>
      </c>
      <c r="J2836" t="inlineStr">
        <is>
          <t>0</t>
        </is>
      </c>
      <c r="K2836" t="inlineStr">
        <is>
          <t>Woolman, John, 1720-1772.</t>
        </is>
      </c>
      <c r="L2836" t="inlineStr">
        <is>
          <t>New York : Oxford University Press, 1971.</t>
        </is>
      </c>
      <c r="M2836" t="inlineStr">
        <is>
          <t>1971</t>
        </is>
      </c>
      <c r="O2836" t="inlineStr">
        <is>
          <t>eng</t>
        </is>
      </c>
      <c r="P2836" t="inlineStr">
        <is>
          <t>nyu</t>
        </is>
      </c>
      <c r="Q2836" t="inlineStr">
        <is>
          <t>A Library of Protestant thought</t>
        </is>
      </c>
      <c r="R2836" t="inlineStr">
        <is>
          <t xml:space="preserve">BX </t>
        </is>
      </c>
      <c r="S2836" t="n">
        <v>5</v>
      </c>
      <c r="T2836" t="n">
        <v>5</v>
      </c>
      <c r="U2836" t="inlineStr">
        <is>
          <t>1996-09-24</t>
        </is>
      </c>
      <c r="V2836" t="inlineStr">
        <is>
          <t>1996-09-24</t>
        </is>
      </c>
      <c r="W2836" t="inlineStr">
        <is>
          <t>1992-05-19</t>
        </is>
      </c>
      <c r="X2836" t="inlineStr">
        <is>
          <t>1992-05-19</t>
        </is>
      </c>
      <c r="Y2836" t="n">
        <v>722</v>
      </c>
      <c r="Z2836" t="n">
        <v>645</v>
      </c>
      <c r="AA2836" t="n">
        <v>723</v>
      </c>
      <c r="AB2836" t="n">
        <v>6</v>
      </c>
      <c r="AC2836" t="n">
        <v>6</v>
      </c>
      <c r="AD2836" t="n">
        <v>30</v>
      </c>
      <c r="AE2836" t="n">
        <v>35</v>
      </c>
      <c r="AF2836" t="n">
        <v>11</v>
      </c>
      <c r="AG2836" t="n">
        <v>15</v>
      </c>
      <c r="AH2836" t="n">
        <v>9</v>
      </c>
      <c r="AI2836" t="n">
        <v>9</v>
      </c>
      <c r="AJ2836" t="n">
        <v>16</v>
      </c>
      <c r="AK2836" t="n">
        <v>18</v>
      </c>
      <c r="AL2836" t="n">
        <v>4</v>
      </c>
      <c r="AM2836" t="n">
        <v>4</v>
      </c>
      <c r="AN2836" t="n">
        <v>0</v>
      </c>
      <c r="AO2836" t="n">
        <v>0</v>
      </c>
      <c r="AP2836" t="inlineStr">
        <is>
          <t>No</t>
        </is>
      </c>
      <c r="AQ2836" t="inlineStr">
        <is>
          <t>Yes</t>
        </is>
      </c>
      <c r="AR2836">
        <f>HYPERLINK("http://catalog.hathitrust.org/Record/001960651","HathiTrust Record")</f>
        <v/>
      </c>
      <c r="AS2836">
        <f>HYPERLINK("https://creighton-primo.hosted.exlibrisgroup.com/primo-explore/search?tab=default_tab&amp;search_scope=EVERYTHING&amp;vid=01CRU&amp;lang=en_US&amp;offset=0&amp;query=any,contains,991001178919702656","Catalog Record")</f>
        <v/>
      </c>
      <c r="AT2836">
        <f>HYPERLINK("http://www.worldcat.org/oclc/189524","WorldCat Record")</f>
        <v/>
      </c>
      <c r="AU2836" t="inlineStr">
        <is>
          <t>3901306581:eng</t>
        </is>
      </c>
      <c r="AV2836" t="inlineStr">
        <is>
          <t>189524</t>
        </is>
      </c>
      <c r="AW2836" t="inlineStr">
        <is>
          <t>991001178919702656</t>
        </is>
      </c>
      <c r="AX2836" t="inlineStr">
        <is>
          <t>991001178919702656</t>
        </is>
      </c>
      <c r="AY2836" t="inlineStr">
        <is>
          <t>2268113710002656</t>
        </is>
      </c>
      <c r="AZ2836" t="inlineStr">
        <is>
          <t>BOOK</t>
        </is>
      </c>
      <c r="BC2836" t="inlineStr">
        <is>
          <t>32285001123982</t>
        </is>
      </c>
      <c r="BD2836" t="inlineStr">
        <is>
          <t>893522361</t>
        </is>
      </c>
    </row>
    <row r="2837">
      <c r="A2837" t="inlineStr">
        <is>
          <t>No</t>
        </is>
      </c>
      <c r="B2837" t="inlineStr">
        <is>
          <t>BX7990.H6 C68 1996</t>
        </is>
      </c>
      <c r="C2837" t="inlineStr">
        <is>
          <t>0                      BX 7990000H  6                  C  68          1996</t>
        </is>
      </c>
      <c r="D2837" t="inlineStr">
        <is>
          <t>Salvation on Sand Mountain : snake handling and redemption in southern Appalachia / Dennis Covington.</t>
        </is>
      </c>
      <c r="F2837" t="inlineStr">
        <is>
          <t>No</t>
        </is>
      </c>
      <c r="G2837" t="inlineStr">
        <is>
          <t>1</t>
        </is>
      </c>
      <c r="H2837" t="inlineStr">
        <is>
          <t>No</t>
        </is>
      </c>
      <c r="I2837" t="inlineStr">
        <is>
          <t>No</t>
        </is>
      </c>
      <c r="J2837" t="inlineStr">
        <is>
          <t>0</t>
        </is>
      </c>
      <c r="K2837" t="inlineStr">
        <is>
          <t>Covington, Dennis.</t>
        </is>
      </c>
      <c r="L2837" t="inlineStr">
        <is>
          <t>New York : Penguin, 1996, c1995.</t>
        </is>
      </c>
      <c r="M2837" t="inlineStr">
        <is>
          <t>1996</t>
        </is>
      </c>
      <c r="O2837" t="inlineStr">
        <is>
          <t>eng</t>
        </is>
      </c>
      <c r="P2837" t="inlineStr">
        <is>
          <t>nyu</t>
        </is>
      </c>
      <c r="R2837" t="inlineStr">
        <is>
          <t xml:space="preserve">BX </t>
        </is>
      </c>
      <c r="S2837" t="n">
        <v>3</v>
      </c>
      <c r="T2837" t="n">
        <v>3</v>
      </c>
      <c r="U2837" t="inlineStr">
        <is>
          <t>2006-05-04</t>
        </is>
      </c>
      <c r="V2837" t="inlineStr">
        <is>
          <t>2006-05-04</t>
        </is>
      </c>
      <c r="W2837" t="inlineStr">
        <is>
          <t>2006-04-19</t>
        </is>
      </c>
      <c r="X2837" t="inlineStr">
        <is>
          <t>2006-04-19</t>
        </is>
      </c>
      <c r="Y2837" t="n">
        <v>323</v>
      </c>
      <c r="Z2837" t="n">
        <v>310</v>
      </c>
      <c r="AA2837" t="n">
        <v>1468</v>
      </c>
      <c r="AB2837" t="n">
        <v>4</v>
      </c>
      <c r="AC2837" t="n">
        <v>12</v>
      </c>
      <c r="AD2837" t="n">
        <v>7</v>
      </c>
      <c r="AE2837" t="n">
        <v>40</v>
      </c>
      <c r="AF2837" t="n">
        <v>3</v>
      </c>
      <c r="AG2837" t="n">
        <v>14</v>
      </c>
      <c r="AH2837" t="n">
        <v>0</v>
      </c>
      <c r="AI2837" t="n">
        <v>6</v>
      </c>
      <c r="AJ2837" t="n">
        <v>2</v>
      </c>
      <c r="AK2837" t="n">
        <v>19</v>
      </c>
      <c r="AL2837" t="n">
        <v>3</v>
      </c>
      <c r="AM2837" t="n">
        <v>8</v>
      </c>
      <c r="AN2837" t="n">
        <v>0</v>
      </c>
      <c r="AO2837" t="n">
        <v>1</v>
      </c>
      <c r="AP2837" t="inlineStr">
        <is>
          <t>No</t>
        </is>
      </c>
      <c r="AQ2837" t="inlineStr">
        <is>
          <t>No</t>
        </is>
      </c>
      <c r="AS2837">
        <f>HYPERLINK("https://creighton-primo.hosted.exlibrisgroup.com/primo-explore/search?tab=default_tab&amp;search_scope=EVERYTHING&amp;vid=01CRU&amp;lang=en_US&amp;offset=0&amp;query=any,contains,991004783099702656","Catalog Record")</f>
        <v/>
      </c>
      <c r="AT2837">
        <f>HYPERLINK("http://www.worldcat.org/oclc/34404117","WorldCat Record")</f>
        <v/>
      </c>
      <c r="AU2837" t="inlineStr">
        <is>
          <t>33392878:eng</t>
        </is>
      </c>
      <c r="AV2837" t="inlineStr">
        <is>
          <t>34404117</t>
        </is>
      </c>
      <c r="AW2837" t="inlineStr">
        <is>
          <t>991004783099702656</t>
        </is>
      </c>
      <c r="AX2837" t="inlineStr">
        <is>
          <t>991004783099702656</t>
        </is>
      </c>
      <c r="AY2837" t="inlineStr">
        <is>
          <t>2258722130002656</t>
        </is>
      </c>
      <c r="AZ2837" t="inlineStr">
        <is>
          <t>BOOK</t>
        </is>
      </c>
      <c r="BB2837" t="inlineStr">
        <is>
          <t>9780140254587</t>
        </is>
      </c>
      <c r="BC2837" t="inlineStr">
        <is>
          <t>32285005064554</t>
        </is>
      </c>
      <c r="BD2837" t="inlineStr">
        <is>
          <t>893436751</t>
        </is>
      </c>
    </row>
    <row r="2838">
      <c r="A2838" t="inlineStr">
        <is>
          <t>No</t>
        </is>
      </c>
      <c r="B2838" t="inlineStr">
        <is>
          <t>BX8.2 .B36 1964a</t>
        </is>
      </c>
      <c r="C2838" t="inlineStr">
        <is>
          <t>0                      BX 0008200B  36          1964a</t>
        </is>
      </c>
      <c r="D2838" t="inlineStr">
        <is>
          <t>Unity in freedom : reflections on the human family / Cardinal Augustin Bea.</t>
        </is>
      </c>
      <c r="F2838" t="inlineStr">
        <is>
          <t>No</t>
        </is>
      </c>
      <c r="G2838" t="inlineStr">
        <is>
          <t>1</t>
        </is>
      </c>
      <c r="H2838" t="inlineStr">
        <is>
          <t>No</t>
        </is>
      </c>
      <c r="I2838" t="inlineStr">
        <is>
          <t>No</t>
        </is>
      </c>
      <c r="J2838" t="inlineStr">
        <is>
          <t>0</t>
        </is>
      </c>
      <c r="K2838" t="inlineStr">
        <is>
          <t>Bea, Augustin, 1881-1968.</t>
        </is>
      </c>
      <c r="L2838" t="inlineStr">
        <is>
          <t>London : Routledge and K. Paul, [1964]</t>
        </is>
      </c>
      <c r="M2838" t="inlineStr">
        <is>
          <t>1964</t>
        </is>
      </c>
      <c r="O2838" t="inlineStr">
        <is>
          <t>eng</t>
        </is>
      </c>
      <c r="P2838" t="inlineStr">
        <is>
          <t xml:space="preserve">en </t>
        </is>
      </c>
      <c r="Q2838" t="inlineStr">
        <is>
          <t>Religious perspectives ; v. 11</t>
        </is>
      </c>
      <c r="R2838" t="inlineStr">
        <is>
          <t xml:space="preserve">BX </t>
        </is>
      </c>
      <c r="S2838" t="n">
        <v>1</v>
      </c>
      <c r="T2838" t="n">
        <v>1</v>
      </c>
      <c r="U2838" t="inlineStr">
        <is>
          <t>1993-03-23</t>
        </is>
      </c>
      <c r="V2838" t="inlineStr">
        <is>
          <t>1993-03-23</t>
        </is>
      </c>
      <c r="W2838" t="inlineStr">
        <is>
          <t>1992-03-23</t>
        </is>
      </c>
      <c r="X2838" t="inlineStr">
        <is>
          <t>1992-03-23</t>
        </is>
      </c>
      <c r="Y2838" t="n">
        <v>66</v>
      </c>
      <c r="Z2838" t="n">
        <v>28</v>
      </c>
      <c r="AA2838" t="n">
        <v>537</v>
      </c>
      <c r="AB2838" t="n">
        <v>1</v>
      </c>
      <c r="AC2838" t="n">
        <v>3</v>
      </c>
      <c r="AD2838" t="n">
        <v>1</v>
      </c>
      <c r="AE2838" t="n">
        <v>41</v>
      </c>
      <c r="AF2838" t="n">
        <v>0</v>
      </c>
      <c r="AG2838" t="n">
        <v>16</v>
      </c>
      <c r="AH2838" t="n">
        <v>1</v>
      </c>
      <c r="AI2838" t="n">
        <v>10</v>
      </c>
      <c r="AJ2838" t="n">
        <v>1</v>
      </c>
      <c r="AK2838" t="n">
        <v>26</v>
      </c>
      <c r="AL2838" t="n">
        <v>0</v>
      </c>
      <c r="AM2838" t="n">
        <v>2</v>
      </c>
      <c r="AN2838" t="n">
        <v>0</v>
      </c>
      <c r="AO2838" t="n">
        <v>0</v>
      </c>
      <c r="AP2838" t="inlineStr">
        <is>
          <t>No</t>
        </is>
      </c>
      <c r="AQ2838" t="inlineStr">
        <is>
          <t>No</t>
        </is>
      </c>
      <c r="AS2838">
        <f>HYPERLINK("https://creighton-primo.hosted.exlibrisgroup.com/primo-explore/search?tab=default_tab&amp;search_scope=EVERYTHING&amp;vid=01CRU&amp;lang=en_US&amp;offset=0&amp;query=any,contains,991004032339702656","Catalog Record")</f>
        <v/>
      </c>
      <c r="AT2838">
        <f>HYPERLINK("http://www.worldcat.org/oclc/2159421","WorldCat Record")</f>
        <v/>
      </c>
      <c r="AU2838" t="inlineStr">
        <is>
          <t>3768958784:eng</t>
        </is>
      </c>
      <c r="AV2838" t="inlineStr">
        <is>
          <t>2159421</t>
        </is>
      </c>
      <c r="AW2838" t="inlineStr">
        <is>
          <t>991004032339702656</t>
        </is>
      </c>
      <c r="AX2838" t="inlineStr">
        <is>
          <t>991004032339702656</t>
        </is>
      </c>
      <c r="AY2838" t="inlineStr">
        <is>
          <t>2256475150002656</t>
        </is>
      </c>
      <c r="AZ2838" t="inlineStr">
        <is>
          <t>BOOK</t>
        </is>
      </c>
      <c r="BC2838" t="inlineStr">
        <is>
          <t>32285001016871</t>
        </is>
      </c>
      <c r="BD2838" t="inlineStr">
        <is>
          <t>893800511</t>
        </is>
      </c>
    </row>
    <row r="2839">
      <c r="A2839" t="inlineStr">
        <is>
          <t>No</t>
        </is>
      </c>
      <c r="B2839" t="inlineStr">
        <is>
          <t>BX8.2 .C583</t>
        </is>
      </c>
      <c r="C2839" t="inlineStr">
        <is>
          <t>0                      BX 0008200C  583</t>
        </is>
      </c>
      <c r="D2839" t="inlineStr">
        <is>
          <t>Ecumenism and the future of the Church [by] Yves Congar.</t>
        </is>
      </c>
      <c r="F2839" t="inlineStr">
        <is>
          <t>No</t>
        </is>
      </c>
      <c r="G2839" t="inlineStr">
        <is>
          <t>1</t>
        </is>
      </c>
      <c r="H2839" t="inlineStr">
        <is>
          <t>No</t>
        </is>
      </c>
      <c r="I2839" t="inlineStr">
        <is>
          <t>No</t>
        </is>
      </c>
      <c r="J2839" t="inlineStr">
        <is>
          <t>0</t>
        </is>
      </c>
      <c r="K2839" t="inlineStr">
        <is>
          <t>Congar, Yves, 1904-1995.</t>
        </is>
      </c>
      <c r="L2839" t="inlineStr">
        <is>
          <t>Chicago, Priory Press [1967]</t>
        </is>
      </c>
      <c r="M2839" t="inlineStr">
        <is>
          <t>1967</t>
        </is>
      </c>
      <c r="O2839" t="inlineStr">
        <is>
          <t>eng</t>
        </is>
      </c>
      <c r="P2839" t="inlineStr">
        <is>
          <t>ilu</t>
        </is>
      </c>
      <c r="R2839" t="inlineStr">
        <is>
          <t xml:space="preserve">BX </t>
        </is>
      </c>
      <c r="S2839" t="n">
        <v>5</v>
      </c>
      <c r="T2839" t="n">
        <v>5</v>
      </c>
      <c r="U2839" t="inlineStr">
        <is>
          <t>1992-10-26</t>
        </is>
      </c>
      <c r="V2839" t="inlineStr">
        <is>
          <t>1992-10-26</t>
        </is>
      </c>
      <c r="W2839" t="inlineStr">
        <is>
          <t>1992-03-23</t>
        </is>
      </c>
      <c r="X2839" t="inlineStr">
        <is>
          <t>1992-03-23</t>
        </is>
      </c>
      <c r="Y2839" t="n">
        <v>250</v>
      </c>
      <c r="Z2839" t="n">
        <v>220</v>
      </c>
      <c r="AA2839" t="n">
        <v>225</v>
      </c>
      <c r="AB2839" t="n">
        <v>2</v>
      </c>
      <c r="AC2839" t="n">
        <v>2</v>
      </c>
      <c r="AD2839" t="n">
        <v>26</v>
      </c>
      <c r="AE2839" t="n">
        <v>26</v>
      </c>
      <c r="AF2839" t="n">
        <v>8</v>
      </c>
      <c r="AG2839" t="n">
        <v>8</v>
      </c>
      <c r="AH2839" t="n">
        <v>8</v>
      </c>
      <c r="AI2839" t="n">
        <v>8</v>
      </c>
      <c r="AJ2839" t="n">
        <v>18</v>
      </c>
      <c r="AK2839" t="n">
        <v>18</v>
      </c>
      <c r="AL2839" t="n">
        <v>0</v>
      </c>
      <c r="AM2839" t="n">
        <v>0</v>
      </c>
      <c r="AN2839" t="n">
        <v>0</v>
      </c>
      <c r="AO2839" t="n">
        <v>0</v>
      </c>
      <c r="AP2839" t="inlineStr">
        <is>
          <t>No</t>
        </is>
      </c>
      <c r="AQ2839" t="inlineStr">
        <is>
          <t>No</t>
        </is>
      </c>
      <c r="AS2839">
        <f>HYPERLINK("https://creighton-primo.hosted.exlibrisgroup.com/primo-explore/search?tab=default_tab&amp;search_scope=EVERYTHING&amp;vid=01CRU&amp;lang=en_US&amp;offset=0&amp;query=any,contains,991003111239702656","Catalog Record")</f>
        <v/>
      </c>
      <c r="AT2839">
        <f>HYPERLINK("http://www.worldcat.org/oclc/656905","WorldCat Record")</f>
        <v/>
      </c>
      <c r="AU2839" t="inlineStr">
        <is>
          <t>1622426:eng</t>
        </is>
      </c>
      <c r="AV2839" t="inlineStr">
        <is>
          <t>656905</t>
        </is>
      </c>
      <c r="AW2839" t="inlineStr">
        <is>
          <t>991003111239702656</t>
        </is>
      </c>
      <c r="AX2839" t="inlineStr">
        <is>
          <t>991003111239702656</t>
        </is>
      </c>
      <c r="AY2839" t="inlineStr">
        <is>
          <t>2263452140002656</t>
        </is>
      </c>
      <c r="AZ2839" t="inlineStr">
        <is>
          <t>BOOK</t>
        </is>
      </c>
      <c r="BC2839" t="inlineStr">
        <is>
          <t>32285001016921</t>
        </is>
      </c>
      <c r="BD2839" t="inlineStr">
        <is>
          <t>893246032</t>
        </is>
      </c>
    </row>
    <row r="2840">
      <c r="A2840" t="inlineStr">
        <is>
          <t>No</t>
        </is>
      </c>
      <c r="B2840" t="inlineStr">
        <is>
          <t>BX8.2 .C7713 1988</t>
        </is>
      </c>
      <c r="C2840" t="inlineStr">
        <is>
          <t>0                      BX 0008200C  7713        1988</t>
        </is>
      </c>
      <c r="D2840" t="inlineStr">
        <is>
          <t>Unity through diversity : its foundation, and a contribution to the discussion concerning the possibilities of its actualization / Oscar Cullmann ; translated by M. Eugene Boring.</t>
        </is>
      </c>
      <c r="F2840" t="inlineStr">
        <is>
          <t>No</t>
        </is>
      </c>
      <c r="G2840" t="inlineStr">
        <is>
          <t>1</t>
        </is>
      </c>
      <c r="H2840" t="inlineStr">
        <is>
          <t>No</t>
        </is>
      </c>
      <c r="I2840" t="inlineStr">
        <is>
          <t>No</t>
        </is>
      </c>
      <c r="J2840" t="inlineStr">
        <is>
          <t>0</t>
        </is>
      </c>
      <c r="K2840" t="inlineStr">
        <is>
          <t>Cullmann, Oscar.</t>
        </is>
      </c>
      <c r="L2840" t="inlineStr">
        <is>
          <t>Philadelphia : Fortress Press, c1988.</t>
        </is>
      </c>
      <c r="M2840" t="inlineStr">
        <is>
          <t>1987</t>
        </is>
      </c>
      <c r="O2840" t="inlineStr">
        <is>
          <t>eng</t>
        </is>
      </c>
      <c r="P2840" t="inlineStr">
        <is>
          <t>pau</t>
        </is>
      </c>
      <c r="R2840" t="inlineStr">
        <is>
          <t xml:space="preserve">BX </t>
        </is>
      </c>
      <c r="S2840" t="n">
        <v>2</v>
      </c>
      <c r="T2840" t="n">
        <v>2</v>
      </c>
      <c r="U2840" t="inlineStr">
        <is>
          <t>2002-02-08</t>
        </is>
      </c>
      <c r="V2840" t="inlineStr">
        <is>
          <t>2002-02-08</t>
        </is>
      </c>
      <c r="W2840" t="inlineStr">
        <is>
          <t>1992-03-23</t>
        </is>
      </c>
      <c r="X2840" t="inlineStr">
        <is>
          <t>1992-03-23</t>
        </is>
      </c>
      <c r="Y2840" t="n">
        <v>263</v>
      </c>
      <c r="Z2840" t="n">
        <v>220</v>
      </c>
      <c r="AA2840" t="n">
        <v>226</v>
      </c>
      <c r="AB2840" t="n">
        <v>1</v>
      </c>
      <c r="AC2840" t="n">
        <v>1</v>
      </c>
      <c r="AD2840" t="n">
        <v>20</v>
      </c>
      <c r="AE2840" t="n">
        <v>20</v>
      </c>
      <c r="AF2840" t="n">
        <v>6</v>
      </c>
      <c r="AG2840" t="n">
        <v>6</v>
      </c>
      <c r="AH2840" t="n">
        <v>5</v>
      </c>
      <c r="AI2840" t="n">
        <v>5</v>
      </c>
      <c r="AJ2840" t="n">
        <v>13</v>
      </c>
      <c r="AK2840" t="n">
        <v>13</v>
      </c>
      <c r="AL2840" t="n">
        <v>0</v>
      </c>
      <c r="AM2840" t="n">
        <v>0</v>
      </c>
      <c r="AN2840" t="n">
        <v>0</v>
      </c>
      <c r="AO2840" t="n">
        <v>0</v>
      </c>
      <c r="AP2840" t="inlineStr">
        <is>
          <t>No</t>
        </is>
      </c>
      <c r="AQ2840" t="inlineStr">
        <is>
          <t>Yes</t>
        </is>
      </c>
      <c r="AR2840">
        <f>HYPERLINK("http://catalog.hathitrust.org/Record/000843885","HathiTrust Record")</f>
        <v/>
      </c>
      <c r="AS2840">
        <f>HYPERLINK("https://creighton-primo.hosted.exlibrisgroup.com/primo-explore/search?tab=default_tab&amp;search_scope=EVERYTHING&amp;vid=01CRU&amp;lang=en_US&amp;offset=0&amp;query=any,contains,991001111569702656","Catalog Record")</f>
        <v/>
      </c>
      <c r="AT2840">
        <f>HYPERLINK("http://www.worldcat.org/oclc/16469427","WorldCat Record")</f>
        <v/>
      </c>
      <c r="AU2840" t="inlineStr">
        <is>
          <t>1151149962:eng</t>
        </is>
      </c>
      <c r="AV2840" t="inlineStr">
        <is>
          <t>16469427</t>
        </is>
      </c>
      <c r="AW2840" t="inlineStr">
        <is>
          <t>991001111569702656</t>
        </is>
      </c>
      <c r="AX2840" t="inlineStr">
        <is>
          <t>991001111569702656</t>
        </is>
      </c>
      <c r="AY2840" t="inlineStr">
        <is>
          <t>2267539220002656</t>
        </is>
      </c>
      <c r="AZ2840" t="inlineStr">
        <is>
          <t>BOOK</t>
        </is>
      </c>
      <c r="BB2840" t="inlineStr">
        <is>
          <t>9780800620479</t>
        </is>
      </c>
      <c r="BC2840" t="inlineStr">
        <is>
          <t>32285001016947</t>
        </is>
      </c>
      <c r="BD2840" t="inlineStr">
        <is>
          <t>893702743</t>
        </is>
      </c>
    </row>
    <row r="2841">
      <c r="A2841" t="inlineStr">
        <is>
          <t>No</t>
        </is>
      </c>
      <c r="B2841" t="inlineStr">
        <is>
          <t>BX8.2 .G653</t>
        </is>
      </c>
      <c r="C2841" t="inlineStr">
        <is>
          <t>0                      BX 0008200G  653</t>
        </is>
      </c>
      <c r="D2841" t="inlineStr">
        <is>
          <t>Ecumenical progress : a decade of change in the ecumenical movement, 1961-71 / Norman Goodall.</t>
        </is>
      </c>
      <c r="F2841" t="inlineStr">
        <is>
          <t>No</t>
        </is>
      </c>
      <c r="G2841" t="inlineStr">
        <is>
          <t>1</t>
        </is>
      </c>
      <c r="H2841" t="inlineStr">
        <is>
          <t>No</t>
        </is>
      </c>
      <c r="I2841" t="inlineStr">
        <is>
          <t>No</t>
        </is>
      </c>
      <c r="J2841" t="inlineStr">
        <is>
          <t>0</t>
        </is>
      </c>
      <c r="K2841" t="inlineStr">
        <is>
          <t>Goodall, Norman.</t>
        </is>
      </c>
      <c r="L2841" t="inlineStr">
        <is>
          <t>London, Oxford University Press, 1972.</t>
        </is>
      </c>
      <c r="M2841" t="inlineStr">
        <is>
          <t>1972</t>
        </is>
      </c>
      <c r="O2841" t="inlineStr">
        <is>
          <t>eng</t>
        </is>
      </c>
      <c r="P2841" t="inlineStr">
        <is>
          <t>enk</t>
        </is>
      </c>
      <c r="R2841" t="inlineStr">
        <is>
          <t xml:space="preserve">BX </t>
        </is>
      </c>
      <c r="S2841" t="n">
        <v>4</v>
      </c>
      <c r="T2841" t="n">
        <v>4</v>
      </c>
      <c r="U2841" t="inlineStr">
        <is>
          <t>2008-04-14</t>
        </is>
      </c>
      <c r="V2841" t="inlineStr">
        <is>
          <t>2008-04-14</t>
        </is>
      </c>
      <c r="W2841" t="inlineStr">
        <is>
          <t>1992-03-23</t>
        </is>
      </c>
      <c r="X2841" t="inlineStr">
        <is>
          <t>1992-03-23</t>
        </is>
      </c>
      <c r="Y2841" t="n">
        <v>574</v>
      </c>
      <c r="Z2841" t="n">
        <v>449</v>
      </c>
      <c r="AA2841" t="n">
        <v>456</v>
      </c>
      <c r="AB2841" t="n">
        <v>4</v>
      </c>
      <c r="AC2841" t="n">
        <v>4</v>
      </c>
      <c r="AD2841" t="n">
        <v>25</v>
      </c>
      <c r="AE2841" t="n">
        <v>25</v>
      </c>
      <c r="AF2841" t="n">
        <v>6</v>
      </c>
      <c r="AG2841" t="n">
        <v>6</v>
      </c>
      <c r="AH2841" t="n">
        <v>5</v>
      </c>
      <c r="AI2841" t="n">
        <v>5</v>
      </c>
      <c r="AJ2841" t="n">
        <v>15</v>
      </c>
      <c r="AK2841" t="n">
        <v>15</v>
      </c>
      <c r="AL2841" t="n">
        <v>3</v>
      </c>
      <c r="AM2841" t="n">
        <v>3</v>
      </c>
      <c r="AN2841" t="n">
        <v>1</v>
      </c>
      <c r="AO2841" t="n">
        <v>1</v>
      </c>
      <c r="AP2841" t="inlineStr">
        <is>
          <t>No</t>
        </is>
      </c>
      <c r="AQ2841" t="inlineStr">
        <is>
          <t>Yes</t>
        </is>
      </c>
      <c r="AR2841">
        <f>HYPERLINK("http://catalog.hathitrust.org/Record/001415189","HathiTrust Record")</f>
        <v/>
      </c>
      <c r="AS2841">
        <f>HYPERLINK("https://creighton-primo.hosted.exlibrisgroup.com/primo-explore/search?tab=default_tab&amp;search_scope=EVERYTHING&amp;vid=01CRU&amp;lang=en_US&amp;offset=0&amp;query=any,contains,991002917579702656","Catalog Record")</f>
        <v/>
      </c>
      <c r="AT2841">
        <f>HYPERLINK("http://www.worldcat.org/oclc/524848","WorldCat Record")</f>
        <v/>
      </c>
      <c r="AU2841" t="inlineStr">
        <is>
          <t>199140792:eng</t>
        </is>
      </c>
      <c r="AV2841" t="inlineStr">
        <is>
          <t>524848</t>
        </is>
      </c>
      <c r="AW2841" t="inlineStr">
        <is>
          <t>991002917579702656</t>
        </is>
      </c>
      <c r="AX2841" t="inlineStr">
        <is>
          <t>991002917579702656</t>
        </is>
      </c>
      <c r="AY2841" t="inlineStr">
        <is>
          <t>2261160030002656</t>
        </is>
      </c>
      <c r="AZ2841" t="inlineStr">
        <is>
          <t>BOOK</t>
        </is>
      </c>
      <c r="BB2841" t="inlineStr">
        <is>
          <t>9780192139542</t>
        </is>
      </c>
      <c r="BC2841" t="inlineStr">
        <is>
          <t>32285001017051</t>
        </is>
      </c>
      <c r="BD2841" t="inlineStr">
        <is>
          <t>893245811</t>
        </is>
      </c>
    </row>
    <row r="2842">
      <c r="A2842" t="inlineStr">
        <is>
          <t>No</t>
        </is>
      </c>
      <c r="B2842" t="inlineStr">
        <is>
          <t>BX8.2 .J3</t>
        </is>
      </c>
      <c r="C2842" t="inlineStr">
        <is>
          <t>0                      BX 0008200J  3</t>
        </is>
      </c>
      <c r="D2842" t="inlineStr">
        <is>
          <t>Many but one : the ecumenics of charity / [by] J. H. Jackson.</t>
        </is>
      </c>
      <c r="F2842" t="inlineStr">
        <is>
          <t>No</t>
        </is>
      </c>
      <c r="G2842" t="inlineStr">
        <is>
          <t>1</t>
        </is>
      </c>
      <c r="H2842" t="inlineStr">
        <is>
          <t>No</t>
        </is>
      </c>
      <c r="I2842" t="inlineStr">
        <is>
          <t>No</t>
        </is>
      </c>
      <c r="J2842" t="inlineStr">
        <is>
          <t>0</t>
        </is>
      </c>
      <c r="K2842" t="inlineStr">
        <is>
          <t>Jackson, J. H. (Joseph Harrison), 1900-</t>
        </is>
      </c>
      <c r="L2842" t="inlineStr">
        <is>
          <t>New York, Sheed and Ward [1964]</t>
        </is>
      </c>
      <c r="M2842" t="inlineStr">
        <is>
          <t>1964</t>
        </is>
      </c>
      <c r="O2842" t="inlineStr">
        <is>
          <t>eng</t>
        </is>
      </c>
      <c r="P2842" t="inlineStr">
        <is>
          <t>nyu</t>
        </is>
      </c>
      <c r="R2842" t="inlineStr">
        <is>
          <t xml:space="preserve">BX </t>
        </is>
      </c>
      <c r="S2842" t="n">
        <v>2</v>
      </c>
      <c r="T2842" t="n">
        <v>2</v>
      </c>
      <c r="U2842" t="inlineStr">
        <is>
          <t>1993-11-08</t>
        </is>
      </c>
      <c r="V2842" t="inlineStr">
        <is>
          <t>1993-11-08</t>
        </is>
      </c>
      <c r="W2842" t="inlineStr">
        <is>
          <t>1992-03-23</t>
        </is>
      </c>
      <c r="X2842" t="inlineStr">
        <is>
          <t>1992-03-23</t>
        </is>
      </c>
      <c r="Y2842" t="n">
        <v>175</v>
      </c>
      <c r="Z2842" t="n">
        <v>163</v>
      </c>
      <c r="AA2842" t="n">
        <v>166</v>
      </c>
      <c r="AB2842" t="n">
        <v>1</v>
      </c>
      <c r="AC2842" t="n">
        <v>1</v>
      </c>
      <c r="AD2842" t="n">
        <v>19</v>
      </c>
      <c r="AE2842" t="n">
        <v>19</v>
      </c>
      <c r="AF2842" t="n">
        <v>6</v>
      </c>
      <c r="AG2842" t="n">
        <v>6</v>
      </c>
      <c r="AH2842" t="n">
        <v>4</v>
      </c>
      <c r="AI2842" t="n">
        <v>4</v>
      </c>
      <c r="AJ2842" t="n">
        <v>16</v>
      </c>
      <c r="AK2842" t="n">
        <v>16</v>
      </c>
      <c r="AL2842" t="n">
        <v>0</v>
      </c>
      <c r="AM2842" t="n">
        <v>0</v>
      </c>
      <c r="AN2842" t="n">
        <v>0</v>
      </c>
      <c r="AO2842" t="n">
        <v>0</v>
      </c>
      <c r="AP2842" t="inlineStr">
        <is>
          <t>No</t>
        </is>
      </c>
      <c r="AQ2842" t="inlineStr">
        <is>
          <t>Yes</t>
        </is>
      </c>
      <c r="AR2842">
        <f>HYPERLINK("http://catalog.hathitrust.org/Record/001415191","HathiTrust Record")</f>
        <v/>
      </c>
      <c r="AS2842">
        <f>HYPERLINK("https://creighton-primo.hosted.exlibrisgroup.com/primo-explore/search?tab=default_tab&amp;search_scope=EVERYTHING&amp;vid=01CRU&amp;lang=en_US&amp;offset=0&amp;query=any,contains,991003686119702656","Catalog Record")</f>
        <v/>
      </c>
      <c r="AT2842">
        <f>HYPERLINK("http://www.worldcat.org/oclc/1314620","WorldCat Record")</f>
        <v/>
      </c>
      <c r="AU2842" t="inlineStr">
        <is>
          <t>2188667:eng</t>
        </is>
      </c>
      <c r="AV2842" t="inlineStr">
        <is>
          <t>1314620</t>
        </is>
      </c>
      <c r="AW2842" t="inlineStr">
        <is>
          <t>991003686119702656</t>
        </is>
      </c>
      <c r="AX2842" t="inlineStr">
        <is>
          <t>991003686119702656</t>
        </is>
      </c>
      <c r="AY2842" t="inlineStr">
        <is>
          <t>2258127110002656</t>
        </is>
      </c>
      <c r="AZ2842" t="inlineStr">
        <is>
          <t>BOOK</t>
        </is>
      </c>
      <c r="BC2842" t="inlineStr">
        <is>
          <t>32285001017093</t>
        </is>
      </c>
      <c r="BD2842" t="inlineStr">
        <is>
          <t>893893993</t>
        </is>
      </c>
    </row>
    <row r="2843">
      <c r="A2843" t="inlineStr">
        <is>
          <t>No</t>
        </is>
      </c>
      <c r="B2843" t="inlineStr">
        <is>
          <t>BX8.2 .K47 1988</t>
        </is>
      </c>
      <c r="C2843" t="inlineStr">
        <is>
          <t>0                      BX 0008200K  47          1988</t>
        </is>
      </c>
      <c r="D2843" t="inlineStr">
        <is>
          <t>Truth and community : diversity and its limits in the ecumenical movement / by Michael Kinnamon.</t>
        </is>
      </c>
      <c r="F2843" t="inlineStr">
        <is>
          <t>No</t>
        </is>
      </c>
      <c r="G2843" t="inlineStr">
        <is>
          <t>1</t>
        </is>
      </c>
      <c r="H2843" t="inlineStr">
        <is>
          <t>No</t>
        </is>
      </c>
      <c r="I2843" t="inlineStr">
        <is>
          <t>No</t>
        </is>
      </c>
      <c r="J2843" t="inlineStr">
        <is>
          <t>0</t>
        </is>
      </c>
      <c r="K2843" t="inlineStr">
        <is>
          <t>Kinnamon, Michael.</t>
        </is>
      </c>
      <c r="L2843" t="inlineStr">
        <is>
          <t>Grand Rapids, Mich. : W.B. Eerdmans Pub. Co., c1988.</t>
        </is>
      </c>
      <c r="M2843" t="inlineStr">
        <is>
          <t>1988</t>
        </is>
      </c>
      <c r="O2843" t="inlineStr">
        <is>
          <t>eng</t>
        </is>
      </c>
      <c r="P2843" t="inlineStr">
        <is>
          <t>miu</t>
        </is>
      </c>
      <c r="R2843" t="inlineStr">
        <is>
          <t xml:space="preserve">BX </t>
        </is>
      </c>
      <c r="S2843" t="n">
        <v>5</v>
      </c>
      <c r="T2843" t="n">
        <v>5</v>
      </c>
      <c r="U2843" t="inlineStr">
        <is>
          <t>1992-11-19</t>
        </is>
      </c>
      <c r="V2843" t="inlineStr">
        <is>
          <t>1992-11-19</t>
        </is>
      </c>
      <c r="W2843" t="inlineStr">
        <is>
          <t>1992-03-23</t>
        </is>
      </c>
      <c r="X2843" t="inlineStr">
        <is>
          <t>1992-03-23</t>
        </is>
      </c>
      <c r="Y2843" t="n">
        <v>330</v>
      </c>
      <c r="Z2843" t="n">
        <v>256</v>
      </c>
      <c r="AA2843" t="n">
        <v>258</v>
      </c>
      <c r="AB2843" t="n">
        <v>1</v>
      </c>
      <c r="AC2843" t="n">
        <v>1</v>
      </c>
      <c r="AD2843" t="n">
        <v>10</v>
      </c>
      <c r="AE2843" t="n">
        <v>10</v>
      </c>
      <c r="AF2843" t="n">
        <v>4</v>
      </c>
      <c r="AG2843" t="n">
        <v>4</v>
      </c>
      <c r="AH2843" t="n">
        <v>1</v>
      </c>
      <c r="AI2843" t="n">
        <v>1</v>
      </c>
      <c r="AJ2843" t="n">
        <v>7</v>
      </c>
      <c r="AK2843" t="n">
        <v>7</v>
      </c>
      <c r="AL2843" t="n">
        <v>0</v>
      </c>
      <c r="AM2843" t="n">
        <v>0</v>
      </c>
      <c r="AN2843" t="n">
        <v>0</v>
      </c>
      <c r="AO2843" t="n">
        <v>0</v>
      </c>
      <c r="AP2843" t="inlineStr">
        <is>
          <t>No</t>
        </is>
      </c>
      <c r="AQ2843" t="inlineStr">
        <is>
          <t>Yes</t>
        </is>
      </c>
      <c r="AR2843">
        <f>HYPERLINK("http://catalog.hathitrust.org/Record/000920935","HathiTrust Record")</f>
        <v/>
      </c>
      <c r="AS2843">
        <f>HYPERLINK("https://creighton-primo.hosted.exlibrisgroup.com/primo-explore/search?tab=default_tab&amp;search_scope=EVERYTHING&amp;vid=01CRU&amp;lang=en_US&amp;offset=0&amp;query=any,contains,991001246629702656","Catalog Record")</f>
        <v/>
      </c>
      <c r="AT2843">
        <f>HYPERLINK("http://www.worldcat.org/oclc/17650316","WorldCat Record")</f>
        <v/>
      </c>
      <c r="AU2843" t="inlineStr">
        <is>
          <t>373961699:eng</t>
        </is>
      </c>
      <c r="AV2843" t="inlineStr">
        <is>
          <t>17650316</t>
        </is>
      </c>
      <c r="AW2843" t="inlineStr">
        <is>
          <t>991001246629702656</t>
        </is>
      </c>
      <c r="AX2843" t="inlineStr">
        <is>
          <t>991001246629702656</t>
        </is>
      </c>
      <c r="AY2843" t="inlineStr">
        <is>
          <t>2268392920002656</t>
        </is>
      </c>
      <c r="AZ2843" t="inlineStr">
        <is>
          <t>BOOK</t>
        </is>
      </c>
      <c r="BB2843" t="inlineStr">
        <is>
          <t>9780802803276</t>
        </is>
      </c>
      <c r="BC2843" t="inlineStr">
        <is>
          <t>32285001017127</t>
        </is>
      </c>
      <c r="BD2843" t="inlineStr">
        <is>
          <t>893720974</t>
        </is>
      </c>
    </row>
    <row r="2844">
      <c r="A2844" t="inlineStr">
        <is>
          <t>No</t>
        </is>
      </c>
      <c r="B2844" t="inlineStr">
        <is>
          <t>BX8.2 .L3 1982</t>
        </is>
      </c>
      <c r="C2844" t="inlineStr">
        <is>
          <t>0                      BX 0008200L  3           1982</t>
        </is>
      </c>
      <c r="D2844" t="inlineStr">
        <is>
          <t>Growing together in baptism, eucharist and ministry : a study guide / by William H. Lazareth.</t>
        </is>
      </c>
      <c r="F2844" t="inlineStr">
        <is>
          <t>No</t>
        </is>
      </c>
      <c r="G2844" t="inlineStr">
        <is>
          <t>1</t>
        </is>
      </c>
      <c r="H2844" t="inlineStr">
        <is>
          <t>No</t>
        </is>
      </c>
      <c r="I2844" t="inlineStr">
        <is>
          <t>No</t>
        </is>
      </c>
      <c r="J2844" t="inlineStr">
        <is>
          <t>0</t>
        </is>
      </c>
      <c r="K2844" t="inlineStr">
        <is>
          <t>Lazareth, William H. (William Henry), 1928-2008.</t>
        </is>
      </c>
      <c r="L2844" t="inlineStr">
        <is>
          <t>Geneva : World Council of Churches, c1982, 1984 printing.</t>
        </is>
      </c>
      <c r="M2844" t="inlineStr">
        <is>
          <t>1982</t>
        </is>
      </c>
      <c r="O2844" t="inlineStr">
        <is>
          <t>eng</t>
        </is>
      </c>
      <c r="P2844" t="inlineStr">
        <is>
          <t xml:space="preserve">sz </t>
        </is>
      </c>
      <c r="Q2844" t="inlineStr">
        <is>
          <t>Faith and order paper ; no. 114</t>
        </is>
      </c>
      <c r="R2844" t="inlineStr">
        <is>
          <t xml:space="preserve">BX </t>
        </is>
      </c>
      <c r="S2844" t="n">
        <v>3</v>
      </c>
      <c r="T2844" t="n">
        <v>3</v>
      </c>
      <c r="U2844" t="inlineStr">
        <is>
          <t>2001-03-25</t>
        </is>
      </c>
      <c r="V2844" t="inlineStr">
        <is>
          <t>2001-03-25</t>
        </is>
      </c>
      <c r="W2844" t="inlineStr">
        <is>
          <t>1992-03-23</t>
        </is>
      </c>
      <c r="X2844" t="inlineStr">
        <is>
          <t>1992-03-23</t>
        </is>
      </c>
      <c r="Y2844" t="n">
        <v>227</v>
      </c>
      <c r="Z2844" t="n">
        <v>149</v>
      </c>
      <c r="AA2844" t="n">
        <v>150</v>
      </c>
      <c r="AB2844" t="n">
        <v>1</v>
      </c>
      <c r="AC2844" t="n">
        <v>1</v>
      </c>
      <c r="AD2844" t="n">
        <v>11</v>
      </c>
      <c r="AE2844" t="n">
        <v>11</v>
      </c>
      <c r="AF2844" t="n">
        <v>4</v>
      </c>
      <c r="AG2844" t="n">
        <v>4</v>
      </c>
      <c r="AH2844" t="n">
        <v>3</v>
      </c>
      <c r="AI2844" t="n">
        <v>3</v>
      </c>
      <c r="AJ2844" t="n">
        <v>6</v>
      </c>
      <c r="AK2844" t="n">
        <v>6</v>
      </c>
      <c r="AL2844" t="n">
        <v>0</v>
      </c>
      <c r="AM2844" t="n">
        <v>0</v>
      </c>
      <c r="AN2844" t="n">
        <v>0</v>
      </c>
      <c r="AO2844" t="n">
        <v>0</v>
      </c>
      <c r="AP2844" t="inlineStr">
        <is>
          <t>No</t>
        </is>
      </c>
      <c r="AQ2844" t="inlineStr">
        <is>
          <t>No</t>
        </is>
      </c>
      <c r="AS2844">
        <f>HYPERLINK("https://creighton-primo.hosted.exlibrisgroup.com/primo-explore/search?tab=default_tab&amp;search_scope=EVERYTHING&amp;vid=01CRU&amp;lang=en_US&amp;offset=0&amp;query=any,contains,991000122259702656","Catalog Record")</f>
        <v/>
      </c>
      <c r="AT2844">
        <f>HYPERLINK("http://www.worldcat.org/oclc/9078665","WorldCat Record")</f>
        <v/>
      </c>
      <c r="AU2844" t="inlineStr">
        <is>
          <t>3901086555:eng</t>
        </is>
      </c>
      <c r="AV2844" t="inlineStr">
        <is>
          <t>9078665</t>
        </is>
      </c>
      <c r="AW2844" t="inlineStr">
        <is>
          <t>991000122259702656</t>
        </is>
      </c>
      <c r="AX2844" t="inlineStr">
        <is>
          <t>991000122259702656</t>
        </is>
      </c>
      <c r="AY2844" t="inlineStr">
        <is>
          <t>2267181530002656</t>
        </is>
      </c>
      <c r="AZ2844" t="inlineStr">
        <is>
          <t>BOOK</t>
        </is>
      </c>
      <c r="BB2844" t="inlineStr">
        <is>
          <t>9782825407349</t>
        </is>
      </c>
      <c r="BC2844" t="inlineStr">
        <is>
          <t>32285001017143</t>
        </is>
      </c>
      <c r="BD2844" t="inlineStr">
        <is>
          <t>893508528</t>
        </is>
      </c>
    </row>
    <row r="2845">
      <c r="A2845" t="inlineStr">
        <is>
          <t>No</t>
        </is>
      </c>
      <c r="B2845" t="inlineStr">
        <is>
          <t>BX8.2 .L68 1985</t>
        </is>
      </c>
      <c r="C2845" t="inlineStr">
        <is>
          <t>0                      BX 0008200L  68          1985</t>
        </is>
      </c>
      <c r="D2845" t="inlineStr">
        <is>
          <t>Ecumenism : striving for unity amid diversity / Mark D. Lowery.</t>
        </is>
      </c>
      <c r="F2845" t="inlineStr">
        <is>
          <t>No</t>
        </is>
      </c>
      <c r="G2845" t="inlineStr">
        <is>
          <t>1</t>
        </is>
      </c>
      <c r="H2845" t="inlineStr">
        <is>
          <t>No</t>
        </is>
      </c>
      <c r="I2845" t="inlineStr">
        <is>
          <t>No</t>
        </is>
      </c>
      <c r="J2845" t="inlineStr">
        <is>
          <t>0</t>
        </is>
      </c>
      <c r="K2845" t="inlineStr">
        <is>
          <t>Lowery, Mark D.</t>
        </is>
      </c>
      <c r="L2845" t="inlineStr">
        <is>
          <t>Mystic, CT : Twenty-Third Publications, c1985.</t>
        </is>
      </c>
      <c r="M2845" t="inlineStr">
        <is>
          <t>1985</t>
        </is>
      </c>
      <c r="O2845" t="inlineStr">
        <is>
          <t>eng</t>
        </is>
      </c>
      <c r="P2845" t="inlineStr">
        <is>
          <t>ctu</t>
        </is>
      </c>
      <c r="R2845" t="inlineStr">
        <is>
          <t xml:space="preserve">BX </t>
        </is>
      </c>
      <c r="S2845" t="n">
        <v>5</v>
      </c>
      <c r="T2845" t="n">
        <v>5</v>
      </c>
      <c r="U2845" t="inlineStr">
        <is>
          <t>2008-02-05</t>
        </is>
      </c>
      <c r="V2845" t="inlineStr">
        <is>
          <t>2008-02-05</t>
        </is>
      </c>
      <c r="W2845" t="inlineStr">
        <is>
          <t>1992-03-23</t>
        </is>
      </c>
      <c r="X2845" t="inlineStr">
        <is>
          <t>1992-03-23</t>
        </is>
      </c>
      <c r="Y2845" t="n">
        <v>217</v>
      </c>
      <c r="Z2845" t="n">
        <v>183</v>
      </c>
      <c r="AA2845" t="n">
        <v>188</v>
      </c>
      <c r="AB2845" t="n">
        <v>2</v>
      </c>
      <c r="AC2845" t="n">
        <v>2</v>
      </c>
      <c r="AD2845" t="n">
        <v>21</v>
      </c>
      <c r="AE2845" t="n">
        <v>21</v>
      </c>
      <c r="AF2845" t="n">
        <v>3</v>
      </c>
      <c r="AG2845" t="n">
        <v>3</v>
      </c>
      <c r="AH2845" t="n">
        <v>5</v>
      </c>
      <c r="AI2845" t="n">
        <v>5</v>
      </c>
      <c r="AJ2845" t="n">
        <v>16</v>
      </c>
      <c r="AK2845" t="n">
        <v>16</v>
      </c>
      <c r="AL2845" t="n">
        <v>1</v>
      </c>
      <c r="AM2845" t="n">
        <v>1</v>
      </c>
      <c r="AN2845" t="n">
        <v>1</v>
      </c>
      <c r="AO2845" t="n">
        <v>1</v>
      </c>
      <c r="AP2845" t="inlineStr">
        <is>
          <t>No</t>
        </is>
      </c>
      <c r="AQ2845" t="inlineStr">
        <is>
          <t>No</t>
        </is>
      </c>
      <c r="AS2845">
        <f>HYPERLINK("https://creighton-primo.hosted.exlibrisgroup.com/primo-explore/search?tab=default_tab&amp;search_scope=EVERYTHING&amp;vid=01CRU&amp;lang=en_US&amp;offset=0&amp;query=any,contains,991000727999702656","Catalog Record")</f>
        <v/>
      </c>
      <c r="AT2845">
        <f>HYPERLINK("http://www.worldcat.org/oclc/12715801","WorldCat Record")</f>
        <v/>
      </c>
      <c r="AU2845" t="inlineStr">
        <is>
          <t>891576476:eng</t>
        </is>
      </c>
      <c r="AV2845" t="inlineStr">
        <is>
          <t>12715801</t>
        </is>
      </c>
      <c r="AW2845" t="inlineStr">
        <is>
          <t>991000727999702656</t>
        </is>
      </c>
      <c r="AX2845" t="inlineStr">
        <is>
          <t>991000727999702656</t>
        </is>
      </c>
      <c r="AY2845" t="inlineStr">
        <is>
          <t>2264454300002656</t>
        </is>
      </c>
      <c r="AZ2845" t="inlineStr">
        <is>
          <t>BOOK</t>
        </is>
      </c>
      <c r="BB2845" t="inlineStr">
        <is>
          <t>9780896222748</t>
        </is>
      </c>
      <c r="BC2845" t="inlineStr">
        <is>
          <t>32285001017150</t>
        </is>
      </c>
      <c r="BD2845" t="inlineStr">
        <is>
          <t>893438543</t>
        </is>
      </c>
    </row>
    <row r="2846">
      <c r="A2846" t="inlineStr">
        <is>
          <t>No</t>
        </is>
      </c>
      <c r="B2846" t="inlineStr">
        <is>
          <t>BX8.2 .M323</t>
        </is>
      </c>
      <c r="C2846" t="inlineStr">
        <is>
          <t>0                      BX 0008200M  323</t>
        </is>
      </c>
      <c r="D2846" t="inlineStr">
        <is>
          <t>Ecumenical testimony : the concern for Christian unity within the Reformed and Presbyterian churches / by John T. McNeill and James Hastings Nichols.</t>
        </is>
      </c>
      <c r="F2846" t="inlineStr">
        <is>
          <t>No</t>
        </is>
      </c>
      <c r="G2846" t="inlineStr">
        <is>
          <t>1</t>
        </is>
      </c>
      <c r="H2846" t="inlineStr">
        <is>
          <t>No</t>
        </is>
      </c>
      <c r="I2846" t="inlineStr">
        <is>
          <t>No</t>
        </is>
      </c>
      <c r="J2846" t="inlineStr">
        <is>
          <t>0</t>
        </is>
      </c>
      <c r="K2846" t="inlineStr">
        <is>
          <t>McNeill, John T. (John Thomas), 1885-1975.</t>
        </is>
      </c>
      <c r="L2846" t="inlineStr">
        <is>
          <t>Philadelphia, Westminster Press [1974]</t>
        </is>
      </c>
      <c r="M2846" t="inlineStr">
        <is>
          <t>1974</t>
        </is>
      </c>
      <c r="O2846" t="inlineStr">
        <is>
          <t>eng</t>
        </is>
      </c>
      <c r="P2846" t="inlineStr">
        <is>
          <t>pau</t>
        </is>
      </c>
      <c r="R2846" t="inlineStr">
        <is>
          <t xml:space="preserve">BX </t>
        </is>
      </c>
      <c r="S2846" t="n">
        <v>2</v>
      </c>
      <c r="T2846" t="n">
        <v>2</v>
      </c>
      <c r="U2846" t="inlineStr">
        <is>
          <t>2005-04-10</t>
        </is>
      </c>
      <c r="V2846" t="inlineStr">
        <is>
          <t>2005-04-10</t>
        </is>
      </c>
      <c r="W2846" t="inlineStr">
        <is>
          <t>1992-03-23</t>
        </is>
      </c>
      <c r="X2846" t="inlineStr">
        <is>
          <t>1992-03-23</t>
        </is>
      </c>
      <c r="Y2846" t="n">
        <v>288</v>
      </c>
      <c r="Z2846" t="n">
        <v>252</v>
      </c>
      <c r="AA2846" t="n">
        <v>252</v>
      </c>
      <c r="AB2846" t="n">
        <v>2</v>
      </c>
      <c r="AC2846" t="n">
        <v>2</v>
      </c>
      <c r="AD2846" t="n">
        <v>13</v>
      </c>
      <c r="AE2846" t="n">
        <v>13</v>
      </c>
      <c r="AF2846" t="n">
        <v>2</v>
      </c>
      <c r="AG2846" t="n">
        <v>2</v>
      </c>
      <c r="AH2846" t="n">
        <v>5</v>
      </c>
      <c r="AI2846" t="n">
        <v>5</v>
      </c>
      <c r="AJ2846" t="n">
        <v>7</v>
      </c>
      <c r="AK2846" t="n">
        <v>7</v>
      </c>
      <c r="AL2846" t="n">
        <v>1</v>
      </c>
      <c r="AM2846" t="n">
        <v>1</v>
      </c>
      <c r="AN2846" t="n">
        <v>0</v>
      </c>
      <c r="AO2846" t="n">
        <v>0</v>
      </c>
      <c r="AP2846" t="inlineStr">
        <is>
          <t>No</t>
        </is>
      </c>
      <c r="AQ2846" t="inlineStr">
        <is>
          <t>No</t>
        </is>
      </c>
      <c r="AS2846">
        <f>HYPERLINK("https://creighton-primo.hosted.exlibrisgroup.com/primo-explore/search?tab=default_tab&amp;search_scope=EVERYTHING&amp;vid=01CRU&amp;lang=en_US&amp;offset=0&amp;query=any,contains,991003283859702656","Catalog Record")</f>
        <v/>
      </c>
      <c r="AT2846">
        <f>HYPERLINK("http://www.worldcat.org/oclc/805843","WorldCat Record")</f>
        <v/>
      </c>
      <c r="AU2846" t="inlineStr">
        <is>
          <t>891962801:eng</t>
        </is>
      </c>
      <c r="AV2846" t="inlineStr">
        <is>
          <t>805843</t>
        </is>
      </c>
      <c r="AW2846" t="inlineStr">
        <is>
          <t>991003283859702656</t>
        </is>
      </c>
      <c r="AX2846" t="inlineStr">
        <is>
          <t>991003283859702656</t>
        </is>
      </c>
      <c r="AY2846" t="inlineStr">
        <is>
          <t>2265303340002656</t>
        </is>
      </c>
      <c r="AZ2846" t="inlineStr">
        <is>
          <t>BOOK</t>
        </is>
      </c>
      <c r="BB2846" t="inlineStr">
        <is>
          <t>9780664209988</t>
        </is>
      </c>
      <c r="BC2846" t="inlineStr">
        <is>
          <t>32285001017168</t>
        </is>
      </c>
      <c r="BD2846" t="inlineStr">
        <is>
          <t>893705086</t>
        </is>
      </c>
    </row>
    <row r="2847">
      <c r="A2847" t="inlineStr">
        <is>
          <t>No</t>
        </is>
      </c>
      <c r="B2847" t="inlineStr">
        <is>
          <t>BX8.2 .M325</t>
        </is>
      </c>
      <c r="C2847" t="inlineStr">
        <is>
          <t>0                      BX 0008200M  325</t>
        </is>
      </c>
      <c r="D2847" t="inlineStr">
        <is>
          <t>Christian unity and Christian diversity / John Macquarrie.</t>
        </is>
      </c>
      <c r="F2847" t="inlineStr">
        <is>
          <t>No</t>
        </is>
      </c>
      <c r="G2847" t="inlineStr">
        <is>
          <t>1</t>
        </is>
      </c>
      <c r="H2847" t="inlineStr">
        <is>
          <t>No</t>
        </is>
      </c>
      <c r="I2847" t="inlineStr">
        <is>
          <t>No</t>
        </is>
      </c>
      <c r="J2847" t="inlineStr">
        <is>
          <t>0</t>
        </is>
      </c>
      <c r="K2847" t="inlineStr">
        <is>
          <t>Macquarrie, John.</t>
        </is>
      </c>
      <c r="L2847" t="inlineStr">
        <is>
          <t>Philadelphia : Westminster Press, [1975]</t>
        </is>
      </c>
      <c r="M2847" t="inlineStr">
        <is>
          <t>1975</t>
        </is>
      </c>
      <c r="O2847" t="inlineStr">
        <is>
          <t>eng</t>
        </is>
      </c>
      <c r="P2847" t="inlineStr">
        <is>
          <t>pau</t>
        </is>
      </c>
      <c r="R2847" t="inlineStr">
        <is>
          <t xml:space="preserve">BX </t>
        </is>
      </c>
      <c r="S2847" t="n">
        <v>4</v>
      </c>
      <c r="T2847" t="n">
        <v>4</v>
      </c>
      <c r="U2847" t="inlineStr">
        <is>
          <t>1994-12-05</t>
        </is>
      </c>
      <c r="V2847" t="inlineStr">
        <is>
          <t>1994-12-05</t>
        </is>
      </c>
      <c r="W2847" t="inlineStr">
        <is>
          <t>1992-03-23</t>
        </is>
      </c>
      <c r="X2847" t="inlineStr">
        <is>
          <t>1992-03-23</t>
        </is>
      </c>
      <c r="Y2847" t="n">
        <v>386</v>
      </c>
      <c r="Z2847" t="n">
        <v>362</v>
      </c>
      <c r="AA2847" t="n">
        <v>427</v>
      </c>
      <c r="AB2847" t="n">
        <v>5</v>
      </c>
      <c r="AC2847" t="n">
        <v>6</v>
      </c>
      <c r="AD2847" t="n">
        <v>33</v>
      </c>
      <c r="AE2847" t="n">
        <v>35</v>
      </c>
      <c r="AF2847" t="n">
        <v>9</v>
      </c>
      <c r="AG2847" t="n">
        <v>9</v>
      </c>
      <c r="AH2847" t="n">
        <v>7</v>
      </c>
      <c r="AI2847" t="n">
        <v>7</v>
      </c>
      <c r="AJ2847" t="n">
        <v>21</v>
      </c>
      <c r="AK2847" t="n">
        <v>22</v>
      </c>
      <c r="AL2847" t="n">
        <v>4</v>
      </c>
      <c r="AM2847" t="n">
        <v>5</v>
      </c>
      <c r="AN2847" t="n">
        <v>0</v>
      </c>
      <c r="AO2847" t="n">
        <v>0</v>
      </c>
      <c r="AP2847" t="inlineStr">
        <is>
          <t>No</t>
        </is>
      </c>
      <c r="AQ2847" t="inlineStr">
        <is>
          <t>Yes</t>
        </is>
      </c>
      <c r="AR2847">
        <f>HYPERLINK("http://catalog.hathitrust.org/Record/102056104","HathiTrust Record")</f>
        <v/>
      </c>
      <c r="AS2847">
        <f>HYPERLINK("https://creighton-primo.hosted.exlibrisgroup.com/primo-explore/search?tab=default_tab&amp;search_scope=EVERYTHING&amp;vid=01CRU&amp;lang=en_US&amp;offset=0&amp;query=any,contains,991003670899702656","Catalog Record")</f>
        <v/>
      </c>
      <c r="AT2847">
        <f>HYPERLINK("http://www.worldcat.org/oclc/1288377","WorldCat Record")</f>
        <v/>
      </c>
      <c r="AU2847" t="inlineStr">
        <is>
          <t>2223772:eng</t>
        </is>
      </c>
      <c r="AV2847" t="inlineStr">
        <is>
          <t>1288377</t>
        </is>
      </c>
      <c r="AW2847" t="inlineStr">
        <is>
          <t>991003670899702656</t>
        </is>
      </c>
      <c r="AX2847" t="inlineStr">
        <is>
          <t>991003670899702656</t>
        </is>
      </c>
      <c r="AY2847" t="inlineStr">
        <is>
          <t>2266864090002656</t>
        </is>
      </c>
      <c r="AZ2847" t="inlineStr">
        <is>
          <t>BOOK</t>
        </is>
      </c>
      <c r="BB2847" t="inlineStr">
        <is>
          <t>9780664247829</t>
        </is>
      </c>
      <c r="BC2847" t="inlineStr">
        <is>
          <t>32285001017176</t>
        </is>
      </c>
      <c r="BD2847" t="inlineStr">
        <is>
          <t>893611304</t>
        </is>
      </c>
    </row>
    <row r="2848">
      <c r="A2848" t="inlineStr">
        <is>
          <t>No</t>
        </is>
      </c>
      <c r="B2848" t="inlineStr">
        <is>
          <t>BX8.2 .M4913 1999</t>
        </is>
      </c>
      <c r="C2848" t="inlineStr">
        <is>
          <t>0                      BX 0008200M  4913        1999</t>
        </is>
      </c>
      <c r="D2848" t="inlineStr">
        <is>
          <t>That all may be one : perceptions and models of ecumenicity / Harding Meyer ; translated by William G. Rusch.</t>
        </is>
      </c>
      <c r="F2848" t="inlineStr">
        <is>
          <t>No</t>
        </is>
      </c>
      <c r="G2848" t="inlineStr">
        <is>
          <t>1</t>
        </is>
      </c>
      <c r="H2848" t="inlineStr">
        <is>
          <t>No</t>
        </is>
      </c>
      <c r="I2848" t="inlineStr">
        <is>
          <t>No</t>
        </is>
      </c>
      <c r="J2848" t="inlineStr">
        <is>
          <t>0</t>
        </is>
      </c>
      <c r="K2848" t="inlineStr">
        <is>
          <t>Meyer, Harding.</t>
        </is>
      </c>
      <c r="L2848" t="inlineStr">
        <is>
          <t>Grand Rapids, Mich. : W.B. Eerdmans Pub. Co., c1999.</t>
        </is>
      </c>
      <c r="M2848" t="inlineStr">
        <is>
          <t>1999</t>
        </is>
      </c>
      <c r="O2848" t="inlineStr">
        <is>
          <t>eng</t>
        </is>
      </c>
      <c r="P2848" t="inlineStr">
        <is>
          <t>miu</t>
        </is>
      </c>
      <c r="R2848" t="inlineStr">
        <is>
          <t xml:space="preserve">BX </t>
        </is>
      </c>
      <c r="S2848" t="n">
        <v>7</v>
      </c>
      <c r="T2848" t="n">
        <v>7</v>
      </c>
      <c r="U2848" t="inlineStr">
        <is>
          <t>2008-02-05</t>
        </is>
      </c>
      <c r="V2848" t="inlineStr">
        <is>
          <t>2008-02-05</t>
        </is>
      </c>
      <c r="W2848" t="inlineStr">
        <is>
          <t>2000-10-30</t>
        </is>
      </c>
      <c r="X2848" t="inlineStr">
        <is>
          <t>2000-10-30</t>
        </is>
      </c>
      <c r="Y2848" t="n">
        <v>179</v>
      </c>
      <c r="Z2848" t="n">
        <v>148</v>
      </c>
      <c r="AA2848" t="n">
        <v>150</v>
      </c>
      <c r="AB2848" t="n">
        <v>1</v>
      </c>
      <c r="AC2848" t="n">
        <v>1</v>
      </c>
      <c r="AD2848" t="n">
        <v>15</v>
      </c>
      <c r="AE2848" t="n">
        <v>15</v>
      </c>
      <c r="AF2848" t="n">
        <v>7</v>
      </c>
      <c r="AG2848" t="n">
        <v>7</v>
      </c>
      <c r="AH2848" t="n">
        <v>2</v>
      </c>
      <c r="AI2848" t="n">
        <v>2</v>
      </c>
      <c r="AJ2848" t="n">
        <v>12</v>
      </c>
      <c r="AK2848" t="n">
        <v>12</v>
      </c>
      <c r="AL2848" t="n">
        <v>0</v>
      </c>
      <c r="AM2848" t="n">
        <v>0</v>
      </c>
      <c r="AN2848" t="n">
        <v>0</v>
      </c>
      <c r="AO2848" t="n">
        <v>0</v>
      </c>
      <c r="AP2848" t="inlineStr">
        <is>
          <t>No</t>
        </is>
      </c>
      <c r="AQ2848" t="inlineStr">
        <is>
          <t>Yes</t>
        </is>
      </c>
      <c r="AR2848">
        <f>HYPERLINK("http://catalog.hathitrust.org/Record/004046730","HathiTrust Record")</f>
        <v/>
      </c>
      <c r="AS2848">
        <f>HYPERLINK("https://creighton-primo.hosted.exlibrisgroup.com/primo-explore/search?tab=default_tab&amp;search_scope=EVERYTHING&amp;vid=01CRU&amp;lang=en_US&amp;offset=0&amp;query=any,contains,991003258059702656","Catalog Record")</f>
        <v/>
      </c>
      <c r="AT2848">
        <f>HYPERLINK("http://www.worldcat.org/oclc/40473791","WorldCat Record")</f>
        <v/>
      </c>
      <c r="AU2848" t="inlineStr">
        <is>
          <t>1807997198:eng</t>
        </is>
      </c>
      <c r="AV2848" t="inlineStr">
        <is>
          <t>40473791</t>
        </is>
      </c>
      <c r="AW2848" t="inlineStr">
        <is>
          <t>991003258059702656</t>
        </is>
      </c>
      <c r="AX2848" t="inlineStr">
        <is>
          <t>991003258059702656</t>
        </is>
      </c>
      <c r="AY2848" t="inlineStr">
        <is>
          <t>2264238570002656</t>
        </is>
      </c>
      <c r="AZ2848" t="inlineStr">
        <is>
          <t>BOOK</t>
        </is>
      </c>
      <c r="BB2848" t="inlineStr">
        <is>
          <t>9780802843487</t>
        </is>
      </c>
      <c r="BC2848" t="inlineStr">
        <is>
          <t>32285004261417</t>
        </is>
      </c>
      <c r="BD2848" t="inlineStr">
        <is>
          <t>893799532</t>
        </is>
      </c>
    </row>
    <row r="2849">
      <c r="A2849" t="inlineStr">
        <is>
          <t>No</t>
        </is>
      </c>
      <c r="B2849" t="inlineStr">
        <is>
          <t>BX8.2 .P613</t>
        </is>
      </c>
      <c r="C2849" t="inlineStr">
        <is>
          <t>0                      BX 0008200P  613</t>
        </is>
      </c>
      <c r="D2849" t="inlineStr">
        <is>
          <t>Anglicanism in ecumenical perspective / by William H. Van de Pol. [Translated by Walter van de Putte]</t>
        </is>
      </c>
      <c r="F2849" t="inlineStr">
        <is>
          <t>No</t>
        </is>
      </c>
      <c r="G2849" t="inlineStr">
        <is>
          <t>1</t>
        </is>
      </c>
      <c r="H2849" t="inlineStr">
        <is>
          <t>No</t>
        </is>
      </c>
      <c r="I2849" t="inlineStr">
        <is>
          <t>No</t>
        </is>
      </c>
      <c r="J2849" t="inlineStr">
        <is>
          <t>0</t>
        </is>
      </c>
      <c r="K2849" t="inlineStr">
        <is>
          <t>Pol, Willem Hendrik van de, 1897-</t>
        </is>
      </c>
      <c r="L2849" t="inlineStr">
        <is>
          <t>Pittsburgh, Duquesne University Press, 1965.</t>
        </is>
      </c>
      <c r="M2849" t="inlineStr">
        <is>
          <t>1965</t>
        </is>
      </c>
      <c r="O2849" t="inlineStr">
        <is>
          <t>eng</t>
        </is>
      </c>
      <c r="P2849" t="inlineStr">
        <is>
          <t>___</t>
        </is>
      </c>
      <c r="Q2849" t="inlineStr">
        <is>
          <t>Duquesne studies. Theological series ; 4</t>
        </is>
      </c>
      <c r="R2849" t="inlineStr">
        <is>
          <t xml:space="preserve">BX </t>
        </is>
      </c>
      <c r="S2849" t="n">
        <v>2</v>
      </c>
      <c r="T2849" t="n">
        <v>2</v>
      </c>
      <c r="U2849" t="inlineStr">
        <is>
          <t>2001-11-08</t>
        </is>
      </c>
      <c r="V2849" t="inlineStr">
        <is>
          <t>2001-11-08</t>
        </is>
      </c>
      <c r="W2849" t="inlineStr">
        <is>
          <t>1992-03-23</t>
        </is>
      </c>
      <c r="X2849" t="inlineStr">
        <is>
          <t>1992-03-23</t>
        </is>
      </c>
      <c r="Y2849" t="n">
        <v>346</v>
      </c>
      <c r="Z2849" t="n">
        <v>306</v>
      </c>
      <c r="AA2849" t="n">
        <v>309</v>
      </c>
      <c r="AB2849" t="n">
        <v>4</v>
      </c>
      <c r="AC2849" t="n">
        <v>4</v>
      </c>
      <c r="AD2849" t="n">
        <v>32</v>
      </c>
      <c r="AE2849" t="n">
        <v>32</v>
      </c>
      <c r="AF2849" t="n">
        <v>11</v>
      </c>
      <c r="AG2849" t="n">
        <v>11</v>
      </c>
      <c r="AH2849" t="n">
        <v>9</v>
      </c>
      <c r="AI2849" t="n">
        <v>9</v>
      </c>
      <c r="AJ2849" t="n">
        <v>22</v>
      </c>
      <c r="AK2849" t="n">
        <v>22</v>
      </c>
      <c r="AL2849" t="n">
        <v>2</v>
      </c>
      <c r="AM2849" t="n">
        <v>2</v>
      </c>
      <c r="AN2849" t="n">
        <v>0</v>
      </c>
      <c r="AO2849" t="n">
        <v>0</v>
      </c>
      <c r="AP2849" t="inlineStr">
        <is>
          <t>No</t>
        </is>
      </c>
      <c r="AQ2849" t="inlineStr">
        <is>
          <t>Yes</t>
        </is>
      </c>
      <c r="AR2849">
        <f>HYPERLINK("http://catalog.hathitrust.org/Record/001644511","HathiTrust Record")</f>
        <v/>
      </c>
      <c r="AS2849">
        <f>HYPERLINK("https://creighton-primo.hosted.exlibrisgroup.com/primo-explore/search?tab=default_tab&amp;search_scope=EVERYTHING&amp;vid=01CRU&amp;lang=en_US&amp;offset=0&amp;query=any,contains,991003375749702656","Catalog Record")</f>
        <v/>
      </c>
      <c r="AT2849">
        <f>HYPERLINK("http://www.worldcat.org/oclc/912893","WorldCat Record")</f>
        <v/>
      </c>
      <c r="AU2849" t="inlineStr">
        <is>
          <t>1122772861:eng</t>
        </is>
      </c>
      <c r="AV2849" t="inlineStr">
        <is>
          <t>912893</t>
        </is>
      </c>
      <c r="AW2849" t="inlineStr">
        <is>
          <t>991003375749702656</t>
        </is>
      </c>
      <c r="AX2849" t="inlineStr">
        <is>
          <t>991003375749702656</t>
        </is>
      </c>
      <c r="AY2849" t="inlineStr">
        <is>
          <t>2268465210002656</t>
        </is>
      </c>
      <c r="AZ2849" t="inlineStr">
        <is>
          <t>BOOK</t>
        </is>
      </c>
      <c r="BC2849" t="inlineStr">
        <is>
          <t>32285001017184</t>
        </is>
      </c>
      <c r="BD2849" t="inlineStr">
        <is>
          <t>893874711</t>
        </is>
      </c>
    </row>
    <row r="2850">
      <c r="A2850" t="inlineStr">
        <is>
          <t>No</t>
        </is>
      </c>
      <c r="B2850" t="inlineStr">
        <is>
          <t>BX8.2 .W34 1983</t>
        </is>
      </c>
      <c r="C2850" t="inlineStr">
        <is>
          <t>0                      BX 0008200W  34          1983</t>
        </is>
      </c>
      <c r="D2850" t="inlineStr">
        <is>
          <t>The ecumenical moment : crisis and opportunity for the Church / by Geoffrey Wainwright.</t>
        </is>
      </c>
      <c r="F2850" t="inlineStr">
        <is>
          <t>No</t>
        </is>
      </c>
      <c r="G2850" t="inlineStr">
        <is>
          <t>1</t>
        </is>
      </c>
      <c r="H2850" t="inlineStr">
        <is>
          <t>No</t>
        </is>
      </c>
      <c r="I2850" t="inlineStr">
        <is>
          <t>No</t>
        </is>
      </c>
      <c r="J2850" t="inlineStr">
        <is>
          <t>0</t>
        </is>
      </c>
      <c r="K2850" t="inlineStr">
        <is>
          <t>Wainwright, Geoffrey, 1939-</t>
        </is>
      </c>
      <c r="L2850" t="inlineStr">
        <is>
          <t>Grand Rapids : W.B. Eerdmans Pub. Co., c1983.</t>
        </is>
      </c>
      <c r="M2850" t="inlineStr">
        <is>
          <t>1983</t>
        </is>
      </c>
      <c r="O2850" t="inlineStr">
        <is>
          <t>eng</t>
        </is>
      </c>
      <c r="P2850" t="inlineStr">
        <is>
          <t>miu</t>
        </is>
      </c>
      <c r="R2850" t="inlineStr">
        <is>
          <t xml:space="preserve">BX </t>
        </is>
      </c>
      <c r="S2850" t="n">
        <v>2</v>
      </c>
      <c r="T2850" t="n">
        <v>2</v>
      </c>
      <c r="U2850" t="inlineStr">
        <is>
          <t>1992-05-20</t>
        </is>
      </c>
      <c r="V2850" t="inlineStr">
        <is>
          <t>1992-05-20</t>
        </is>
      </c>
      <c r="W2850" t="inlineStr">
        <is>
          <t>1992-05-15</t>
        </is>
      </c>
      <c r="X2850" t="inlineStr">
        <is>
          <t>1992-05-15</t>
        </is>
      </c>
      <c r="Y2850" t="n">
        <v>392</v>
      </c>
      <c r="Z2850" t="n">
        <v>290</v>
      </c>
      <c r="AA2850" t="n">
        <v>294</v>
      </c>
      <c r="AB2850" t="n">
        <v>2</v>
      </c>
      <c r="AC2850" t="n">
        <v>2</v>
      </c>
      <c r="AD2850" t="n">
        <v>23</v>
      </c>
      <c r="AE2850" t="n">
        <v>23</v>
      </c>
      <c r="AF2850" t="n">
        <v>5</v>
      </c>
      <c r="AG2850" t="n">
        <v>5</v>
      </c>
      <c r="AH2850" t="n">
        <v>6</v>
      </c>
      <c r="AI2850" t="n">
        <v>6</v>
      </c>
      <c r="AJ2850" t="n">
        <v>17</v>
      </c>
      <c r="AK2850" t="n">
        <v>17</v>
      </c>
      <c r="AL2850" t="n">
        <v>1</v>
      </c>
      <c r="AM2850" t="n">
        <v>1</v>
      </c>
      <c r="AN2850" t="n">
        <v>0</v>
      </c>
      <c r="AO2850" t="n">
        <v>0</v>
      </c>
      <c r="AP2850" t="inlineStr">
        <is>
          <t>No</t>
        </is>
      </c>
      <c r="AQ2850" t="inlineStr">
        <is>
          <t>Yes</t>
        </is>
      </c>
      <c r="AR2850">
        <f>HYPERLINK("http://catalog.hathitrust.org/Record/000777431","HathiTrust Record")</f>
        <v/>
      </c>
      <c r="AS2850">
        <f>HYPERLINK("https://creighton-primo.hosted.exlibrisgroup.com/primo-explore/search?tab=default_tab&amp;search_scope=EVERYTHING&amp;vid=01CRU&amp;lang=en_US&amp;offset=0&amp;query=any,contains,991000216739702656","Catalog Record")</f>
        <v/>
      </c>
      <c r="AT2850">
        <f>HYPERLINK("http://www.worldcat.org/oclc/9558010","WorldCat Record")</f>
        <v/>
      </c>
      <c r="AU2850" t="inlineStr">
        <is>
          <t>288650254:eng</t>
        </is>
      </c>
      <c r="AV2850" t="inlineStr">
        <is>
          <t>9558010</t>
        </is>
      </c>
      <c r="AW2850" t="inlineStr">
        <is>
          <t>991000216739702656</t>
        </is>
      </c>
      <c r="AX2850" t="inlineStr">
        <is>
          <t>991000216739702656</t>
        </is>
      </c>
      <c r="AY2850" t="inlineStr">
        <is>
          <t>2268432940002656</t>
        </is>
      </c>
      <c r="AZ2850" t="inlineStr">
        <is>
          <t>BOOK</t>
        </is>
      </c>
      <c r="BB2850" t="inlineStr">
        <is>
          <t>9780802819796</t>
        </is>
      </c>
      <c r="BC2850" t="inlineStr">
        <is>
          <t>32285000987130</t>
        </is>
      </c>
      <c r="BD2850" t="inlineStr">
        <is>
          <t>893877901</t>
        </is>
      </c>
    </row>
    <row r="2851">
      <c r="A2851" t="inlineStr">
        <is>
          <t>No</t>
        </is>
      </c>
      <c r="B2851" t="inlineStr">
        <is>
          <t>BX8.2 H345 2000</t>
        </is>
      </c>
      <c r="C2851" t="inlineStr">
        <is>
          <t>0                      BX 0008200H  345         2000</t>
        </is>
      </c>
      <c r="D2851" t="inlineStr">
        <is>
          <t>Conceptions of unity in recent ecumenical discussion : a philosophical analysis / Simon Harrison.</t>
        </is>
      </c>
      <c r="F2851" t="inlineStr">
        <is>
          <t>No</t>
        </is>
      </c>
      <c r="G2851" t="inlineStr">
        <is>
          <t>1</t>
        </is>
      </c>
      <c r="H2851" t="inlineStr">
        <is>
          <t>No</t>
        </is>
      </c>
      <c r="I2851" t="inlineStr">
        <is>
          <t>No</t>
        </is>
      </c>
      <c r="J2851" t="inlineStr">
        <is>
          <t>0</t>
        </is>
      </c>
      <c r="K2851" t="inlineStr">
        <is>
          <t>Harrison, Simon, 1971-</t>
        </is>
      </c>
      <c r="L2851" t="inlineStr">
        <is>
          <t>Oxford ; New York : P. Lang, c2000.</t>
        </is>
      </c>
      <c r="M2851" t="inlineStr">
        <is>
          <t>2000</t>
        </is>
      </c>
      <c r="O2851" t="inlineStr">
        <is>
          <t>eng</t>
        </is>
      </c>
      <c r="P2851" t="inlineStr">
        <is>
          <t>enk</t>
        </is>
      </c>
      <c r="Q2851" t="inlineStr">
        <is>
          <t>Religions and discourse, 1422-8998 ; v. 7</t>
        </is>
      </c>
      <c r="R2851" t="inlineStr">
        <is>
          <t xml:space="preserve">BX </t>
        </is>
      </c>
      <c r="S2851" t="n">
        <v>2</v>
      </c>
      <c r="T2851" t="n">
        <v>2</v>
      </c>
      <c r="U2851" t="inlineStr">
        <is>
          <t>2008-01-24</t>
        </is>
      </c>
      <c r="V2851" t="inlineStr">
        <is>
          <t>2008-01-24</t>
        </is>
      </c>
      <c r="W2851" t="inlineStr">
        <is>
          <t>2004-10-26</t>
        </is>
      </c>
      <c r="X2851" t="inlineStr">
        <is>
          <t>2004-10-26</t>
        </is>
      </c>
      <c r="Y2851" t="n">
        <v>63</v>
      </c>
      <c r="Z2851" t="n">
        <v>42</v>
      </c>
      <c r="AA2851" t="n">
        <v>44</v>
      </c>
      <c r="AB2851" t="n">
        <v>1</v>
      </c>
      <c r="AC2851" t="n">
        <v>1</v>
      </c>
      <c r="AD2851" t="n">
        <v>3</v>
      </c>
      <c r="AE2851" t="n">
        <v>3</v>
      </c>
      <c r="AF2851" t="n">
        <v>0</v>
      </c>
      <c r="AG2851" t="n">
        <v>0</v>
      </c>
      <c r="AH2851" t="n">
        <v>3</v>
      </c>
      <c r="AI2851" t="n">
        <v>3</v>
      </c>
      <c r="AJ2851" t="n">
        <v>2</v>
      </c>
      <c r="AK2851" t="n">
        <v>2</v>
      </c>
      <c r="AL2851" t="n">
        <v>0</v>
      </c>
      <c r="AM2851" t="n">
        <v>0</v>
      </c>
      <c r="AN2851" t="n">
        <v>0</v>
      </c>
      <c r="AO2851" t="n">
        <v>0</v>
      </c>
      <c r="AP2851" t="inlineStr">
        <is>
          <t>No</t>
        </is>
      </c>
      <c r="AQ2851" t="inlineStr">
        <is>
          <t>No</t>
        </is>
      </c>
      <c r="AS2851">
        <f>HYPERLINK("https://creighton-primo.hosted.exlibrisgroup.com/primo-explore/search?tab=default_tab&amp;search_scope=EVERYTHING&amp;vid=01CRU&amp;lang=en_US&amp;offset=0&amp;query=any,contains,991004387679702656","Catalog Record")</f>
        <v/>
      </c>
      <c r="AT2851">
        <f>HYPERLINK("http://www.worldcat.org/oclc/44578987","WorldCat Record")</f>
        <v/>
      </c>
      <c r="AU2851" t="inlineStr">
        <is>
          <t>12400971:eng</t>
        </is>
      </c>
      <c r="AV2851" t="inlineStr">
        <is>
          <t>44578987</t>
        </is>
      </c>
      <c r="AW2851" t="inlineStr">
        <is>
          <t>991004387679702656</t>
        </is>
      </c>
      <c r="AX2851" t="inlineStr">
        <is>
          <t>991004387679702656</t>
        </is>
      </c>
      <c r="AY2851" t="inlineStr">
        <is>
          <t>2267706390002656</t>
        </is>
      </c>
      <c r="AZ2851" t="inlineStr">
        <is>
          <t>BOOK</t>
        </is>
      </c>
      <c r="BB2851" t="inlineStr">
        <is>
          <t>9780820450735</t>
        </is>
      </c>
      <c r="BC2851" t="inlineStr">
        <is>
          <t>32285005006332</t>
        </is>
      </c>
      <c r="BD2851" t="inlineStr">
        <is>
          <t>893700171</t>
        </is>
      </c>
    </row>
    <row r="2852">
      <c r="A2852" t="inlineStr">
        <is>
          <t>No</t>
        </is>
      </c>
      <c r="B2852" t="inlineStr">
        <is>
          <t>BX8.2.A1 C37 1998</t>
        </is>
      </c>
      <c r="C2852" t="inlineStr">
        <is>
          <t>0                      BX 0008200A  1                  C  37          1998</t>
        </is>
      </c>
      <c r="D2852" t="inlineStr">
        <is>
          <t>Deepening communion: international ecumenical documents with Roman Catholic participation.</t>
        </is>
      </c>
      <c r="F2852" t="inlineStr">
        <is>
          <t>No</t>
        </is>
      </c>
      <c r="G2852" t="inlineStr">
        <is>
          <t>1</t>
        </is>
      </c>
      <c r="H2852" t="inlineStr">
        <is>
          <t>No</t>
        </is>
      </c>
      <c r="I2852" t="inlineStr">
        <is>
          <t>No</t>
        </is>
      </c>
      <c r="J2852" t="inlineStr">
        <is>
          <t>0</t>
        </is>
      </c>
      <c r="K2852" t="inlineStr">
        <is>
          <t>Catholic Church.</t>
        </is>
      </c>
      <c r="L2852" t="inlineStr">
        <is>
          <t>Washington, D.C.: United States Catholic Conference, 1998.</t>
        </is>
      </c>
      <c r="M2852" t="inlineStr">
        <is>
          <t>1998</t>
        </is>
      </c>
      <c r="O2852" t="inlineStr">
        <is>
          <t>eng</t>
        </is>
      </c>
      <c r="P2852" t="inlineStr">
        <is>
          <t>xxu</t>
        </is>
      </c>
      <c r="Q2852" t="inlineStr">
        <is>
          <t>Publication (United States Catholic Conference) ; no. 5-164</t>
        </is>
      </c>
      <c r="R2852" t="inlineStr">
        <is>
          <t xml:space="preserve">BX </t>
        </is>
      </c>
      <c r="S2852" t="n">
        <v>7</v>
      </c>
      <c r="T2852" t="n">
        <v>7</v>
      </c>
      <c r="U2852" t="inlineStr">
        <is>
          <t>2008-04-14</t>
        </is>
      </c>
      <c r="V2852" t="inlineStr">
        <is>
          <t>2008-04-14</t>
        </is>
      </c>
      <c r="W2852" t="inlineStr">
        <is>
          <t>1998-06-22</t>
        </is>
      </c>
      <c r="X2852" t="inlineStr">
        <is>
          <t>1998-06-22</t>
        </is>
      </c>
      <c r="Y2852" t="n">
        <v>261</v>
      </c>
      <c r="Z2852" t="n">
        <v>229</v>
      </c>
      <c r="AA2852" t="n">
        <v>244</v>
      </c>
      <c r="AB2852" t="n">
        <v>3</v>
      </c>
      <c r="AC2852" t="n">
        <v>3</v>
      </c>
      <c r="AD2852" t="n">
        <v>26</v>
      </c>
      <c r="AE2852" t="n">
        <v>27</v>
      </c>
      <c r="AF2852" t="n">
        <v>9</v>
      </c>
      <c r="AG2852" t="n">
        <v>10</v>
      </c>
      <c r="AH2852" t="n">
        <v>7</v>
      </c>
      <c r="AI2852" t="n">
        <v>7</v>
      </c>
      <c r="AJ2852" t="n">
        <v>19</v>
      </c>
      <c r="AK2852" t="n">
        <v>19</v>
      </c>
      <c r="AL2852" t="n">
        <v>0</v>
      </c>
      <c r="AM2852" t="n">
        <v>0</v>
      </c>
      <c r="AN2852" t="n">
        <v>0</v>
      </c>
      <c r="AO2852" t="n">
        <v>0</v>
      </c>
      <c r="AP2852" t="inlineStr">
        <is>
          <t>No</t>
        </is>
      </c>
      <c r="AQ2852" t="inlineStr">
        <is>
          <t>No</t>
        </is>
      </c>
      <c r="AS2852">
        <f>HYPERLINK("https://creighton-primo.hosted.exlibrisgroup.com/primo-explore/search?tab=default_tab&amp;search_scope=EVERYTHING&amp;vid=01CRU&amp;lang=en_US&amp;offset=0&amp;query=any,contains,991002949249702656","Catalog Record")</f>
        <v/>
      </c>
      <c r="AT2852">
        <f>HYPERLINK("http://www.worldcat.org/oclc/39503262","WorldCat Record")</f>
        <v/>
      </c>
      <c r="AU2852" t="inlineStr">
        <is>
          <t>2054909:eng</t>
        </is>
      </c>
      <c r="AV2852" t="inlineStr">
        <is>
          <t>39503262</t>
        </is>
      </c>
      <c r="AW2852" t="inlineStr">
        <is>
          <t>991002949249702656</t>
        </is>
      </c>
      <c r="AX2852" t="inlineStr">
        <is>
          <t>991002949249702656</t>
        </is>
      </c>
      <c r="AY2852" t="inlineStr">
        <is>
          <t>2262647640002656</t>
        </is>
      </c>
      <c r="AZ2852" t="inlineStr">
        <is>
          <t>BOOK</t>
        </is>
      </c>
      <c r="BB2852" t="inlineStr">
        <is>
          <t>9781574551648</t>
        </is>
      </c>
      <c r="BC2852" t="inlineStr">
        <is>
          <t>32285003422796</t>
        </is>
      </c>
      <c r="BD2852" t="inlineStr">
        <is>
          <t>893239714</t>
        </is>
      </c>
    </row>
    <row r="2853">
      <c r="A2853" t="inlineStr">
        <is>
          <t>No</t>
        </is>
      </c>
      <c r="B2853" t="inlineStr">
        <is>
          <t>BX8.2.A1 S9</t>
        </is>
      </c>
      <c r="C2853" t="inlineStr">
        <is>
          <t>0                      BX 0008200A  1                  S  9</t>
        </is>
      </c>
      <c r="D2853" t="inlineStr">
        <is>
          <t>Ecumenism, the spirit, and worship / edited by Leonard J.Swidler.</t>
        </is>
      </c>
      <c r="F2853" t="inlineStr">
        <is>
          <t>No</t>
        </is>
      </c>
      <c r="G2853" t="inlineStr">
        <is>
          <t>1</t>
        </is>
      </c>
      <c r="H2853" t="inlineStr">
        <is>
          <t>No</t>
        </is>
      </c>
      <c r="I2853" t="inlineStr">
        <is>
          <t>No</t>
        </is>
      </c>
      <c r="J2853" t="inlineStr">
        <is>
          <t>0</t>
        </is>
      </c>
      <c r="K2853" t="inlineStr">
        <is>
          <t>Swidler, Leonard J. compiler.</t>
        </is>
      </c>
      <c r="L2853" t="inlineStr">
        <is>
          <t>[Pittsburgh, Pa.] Duquesne University Press, 1967.</t>
        </is>
      </c>
      <c r="M2853" t="inlineStr">
        <is>
          <t>1967</t>
        </is>
      </c>
      <c r="O2853" t="inlineStr">
        <is>
          <t>eng</t>
        </is>
      </c>
      <c r="P2853" t="inlineStr">
        <is>
          <t>pau</t>
        </is>
      </c>
      <c r="R2853" t="inlineStr">
        <is>
          <t xml:space="preserve">BX </t>
        </is>
      </c>
      <c r="S2853" t="n">
        <v>1</v>
      </c>
      <c r="T2853" t="n">
        <v>1</v>
      </c>
      <c r="U2853" t="inlineStr">
        <is>
          <t>2002-02-01</t>
        </is>
      </c>
      <c r="V2853" t="inlineStr">
        <is>
          <t>2002-02-01</t>
        </is>
      </c>
      <c r="W2853" t="inlineStr">
        <is>
          <t>1992-03-20</t>
        </is>
      </c>
      <c r="X2853" t="inlineStr">
        <is>
          <t>1992-03-20</t>
        </is>
      </c>
      <c r="Y2853" t="n">
        <v>307</v>
      </c>
      <c r="Z2853" t="n">
        <v>282</v>
      </c>
      <c r="AA2853" t="n">
        <v>289</v>
      </c>
      <c r="AB2853" t="n">
        <v>3</v>
      </c>
      <c r="AC2853" t="n">
        <v>3</v>
      </c>
      <c r="AD2853" t="n">
        <v>29</v>
      </c>
      <c r="AE2853" t="n">
        <v>29</v>
      </c>
      <c r="AF2853" t="n">
        <v>10</v>
      </c>
      <c r="AG2853" t="n">
        <v>10</v>
      </c>
      <c r="AH2853" t="n">
        <v>7</v>
      </c>
      <c r="AI2853" t="n">
        <v>7</v>
      </c>
      <c r="AJ2853" t="n">
        <v>19</v>
      </c>
      <c r="AK2853" t="n">
        <v>19</v>
      </c>
      <c r="AL2853" t="n">
        <v>2</v>
      </c>
      <c r="AM2853" t="n">
        <v>2</v>
      </c>
      <c r="AN2853" t="n">
        <v>0</v>
      </c>
      <c r="AO2853" t="n">
        <v>0</v>
      </c>
      <c r="AP2853" t="inlineStr">
        <is>
          <t>No</t>
        </is>
      </c>
      <c r="AQ2853" t="inlineStr">
        <is>
          <t>Yes</t>
        </is>
      </c>
      <c r="AR2853">
        <f>HYPERLINK("http://catalog.hathitrust.org/Record/008003684","HathiTrust Record")</f>
        <v/>
      </c>
      <c r="AS2853">
        <f>HYPERLINK("https://creighton-primo.hosted.exlibrisgroup.com/primo-explore/search?tab=default_tab&amp;search_scope=EVERYTHING&amp;vid=01CRU&amp;lang=en_US&amp;offset=0&amp;query=any,contains,991004036039702656","Catalog Record")</f>
        <v/>
      </c>
      <c r="AT2853">
        <f>HYPERLINK("http://www.worldcat.org/oclc/2170264","WorldCat Record")</f>
        <v/>
      </c>
      <c r="AU2853" t="inlineStr">
        <is>
          <t>4130206:eng</t>
        </is>
      </c>
      <c r="AV2853" t="inlineStr">
        <is>
          <t>2170264</t>
        </is>
      </c>
      <c r="AW2853" t="inlineStr">
        <is>
          <t>991004036039702656</t>
        </is>
      </c>
      <c r="AX2853" t="inlineStr">
        <is>
          <t>991004036039702656</t>
        </is>
      </c>
      <c r="AY2853" t="inlineStr">
        <is>
          <t>2262391370002656</t>
        </is>
      </c>
      <c r="AZ2853" t="inlineStr">
        <is>
          <t>BOOK</t>
        </is>
      </c>
      <c r="BC2853" t="inlineStr">
        <is>
          <t>32285001016848</t>
        </is>
      </c>
      <c r="BD2853" t="inlineStr">
        <is>
          <t>893535774</t>
        </is>
      </c>
    </row>
    <row r="2854">
      <c r="A2854" t="inlineStr">
        <is>
          <t>No</t>
        </is>
      </c>
      <c r="B2854" t="inlineStr">
        <is>
          <t>BX801 .C3643</t>
        </is>
      </c>
      <c r="C2854" t="inlineStr">
        <is>
          <t>0                      BX 0801000C  3643</t>
        </is>
      </c>
      <c r="D2854" t="inlineStr">
        <is>
          <t>The Catholic mind through fifty years, 1903-1953.</t>
        </is>
      </c>
      <c r="F2854" t="inlineStr">
        <is>
          <t>No</t>
        </is>
      </c>
      <c r="G2854" t="inlineStr">
        <is>
          <t>1</t>
        </is>
      </c>
      <c r="H2854" t="inlineStr">
        <is>
          <t>No</t>
        </is>
      </c>
      <c r="I2854" t="inlineStr">
        <is>
          <t>No</t>
        </is>
      </c>
      <c r="J2854" t="inlineStr">
        <is>
          <t>0</t>
        </is>
      </c>
      <c r="K2854" t="inlineStr">
        <is>
          <t>Catholic mind.</t>
        </is>
      </c>
      <c r="L2854" t="inlineStr">
        <is>
          <t>New York : America Press, 1953.</t>
        </is>
      </c>
      <c r="M2854" t="inlineStr">
        <is>
          <t>1953</t>
        </is>
      </c>
      <c r="O2854" t="inlineStr">
        <is>
          <t>eng</t>
        </is>
      </c>
      <c r="P2854" t="inlineStr">
        <is>
          <t>nyu</t>
        </is>
      </c>
      <c r="R2854" t="inlineStr">
        <is>
          <t xml:space="preserve">BX </t>
        </is>
      </c>
      <c r="S2854" t="n">
        <v>6</v>
      </c>
      <c r="T2854" t="n">
        <v>6</v>
      </c>
      <c r="U2854" t="inlineStr">
        <is>
          <t>2000-02-07</t>
        </is>
      </c>
      <c r="V2854" t="inlineStr">
        <is>
          <t>2000-02-07</t>
        </is>
      </c>
      <c r="W2854" t="inlineStr">
        <is>
          <t>1992-04-10</t>
        </is>
      </c>
      <c r="X2854" t="inlineStr">
        <is>
          <t>1992-04-10</t>
        </is>
      </c>
      <c r="Y2854" t="n">
        <v>271</v>
      </c>
      <c r="Z2854" t="n">
        <v>244</v>
      </c>
      <c r="AA2854" t="n">
        <v>271</v>
      </c>
      <c r="AB2854" t="n">
        <v>4</v>
      </c>
      <c r="AC2854" t="n">
        <v>4</v>
      </c>
      <c r="AD2854" t="n">
        <v>29</v>
      </c>
      <c r="AE2854" t="n">
        <v>33</v>
      </c>
      <c r="AF2854" t="n">
        <v>10</v>
      </c>
      <c r="AG2854" t="n">
        <v>12</v>
      </c>
      <c r="AH2854" t="n">
        <v>8</v>
      </c>
      <c r="AI2854" t="n">
        <v>8</v>
      </c>
      <c r="AJ2854" t="n">
        <v>21</v>
      </c>
      <c r="AK2854" t="n">
        <v>24</v>
      </c>
      <c r="AL2854" t="n">
        <v>0</v>
      </c>
      <c r="AM2854" t="n">
        <v>0</v>
      </c>
      <c r="AN2854" t="n">
        <v>0</v>
      </c>
      <c r="AO2854" t="n">
        <v>0</v>
      </c>
      <c r="AP2854" t="inlineStr">
        <is>
          <t>No</t>
        </is>
      </c>
      <c r="AQ2854" t="inlineStr">
        <is>
          <t>No</t>
        </is>
      </c>
      <c r="AR2854">
        <f>HYPERLINK("http://catalog.hathitrust.org/Record/001415643","HathiTrust Record")</f>
        <v/>
      </c>
      <c r="AS2854">
        <f>HYPERLINK("https://creighton-primo.hosted.exlibrisgroup.com/primo-explore/search?tab=default_tab&amp;search_scope=EVERYTHING&amp;vid=01CRU&amp;lang=en_US&amp;offset=0&amp;query=any,contains,991002612429702656","Catalog Record")</f>
        <v/>
      </c>
      <c r="AT2854">
        <f>HYPERLINK("http://www.worldcat.org/oclc/378313","WorldCat Record")</f>
        <v/>
      </c>
      <c r="AU2854" t="inlineStr">
        <is>
          <t>53964839:eng</t>
        </is>
      </c>
      <c r="AV2854" t="inlineStr">
        <is>
          <t>378313</t>
        </is>
      </c>
      <c r="AW2854" t="inlineStr">
        <is>
          <t>991002612429702656</t>
        </is>
      </c>
      <c r="AX2854" t="inlineStr">
        <is>
          <t>991002612429702656</t>
        </is>
      </c>
      <c r="AY2854" t="inlineStr">
        <is>
          <t>2264533510002656</t>
        </is>
      </c>
      <c r="AZ2854" t="inlineStr">
        <is>
          <t>BOOK</t>
        </is>
      </c>
      <c r="BC2854" t="inlineStr">
        <is>
          <t>32285001018281</t>
        </is>
      </c>
      <c r="BD2854" t="inlineStr">
        <is>
          <t>893504595</t>
        </is>
      </c>
    </row>
    <row r="2855">
      <c r="A2855" t="inlineStr">
        <is>
          <t>No</t>
        </is>
      </c>
      <c r="B2855" t="inlineStr">
        <is>
          <t>BX801.T33 B76 1983</t>
        </is>
      </c>
      <c r="C2855" t="inlineStr">
        <is>
          <t>0                      BX 0801000T  33                 B  76          1983</t>
        </is>
      </c>
      <c r="D2855" t="inlineStr">
        <is>
          <t>The Tablet : the first seventy-five years / by Alden V. Brown.</t>
        </is>
      </c>
      <c r="F2855" t="inlineStr">
        <is>
          <t>No</t>
        </is>
      </c>
      <c r="G2855" t="inlineStr">
        <is>
          <t>1</t>
        </is>
      </c>
      <c r="H2855" t="inlineStr">
        <is>
          <t>No</t>
        </is>
      </c>
      <c r="I2855" t="inlineStr">
        <is>
          <t>No</t>
        </is>
      </c>
      <c r="J2855" t="inlineStr">
        <is>
          <t>0</t>
        </is>
      </c>
      <c r="K2855" t="inlineStr">
        <is>
          <t>Brown, Alden V.</t>
        </is>
      </c>
      <c r="L2855" t="inlineStr">
        <is>
          <t>[Brooklyn] : Tablet Pub. Co., c1983.</t>
        </is>
      </c>
      <c r="M2855" t="inlineStr">
        <is>
          <t>1983</t>
        </is>
      </c>
      <c r="O2855" t="inlineStr">
        <is>
          <t>eng</t>
        </is>
      </c>
      <c r="P2855" t="inlineStr">
        <is>
          <t>nyu</t>
        </is>
      </c>
      <c r="R2855" t="inlineStr">
        <is>
          <t xml:space="preserve">BX </t>
        </is>
      </c>
      <c r="S2855" t="n">
        <v>1</v>
      </c>
      <c r="T2855" t="n">
        <v>1</v>
      </c>
      <c r="U2855" t="inlineStr">
        <is>
          <t>2002-03-11</t>
        </is>
      </c>
      <c r="V2855" t="inlineStr">
        <is>
          <t>2002-03-11</t>
        </is>
      </c>
      <c r="W2855" t="inlineStr">
        <is>
          <t>1992-04-10</t>
        </is>
      </c>
      <c r="X2855" t="inlineStr">
        <is>
          <t>1992-04-10</t>
        </is>
      </c>
      <c r="Y2855" t="n">
        <v>78</v>
      </c>
      <c r="Z2855" t="n">
        <v>77</v>
      </c>
      <c r="AA2855" t="n">
        <v>82</v>
      </c>
      <c r="AB2855" t="n">
        <v>1</v>
      </c>
      <c r="AC2855" t="n">
        <v>1</v>
      </c>
      <c r="AD2855" t="n">
        <v>24</v>
      </c>
      <c r="AE2855" t="n">
        <v>24</v>
      </c>
      <c r="AF2855" t="n">
        <v>7</v>
      </c>
      <c r="AG2855" t="n">
        <v>7</v>
      </c>
      <c r="AH2855" t="n">
        <v>7</v>
      </c>
      <c r="AI2855" t="n">
        <v>7</v>
      </c>
      <c r="AJ2855" t="n">
        <v>20</v>
      </c>
      <c r="AK2855" t="n">
        <v>20</v>
      </c>
      <c r="AL2855" t="n">
        <v>0</v>
      </c>
      <c r="AM2855" t="n">
        <v>0</v>
      </c>
      <c r="AN2855" t="n">
        <v>0</v>
      </c>
      <c r="AO2855" t="n">
        <v>0</v>
      </c>
      <c r="AP2855" t="inlineStr">
        <is>
          <t>No</t>
        </is>
      </c>
      <c r="AQ2855" t="inlineStr">
        <is>
          <t>No</t>
        </is>
      </c>
      <c r="AS2855">
        <f>HYPERLINK("https://creighton-primo.hosted.exlibrisgroup.com/primo-explore/search?tab=default_tab&amp;search_scope=EVERYTHING&amp;vid=01CRU&amp;lang=en_US&amp;offset=0&amp;query=any,contains,991000499519702656","Catalog Record")</f>
        <v/>
      </c>
      <c r="AT2855">
        <f>HYPERLINK("http://www.worldcat.org/oclc/11159858","WorldCat Record")</f>
        <v/>
      </c>
      <c r="AU2855" t="inlineStr">
        <is>
          <t>10176206064:eng</t>
        </is>
      </c>
      <c r="AV2855" t="inlineStr">
        <is>
          <t>11159858</t>
        </is>
      </c>
      <c r="AW2855" t="inlineStr">
        <is>
          <t>991000499519702656</t>
        </is>
      </c>
      <c r="AX2855" t="inlineStr">
        <is>
          <t>991000499519702656</t>
        </is>
      </c>
      <c r="AY2855" t="inlineStr">
        <is>
          <t>2258108120002656</t>
        </is>
      </c>
      <c r="AZ2855" t="inlineStr">
        <is>
          <t>BOOK</t>
        </is>
      </c>
      <c r="BC2855" t="inlineStr">
        <is>
          <t>32285001018299</t>
        </is>
      </c>
      <c r="BD2855" t="inlineStr">
        <is>
          <t>893796711</t>
        </is>
      </c>
    </row>
    <row r="2856">
      <c r="A2856" t="inlineStr">
        <is>
          <t>No</t>
        </is>
      </c>
      <c r="B2856" t="inlineStr">
        <is>
          <t>BX8041 .K84 1988</t>
        </is>
      </c>
      <c r="C2856" t="inlineStr">
        <is>
          <t>0                      BX 8041000K  84          1988</t>
        </is>
      </c>
      <c r="D2856" t="inlineStr">
        <is>
          <t>The rise and fall of American Lutheran pietism : the rejection of an activist heritage / Paul P. Kuenning.</t>
        </is>
      </c>
      <c r="F2856" t="inlineStr">
        <is>
          <t>No</t>
        </is>
      </c>
      <c r="G2856" t="inlineStr">
        <is>
          <t>1</t>
        </is>
      </c>
      <c r="H2856" t="inlineStr">
        <is>
          <t>No</t>
        </is>
      </c>
      <c r="I2856" t="inlineStr">
        <is>
          <t>No</t>
        </is>
      </c>
      <c r="J2856" t="inlineStr">
        <is>
          <t>0</t>
        </is>
      </c>
      <c r="K2856" t="inlineStr">
        <is>
          <t>Kuenning, Paul P.</t>
        </is>
      </c>
      <c r="L2856" t="inlineStr">
        <is>
          <t>Macon, Ga. : Mercer, c1988.</t>
        </is>
      </c>
      <c r="M2856" t="inlineStr">
        <is>
          <t>1988</t>
        </is>
      </c>
      <c r="O2856" t="inlineStr">
        <is>
          <t>eng</t>
        </is>
      </c>
      <c r="P2856" t="inlineStr">
        <is>
          <t>gau</t>
        </is>
      </c>
      <c r="R2856" t="inlineStr">
        <is>
          <t xml:space="preserve">BX </t>
        </is>
      </c>
      <c r="S2856" t="n">
        <v>6</v>
      </c>
      <c r="T2856" t="n">
        <v>6</v>
      </c>
      <c r="U2856" t="inlineStr">
        <is>
          <t>2004-11-16</t>
        </is>
      </c>
      <c r="V2856" t="inlineStr">
        <is>
          <t>2004-11-16</t>
        </is>
      </c>
      <c r="W2856" t="inlineStr">
        <is>
          <t>1990-09-10</t>
        </is>
      </c>
      <c r="X2856" t="inlineStr">
        <is>
          <t>1990-09-10</t>
        </is>
      </c>
      <c r="Y2856" t="n">
        <v>330</v>
      </c>
      <c r="Z2856" t="n">
        <v>292</v>
      </c>
      <c r="AA2856" t="n">
        <v>292</v>
      </c>
      <c r="AB2856" t="n">
        <v>4</v>
      </c>
      <c r="AC2856" t="n">
        <v>4</v>
      </c>
      <c r="AD2856" t="n">
        <v>16</v>
      </c>
      <c r="AE2856" t="n">
        <v>16</v>
      </c>
      <c r="AF2856" t="n">
        <v>6</v>
      </c>
      <c r="AG2856" t="n">
        <v>6</v>
      </c>
      <c r="AH2856" t="n">
        <v>3</v>
      </c>
      <c r="AI2856" t="n">
        <v>3</v>
      </c>
      <c r="AJ2856" t="n">
        <v>8</v>
      </c>
      <c r="AK2856" t="n">
        <v>8</v>
      </c>
      <c r="AL2856" t="n">
        <v>3</v>
      </c>
      <c r="AM2856" t="n">
        <v>3</v>
      </c>
      <c r="AN2856" t="n">
        <v>0</v>
      </c>
      <c r="AO2856" t="n">
        <v>0</v>
      </c>
      <c r="AP2856" t="inlineStr">
        <is>
          <t>No</t>
        </is>
      </c>
      <c r="AQ2856" t="inlineStr">
        <is>
          <t>No</t>
        </is>
      </c>
      <c r="AS2856">
        <f>HYPERLINK("https://creighton-primo.hosted.exlibrisgroup.com/primo-explore/search?tab=default_tab&amp;search_scope=EVERYTHING&amp;vid=01CRU&amp;lang=en_US&amp;offset=0&amp;query=any,contains,991001316319702656","Catalog Record")</f>
        <v/>
      </c>
      <c r="AT2856">
        <f>HYPERLINK("http://www.worldcat.org/oclc/18190864","WorldCat Record")</f>
        <v/>
      </c>
      <c r="AU2856" t="inlineStr">
        <is>
          <t>17069694:eng</t>
        </is>
      </c>
      <c r="AV2856" t="inlineStr">
        <is>
          <t>18190864</t>
        </is>
      </c>
      <c r="AW2856" t="inlineStr">
        <is>
          <t>991001316319702656</t>
        </is>
      </c>
      <c r="AX2856" t="inlineStr">
        <is>
          <t>991001316319702656</t>
        </is>
      </c>
      <c r="AY2856" t="inlineStr">
        <is>
          <t>2270522110002656</t>
        </is>
      </c>
      <c r="AZ2856" t="inlineStr">
        <is>
          <t>BOOK</t>
        </is>
      </c>
      <c r="BB2856" t="inlineStr">
        <is>
          <t>9780865543065</t>
        </is>
      </c>
      <c r="BC2856" t="inlineStr">
        <is>
          <t>32285000276963</t>
        </is>
      </c>
      <c r="BD2856" t="inlineStr">
        <is>
          <t>893522492</t>
        </is>
      </c>
    </row>
    <row r="2857">
      <c r="A2857" t="inlineStr">
        <is>
          <t>No</t>
        </is>
      </c>
      <c r="B2857" t="inlineStr">
        <is>
          <t>BX8041 .L34 1999</t>
        </is>
      </c>
      <c r="C2857" t="inlineStr">
        <is>
          <t>0                      BX 8041000L  34          1999</t>
        </is>
      </c>
      <c r="D2857" t="inlineStr">
        <is>
          <t>The Lutherans / L. DeAne Lagerquist.</t>
        </is>
      </c>
      <c r="F2857" t="inlineStr">
        <is>
          <t>No</t>
        </is>
      </c>
      <c r="G2857" t="inlineStr">
        <is>
          <t>1</t>
        </is>
      </c>
      <c r="H2857" t="inlineStr">
        <is>
          <t>No</t>
        </is>
      </c>
      <c r="I2857" t="inlineStr">
        <is>
          <t>No</t>
        </is>
      </c>
      <c r="J2857" t="inlineStr">
        <is>
          <t>0</t>
        </is>
      </c>
      <c r="K2857" t="inlineStr">
        <is>
          <t>Lagerquist, L. DeAne.</t>
        </is>
      </c>
      <c r="L2857" t="inlineStr">
        <is>
          <t>Westport, Conn. : Greenwood Press, 1999.</t>
        </is>
      </c>
      <c r="M2857" t="inlineStr">
        <is>
          <t>1999</t>
        </is>
      </c>
      <c r="O2857" t="inlineStr">
        <is>
          <t>eng</t>
        </is>
      </c>
      <c r="P2857" t="inlineStr">
        <is>
          <t>ctu</t>
        </is>
      </c>
      <c r="Q2857" t="inlineStr">
        <is>
          <t>Denominations in America, 0193-6883 ; no. 9</t>
        </is>
      </c>
      <c r="R2857" t="inlineStr">
        <is>
          <t xml:space="preserve">BX </t>
        </is>
      </c>
      <c r="S2857" t="n">
        <v>6</v>
      </c>
      <c r="T2857" t="n">
        <v>6</v>
      </c>
      <c r="U2857" t="inlineStr">
        <is>
          <t>2004-10-29</t>
        </is>
      </c>
      <c r="V2857" t="inlineStr">
        <is>
          <t>2004-10-29</t>
        </is>
      </c>
      <c r="W2857" t="inlineStr">
        <is>
          <t>1999-11-15</t>
        </is>
      </c>
      <c r="X2857" t="inlineStr">
        <is>
          <t>1999-11-15</t>
        </is>
      </c>
      <c r="Y2857" t="n">
        <v>270</v>
      </c>
      <c r="Z2857" t="n">
        <v>263</v>
      </c>
      <c r="AA2857" t="n">
        <v>739</v>
      </c>
      <c r="AB2857" t="n">
        <v>4</v>
      </c>
      <c r="AC2857" t="n">
        <v>9</v>
      </c>
      <c r="AD2857" t="n">
        <v>13</v>
      </c>
      <c r="AE2857" t="n">
        <v>28</v>
      </c>
      <c r="AF2857" t="n">
        <v>5</v>
      </c>
      <c r="AG2857" t="n">
        <v>11</v>
      </c>
      <c r="AH2857" t="n">
        <v>3</v>
      </c>
      <c r="AI2857" t="n">
        <v>5</v>
      </c>
      <c r="AJ2857" t="n">
        <v>6</v>
      </c>
      <c r="AK2857" t="n">
        <v>11</v>
      </c>
      <c r="AL2857" t="n">
        <v>2</v>
      </c>
      <c r="AM2857" t="n">
        <v>7</v>
      </c>
      <c r="AN2857" t="n">
        <v>0</v>
      </c>
      <c r="AO2857" t="n">
        <v>0</v>
      </c>
      <c r="AP2857" t="inlineStr">
        <is>
          <t>No</t>
        </is>
      </c>
      <c r="AQ2857" t="inlineStr">
        <is>
          <t>No</t>
        </is>
      </c>
      <c r="AS2857">
        <f>HYPERLINK("https://creighton-primo.hosted.exlibrisgroup.com/primo-explore/search?tab=default_tab&amp;search_scope=EVERYTHING&amp;vid=01CRU&amp;lang=en_US&amp;offset=0&amp;query=any,contains,991003018189702656","Catalog Record")</f>
        <v/>
      </c>
      <c r="AT2857">
        <f>HYPERLINK("http://www.worldcat.org/oclc/41086635","WorldCat Record")</f>
        <v/>
      </c>
      <c r="AU2857" t="inlineStr">
        <is>
          <t>2580350:eng</t>
        </is>
      </c>
      <c r="AV2857" t="inlineStr">
        <is>
          <t>41086635</t>
        </is>
      </c>
      <c r="AW2857" t="inlineStr">
        <is>
          <t>991003018189702656</t>
        </is>
      </c>
      <c r="AX2857" t="inlineStr">
        <is>
          <t>991003018189702656</t>
        </is>
      </c>
      <c r="AY2857" t="inlineStr">
        <is>
          <t>2261506160002656</t>
        </is>
      </c>
      <c r="AZ2857" t="inlineStr">
        <is>
          <t>BOOK</t>
        </is>
      </c>
      <c r="BB2857" t="inlineStr">
        <is>
          <t>9780313275494</t>
        </is>
      </c>
      <c r="BC2857" t="inlineStr">
        <is>
          <t>32285003621900</t>
        </is>
      </c>
      <c r="BD2857" t="inlineStr">
        <is>
          <t>893893295</t>
        </is>
      </c>
    </row>
    <row r="2858">
      <c r="A2858" t="inlineStr">
        <is>
          <t>No</t>
        </is>
      </c>
      <c r="B2858" t="inlineStr">
        <is>
          <t>BX8041 .L87</t>
        </is>
      </c>
      <c r="C2858" t="inlineStr">
        <is>
          <t>0                      BX 8041000L  87</t>
        </is>
      </c>
      <c r="D2858" t="inlineStr">
        <is>
          <t>The Lutherans in North America / edited by E. Clifford Nelson, in collaboration with Theodore G. Tappert ... [et al.].</t>
        </is>
      </c>
      <c r="F2858" t="inlineStr">
        <is>
          <t>No</t>
        </is>
      </c>
      <c r="G2858" t="inlineStr">
        <is>
          <t>1</t>
        </is>
      </c>
      <c r="H2858" t="inlineStr">
        <is>
          <t>No</t>
        </is>
      </c>
      <c r="I2858" t="inlineStr">
        <is>
          <t>No</t>
        </is>
      </c>
      <c r="J2858" t="inlineStr">
        <is>
          <t>0</t>
        </is>
      </c>
      <c r="L2858" t="inlineStr">
        <is>
          <t>Philadelphia : Fortress Press, c1975.</t>
        </is>
      </c>
      <c r="M2858" t="inlineStr">
        <is>
          <t>1975</t>
        </is>
      </c>
      <c r="O2858" t="inlineStr">
        <is>
          <t>eng</t>
        </is>
      </c>
      <c r="P2858" t="inlineStr">
        <is>
          <t>pau</t>
        </is>
      </c>
      <c r="R2858" t="inlineStr">
        <is>
          <t xml:space="preserve">BX </t>
        </is>
      </c>
      <c r="S2858" t="n">
        <v>3</v>
      </c>
      <c r="T2858" t="n">
        <v>3</v>
      </c>
      <c r="U2858" t="inlineStr">
        <is>
          <t>2009-01-14</t>
        </is>
      </c>
      <c r="V2858" t="inlineStr">
        <is>
          <t>2009-01-14</t>
        </is>
      </c>
      <c r="W2858" t="inlineStr">
        <is>
          <t>1992-05-04</t>
        </is>
      </c>
      <c r="X2858" t="inlineStr">
        <is>
          <t>1992-05-04</t>
        </is>
      </c>
      <c r="Y2858" t="n">
        <v>637</v>
      </c>
      <c r="Z2858" t="n">
        <v>578</v>
      </c>
      <c r="AA2858" t="n">
        <v>699</v>
      </c>
      <c r="AB2858" t="n">
        <v>3</v>
      </c>
      <c r="AC2858" t="n">
        <v>4</v>
      </c>
      <c r="AD2858" t="n">
        <v>22</v>
      </c>
      <c r="AE2858" t="n">
        <v>29</v>
      </c>
      <c r="AF2858" t="n">
        <v>6</v>
      </c>
      <c r="AG2858" t="n">
        <v>10</v>
      </c>
      <c r="AH2858" t="n">
        <v>7</v>
      </c>
      <c r="AI2858" t="n">
        <v>9</v>
      </c>
      <c r="AJ2858" t="n">
        <v>10</v>
      </c>
      <c r="AK2858" t="n">
        <v>14</v>
      </c>
      <c r="AL2858" t="n">
        <v>2</v>
      </c>
      <c r="AM2858" t="n">
        <v>3</v>
      </c>
      <c r="AN2858" t="n">
        <v>0</v>
      </c>
      <c r="AO2858" t="n">
        <v>0</v>
      </c>
      <c r="AP2858" t="inlineStr">
        <is>
          <t>No</t>
        </is>
      </c>
      <c r="AQ2858" t="inlineStr">
        <is>
          <t>Yes</t>
        </is>
      </c>
      <c r="AR2858">
        <f>HYPERLINK("http://catalog.hathitrust.org/Record/000699201","HathiTrust Record")</f>
        <v/>
      </c>
      <c r="AS2858">
        <f>HYPERLINK("https://creighton-primo.hosted.exlibrisgroup.com/primo-explore/search?tab=default_tab&amp;search_scope=EVERYTHING&amp;vid=01CRU&amp;lang=en_US&amp;offset=0&amp;query=any,contains,991003945329702656","Catalog Record")</f>
        <v/>
      </c>
      <c r="AT2858">
        <f>HYPERLINK("http://www.worldcat.org/oclc/1945142","WorldCat Record")</f>
        <v/>
      </c>
      <c r="AU2858" t="inlineStr">
        <is>
          <t>54090632:eng</t>
        </is>
      </c>
      <c r="AV2858" t="inlineStr">
        <is>
          <t>1945142</t>
        </is>
      </c>
      <c r="AW2858" t="inlineStr">
        <is>
          <t>991003945329702656</t>
        </is>
      </c>
      <c r="AX2858" t="inlineStr">
        <is>
          <t>991003945329702656</t>
        </is>
      </c>
      <c r="AY2858" t="inlineStr">
        <is>
          <t>2264962770002656</t>
        </is>
      </c>
      <c r="AZ2858" t="inlineStr">
        <is>
          <t>BOOK</t>
        </is>
      </c>
      <c r="BB2858" t="inlineStr">
        <is>
          <t>9780800604097</t>
        </is>
      </c>
      <c r="BC2858" t="inlineStr">
        <is>
          <t>32285001092385</t>
        </is>
      </c>
      <c r="BD2858" t="inlineStr">
        <is>
          <t>893904632</t>
        </is>
      </c>
    </row>
    <row r="2859">
      <c r="A2859" t="inlineStr">
        <is>
          <t>No</t>
        </is>
      </c>
      <c r="B2859" t="inlineStr">
        <is>
          <t>BX8061.M7 D36</t>
        </is>
      </c>
      <c r="C2859" t="inlineStr">
        <is>
          <t>0                      BX 8061000M  7                  D  36</t>
        </is>
      </c>
      <c r="D2859" t="inlineStr">
        <is>
          <t>No room in the brotherhood : the Preus-Otten purge of Missouri / by Frederick W. Danker ; assisted by Jan Schambach.</t>
        </is>
      </c>
      <c r="F2859" t="inlineStr">
        <is>
          <t>No</t>
        </is>
      </c>
      <c r="G2859" t="inlineStr">
        <is>
          <t>1</t>
        </is>
      </c>
      <c r="H2859" t="inlineStr">
        <is>
          <t>No</t>
        </is>
      </c>
      <c r="I2859" t="inlineStr">
        <is>
          <t>No</t>
        </is>
      </c>
      <c r="J2859" t="inlineStr">
        <is>
          <t>0</t>
        </is>
      </c>
      <c r="K2859" t="inlineStr">
        <is>
          <t>Danker, Frederick W.</t>
        </is>
      </c>
      <c r="L2859" t="inlineStr">
        <is>
          <t>St. Louis : Clayton Pub. House, c1977.</t>
        </is>
      </c>
      <c r="M2859" t="inlineStr">
        <is>
          <t>1977</t>
        </is>
      </c>
      <c r="O2859" t="inlineStr">
        <is>
          <t>eng</t>
        </is>
      </c>
      <c r="P2859" t="inlineStr">
        <is>
          <t>mou</t>
        </is>
      </c>
      <c r="R2859" t="inlineStr">
        <is>
          <t xml:space="preserve">BX </t>
        </is>
      </c>
      <c r="S2859" t="n">
        <v>4</v>
      </c>
      <c r="T2859" t="n">
        <v>4</v>
      </c>
      <c r="U2859" t="inlineStr">
        <is>
          <t>1994-11-16</t>
        </is>
      </c>
      <c r="V2859" t="inlineStr">
        <is>
          <t>1994-11-16</t>
        </is>
      </c>
      <c r="W2859" t="inlineStr">
        <is>
          <t>1992-05-19</t>
        </is>
      </c>
      <c r="X2859" t="inlineStr">
        <is>
          <t>1992-05-19</t>
        </is>
      </c>
      <c r="Y2859" t="n">
        <v>275</v>
      </c>
      <c r="Z2859" t="n">
        <v>250</v>
      </c>
      <c r="AA2859" t="n">
        <v>251</v>
      </c>
      <c r="AB2859" t="n">
        <v>3</v>
      </c>
      <c r="AC2859" t="n">
        <v>3</v>
      </c>
      <c r="AD2859" t="n">
        <v>11</v>
      </c>
      <c r="AE2859" t="n">
        <v>11</v>
      </c>
      <c r="AF2859" t="n">
        <v>3</v>
      </c>
      <c r="AG2859" t="n">
        <v>3</v>
      </c>
      <c r="AH2859" t="n">
        <v>2</v>
      </c>
      <c r="AI2859" t="n">
        <v>2</v>
      </c>
      <c r="AJ2859" t="n">
        <v>5</v>
      </c>
      <c r="AK2859" t="n">
        <v>5</v>
      </c>
      <c r="AL2859" t="n">
        <v>2</v>
      </c>
      <c r="AM2859" t="n">
        <v>2</v>
      </c>
      <c r="AN2859" t="n">
        <v>0</v>
      </c>
      <c r="AO2859" t="n">
        <v>0</v>
      </c>
      <c r="AP2859" t="inlineStr">
        <is>
          <t>No</t>
        </is>
      </c>
      <c r="AQ2859" t="inlineStr">
        <is>
          <t>Yes</t>
        </is>
      </c>
      <c r="AR2859">
        <f>HYPERLINK("http://catalog.hathitrust.org/Record/007287270","HathiTrust Record")</f>
        <v/>
      </c>
      <c r="AS2859">
        <f>HYPERLINK("https://creighton-primo.hosted.exlibrisgroup.com/primo-explore/search?tab=default_tab&amp;search_scope=EVERYTHING&amp;vid=01CRU&amp;lang=en_US&amp;offset=0&amp;query=any,contains,991004392749702656","Catalog Record")</f>
        <v/>
      </c>
      <c r="AT2859">
        <f>HYPERLINK("http://www.worldcat.org/oclc/2991152","WorldCat Record")</f>
        <v/>
      </c>
      <c r="AU2859" t="inlineStr">
        <is>
          <t>7253136:eng</t>
        </is>
      </c>
      <c r="AV2859" t="inlineStr">
        <is>
          <t>2991152</t>
        </is>
      </c>
      <c r="AW2859" t="inlineStr">
        <is>
          <t>991004392749702656</t>
        </is>
      </c>
      <c r="AX2859" t="inlineStr">
        <is>
          <t>991004392749702656</t>
        </is>
      </c>
      <c r="AY2859" t="inlineStr">
        <is>
          <t>2260852940002656</t>
        </is>
      </c>
      <c r="AZ2859" t="inlineStr">
        <is>
          <t>BOOK</t>
        </is>
      </c>
      <c r="BB2859" t="inlineStr">
        <is>
          <t>9780915644100</t>
        </is>
      </c>
      <c r="BC2859" t="inlineStr">
        <is>
          <t>32285001124055</t>
        </is>
      </c>
      <c r="BD2859" t="inlineStr">
        <is>
          <t>893513169</t>
        </is>
      </c>
    </row>
    <row r="2860">
      <c r="A2860" t="inlineStr">
        <is>
          <t>No</t>
        </is>
      </c>
      <c r="B2860" t="inlineStr">
        <is>
          <t>BX8061.M7 N45 1998</t>
        </is>
      </c>
      <c r="C2860" t="inlineStr">
        <is>
          <t>0                      BX 8061000M  7                  N  45          1998</t>
        </is>
      </c>
      <c r="D2860" t="inlineStr">
        <is>
          <t>The theology of inexpedience : two case studies in "moderate" congregational dissent in the Lutheran Church--Missouri Synod / Jeffrey S. Nelson.</t>
        </is>
      </c>
      <c r="F2860" t="inlineStr">
        <is>
          <t>No</t>
        </is>
      </c>
      <c r="G2860" t="inlineStr">
        <is>
          <t>1</t>
        </is>
      </c>
      <c r="H2860" t="inlineStr">
        <is>
          <t>No</t>
        </is>
      </c>
      <c r="I2860" t="inlineStr">
        <is>
          <t>No</t>
        </is>
      </c>
      <c r="J2860" t="inlineStr">
        <is>
          <t>0</t>
        </is>
      </c>
      <c r="K2860" t="inlineStr">
        <is>
          <t>Nelson, Jeffrey S.</t>
        </is>
      </c>
      <c r="L2860" t="inlineStr">
        <is>
          <t>Lanham, Md. : University Press of America, c1998.</t>
        </is>
      </c>
      <c r="M2860" t="inlineStr">
        <is>
          <t>1998</t>
        </is>
      </c>
      <c r="O2860" t="inlineStr">
        <is>
          <t>eng</t>
        </is>
      </c>
      <c r="P2860" t="inlineStr">
        <is>
          <t>mdu</t>
        </is>
      </c>
      <c r="R2860" t="inlineStr">
        <is>
          <t xml:space="preserve">BX </t>
        </is>
      </c>
      <c r="S2860" t="n">
        <v>3</v>
      </c>
      <c r="T2860" t="n">
        <v>3</v>
      </c>
      <c r="U2860" t="inlineStr">
        <is>
          <t>2005-05-04</t>
        </is>
      </c>
      <c r="V2860" t="inlineStr">
        <is>
          <t>2005-05-04</t>
        </is>
      </c>
      <c r="W2860" t="inlineStr">
        <is>
          <t>1998-04-29</t>
        </is>
      </c>
      <c r="X2860" t="inlineStr">
        <is>
          <t>1998-04-29</t>
        </is>
      </c>
      <c r="Y2860" t="n">
        <v>64</v>
      </c>
      <c r="Z2860" t="n">
        <v>59</v>
      </c>
      <c r="AA2860" t="n">
        <v>61</v>
      </c>
      <c r="AB2860" t="n">
        <v>5</v>
      </c>
      <c r="AC2860" t="n">
        <v>5</v>
      </c>
      <c r="AD2860" t="n">
        <v>6</v>
      </c>
      <c r="AE2860" t="n">
        <v>6</v>
      </c>
      <c r="AF2860" t="n">
        <v>1</v>
      </c>
      <c r="AG2860" t="n">
        <v>1</v>
      </c>
      <c r="AH2860" t="n">
        <v>0</v>
      </c>
      <c r="AI2860" t="n">
        <v>0</v>
      </c>
      <c r="AJ2860" t="n">
        <v>2</v>
      </c>
      <c r="AK2860" t="n">
        <v>2</v>
      </c>
      <c r="AL2860" t="n">
        <v>3</v>
      </c>
      <c r="AM2860" t="n">
        <v>3</v>
      </c>
      <c r="AN2860" t="n">
        <v>0</v>
      </c>
      <c r="AO2860" t="n">
        <v>0</v>
      </c>
      <c r="AP2860" t="inlineStr">
        <is>
          <t>No</t>
        </is>
      </c>
      <c r="AQ2860" t="inlineStr">
        <is>
          <t>Yes</t>
        </is>
      </c>
      <c r="AR2860">
        <f>HYPERLINK("http://catalog.hathitrust.org/Record/003974513","HathiTrust Record")</f>
        <v/>
      </c>
      <c r="AS2860">
        <f>HYPERLINK("https://creighton-primo.hosted.exlibrisgroup.com/primo-explore/search?tab=default_tab&amp;search_scope=EVERYTHING&amp;vid=01CRU&amp;lang=en_US&amp;offset=0&amp;query=any,contains,991002831769702656","Catalog Record")</f>
        <v/>
      </c>
      <c r="AT2860">
        <f>HYPERLINK("http://www.worldcat.org/oclc/37293266","WorldCat Record")</f>
        <v/>
      </c>
      <c r="AU2860" t="inlineStr">
        <is>
          <t>475055198:eng</t>
        </is>
      </c>
      <c r="AV2860" t="inlineStr">
        <is>
          <t>37293266</t>
        </is>
      </c>
      <c r="AW2860" t="inlineStr">
        <is>
          <t>991002831769702656</t>
        </is>
      </c>
      <c r="AX2860" t="inlineStr">
        <is>
          <t>991002831769702656</t>
        </is>
      </c>
      <c r="AY2860" t="inlineStr">
        <is>
          <t>2267068290002656</t>
        </is>
      </c>
      <c r="AZ2860" t="inlineStr">
        <is>
          <t>BOOK</t>
        </is>
      </c>
      <c r="BB2860" t="inlineStr">
        <is>
          <t>9780761808688</t>
        </is>
      </c>
      <c r="BC2860" t="inlineStr">
        <is>
          <t>32285003379178</t>
        </is>
      </c>
      <c r="BD2860" t="inlineStr">
        <is>
          <t>893517809</t>
        </is>
      </c>
    </row>
    <row r="2861">
      <c r="A2861" t="inlineStr">
        <is>
          <t>No</t>
        </is>
      </c>
      <c r="B2861" t="inlineStr">
        <is>
          <t>BX8061.M7 T63 2000</t>
        </is>
      </c>
      <c r="C2861" t="inlineStr">
        <is>
          <t>0                      BX 8061000M  7                  T  63          2000</t>
        </is>
      </c>
      <c r="D2861" t="inlineStr">
        <is>
          <t>Authority vested : a story of identity and change in the Lutheran Church-Missouri Synod / Mary Todd ; [foreword by Martin E. Marty].</t>
        </is>
      </c>
      <c r="F2861" t="inlineStr">
        <is>
          <t>No</t>
        </is>
      </c>
      <c r="G2861" t="inlineStr">
        <is>
          <t>1</t>
        </is>
      </c>
      <c r="H2861" t="inlineStr">
        <is>
          <t>No</t>
        </is>
      </c>
      <c r="I2861" t="inlineStr">
        <is>
          <t>No</t>
        </is>
      </c>
      <c r="J2861" t="inlineStr">
        <is>
          <t>0</t>
        </is>
      </c>
      <c r="K2861" t="inlineStr">
        <is>
          <t>Todd, Mary.</t>
        </is>
      </c>
      <c r="L2861" t="inlineStr">
        <is>
          <t>Grand Rapids, Mich. : W.B. Eerdmans Pub. Co., c2000.</t>
        </is>
      </c>
      <c r="M2861" t="inlineStr">
        <is>
          <t>2000</t>
        </is>
      </c>
      <c r="O2861" t="inlineStr">
        <is>
          <t>eng</t>
        </is>
      </c>
      <c r="P2861" t="inlineStr">
        <is>
          <t>miu</t>
        </is>
      </c>
      <c r="R2861" t="inlineStr">
        <is>
          <t xml:space="preserve">BX </t>
        </is>
      </c>
      <c r="S2861" t="n">
        <v>8</v>
      </c>
      <c r="T2861" t="n">
        <v>8</v>
      </c>
      <c r="U2861" t="inlineStr">
        <is>
          <t>2004-11-04</t>
        </is>
      </c>
      <c r="V2861" t="inlineStr">
        <is>
          <t>2004-11-04</t>
        </is>
      </c>
      <c r="W2861" t="inlineStr">
        <is>
          <t>2001-01-24</t>
        </is>
      </c>
      <c r="X2861" t="inlineStr">
        <is>
          <t>2001-01-24</t>
        </is>
      </c>
      <c r="Y2861" t="n">
        <v>274</v>
      </c>
      <c r="Z2861" t="n">
        <v>252</v>
      </c>
      <c r="AA2861" t="n">
        <v>253</v>
      </c>
      <c r="AB2861" t="n">
        <v>5</v>
      </c>
      <c r="AC2861" t="n">
        <v>5</v>
      </c>
      <c r="AD2861" t="n">
        <v>18</v>
      </c>
      <c r="AE2861" t="n">
        <v>18</v>
      </c>
      <c r="AF2861" t="n">
        <v>6</v>
      </c>
      <c r="AG2861" t="n">
        <v>6</v>
      </c>
      <c r="AH2861" t="n">
        <v>4</v>
      </c>
      <c r="AI2861" t="n">
        <v>4</v>
      </c>
      <c r="AJ2861" t="n">
        <v>8</v>
      </c>
      <c r="AK2861" t="n">
        <v>8</v>
      </c>
      <c r="AL2861" t="n">
        <v>4</v>
      </c>
      <c r="AM2861" t="n">
        <v>4</v>
      </c>
      <c r="AN2861" t="n">
        <v>0</v>
      </c>
      <c r="AO2861" t="n">
        <v>0</v>
      </c>
      <c r="AP2861" t="inlineStr">
        <is>
          <t>No</t>
        </is>
      </c>
      <c r="AQ2861" t="inlineStr">
        <is>
          <t>No</t>
        </is>
      </c>
      <c r="AS2861">
        <f>HYPERLINK("https://creighton-primo.hosted.exlibrisgroup.com/primo-explore/search?tab=default_tab&amp;search_scope=EVERYTHING&amp;vid=01CRU&amp;lang=en_US&amp;offset=0&amp;query=any,contains,991003346819702656","Catalog Record")</f>
        <v/>
      </c>
      <c r="AT2861">
        <f>HYPERLINK("http://www.worldcat.org/oclc/42682579","WorldCat Record")</f>
        <v/>
      </c>
      <c r="AU2861" t="inlineStr">
        <is>
          <t>347644369:eng</t>
        </is>
      </c>
      <c r="AV2861" t="inlineStr">
        <is>
          <t>42682579</t>
        </is>
      </c>
      <c r="AW2861" t="inlineStr">
        <is>
          <t>991003346819702656</t>
        </is>
      </c>
      <c r="AX2861" t="inlineStr">
        <is>
          <t>991003346819702656</t>
        </is>
      </c>
      <c r="AY2861" t="inlineStr">
        <is>
          <t>2260835130002656</t>
        </is>
      </c>
      <c r="AZ2861" t="inlineStr">
        <is>
          <t>BOOK</t>
        </is>
      </c>
      <c r="BB2861" t="inlineStr">
        <is>
          <t>9780802844576</t>
        </is>
      </c>
      <c r="BC2861" t="inlineStr">
        <is>
          <t>32285004291794</t>
        </is>
      </c>
      <c r="BD2861" t="inlineStr">
        <is>
          <t>893623405</t>
        </is>
      </c>
    </row>
    <row r="2862">
      <c r="A2862" t="inlineStr">
        <is>
          <t>No</t>
        </is>
      </c>
      <c r="B2862" t="inlineStr">
        <is>
          <t>BX8063.7.C3 O24 1997</t>
        </is>
      </c>
      <c r="C2862" t="inlineStr">
        <is>
          <t>0                      BX 8063700C  3                  O  24          1997</t>
        </is>
      </c>
      <c r="D2862" t="inlineStr">
        <is>
          <t>Fides Christi : the justification debate / Paul O'Callaghan.</t>
        </is>
      </c>
      <c r="F2862" t="inlineStr">
        <is>
          <t>No</t>
        </is>
      </c>
      <c r="G2862" t="inlineStr">
        <is>
          <t>1</t>
        </is>
      </c>
      <c r="H2862" t="inlineStr">
        <is>
          <t>No</t>
        </is>
      </c>
      <c r="I2862" t="inlineStr">
        <is>
          <t>No</t>
        </is>
      </c>
      <c r="J2862" t="inlineStr">
        <is>
          <t>0</t>
        </is>
      </c>
      <c r="K2862" t="inlineStr">
        <is>
          <t>O'Callaghan, Paul.</t>
        </is>
      </c>
      <c r="L2862" t="inlineStr">
        <is>
          <t>Dublin, Ireland ; Portland, OR : Four Courts Press, c1997.</t>
        </is>
      </c>
      <c r="M2862" t="inlineStr">
        <is>
          <t>1997</t>
        </is>
      </c>
      <c r="O2862" t="inlineStr">
        <is>
          <t>eng</t>
        </is>
      </c>
      <c r="P2862" t="inlineStr">
        <is>
          <t xml:space="preserve">ie </t>
        </is>
      </c>
      <c r="R2862" t="inlineStr">
        <is>
          <t xml:space="preserve">BX </t>
        </is>
      </c>
      <c r="S2862" t="n">
        <v>2</v>
      </c>
      <c r="T2862" t="n">
        <v>2</v>
      </c>
      <c r="U2862" t="inlineStr">
        <is>
          <t>2004-11-16</t>
        </is>
      </c>
      <c r="V2862" t="inlineStr">
        <is>
          <t>2004-11-16</t>
        </is>
      </c>
      <c r="W2862" t="inlineStr">
        <is>
          <t>2000-10-23</t>
        </is>
      </c>
      <c r="X2862" t="inlineStr">
        <is>
          <t>2000-10-23</t>
        </is>
      </c>
      <c r="Y2862" t="n">
        <v>125</v>
      </c>
      <c r="Z2862" t="n">
        <v>92</v>
      </c>
      <c r="AA2862" t="n">
        <v>95</v>
      </c>
      <c r="AB2862" t="n">
        <v>1</v>
      </c>
      <c r="AC2862" t="n">
        <v>1</v>
      </c>
      <c r="AD2862" t="n">
        <v>10</v>
      </c>
      <c r="AE2862" t="n">
        <v>11</v>
      </c>
      <c r="AF2862" t="n">
        <v>2</v>
      </c>
      <c r="AG2862" t="n">
        <v>2</v>
      </c>
      <c r="AH2862" t="n">
        <v>2</v>
      </c>
      <c r="AI2862" t="n">
        <v>2</v>
      </c>
      <c r="AJ2862" t="n">
        <v>8</v>
      </c>
      <c r="AK2862" t="n">
        <v>9</v>
      </c>
      <c r="AL2862" t="n">
        <v>0</v>
      </c>
      <c r="AM2862" t="n">
        <v>0</v>
      </c>
      <c r="AN2862" t="n">
        <v>0</v>
      </c>
      <c r="AO2862" t="n">
        <v>0</v>
      </c>
      <c r="AP2862" t="inlineStr">
        <is>
          <t>No</t>
        </is>
      </c>
      <c r="AQ2862" t="inlineStr">
        <is>
          <t>Yes</t>
        </is>
      </c>
      <c r="AR2862">
        <f>HYPERLINK("http://catalog.hathitrust.org/Record/003958488","HathiTrust Record")</f>
        <v/>
      </c>
      <c r="AS2862">
        <f>HYPERLINK("https://creighton-primo.hosted.exlibrisgroup.com/primo-explore/search?tab=default_tab&amp;search_scope=EVERYTHING&amp;vid=01CRU&amp;lang=en_US&amp;offset=0&amp;query=any,contains,991003241689702656","Catalog Record")</f>
        <v/>
      </c>
      <c r="AT2862">
        <f>HYPERLINK("http://www.worldcat.org/oclc/38995002","WorldCat Record")</f>
        <v/>
      </c>
      <c r="AU2862" t="inlineStr">
        <is>
          <t>42638473:eng</t>
        </is>
      </c>
      <c r="AV2862" t="inlineStr">
        <is>
          <t>38995002</t>
        </is>
      </c>
      <c r="AW2862" t="inlineStr">
        <is>
          <t>991003241689702656</t>
        </is>
      </c>
      <c r="AX2862" t="inlineStr">
        <is>
          <t>991003241689702656</t>
        </is>
      </c>
      <c r="AY2862" t="inlineStr">
        <is>
          <t>2262616680002656</t>
        </is>
      </c>
      <c r="AZ2862" t="inlineStr">
        <is>
          <t>BOOK</t>
        </is>
      </c>
      <c r="BB2862" t="inlineStr">
        <is>
          <t>9781851823161</t>
        </is>
      </c>
      <c r="BC2862" t="inlineStr">
        <is>
          <t>32285003769154</t>
        </is>
      </c>
      <c r="BD2862" t="inlineStr">
        <is>
          <t>893893516</t>
        </is>
      </c>
    </row>
    <row r="2863">
      <c r="A2863" t="inlineStr">
        <is>
          <t>No</t>
        </is>
      </c>
      <c r="B2863" t="inlineStr">
        <is>
          <t>BX8063.E85 .E53 2000</t>
        </is>
      </c>
      <c r="C2863" t="inlineStr">
        <is>
          <t>0                      BX 8063000E  85                 E  53          2000</t>
        </is>
      </c>
      <c r="D2863" t="inlineStr">
        <is>
          <t>Revolution &amp; religion in Ethiopia : the growth &amp; persecution of the Mekane Yesus Church, 1974-85 / *yvind M. Eide ; with a foreword by Carl Fr. Hallencreutz.</t>
        </is>
      </c>
      <c r="F2863" t="inlineStr">
        <is>
          <t>No</t>
        </is>
      </c>
      <c r="G2863" t="inlineStr">
        <is>
          <t>1</t>
        </is>
      </c>
      <c r="H2863" t="inlineStr">
        <is>
          <t>No</t>
        </is>
      </c>
      <c r="I2863" t="inlineStr">
        <is>
          <t>No</t>
        </is>
      </c>
      <c r="J2863" t="inlineStr">
        <is>
          <t>0</t>
        </is>
      </c>
      <c r="K2863" t="inlineStr">
        <is>
          <t>Eide, Oeyvind, 1944-</t>
        </is>
      </c>
      <c r="L2863" t="inlineStr">
        <is>
          <t>Oxford : J. Currey ; Athens : Ohio University Press ; Addis Ababa : Addis Ababa University Press, 2000.</t>
        </is>
      </c>
      <c r="M2863" t="inlineStr">
        <is>
          <t>2000</t>
        </is>
      </c>
      <c r="N2863" t="inlineStr">
        <is>
          <t>[2nd ed.].</t>
        </is>
      </c>
      <c r="O2863" t="inlineStr">
        <is>
          <t>eng</t>
        </is>
      </c>
      <c r="P2863" t="inlineStr">
        <is>
          <t>enk</t>
        </is>
      </c>
      <c r="Q2863" t="inlineStr">
        <is>
          <t>Eastern African studies</t>
        </is>
      </c>
      <c r="R2863" t="inlineStr">
        <is>
          <t xml:space="preserve">BX </t>
        </is>
      </c>
      <c r="S2863" t="n">
        <v>1</v>
      </c>
      <c r="T2863" t="n">
        <v>1</v>
      </c>
      <c r="U2863" t="inlineStr">
        <is>
          <t>2001-05-03</t>
        </is>
      </c>
      <c r="V2863" t="inlineStr">
        <is>
          <t>2001-05-03</t>
        </is>
      </c>
      <c r="W2863" t="inlineStr">
        <is>
          <t>2001-05-03</t>
        </is>
      </c>
      <c r="X2863" t="inlineStr">
        <is>
          <t>2001-05-03</t>
        </is>
      </c>
      <c r="Y2863" t="n">
        <v>197</v>
      </c>
      <c r="Z2863" t="n">
        <v>167</v>
      </c>
      <c r="AA2863" t="n">
        <v>177</v>
      </c>
      <c r="AB2863" t="n">
        <v>1</v>
      </c>
      <c r="AC2863" t="n">
        <v>1</v>
      </c>
      <c r="AD2863" t="n">
        <v>5</v>
      </c>
      <c r="AE2863" t="n">
        <v>5</v>
      </c>
      <c r="AF2863" t="n">
        <v>2</v>
      </c>
      <c r="AG2863" t="n">
        <v>2</v>
      </c>
      <c r="AH2863" t="n">
        <v>2</v>
      </c>
      <c r="AI2863" t="n">
        <v>2</v>
      </c>
      <c r="AJ2863" t="n">
        <v>3</v>
      </c>
      <c r="AK2863" t="n">
        <v>3</v>
      </c>
      <c r="AL2863" t="n">
        <v>0</v>
      </c>
      <c r="AM2863" t="n">
        <v>0</v>
      </c>
      <c r="AN2863" t="n">
        <v>0</v>
      </c>
      <c r="AO2863" t="n">
        <v>0</v>
      </c>
      <c r="AP2863" t="inlineStr">
        <is>
          <t>No</t>
        </is>
      </c>
      <c r="AQ2863" t="inlineStr">
        <is>
          <t>Yes</t>
        </is>
      </c>
      <c r="AR2863">
        <f>HYPERLINK("http://catalog.hathitrust.org/Record/004126577","HathiTrust Record")</f>
        <v/>
      </c>
      <c r="AS2863">
        <f>HYPERLINK("https://creighton-primo.hosted.exlibrisgroup.com/primo-explore/search?tab=default_tab&amp;search_scope=EVERYTHING&amp;vid=01CRU&amp;lang=en_US&amp;offset=0&amp;query=any,contains,991003515799702656","Catalog Record")</f>
        <v/>
      </c>
      <c r="AT2863">
        <f>HYPERLINK("http://www.worldcat.org/oclc/44089489","WorldCat Record")</f>
        <v/>
      </c>
      <c r="AU2863" t="inlineStr">
        <is>
          <t>1102322372:eng</t>
        </is>
      </c>
      <c r="AV2863" t="inlineStr">
        <is>
          <t>44089489</t>
        </is>
      </c>
      <c r="AW2863" t="inlineStr">
        <is>
          <t>991003515799702656</t>
        </is>
      </c>
      <c r="AX2863" t="inlineStr">
        <is>
          <t>991003515799702656</t>
        </is>
      </c>
      <c r="AY2863" t="inlineStr">
        <is>
          <t>2262999870002656</t>
        </is>
      </c>
      <c r="AZ2863" t="inlineStr">
        <is>
          <t>BOOK</t>
        </is>
      </c>
      <c r="BB2863" t="inlineStr">
        <is>
          <t>9780852558409</t>
        </is>
      </c>
      <c r="BC2863" t="inlineStr">
        <is>
          <t>32285004316427</t>
        </is>
      </c>
      <c r="BD2863" t="inlineStr">
        <is>
          <t>893692787</t>
        </is>
      </c>
    </row>
    <row r="2864">
      <c r="A2864" t="inlineStr">
        <is>
          <t>No</t>
        </is>
      </c>
      <c r="B2864" t="inlineStr">
        <is>
          <t>BX8066.A1 T85</t>
        </is>
      </c>
      <c r="C2864" t="inlineStr">
        <is>
          <t>0                      BX 8066000A  1                  T  85</t>
        </is>
      </c>
      <c r="D2864" t="inlineStr">
        <is>
          <t>Two kingdoms and one world / edited by Karl H. Hertz.</t>
        </is>
      </c>
      <c r="F2864" t="inlineStr">
        <is>
          <t>No</t>
        </is>
      </c>
      <c r="G2864" t="inlineStr">
        <is>
          <t>1</t>
        </is>
      </c>
      <c r="H2864" t="inlineStr">
        <is>
          <t>No</t>
        </is>
      </c>
      <c r="I2864" t="inlineStr">
        <is>
          <t>No</t>
        </is>
      </c>
      <c r="J2864" t="inlineStr">
        <is>
          <t>0</t>
        </is>
      </c>
      <c r="L2864" t="inlineStr">
        <is>
          <t>Minneapolis : Augsburg Pub. House, c1976.</t>
        </is>
      </c>
      <c r="M2864" t="inlineStr">
        <is>
          <t>1976</t>
        </is>
      </c>
      <c r="O2864" t="inlineStr">
        <is>
          <t>eng</t>
        </is>
      </c>
      <c r="P2864" t="inlineStr">
        <is>
          <t>mnu</t>
        </is>
      </c>
      <c r="R2864" t="inlineStr">
        <is>
          <t xml:space="preserve">BX </t>
        </is>
      </c>
      <c r="S2864" t="n">
        <v>4</v>
      </c>
      <c r="T2864" t="n">
        <v>4</v>
      </c>
      <c r="U2864" t="inlineStr">
        <is>
          <t>1997-10-22</t>
        </is>
      </c>
      <c r="V2864" t="inlineStr">
        <is>
          <t>1997-10-22</t>
        </is>
      </c>
      <c r="W2864" t="inlineStr">
        <is>
          <t>1992-05-19</t>
        </is>
      </c>
      <c r="X2864" t="inlineStr">
        <is>
          <t>1992-05-19</t>
        </is>
      </c>
      <c r="Y2864" t="n">
        <v>202</v>
      </c>
      <c r="Z2864" t="n">
        <v>174</v>
      </c>
      <c r="AA2864" t="n">
        <v>174</v>
      </c>
      <c r="AB2864" t="n">
        <v>3</v>
      </c>
      <c r="AC2864" t="n">
        <v>3</v>
      </c>
      <c r="AD2864" t="n">
        <v>15</v>
      </c>
      <c r="AE2864" t="n">
        <v>15</v>
      </c>
      <c r="AF2864" t="n">
        <v>3</v>
      </c>
      <c r="AG2864" t="n">
        <v>3</v>
      </c>
      <c r="AH2864" t="n">
        <v>2</v>
      </c>
      <c r="AI2864" t="n">
        <v>2</v>
      </c>
      <c r="AJ2864" t="n">
        <v>10</v>
      </c>
      <c r="AK2864" t="n">
        <v>10</v>
      </c>
      <c r="AL2864" t="n">
        <v>2</v>
      </c>
      <c r="AM2864" t="n">
        <v>2</v>
      </c>
      <c r="AN2864" t="n">
        <v>0</v>
      </c>
      <c r="AO2864" t="n">
        <v>0</v>
      </c>
      <c r="AP2864" t="inlineStr">
        <is>
          <t>No</t>
        </is>
      </c>
      <c r="AQ2864" t="inlineStr">
        <is>
          <t>No</t>
        </is>
      </c>
      <c r="AS2864">
        <f>HYPERLINK("https://creighton-primo.hosted.exlibrisgroup.com/primo-explore/search?tab=default_tab&amp;search_scope=EVERYTHING&amp;vid=01CRU&amp;lang=en_US&amp;offset=0&amp;query=any,contains,991004064919702656","Catalog Record")</f>
        <v/>
      </c>
      <c r="AT2864">
        <f>HYPERLINK("http://www.worldcat.org/oclc/2283739","WorldCat Record")</f>
        <v/>
      </c>
      <c r="AU2864" t="inlineStr">
        <is>
          <t>4599802:eng</t>
        </is>
      </c>
      <c r="AV2864" t="inlineStr">
        <is>
          <t>2283739</t>
        </is>
      </c>
      <c r="AW2864" t="inlineStr">
        <is>
          <t>991004064919702656</t>
        </is>
      </c>
      <c r="AX2864" t="inlineStr">
        <is>
          <t>991004064919702656</t>
        </is>
      </c>
      <c r="AY2864" t="inlineStr">
        <is>
          <t>2266978720002656</t>
        </is>
      </c>
      <c r="AZ2864" t="inlineStr">
        <is>
          <t>BOOK</t>
        </is>
      </c>
      <c r="BB2864" t="inlineStr">
        <is>
          <t>9780806615387</t>
        </is>
      </c>
      <c r="BC2864" t="inlineStr">
        <is>
          <t>32285001124121</t>
        </is>
      </c>
      <c r="BD2864" t="inlineStr">
        <is>
          <t>893349573</t>
        </is>
      </c>
    </row>
    <row r="2865">
      <c r="A2865" t="inlineStr">
        <is>
          <t>No</t>
        </is>
      </c>
      <c r="B2865" t="inlineStr">
        <is>
          <t>BX8068.A1 K65 1991</t>
        </is>
      </c>
      <c r="C2865" t="inlineStr">
        <is>
          <t>0                      BX 8068000A  1                  K  65          1991</t>
        </is>
      </c>
      <c r="D2865" t="inlineStr">
        <is>
          <t>Confessing the faith : reformers define the Church, 1530-1580 / Robert Kolb.</t>
        </is>
      </c>
      <c r="F2865" t="inlineStr">
        <is>
          <t>No</t>
        </is>
      </c>
      <c r="G2865" t="inlineStr">
        <is>
          <t>1</t>
        </is>
      </c>
      <c r="H2865" t="inlineStr">
        <is>
          <t>No</t>
        </is>
      </c>
      <c r="I2865" t="inlineStr">
        <is>
          <t>No</t>
        </is>
      </c>
      <c r="J2865" t="inlineStr">
        <is>
          <t>0</t>
        </is>
      </c>
      <c r="K2865" t="inlineStr">
        <is>
          <t>Kolb, Robert, 1941-</t>
        </is>
      </c>
      <c r="L2865" t="inlineStr">
        <is>
          <t>St. Louis : Concordia Pub. House, 1991.</t>
        </is>
      </c>
      <c r="M2865" t="inlineStr">
        <is>
          <t>1991</t>
        </is>
      </c>
      <c r="O2865" t="inlineStr">
        <is>
          <t>eng</t>
        </is>
      </c>
      <c r="P2865" t="inlineStr">
        <is>
          <t>mou</t>
        </is>
      </c>
      <c r="Q2865" t="inlineStr">
        <is>
          <t>Concordia scholarship today</t>
        </is>
      </c>
      <c r="R2865" t="inlineStr">
        <is>
          <t xml:space="preserve">BX </t>
        </is>
      </c>
      <c r="S2865" t="n">
        <v>6</v>
      </c>
      <c r="T2865" t="n">
        <v>6</v>
      </c>
      <c r="U2865" t="inlineStr">
        <is>
          <t>2005-02-07</t>
        </is>
      </c>
      <c r="V2865" t="inlineStr">
        <is>
          <t>2005-02-07</t>
        </is>
      </c>
      <c r="W2865" t="inlineStr">
        <is>
          <t>1994-05-26</t>
        </is>
      </c>
      <c r="X2865" t="inlineStr">
        <is>
          <t>1994-05-26</t>
        </is>
      </c>
      <c r="Y2865" t="n">
        <v>194</v>
      </c>
      <c r="Z2865" t="n">
        <v>146</v>
      </c>
      <c r="AA2865" t="n">
        <v>146</v>
      </c>
      <c r="AB2865" t="n">
        <v>4</v>
      </c>
      <c r="AC2865" t="n">
        <v>4</v>
      </c>
      <c r="AD2865" t="n">
        <v>12</v>
      </c>
      <c r="AE2865" t="n">
        <v>12</v>
      </c>
      <c r="AF2865" t="n">
        <v>4</v>
      </c>
      <c r="AG2865" t="n">
        <v>4</v>
      </c>
      <c r="AH2865" t="n">
        <v>2</v>
      </c>
      <c r="AI2865" t="n">
        <v>2</v>
      </c>
      <c r="AJ2865" t="n">
        <v>4</v>
      </c>
      <c r="AK2865" t="n">
        <v>4</v>
      </c>
      <c r="AL2865" t="n">
        <v>3</v>
      </c>
      <c r="AM2865" t="n">
        <v>3</v>
      </c>
      <c r="AN2865" t="n">
        <v>0</v>
      </c>
      <c r="AO2865" t="n">
        <v>0</v>
      </c>
      <c r="AP2865" t="inlineStr">
        <is>
          <t>No</t>
        </is>
      </c>
      <c r="AQ2865" t="inlineStr">
        <is>
          <t>No</t>
        </is>
      </c>
      <c r="AS2865">
        <f>HYPERLINK("https://creighton-primo.hosted.exlibrisgroup.com/primo-explore/search?tab=default_tab&amp;search_scope=EVERYTHING&amp;vid=01CRU&amp;lang=en_US&amp;offset=0&amp;query=any,contains,991001823239702656","Catalog Record")</f>
        <v/>
      </c>
      <c r="AT2865">
        <f>HYPERLINK("http://www.worldcat.org/oclc/22907151","WorldCat Record")</f>
        <v/>
      </c>
      <c r="AU2865" t="inlineStr">
        <is>
          <t>24025825:eng</t>
        </is>
      </c>
      <c r="AV2865" t="inlineStr">
        <is>
          <t>22907151</t>
        </is>
      </c>
      <c r="AW2865" t="inlineStr">
        <is>
          <t>991001823239702656</t>
        </is>
      </c>
      <c r="AX2865" t="inlineStr">
        <is>
          <t>991001823239702656</t>
        </is>
      </c>
      <c r="AY2865" t="inlineStr">
        <is>
          <t>2264105510002656</t>
        </is>
      </c>
      <c r="AZ2865" t="inlineStr">
        <is>
          <t>BOOK</t>
        </is>
      </c>
      <c r="BB2865" t="inlineStr">
        <is>
          <t>9780570045564</t>
        </is>
      </c>
      <c r="BC2865" t="inlineStr">
        <is>
          <t>32285001898955</t>
        </is>
      </c>
      <c r="BD2865" t="inlineStr">
        <is>
          <t>893872828</t>
        </is>
      </c>
    </row>
    <row r="2866">
      <c r="A2866" t="inlineStr">
        <is>
          <t>No</t>
        </is>
      </c>
      <c r="B2866" t="inlineStr">
        <is>
          <t>BX8069 .L313</t>
        </is>
      </c>
      <c r="C2866" t="inlineStr">
        <is>
          <t>0                      BX 8069000L  313</t>
        </is>
      </c>
      <c r="D2866" t="inlineStr">
        <is>
          <t>The Augsburg Confession and Catholic unity / Max Lackmann. [Translation by Walter R. Bouman.</t>
        </is>
      </c>
      <c r="F2866" t="inlineStr">
        <is>
          <t>No</t>
        </is>
      </c>
      <c r="G2866" t="inlineStr">
        <is>
          <t>1</t>
        </is>
      </c>
      <c r="H2866" t="inlineStr">
        <is>
          <t>No</t>
        </is>
      </c>
      <c r="I2866" t="inlineStr">
        <is>
          <t>No</t>
        </is>
      </c>
      <c r="J2866" t="inlineStr">
        <is>
          <t>0</t>
        </is>
      </c>
      <c r="K2866" t="inlineStr">
        <is>
          <t>Lackmann, Max.</t>
        </is>
      </c>
      <c r="L2866" t="inlineStr">
        <is>
          <t>New York] : Herder and Herder, [1963]</t>
        </is>
      </c>
      <c r="M2866" t="inlineStr">
        <is>
          <t>1963</t>
        </is>
      </c>
      <c r="O2866" t="inlineStr">
        <is>
          <t>eng</t>
        </is>
      </c>
      <c r="P2866" t="inlineStr">
        <is>
          <t>___</t>
        </is>
      </c>
      <c r="R2866" t="inlineStr">
        <is>
          <t xml:space="preserve">BX </t>
        </is>
      </c>
      <c r="S2866" t="n">
        <v>6</v>
      </c>
      <c r="T2866" t="n">
        <v>6</v>
      </c>
      <c r="U2866" t="inlineStr">
        <is>
          <t>2004-02-19</t>
        </is>
      </c>
      <c r="V2866" t="inlineStr">
        <is>
          <t>2004-02-19</t>
        </is>
      </c>
      <c r="W2866" t="inlineStr">
        <is>
          <t>1992-05-21</t>
        </is>
      </c>
      <c r="X2866" t="inlineStr">
        <is>
          <t>1992-05-21</t>
        </is>
      </c>
      <c r="Y2866" t="n">
        <v>289</v>
      </c>
      <c r="Z2866" t="n">
        <v>245</v>
      </c>
      <c r="AA2866" t="n">
        <v>252</v>
      </c>
      <c r="AB2866" t="n">
        <v>1</v>
      </c>
      <c r="AC2866" t="n">
        <v>1</v>
      </c>
      <c r="AD2866" t="n">
        <v>32</v>
      </c>
      <c r="AE2866" t="n">
        <v>32</v>
      </c>
      <c r="AF2866" t="n">
        <v>11</v>
      </c>
      <c r="AG2866" t="n">
        <v>11</v>
      </c>
      <c r="AH2866" t="n">
        <v>7</v>
      </c>
      <c r="AI2866" t="n">
        <v>7</v>
      </c>
      <c r="AJ2866" t="n">
        <v>25</v>
      </c>
      <c r="AK2866" t="n">
        <v>25</v>
      </c>
      <c r="AL2866" t="n">
        <v>0</v>
      </c>
      <c r="AM2866" t="n">
        <v>0</v>
      </c>
      <c r="AN2866" t="n">
        <v>0</v>
      </c>
      <c r="AO2866" t="n">
        <v>0</v>
      </c>
      <c r="AP2866" t="inlineStr">
        <is>
          <t>No</t>
        </is>
      </c>
      <c r="AQ2866" t="inlineStr">
        <is>
          <t>No</t>
        </is>
      </c>
      <c r="AS2866">
        <f>HYPERLINK("https://creighton-primo.hosted.exlibrisgroup.com/primo-explore/search?tab=default_tab&amp;search_scope=EVERYTHING&amp;vid=01CRU&amp;lang=en_US&amp;offset=0&amp;query=any,contains,991003312809702656","Catalog Record")</f>
        <v/>
      </c>
      <c r="AT2866">
        <f>HYPERLINK("http://www.worldcat.org/oclc/836637","WorldCat Record")</f>
        <v/>
      </c>
      <c r="AU2866" t="inlineStr">
        <is>
          <t>12605608:eng</t>
        </is>
      </c>
      <c r="AV2866" t="inlineStr">
        <is>
          <t>836637</t>
        </is>
      </c>
      <c r="AW2866" t="inlineStr">
        <is>
          <t>991003312809702656</t>
        </is>
      </c>
      <c r="AX2866" t="inlineStr">
        <is>
          <t>991003312809702656</t>
        </is>
      </c>
      <c r="AY2866" t="inlineStr">
        <is>
          <t>2268905710002656</t>
        </is>
      </c>
      <c r="AZ2866" t="inlineStr">
        <is>
          <t>BOOK</t>
        </is>
      </c>
      <c r="BC2866" t="inlineStr">
        <is>
          <t>32285001124501</t>
        </is>
      </c>
      <c r="BD2866" t="inlineStr">
        <is>
          <t>893904329</t>
        </is>
      </c>
    </row>
    <row r="2867">
      <c r="A2867" t="inlineStr">
        <is>
          <t>No</t>
        </is>
      </c>
      <c r="B2867" t="inlineStr">
        <is>
          <t>BX8080.B614 A25 1998</t>
        </is>
      </c>
      <c r="C2867" t="inlineStr">
        <is>
          <t>0                      BX 8080000B  614                A  25          1998</t>
        </is>
      </c>
      <c r="D2867" t="inlineStr">
        <is>
          <t>Action in waiting / Christoph Blumhardt ; foreword by Rodney Clapp ; afterword by Karl Barth.</t>
        </is>
      </c>
      <c r="F2867" t="inlineStr">
        <is>
          <t>No</t>
        </is>
      </c>
      <c r="G2867" t="inlineStr">
        <is>
          <t>1</t>
        </is>
      </c>
      <c r="H2867" t="inlineStr">
        <is>
          <t>No</t>
        </is>
      </c>
      <c r="I2867" t="inlineStr">
        <is>
          <t>No</t>
        </is>
      </c>
      <c r="J2867" t="inlineStr">
        <is>
          <t>0</t>
        </is>
      </c>
      <c r="K2867" t="inlineStr">
        <is>
          <t>Blumhardt, Christoph, 1842-1919.</t>
        </is>
      </c>
      <c r="L2867" t="inlineStr">
        <is>
          <t>Farmington, PA : Plough Pub. House, c1998.</t>
        </is>
      </c>
      <c r="M2867" t="inlineStr">
        <is>
          <t>1998</t>
        </is>
      </c>
      <c r="O2867" t="inlineStr">
        <is>
          <t>eng</t>
        </is>
      </c>
      <c r="P2867" t="inlineStr">
        <is>
          <t>pau</t>
        </is>
      </c>
      <c r="R2867" t="inlineStr">
        <is>
          <t xml:space="preserve">BX </t>
        </is>
      </c>
      <c r="S2867" t="n">
        <v>2</v>
      </c>
      <c r="T2867" t="n">
        <v>2</v>
      </c>
      <c r="U2867" t="inlineStr">
        <is>
          <t>2007-05-16</t>
        </is>
      </c>
      <c r="V2867" t="inlineStr">
        <is>
          <t>2007-05-16</t>
        </is>
      </c>
      <c r="W2867" t="inlineStr">
        <is>
          <t>2002-08-06</t>
        </is>
      </c>
      <c r="X2867" t="inlineStr">
        <is>
          <t>2002-08-06</t>
        </is>
      </c>
      <c r="Y2867" t="n">
        <v>127</v>
      </c>
      <c r="Z2867" t="n">
        <v>114</v>
      </c>
      <c r="AA2867" t="n">
        <v>352</v>
      </c>
      <c r="AB2867" t="n">
        <v>2</v>
      </c>
      <c r="AC2867" t="n">
        <v>3</v>
      </c>
      <c r="AD2867" t="n">
        <v>7</v>
      </c>
      <c r="AE2867" t="n">
        <v>16</v>
      </c>
      <c r="AF2867" t="n">
        <v>2</v>
      </c>
      <c r="AG2867" t="n">
        <v>5</v>
      </c>
      <c r="AH2867" t="n">
        <v>0</v>
      </c>
      <c r="AI2867" t="n">
        <v>3</v>
      </c>
      <c r="AJ2867" t="n">
        <v>4</v>
      </c>
      <c r="AK2867" t="n">
        <v>10</v>
      </c>
      <c r="AL2867" t="n">
        <v>1</v>
      </c>
      <c r="AM2867" t="n">
        <v>2</v>
      </c>
      <c r="AN2867" t="n">
        <v>0</v>
      </c>
      <c r="AO2867" t="n">
        <v>0</v>
      </c>
      <c r="AP2867" t="inlineStr">
        <is>
          <t>No</t>
        </is>
      </c>
      <c r="AQ2867" t="inlineStr">
        <is>
          <t>No</t>
        </is>
      </c>
      <c r="AS2867">
        <f>HYPERLINK("https://creighton-primo.hosted.exlibrisgroup.com/primo-explore/search?tab=default_tab&amp;search_scope=EVERYTHING&amp;vid=01CRU&amp;lang=en_US&amp;offset=0&amp;query=any,contains,991003852659702656","Catalog Record")</f>
        <v/>
      </c>
      <c r="AT2867">
        <f>HYPERLINK("http://www.worldcat.org/oclc/38580252","WorldCat Record")</f>
        <v/>
      </c>
      <c r="AU2867" t="inlineStr">
        <is>
          <t>1179242:eng</t>
        </is>
      </c>
      <c r="AV2867" t="inlineStr">
        <is>
          <t>38580252</t>
        </is>
      </c>
      <c r="AW2867" t="inlineStr">
        <is>
          <t>991003852659702656</t>
        </is>
      </c>
      <c r="AX2867" t="inlineStr">
        <is>
          <t>991003852659702656</t>
        </is>
      </c>
      <c r="AY2867" t="inlineStr">
        <is>
          <t>2256522980002656</t>
        </is>
      </c>
      <c r="AZ2867" t="inlineStr">
        <is>
          <t>BOOK</t>
        </is>
      </c>
      <c r="BB2867" t="inlineStr">
        <is>
          <t>9780874869545</t>
        </is>
      </c>
      <c r="BC2867" t="inlineStr">
        <is>
          <t>32285004642186</t>
        </is>
      </c>
      <c r="BD2867" t="inlineStr">
        <is>
          <t>893258970</t>
        </is>
      </c>
    </row>
    <row r="2868">
      <c r="A2868" t="inlineStr">
        <is>
          <t>No</t>
        </is>
      </c>
      <c r="B2868" t="inlineStr">
        <is>
          <t>BX8080.B65 R6 1966a</t>
        </is>
      </c>
      <c r="C2868" t="inlineStr">
        <is>
          <t>0                      BX 8080000B  65                 R  6           1966a</t>
        </is>
      </c>
      <c r="D2868" t="inlineStr">
        <is>
          <t>Dietrich Bonhoeffer / by E. H. Robertson.</t>
        </is>
      </c>
      <c r="F2868" t="inlineStr">
        <is>
          <t>No</t>
        </is>
      </c>
      <c r="G2868" t="inlineStr">
        <is>
          <t>1</t>
        </is>
      </c>
      <c r="H2868" t="inlineStr">
        <is>
          <t>No</t>
        </is>
      </c>
      <c r="I2868" t="inlineStr">
        <is>
          <t>No</t>
        </is>
      </c>
      <c r="J2868" t="inlineStr">
        <is>
          <t>0</t>
        </is>
      </c>
      <c r="K2868" t="inlineStr">
        <is>
          <t>Robertson, Edwin Hanton.</t>
        </is>
      </c>
      <c r="L2868" t="inlineStr">
        <is>
          <t>Richmond : John Knox Press, [1966]</t>
        </is>
      </c>
      <c r="M2868" t="inlineStr">
        <is>
          <t>1966</t>
        </is>
      </c>
      <c r="O2868" t="inlineStr">
        <is>
          <t>eng</t>
        </is>
      </c>
      <c r="P2868" t="inlineStr">
        <is>
          <t>vau</t>
        </is>
      </c>
      <c r="Q2868" t="inlineStr">
        <is>
          <t>Makers of contemporary theology</t>
        </is>
      </c>
      <c r="R2868" t="inlineStr">
        <is>
          <t xml:space="preserve">BX </t>
        </is>
      </c>
      <c r="S2868" t="n">
        <v>4</v>
      </c>
      <c r="T2868" t="n">
        <v>4</v>
      </c>
      <c r="U2868" t="inlineStr">
        <is>
          <t>2008-12-05</t>
        </is>
      </c>
      <c r="V2868" t="inlineStr">
        <is>
          <t>2008-12-05</t>
        </is>
      </c>
      <c r="W2868" t="inlineStr">
        <is>
          <t>1992-05-21</t>
        </is>
      </c>
      <c r="X2868" t="inlineStr">
        <is>
          <t>1992-05-21</t>
        </is>
      </c>
      <c r="Y2868" t="n">
        <v>591</v>
      </c>
      <c r="Z2868" t="n">
        <v>556</v>
      </c>
      <c r="AA2868" t="n">
        <v>631</v>
      </c>
      <c r="AB2868" t="n">
        <v>9</v>
      </c>
      <c r="AC2868" t="n">
        <v>9</v>
      </c>
      <c r="AD2868" t="n">
        <v>38</v>
      </c>
      <c r="AE2868" t="n">
        <v>40</v>
      </c>
      <c r="AF2868" t="n">
        <v>15</v>
      </c>
      <c r="AG2868" t="n">
        <v>16</v>
      </c>
      <c r="AH2868" t="n">
        <v>7</v>
      </c>
      <c r="AI2868" t="n">
        <v>8</v>
      </c>
      <c r="AJ2868" t="n">
        <v>20</v>
      </c>
      <c r="AK2868" t="n">
        <v>21</v>
      </c>
      <c r="AL2868" t="n">
        <v>5</v>
      </c>
      <c r="AM2868" t="n">
        <v>5</v>
      </c>
      <c r="AN2868" t="n">
        <v>0</v>
      </c>
      <c r="AO2868" t="n">
        <v>0</v>
      </c>
      <c r="AP2868" t="inlineStr">
        <is>
          <t>No</t>
        </is>
      </c>
      <c r="AQ2868" t="inlineStr">
        <is>
          <t>Yes</t>
        </is>
      </c>
      <c r="AR2868">
        <f>HYPERLINK("http://catalog.hathitrust.org/Record/001593827","HathiTrust Record")</f>
        <v/>
      </c>
      <c r="AS2868">
        <f>HYPERLINK("https://creighton-primo.hosted.exlibrisgroup.com/primo-explore/search?tab=default_tab&amp;search_scope=EVERYTHING&amp;vid=01CRU&amp;lang=en_US&amp;offset=0&amp;query=any,contains,991001086599702656","Catalog Record")</f>
        <v/>
      </c>
      <c r="AT2868">
        <f>HYPERLINK("http://www.worldcat.org/oclc/180548","WorldCat Record")</f>
        <v/>
      </c>
      <c r="AU2868" t="inlineStr">
        <is>
          <t>4535636032:eng</t>
        </is>
      </c>
      <c r="AV2868" t="inlineStr">
        <is>
          <t>180548</t>
        </is>
      </c>
      <c r="AW2868" t="inlineStr">
        <is>
          <t>991001086599702656</t>
        </is>
      </c>
      <c r="AX2868" t="inlineStr">
        <is>
          <t>991001086599702656</t>
        </is>
      </c>
      <c r="AY2868" t="inlineStr">
        <is>
          <t>2271872240002656</t>
        </is>
      </c>
      <c r="AZ2868" t="inlineStr">
        <is>
          <t>BOOK</t>
        </is>
      </c>
      <c r="BC2868" t="inlineStr">
        <is>
          <t>32285001124568</t>
        </is>
      </c>
      <c r="BD2868" t="inlineStr">
        <is>
          <t>893407834</t>
        </is>
      </c>
    </row>
    <row r="2869">
      <c r="A2869" t="inlineStr">
        <is>
          <t>No</t>
        </is>
      </c>
      <c r="B2869" t="inlineStr">
        <is>
          <t>BX8080.M27 A4 2006</t>
        </is>
      </c>
      <c r="C2869" t="inlineStr">
        <is>
          <t>0                      BX 8080000M  27                 A  4           2006</t>
        </is>
      </c>
      <c r="D2869" t="inlineStr">
        <is>
          <t>A life of learning : Charles Homer Haskins prize lecture for 2006 / Martin E. Marty.</t>
        </is>
      </c>
      <c r="F2869" t="inlineStr">
        <is>
          <t>No</t>
        </is>
      </c>
      <c r="G2869" t="inlineStr">
        <is>
          <t>1</t>
        </is>
      </c>
      <c r="H2869" t="inlineStr">
        <is>
          <t>No</t>
        </is>
      </c>
      <c r="I2869" t="inlineStr">
        <is>
          <t>No</t>
        </is>
      </c>
      <c r="J2869" t="inlineStr">
        <is>
          <t>0</t>
        </is>
      </c>
      <c r="K2869" t="inlineStr">
        <is>
          <t>Marty, Martin E., 1928-</t>
        </is>
      </c>
      <c r="L2869" t="inlineStr">
        <is>
          <t>New York, NY : American Council of Learned Societies, c2006.</t>
        </is>
      </c>
      <c r="M2869" t="inlineStr">
        <is>
          <t>2006</t>
        </is>
      </c>
      <c r="O2869" t="inlineStr">
        <is>
          <t>eng</t>
        </is>
      </c>
      <c r="P2869" t="inlineStr">
        <is>
          <t>nyu</t>
        </is>
      </c>
      <c r="Q2869" t="inlineStr">
        <is>
          <t>ACLS occasional paper, 1041-536X ; no. 62</t>
        </is>
      </c>
      <c r="R2869" t="inlineStr">
        <is>
          <t xml:space="preserve">BX </t>
        </is>
      </c>
      <c r="S2869" t="n">
        <v>1</v>
      </c>
      <c r="T2869" t="n">
        <v>1</v>
      </c>
      <c r="U2869" t="inlineStr">
        <is>
          <t>2006-12-18</t>
        </is>
      </c>
      <c r="V2869" t="inlineStr">
        <is>
          <t>2006-12-18</t>
        </is>
      </c>
      <c r="W2869" t="inlineStr">
        <is>
          <t>2006-12-18</t>
        </is>
      </c>
      <c r="X2869" t="inlineStr">
        <is>
          <t>2006-12-18</t>
        </is>
      </c>
      <c r="Y2869" t="n">
        <v>249</v>
      </c>
      <c r="Z2869" t="n">
        <v>244</v>
      </c>
      <c r="AA2869" t="n">
        <v>247</v>
      </c>
      <c r="AB2869" t="n">
        <v>4</v>
      </c>
      <c r="AC2869" t="n">
        <v>4</v>
      </c>
      <c r="AD2869" t="n">
        <v>13</v>
      </c>
      <c r="AE2869" t="n">
        <v>13</v>
      </c>
      <c r="AF2869" t="n">
        <v>1</v>
      </c>
      <c r="AG2869" t="n">
        <v>1</v>
      </c>
      <c r="AH2869" t="n">
        <v>4</v>
      </c>
      <c r="AI2869" t="n">
        <v>4</v>
      </c>
      <c r="AJ2869" t="n">
        <v>7</v>
      </c>
      <c r="AK2869" t="n">
        <v>7</v>
      </c>
      <c r="AL2869" t="n">
        <v>3</v>
      </c>
      <c r="AM2869" t="n">
        <v>3</v>
      </c>
      <c r="AN2869" t="n">
        <v>0</v>
      </c>
      <c r="AO2869" t="n">
        <v>0</v>
      </c>
      <c r="AP2869" t="inlineStr">
        <is>
          <t>No</t>
        </is>
      </c>
      <c r="AQ2869" t="inlineStr">
        <is>
          <t>Yes</t>
        </is>
      </c>
      <c r="AR2869">
        <f>HYPERLINK("http://catalog.hathitrust.org/Record/005421678","HathiTrust Record")</f>
        <v/>
      </c>
      <c r="AS2869">
        <f>HYPERLINK("https://creighton-primo.hosted.exlibrisgroup.com/primo-explore/search?tab=default_tab&amp;search_scope=EVERYTHING&amp;vid=01CRU&amp;lang=en_US&amp;offset=0&amp;query=any,contains,991005001249702656","Catalog Record")</f>
        <v/>
      </c>
      <c r="AT2869">
        <f>HYPERLINK("http://www.worldcat.org/oclc/76835923","WorldCat Record")</f>
        <v/>
      </c>
      <c r="AU2869" t="inlineStr">
        <is>
          <t>1865197478:eng</t>
        </is>
      </c>
      <c r="AV2869" t="inlineStr">
        <is>
          <t>76835923</t>
        </is>
      </c>
      <c r="AW2869" t="inlineStr">
        <is>
          <t>991005001249702656</t>
        </is>
      </c>
      <c r="AX2869" t="inlineStr">
        <is>
          <t>991005001249702656</t>
        </is>
      </c>
      <c r="AY2869" t="inlineStr">
        <is>
          <t>2268688590002656</t>
        </is>
      </c>
      <c r="AZ2869" t="inlineStr">
        <is>
          <t>BOOK</t>
        </is>
      </c>
      <c r="BC2869" t="inlineStr">
        <is>
          <t>32285005267355</t>
        </is>
      </c>
      <c r="BD2869" t="inlineStr">
        <is>
          <t>893526757</t>
        </is>
      </c>
    </row>
    <row r="2870">
      <c r="A2870" t="inlineStr">
        <is>
          <t>No</t>
        </is>
      </c>
      <c r="B2870" t="inlineStr">
        <is>
          <t>BX8080.N48 D3</t>
        </is>
      </c>
      <c r="C2870" t="inlineStr">
        <is>
          <t>0                      BX 8080000N  48                 D  3</t>
        </is>
      </c>
      <c r="D2870" t="inlineStr">
        <is>
          <t>God's man : the story of Pastor Niemoeller / by Clarissa Start Davidson.</t>
        </is>
      </c>
      <c r="F2870" t="inlineStr">
        <is>
          <t>No</t>
        </is>
      </c>
      <c r="G2870" t="inlineStr">
        <is>
          <t>1</t>
        </is>
      </c>
      <c r="H2870" t="inlineStr">
        <is>
          <t>No</t>
        </is>
      </c>
      <c r="I2870" t="inlineStr">
        <is>
          <t>No</t>
        </is>
      </c>
      <c r="J2870" t="inlineStr">
        <is>
          <t>0</t>
        </is>
      </c>
      <c r="K2870" t="inlineStr">
        <is>
          <t>Start, Clarissa.</t>
        </is>
      </c>
      <c r="L2870" t="inlineStr">
        <is>
          <t>New York : I. Washburn, [1959]</t>
        </is>
      </c>
      <c r="M2870" t="inlineStr">
        <is>
          <t>1959</t>
        </is>
      </c>
      <c r="O2870" t="inlineStr">
        <is>
          <t>eng</t>
        </is>
      </c>
      <c r="P2870" t="inlineStr">
        <is>
          <t>nyu</t>
        </is>
      </c>
      <c r="R2870" t="inlineStr">
        <is>
          <t xml:space="preserve">BX </t>
        </is>
      </c>
      <c r="S2870" t="n">
        <v>1</v>
      </c>
      <c r="T2870" t="n">
        <v>1</v>
      </c>
      <c r="U2870" t="inlineStr">
        <is>
          <t>2000-11-19</t>
        </is>
      </c>
      <c r="V2870" t="inlineStr">
        <is>
          <t>2000-11-19</t>
        </is>
      </c>
      <c r="W2870" t="inlineStr">
        <is>
          <t>1992-05-21</t>
        </is>
      </c>
      <c r="X2870" t="inlineStr">
        <is>
          <t>1992-05-21</t>
        </is>
      </c>
      <c r="Y2870" t="n">
        <v>297</v>
      </c>
      <c r="Z2870" t="n">
        <v>287</v>
      </c>
      <c r="AA2870" t="n">
        <v>376</v>
      </c>
      <c r="AB2870" t="n">
        <v>3</v>
      </c>
      <c r="AC2870" t="n">
        <v>3</v>
      </c>
      <c r="AD2870" t="n">
        <v>8</v>
      </c>
      <c r="AE2870" t="n">
        <v>13</v>
      </c>
      <c r="AF2870" t="n">
        <v>4</v>
      </c>
      <c r="AG2870" t="n">
        <v>6</v>
      </c>
      <c r="AH2870" t="n">
        <v>1</v>
      </c>
      <c r="AI2870" t="n">
        <v>3</v>
      </c>
      <c r="AJ2870" t="n">
        <v>2</v>
      </c>
      <c r="AK2870" t="n">
        <v>5</v>
      </c>
      <c r="AL2870" t="n">
        <v>1</v>
      </c>
      <c r="AM2870" t="n">
        <v>1</v>
      </c>
      <c r="AN2870" t="n">
        <v>0</v>
      </c>
      <c r="AO2870" t="n">
        <v>0</v>
      </c>
      <c r="AP2870" t="inlineStr">
        <is>
          <t>No</t>
        </is>
      </c>
      <c r="AQ2870" t="inlineStr">
        <is>
          <t>No</t>
        </is>
      </c>
      <c r="AR2870">
        <f>HYPERLINK("http://catalog.hathitrust.org/Record/001603427","HathiTrust Record")</f>
        <v/>
      </c>
      <c r="AS2870">
        <f>HYPERLINK("https://creighton-primo.hosted.exlibrisgroup.com/primo-explore/search?tab=default_tab&amp;search_scope=EVERYTHING&amp;vid=01CRU&amp;lang=en_US&amp;offset=0&amp;query=any,contains,991003648919702656","Catalog Record")</f>
        <v/>
      </c>
      <c r="AT2870">
        <f>HYPERLINK("http://www.worldcat.org/oclc/1252404","WorldCat Record")</f>
        <v/>
      </c>
      <c r="AU2870" t="inlineStr">
        <is>
          <t>2166073:eng</t>
        </is>
      </c>
      <c r="AV2870" t="inlineStr">
        <is>
          <t>1252404</t>
        </is>
      </c>
      <c r="AW2870" t="inlineStr">
        <is>
          <t>991003648919702656</t>
        </is>
      </c>
      <c r="AX2870" t="inlineStr">
        <is>
          <t>991003648919702656</t>
        </is>
      </c>
      <c r="AY2870" t="inlineStr">
        <is>
          <t>2260012020002656</t>
        </is>
      </c>
      <c r="AZ2870" t="inlineStr">
        <is>
          <t>BOOK</t>
        </is>
      </c>
      <c r="BC2870" t="inlineStr">
        <is>
          <t>32285001124592</t>
        </is>
      </c>
      <c r="BD2870" t="inlineStr">
        <is>
          <t>893499519</t>
        </is>
      </c>
    </row>
    <row r="2871">
      <c r="A2871" t="inlineStr">
        <is>
          <t>No</t>
        </is>
      </c>
      <c r="B2871" t="inlineStr">
        <is>
          <t>BX8080.P73 A65 1977</t>
        </is>
      </c>
      <c r="C2871" t="inlineStr">
        <is>
          <t>0                      BX 8080000P  73                 A  65          1977</t>
        </is>
      </c>
      <c r="D2871" t="inlineStr">
        <is>
          <t>Preus of Missouri and the great Lutheran civil war / James E. Adams.</t>
        </is>
      </c>
      <c r="F2871" t="inlineStr">
        <is>
          <t>No</t>
        </is>
      </c>
      <c r="G2871" t="inlineStr">
        <is>
          <t>1</t>
        </is>
      </c>
      <c r="H2871" t="inlineStr">
        <is>
          <t>No</t>
        </is>
      </c>
      <c r="I2871" t="inlineStr">
        <is>
          <t>No</t>
        </is>
      </c>
      <c r="J2871" t="inlineStr">
        <is>
          <t>0</t>
        </is>
      </c>
      <c r="K2871" t="inlineStr">
        <is>
          <t>Adams, James E. (James Edward), 1941-</t>
        </is>
      </c>
      <c r="L2871" t="inlineStr">
        <is>
          <t>New York : Harper &amp; Row, c1977.</t>
        </is>
      </c>
      <c r="M2871" t="inlineStr">
        <is>
          <t>1977</t>
        </is>
      </c>
      <c r="N2871" t="inlineStr">
        <is>
          <t>1st ed.</t>
        </is>
      </c>
      <c r="O2871" t="inlineStr">
        <is>
          <t>eng</t>
        </is>
      </c>
      <c r="P2871" t="inlineStr">
        <is>
          <t>nyu</t>
        </is>
      </c>
      <c r="R2871" t="inlineStr">
        <is>
          <t xml:space="preserve">BX </t>
        </is>
      </c>
      <c r="S2871" t="n">
        <v>3</v>
      </c>
      <c r="T2871" t="n">
        <v>3</v>
      </c>
      <c r="U2871" t="inlineStr">
        <is>
          <t>1994-11-16</t>
        </is>
      </c>
      <c r="V2871" t="inlineStr">
        <is>
          <t>1994-11-16</t>
        </is>
      </c>
      <c r="W2871" t="inlineStr">
        <is>
          <t>1992-05-21</t>
        </is>
      </c>
      <c r="X2871" t="inlineStr">
        <is>
          <t>1992-05-21</t>
        </is>
      </c>
      <c r="Y2871" t="n">
        <v>409</v>
      </c>
      <c r="Z2871" t="n">
        <v>380</v>
      </c>
      <c r="AA2871" t="n">
        <v>386</v>
      </c>
      <c r="AB2871" t="n">
        <v>5</v>
      </c>
      <c r="AC2871" t="n">
        <v>5</v>
      </c>
      <c r="AD2871" t="n">
        <v>11</v>
      </c>
      <c r="AE2871" t="n">
        <v>11</v>
      </c>
      <c r="AF2871" t="n">
        <v>3</v>
      </c>
      <c r="AG2871" t="n">
        <v>3</v>
      </c>
      <c r="AH2871" t="n">
        <v>1</v>
      </c>
      <c r="AI2871" t="n">
        <v>1</v>
      </c>
      <c r="AJ2871" t="n">
        <v>6</v>
      </c>
      <c r="AK2871" t="n">
        <v>6</v>
      </c>
      <c r="AL2871" t="n">
        <v>3</v>
      </c>
      <c r="AM2871" t="n">
        <v>3</v>
      </c>
      <c r="AN2871" t="n">
        <v>0</v>
      </c>
      <c r="AO2871" t="n">
        <v>0</v>
      </c>
      <c r="AP2871" t="inlineStr">
        <is>
          <t>No</t>
        </is>
      </c>
      <c r="AQ2871" t="inlineStr">
        <is>
          <t>Yes</t>
        </is>
      </c>
      <c r="AR2871">
        <f>HYPERLINK("http://catalog.hathitrust.org/Record/000731470","HathiTrust Record")</f>
        <v/>
      </c>
      <c r="AS2871">
        <f>HYPERLINK("https://creighton-primo.hosted.exlibrisgroup.com/primo-explore/search?tab=default_tab&amp;search_scope=EVERYTHING&amp;vid=01CRU&amp;lang=en_US&amp;offset=0&amp;query=any,contains,991004274149702656","Catalog Record")</f>
        <v/>
      </c>
      <c r="AT2871">
        <f>HYPERLINK("http://www.worldcat.org/oclc/2888872","WorldCat Record")</f>
        <v/>
      </c>
      <c r="AU2871" t="inlineStr">
        <is>
          <t>6598313:eng</t>
        </is>
      </c>
      <c r="AV2871" t="inlineStr">
        <is>
          <t>2888872</t>
        </is>
      </c>
      <c r="AW2871" t="inlineStr">
        <is>
          <t>991004274149702656</t>
        </is>
      </c>
      <c r="AX2871" t="inlineStr">
        <is>
          <t>991004274149702656</t>
        </is>
      </c>
      <c r="AY2871" t="inlineStr">
        <is>
          <t>2257771080002656</t>
        </is>
      </c>
      <c r="AZ2871" t="inlineStr">
        <is>
          <t>BOOK</t>
        </is>
      </c>
      <c r="BB2871" t="inlineStr">
        <is>
          <t>9780060600716</t>
        </is>
      </c>
      <c r="BC2871" t="inlineStr">
        <is>
          <t>32285001124626</t>
        </is>
      </c>
      <c r="BD2871" t="inlineStr">
        <is>
          <t>893525886</t>
        </is>
      </c>
    </row>
    <row r="2872">
      <c r="A2872" t="inlineStr">
        <is>
          <t>No</t>
        </is>
      </c>
      <c r="B2872" t="inlineStr">
        <is>
          <t>BX8080.W335 A25 2003</t>
        </is>
      </c>
      <c r="C2872" t="inlineStr">
        <is>
          <t>0                      BX 8080000W  335                A  25          2003</t>
        </is>
      </c>
      <c r="D2872" t="inlineStr">
        <is>
          <t>Valentin Weigel : selected spiritual writings / translated and introduced by Andrew Weeks ; preface by R. Emmet McLaughlin.</t>
        </is>
      </c>
      <c r="F2872" t="inlineStr">
        <is>
          <t>No</t>
        </is>
      </c>
      <c r="G2872" t="inlineStr">
        <is>
          <t>1</t>
        </is>
      </c>
      <c r="H2872" t="inlineStr">
        <is>
          <t>No</t>
        </is>
      </c>
      <c r="I2872" t="inlineStr">
        <is>
          <t>No</t>
        </is>
      </c>
      <c r="J2872" t="inlineStr">
        <is>
          <t>0</t>
        </is>
      </c>
      <c r="K2872" t="inlineStr">
        <is>
          <t>Weigel, Valentin, 1533-1588.</t>
        </is>
      </c>
      <c r="L2872" t="inlineStr">
        <is>
          <t>New York : Paulist Press, c2003.</t>
        </is>
      </c>
      <c r="M2872" t="inlineStr">
        <is>
          <t>2003</t>
        </is>
      </c>
      <c r="O2872" t="inlineStr">
        <is>
          <t>eng</t>
        </is>
      </c>
      <c r="P2872" t="inlineStr">
        <is>
          <t>nyu</t>
        </is>
      </c>
      <c r="Q2872" t="inlineStr">
        <is>
          <t>The Classics of Western spirituality</t>
        </is>
      </c>
      <c r="R2872" t="inlineStr">
        <is>
          <t xml:space="preserve">BX </t>
        </is>
      </c>
      <c r="S2872" t="n">
        <v>1</v>
      </c>
      <c r="T2872" t="n">
        <v>1</v>
      </c>
      <c r="U2872" t="inlineStr">
        <is>
          <t>2003-11-13</t>
        </is>
      </c>
      <c r="V2872" t="inlineStr">
        <is>
          <t>2003-11-13</t>
        </is>
      </c>
      <c r="W2872" t="inlineStr">
        <is>
          <t>2003-11-13</t>
        </is>
      </c>
      <c r="X2872" t="inlineStr">
        <is>
          <t>2003-11-13</t>
        </is>
      </c>
      <c r="Y2872" t="n">
        <v>392</v>
      </c>
      <c r="Z2872" t="n">
        <v>338</v>
      </c>
      <c r="AA2872" t="n">
        <v>340</v>
      </c>
      <c r="AB2872" t="n">
        <v>2</v>
      </c>
      <c r="AC2872" t="n">
        <v>2</v>
      </c>
      <c r="AD2872" t="n">
        <v>27</v>
      </c>
      <c r="AE2872" t="n">
        <v>27</v>
      </c>
      <c r="AF2872" t="n">
        <v>13</v>
      </c>
      <c r="AG2872" t="n">
        <v>13</v>
      </c>
      <c r="AH2872" t="n">
        <v>5</v>
      </c>
      <c r="AI2872" t="n">
        <v>5</v>
      </c>
      <c r="AJ2872" t="n">
        <v>17</v>
      </c>
      <c r="AK2872" t="n">
        <v>17</v>
      </c>
      <c r="AL2872" t="n">
        <v>1</v>
      </c>
      <c r="AM2872" t="n">
        <v>1</v>
      </c>
      <c r="AN2872" t="n">
        <v>0</v>
      </c>
      <c r="AO2872" t="n">
        <v>0</v>
      </c>
      <c r="AP2872" t="inlineStr">
        <is>
          <t>No</t>
        </is>
      </c>
      <c r="AQ2872" t="inlineStr">
        <is>
          <t>Yes</t>
        </is>
      </c>
      <c r="AR2872">
        <f>HYPERLINK("http://catalog.hathitrust.org/Record/004354723","HathiTrust Record")</f>
        <v/>
      </c>
      <c r="AS2872">
        <f>HYPERLINK("https://creighton-primo.hosted.exlibrisgroup.com/primo-explore/search?tab=default_tab&amp;search_scope=EVERYTHING&amp;vid=01CRU&amp;lang=en_US&amp;offset=0&amp;query=any,contains,991004177479702656","Catalog Record")</f>
        <v/>
      </c>
      <c r="AT2872">
        <f>HYPERLINK("http://www.worldcat.org/oclc/52495115","WorldCat Record")</f>
        <v/>
      </c>
      <c r="AU2872" t="inlineStr">
        <is>
          <t>116664846:eng</t>
        </is>
      </c>
      <c r="AV2872" t="inlineStr">
        <is>
          <t>52495115</t>
        </is>
      </c>
      <c r="AW2872" t="inlineStr">
        <is>
          <t>991004177479702656</t>
        </is>
      </c>
      <c r="AX2872" t="inlineStr">
        <is>
          <t>991004177479702656</t>
        </is>
      </c>
      <c r="AY2872" t="inlineStr">
        <is>
          <t>2263265760002656</t>
        </is>
      </c>
      <c r="AZ2872" t="inlineStr">
        <is>
          <t>BOOK</t>
        </is>
      </c>
      <c r="BB2872" t="inlineStr">
        <is>
          <t>9780809105649</t>
        </is>
      </c>
      <c r="BC2872" t="inlineStr">
        <is>
          <t>32285004797352</t>
        </is>
      </c>
      <c r="BD2872" t="inlineStr">
        <is>
          <t>893875776</t>
        </is>
      </c>
    </row>
    <row r="2873">
      <c r="A2873" t="inlineStr">
        <is>
          <t>No</t>
        </is>
      </c>
      <c r="B2873" t="inlineStr">
        <is>
          <t>BX809.F6 U76 1999</t>
        </is>
      </c>
      <c r="C2873" t="inlineStr">
        <is>
          <t>0                      BX 0809000F  6                  U  76          1999</t>
        </is>
      </c>
      <c r="D2873" t="inlineStr">
        <is>
          <t>The Pope's armada : unlocking the secrets of mysterious and powerful new sects in the church / Gordon Urquhart.</t>
        </is>
      </c>
      <c r="F2873" t="inlineStr">
        <is>
          <t>No</t>
        </is>
      </c>
      <c r="G2873" t="inlineStr">
        <is>
          <t>1</t>
        </is>
      </c>
      <c r="H2873" t="inlineStr">
        <is>
          <t>No</t>
        </is>
      </c>
      <c r="I2873" t="inlineStr">
        <is>
          <t>No</t>
        </is>
      </c>
      <c r="J2873" t="inlineStr">
        <is>
          <t>0</t>
        </is>
      </c>
      <c r="K2873" t="inlineStr">
        <is>
          <t>Urquhart, Gordon, 1949-</t>
        </is>
      </c>
      <c r="L2873" t="inlineStr">
        <is>
          <t>Amherst, N.Y. : Prometheus Books, 1999.</t>
        </is>
      </c>
      <c r="M2873" t="inlineStr">
        <is>
          <t>1999</t>
        </is>
      </c>
      <c r="N2873" t="inlineStr">
        <is>
          <t>1st U.S. ed.</t>
        </is>
      </c>
      <c r="O2873" t="inlineStr">
        <is>
          <t>eng</t>
        </is>
      </c>
      <c r="P2873" t="inlineStr">
        <is>
          <t>nyu</t>
        </is>
      </c>
      <c r="R2873" t="inlineStr">
        <is>
          <t xml:space="preserve">BX </t>
        </is>
      </c>
      <c r="S2873" t="n">
        <v>2</v>
      </c>
      <c r="T2873" t="n">
        <v>2</v>
      </c>
      <c r="U2873" t="inlineStr">
        <is>
          <t>2007-03-22</t>
        </is>
      </c>
      <c r="V2873" t="inlineStr">
        <is>
          <t>2007-03-22</t>
        </is>
      </c>
      <c r="W2873" t="inlineStr">
        <is>
          <t>2005-10-27</t>
        </is>
      </c>
      <c r="X2873" t="inlineStr">
        <is>
          <t>2005-10-27</t>
        </is>
      </c>
      <c r="Y2873" t="n">
        <v>133</v>
      </c>
      <c r="Z2873" t="n">
        <v>119</v>
      </c>
      <c r="AA2873" t="n">
        <v>148</v>
      </c>
      <c r="AB2873" t="n">
        <v>2</v>
      </c>
      <c r="AC2873" t="n">
        <v>2</v>
      </c>
      <c r="AD2873" t="n">
        <v>11</v>
      </c>
      <c r="AE2873" t="n">
        <v>16</v>
      </c>
      <c r="AF2873" t="n">
        <v>6</v>
      </c>
      <c r="AG2873" t="n">
        <v>7</v>
      </c>
      <c r="AH2873" t="n">
        <v>2</v>
      </c>
      <c r="AI2873" t="n">
        <v>3</v>
      </c>
      <c r="AJ2873" t="n">
        <v>6</v>
      </c>
      <c r="AK2873" t="n">
        <v>11</v>
      </c>
      <c r="AL2873" t="n">
        <v>0</v>
      </c>
      <c r="AM2873" t="n">
        <v>0</v>
      </c>
      <c r="AN2873" t="n">
        <v>0</v>
      </c>
      <c r="AO2873" t="n">
        <v>0</v>
      </c>
      <c r="AP2873" t="inlineStr">
        <is>
          <t>No</t>
        </is>
      </c>
      <c r="AQ2873" t="inlineStr">
        <is>
          <t>Yes</t>
        </is>
      </c>
      <c r="AR2873">
        <f>HYPERLINK("http://catalog.hathitrust.org/Record/004045449","HathiTrust Record")</f>
        <v/>
      </c>
      <c r="AS2873">
        <f>HYPERLINK("https://creighton-primo.hosted.exlibrisgroup.com/primo-explore/search?tab=default_tab&amp;search_scope=EVERYTHING&amp;vid=01CRU&amp;lang=en_US&amp;offset=0&amp;query=any,contains,991004685709702656","Catalog Record")</f>
        <v/>
      </c>
      <c r="AT2873">
        <f>HYPERLINK("http://www.worldcat.org/oclc/40869805","WorldCat Record")</f>
        <v/>
      </c>
      <c r="AU2873" t="inlineStr">
        <is>
          <t>14511261:eng</t>
        </is>
      </c>
      <c r="AV2873" t="inlineStr">
        <is>
          <t>40869805</t>
        </is>
      </c>
      <c r="AW2873" t="inlineStr">
        <is>
          <t>991004685709702656</t>
        </is>
      </c>
      <c r="AX2873" t="inlineStr">
        <is>
          <t>991004685709702656</t>
        </is>
      </c>
      <c r="AY2873" t="inlineStr">
        <is>
          <t>2269371420002656</t>
        </is>
      </c>
      <c r="AZ2873" t="inlineStr">
        <is>
          <t>BOOK</t>
        </is>
      </c>
      <c r="BB2873" t="inlineStr">
        <is>
          <t>9781573926997</t>
        </is>
      </c>
      <c r="BC2873" t="inlineStr">
        <is>
          <t>32285005143176</t>
        </is>
      </c>
      <c r="BD2873" t="inlineStr">
        <is>
          <t>893788996</t>
        </is>
      </c>
    </row>
    <row r="2874">
      <c r="A2874" t="inlineStr">
        <is>
          <t>No</t>
        </is>
      </c>
      <c r="B2874" t="inlineStr">
        <is>
          <t>BX809.O6 B68 1989</t>
        </is>
      </c>
      <c r="C2874" t="inlineStr">
        <is>
          <t>0                      BX 0809000O  6                  B  68          1989</t>
        </is>
      </c>
      <c r="D2874" t="inlineStr">
        <is>
          <t>The work : an investigation into the history of Opus Dei and how it operates in Ireland today. / Fergal Bowers.</t>
        </is>
      </c>
      <c r="F2874" t="inlineStr">
        <is>
          <t>No</t>
        </is>
      </c>
      <c r="G2874" t="inlineStr">
        <is>
          <t>1</t>
        </is>
      </c>
      <c r="H2874" t="inlineStr">
        <is>
          <t>No</t>
        </is>
      </c>
      <c r="I2874" t="inlineStr">
        <is>
          <t>No</t>
        </is>
      </c>
      <c r="J2874" t="inlineStr">
        <is>
          <t>0</t>
        </is>
      </c>
      <c r="K2874" t="inlineStr">
        <is>
          <t>Bowers, Fergal.</t>
        </is>
      </c>
      <c r="L2874" t="inlineStr">
        <is>
          <t>Swords : Poolbeg, c1989.</t>
        </is>
      </c>
      <c r="M2874" t="inlineStr">
        <is>
          <t>1989</t>
        </is>
      </c>
      <c r="O2874" t="inlineStr">
        <is>
          <t>eng</t>
        </is>
      </c>
      <c r="P2874" t="inlineStr">
        <is>
          <t xml:space="preserve">ie </t>
        </is>
      </c>
      <c r="R2874" t="inlineStr">
        <is>
          <t xml:space="preserve">BX </t>
        </is>
      </c>
      <c r="S2874" t="n">
        <v>3</v>
      </c>
      <c r="T2874" t="n">
        <v>3</v>
      </c>
      <c r="U2874" t="inlineStr">
        <is>
          <t>2007-04-20</t>
        </is>
      </c>
      <c r="V2874" t="inlineStr">
        <is>
          <t>2007-04-20</t>
        </is>
      </c>
      <c r="W2874" t="inlineStr">
        <is>
          <t>1990-08-01</t>
        </is>
      </c>
      <c r="X2874" t="inlineStr">
        <is>
          <t>1990-08-01</t>
        </is>
      </c>
      <c r="Y2874" t="n">
        <v>32</v>
      </c>
      <c r="Z2874" t="n">
        <v>31</v>
      </c>
      <c r="AA2874" t="n">
        <v>54</v>
      </c>
      <c r="AB2874" t="n">
        <v>1</v>
      </c>
      <c r="AC2874" t="n">
        <v>1</v>
      </c>
      <c r="AD2874" t="n">
        <v>5</v>
      </c>
      <c r="AE2874" t="n">
        <v>7</v>
      </c>
      <c r="AF2874" t="n">
        <v>1</v>
      </c>
      <c r="AG2874" t="n">
        <v>1</v>
      </c>
      <c r="AH2874" t="n">
        <v>3</v>
      </c>
      <c r="AI2874" t="n">
        <v>3</v>
      </c>
      <c r="AJ2874" t="n">
        <v>3</v>
      </c>
      <c r="AK2874" t="n">
        <v>5</v>
      </c>
      <c r="AL2874" t="n">
        <v>0</v>
      </c>
      <c r="AM2874" t="n">
        <v>0</v>
      </c>
      <c r="AN2874" t="n">
        <v>0</v>
      </c>
      <c r="AO2874" t="n">
        <v>0</v>
      </c>
      <c r="AP2874" t="inlineStr">
        <is>
          <t>No</t>
        </is>
      </c>
      <c r="AQ2874" t="inlineStr">
        <is>
          <t>Yes</t>
        </is>
      </c>
      <c r="AR2874">
        <f>HYPERLINK("http://catalog.hathitrust.org/Record/101895956","HathiTrust Record")</f>
        <v/>
      </c>
      <c r="AS2874">
        <f>HYPERLINK("https://creighton-primo.hosted.exlibrisgroup.com/primo-explore/search?tab=default_tab&amp;search_scope=EVERYTHING&amp;vid=01CRU&amp;lang=en_US&amp;offset=0&amp;query=any,contains,991001591029702656","Catalog Record")</f>
        <v/>
      </c>
      <c r="AT2874">
        <f>HYPERLINK("http://www.worldcat.org/oclc/20580286","WorldCat Record")</f>
        <v/>
      </c>
      <c r="AU2874" t="inlineStr">
        <is>
          <t>22483592:eng</t>
        </is>
      </c>
      <c r="AV2874" t="inlineStr">
        <is>
          <t>20580286</t>
        </is>
      </c>
      <c r="AW2874" t="inlineStr">
        <is>
          <t>991001591029702656</t>
        </is>
      </c>
      <c r="AX2874" t="inlineStr">
        <is>
          <t>991001591029702656</t>
        </is>
      </c>
      <c r="AY2874" t="inlineStr">
        <is>
          <t>2269233130002656</t>
        </is>
      </c>
      <c r="AZ2874" t="inlineStr">
        <is>
          <t>BOOK</t>
        </is>
      </c>
      <c r="BB2874" t="inlineStr">
        <is>
          <t>9781853710377</t>
        </is>
      </c>
      <c r="BC2874" t="inlineStr">
        <is>
          <t>32285000241751</t>
        </is>
      </c>
      <c r="BD2874" t="inlineStr">
        <is>
          <t>893426684</t>
        </is>
      </c>
    </row>
    <row r="2875">
      <c r="A2875" t="inlineStr">
        <is>
          <t>No</t>
        </is>
      </c>
      <c r="B2875" t="inlineStr">
        <is>
          <t>BX809.V6 M82 1907</t>
        </is>
      </c>
      <c r="C2875" t="inlineStr">
        <is>
          <t>0                      BX 0809000V  6                  M  82          1907</t>
        </is>
      </c>
      <c r="D2875" t="inlineStr">
        <is>
          <t>Sodality of Our Lady : hints and helps for those in charge / by Father Elder Mullan, S.J.</t>
        </is>
      </c>
      <c r="F2875" t="inlineStr">
        <is>
          <t>No</t>
        </is>
      </c>
      <c r="G2875" t="inlineStr">
        <is>
          <t>1</t>
        </is>
      </c>
      <c r="H2875" t="inlineStr">
        <is>
          <t>No</t>
        </is>
      </c>
      <c r="I2875" t="inlineStr">
        <is>
          <t>No</t>
        </is>
      </c>
      <c r="J2875" t="inlineStr">
        <is>
          <t>0</t>
        </is>
      </c>
      <c r="K2875" t="inlineStr">
        <is>
          <t>Mullan, Elder, 1865-1925.</t>
        </is>
      </c>
      <c r="L2875" t="inlineStr">
        <is>
          <t>New York : P.J. Kenedy ; London : Washbourne, c1907.</t>
        </is>
      </c>
      <c r="M2875" t="inlineStr">
        <is>
          <t>1907</t>
        </is>
      </c>
      <c r="O2875" t="inlineStr">
        <is>
          <t>eng</t>
        </is>
      </c>
      <c r="P2875" t="inlineStr">
        <is>
          <t>nyu</t>
        </is>
      </c>
      <c r="R2875" t="inlineStr">
        <is>
          <t xml:space="preserve">BX </t>
        </is>
      </c>
      <c r="S2875" t="n">
        <v>1</v>
      </c>
      <c r="T2875" t="n">
        <v>1</v>
      </c>
      <c r="U2875" t="inlineStr">
        <is>
          <t>2002-05-31</t>
        </is>
      </c>
      <c r="V2875" t="inlineStr">
        <is>
          <t>2002-05-31</t>
        </is>
      </c>
      <c r="W2875" t="inlineStr">
        <is>
          <t>1992-04-16</t>
        </is>
      </c>
      <c r="X2875" t="inlineStr">
        <is>
          <t>1992-04-16</t>
        </is>
      </c>
      <c r="Y2875" t="n">
        <v>41</v>
      </c>
      <c r="Z2875" t="n">
        <v>31</v>
      </c>
      <c r="AA2875" t="n">
        <v>45</v>
      </c>
      <c r="AB2875" t="n">
        <v>1</v>
      </c>
      <c r="AC2875" t="n">
        <v>1</v>
      </c>
      <c r="AD2875" t="n">
        <v>12</v>
      </c>
      <c r="AE2875" t="n">
        <v>12</v>
      </c>
      <c r="AF2875" t="n">
        <v>3</v>
      </c>
      <c r="AG2875" t="n">
        <v>3</v>
      </c>
      <c r="AH2875" t="n">
        <v>3</v>
      </c>
      <c r="AI2875" t="n">
        <v>3</v>
      </c>
      <c r="AJ2875" t="n">
        <v>11</v>
      </c>
      <c r="AK2875" t="n">
        <v>11</v>
      </c>
      <c r="AL2875" t="n">
        <v>0</v>
      </c>
      <c r="AM2875" t="n">
        <v>0</v>
      </c>
      <c r="AN2875" t="n">
        <v>0</v>
      </c>
      <c r="AO2875" t="n">
        <v>0</v>
      </c>
      <c r="AP2875" t="inlineStr">
        <is>
          <t>Yes</t>
        </is>
      </c>
      <c r="AQ2875" t="inlineStr">
        <is>
          <t>No</t>
        </is>
      </c>
      <c r="AR2875">
        <f>HYPERLINK("http://catalog.hathitrust.org/Record/102218451","HathiTrust Record")</f>
        <v/>
      </c>
      <c r="AS2875">
        <f>HYPERLINK("https://creighton-primo.hosted.exlibrisgroup.com/primo-explore/search?tab=default_tab&amp;search_scope=EVERYTHING&amp;vid=01CRU&amp;lang=en_US&amp;offset=0&amp;query=any,contains,991004612859702656","Catalog Record")</f>
        <v/>
      </c>
      <c r="AT2875">
        <f>HYPERLINK("http://www.worldcat.org/oclc/4226247","WorldCat Record")</f>
        <v/>
      </c>
      <c r="AU2875" t="inlineStr">
        <is>
          <t>433758362:eng</t>
        </is>
      </c>
      <c r="AV2875" t="inlineStr">
        <is>
          <t>4226247</t>
        </is>
      </c>
      <c r="AW2875" t="inlineStr">
        <is>
          <t>991004612859702656</t>
        </is>
      </c>
      <c r="AX2875" t="inlineStr">
        <is>
          <t>991004612859702656</t>
        </is>
      </c>
      <c r="AY2875" t="inlineStr">
        <is>
          <t>2257186790002656</t>
        </is>
      </c>
      <c r="AZ2875" t="inlineStr">
        <is>
          <t>BOOK</t>
        </is>
      </c>
      <c r="BC2875" t="inlineStr">
        <is>
          <t>32285001018554</t>
        </is>
      </c>
      <c r="BD2875" t="inlineStr">
        <is>
          <t>893706624</t>
        </is>
      </c>
    </row>
    <row r="2876">
      <c r="A2876" t="inlineStr">
        <is>
          <t>No</t>
        </is>
      </c>
      <c r="B2876" t="inlineStr">
        <is>
          <t>BX810.C393 E44 2000</t>
        </is>
      </c>
      <c r="C2876" t="inlineStr">
        <is>
          <t>0                      BX 0810000C  393                E  44          2000</t>
        </is>
      </c>
      <c r="D2876" t="inlineStr">
        <is>
          <t>A year at the Catholic Worker : a spiritual journey among the poor / by Marc H. Ellis ; [preface by Robert Coles ; Greg Garrett, general editor]</t>
        </is>
      </c>
      <c r="F2876" t="inlineStr">
        <is>
          <t>No</t>
        </is>
      </c>
      <c r="G2876" t="inlineStr">
        <is>
          <t>1</t>
        </is>
      </c>
      <c r="H2876" t="inlineStr">
        <is>
          <t>No</t>
        </is>
      </c>
      <c r="I2876" t="inlineStr">
        <is>
          <t>No</t>
        </is>
      </c>
      <c r="J2876" t="inlineStr">
        <is>
          <t>0</t>
        </is>
      </c>
      <c r="K2876" t="inlineStr">
        <is>
          <t>Ellis, Marc H.</t>
        </is>
      </c>
      <c r="L2876" t="inlineStr">
        <is>
          <t>Waco, TX : Baylor University Press, c2000.</t>
        </is>
      </c>
      <c r="M2876" t="inlineStr">
        <is>
          <t>2000</t>
        </is>
      </c>
      <c r="N2876" t="inlineStr">
        <is>
          <t>[Rev. ed.]</t>
        </is>
      </c>
      <c r="O2876" t="inlineStr">
        <is>
          <t>eng</t>
        </is>
      </c>
      <c r="P2876" t="inlineStr">
        <is>
          <t>txu</t>
        </is>
      </c>
      <c r="Q2876" t="inlineStr">
        <is>
          <t>Literature and the religious spirit ; no. 1</t>
        </is>
      </c>
      <c r="R2876" t="inlineStr">
        <is>
          <t xml:space="preserve">BX </t>
        </is>
      </c>
      <c r="S2876" t="n">
        <v>6</v>
      </c>
      <c r="T2876" t="n">
        <v>6</v>
      </c>
      <c r="U2876" t="inlineStr">
        <is>
          <t>2008-04-22</t>
        </is>
      </c>
      <c r="V2876" t="inlineStr">
        <is>
          <t>2008-04-22</t>
        </is>
      </c>
      <c r="W2876" t="inlineStr">
        <is>
          <t>2001-03-29</t>
        </is>
      </c>
      <c r="X2876" t="inlineStr">
        <is>
          <t>2001-03-29</t>
        </is>
      </c>
      <c r="Y2876" t="n">
        <v>110</v>
      </c>
      <c r="Z2876" t="n">
        <v>96</v>
      </c>
      <c r="AA2876" t="n">
        <v>1280</v>
      </c>
      <c r="AB2876" t="n">
        <v>1</v>
      </c>
      <c r="AC2876" t="n">
        <v>5</v>
      </c>
      <c r="AD2876" t="n">
        <v>12</v>
      </c>
      <c r="AE2876" t="n">
        <v>39</v>
      </c>
      <c r="AF2876" t="n">
        <v>5</v>
      </c>
      <c r="AG2876" t="n">
        <v>16</v>
      </c>
      <c r="AH2876" t="n">
        <v>4</v>
      </c>
      <c r="AI2876" t="n">
        <v>9</v>
      </c>
      <c r="AJ2876" t="n">
        <v>7</v>
      </c>
      <c r="AK2876" t="n">
        <v>19</v>
      </c>
      <c r="AL2876" t="n">
        <v>0</v>
      </c>
      <c r="AM2876" t="n">
        <v>4</v>
      </c>
      <c r="AN2876" t="n">
        <v>0</v>
      </c>
      <c r="AO2876" t="n">
        <v>0</v>
      </c>
      <c r="AP2876" t="inlineStr">
        <is>
          <t>No</t>
        </is>
      </c>
      <c r="AQ2876" t="inlineStr">
        <is>
          <t>No</t>
        </is>
      </c>
      <c r="AS2876">
        <f>HYPERLINK("https://creighton-primo.hosted.exlibrisgroup.com/primo-explore/search?tab=default_tab&amp;search_scope=EVERYTHING&amp;vid=01CRU&amp;lang=en_US&amp;offset=0&amp;query=any,contains,991003517599702656","Catalog Record")</f>
        <v/>
      </c>
      <c r="AT2876">
        <f>HYPERLINK("http://www.worldcat.org/oclc/44041521","WorldCat Record")</f>
        <v/>
      </c>
      <c r="AU2876" t="inlineStr">
        <is>
          <t>4161184121:eng</t>
        </is>
      </c>
      <c r="AV2876" t="inlineStr">
        <is>
          <t>44041521</t>
        </is>
      </c>
      <c r="AW2876" t="inlineStr">
        <is>
          <t>991003517599702656</t>
        </is>
      </c>
      <c r="AX2876" t="inlineStr">
        <is>
          <t>991003517599702656</t>
        </is>
      </c>
      <c r="AY2876" t="inlineStr">
        <is>
          <t>2257576240002656</t>
        </is>
      </c>
      <c r="AZ2876" t="inlineStr">
        <is>
          <t>BOOK</t>
        </is>
      </c>
      <c r="BB2876" t="inlineStr">
        <is>
          <t>9780918954749</t>
        </is>
      </c>
      <c r="BC2876" t="inlineStr">
        <is>
          <t>32285004308739</t>
        </is>
      </c>
      <c r="BD2876" t="inlineStr">
        <is>
          <t>893592592</t>
        </is>
      </c>
    </row>
    <row r="2877">
      <c r="A2877" t="inlineStr">
        <is>
          <t>No</t>
        </is>
      </c>
      <c r="B2877" t="inlineStr">
        <is>
          <t>BX8117.I6 G5</t>
        </is>
      </c>
      <c r="C2877" t="inlineStr">
        <is>
          <t>0                      BX 8117000I  6                  G  5</t>
        </is>
      </c>
      <c r="D2877" t="inlineStr">
        <is>
          <t>The Mennonites in Iowa / by Melvin Gingerich. Marking the one hundredth anniversary of the coming of the Mennonites to Iowa.</t>
        </is>
      </c>
      <c r="F2877" t="inlineStr">
        <is>
          <t>No</t>
        </is>
      </c>
      <c r="G2877" t="inlineStr">
        <is>
          <t>1</t>
        </is>
      </c>
      <c r="H2877" t="inlineStr">
        <is>
          <t>No</t>
        </is>
      </c>
      <c r="I2877" t="inlineStr">
        <is>
          <t>No</t>
        </is>
      </c>
      <c r="J2877" t="inlineStr">
        <is>
          <t>0</t>
        </is>
      </c>
      <c r="K2877" t="inlineStr">
        <is>
          <t>Gingerich, Melvin, 1902-1975.</t>
        </is>
      </c>
      <c r="L2877" t="inlineStr">
        <is>
          <t>Iowa City, Ia. : The State historical society of Iowa, 1939.</t>
        </is>
      </c>
      <c r="M2877" t="inlineStr">
        <is>
          <t>1939</t>
        </is>
      </c>
      <c r="O2877" t="inlineStr">
        <is>
          <t>eng</t>
        </is>
      </c>
      <c r="P2877" t="inlineStr">
        <is>
          <t>iau</t>
        </is>
      </c>
      <c r="R2877" t="inlineStr">
        <is>
          <t xml:space="preserve">BX </t>
        </is>
      </c>
      <c r="S2877" t="n">
        <v>5</v>
      </c>
      <c r="T2877" t="n">
        <v>5</v>
      </c>
      <c r="U2877" t="inlineStr">
        <is>
          <t>2004-10-11</t>
        </is>
      </c>
      <c r="V2877" t="inlineStr">
        <is>
          <t>2004-10-11</t>
        </is>
      </c>
      <c r="W2877" t="inlineStr">
        <is>
          <t>1992-03-13</t>
        </is>
      </c>
      <c r="X2877" t="inlineStr">
        <is>
          <t>1992-03-13</t>
        </is>
      </c>
      <c r="Y2877" t="n">
        <v>216</v>
      </c>
      <c r="Z2877" t="n">
        <v>210</v>
      </c>
      <c r="AA2877" t="n">
        <v>251</v>
      </c>
      <c r="AB2877" t="n">
        <v>2</v>
      </c>
      <c r="AC2877" t="n">
        <v>2</v>
      </c>
      <c r="AD2877" t="n">
        <v>8</v>
      </c>
      <c r="AE2877" t="n">
        <v>8</v>
      </c>
      <c r="AF2877" t="n">
        <v>3</v>
      </c>
      <c r="AG2877" t="n">
        <v>3</v>
      </c>
      <c r="AH2877" t="n">
        <v>1</v>
      </c>
      <c r="AI2877" t="n">
        <v>1</v>
      </c>
      <c r="AJ2877" t="n">
        <v>3</v>
      </c>
      <c r="AK2877" t="n">
        <v>3</v>
      </c>
      <c r="AL2877" t="n">
        <v>1</v>
      </c>
      <c r="AM2877" t="n">
        <v>1</v>
      </c>
      <c r="AN2877" t="n">
        <v>0</v>
      </c>
      <c r="AO2877" t="n">
        <v>0</v>
      </c>
      <c r="AP2877" t="inlineStr">
        <is>
          <t>Yes</t>
        </is>
      </c>
      <c r="AQ2877" t="inlineStr">
        <is>
          <t>No</t>
        </is>
      </c>
      <c r="AR2877">
        <f>HYPERLINK("http://catalog.hathitrust.org/Record/001593879","HathiTrust Record")</f>
        <v/>
      </c>
      <c r="AS2877">
        <f>HYPERLINK("https://creighton-primo.hosted.exlibrisgroup.com/primo-explore/search?tab=default_tab&amp;search_scope=EVERYTHING&amp;vid=01CRU&amp;lang=en_US&amp;offset=0&amp;query=any,contains,991003984909702656","Catalog Record")</f>
        <v/>
      </c>
      <c r="AT2877">
        <f>HYPERLINK("http://www.worldcat.org/oclc/2027305","WorldCat Record")</f>
        <v/>
      </c>
      <c r="AU2877" t="inlineStr">
        <is>
          <t>2740992:eng</t>
        </is>
      </c>
      <c r="AV2877" t="inlineStr">
        <is>
          <t>2027305</t>
        </is>
      </c>
      <c r="AW2877" t="inlineStr">
        <is>
          <t>991003984909702656</t>
        </is>
      </c>
      <c r="AX2877" t="inlineStr">
        <is>
          <t>991003984909702656</t>
        </is>
      </c>
      <c r="AY2877" t="inlineStr">
        <is>
          <t>2268699360002656</t>
        </is>
      </c>
      <c r="AZ2877" t="inlineStr">
        <is>
          <t>BOOK</t>
        </is>
      </c>
      <c r="BC2877" t="inlineStr">
        <is>
          <t>32285000999929</t>
        </is>
      </c>
      <c r="BD2877" t="inlineStr">
        <is>
          <t>893525495</t>
        </is>
      </c>
    </row>
    <row r="2878">
      <c r="A2878" t="inlineStr">
        <is>
          <t>No</t>
        </is>
      </c>
      <c r="B2878" t="inlineStr">
        <is>
          <t>BX8128.C6 S29</t>
        </is>
      </c>
      <c r="C2878" t="inlineStr">
        <is>
          <t>0                      BX 8128000C  6                  S  29</t>
        </is>
      </c>
      <c r="D2878" t="inlineStr">
        <is>
          <t>They sought a country : Mennonite colonization in Mexico / Harry Leonard Sawatzky. With an appendix on Mennonite colonization in British Honduras.</t>
        </is>
      </c>
      <c r="F2878" t="inlineStr">
        <is>
          <t>No</t>
        </is>
      </c>
      <c r="G2878" t="inlineStr">
        <is>
          <t>1</t>
        </is>
      </c>
      <c r="H2878" t="inlineStr">
        <is>
          <t>No</t>
        </is>
      </c>
      <c r="I2878" t="inlineStr">
        <is>
          <t>No</t>
        </is>
      </c>
      <c r="J2878" t="inlineStr">
        <is>
          <t>0</t>
        </is>
      </c>
      <c r="K2878" t="inlineStr">
        <is>
          <t>Sawatzky, Harry Leonard, 1931-</t>
        </is>
      </c>
      <c r="L2878" t="inlineStr">
        <is>
          <t>Berkeley : University of California, 1971.</t>
        </is>
      </c>
      <c r="M2878" t="inlineStr">
        <is>
          <t>1971</t>
        </is>
      </c>
      <c r="O2878" t="inlineStr">
        <is>
          <t>eng</t>
        </is>
      </c>
      <c r="P2878" t="inlineStr">
        <is>
          <t>cau</t>
        </is>
      </c>
      <c r="R2878" t="inlineStr">
        <is>
          <t xml:space="preserve">BX </t>
        </is>
      </c>
      <c r="S2878" t="n">
        <v>2</v>
      </c>
      <c r="T2878" t="n">
        <v>2</v>
      </c>
      <c r="U2878" t="inlineStr">
        <is>
          <t>1995-02-10</t>
        </is>
      </c>
      <c r="V2878" t="inlineStr">
        <is>
          <t>1995-02-10</t>
        </is>
      </c>
      <c r="W2878" t="inlineStr">
        <is>
          <t>1992-03-13</t>
        </is>
      </c>
      <c r="X2878" t="inlineStr">
        <is>
          <t>1992-03-13</t>
        </is>
      </c>
      <c r="Y2878" t="n">
        <v>614</v>
      </c>
      <c r="Z2878" t="n">
        <v>535</v>
      </c>
      <c r="AA2878" t="n">
        <v>556</v>
      </c>
      <c r="AB2878" t="n">
        <v>4</v>
      </c>
      <c r="AC2878" t="n">
        <v>4</v>
      </c>
      <c r="AD2878" t="n">
        <v>17</v>
      </c>
      <c r="AE2878" t="n">
        <v>17</v>
      </c>
      <c r="AF2878" t="n">
        <v>4</v>
      </c>
      <c r="AG2878" t="n">
        <v>4</v>
      </c>
      <c r="AH2878" t="n">
        <v>3</v>
      </c>
      <c r="AI2878" t="n">
        <v>3</v>
      </c>
      <c r="AJ2878" t="n">
        <v>10</v>
      </c>
      <c r="AK2878" t="n">
        <v>10</v>
      </c>
      <c r="AL2878" t="n">
        <v>3</v>
      </c>
      <c r="AM2878" t="n">
        <v>3</v>
      </c>
      <c r="AN2878" t="n">
        <v>0</v>
      </c>
      <c r="AO2878" t="n">
        <v>0</v>
      </c>
      <c r="AP2878" t="inlineStr">
        <is>
          <t>No</t>
        </is>
      </c>
      <c r="AQ2878" t="inlineStr">
        <is>
          <t>Yes</t>
        </is>
      </c>
      <c r="AR2878">
        <f>HYPERLINK("http://catalog.hathitrust.org/Record/001593888","HathiTrust Record")</f>
        <v/>
      </c>
      <c r="AS2878">
        <f>HYPERLINK("https://creighton-primo.hosted.exlibrisgroup.com/primo-explore/search?tab=default_tab&amp;search_scope=EVERYTHING&amp;vid=01CRU&amp;lang=en_US&amp;offset=0&amp;query=any,contains,991000851869702656","Catalog Record")</f>
        <v/>
      </c>
      <c r="AT2878">
        <f>HYPERLINK("http://www.worldcat.org/oclc/149056","WorldCat Record")</f>
        <v/>
      </c>
      <c r="AU2878" t="inlineStr">
        <is>
          <t>319914455:eng</t>
        </is>
      </c>
      <c r="AV2878" t="inlineStr">
        <is>
          <t>149056</t>
        </is>
      </c>
      <c r="AW2878" t="inlineStr">
        <is>
          <t>991000851869702656</t>
        </is>
      </c>
      <c r="AX2878" t="inlineStr">
        <is>
          <t>991000851869702656</t>
        </is>
      </c>
      <c r="AY2878" t="inlineStr">
        <is>
          <t>2260593520002656</t>
        </is>
      </c>
      <c r="AZ2878" t="inlineStr">
        <is>
          <t>BOOK</t>
        </is>
      </c>
      <c r="BB2878" t="inlineStr">
        <is>
          <t>9780520017047</t>
        </is>
      </c>
      <c r="BC2878" t="inlineStr">
        <is>
          <t>32285000999911</t>
        </is>
      </c>
      <c r="BD2878" t="inlineStr">
        <is>
          <t>893407589</t>
        </is>
      </c>
    </row>
    <row r="2879">
      <c r="A2879" t="inlineStr">
        <is>
          <t>No</t>
        </is>
      </c>
      <c r="B2879" t="inlineStr">
        <is>
          <t>BX8129.65 .A76 1994</t>
        </is>
      </c>
      <c r="C2879" t="inlineStr">
        <is>
          <t>0                      BX 8129650A  76          1994</t>
        </is>
      </c>
      <c r="D2879" t="inlineStr">
        <is>
          <t>Discipleship : living for Christ in the daily grind / J. Heinrich Arnold ; compiled and edited by the Bruderhof communities.</t>
        </is>
      </c>
      <c r="F2879" t="inlineStr">
        <is>
          <t>No</t>
        </is>
      </c>
      <c r="G2879" t="inlineStr">
        <is>
          <t>1</t>
        </is>
      </c>
      <c r="H2879" t="inlineStr">
        <is>
          <t>No</t>
        </is>
      </c>
      <c r="I2879" t="inlineStr">
        <is>
          <t>No</t>
        </is>
      </c>
      <c r="J2879" t="inlineStr">
        <is>
          <t>0</t>
        </is>
      </c>
      <c r="K2879" t="inlineStr">
        <is>
          <t>Arnold, Heini, 1913-1982.</t>
        </is>
      </c>
      <c r="L2879" t="inlineStr">
        <is>
          <t>Farmington, PA : Plough Pub. House, c1994.</t>
        </is>
      </c>
      <c r="M2879" t="inlineStr">
        <is>
          <t>1994</t>
        </is>
      </c>
      <c r="O2879" t="inlineStr">
        <is>
          <t>eng</t>
        </is>
      </c>
      <c r="P2879" t="inlineStr">
        <is>
          <t>pau</t>
        </is>
      </c>
      <c r="R2879" t="inlineStr">
        <is>
          <t xml:space="preserve">BX </t>
        </is>
      </c>
      <c r="S2879" t="n">
        <v>3</v>
      </c>
      <c r="T2879" t="n">
        <v>3</v>
      </c>
      <c r="U2879" t="inlineStr">
        <is>
          <t>2002-08-06</t>
        </is>
      </c>
      <c r="V2879" t="inlineStr">
        <is>
          <t>2002-08-06</t>
        </is>
      </c>
      <c r="W2879" t="inlineStr">
        <is>
          <t>2002-08-06</t>
        </is>
      </c>
      <c r="X2879" t="inlineStr">
        <is>
          <t>2002-08-06</t>
        </is>
      </c>
      <c r="Y2879" t="n">
        <v>225</v>
      </c>
      <c r="Z2879" t="n">
        <v>201</v>
      </c>
      <c r="AA2879" t="n">
        <v>255</v>
      </c>
      <c r="AB2879" t="n">
        <v>2</v>
      </c>
      <c r="AC2879" t="n">
        <v>2</v>
      </c>
      <c r="AD2879" t="n">
        <v>10</v>
      </c>
      <c r="AE2879" t="n">
        <v>13</v>
      </c>
      <c r="AF2879" t="n">
        <v>2</v>
      </c>
      <c r="AG2879" t="n">
        <v>5</v>
      </c>
      <c r="AH2879" t="n">
        <v>1</v>
      </c>
      <c r="AI2879" t="n">
        <v>1</v>
      </c>
      <c r="AJ2879" t="n">
        <v>6</v>
      </c>
      <c r="AK2879" t="n">
        <v>6</v>
      </c>
      <c r="AL2879" t="n">
        <v>1</v>
      </c>
      <c r="AM2879" t="n">
        <v>1</v>
      </c>
      <c r="AN2879" t="n">
        <v>0</v>
      </c>
      <c r="AO2879" t="n">
        <v>0</v>
      </c>
      <c r="AP2879" t="inlineStr">
        <is>
          <t>No</t>
        </is>
      </c>
      <c r="AQ2879" t="inlineStr">
        <is>
          <t>No</t>
        </is>
      </c>
      <c r="AS2879">
        <f>HYPERLINK("https://creighton-primo.hosted.exlibrisgroup.com/primo-explore/search?tab=default_tab&amp;search_scope=EVERYTHING&amp;vid=01CRU&amp;lang=en_US&amp;offset=0&amp;query=any,contains,991003852569702656","Catalog Record")</f>
        <v/>
      </c>
      <c r="AT2879">
        <f>HYPERLINK("http://www.worldcat.org/oclc/31010691","WorldCat Record")</f>
        <v/>
      </c>
      <c r="AU2879" t="inlineStr">
        <is>
          <t>3901490306:eng</t>
        </is>
      </c>
      <c r="AV2879" t="inlineStr">
        <is>
          <t>31010691</t>
        </is>
      </c>
      <c r="AW2879" t="inlineStr">
        <is>
          <t>991003852569702656</t>
        </is>
      </c>
      <c r="AX2879" t="inlineStr">
        <is>
          <t>991003852569702656</t>
        </is>
      </c>
      <c r="AY2879" t="inlineStr">
        <is>
          <t>2263061100002656</t>
        </is>
      </c>
      <c r="AZ2879" t="inlineStr">
        <is>
          <t>BOOK</t>
        </is>
      </c>
      <c r="BB2879" t="inlineStr">
        <is>
          <t>9780874860665</t>
        </is>
      </c>
      <c r="BC2879" t="inlineStr">
        <is>
          <t>32285004642228</t>
        </is>
      </c>
      <c r="BD2879" t="inlineStr">
        <is>
          <t>893787895</t>
        </is>
      </c>
    </row>
    <row r="2880">
      <c r="A2880" t="inlineStr">
        <is>
          <t>No</t>
        </is>
      </c>
      <c r="B2880" t="inlineStr">
        <is>
          <t>BX8129.A6 W43 2001</t>
        </is>
      </c>
      <c r="C2880" t="inlineStr">
        <is>
          <t>0                      BX 8129000A  6                  W  43          2001</t>
        </is>
      </c>
      <c r="D2880" t="inlineStr">
        <is>
          <t>The Amish in the American imagination / David Weaver-Zercher.</t>
        </is>
      </c>
      <c r="F2880" t="inlineStr">
        <is>
          <t>No</t>
        </is>
      </c>
      <c r="G2880" t="inlineStr">
        <is>
          <t>1</t>
        </is>
      </c>
      <c r="H2880" t="inlineStr">
        <is>
          <t>No</t>
        </is>
      </c>
      <c r="I2880" t="inlineStr">
        <is>
          <t>No</t>
        </is>
      </c>
      <c r="J2880" t="inlineStr">
        <is>
          <t>0</t>
        </is>
      </c>
      <c r="K2880" t="inlineStr">
        <is>
          <t>Weaver-Zercher, David, 1960-</t>
        </is>
      </c>
      <c r="L2880" t="inlineStr">
        <is>
          <t>Baltimore : Johns Hopkins University Press, c2001.</t>
        </is>
      </c>
      <c r="M2880" t="inlineStr">
        <is>
          <t>2001</t>
        </is>
      </c>
      <c r="O2880" t="inlineStr">
        <is>
          <t>eng</t>
        </is>
      </c>
      <c r="P2880" t="inlineStr">
        <is>
          <t>mdu</t>
        </is>
      </c>
      <c r="Q2880" t="inlineStr">
        <is>
          <t>Center books in Anabaptist studies</t>
        </is>
      </c>
      <c r="R2880" t="inlineStr">
        <is>
          <t xml:space="preserve">BX </t>
        </is>
      </c>
      <c r="S2880" t="n">
        <v>4</v>
      </c>
      <c r="T2880" t="n">
        <v>4</v>
      </c>
      <c r="U2880" t="inlineStr">
        <is>
          <t>2006-05-12</t>
        </is>
      </c>
      <c r="V2880" t="inlineStr">
        <is>
          <t>2006-05-12</t>
        </is>
      </c>
      <c r="W2880" t="inlineStr">
        <is>
          <t>2004-08-30</t>
        </is>
      </c>
      <c r="X2880" t="inlineStr">
        <is>
          <t>2004-08-30</t>
        </is>
      </c>
      <c r="Y2880" t="n">
        <v>356</v>
      </c>
      <c r="Z2880" t="n">
        <v>321</v>
      </c>
      <c r="AA2880" t="n">
        <v>321</v>
      </c>
      <c r="AB2880" t="n">
        <v>3</v>
      </c>
      <c r="AC2880" t="n">
        <v>3</v>
      </c>
      <c r="AD2880" t="n">
        <v>17</v>
      </c>
      <c r="AE2880" t="n">
        <v>17</v>
      </c>
      <c r="AF2880" t="n">
        <v>5</v>
      </c>
      <c r="AG2880" t="n">
        <v>5</v>
      </c>
      <c r="AH2880" t="n">
        <v>4</v>
      </c>
      <c r="AI2880" t="n">
        <v>4</v>
      </c>
      <c r="AJ2880" t="n">
        <v>11</v>
      </c>
      <c r="AK2880" t="n">
        <v>11</v>
      </c>
      <c r="AL2880" t="n">
        <v>2</v>
      </c>
      <c r="AM2880" t="n">
        <v>2</v>
      </c>
      <c r="AN2880" t="n">
        <v>0</v>
      </c>
      <c r="AO2880" t="n">
        <v>0</v>
      </c>
      <c r="AP2880" t="inlineStr">
        <is>
          <t>No</t>
        </is>
      </c>
      <c r="AQ2880" t="inlineStr">
        <is>
          <t>No</t>
        </is>
      </c>
      <c r="AS2880">
        <f>HYPERLINK("https://creighton-primo.hosted.exlibrisgroup.com/primo-explore/search?tab=default_tab&amp;search_scope=EVERYTHING&amp;vid=01CRU&amp;lang=en_US&amp;offset=0&amp;query=any,contains,991004350159702656","Catalog Record")</f>
        <v/>
      </c>
      <c r="AT2880">
        <f>HYPERLINK("http://www.worldcat.org/oclc/45115721","WorldCat Record")</f>
        <v/>
      </c>
      <c r="AU2880" t="inlineStr">
        <is>
          <t>20368009:eng</t>
        </is>
      </c>
      <c r="AV2880" t="inlineStr">
        <is>
          <t>45115721</t>
        </is>
      </c>
      <c r="AW2880" t="inlineStr">
        <is>
          <t>991004350159702656</t>
        </is>
      </c>
      <c r="AX2880" t="inlineStr">
        <is>
          <t>991004350159702656</t>
        </is>
      </c>
      <c r="AY2880" t="inlineStr">
        <is>
          <t>2268496570002656</t>
        </is>
      </c>
      <c r="AZ2880" t="inlineStr">
        <is>
          <t>BOOK</t>
        </is>
      </c>
      <c r="BB2880" t="inlineStr">
        <is>
          <t>9780801866814</t>
        </is>
      </c>
      <c r="BC2880" t="inlineStr">
        <is>
          <t>32285004984364</t>
        </is>
      </c>
      <c r="BD2880" t="inlineStr">
        <is>
          <t>893882366</t>
        </is>
      </c>
    </row>
    <row r="2881">
      <c r="A2881" t="inlineStr">
        <is>
          <t>No</t>
        </is>
      </c>
      <c r="B2881" t="inlineStr">
        <is>
          <t>BX8129.B65 A7218213 2000</t>
        </is>
      </c>
      <c r="C2881" t="inlineStr">
        <is>
          <t>0                      BX 8129000B  65                 A  7218213     2000</t>
        </is>
      </c>
      <c r="D2881" t="inlineStr">
        <is>
          <t>Eberhard Arnold / writings selected with an introduction by Johann Christoph Arnold.</t>
        </is>
      </c>
      <c r="F2881" t="inlineStr">
        <is>
          <t>No</t>
        </is>
      </c>
      <c r="G2881" t="inlineStr">
        <is>
          <t>1</t>
        </is>
      </c>
      <c r="H2881" t="inlineStr">
        <is>
          <t>No</t>
        </is>
      </c>
      <c r="I2881" t="inlineStr">
        <is>
          <t>No</t>
        </is>
      </c>
      <c r="J2881" t="inlineStr">
        <is>
          <t>0</t>
        </is>
      </c>
      <c r="K2881" t="inlineStr">
        <is>
          <t>Arnold, Eberhard, 1883-1935.</t>
        </is>
      </c>
      <c r="L2881" t="inlineStr">
        <is>
          <t>Maryknoll, N.Y. : Orbis Books, c2000.</t>
        </is>
      </c>
      <c r="M2881" t="inlineStr">
        <is>
          <t>2000</t>
        </is>
      </c>
      <c r="O2881" t="inlineStr">
        <is>
          <t>eng</t>
        </is>
      </c>
      <c r="P2881" t="inlineStr">
        <is>
          <t>nyu</t>
        </is>
      </c>
      <c r="Q2881" t="inlineStr">
        <is>
          <t>Modern spiritual masters series</t>
        </is>
      </c>
      <c r="R2881" t="inlineStr">
        <is>
          <t xml:space="preserve">BX </t>
        </is>
      </c>
      <c r="S2881" t="n">
        <v>1</v>
      </c>
      <c r="T2881" t="n">
        <v>1</v>
      </c>
      <c r="U2881" t="inlineStr">
        <is>
          <t>2006-11-29</t>
        </is>
      </c>
      <c r="V2881" t="inlineStr">
        <is>
          <t>2006-11-29</t>
        </is>
      </c>
      <c r="W2881" t="inlineStr">
        <is>
          <t>2006-11-29</t>
        </is>
      </c>
      <c r="X2881" t="inlineStr">
        <is>
          <t>2006-11-29</t>
        </is>
      </c>
      <c r="Y2881" t="n">
        <v>185</v>
      </c>
      <c r="Z2881" t="n">
        <v>167</v>
      </c>
      <c r="AA2881" t="n">
        <v>185</v>
      </c>
      <c r="AB2881" t="n">
        <v>2</v>
      </c>
      <c r="AC2881" t="n">
        <v>2</v>
      </c>
      <c r="AD2881" t="n">
        <v>18</v>
      </c>
      <c r="AE2881" t="n">
        <v>19</v>
      </c>
      <c r="AF2881" t="n">
        <v>7</v>
      </c>
      <c r="AG2881" t="n">
        <v>8</v>
      </c>
      <c r="AH2881" t="n">
        <v>3</v>
      </c>
      <c r="AI2881" t="n">
        <v>3</v>
      </c>
      <c r="AJ2881" t="n">
        <v>11</v>
      </c>
      <c r="AK2881" t="n">
        <v>11</v>
      </c>
      <c r="AL2881" t="n">
        <v>1</v>
      </c>
      <c r="AM2881" t="n">
        <v>1</v>
      </c>
      <c r="AN2881" t="n">
        <v>0</v>
      </c>
      <c r="AO2881" t="n">
        <v>0</v>
      </c>
      <c r="AP2881" t="inlineStr">
        <is>
          <t>No</t>
        </is>
      </c>
      <c r="AQ2881" t="inlineStr">
        <is>
          <t>Yes</t>
        </is>
      </c>
      <c r="AR2881">
        <f>HYPERLINK("http://catalog.hathitrust.org/Record/004114525","HathiTrust Record")</f>
        <v/>
      </c>
      <c r="AS2881">
        <f>HYPERLINK("https://creighton-primo.hosted.exlibrisgroup.com/primo-explore/search?tab=default_tab&amp;search_scope=EVERYTHING&amp;vid=01CRU&amp;lang=en_US&amp;offset=0&amp;query=any,contains,991004950859702656","Catalog Record")</f>
        <v/>
      </c>
      <c r="AT2881">
        <f>HYPERLINK("http://www.worldcat.org/oclc/43109890","WorldCat Record")</f>
        <v/>
      </c>
      <c r="AU2881" t="inlineStr">
        <is>
          <t>4757885912:eng</t>
        </is>
      </c>
      <c r="AV2881" t="inlineStr">
        <is>
          <t>43109890</t>
        </is>
      </c>
      <c r="AW2881" t="inlineStr">
        <is>
          <t>991004950859702656</t>
        </is>
      </c>
      <c r="AX2881" t="inlineStr">
        <is>
          <t>991004950859702656</t>
        </is>
      </c>
      <c r="AY2881" t="inlineStr">
        <is>
          <t>2267977510002656</t>
        </is>
      </c>
      <c r="AZ2881" t="inlineStr">
        <is>
          <t>BOOK</t>
        </is>
      </c>
      <c r="BB2881" t="inlineStr">
        <is>
          <t>9781570753046</t>
        </is>
      </c>
      <c r="BC2881" t="inlineStr">
        <is>
          <t>32285005263271</t>
        </is>
      </c>
      <c r="BD2881" t="inlineStr">
        <is>
          <t>893263528</t>
        </is>
      </c>
    </row>
    <row r="2882">
      <c r="A2882" t="inlineStr">
        <is>
          <t>No</t>
        </is>
      </c>
      <c r="B2882" t="inlineStr">
        <is>
          <t>BX8129.B65 A74 1995</t>
        </is>
      </c>
      <c r="C2882" t="inlineStr">
        <is>
          <t>0                      BX 8129000B  65                 A  74          1995</t>
        </is>
      </c>
      <c r="D2882" t="inlineStr">
        <is>
          <t>Why we live in community / Eberhard Arnold ; with two interpretive talks by Thomas Merton ; foreword by Basil Pennington.</t>
        </is>
      </c>
      <c r="F2882" t="inlineStr">
        <is>
          <t>No</t>
        </is>
      </c>
      <c r="G2882" t="inlineStr">
        <is>
          <t>1</t>
        </is>
      </c>
      <c r="H2882" t="inlineStr">
        <is>
          <t>No</t>
        </is>
      </c>
      <c r="I2882" t="inlineStr">
        <is>
          <t>No</t>
        </is>
      </c>
      <c r="J2882" t="inlineStr">
        <is>
          <t>0</t>
        </is>
      </c>
      <c r="K2882" t="inlineStr">
        <is>
          <t>Arnold, Eberhard, 1883-1935.</t>
        </is>
      </c>
      <c r="L2882" t="inlineStr">
        <is>
          <t>New York : Plough Pub. House, 1995.</t>
        </is>
      </c>
      <c r="M2882" t="inlineStr">
        <is>
          <t>1995</t>
        </is>
      </c>
      <c r="N2882" t="inlineStr">
        <is>
          <t>3rd English ed.</t>
        </is>
      </c>
      <c r="O2882" t="inlineStr">
        <is>
          <t>eng</t>
        </is>
      </c>
      <c r="P2882" t="inlineStr">
        <is>
          <t>nyu</t>
        </is>
      </c>
      <c r="R2882" t="inlineStr">
        <is>
          <t xml:space="preserve">BX </t>
        </is>
      </c>
      <c r="S2882" t="n">
        <v>3</v>
      </c>
      <c r="T2882" t="n">
        <v>3</v>
      </c>
      <c r="U2882" t="inlineStr">
        <is>
          <t>2006-05-22</t>
        </is>
      </c>
      <c r="V2882" t="inlineStr">
        <is>
          <t>2006-05-22</t>
        </is>
      </c>
      <c r="W2882" t="inlineStr">
        <is>
          <t>2006-04-11</t>
        </is>
      </c>
      <c r="X2882" t="inlineStr">
        <is>
          <t>2006-04-11</t>
        </is>
      </c>
      <c r="Y2882" t="n">
        <v>184</v>
      </c>
      <c r="Z2882" t="n">
        <v>157</v>
      </c>
      <c r="AA2882" t="n">
        <v>230</v>
      </c>
      <c r="AB2882" t="n">
        <v>1</v>
      </c>
      <c r="AC2882" t="n">
        <v>1</v>
      </c>
      <c r="AD2882" t="n">
        <v>14</v>
      </c>
      <c r="AE2882" t="n">
        <v>14</v>
      </c>
      <c r="AF2882" t="n">
        <v>7</v>
      </c>
      <c r="AG2882" t="n">
        <v>7</v>
      </c>
      <c r="AH2882" t="n">
        <v>1</v>
      </c>
      <c r="AI2882" t="n">
        <v>1</v>
      </c>
      <c r="AJ2882" t="n">
        <v>9</v>
      </c>
      <c r="AK2882" t="n">
        <v>9</v>
      </c>
      <c r="AL2882" t="n">
        <v>0</v>
      </c>
      <c r="AM2882" t="n">
        <v>0</v>
      </c>
      <c r="AN2882" t="n">
        <v>0</v>
      </c>
      <c r="AO2882" t="n">
        <v>0</v>
      </c>
      <c r="AP2882" t="inlineStr">
        <is>
          <t>No</t>
        </is>
      </c>
      <c r="AQ2882" t="inlineStr">
        <is>
          <t>No</t>
        </is>
      </c>
      <c r="AS2882">
        <f>HYPERLINK("https://creighton-primo.hosted.exlibrisgroup.com/primo-explore/search?tab=default_tab&amp;search_scope=EVERYTHING&amp;vid=01CRU&amp;lang=en_US&amp;offset=0&amp;query=any,contains,991004793419702656","Catalog Record")</f>
        <v/>
      </c>
      <c r="AT2882">
        <f>HYPERLINK("http://www.worldcat.org/oclc/32510245","WorldCat Record")</f>
        <v/>
      </c>
      <c r="AU2882" t="inlineStr">
        <is>
          <t>6730038:eng</t>
        </is>
      </c>
      <c r="AV2882" t="inlineStr">
        <is>
          <t>32510245</t>
        </is>
      </c>
      <c r="AW2882" t="inlineStr">
        <is>
          <t>991004793419702656</t>
        </is>
      </c>
      <c r="AX2882" t="inlineStr">
        <is>
          <t>991004793419702656</t>
        </is>
      </c>
      <c r="AY2882" t="inlineStr">
        <is>
          <t>2259552490002656</t>
        </is>
      </c>
      <c r="AZ2882" t="inlineStr">
        <is>
          <t>BOOK</t>
        </is>
      </c>
      <c r="BB2882" t="inlineStr">
        <is>
          <t>9780874860689</t>
        </is>
      </c>
      <c r="BC2882" t="inlineStr">
        <is>
          <t>32285005181275</t>
        </is>
      </c>
      <c r="BD2882" t="inlineStr">
        <is>
          <t>893247985</t>
        </is>
      </c>
    </row>
    <row r="2883">
      <c r="A2883" t="inlineStr">
        <is>
          <t>No</t>
        </is>
      </c>
      <c r="B2883" t="inlineStr">
        <is>
          <t>BX8129.H8 B4</t>
        </is>
      </c>
      <c r="C2883" t="inlineStr">
        <is>
          <t>0                      BX 8129000H  8                  B  4</t>
        </is>
      </c>
      <c r="D2883" t="inlineStr">
        <is>
          <t>Hutterian Brethren : the agricultural economy and social organization of a communal people / [by] John W. Bennett.</t>
        </is>
      </c>
      <c r="F2883" t="inlineStr">
        <is>
          <t>No</t>
        </is>
      </c>
      <c r="G2883" t="inlineStr">
        <is>
          <t>1</t>
        </is>
      </c>
      <c r="H2883" t="inlineStr">
        <is>
          <t>No</t>
        </is>
      </c>
      <c r="I2883" t="inlineStr">
        <is>
          <t>No</t>
        </is>
      </c>
      <c r="J2883" t="inlineStr">
        <is>
          <t>0</t>
        </is>
      </c>
      <c r="K2883" t="inlineStr">
        <is>
          <t>Bennett, John W. (John William), 1915-2005.</t>
        </is>
      </c>
      <c r="L2883" t="inlineStr">
        <is>
          <t>Stanford, Calif. : Stanford University Press, 1967.</t>
        </is>
      </c>
      <c r="M2883" t="inlineStr">
        <is>
          <t>1967</t>
        </is>
      </c>
      <c r="O2883" t="inlineStr">
        <is>
          <t>eng</t>
        </is>
      </c>
      <c r="P2883" t="inlineStr">
        <is>
          <t>cau</t>
        </is>
      </c>
      <c r="R2883" t="inlineStr">
        <is>
          <t xml:space="preserve">BX </t>
        </is>
      </c>
      <c r="S2883" t="n">
        <v>2</v>
      </c>
      <c r="T2883" t="n">
        <v>2</v>
      </c>
      <c r="U2883" t="inlineStr">
        <is>
          <t>2004-10-05</t>
        </is>
      </c>
      <c r="V2883" t="inlineStr">
        <is>
          <t>2004-10-05</t>
        </is>
      </c>
      <c r="W2883" t="inlineStr">
        <is>
          <t>1992-05-21</t>
        </is>
      </c>
      <c r="X2883" t="inlineStr">
        <is>
          <t>1992-05-21</t>
        </is>
      </c>
      <c r="Y2883" t="n">
        <v>793</v>
      </c>
      <c r="Z2883" t="n">
        <v>648</v>
      </c>
      <c r="AA2883" t="n">
        <v>654</v>
      </c>
      <c r="AB2883" t="n">
        <v>6</v>
      </c>
      <c r="AC2883" t="n">
        <v>6</v>
      </c>
      <c r="AD2883" t="n">
        <v>31</v>
      </c>
      <c r="AE2883" t="n">
        <v>31</v>
      </c>
      <c r="AF2883" t="n">
        <v>10</v>
      </c>
      <c r="AG2883" t="n">
        <v>10</v>
      </c>
      <c r="AH2883" t="n">
        <v>7</v>
      </c>
      <c r="AI2883" t="n">
        <v>7</v>
      </c>
      <c r="AJ2883" t="n">
        <v>17</v>
      </c>
      <c r="AK2883" t="n">
        <v>17</v>
      </c>
      <c r="AL2883" t="n">
        <v>5</v>
      </c>
      <c r="AM2883" t="n">
        <v>5</v>
      </c>
      <c r="AN2883" t="n">
        <v>0</v>
      </c>
      <c r="AO2883" t="n">
        <v>0</v>
      </c>
      <c r="AP2883" t="inlineStr">
        <is>
          <t>No</t>
        </is>
      </c>
      <c r="AQ2883" t="inlineStr">
        <is>
          <t>Yes</t>
        </is>
      </c>
      <c r="AR2883">
        <f>HYPERLINK("http://catalog.hathitrust.org/Record/001593898","HathiTrust Record")</f>
        <v/>
      </c>
      <c r="AS2883">
        <f>HYPERLINK("https://creighton-primo.hosted.exlibrisgroup.com/primo-explore/search?tab=default_tab&amp;search_scope=EVERYTHING&amp;vid=01CRU&amp;lang=en_US&amp;offset=0&amp;query=any,contains,991002654619702656","Catalog Record")</f>
        <v/>
      </c>
      <c r="AT2883">
        <f>HYPERLINK("http://www.worldcat.org/oclc/388295","WorldCat Record")</f>
        <v/>
      </c>
      <c r="AU2883" t="inlineStr">
        <is>
          <t>503021803:eng</t>
        </is>
      </c>
      <c r="AV2883" t="inlineStr">
        <is>
          <t>388295</t>
        </is>
      </c>
      <c r="AW2883" t="inlineStr">
        <is>
          <t>991002654619702656</t>
        </is>
      </c>
      <c r="AX2883" t="inlineStr">
        <is>
          <t>991002654619702656</t>
        </is>
      </c>
      <c r="AY2883" t="inlineStr">
        <is>
          <t>2255311420002656</t>
        </is>
      </c>
      <c r="AZ2883" t="inlineStr">
        <is>
          <t>BOOK</t>
        </is>
      </c>
      <c r="BC2883" t="inlineStr">
        <is>
          <t>32285001124659</t>
        </is>
      </c>
      <c r="BD2883" t="inlineStr">
        <is>
          <t>893904005</t>
        </is>
      </c>
    </row>
    <row r="2884">
      <c r="A2884" t="inlineStr">
        <is>
          <t>No</t>
        </is>
      </c>
      <c r="B2884" t="inlineStr">
        <is>
          <t>BX8129.H8 J36 1999</t>
        </is>
      </c>
      <c r="C2884" t="inlineStr">
        <is>
          <t>0                      BX 8129000H  8                  J  36          1999</t>
        </is>
      </c>
      <c r="D2884" t="inlineStr">
        <is>
          <t>The prairie people : forgotten Anabaptists / Rod Janzen.</t>
        </is>
      </c>
      <c r="F2884" t="inlineStr">
        <is>
          <t>No</t>
        </is>
      </c>
      <c r="G2884" t="inlineStr">
        <is>
          <t>1</t>
        </is>
      </c>
      <c r="H2884" t="inlineStr">
        <is>
          <t>No</t>
        </is>
      </c>
      <c r="I2884" t="inlineStr">
        <is>
          <t>No</t>
        </is>
      </c>
      <c r="J2884" t="inlineStr">
        <is>
          <t>0</t>
        </is>
      </c>
      <c r="K2884" t="inlineStr">
        <is>
          <t>Janzen, Rod A.</t>
        </is>
      </c>
      <c r="L2884" t="inlineStr">
        <is>
          <t>Hanover, NH : University Press of New England, c1999.</t>
        </is>
      </c>
      <c r="M2884" t="inlineStr">
        <is>
          <t>1999</t>
        </is>
      </c>
      <c r="O2884" t="inlineStr">
        <is>
          <t>eng</t>
        </is>
      </c>
      <c r="P2884" t="inlineStr">
        <is>
          <t>nhu</t>
        </is>
      </c>
      <c r="R2884" t="inlineStr">
        <is>
          <t xml:space="preserve">BX </t>
        </is>
      </c>
      <c r="S2884" t="n">
        <v>2</v>
      </c>
      <c r="T2884" t="n">
        <v>2</v>
      </c>
      <c r="U2884" t="inlineStr">
        <is>
          <t>2004-09-27</t>
        </is>
      </c>
      <c r="V2884" t="inlineStr">
        <is>
          <t>2004-09-27</t>
        </is>
      </c>
      <c r="W2884" t="inlineStr">
        <is>
          <t>2000-03-01</t>
        </is>
      </c>
      <c r="X2884" t="inlineStr">
        <is>
          <t>2000-03-01</t>
        </is>
      </c>
      <c r="Y2884" t="n">
        <v>290</v>
      </c>
      <c r="Z2884" t="n">
        <v>261</v>
      </c>
      <c r="AA2884" t="n">
        <v>264</v>
      </c>
      <c r="AB2884" t="n">
        <v>6</v>
      </c>
      <c r="AC2884" t="n">
        <v>6</v>
      </c>
      <c r="AD2884" t="n">
        <v>17</v>
      </c>
      <c r="AE2884" t="n">
        <v>17</v>
      </c>
      <c r="AF2884" t="n">
        <v>6</v>
      </c>
      <c r="AG2884" t="n">
        <v>6</v>
      </c>
      <c r="AH2884" t="n">
        <v>4</v>
      </c>
      <c r="AI2884" t="n">
        <v>4</v>
      </c>
      <c r="AJ2884" t="n">
        <v>7</v>
      </c>
      <c r="AK2884" t="n">
        <v>7</v>
      </c>
      <c r="AL2884" t="n">
        <v>4</v>
      </c>
      <c r="AM2884" t="n">
        <v>4</v>
      </c>
      <c r="AN2884" t="n">
        <v>0</v>
      </c>
      <c r="AO2884" t="n">
        <v>0</v>
      </c>
      <c r="AP2884" t="inlineStr">
        <is>
          <t>No</t>
        </is>
      </c>
      <c r="AQ2884" t="inlineStr">
        <is>
          <t>Yes</t>
        </is>
      </c>
      <c r="AR2884">
        <f>HYPERLINK("http://catalog.hathitrust.org/Record/004043838","HathiTrust Record")</f>
        <v/>
      </c>
      <c r="AS2884">
        <f>HYPERLINK("https://creighton-primo.hosted.exlibrisgroup.com/primo-explore/search?tab=default_tab&amp;search_scope=EVERYTHING&amp;vid=01CRU&amp;lang=en_US&amp;offset=0&amp;query=any,contains,991003024989702656","Catalog Record")</f>
        <v/>
      </c>
      <c r="AT2884">
        <f>HYPERLINK("http://www.worldcat.org/oclc/41309831","WorldCat Record")</f>
        <v/>
      </c>
      <c r="AU2884" t="inlineStr">
        <is>
          <t>2852292:eng</t>
        </is>
      </c>
      <c r="AV2884" t="inlineStr">
        <is>
          <t>41309831</t>
        </is>
      </c>
      <c r="AW2884" t="inlineStr">
        <is>
          <t>991003024989702656</t>
        </is>
      </c>
      <c r="AX2884" t="inlineStr">
        <is>
          <t>991003024989702656</t>
        </is>
      </c>
      <c r="AY2884" t="inlineStr">
        <is>
          <t>2257574910002656</t>
        </is>
      </c>
      <c r="AZ2884" t="inlineStr">
        <is>
          <t>BOOK</t>
        </is>
      </c>
      <c r="BB2884" t="inlineStr">
        <is>
          <t>9780874519303</t>
        </is>
      </c>
      <c r="BC2884" t="inlineStr">
        <is>
          <t>32285003666178</t>
        </is>
      </c>
      <c r="BD2884" t="inlineStr">
        <is>
          <t>893262601</t>
        </is>
      </c>
    </row>
    <row r="2885">
      <c r="A2885" t="inlineStr">
        <is>
          <t>No</t>
        </is>
      </c>
      <c r="B2885" t="inlineStr">
        <is>
          <t>BX8129.H8 W55 2000</t>
        </is>
      </c>
      <c r="C2885" t="inlineStr">
        <is>
          <t>0                      BX 8129000H  8                  W  55          2000</t>
        </is>
      </c>
      <c r="D2885" t="inlineStr">
        <is>
          <t>Hutterites of Montana / photographs &amp; text by Laura Wilson.</t>
        </is>
      </c>
      <c r="F2885" t="inlineStr">
        <is>
          <t>No</t>
        </is>
      </c>
      <c r="G2885" t="inlineStr">
        <is>
          <t>1</t>
        </is>
      </c>
      <c r="H2885" t="inlineStr">
        <is>
          <t>No</t>
        </is>
      </c>
      <c r="I2885" t="inlineStr">
        <is>
          <t>No</t>
        </is>
      </c>
      <c r="J2885" t="inlineStr">
        <is>
          <t>0</t>
        </is>
      </c>
      <c r="K2885" t="inlineStr">
        <is>
          <t>Wilson, Laura, 1939-</t>
        </is>
      </c>
      <c r="L2885" t="inlineStr">
        <is>
          <t>New Haven, CT : Yale University Press, c2000.</t>
        </is>
      </c>
      <c r="M2885" t="inlineStr">
        <is>
          <t>2000</t>
        </is>
      </c>
      <c r="O2885" t="inlineStr">
        <is>
          <t>eng</t>
        </is>
      </c>
      <c r="P2885" t="inlineStr">
        <is>
          <t>ctu</t>
        </is>
      </c>
      <c r="R2885" t="inlineStr">
        <is>
          <t xml:space="preserve">BX </t>
        </is>
      </c>
      <c r="S2885" t="n">
        <v>7</v>
      </c>
      <c r="T2885" t="n">
        <v>7</v>
      </c>
      <c r="U2885" t="inlineStr">
        <is>
          <t>2004-10-10</t>
        </is>
      </c>
      <c r="V2885" t="inlineStr">
        <is>
          <t>2004-10-10</t>
        </is>
      </c>
      <c r="W2885" t="inlineStr">
        <is>
          <t>2001-08-30</t>
        </is>
      </c>
      <c r="X2885" t="inlineStr">
        <is>
          <t>2001-08-30</t>
        </is>
      </c>
      <c r="Y2885" t="n">
        <v>621</v>
      </c>
      <c r="Z2885" t="n">
        <v>566</v>
      </c>
      <c r="AA2885" t="n">
        <v>566</v>
      </c>
      <c r="AB2885" t="n">
        <v>1</v>
      </c>
      <c r="AC2885" t="n">
        <v>1</v>
      </c>
      <c r="AD2885" t="n">
        <v>8</v>
      </c>
      <c r="AE2885" t="n">
        <v>8</v>
      </c>
      <c r="AF2885" t="n">
        <v>2</v>
      </c>
      <c r="AG2885" t="n">
        <v>2</v>
      </c>
      <c r="AH2885" t="n">
        <v>2</v>
      </c>
      <c r="AI2885" t="n">
        <v>2</v>
      </c>
      <c r="AJ2885" t="n">
        <v>7</v>
      </c>
      <c r="AK2885" t="n">
        <v>7</v>
      </c>
      <c r="AL2885" t="n">
        <v>0</v>
      </c>
      <c r="AM2885" t="n">
        <v>0</v>
      </c>
      <c r="AN2885" t="n">
        <v>0</v>
      </c>
      <c r="AO2885" t="n">
        <v>0</v>
      </c>
      <c r="AP2885" t="inlineStr">
        <is>
          <t>No</t>
        </is>
      </c>
      <c r="AQ2885" t="inlineStr">
        <is>
          <t>No</t>
        </is>
      </c>
      <c r="AS2885">
        <f>HYPERLINK("https://creighton-primo.hosted.exlibrisgroup.com/primo-explore/search?tab=default_tab&amp;search_scope=EVERYTHING&amp;vid=01CRU&amp;lang=en_US&amp;offset=0&amp;query=any,contains,991003590419702656","Catalog Record")</f>
        <v/>
      </c>
      <c r="AT2885">
        <f>HYPERLINK("http://www.worldcat.org/oclc/43757536","WorldCat Record")</f>
        <v/>
      </c>
      <c r="AU2885" t="inlineStr">
        <is>
          <t>44623983:eng</t>
        </is>
      </c>
      <c r="AV2885" t="inlineStr">
        <is>
          <t>43757536</t>
        </is>
      </c>
      <c r="AW2885" t="inlineStr">
        <is>
          <t>991003590419702656</t>
        </is>
      </c>
      <c r="AX2885" t="inlineStr">
        <is>
          <t>991003590419702656</t>
        </is>
      </c>
      <c r="AY2885" t="inlineStr">
        <is>
          <t>2270334400002656</t>
        </is>
      </c>
      <c r="AZ2885" t="inlineStr">
        <is>
          <t>BOOK</t>
        </is>
      </c>
      <c r="BB2885" t="inlineStr">
        <is>
          <t>9780300083392</t>
        </is>
      </c>
      <c r="BC2885" t="inlineStr">
        <is>
          <t>32285004383856</t>
        </is>
      </c>
      <c r="BD2885" t="inlineStr">
        <is>
          <t>893893889</t>
        </is>
      </c>
    </row>
    <row r="2886">
      <c r="A2886" t="inlineStr">
        <is>
          <t>No</t>
        </is>
      </c>
      <c r="B2886" t="inlineStr">
        <is>
          <t>BX8129.O4 R4</t>
        </is>
      </c>
      <c r="C2886" t="inlineStr">
        <is>
          <t>0                      BX 8129000O  4                  R  4</t>
        </is>
      </c>
      <c r="D2886" t="inlineStr">
        <is>
          <t>The Old Colony Mennonites : dilemmas of ethnic minority life / by Calvin Wall Redekop. Foreword by Everett C. Hughes.</t>
        </is>
      </c>
      <c r="F2886" t="inlineStr">
        <is>
          <t>No</t>
        </is>
      </c>
      <c r="G2886" t="inlineStr">
        <is>
          <t>1</t>
        </is>
      </c>
      <c r="H2886" t="inlineStr">
        <is>
          <t>No</t>
        </is>
      </c>
      <c r="I2886" t="inlineStr">
        <is>
          <t>No</t>
        </is>
      </c>
      <c r="J2886" t="inlineStr">
        <is>
          <t>0</t>
        </is>
      </c>
      <c r="K2886" t="inlineStr">
        <is>
          <t>Redekop, Calvin Wall, 1925-</t>
        </is>
      </c>
      <c r="L2886" t="inlineStr">
        <is>
          <t>Baltimore : Johns Hopkins Press, [1969]</t>
        </is>
      </c>
      <c r="M2886" t="inlineStr">
        <is>
          <t>1969</t>
        </is>
      </c>
      <c r="O2886" t="inlineStr">
        <is>
          <t>eng</t>
        </is>
      </c>
      <c r="P2886" t="inlineStr">
        <is>
          <t>mdu</t>
        </is>
      </c>
      <c r="R2886" t="inlineStr">
        <is>
          <t xml:space="preserve">BX </t>
        </is>
      </c>
      <c r="S2886" t="n">
        <v>1</v>
      </c>
      <c r="T2886" t="n">
        <v>1</v>
      </c>
      <c r="U2886" t="inlineStr">
        <is>
          <t>1993-03-02</t>
        </is>
      </c>
      <c r="V2886" t="inlineStr">
        <is>
          <t>1993-03-02</t>
        </is>
      </c>
      <c r="W2886" t="inlineStr">
        <is>
          <t>1992-02-25</t>
        </is>
      </c>
      <c r="X2886" t="inlineStr">
        <is>
          <t>1992-02-25</t>
        </is>
      </c>
      <c r="Y2886" t="n">
        <v>861</v>
      </c>
      <c r="Z2886" t="n">
        <v>783</v>
      </c>
      <c r="AA2886" t="n">
        <v>793</v>
      </c>
      <c r="AB2886" t="n">
        <v>6</v>
      </c>
      <c r="AC2886" t="n">
        <v>6</v>
      </c>
      <c r="AD2886" t="n">
        <v>29</v>
      </c>
      <c r="AE2886" t="n">
        <v>30</v>
      </c>
      <c r="AF2886" t="n">
        <v>8</v>
      </c>
      <c r="AG2886" t="n">
        <v>8</v>
      </c>
      <c r="AH2886" t="n">
        <v>7</v>
      </c>
      <c r="AI2886" t="n">
        <v>7</v>
      </c>
      <c r="AJ2886" t="n">
        <v>15</v>
      </c>
      <c r="AK2886" t="n">
        <v>16</v>
      </c>
      <c r="AL2886" t="n">
        <v>5</v>
      </c>
      <c r="AM2886" t="n">
        <v>5</v>
      </c>
      <c r="AN2886" t="n">
        <v>0</v>
      </c>
      <c r="AO2886" t="n">
        <v>0</v>
      </c>
      <c r="AP2886" t="inlineStr">
        <is>
          <t>No</t>
        </is>
      </c>
      <c r="AQ2886" t="inlineStr">
        <is>
          <t>Yes</t>
        </is>
      </c>
      <c r="AR2886">
        <f>HYPERLINK("http://catalog.hathitrust.org/Record/000143749","HathiTrust Record")</f>
        <v/>
      </c>
      <c r="AS2886">
        <f>HYPERLINK("https://creighton-primo.hosted.exlibrisgroup.com/primo-explore/search?tab=default_tab&amp;search_scope=EVERYTHING&amp;vid=01CRU&amp;lang=en_US&amp;offset=0&amp;query=any,contains,991000050549702656","Catalog Record")</f>
        <v/>
      </c>
      <c r="AT2886">
        <f>HYPERLINK("http://www.worldcat.org/oclc/22781","WorldCat Record")</f>
        <v/>
      </c>
      <c r="AU2886" t="inlineStr">
        <is>
          <t>1144985:eng</t>
        </is>
      </c>
      <c r="AV2886" t="inlineStr">
        <is>
          <t>22781</t>
        </is>
      </c>
      <c r="AW2886" t="inlineStr">
        <is>
          <t>991000050549702656</t>
        </is>
      </c>
      <c r="AX2886" t="inlineStr">
        <is>
          <t>991000050549702656</t>
        </is>
      </c>
      <c r="AY2886" t="inlineStr">
        <is>
          <t>2268309360002656</t>
        </is>
      </c>
      <c r="AZ2886" t="inlineStr">
        <is>
          <t>BOOK</t>
        </is>
      </c>
      <c r="BB2886" t="inlineStr">
        <is>
          <t>9780801810206</t>
        </is>
      </c>
      <c r="BC2886" t="inlineStr">
        <is>
          <t>32285000982412</t>
        </is>
      </c>
      <c r="BD2886" t="inlineStr">
        <is>
          <t>893444174</t>
        </is>
      </c>
    </row>
    <row r="2887">
      <c r="A2887" t="inlineStr">
        <is>
          <t>No</t>
        </is>
      </c>
      <c r="B2887" t="inlineStr">
        <is>
          <t>BX819.3.O68 A55 2005</t>
        </is>
      </c>
      <c r="C2887" t="inlineStr">
        <is>
          <t>0                      BX 0819300O  68                 A  55          2005</t>
        </is>
      </c>
      <c r="D2887" t="inlineStr">
        <is>
          <t>Opus Dei : an objective look behind the myths and reality of the most controversial force in the Catholic Church / John L. Allen, Jr.</t>
        </is>
      </c>
      <c r="F2887" t="inlineStr">
        <is>
          <t>No</t>
        </is>
      </c>
      <c r="G2887" t="inlineStr">
        <is>
          <t>1</t>
        </is>
      </c>
      <c r="H2887" t="inlineStr">
        <is>
          <t>No</t>
        </is>
      </c>
      <c r="I2887" t="inlineStr">
        <is>
          <t>No</t>
        </is>
      </c>
      <c r="J2887" t="inlineStr">
        <is>
          <t>0</t>
        </is>
      </c>
      <c r="K2887" t="inlineStr">
        <is>
          <t>Allen, John L., Jr., 1965-</t>
        </is>
      </c>
      <c r="L2887" t="inlineStr">
        <is>
          <t>New York : Doubleday : 2005.</t>
        </is>
      </c>
      <c r="M2887" t="inlineStr">
        <is>
          <t>2005</t>
        </is>
      </c>
      <c r="N2887" t="inlineStr">
        <is>
          <t>1st ed.</t>
        </is>
      </c>
      <c r="O2887" t="inlineStr">
        <is>
          <t>eng</t>
        </is>
      </c>
      <c r="P2887" t="inlineStr">
        <is>
          <t>nyu</t>
        </is>
      </c>
      <c r="R2887" t="inlineStr">
        <is>
          <t xml:space="preserve">BX </t>
        </is>
      </c>
      <c r="S2887" t="n">
        <v>5</v>
      </c>
      <c r="T2887" t="n">
        <v>5</v>
      </c>
      <c r="U2887" t="inlineStr">
        <is>
          <t>2008-09-16</t>
        </is>
      </c>
      <c r="V2887" t="inlineStr">
        <is>
          <t>2008-09-16</t>
        </is>
      </c>
      <c r="W2887" t="inlineStr">
        <is>
          <t>2005-12-21</t>
        </is>
      </c>
      <c r="X2887" t="inlineStr">
        <is>
          <t>2005-12-21</t>
        </is>
      </c>
      <c r="Y2887" t="n">
        <v>1222</v>
      </c>
      <c r="Z2887" t="n">
        <v>1134</v>
      </c>
      <c r="AA2887" t="n">
        <v>1176</v>
      </c>
      <c r="AB2887" t="n">
        <v>10</v>
      </c>
      <c r="AC2887" t="n">
        <v>10</v>
      </c>
      <c r="AD2887" t="n">
        <v>38</v>
      </c>
      <c r="AE2887" t="n">
        <v>38</v>
      </c>
      <c r="AF2887" t="n">
        <v>15</v>
      </c>
      <c r="AG2887" t="n">
        <v>15</v>
      </c>
      <c r="AH2887" t="n">
        <v>7</v>
      </c>
      <c r="AI2887" t="n">
        <v>7</v>
      </c>
      <c r="AJ2887" t="n">
        <v>23</v>
      </c>
      <c r="AK2887" t="n">
        <v>23</v>
      </c>
      <c r="AL2887" t="n">
        <v>3</v>
      </c>
      <c r="AM2887" t="n">
        <v>3</v>
      </c>
      <c r="AN2887" t="n">
        <v>0</v>
      </c>
      <c r="AO2887" t="n">
        <v>0</v>
      </c>
      <c r="AP2887" t="inlineStr">
        <is>
          <t>No</t>
        </is>
      </c>
      <c r="AQ2887" t="inlineStr">
        <is>
          <t>Yes</t>
        </is>
      </c>
      <c r="AR2887">
        <f>HYPERLINK("http://catalog.hathitrust.org/Record/005135048","HathiTrust Record")</f>
        <v/>
      </c>
      <c r="AS2887">
        <f>HYPERLINK("https://creighton-primo.hosted.exlibrisgroup.com/primo-explore/search?tab=default_tab&amp;search_scope=EVERYTHING&amp;vid=01CRU&amp;lang=en_US&amp;offset=0&amp;query=any,contains,991004701429702656","Catalog Record")</f>
        <v/>
      </c>
      <c r="AT2887">
        <f>HYPERLINK("http://www.worldcat.org/oclc/58431864","WorldCat Record")</f>
        <v/>
      </c>
      <c r="AU2887" t="inlineStr">
        <is>
          <t>4535634770:eng</t>
        </is>
      </c>
      <c r="AV2887" t="inlineStr">
        <is>
          <t>58431864</t>
        </is>
      </c>
      <c r="AW2887" t="inlineStr">
        <is>
          <t>991004701429702656</t>
        </is>
      </c>
      <c r="AX2887" t="inlineStr">
        <is>
          <t>991004701429702656</t>
        </is>
      </c>
      <c r="AY2887" t="inlineStr">
        <is>
          <t>2258342660002656</t>
        </is>
      </c>
      <c r="AZ2887" t="inlineStr">
        <is>
          <t>BOOK</t>
        </is>
      </c>
      <c r="BB2887" t="inlineStr">
        <is>
          <t>9780385514491</t>
        </is>
      </c>
      <c r="BC2887" t="inlineStr">
        <is>
          <t>32285005153340</t>
        </is>
      </c>
      <c r="BD2887" t="inlineStr">
        <is>
          <t>893241739</t>
        </is>
      </c>
    </row>
    <row r="2888">
      <c r="A2888" t="inlineStr">
        <is>
          <t>No</t>
        </is>
      </c>
      <c r="B2888" t="inlineStr">
        <is>
          <t>BX821 .H45</t>
        </is>
      </c>
      <c r="C2888" t="inlineStr">
        <is>
          <t>0                      BX 0821000H  45</t>
        </is>
      </c>
      <c r="D2888" t="inlineStr">
        <is>
          <t>A history of the councils of the church : from the original documents / by Charles Joseph Hefele ; translated from the German, with the author's approbation, and edited by William R. Clark.</t>
        </is>
      </c>
      <c r="E2888" t="inlineStr">
        <is>
          <t>V. 4</t>
        </is>
      </c>
      <c r="F2888" t="inlineStr">
        <is>
          <t>Yes</t>
        </is>
      </c>
      <c r="G2888" t="inlineStr">
        <is>
          <t>1</t>
        </is>
      </c>
      <c r="H2888" t="inlineStr">
        <is>
          <t>No</t>
        </is>
      </c>
      <c r="I2888" t="inlineStr">
        <is>
          <t>No</t>
        </is>
      </c>
      <c r="J2888" t="inlineStr">
        <is>
          <t>0</t>
        </is>
      </c>
      <c r="K2888" t="inlineStr">
        <is>
          <t>Hefele, Karl Joseph von, 1809-1893.</t>
        </is>
      </c>
      <c r="L2888" t="inlineStr">
        <is>
          <t>Edinburgh : T. &amp; T. Clark, 1883-1896.</t>
        </is>
      </c>
      <c r="M2888" t="inlineStr">
        <is>
          <t>1894</t>
        </is>
      </c>
      <c r="O2888" t="inlineStr">
        <is>
          <t>eng</t>
        </is>
      </c>
      <c r="P2888" t="inlineStr">
        <is>
          <t>stk</t>
        </is>
      </c>
      <c r="R2888" t="inlineStr">
        <is>
          <t xml:space="preserve">BX </t>
        </is>
      </c>
      <c r="S2888" t="n">
        <v>1</v>
      </c>
      <c r="T2888" t="n">
        <v>13</v>
      </c>
      <c r="V2888" t="inlineStr">
        <is>
          <t>2001-09-27</t>
        </is>
      </c>
      <c r="W2888" t="inlineStr">
        <is>
          <t>1992-04-20</t>
        </is>
      </c>
      <c r="X2888" t="inlineStr">
        <is>
          <t>1992-04-20</t>
        </is>
      </c>
      <c r="Y2888" t="n">
        <v>32</v>
      </c>
      <c r="Z2888" t="n">
        <v>30</v>
      </c>
      <c r="AA2888" t="n">
        <v>620</v>
      </c>
      <c r="AB2888" t="n">
        <v>1</v>
      </c>
      <c r="AC2888" t="n">
        <v>4</v>
      </c>
      <c r="AD2888" t="n">
        <v>3</v>
      </c>
      <c r="AE2888" t="n">
        <v>46</v>
      </c>
      <c r="AF2888" t="n">
        <v>0</v>
      </c>
      <c r="AG2888" t="n">
        <v>15</v>
      </c>
      <c r="AH2888" t="n">
        <v>0</v>
      </c>
      <c r="AI2888" t="n">
        <v>8</v>
      </c>
      <c r="AJ2888" t="n">
        <v>3</v>
      </c>
      <c r="AK2888" t="n">
        <v>21</v>
      </c>
      <c r="AL2888" t="n">
        <v>0</v>
      </c>
      <c r="AM2888" t="n">
        <v>2</v>
      </c>
      <c r="AN2888" t="n">
        <v>0</v>
      </c>
      <c r="AO2888" t="n">
        <v>11</v>
      </c>
      <c r="AP2888" t="inlineStr">
        <is>
          <t>No</t>
        </is>
      </c>
      <c r="AQ2888" t="inlineStr">
        <is>
          <t>No</t>
        </is>
      </c>
      <c r="AS2888">
        <f>HYPERLINK("https://creighton-primo.hosted.exlibrisgroup.com/primo-explore/search?tab=default_tab&amp;search_scope=EVERYTHING&amp;vid=01CRU&amp;lang=en_US&amp;offset=0&amp;query=any,contains,991000322759702656","Catalog Record")</f>
        <v/>
      </c>
      <c r="AT2888">
        <f>HYPERLINK("http://www.worldcat.org/oclc/10158388","WorldCat Record")</f>
        <v/>
      </c>
      <c r="AU2888" t="inlineStr">
        <is>
          <t>9988798122:eng</t>
        </is>
      </c>
      <c r="AV2888" t="inlineStr">
        <is>
          <t>10158388</t>
        </is>
      </c>
      <c r="AW2888" t="inlineStr">
        <is>
          <t>991000322759702656</t>
        </is>
      </c>
      <c r="AX2888" t="inlineStr">
        <is>
          <t>991000322759702656</t>
        </is>
      </c>
      <c r="AY2888" t="inlineStr">
        <is>
          <t>2262284740002656</t>
        </is>
      </c>
      <c r="AZ2888" t="inlineStr">
        <is>
          <t>BOOK</t>
        </is>
      </c>
      <c r="BC2888" t="inlineStr">
        <is>
          <t>32285001019040</t>
        </is>
      </c>
      <c r="BD2888" t="inlineStr">
        <is>
          <t>893339462</t>
        </is>
      </c>
    </row>
    <row r="2889">
      <c r="A2889" t="inlineStr">
        <is>
          <t>No</t>
        </is>
      </c>
      <c r="B2889" t="inlineStr">
        <is>
          <t>BX821 .H45</t>
        </is>
      </c>
      <c r="C2889" t="inlineStr">
        <is>
          <t>0                      BX 0821000H  45</t>
        </is>
      </c>
      <c r="D2889" t="inlineStr">
        <is>
          <t>A history of the councils of the church : from the original documents / by Charles Joseph Hefele ; translated from the German, with the author's approbation, and edited by William R. Clark.</t>
        </is>
      </c>
      <c r="E2889" t="inlineStr">
        <is>
          <t>V. 1</t>
        </is>
      </c>
      <c r="F2889" t="inlineStr">
        <is>
          <t>Yes</t>
        </is>
      </c>
      <c r="G2889" t="inlineStr">
        <is>
          <t>1</t>
        </is>
      </c>
      <c r="H2889" t="inlineStr">
        <is>
          <t>No</t>
        </is>
      </c>
      <c r="I2889" t="inlineStr">
        <is>
          <t>No</t>
        </is>
      </c>
      <c r="J2889" t="inlineStr">
        <is>
          <t>0</t>
        </is>
      </c>
      <c r="K2889" t="inlineStr">
        <is>
          <t>Hefele, Karl Joseph von, 1809-1893.</t>
        </is>
      </c>
      <c r="L2889" t="inlineStr">
        <is>
          <t>Edinburgh : T. &amp; T. Clark, 1883-1896.</t>
        </is>
      </c>
      <c r="M2889" t="inlineStr">
        <is>
          <t>1894</t>
        </is>
      </c>
      <c r="O2889" t="inlineStr">
        <is>
          <t>eng</t>
        </is>
      </c>
      <c r="P2889" t="inlineStr">
        <is>
          <t>stk</t>
        </is>
      </c>
      <c r="R2889" t="inlineStr">
        <is>
          <t xml:space="preserve">BX </t>
        </is>
      </c>
      <c r="S2889" t="n">
        <v>5</v>
      </c>
      <c r="T2889" t="n">
        <v>13</v>
      </c>
      <c r="U2889" t="inlineStr">
        <is>
          <t>2001-09-27</t>
        </is>
      </c>
      <c r="V2889" t="inlineStr">
        <is>
          <t>2001-09-27</t>
        </is>
      </c>
      <c r="W2889" t="inlineStr">
        <is>
          <t>1992-04-20</t>
        </is>
      </c>
      <c r="X2889" t="inlineStr">
        <is>
          <t>1992-04-20</t>
        </is>
      </c>
      <c r="Y2889" t="n">
        <v>32</v>
      </c>
      <c r="Z2889" t="n">
        <v>30</v>
      </c>
      <c r="AA2889" t="n">
        <v>620</v>
      </c>
      <c r="AB2889" t="n">
        <v>1</v>
      </c>
      <c r="AC2889" t="n">
        <v>4</v>
      </c>
      <c r="AD2889" t="n">
        <v>3</v>
      </c>
      <c r="AE2889" t="n">
        <v>46</v>
      </c>
      <c r="AF2889" t="n">
        <v>0</v>
      </c>
      <c r="AG2889" t="n">
        <v>15</v>
      </c>
      <c r="AH2889" t="n">
        <v>0</v>
      </c>
      <c r="AI2889" t="n">
        <v>8</v>
      </c>
      <c r="AJ2889" t="n">
        <v>3</v>
      </c>
      <c r="AK2889" t="n">
        <v>21</v>
      </c>
      <c r="AL2889" t="n">
        <v>0</v>
      </c>
      <c r="AM2889" t="n">
        <v>2</v>
      </c>
      <c r="AN2889" t="n">
        <v>0</v>
      </c>
      <c r="AO2889" t="n">
        <v>11</v>
      </c>
      <c r="AP2889" t="inlineStr">
        <is>
          <t>No</t>
        </is>
      </c>
      <c r="AQ2889" t="inlineStr">
        <is>
          <t>No</t>
        </is>
      </c>
      <c r="AS2889">
        <f>HYPERLINK("https://creighton-primo.hosted.exlibrisgroup.com/primo-explore/search?tab=default_tab&amp;search_scope=EVERYTHING&amp;vid=01CRU&amp;lang=en_US&amp;offset=0&amp;query=any,contains,991000322759702656","Catalog Record")</f>
        <v/>
      </c>
      <c r="AT2889">
        <f>HYPERLINK("http://www.worldcat.org/oclc/10158388","WorldCat Record")</f>
        <v/>
      </c>
      <c r="AU2889" t="inlineStr">
        <is>
          <t>9988798122:eng</t>
        </is>
      </c>
      <c r="AV2889" t="inlineStr">
        <is>
          <t>10158388</t>
        </is>
      </c>
      <c r="AW2889" t="inlineStr">
        <is>
          <t>991000322759702656</t>
        </is>
      </c>
      <c r="AX2889" t="inlineStr">
        <is>
          <t>991000322759702656</t>
        </is>
      </c>
      <c r="AY2889" t="inlineStr">
        <is>
          <t>2262284740002656</t>
        </is>
      </c>
      <c r="AZ2889" t="inlineStr">
        <is>
          <t>BOOK</t>
        </is>
      </c>
      <c r="BC2889" t="inlineStr">
        <is>
          <t>32285001019032</t>
        </is>
      </c>
      <c r="BD2889" t="inlineStr">
        <is>
          <t>893339461</t>
        </is>
      </c>
    </row>
    <row r="2890">
      <c r="A2890" t="inlineStr">
        <is>
          <t>No</t>
        </is>
      </c>
      <c r="B2890" t="inlineStr">
        <is>
          <t>BX821 .H45</t>
        </is>
      </c>
      <c r="C2890" t="inlineStr">
        <is>
          <t>0                      BX 0821000H  45</t>
        </is>
      </c>
      <c r="D2890" t="inlineStr">
        <is>
          <t>A history of the councils of the church : from the original documents / by Charles Joseph Hefele ; translated from the German, with the author's approbation, and edited by William R. Clark.</t>
        </is>
      </c>
      <c r="E2890" t="inlineStr">
        <is>
          <t>V. 2</t>
        </is>
      </c>
      <c r="F2890" t="inlineStr">
        <is>
          <t>Yes</t>
        </is>
      </c>
      <c r="G2890" t="inlineStr">
        <is>
          <t>1</t>
        </is>
      </c>
      <c r="H2890" t="inlineStr">
        <is>
          <t>No</t>
        </is>
      </c>
      <c r="I2890" t="inlineStr">
        <is>
          <t>No</t>
        </is>
      </c>
      <c r="J2890" t="inlineStr">
        <is>
          <t>0</t>
        </is>
      </c>
      <c r="K2890" t="inlineStr">
        <is>
          <t>Hefele, Karl Joseph von, 1809-1893.</t>
        </is>
      </c>
      <c r="L2890" t="inlineStr">
        <is>
          <t>Edinburgh : T. &amp; T. Clark, 1883-1896.</t>
        </is>
      </c>
      <c r="M2890" t="inlineStr">
        <is>
          <t>1894</t>
        </is>
      </c>
      <c r="O2890" t="inlineStr">
        <is>
          <t>eng</t>
        </is>
      </c>
      <c r="P2890" t="inlineStr">
        <is>
          <t>stk</t>
        </is>
      </c>
      <c r="R2890" t="inlineStr">
        <is>
          <t xml:space="preserve">BX </t>
        </is>
      </c>
      <c r="S2890" t="n">
        <v>3</v>
      </c>
      <c r="T2890" t="n">
        <v>13</v>
      </c>
      <c r="U2890" t="inlineStr">
        <is>
          <t>2001-09-27</t>
        </is>
      </c>
      <c r="V2890" t="inlineStr">
        <is>
          <t>2001-09-27</t>
        </is>
      </c>
      <c r="W2890" t="inlineStr">
        <is>
          <t>1992-04-06</t>
        </is>
      </c>
      <c r="X2890" t="inlineStr">
        <is>
          <t>1992-04-20</t>
        </is>
      </c>
      <c r="Y2890" t="n">
        <v>32</v>
      </c>
      <c r="Z2890" t="n">
        <v>30</v>
      </c>
      <c r="AA2890" t="n">
        <v>620</v>
      </c>
      <c r="AB2890" t="n">
        <v>1</v>
      </c>
      <c r="AC2890" t="n">
        <v>4</v>
      </c>
      <c r="AD2890" t="n">
        <v>3</v>
      </c>
      <c r="AE2890" t="n">
        <v>46</v>
      </c>
      <c r="AF2890" t="n">
        <v>0</v>
      </c>
      <c r="AG2890" t="n">
        <v>15</v>
      </c>
      <c r="AH2890" t="n">
        <v>0</v>
      </c>
      <c r="AI2890" t="n">
        <v>8</v>
      </c>
      <c r="AJ2890" t="n">
        <v>3</v>
      </c>
      <c r="AK2890" t="n">
        <v>21</v>
      </c>
      <c r="AL2890" t="n">
        <v>0</v>
      </c>
      <c r="AM2890" t="n">
        <v>2</v>
      </c>
      <c r="AN2890" t="n">
        <v>0</v>
      </c>
      <c r="AO2890" t="n">
        <v>11</v>
      </c>
      <c r="AP2890" t="inlineStr">
        <is>
          <t>No</t>
        </is>
      </c>
      <c r="AQ2890" t="inlineStr">
        <is>
          <t>No</t>
        </is>
      </c>
      <c r="AS2890">
        <f>HYPERLINK("https://creighton-primo.hosted.exlibrisgroup.com/primo-explore/search?tab=default_tab&amp;search_scope=EVERYTHING&amp;vid=01CRU&amp;lang=en_US&amp;offset=0&amp;query=any,contains,991000322759702656","Catalog Record")</f>
        <v/>
      </c>
      <c r="AT2890">
        <f>HYPERLINK("http://www.worldcat.org/oclc/10158388","WorldCat Record")</f>
        <v/>
      </c>
      <c r="AU2890" t="inlineStr">
        <is>
          <t>9988798122:eng</t>
        </is>
      </c>
      <c r="AV2890" t="inlineStr">
        <is>
          <t>10158388</t>
        </is>
      </c>
      <c r="AW2890" t="inlineStr">
        <is>
          <t>991000322759702656</t>
        </is>
      </c>
      <c r="AX2890" t="inlineStr">
        <is>
          <t>991000322759702656</t>
        </is>
      </c>
      <c r="AY2890" t="inlineStr">
        <is>
          <t>2262284740002656</t>
        </is>
      </c>
      <c r="AZ2890" t="inlineStr">
        <is>
          <t>BOOK</t>
        </is>
      </c>
      <c r="BC2890" t="inlineStr">
        <is>
          <t>32285001049195</t>
        </is>
      </c>
      <c r="BD2890" t="inlineStr">
        <is>
          <t>893327204</t>
        </is>
      </c>
    </row>
    <row r="2891">
      <c r="A2891" t="inlineStr">
        <is>
          <t>No</t>
        </is>
      </c>
      <c r="B2891" t="inlineStr">
        <is>
          <t>BX821 .H45</t>
        </is>
      </c>
      <c r="C2891" t="inlineStr">
        <is>
          <t>0                      BX 0821000H  45</t>
        </is>
      </c>
      <c r="D2891" t="inlineStr">
        <is>
          <t>A history of the councils of the church : from the original documents / by Charles Joseph Hefele ; translated from the German, with the author's approbation, and edited by William R. Clark.</t>
        </is>
      </c>
      <c r="E2891" t="inlineStr">
        <is>
          <t>V. 3</t>
        </is>
      </c>
      <c r="F2891" t="inlineStr">
        <is>
          <t>Yes</t>
        </is>
      </c>
      <c r="G2891" t="inlineStr">
        <is>
          <t>1</t>
        </is>
      </c>
      <c r="H2891" t="inlineStr">
        <is>
          <t>No</t>
        </is>
      </c>
      <c r="I2891" t="inlineStr">
        <is>
          <t>No</t>
        </is>
      </c>
      <c r="J2891" t="inlineStr">
        <is>
          <t>0</t>
        </is>
      </c>
      <c r="K2891" t="inlineStr">
        <is>
          <t>Hefele, Karl Joseph von, 1809-1893.</t>
        </is>
      </c>
      <c r="L2891" t="inlineStr">
        <is>
          <t>Edinburgh : T. &amp; T. Clark, 1883-1896.</t>
        </is>
      </c>
      <c r="M2891" t="inlineStr">
        <is>
          <t>1894</t>
        </is>
      </c>
      <c r="O2891" t="inlineStr">
        <is>
          <t>eng</t>
        </is>
      </c>
      <c r="P2891" t="inlineStr">
        <is>
          <t>stk</t>
        </is>
      </c>
      <c r="R2891" t="inlineStr">
        <is>
          <t xml:space="preserve">BX </t>
        </is>
      </c>
      <c r="S2891" t="n">
        <v>2</v>
      </c>
      <c r="T2891" t="n">
        <v>13</v>
      </c>
      <c r="U2891" t="inlineStr">
        <is>
          <t>1994-02-23</t>
        </is>
      </c>
      <c r="V2891" t="inlineStr">
        <is>
          <t>2001-09-27</t>
        </is>
      </c>
      <c r="W2891" t="inlineStr">
        <is>
          <t>1992-04-06</t>
        </is>
      </c>
      <c r="X2891" t="inlineStr">
        <is>
          <t>1992-04-20</t>
        </is>
      </c>
      <c r="Y2891" t="n">
        <v>32</v>
      </c>
      <c r="Z2891" t="n">
        <v>30</v>
      </c>
      <c r="AA2891" t="n">
        <v>620</v>
      </c>
      <c r="AB2891" t="n">
        <v>1</v>
      </c>
      <c r="AC2891" t="n">
        <v>4</v>
      </c>
      <c r="AD2891" t="n">
        <v>3</v>
      </c>
      <c r="AE2891" t="n">
        <v>46</v>
      </c>
      <c r="AF2891" t="n">
        <v>0</v>
      </c>
      <c r="AG2891" t="n">
        <v>15</v>
      </c>
      <c r="AH2891" t="n">
        <v>0</v>
      </c>
      <c r="AI2891" t="n">
        <v>8</v>
      </c>
      <c r="AJ2891" t="n">
        <v>3</v>
      </c>
      <c r="AK2891" t="n">
        <v>21</v>
      </c>
      <c r="AL2891" t="n">
        <v>0</v>
      </c>
      <c r="AM2891" t="n">
        <v>2</v>
      </c>
      <c r="AN2891" t="n">
        <v>0</v>
      </c>
      <c r="AO2891" t="n">
        <v>11</v>
      </c>
      <c r="AP2891" t="inlineStr">
        <is>
          <t>No</t>
        </is>
      </c>
      <c r="AQ2891" t="inlineStr">
        <is>
          <t>No</t>
        </is>
      </c>
      <c r="AS2891">
        <f>HYPERLINK("https://creighton-primo.hosted.exlibrisgroup.com/primo-explore/search?tab=default_tab&amp;search_scope=EVERYTHING&amp;vid=01CRU&amp;lang=en_US&amp;offset=0&amp;query=any,contains,991000322759702656","Catalog Record")</f>
        <v/>
      </c>
      <c r="AT2891">
        <f>HYPERLINK("http://www.worldcat.org/oclc/10158388","WorldCat Record")</f>
        <v/>
      </c>
      <c r="AU2891" t="inlineStr">
        <is>
          <t>9988798122:eng</t>
        </is>
      </c>
      <c r="AV2891" t="inlineStr">
        <is>
          <t>10158388</t>
        </is>
      </c>
      <c r="AW2891" t="inlineStr">
        <is>
          <t>991000322759702656</t>
        </is>
      </c>
      <c r="AX2891" t="inlineStr">
        <is>
          <t>991000322759702656</t>
        </is>
      </c>
      <c r="AY2891" t="inlineStr">
        <is>
          <t>2262284740002656</t>
        </is>
      </c>
      <c r="AZ2891" t="inlineStr">
        <is>
          <t>BOOK</t>
        </is>
      </c>
      <c r="BC2891" t="inlineStr">
        <is>
          <t>32285001049203</t>
        </is>
      </c>
      <c r="BD2891" t="inlineStr">
        <is>
          <t>893327203</t>
        </is>
      </c>
    </row>
    <row r="2892">
      <c r="A2892" t="inlineStr">
        <is>
          <t>No</t>
        </is>
      </c>
      <c r="B2892" t="inlineStr">
        <is>
          <t>BX821 .H45</t>
        </is>
      </c>
      <c r="C2892" t="inlineStr">
        <is>
          <t>0                      BX 0821000H  45</t>
        </is>
      </c>
      <c r="D2892" t="inlineStr">
        <is>
          <t>A history of the councils of the church : from the original documents / by Charles Joseph Hefele ; translated from the German, with the author's approbation, and edited by William R. Clark.</t>
        </is>
      </c>
      <c r="E2892" t="inlineStr">
        <is>
          <t>V. 5</t>
        </is>
      </c>
      <c r="F2892" t="inlineStr">
        <is>
          <t>Yes</t>
        </is>
      </c>
      <c r="G2892" t="inlineStr">
        <is>
          <t>1</t>
        </is>
      </c>
      <c r="H2892" t="inlineStr">
        <is>
          <t>No</t>
        </is>
      </c>
      <c r="I2892" t="inlineStr">
        <is>
          <t>No</t>
        </is>
      </c>
      <c r="J2892" t="inlineStr">
        <is>
          <t>0</t>
        </is>
      </c>
      <c r="K2892" t="inlineStr">
        <is>
          <t>Hefele, Karl Joseph von, 1809-1893.</t>
        </is>
      </c>
      <c r="L2892" t="inlineStr">
        <is>
          <t>Edinburgh : T. &amp; T. Clark, 1883-1896.</t>
        </is>
      </c>
      <c r="M2892" t="inlineStr">
        <is>
          <t>1894</t>
        </is>
      </c>
      <c r="O2892" t="inlineStr">
        <is>
          <t>eng</t>
        </is>
      </c>
      <c r="P2892" t="inlineStr">
        <is>
          <t>stk</t>
        </is>
      </c>
      <c r="R2892" t="inlineStr">
        <is>
          <t xml:space="preserve">BX </t>
        </is>
      </c>
      <c r="S2892" t="n">
        <v>2</v>
      </c>
      <c r="T2892" t="n">
        <v>13</v>
      </c>
      <c r="V2892" t="inlineStr">
        <is>
          <t>2001-09-27</t>
        </is>
      </c>
      <c r="W2892" t="inlineStr">
        <is>
          <t>1992-04-20</t>
        </is>
      </c>
      <c r="X2892" t="inlineStr">
        <is>
          <t>1992-04-20</t>
        </is>
      </c>
      <c r="Y2892" t="n">
        <v>32</v>
      </c>
      <c r="Z2892" t="n">
        <v>30</v>
      </c>
      <c r="AA2892" t="n">
        <v>620</v>
      </c>
      <c r="AB2892" t="n">
        <v>1</v>
      </c>
      <c r="AC2892" t="n">
        <v>4</v>
      </c>
      <c r="AD2892" t="n">
        <v>3</v>
      </c>
      <c r="AE2892" t="n">
        <v>46</v>
      </c>
      <c r="AF2892" t="n">
        <v>0</v>
      </c>
      <c r="AG2892" t="n">
        <v>15</v>
      </c>
      <c r="AH2892" t="n">
        <v>0</v>
      </c>
      <c r="AI2892" t="n">
        <v>8</v>
      </c>
      <c r="AJ2892" t="n">
        <v>3</v>
      </c>
      <c r="AK2892" t="n">
        <v>21</v>
      </c>
      <c r="AL2892" t="n">
        <v>0</v>
      </c>
      <c r="AM2892" t="n">
        <v>2</v>
      </c>
      <c r="AN2892" t="n">
        <v>0</v>
      </c>
      <c r="AO2892" t="n">
        <v>11</v>
      </c>
      <c r="AP2892" t="inlineStr">
        <is>
          <t>No</t>
        </is>
      </c>
      <c r="AQ2892" t="inlineStr">
        <is>
          <t>No</t>
        </is>
      </c>
      <c r="AS2892">
        <f>HYPERLINK("https://creighton-primo.hosted.exlibrisgroup.com/primo-explore/search?tab=default_tab&amp;search_scope=EVERYTHING&amp;vid=01CRU&amp;lang=en_US&amp;offset=0&amp;query=any,contains,991000322759702656","Catalog Record")</f>
        <v/>
      </c>
      <c r="AT2892">
        <f>HYPERLINK("http://www.worldcat.org/oclc/10158388","WorldCat Record")</f>
        <v/>
      </c>
      <c r="AU2892" t="inlineStr">
        <is>
          <t>9988798122:eng</t>
        </is>
      </c>
      <c r="AV2892" t="inlineStr">
        <is>
          <t>10158388</t>
        </is>
      </c>
      <c r="AW2892" t="inlineStr">
        <is>
          <t>991000322759702656</t>
        </is>
      </c>
      <c r="AX2892" t="inlineStr">
        <is>
          <t>991000322759702656</t>
        </is>
      </c>
      <c r="AY2892" t="inlineStr">
        <is>
          <t>2262284740002656</t>
        </is>
      </c>
      <c r="AZ2892" t="inlineStr">
        <is>
          <t>BOOK</t>
        </is>
      </c>
      <c r="BC2892" t="inlineStr">
        <is>
          <t>32285001019057</t>
        </is>
      </c>
      <c r="BD2892" t="inlineStr">
        <is>
          <t>893333379</t>
        </is>
      </c>
    </row>
    <row r="2893">
      <c r="A2893" t="inlineStr">
        <is>
          <t>No</t>
        </is>
      </c>
      <c r="B2893" t="inlineStr">
        <is>
          <t>BX821 .H45 1869</t>
        </is>
      </c>
      <c r="C2893" t="inlineStr">
        <is>
          <t>0                      BX 0821000H  45          1869</t>
        </is>
      </c>
      <c r="D2893" t="inlineStr">
        <is>
          <t>Histoire des conciles d'après les documents originaux / par Charles-Joseph Héfélé, traduite de l'allemand par l'Abbé Goschler et l'Abbé Delarc.</t>
        </is>
      </c>
      <c r="E2893" t="inlineStr">
        <is>
          <t>V. 10</t>
        </is>
      </c>
      <c r="F2893" t="inlineStr">
        <is>
          <t>Yes</t>
        </is>
      </c>
      <c r="G2893" t="inlineStr">
        <is>
          <t>1</t>
        </is>
      </c>
      <c r="H2893" t="inlineStr">
        <is>
          <t>No</t>
        </is>
      </c>
      <c r="I2893" t="inlineStr">
        <is>
          <t>No</t>
        </is>
      </c>
      <c r="J2893" t="inlineStr">
        <is>
          <t>0</t>
        </is>
      </c>
      <c r="K2893" t="inlineStr">
        <is>
          <t>Hefele, Karl Joseph von, 1809-1893.</t>
        </is>
      </c>
      <c r="L2893" t="inlineStr">
        <is>
          <t>Paris : A. Le Clère, 1869-78.</t>
        </is>
      </c>
      <c r="M2893" t="inlineStr">
        <is>
          <t>1869</t>
        </is>
      </c>
      <c r="O2893" t="inlineStr">
        <is>
          <t>fre</t>
        </is>
      </c>
      <c r="P2893" t="inlineStr">
        <is>
          <t xml:space="preserve">fr </t>
        </is>
      </c>
      <c r="R2893" t="inlineStr">
        <is>
          <t xml:space="preserve">BX </t>
        </is>
      </c>
      <c r="S2893" t="n">
        <v>0</v>
      </c>
      <c r="T2893" t="n">
        <v>7</v>
      </c>
      <c r="V2893" t="inlineStr">
        <is>
          <t>2008-10-03</t>
        </is>
      </c>
      <c r="W2893" t="inlineStr">
        <is>
          <t>1992-04-20</t>
        </is>
      </c>
      <c r="X2893" t="inlineStr">
        <is>
          <t>1992-04-20</t>
        </is>
      </c>
      <c r="Y2893" t="n">
        <v>64</v>
      </c>
      <c r="Z2893" t="n">
        <v>42</v>
      </c>
      <c r="AA2893" t="n">
        <v>333</v>
      </c>
      <c r="AB2893" t="n">
        <v>1</v>
      </c>
      <c r="AC2893" t="n">
        <v>4</v>
      </c>
      <c r="AD2893" t="n">
        <v>5</v>
      </c>
      <c r="AE2893" t="n">
        <v>32</v>
      </c>
      <c r="AF2893" t="n">
        <v>1</v>
      </c>
      <c r="AG2893" t="n">
        <v>5</v>
      </c>
      <c r="AH2893" t="n">
        <v>2</v>
      </c>
      <c r="AI2893" t="n">
        <v>5</v>
      </c>
      <c r="AJ2893" t="n">
        <v>2</v>
      </c>
      <c r="AK2893" t="n">
        <v>12</v>
      </c>
      <c r="AL2893" t="n">
        <v>0</v>
      </c>
      <c r="AM2893" t="n">
        <v>1</v>
      </c>
      <c r="AN2893" t="n">
        <v>0</v>
      </c>
      <c r="AO2893" t="n">
        <v>12</v>
      </c>
      <c r="AP2893" t="inlineStr">
        <is>
          <t>Yes</t>
        </is>
      </c>
      <c r="AQ2893" t="inlineStr">
        <is>
          <t>No</t>
        </is>
      </c>
      <c r="AR2893">
        <f>HYPERLINK("http://catalog.hathitrust.org/Record/007911100","HathiTrust Record")</f>
        <v/>
      </c>
      <c r="AS2893">
        <f>HYPERLINK("https://creighton-primo.hosted.exlibrisgroup.com/primo-explore/search?tab=default_tab&amp;search_scope=EVERYTHING&amp;vid=01CRU&amp;lang=en_US&amp;offset=0&amp;query=any,contains,991005071409702656","Catalog Record")</f>
        <v/>
      </c>
      <c r="AT2893">
        <f>HYPERLINK("http://www.worldcat.org/oclc/7030512","WorldCat Record")</f>
        <v/>
      </c>
      <c r="AU2893" t="inlineStr">
        <is>
          <t>1863961733:fre</t>
        </is>
      </c>
      <c r="AV2893" t="inlineStr">
        <is>
          <t>7030512</t>
        </is>
      </c>
      <c r="AW2893" t="inlineStr">
        <is>
          <t>991005071409702656</t>
        </is>
      </c>
      <c r="AX2893" t="inlineStr">
        <is>
          <t>991005071409702656</t>
        </is>
      </c>
      <c r="AY2893" t="inlineStr">
        <is>
          <t>2256468700002656</t>
        </is>
      </c>
      <c r="AZ2893" t="inlineStr">
        <is>
          <t>BOOK</t>
        </is>
      </c>
      <c r="BC2893" t="inlineStr">
        <is>
          <t>32285001019123</t>
        </is>
      </c>
      <c r="BD2893" t="inlineStr">
        <is>
          <t>893694703</t>
        </is>
      </c>
    </row>
    <row r="2894">
      <c r="A2894" t="inlineStr">
        <is>
          <t>No</t>
        </is>
      </c>
      <c r="B2894" t="inlineStr">
        <is>
          <t>BX821 .H45 1869</t>
        </is>
      </c>
      <c r="C2894" t="inlineStr">
        <is>
          <t>0                      BX 0821000H  45          1869</t>
        </is>
      </c>
      <c r="D2894" t="inlineStr">
        <is>
          <t>Histoire des conciles d'après les documents originaux / par Charles-Joseph Héfélé, traduite de l'allemand par l'Abbé Goschler et l'Abbé Delarc.</t>
        </is>
      </c>
      <c r="E2894" t="inlineStr">
        <is>
          <t>V. 5</t>
        </is>
      </c>
      <c r="F2894" t="inlineStr">
        <is>
          <t>Yes</t>
        </is>
      </c>
      <c r="G2894" t="inlineStr">
        <is>
          <t>1</t>
        </is>
      </c>
      <c r="H2894" t="inlineStr">
        <is>
          <t>No</t>
        </is>
      </c>
      <c r="I2894" t="inlineStr">
        <is>
          <t>No</t>
        </is>
      </c>
      <c r="J2894" t="inlineStr">
        <is>
          <t>0</t>
        </is>
      </c>
      <c r="K2894" t="inlineStr">
        <is>
          <t>Hefele, Karl Joseph von, 1809-1893.</t>
        </is>
      </c>
      <c r="L2894" t="inlineStr">
        <is>
          <t>Paris : A. Le Clère, 1869-78.</t>
        </is>
      </c>
      <c r="M2894" t="inlineStr">
        <is>
          <t>1869</t>
        </is>
      </c>
      <c r="O2894" t="inlineStr">
        <is>
          <t>fre</t>
        </is>
      </c>
      <c r="P2894" t="inlineStr">
        <is>
          <t xml:space="preserve">fr </t>
        </is>
      </c>
      <c r="R2894" t="inlineStr">
        <is>
          <t xml:space="preserve">BX </t>
        </is>
      </c>
      <c r="S2894" t="n">
        <v>0</v>
      </c>
      <c r="T2894" t="n">
        <v>7</v>
      </c>
      <c r="U2894" t="inlineStr">
        <is>
          <t>2008-10-03</t>
        </is>
      </c>
      <c r="V2894" t="inlineStr">
        <is>
          <t>2008-10-03</t>
        </is>
      </c>
      <c r="W2894" t="inlineStr">
        <is>
          <t>1992-04-20</t>
        </is>
      </c>
      <c r="X2894" t="inlineStr">
        <is>
          <t>1992-04-20</t>
        </is>
      </c>
      <c r="Y2894" t="n">
        <v>64</v>
      </c>
      <c r="Z2894" t="n">
        <v>42</v>
      </c>
      <c r="AA2894" t="n">
        <v>333</v>
      </c>
      <c r="AB2894" t="n">
        <v>1</v>
      </c>
      <c r="AC2894" t="n">
        <v>4</v>
      </c>
      <c r="AD2894" t="n">
        <v>5</v>
      </c>
      <c r="AE2894" t="n">
        <v>32</v>
      </c>
      <c r="AF2894" t="n">
        <v>1</v>
      </c>
      <c r="AG2894" t="n">
        <v>5</v>
      </c>
      <c r="AH2894" t="n">
        <v>2</v>
      </c>
      <c r="AI2894" t="n">
        <v>5</v>
      </c>
      <c r="AJ2894" t="n">
        <v>2</v>
      </c>
      <c r="AK2894" t="n">
        <v>12</v>
      </c>
      <c r="AL2894" t="n">
        <v>0</v>
      </c>
      <c r="AM2894" t="n">
        <v>1</v>
      </c>
      <c r="AN2894" t="n">
        <v>0</v>
      </c>
      <c r="AO2894" t="n">
        <v>12</v>
      </c>
      <c r="AP2894" t="inlineStr">
        <is>
          <t>Yes</t>
        </is>
      </c>
      <c r="AQ2894" t="inlineStr">
        <is>
          <t>No</t>
        </is>
      </c>
      <c r="AR2894">
        <f>HYPERLINK("http://catalog.hathitrust.org/Record/007911100","HathiTrust Record")</f>
        <v/>
      </c>
      <c r="AS2894">
        <f>HYPERLINK("https://creighton-primo.hosted.exlibrisgroup.com/primo-explore/search?tab=default_tab&amp;search_scope=EVERYTHING&amp;vid=01CRU&amp;lang=en_US&amp;offset=0&amp;query=any,contains,991005071409702656","Catalog Record")</f>
        <v/>
      </c>
      <c r="AT2894">
        <f>HYPERLINK("http://www.worldcat.org/oclc/7030512","WorldCat Record")</f>
        <v/>
      </c>
      <c r="AU2894" t="inlineStr">
        <is>
          <t>1863961733:fre</t>
        </is>
      </c>
      <c r="AV2894" t="inlineStr">
        <is>
          <t>7030512</t>
        </is>
      </c>
      <c r="AW2894" t="inlineStr">
        <is>
          <t>991005071409702656</t>
        </is>
      </c>
      <c r="AX2894" t="inlineStr">
        <is>
          <t>991005071409702656</t>
        </is>
      </c>
      <c r="AY2894" t="inlineStr">
        <is>
          <t>2256468700002656</t>
        </is>
      </c>
      <c r="AZ2894" t="inlineStr">
        <is>
          <t>BOOK</t>
        </is>
      </c>
      <c r="BC2894" t="inlineStr">
        <is>
          <t>32285001019081</t>
        </is>
      </c>
      <c r="BD2894" t="inlineStr">
        <is>
          <t>893713396</t>
        </is>
      </c>
    </row>
    <row r="2895">
      <c r="A2895" t="inlineStr">
        <is>
          <t>No</t>
        </is>
      </c>
      <c r="B2895" t="inlineStr">
        <is>
          <t>BX821 .H45 1869</t>
        </is>
      </c>
      <c r="C2895" t="inlineStr">
        <is>
          <t>0                      BX 0821000H  45          1869</t>
        </is>
      </c>
      <c r="D2895" t="inlineStr">
        <is>
          <t>Histoire des conciles d'après les documents originaux / par Charles-Joseph Héfélé, traduite de l'allemand par l'Abbé Goschler et l'Abbé Delarc.</t>
        </is>
      </c>
      <c r="E2895" t="inlineStr">
        <is>
          <t>V. 7</t>
        </is>
      </c>
      <c r="F2895" t="inlineStr">
        <is>
          <t>Yes</t>
        </is>
      </c>
      <c r="G2895" t="inlineStr">
        <is>
          <t>1</t>
        </is>
      </c>
      <c r="H2895" t="inlineStr">
        <is>
          <t>No</t>
        </is>
      </c>
      <c r="I2895" t="inlineStr">
        <is>
          <t>No</t>
        </is>
      </c>
      <c r="J2895" t="inlineStr">
        <is>
          <t>0</t>
        </is>
      </c>
      <c r="K2895" t="inlineStr">
        <is>
          <t>Hefele, Karl Joseph von, 1809-1893.</t>
        </is>
      </c>
      <c r="L2895" t="inlineStr">
        <is>
          <t>Paris : A. Le Clère, 1869-78.</t>
        </is>
      </c>
      <c r="M2895" t="inlineStr">
        <is>
          <t>1869</t>
        </is>
      </c>
      <c r="O2895" t="inlineStr">
        <is>
          <t>fre</t>
        </is>
      </c>
      <c r="P2895" t="inlineStr">
        <is>
          <t xml:space="preserve">fr </t>
        </is>
      </c>
      <c r="R2895" t="inlineStr">
        <is>
          <t xml:space="preserve">BX </t>
        </is>
      </c>
      <c r="S2895" t="n">
        <v>0</v>
      </c>
      <c r="T2895" t="n">
        <v>7</v>
      </c>
      <c r="V2895" t="inlineStr">
        <is>
          <t>2008-10-03</t>
        </is>
      </c>
      <c r="W2895" t="inlineStr">
        <is>
          <t>1992-01-10</t>
        </is>
      </c>
      <c r="X2895" t="inlineStr">
        <is>
          <t>1992-04-20</t>
        </is>
      </c>
      <c r="Y2895" t="n">
        <v>64</v>
      </c>
      <c r="Z2895" t="n">
        <v>42</v>
      </c>
      <c r="AA2895" t="n">
        <v>333</v>
      </c>
      <c r="AB2895" t="n">
        <v>1</v>
      </c>
      <c r="AC2895" t="n">
        <v>4</v>
      </c>
      <c r="AD2895" t="n">
        <v>5</v>
      </c>
      <c r="AE2895" t="n">
        <v>32</v>
      </c>
      <c r="AF2895" t="n">
        <v>1</v>
      </c>
      <c r="AG2895" t="n">
        <v>5</v>
      </c>
      <c r="AH2895" t="n">
        <v>2</v>
      </c>
      <c r="AI2895" t="n">
        <v>5</v>
      </c>
      <c r="AJ2895" t="n">
        <v>2</v>
      </c>
      <c r="AK2895" t="n">
        <v>12</v>
      </c>
      <c r="AL2895" t="n">
        <v>0</v>
      </c>
      <c r="AM2895" t="n">
        <v>1</v>
      </c>
      <c r="AN2895" t="n">
        <v>0</v>
      </c>
      <c r="AO2895" t="n">
        <v>12</v>
      </c>
      <c r="AP2895" t="inlineStr">
        <is>
          <t>Yes</t>
        </is>
      </c>
      <c r="AQ2895" t="inlineStr">
        <is>
          <t>No</t>
        </is>
      </c>
      <c r="AR2895">
        <f>HYPERLINK("http://catalog.hathitrust.org/Record/007911100","HathiTrust Record")</f>
        <v/>
      </c>
      <c r="AS2895">
        <f>HYPERLINK("https://creighton-primo.hosted.exlibrisgroup.com/primo-explore/search?tab=default_tab&amp;search_scope=EVERYTHING&amp;vid=01CRU&amp;lang=en_US&amp;offset=0&amp;query=any,contains,991005071409702656","Catalog Record")</f>
        <v/>
      </c>
      <c r="AT2895">
        <f>HYPERLINK("http://www.worldcat.org/oclc/7030512","WorldCat Record")</f>
        <v/>
      </c>
      <c r="AU2895" t="inlineStr">
        <is>
          <t>1863961733:fre</t>
        </is>
      </c>
      <c r="AV2895" t="inlineStr">
        <is>
          <t>7030512</t>
        </is>
      </c>
      <c r="AW2895" t="inlineStr">
        <is>
          <t>991005071409702656</t>
        </is>
      </c>
      <c r="AX2895" t="inlineStr">
        <is>
          <t>991005071409702656</t>
        </is>
      </c>
      <c r="AY2895" t="inlineStr">
        <is>
          <t>2256468700002656</t>
        </is>
      </c>
      <c r="AZ2895" t="inlineStr">
        <is>
          <t>BOOK</t>
        </is>
      </c>
      <c r="BC2895" t="inlineStr">
        <is>
          <t>32285000912179</t>
        </is>
      </c>
      <c r="BD2895" t="inlineStr">
        <is>
          <t>893713398</t>
        </is>
      </c>
    </row>
    <row r="2896">
      <c r="A2896" t="inlineStr">
        <is>
          <t>No</t>
        </is>
      </c>
      <c r="B2896" t="inlineStr">
        <is>
          <t>BX821 .H45 1869</t>
        </is>
      </c>
      <c r="C2896" t="inlineStr">
        <is>
          <t>0                      BX 0821000H  45          1869</t>
        </is>
      </c>
      <c r="D2896" t="inlineStr">
        <is>
          <t>Histoire des conciles d'après les documents originaux / par Charles-Joseph Héfélé, traduite de l'allemand par l'Abbé Goschler et l'Abbé Delarc.</t>
        </is>
      </c>
      <c r="E2896" t="inlineStr">
        <is>
          <t>V. 1</t>
        </is>
      </c>
      <c r="F2896" t="inlineStr">
        <is>
          <t>Yes</t>
        </is>
      </c>
      <c r="G2896" t="inlineStr">
        <is>
          <t>1</t>
        </is>
      </c>
      <c r="H2896" t="inlineStr">
        <is>
          <t>No</t>
        </is>
      </c>
      <c r="I2896" t="inlineStr">
        <is>
          <t>No</t>
        </is>
      </c>
      <c r="J2896" t="inlineStr">
        <is>
          <t>0</t>
        </is>
      </c>
      <c r="K2896" t="inlineStr">
        <is>
          <t>Hefele, Karl Joseph von, 1809-1893.</t>
        </is>
      </c>
      <c r="L2896" t="inlineStr">
        <is>
          <t>Paris : A. Le Clère, 1869-78.</t>
        </is>
      </c>
      <c r="M2896" t="inlineStr">
        <is>
          <t>1869</t>
        </is>
      </c>
      <c r="O2896" t="inlineStr">
        <is>
          <t>fre</t>
        </is>
      </c>
      <c r="P2896" t="inlineStr">
        <is>
          <t xml:space="preserve">fr </t>
        </is>
      </c>
      <c r="R2896" t="inlineStr">
        <is>
          <t xml:space="preserve">BX </t>
        </is>
      </c>
      <c r="S2896" t="n">
        <v>2</v>
      </c>
      <c r="T2896" t="n">
        <v>7</v>
      </c>
      <c r="U2896" t="inlineStr">
        <is>
          <t>2008-10-03</t>
        </is>
      </c>
      <c r="V2896" t="inlineStr">
        <is>
          <t>2008-10-03</t>
        </is>
      </c>
      <c r="W2896" t="inlineStr">
        <is>
          <t>1992-04-20</t>
        </is>
      </c>
      <c r="X2896" t="inlineStr">
        <is>
          <t>1992-04-20</t>
        </is>
      </c>
      <c r="Y2896" t="n">
        <v>64</v>
      </c>
      <c r="Z2896" t="n">
        <v>42</v>
      </c>
      <c r="AA2896" t="n">
        <v>333</v>
      </c>
      <c r="AB2896" t="n">
        <v>1</v>
      </c>
      <c r="AC2896" t="n">
        <v>4</v>
      </c>
      <c r="AD2896" t="n">
        <v>5</v>
      </c>
      <c r="AE2896" t="n">
        <v>32</v>
      </c>
      <c r="AF2896" t="n">
        <v>1</v>
      </c>
      <c r="AG2896" t="n">
        <v>5</v>
      </c>
      <c r="AH2896" t="n">
        <v>2</v>
      </c>
      <c r="AI2896" t="n">
        <v>5</v>
      </c>
      <c r="AJ2896" t="n">
        <v>2</v>
      </c>
      <c r="AK2896" t="n">
        <v>12</v>
      </c>
      <c r="AL2896" t="n">
        <v>0</v>
      </c>
      <c r="AM2896" t="n">
        <v>1</v>
      </c>
      <c r="AN2896" t="n">
        <v>0</v>
      </c>
      <c r="AO2896" t="n">
        <v>12</v>
      </c>
      <c r="AP2896" t="inlineStr">
        <is>
          <t>Yes</t>
        </is>
      </c>
      <c r="AQ2896" t="inlineStr">
        <is>
          <t>No</t>
        </is>
      </c>
      <c r="AR2896">
        <f>HYPERLINK("http://catalog.hathitrust.org/Record/007911100","HathiTrust Record")</f>
        <v/>
      </c>
      <c r="AS2896">
        <f>HYPERLINK("https://creighton-primo.hosted.exlibrisgroup.com/primo-explore/search?tab=default_tab&amp;search_scope=EVERYTHING&amp;vid=01CRU&amp;lang=en_US&amp;offset=0&amp;query=any,contains,991005071409702656","Catalog Record")</f>
        <v/>
      </c>
      <c r="AT2896">
        <f>HYPERLINK("http://www.worldcat.org/oclc/7030512","WorldCat Record")</f>
        <v/>
      </c>
      <c r="AU2896" t="inlineStr">
        <is>
          <t>1863961733:fre</t>
        </is>
      </c>
      <c r="AV2896" t="inlineStr">
        <is>
          <t>7030512</t>
        </is>
      </c>
      <c r="AW2896" t="inlineStr">
        <is>
          <t>991005071409702656</t>
        </is>
      </c>
      <c r="AX2896" t="inlineStr">
        <is>
          <t>991005071409702656</t>
        </is>
      </c>
      <c r="AY2896" t="inlineStr">
        <is>
          <t>2256468700002656</t>
        </is>
      </c>
      <c r="AZ2896" t="inlineStr">
        <is>
          <t>BOOK</t>
        </is>
      </c>
      <c r="BC2896" t="inlineStr">
        <is>
          <t>32285001019065</t>
        </is>
      </c>
      <c r="BD2896" t="inlineStr">
        <is>
          <t>893707199</t>
        </is>
      </c>
    </row>
    <row r="2897">
      <c r="A2897" t="inlineStr">
        <is>
          <t>No</t>
        </is>
      </c>
      <c r="B2897" t="inlineStr">
        <is>
          <t>BX821 .H45 1869</t>
        </is>
      </c>
      <c r="C2897" t="inlineStr">
        <is>
          <t>0                      BX 0821000H  45          1869</t>
        </is>
      </c>
      <c r="D2897" t="inlineStr">
        <is>
          <t>Histoire des conciles d'après les documents originaux / par Charles-Joseph Héfélé, traduite de l'allemand par l'Abbé Goschler et l'Abbé Delarc.</t>
        </is>
      </c>
      <c r="E2897" t="inlineStr">
        <is>
          <t>V. 4</t>
        </is>
      </c>
      <c r="F2897" t="inlineStr">
        <is>
          <t>Yes</t>
        </is>
      </c>
      <c r="G2897" t="inlineStr">
        <is>
          <t>1</t>
        </is>
      </c>
      <c r="H2897" t="inlineStr">
        <is>
          <t>No</t>
        </is>
      </c>
      <c r="I2897" t="inlineStr">
        <is>
          <t>No</t>
        </is>
      </c>
      <c r="J2897" t="inlineStr">
        <is>
          <t>0</t>
        </is>
      </c>
      <c r="K2897" t="inlineStr">
        <is>
          <t>Hefele, Karl Joseph von, 1809-1893.</t>
        </is>
      </c>
      <c r="L2897" t="inlineStr">
        <is>
          <t>Paris : A. Le Clère, 1869-78.</t>
        </is>
      </c>
      <c r="M2897" t="inlineStr">
        <is>
          <t>1869</t>
        </is>
      </c>
      <c r="O2897" t="inlineStr">
        <is>
          <t>fre</t>
        </is>
      </c>
      <c r="P2897" t="inlineStr">
        <is>
          <t xml:space="preserve">fr </t>
        </is>
      </c>
      <c r="R2897" t="inlineStr">
        <is>
          <t xml:space="preserve">BX </t>
        </is>
      </c>
      <c r="S2897" t="n">
        <v>1</v>
      </c>
      <c r="T2897" t="n">
        <v>7</v>
      </c>
      <c r="U2897" t="inlineStr">
        <is>
          <t>2008-10-03</t>
        </is>
      </c>
      <c r="V2897" t="inlineStr">
        <is>
          <t>2008-10-03</t>
        </is>
      </c>
      <c r="W2897" t="inlineStr">
        <is>
          <t>1992-04-20</t>
        </is>
      </c>
      <c r="X2897" t="inlineStr">
        <is>
          <t>1992-04-20</t>
        </is>
      </c>
      <c r="Y2897" t="n">
        <v>64</v>
      </c>
      <c r="Z2897" t="n">
        <v>42</v>
      </c>
      <c r="AA2897" t="n">
        <v>333</v>
      </c>
      <c r="AB2897" t="n">
        <v>1</v>
      </c>
      <c r="AC2897" t="n">
        <v>4</v>
      </c>
      <c r="AD2897" t="n">
        <v>5</v>
      </c>
      <c r="AE2897" t="n">
        <v>32</v>
      </c>
      <c r="AF2897" t="n">
        <v>1</v>
      </c>
      <c r="AG2897" t="n">
        <v>5</v>
      </c>
      <c r="AH2897" t="n">
        <v>2</v>
      </c>
      <c r="AI2897" t="n">
        <v>5</v>
      </c>
      <c r="AJ2897" t="n">
        <v>2</v>
      </c>
      <c r="AK2897" t="n">
        <v>12</v>
      </c>
      <c r="AL2897" t="n">
        <v>0</v>
      </c>
      <c r="AM2897" t="n">
        <v>1</v>
      </c>
      <c r="AN2897" t="n">
        <v>0</v>
      </c>
      <c r="AO2897" t="n">
        <v>12</v>
      </c>
      <c r="AP2897" t="inlineStr">
        <is>
          <t>Yes</t>
        </is>
      </c>
      <c r="AQ2897" t="inlineStr">
        <is>
          <t>No</t>
        </is>
      </c>
      <c r="AR2897">
        <f>HYPERLINK("http://catalog.hathitrust.org/Record/007911100","HathiTrust Record")</f>
        <v/>
      </c>
      <c r="AS2897">
        <f>HYPERLINK("https://creighton-primo.hosted.exlibrisgroup.com/primo-explore/search?tab=default_tab&amp;search_scope=EVERYTHING&amp;vid=01CRU&amp;lang=en_US&amp;offset=0&amp;query=any,contains,991005071409702656","Catalog Record")</f>
        <v/>
      </c>
      <c r="AT2897">
        <f>HYPERLINK("http://www.worldcat.org/oclc/7030512","WorldCat Record")</f>
        <v/>
      </c>
      <c r="AU2897" t="inlineStr">
        <is>
          <t>1863961733:fre</t>
        </is>
      </c>
      <c r="AV2897" t="inlineStr">
        <is>
          <t>7030512</t>
        </is>
      </c>
      <c r="AW2897" t="inlineStr">
        <is>
          <t>991005071409702656</t>
        </is>
      </c>
      <c r="AX2897" t="inlineStr">
        <is>
          <t>991005071409702656</t>
        </is>
      </c>
      <c r="AY2897" t="inlineStr">
        <is>
          <t>2256468700002656</t>
        </is>
      </c>
      <c r="AZ2897" t="inlineStr">
        <is>
          <t>BOOK</t>
        </is>
      </c>
      <c r="BC2897" t="inlineStr">
        <is>
          <t>32285001019073</t>
        </is>
      </c>
      <c r="BD2897" t="inlineStr">
        <is>
          <t>893694706</t>
        </is>
      </c>
    </row>
    <row r="2898">
      <c r="A2898" t="inlineStr">
        <is>
          <t>No</t>
        </is>
      </c>
      <c r="B2898" t="inlineStr">
        <is>
          <t>BX821 .H45 1869</t>
        </is>
      </c>
      <c r="C2898" t="inlineStr">
        <is>
          <t>0                      BX 0821000H  45          1869</t>
        </is>
      </c>
      <c r="D2898" t="inlineStr">
        <is>
          <t>Histoire des conciles d'après les documents originaux / par Charles-Joseph Héfélé, traduite de l'allemand par l'Abbé Goschler et l'Abbé Delarc.</t>
        </is>
      </c>
      <c r="E2898" t="inlineStr">
        <is>
          <t>V. 6</t>
        </is>
      </c>
      <c r="F2898" t="inlineStr">
        <is>
          <t>Yes</t>
        </is>
      </c>
      <c r="G2898" t="inlineStr">
        <is>
          <t>1</t>
        </is>
      </c>
      <c r="H2898" t="inlineStr">
        <is>
          <t>No</t>
        </is>
      </c>
      <c r="I2898" t="inlineStr">
        <is>
          <t>No</t>
        </is>
      </c>
      <c r="J2898" t="inlineStr">
        <is>
          <t>0</t>
        </is>
      </c>
      <c r="K2898" t="inlineStr">
        <is>
          <t>Hefele, Karl Joseph von, 1809-1893.</t>
        </is>
      </c>
      <c r="L2898" t="inlineStr">
        <is>
          <t>Paris : A. Le Clère, 1869-78.</t>
        </is>
      </c>
      <c r="M2898" t="inlineStr">
        <is>
          <t>1869</t>
        </is>
      </c>
      <c r="O2898" t="inlineStr">
        <is>
          <t>fre</t>
        </is>
      </c>
      <c r="P2898" t="inlineStr">
        <is>
          <t xml:space="preserve">fr </t>
        </is>
      </c>
      <c r="R2898" t="inlineStr">
        <is>
          <t xml:space="preserve">BX </t>
        </is>
      </c>
      <c r="S2898" t="n">
        <v>0</v>
      </c>
      <c r="T2898" t="n">
        <v>7</v>
      </c>
      <c r="V2898" t="inlineStr">
        <is>
          <t>2008-10-03</t>
        </is>
      </c>
      <c r="W2898" t="inlineStr">
        <is>
          <t>1992-04-20</t>
        </is>
      </c>
      <c r="X2898" t="inlineStr">
        <is>
          <t>1992-04-20</t>
        </is>
      </c>
      <c r="Y2898" t="n">
        <v>64</v>
      </c>
      <c r="Z2898" t="n">
        <v>42</v>
      </c>
      <c r="AA2898" t="n">
        <v>333</v>
      </c>
      <c r="AB2898" t="n">
        <v>1</v>
      </c>
      <c r="AC2898" t="n">
        <v>4</v>
      </c>
      <c r="AD2898" t="n">
        <v>5</v>
      </c>
      <c r="AE2898" t="n">
        <v>32</v>
      </c>
      <c r="AF2898" t="n">
        <v>1</v>
      </c>
      <c r="AG2898" t="n">
        <v>5</v>
      </c>
      <c r="AH2898" t="n">
        <v>2</v>
      </c>
      <c r="AI2898" t="n">
        <v>5</v>
      </c>
      <c r="AJ2898" t="n">
        <v>2</v>
      </c>
      <c r="AK2898" t="n">
        <v>12</v>
      </c>
      <c r="AL2898" t="n">
        <v>0</v>
      </c>
      <c r="AM2898" t="n">
        <v>1</v>
      </c>
      <c r="AN2898" t="n">
        <v>0</v>
      </c>
      <c r="AO2898" t="n">
        <v>12</v>
      </c>
      <c r="AP2898" t="inlineStr">
        <is>
          <t>Yes</t>
        </is>
      </c>
      <c r="AQ2898" t="inlineStr">
        <is>
          <t>No</t>
        </is>
      </c>
      <c r="AR2898">
        <f>HYPERLINK("http://catalog.hathitrust.org/Record/007911100","HathiTrust Record")</f>
        <v/>
      </c>
      <c r="AS2898">
        <f>HYPERLINK("https://creighton-primo.hosted.exlibrisgroup.com/primo-explore/search?tab=default_tab&amp;search_scope=EVERYTHING&amp;vid=01CRU&amp;lang=en_US&amp;offset=0&amp;query=any,contains,991005071409702656","Catalog Record")</f>
        <v/>
      </c>
      <c r="AT2898">
        <f>HYPERLINK("http://www.worldcat.org/oclc/7030512","WorldCat Record")</f>
        <v/>
      </c>
      <c r="AU2898" t="inlineStr">
        <is>
          <t>1863961733:fre</t>
        </is>
      </c>
      <c r="AV2898" t="inlineStr">
        <is>
          <t>7030512</t>
        </is>
      </c>
      <c r="AW2898" t="inlineStr">
        <is>
          <t>991005071409702656</t>
        </is>
      </c>
      <c r="AX2898" t="inlineStr">
        <is>
          <t>991005071409702656</t>
        </is>
      </c>
      <c r="AY2898" t="inlineStr">
        <is>
          <t>2256468700002656</t>
        </is>
      </c>
      <c r="AZ2898" t="inlineStr">
        <is>
          <t>BOOK</t>
        </is>
      </c>
      <c r="BC2898" t="inlineStr">
        <is>
          <t>32285001019099</t>
        </is>
      </c>
      <c r="BD2898" t="inlineStr">
        <is>
          <t>893694705</t>
        </is>
      </c>
    </row>
    <row r="2899">
      <c r="A2899" t="inlineStr">
        <is>
          <t>No</t>
        </is>
      </c>
      <c r="B2899" t="inlineStr">
        <is>
          <t>BX821 .H45 1869</t>
        </is>
      </c>
      <c r="C2899" t="inlineStr">
        <is>
          <t>0                      BX 0821000H  45          1869</t>
        </is>
      </c>
      <c r="D2899" t="inlineStr">
        <is>
          <t>Histoire des conciles d'après les documents originaux / par Charles-Joseph Héfélé, traduite de l'allemand par l'Abbé Goschler et l'Abbé Delarc.</t>
        </is>
      </c>
      <c r="E2899" t="inlineStr">
        <is>
          <t>V. 9</t>
        </is>
      </c>
      <c r="F2899" t="inlineStr">
        <is>
          <t>Yes</t>
        </is>
      </c>
      <c r="G2899" t="inlineStr">
        <is>
          <t>1</t>
        </is>
      </c>
      <c r="H2899" t="inlineStr">
        <is>
          <t>No</t>
        </is>
      </c>
      <c r="I2899" t="inlineStr">
        <is>
          <t>No</t>
        </is>
      </c>
      <c r="J2899" t="inlineStr">
        <is>
          <t>0</t>
        </is>
      </c>
      <c r="K2899" t="inlineStr">
        <is>
          <t>Hefele, Karl Joseph von, 1809-1893.</t>
        </is>
      </c>
      <c r="L2899" t="inlineStr">
        <is>
          <t>Paris : A. Le Clère, 1869-78.</t>
        </is>
      </c>
      <c r="M2899" t="inlineStr">
        <is>
          <t>1869</t>
        </is>
      </c>
      <c r="O2899" t="inlineStr">
        <is>
          <t>fre</t>
        </is>
      </c>
      <c r="P2899" t="inlineStr">
        <is>
          <t xml:space="preserve">fr </t>
        </is>
      </c>
      <c r="R2899" t="inlineStr">
        <is>
          <t xml:space="preserve">BX </t>
        </is>
      </c>
      <c r="S2899" t="n">
        <v>0</v>
      </c>
      <c r="T2899" t="n">
        <v>7</v>
      </c>
      <c r="V2899" t="inlineStr">
        <is>
          <t>2008-10-03</t>
        </is>
      </c>
      <c r="W2899" t="inlineStr">
        <is>
          <t>1992-04-20</t>
        </is>
      </c>
      <c r="X2899" t="inlineStr">
        <is>
          <t>1992-04-20</t>
        </is>
      </c>
      <c r="Y2899" t="n">
        <v>64</v>
      </c>
      <c r="Z2899" t="n">
        <v>42</v>
      </c>
      <c r="AA2899" t="n">
        <v>333</v>
      </c>
      <c r="AB2899" t="n">
        <v>1</v>
      </c>
      <c r="AC2899" t="n">
        <v>4</v>
      </c>
      <c r="AD2899" t="n">
        <v>5</v>
      </c>
      <c r="AE2899" t="n">
        <v>32</v>
      </c>
      <c r="AF2899" t="n">
        <v>1</v>
      </c>
      <c r="AG2899" t="n">
        <v>5</v>
      </c>
      <c r="AH2899" t="n">
        <v>2</v>
      </c>
      <c r="AI2899" t="n">
        <v>5</v>
      </c>
      <c r="AJ2899" t="n">
        <v>2</v>
      </c>
      <c r="AK2899" t="n">
        <v>12</v>
      </c>
      <c r="AL2899" t="n">
        <v>0</v>
      </c>
      <c r="AM2899" t="n">
        <v>1</v>
      </c>
      <c r="AN2899" t="n">
        <v>0</v>
      </c>
      <c r="AO2899" t="n">
        <v>12</v>
      </c>
      <c r="AP2899" t="inlineStr">
        <is>
          <t>Yes</t>
        </is>
      </c>
      <c r="AQ2899" t="inlineStr">
        <is>
          <t>No</t>
        </is>
      </c>
      <c r="AR2899">
        <f>HYPERLINK("http://catalog.hathitrust.org/Record/007911100","HathiTrust Record")</f>
        <v/>
      </c>
      <c r="AS2899">
        <f>HYPERLINK("https://creighton-primo.hosted.exlibrisgroup.com/primo-explore/search?tab=default_tab&amp;search_scope=EVERYTHING&amp;vid=01CRU&amp;lang=en_US&amp;offset=0&amp;query=any,contains,991005071409702656","Catalog Record")</f>
        <v/>
      </c>
      <c r="AT2899">
        <f>HYPERLINK("http://www.worldcat.org/oclc/7030512","WorldCat Record")</f>
        <v/>
      </c>
      <c r="AU2899" t="inlineStr">
        <is>
          <t>1863961733:fre</t>
        </is>
      </c>
      <c r="AV2899" t="inlineStr">
        <is>
          <t>7030512</t>
        </is>
      </c>
      <c r="AW2899" t="inlineStr">
        <is>
          <t>991005071409702656</t>
        </is>
      </c>
      <c r="AX2899" t="inlineStr">
        <is>
          <t>991005071409702656</t>
        </is>
      </c>
      <c r="AY2899" t="inlineStr">
        <is>
          <t>2256468700002656</t>
        </is>
      </c>
      <c r="AZ2899" t="inlineStr">
        <is>
          <t>BOOK</t>
        </is>
      </c>
      <c r="BC2899" t="inlineStr">
        <is>
          <t>32285001019115</t>
        </is>
      </c>
      <c r="BD2899" t="inlineStr">
        <is>
          <t>893713395</t>
        </is>
      </c>
    </row>
    <row r="2900">
      <c r="A2900" t="inlineStr">
        <is>
          <t>No</t>
        </is>
      </c>
      <c r="B2900" t="inlineStr">
        <is>
          <t>BX821 .H45 1869</t>
        </is>
      </c>
      <c r="C2900" t="inlineStr">
        <is>
          <t>0                      BX 0821000H  45          1869</t>
        </is>
      </c>
      <c r="D2900" t="inlineStr">
        <is>
          <t>Histoire des conciles d'après les documents originaux / par Charles-Joseph Héfélé, traduite de l'allemand par l'Abbé Goschler et l'Abbé Delarc.</t>
        </is>
      </c>
      <c r="E2900" t="inlineStr">
        <is>
          <t>V. 11</t>
        </is>
      </c>
      <c r="F2900" t="inlineStr">
        <is>
          <t>Yes</t>
        </is>
      </c>
      <c r="G2900" t="inlineStr">
        <is>
          <t>1</t>
        </is>
      </c>
      <c r="H2900" t="inlineStr">
        <is>
          <t>No</t>
        </is>
      </c>
      <c r="I2900" t="inlineStr">
        <is>
          <t>No</t>
        </is>
      </c>
      <c r="J2900" t="inlineStr">
        <is>
          <t>0</t>
        </is>
      </c>
      <c r="K2900" t="inlineStr">
        <is>
          <t>Hefele, Karl Joseph von, 1809-1893.</t>
        </is>
      </c>
      <c r="L2900" t="inlineStr">
        <is>
          <t>Paris : A. Le Clère, 1869-78.</t>
        </is>
      </c>
      <c r="M2900" t="inlineStr">
        <is>
          <t>1869</t>
        </is>
      </c>
      <c r="O2900" t="inlineStr">
        <is>
          <t>fre</t>
        </is>
      </c>
      <c r="P2900" t="inlineStr">
        <is>
          <t xml:space="preserve">fr </t>
        </is>
      </c>
      <c r="R2900" t="inlineStr">
        <is>
          <t xml:space="preserve">BX </t>
        </is>
      </c>
      <c r="S2900" t="n">
        <v>0</v>
      </c>
      <c r="T2900" t="n">
        <v>7</v>
      </c>
      <c r="V2900" t="inlineStr">
        <is>
          <t>2008-10-03</t>
        </is>
      </c>
      <c r="W2900" t="inlineStr">
        <is>
          <t>1992-04-20</t>
        </is>
      </c>
      <c r="X2900" t="inlineStr">
        <is>
          <t>1992-04-20</t>
        </is>
      </c>
      <c r="Y2900" t="n">
        <v>64</v>
      </c>
      <c r="Z2900" t="n">
        <v>42</v>
      </c>
      <c r="AA2900" t="n">
        <v>333</v>
      </c>
      <c r="AB2900" t="n">
        <v>1</v>
      </c>
      <c r="AC2900" t="n">
        <v>4</v>
      </c>
      <c r="AD2900" t="n">
        <v>5</v>
      </c>
      <c r="AE2900" t="n">
        <v>32</v>
      </c>
      <c r="AF2900" t="n">
        <v>1</v>
      </c>
      <c r="AG2900" t="n">
        <v>5</v>
      </c>
      <c r="AH2900" t="n">
        <v>2</v>
      </c>
      <c r="AI2900" t="n">
        <v>5</v>
      </c>
      <c r="AJ2900" t="n">
        <v>2</v>
      </c>
      <c r="AK2900" t="n">
        <v>12</v>
      </c>
      <c r="AL2900" t="n">
        <v>0</v>
      </c>
      <c r="AM2900" t="n">
        <v>1</v>
      </c>
      <c r="AN2900" t="n">
        <v>0</v>
      </c>
      <c r="AO2900" t="n">
        <v>12</v>
      </c>
      <c r="AP2900" t="inlineStr">
        <is>
          <t>Yes</t>
        </is>
      </c>
      <c r="AQ2900" t="inlineStr">
        <is>
          <t>No</t>
        </is>
      </c>
      <c r="AR2900">
        <f>HYPERLINK("http://catalog.hathitrust.org/Record/007911100","HathiTrust Record")</f>
        <v/>
      </c>
      <c r="AS2900">
        <f>HYPERLINK("https://creighton-primo.hosted.exlibrisgroup.com/primo-explore/search?tab=default_tab&amp;search_scope=EVERYTHING&amp;vid=01CRU&amp;lang=en_US&amp;offset=0&amp;query=any,contains,991005071409702656","Catalog Record")</f>
        <v/>
      </c>
      <c r="AT2900">
        <f>HYPERLINK("http://www.worldcat.org/oclc/7030512","WorldCat Record")</f>
        <v/>
      </c>
      <c r="AU2900" t="inlineStr">
        <is>
          <t>1863961733:fre</t>
        </is>
      </c>
      <c r="AV2900" t="inlineStr">
        <is>
          <t>7030512</t>
        </is>
      </c>
      <c r="AW2900" t="inlineStr">
        <is>
          <t>991005071409702656</t>
        </is>
      </c>
      <c r="AX2900" t="inlineStr">
        <is>
          <t>991005071409702656</t>
        </is>
      </c>
      <c r="AY2900" t="inlineStr">
        <is>
          <t>2256468700002656</t>
        </is>
      </c>
      <c r="AZ2900" t="inlineStr">
        <is>
          <t>BOOK</t>
        </is>
      </c>
      <c r="BC2900" t="inlineStr">
        <is>
          <t>32285001019131</t>
        </is>
      </c>
      <c r="BD2900" t="inlineStr">
        <is>
          <t>893713399</t>
        </is>
      </c>
    </row>
    <row r="2901">
      <c r="A2901" t="inlineStr">
        <is>
          <t>No</t>
        </is>
      </c>
      <c r="B2901" t="inlineStr">
        <is>
          <t>BX821 .H45 1869</t>
        </is>
      </c>
      <c r="C2901" t="inlineStr">
        <is>
          <t>0                      BX 0821000H  45          1869</t>
        </is>
      </c>
      <c r="D2901" t="inlineStr">
        <is>
          <t>Histoire des conciles d'après les documents originaux / par Charles-Joseph Héfélé, traduite de l'allemand par l'Abbé Goschler et l'Abbé Delarc.</t>
        </is>
      </c>
      <c r="E2901" t="inlineStr">
        <is>
          <t>V. 8</t>
        </is>
      </c>
      <c r="F2901" t="inlineStr">
        <is>
          <t>Yes</t>
        </is>
      </c>
      <c r="G2901" t="inlineStr">
        <is>
          <t>1</t>
        </is>
      </c>
      <c r="H2901" t="inlineStr">
        <is>
          <t>No</t>
        </is>
      </c>
      <c r="I2901" t="inlineStr">
        <is>
          <t>No</t>
        </is>
      </c>
      <c r="J2901" t="inlineStr">
        <is>
          <t>0</t>
        </is>
      </c>
      <c r="K2901" t="inlineStr">
        <is>
          <t>Hefele, Karl Joseph von, 1809-1893.</t>
        </is>
      </c>
      <c r="L2901" t="inlineStr">
        <is>
          <t>Paris : A. Le Clère, 1869-78.</t>
        </is>
      </c>
      <c r="M2901" t="inlineStr">
        <is>
          <t>1869</t>
        </is>
      </c>
      <c r="O2901" t="inlineStr">
        <is>
          <t>fre</t>
        </is>
      </c>
      <c r="P2901" t="inlineStr">
        <is>
          <t xml:space="preserve">fr </t>
        </is>
      </c>
      <c r="R2901" t="inlineStr">
        <is>
          <t xml:space="preserve">BX </t>
        </is>
      </c>
      <c r="S2901" t="n">
        <v>0</v>
      </c>
      <c r="T2901" t="n">
        <v>7</v>
      </c>
      <c r="V2901" t="inlineStr">
        <is>
          <t>2008-10-03</t>
        </is>
      </c>
      <c r="W2901" t="inlineStr">
        <is>
          <t>1992-04-20</t>
        </is>
      </c>
      <c r="X2901" t="inlineStr">
        <is>
          <t>1992-04-20</t>
        </is>
      </c>
      <c r="Y2901" t="n">
        <v>64</v>
      </c>
      <c r="Z2901" t="n">
        <v>42</v>
      </c>
      <c r="AA2901" t="n">
        <v>333</v>
      </c>
      <c r="AB2901" t="n">
        <v>1</v>
      </c>
      <c r="AC2901" t="n">
        <v>4</v>
      </c>
      <c r="AD2901" t="n">
        <v>5</v>
      </c>
      <c r="AE2901" t="n">
        <v>32</v>
      </c>
      <c r="AF2901" t="n">
        <v>1</v>
      </c>
      <c r="AG2901" t="n">
        <v>5</v>
      </c>
      <c r="AH2901" t="n">
        <v>2</v>
      </c>
      <c r="AI2901" t="n">
        <v>5</v>
      </c>
      <c r="AJ2901" t="n">
        <v>2</v>
      </c>
      <c r="AK2901" t="n">
        <v>12</v>
      </c>
      <c r="AL2901" t="n">
        <v>0</v>
      </c>
      <c r="AM2901" t="n">
        <v>1</v>
      </c>
      <c r="AN2901" t="n">
        <v>0</v>
      </c>
      <c r="AO2901" t="n">
        <v>12</v>
      </c>
      <c r="AP2901" t="inlineStr">
        <is>
          <t>Yes</t>
        </is>
      </c>
      <c r="AQ2901" t="inlineStr">
        <is>
          <t>No</t>
        </is>
      </c>
      <c r="AR2901">
        <f>HYPERLINK("http://catalog.hathitrust.org/Record/007911100","HathiTrust Record")</f>
        <v/>
      </c>
      <c r="AS2901">
        <f>HYPERLINK("https://creighton-primo.hosted.exlibrisgroup.com/primo-explore/search?tab=default_tab&amp;search_scope=EVERYTHING&amp;vid=01CRU&amp;lang=en_US&amp;offset=0&amp;query=any,contains,991005071409702656","Catalog Record")</f>
        <v/>
      </c>
      <c r="AT2901">
        <f>HYPERLINK("http://www.worldcat.org/oclc/7030512","WorldCat Record")</f>
        <v/>
      </c>
      <c r="AU2901" t="inlineStr">
        <is>
          <t>1863961733:fre</t>
        </is>
      </c>
      <c r="AV2901" t="inlineStr">
        <is>
          <t>7030512</t>
        </is>
      </c>
      <c r="AW2901" t="inlineStr">
        <is>
          <t>991005071409702656</t>
        </is>
      </c>
      <c r="AX2901" t="inlineStr">
        <is>
          <t>991005071409702656</t>
        </is>
      </c>
      <c r="AY2901" t="inlineStr">
        <is>
          <t>2256468700002656</t>
        </is>
      </c>
      <c r="AZ2901" t="inlineStr">
        <is>
          <t>BOOK</t>
        </is>
      </c>
      <c r="BC2901" t="inlineStr">
        <is>
          <t>32285001019107</t>
        </is>
      </c>
      <c r="BD2901" t="inlineStr">
        <is>
          <t>893694704</t>
        </is>
      </c>
    </row>
    <row r="2902">
      <c r="A2902" t="inlineStr">
        <is>
          <t>No</t>
        </is>
      </c>
      <c r="B2902" t="inlineStr">
        <is>
          <t>BX821 .H45 1869</t>
        </is>
      </c>
      <c r="C2902" t="inlineStr">
        <is>
          <t>0                      BX 0821000H  45          1869</t>
        </is>
      </c>
      <c r="D2902" t="inlineStr">
        <is>
          <t>Histoire des conciles d'après les documents originaux / par Charles-Joseph Héfélé, traduite de l'allemand par l'Abbé Goschler et l'Abbé Delarc.</t>
        </is>
      </c>
      <c r="E2902" t="inlineStr">
        <is>
          <t>V. 3</t>
        </is>
      </c>
      <c r="F2902" t="inlineStr">
        <is>
          <t>Yes</t>
        </is>
      </c>
      <c r="G2902" t="inlineStr">
        <is>
          <t>1</t>
        </is>
      </c>
      <c r="H2902" t="inlineStr">
        <is>
          <t>No</t>
        </is>
      </c>
      <c r="I2902" t="inlineStr">
        <is>
          <t>No</t>
        </is>
      </c>
      <c r="J2902" t="inlineStr">
        <is>
          <t>0</t>
        </is>
      </c>
      <c r="K2902" t="inlineStr">
        <is>
          <t>Hefele, Karl Joseph von, 1809-1893.</t>
        </is>
      </c>
      <c r="L2902" t="inlineStr">
        <is>
          <t>Paris : A. Le Clère, 1869-78.</t>
        </is>
      </c>
      <c r="M2902" t="inlineStr">
        <is>
          <t>1869</t>
        </is>
      </c>
      <c r="O2902" t="inlineStr">
        <is>
          <t>fre</t>
        </is>
      </c>
      <c r="P2902" t="inlineStr">
        <is>
          <t xml:space="preserve">fr </t>
        </is>
      </c>
      <c r="R2902" t="inlineStr">
        <is>
          <t xml:space="preserve">BX </t>
        </is>
      </c>
      <c r="S2902" t="n">
        <v>2</v>
      </c>
      <c r="T2902" t="n">
        <v>7</v>
      </c>
      <c r="U2902" t="inlineStr">
        <is>
          <t>2008-10-03</t>
        </is>
      </c>
      <c r="V2902" t="inlineStr">
        <is>
          <t>2008-10-03</t>
        </is>
      </c>
      <c r="W2902" t="inlineStr">
        <is>
          <t>1992-04-06</t>
        </is>
      </c>
      <c r="X2902" t="inlineStr">
        <is>
          <t>1992-04-20</t>
        </is>
      </c>
      <c r="Y2902" t="n">
        <v>64</v>
      </c>
      <c r="Z2902" t="n">
        <v>42</v>
      </c>
      <c r="AA2902" t="n">
        <v>333</v>
      </c>
      <c r="AB2902" t="n">
        <v>1</v>
      </c>
      <c r="AC2902" t="n">
        <v>4</v>
      </c>
      <c r="AD2902" t="n">
        <v>5</v>
      </c>
      <c r="AE2902" t="n">
        <v>32</v>
      </c>
      <c r="AF2902" t="n">
        <v>1</v>
      </c>
      <c r="AG2902" t="n">
        <v>5</v>
      </c>
      <c r="AH2902" t="n">
        <v>2</v>
      </c>
      <c r="AI2902" t="n">
        <v>5</v>
      </c>
      <c r="AJ2902" t="n">
        <v>2</v>
      </c>
      <c r="AK2902" t="n">
        <v>12</v>
      </c>
      <c r="AL2902" t="n">
        <v>0</v>
      </c>
      <c r="AM2902" t="n">
        <v>1</v>
      </c>
      <c r="AN2902" t="n">
        <v>0</v>
      </c>
      <c r="AO2902" t="n">
        <v>12</v>
      </c>
      <c r="AP2902" t="inlineStr">
        <is>
          <t>Yes</t>
        </is>
      </c>
      <c r="AQ2902" t="inlineStr">
        <is>
          <t>No</t>
        </is>
      </c>
      <c r="AR2902">
        <f>HYPERLINK("http://catalog.hathitrust.org/Record/007911100","HathiTrust Record")</f>
        <v/>
      </c>
      <c r="AS2902">
        <f>HYPERLINK("https://creighton-primo.hosted.exlibrisgroup.com/primo-explore/search?tab=default_tab&amp;search_scope=EVERYTHING&amp;vid=01CRU&amp;lang=en_US&amp;offset=0&amp;query=any,contains,991005071409702656","Catalog Record")</f>
        <v/>
      </c>
      <c r="AT2902">
        <f>HYPERLINK("http://www.worldcat.org/oclc/7030512","WorldCat Record")</f>
        <v/>
      </c>
      <c r="AU2902" t="inlineStr">
        <is>
          <t>1863961733:fre</t>
        </is>
      </c>
      <c r="AV2902" t="inlineStr">
        <is>
          <t>7030512</t>
        </is>
      </c>
      <c r="AW2902" t="inlineStr">
        <is>
          <t>991005071409702656</t>
        </is>
      </c>
      <c r="AX2902" t="inlineStr">
        <is>
          <t>991005071409702656</t>
        </is>
      </c>
      <c r="AY2902" t="inlineStr">
        <is>
          <t>2256468700002656</t>
        </is>
      </c>
      <c r="AZ2902" t="inlineStr">
        <is>
          <t>BOOK</t>
        </is>
      </c>
      <c r="BC2902" t="inlineStr">
        <is>
          <t>32285001049187</t>
        </is>
      </c>
      <c r="BD2902" t="inlineStr">
        <is>
          <t>893713397</t>
        </is>
      </c>
    </row>
    <row r="2903">
      <c r="A2903" t="inlineStr">
        <is>
          <t>No</t>
        </is>
      </c>
      <c r="B2903" t="inlineStr">
        <is>
          <t>BX821 .H45 1869</t>
        </is>
      </c>
      <c r="C2903" t="inlineStr">
        <is>
          <t>0                      BX 0821000H  45          1869</t>
        </is>
      </c>
      <c r="D2903" t="inlineStr">
        <is>
          <t>Histoire des conciles d'après les documents originaux / par Charles-Joseph Héfélé, traduite de l'allemand par l'Abbé Goschler et l'Abbé Delarc.</t>
        </is>
      </c>
      <c r="E2903" t="inlineStr">
        <is>
          <t>V. 2</t>
        </is>
      </c>
      <c r="F2903" t="inlineStr">
        <is>
          <t>Yes</t>
        </is>
      </c>
      <c r="G2903" t="inlineStr">
        <is>
          <t>1</t>
        </is>
      </c>
      <c r="H2903" t="inlineStr">
        <is>
          <t>No</t>
        </is>
      </c>
      <c r="I2903" t="inlineStr">
        <is>
          <t>No</t>
        </is>
      </c>
      <c r="J2903" t="inlineStr">
        <is>
          <t>0</t>
        </is>
      </c>
      <c r="K2903" t="inlineStr">
        <is>
          <t>Hefele, Karl Joseph von, 1809-1893.</t>
        </is>
      </c>
      <c r="L2903" t="inlineStr">
        <is>
          <t>Paris : A. Le Clère, 1869-78.</t>
        </is>
      </c>
      <c r="M2903" t="inlineStr">
        <is>
          <t>1869</t>
        </is>
      </c>
      <c r="O2903" t="inlineStr">
        <is>
          <t>fre</t>
        </is>
      </c>
      <c r="P2903" t="inlineStr">
        <is>
          <t xml:space="preserve">fr </t>
        </is>
      </c>
      <c r="R2903" t="inlineStr">
        <is>
          <t xml:space="preserve">BX </t>
        </is>
      </c>
      <c r="S2903" t="n">
        <v>2</v>
      </c>
      <c r="T2903" t="n">
        <v>7</v>
      </c>
      <c r="U2903" t="inlineStr">
        <is>
          <t>2008-10-03</t>
        </is>
      </c>
      <c r="V2903" t="inlineStr">
        <is>
          <t>2008-10-03</t>
        </is>
      </c>
      <c r="W2903" t="inlineStr">
        <is>
          <t>1992-04-06</t>
        </is>
      </c>
      <c r="X2903" t="inlineStr">
        <is>
          <t>1992-04-20</t>
        </is>
      </c>
      <c r="Y2903" t="n">
        <v>64</v>
      </c>
      <c r="Z2903" t="n">
        <v>42</v>
      </c>
      <c r="AA2903" t="n">
        <v>333</v>
      </c>
      <c r="AB2903" t="n">
        <v>1</v>
      </c>
      <c r="AC2903" t="n">
        <v>4</v>
      </c>
      <c r="AD2903" t="n">
        <v>5</v>
      </c>
      <c r="AE2903" t="n">
        <v>32</v>
      </c>
      <c r="AF2903" t="n">
        <v>1</v>
      </c>
      <c r="AG2903" t="n">
        <v>5</v>
      </c>
      <c r="AH2903" t="n">
        <v>2</v>
      </c>
      <c r="AI2903" t="n">
        <v>5</v>
      </c>
      <c r="AJ2903" t="n">
        <v>2</v>
      </c>
      <c r="AK2903" t="n">
        <v>12</v>
      </c>
      <c r="AL2903" t="n">
        <v>0</v>
      </c>
      <c r="AM2903" t="n">
        <v>1</v>
      </c>
      <c r="AN2903" t="n">
        <v>0</v>
      </c>
      <c r="AO2903" t="n">
        <v>12</v>
      </c>
      <c r="AP2903" t="inlineStr">
        <is>
          <t>Yes</t>
        </is>
      </c>
      <c r="AQ2903" t="inlineStr">
        <is>
          <t>No</t>
        </is>
      </c>
      <c r="AR2903">
        <f>HYPERLINK("http://catalog.hathitrust.org/Record/007911100","HathiTrust Record")</f>
        <v/>
      </c>
      <c r="AS2903">
        <f>HYPERLINK("https://creighton-primo.hosted.exlibrisgroup.com/primo-explore/search?tab=default_tab&amp;search_scope=EVERYTHING&amp;vid=01CRU&amp;lang=en_US&amp;offset=0&amp;query=any,contains,991005071409702656","Catalog Record")</f>
        <v/>
      </c>
      <c r="AT2903">
        <f>HYPERLINK("http://www.worldcat.org/oclc/7030512","WorldCat Record")</f>
        <v/>
      </c>
      <c r="AU2903" t="inlineStr">
        <is>
          <t>1863961733:fre</t>
        </is>
      </c>
      <c r="AV2903" t="inlineStr">
        <is>
          <t>7030512</t>
        </is>
      </c>
      <c r="AW2903" t="inlineStr">
        <is>
          <t>991005071409702656</t>
        </is>
      </c>
      <c r="AX2903" t="inlineStr">
        <is>
          <t>991005071409702656</t>
        </is>
      </c>
      <c r="AY2903" t="inlineStr">
        <is>
          <t>2256468700002656</t>
        </is>
      </c>
      <c r="AZ2903" t="inlineStr">
        <is>
          <t>BOOK</t>
        </is>
      </c>
      <c r="BC2903" t="inlineStr">
        <is>
          <t>32285001049179</t>
        </is>
      </c>
      <c r="BD2903" t="inlineStr">
        <is>
          <t>893688547</t>
        </is>
      </c>
    </row>
    <row r="2904">
      <c r="A2904" t="inlineStr">
        <is>
          <t>No</t>
        </is>
      </c>
      <c r="B2904" t="inlineStr">
        <is>
          <t>BX821 .H45 1869</t>
        </is>
      </c>
      <c r="C2904" t="inlineStr">
        <is>
          <t>0                      BX 0821000H  45          1869</t>
        </is>
      </c>
      <c r="D2904" t="inlineStr">
        <is>
          <t>Histoire des conciles d'après les documents originaux / par Charles-Joseph Héfélé, traduite de l'allemand par l'Abbé Goschler et l'Abbé Delarc.</t>
        </is>
      </c>
      <c r="E2904" t="inlineStr">
        <is>
          <t>V. 12</t>
        </is>
      </c>
      <c r="F2904" t="inlineStr">
        <is>
          <t>Yes</t>
        </is>
      </c>
      <c r="G2904" t="inlineStr">
        <is>
          <t>1</t>
        </is>
      </c>
      <c r="H2904" t="inlineStr">
        <is>
          <t>No</t>
        </is>
      </c>
      <c r="I2904" t="inlineStr">
        <is>
          <t>No</t>
        </is>
      </c>
      <c r="J2904" t="inlineStr">
        <is>
          <t>0</t>
        </is>
      </c>
      <c r="K2904" t="inlineStr">
        <is>
          <t>Hefele, Karl Joseph von, 1809-1893.</t>
        </is>
      </c>
      <c r="L2904" t="inlineStr">
        <is>
          <t>Paris : A. Le Clère, 1869-78.</t>
        </is>
      </c>
      <c r="M2904" t="inlineStr">
        <is>
          <t>1869</t>
        </is>
      </c>
      <c r="O2904" t="inlineStr">
        <is>
          <t>fre</t>
        </is>
      </c>
      <c r="P2904" t="inlineStr">
        <is>
          <t xml:space="preserve">fr </t>
        </is>
      </c>
      <c r="R2904" t="inlineStr">
        <is>
          <t xml:space="preserve">BX </t>
        </is>
      </c>
      <c r="S2904" t="n">
        <v>0</v>
      </c>
      <c r="T2904" t="n">
        <v>7</v>
      </c>
      <c r="V2904" t="inlineStr">
        <is>
          <t>2008-10-03</t>
        </is>
      </c>
      <c r="W2904" t="inlineStr">
        <is>
          <t>1992-04-20</t>
        </is>
      </c>
      <c r="X2904" t="inlineStr">
        <is>
          <t>1992-04-20</t>
        </is>
      </c>
      <c r="Y2904" t="n">
        <v>64</v>
      </c>
      <c r="Z2904" t="n">
        <v>42</v>
      </c>
      <c r="AA2904" t="n">
        <v>333</v>
      </c>
      <c r="AB2904" t="n">
        <v>1</v>
      </c>
      <c r="AC2904" t="n">
        <v>4</v>
      </c>
      <c r="AD2904" t="n">
        <v>5</v>
      </c>
      <c r="AE2904" t="n">
        <v>32</v>
      </c>
      <c r="AF2904" t="n">
        <v>1</v>
      </c>
      <c r="AG2904" t="n">
        <v>5</v>
      </c>
      <c r="AH2904" t="n">
        <v>2</v>
      </c>
      <c r="AI2904" t="n">
        <v>5</v>
      </c>
      <c r="AJ2904" t="n">
        <v>2</v>
      </c>
      <c r="AK2904" t="n">
        <v>12</v>
      </c>
      <c r="AL2904" t="n">
        <v>0</v>
      </c>
      <c r="AM2904" t="n">
        <v>1</v>
      </c>
      <c r="AN2904" t="n">
        <v>0</v>
      </c>
      <c r="AO2904" t="n">
        <v>12</v>
      </c>
      <c r="AP2904" t="inlineStr">
        <is>
          <t>Yes</t>
        </is>
      </c>
      <c r="AQ2904" t="inlineStr">
        <is>
          <t>No</t>
        </is>
      </c>
      <c r="AR2904">
        <f>HYPERLINK("http://catalog.hathitrust.org/Record/007911100","HathiTrust Record")</f>
        <v/>
      </c>
      <c r="AS2904">
        <f>HYPERLINK("https://creighton-primo.hosted.exlibrisgroup.com/primo-explore/search?tab=default_tab&amp;search_scope=EVERYTHING&amp;vid=01CRU&amp;lang=en_US&amp;offset=0&amp;query=any,contains,991005071409702656","Catalog Record")</f>
        <v/>
      </c>
      <c r="AT2904">
        <f>HYPERLINK("http://www.worldcat.org/oclc/7030512","WorldCat Record")</f>
        <v/>
      </c>
      <c r="AU2904" t="inlineStr">
        <is>
          <t>1863961733:fre</t>
        </is>
      </c>
      <c r="AV2904" t="inlineStr">
        <is>
          <t>7030512</t>
        </is>
      </c>
      <c r="AW2904" t="inlineStr">
        <is>
          <t>991005071409702656</t>
        </is>
      </c>
      <c r="AX2904" t="inlineStr">
        <is>
          <t>991005071409702656</t>
        </is>
      </c>
      <c r="AY2904" t="inlineStr">
        <is>
          <t>2256468700002656</t>
        </is>
      </c>
      <c r="AZ2904" t="inlineStr">
        <is>
          <t>BOOK</t>
        </is>
      </c>
      <c r="BC2904" t="inlineStr">
        <is>
          <t>32285001019149</t>
        </is>
      </c>
      <c r="BD2904" t="inlineStr">
        <is>
          <t>893707198</t>
        </is>
      </c>
    </row>
    <row r="2905">
      <c r="A2905" t="inlineStr">
        <is>
          <t>No</t>
        </is>
      </c>
      <c r="B2905" t="inlineStr">
        <is>
          <t>BX821 .L3 1909</t>
        </is>
      </c>
      <c r="C2905" t="inlineStr">
        <is>
          <t>0                      BX 0821000L  3           1909</t>
        </is>
      </c>
      <c r="D2905" t="inlineStr">
        <is>
          <t>A manual of councils of the Holy Catholic Church / by Edward H. Landon.</t>
        </is>
      </c>
      <c r="E2905" t="inlineStr">
        <is>
          <t>V. 2</t>
        </is>
      </c>
      <c r="F2905" t="inlineStr">
        <is>
          <t>Yes</t>
        </is>
      </c>
      <c r="G2905" t="inlineStr">
        <is>
          <t>1</t>
        </is>
      </c>
      <c r="H2905" t="inlineStr">
        <is>
          <t>No</t>
        </is>
      </c>
      <c r="I2905" t="inlineStr">
        <is>
          <t>No</t>
        </is>
      </c>
      <c r="J2905" t="inlineStr">
        <is>
          <t>0</t>
        </is>
      </c>
      <c r="K2905" t="inlineStr">
        <is>
          <t>Landon, Edward H. (Edward Henry), -1877.</t>
        </is>
      </c>
      <c r="L2905" t="inlineStr">
        <is>
          <t>Edinburgh : J. Grant, 1909.</t>
        </is>
      </c>
      <c r="M2905" t="inlineStr">
        <is>
          <t>1909</t>
        </is>
      </c>
      <c r="N2905" t="inlineStr">
        <is>
          <t>New and rev. ed.</t>
        </is>
      </c>
      <c r="O2905" t="inlineStr">
        <is>
          <t>eng</t>
        </is>
      </c>
      <c r="P2905" t="inlineStr">
        <is>
          <t>stk</t>
        </is>
      </c>
      <c r="R2905" t="inlineStr">
        <is>
          <t xml:space="preserve">BX </t>
        </is>
      </c>
      <c r="S2905" t="n">
        <v>7</v>
      </c>
      <c r="T2905" t="n">
        <v>10</v>
      </c>
      <c r="U2905" t="inlineStr">
        <is>
          <t>2010-03-24</t>
        </is>
      </c>
      <c r="V2905" t="inlineStr">
        <is>
          <t>2010-03-24</t>
        </is>
      </c>
      <c r="W2905" t="inlineStr">
        <is>
          <t>1992-04-20</t>
        </is>
      </c>
      <c r="X2905" t="inlineStr">
        <is>
          <t>1992-04-20</t>
        </is>
      </c>
      <c r="Y2905" t="n">
        <v>219</v>
      </c>
      <c r="Z2905" t="n">
        <v>171</v>
      </c>
      <c r="AA2905" t="n">
        <v>225</v>
      </c>
      <c r="AB2905" t="n">
        <v>2</v>
      </c>
      <c r="AC2905" t="n">
        <v>4</v>
      </c>
      <c r="AD2905" t="n">
        <v>16</v>
      </c>
      <c r="AE2905" t="n">
        <v>21</v>
      </c>
      <c r="AF2905" t="n">
        <v>3</v>
      </c>
      <c r="AG2905" t="n">
        <v>4</v>
      </c>
      <c r="AH2905" t="n">
        <v>3</v>
      </c>
      <c r="AI2905" t="n">
        <v>4</v>
      </c>
      <c r="AJ2905" t="n">
        <v>13</v>
      </c>
      <c r="AK2905" t="n">
        <v>14</v>
      </c>
      <c r="AL2905" t="n">
        <v>0</v>
      </c>
      <c r="AM2905" t="n">
        <v>2</v>
      </c>
      <c r="AN2905" t="n">
        <v>1</v>
      </c>
      <c r="AO2905" t="n">
        <v>1</v>
      </c>
      <c r="AP2905" t="inlineStr">
        <is>
          <t>Yes</t>
        </is>
      </c>
      <c r="AQ2905" t="inlineStr">
        <is>
          <t>No</t>
        </is>
      </c>
      <c r="AR2905">
        <f>HYPERLINK("http://catalog.hathitrust.org/Record/001935278","HathiTrust Record")</f>
        <v/>
      </c>
      <c r="AS2905">
        <f>HYPERLINK("https://creighton-primo.hosted.exlibrisgroup.com/primo-explore/search?tab=default_tab&amp;search_scope=EVERYTHING&amp;vid=01CRU&amp;lang=en_US&amp;offset=0&amp;query=any,contains,991004405039702656","Catalog Record")</f>
        <v/>
      </c>
      <c r="AT2905">
        <f>HYPERLINK("http://www.worldcat.org/oclc/3317458","WorldCat Record")</f>
        <v/>
      </c>
      <c r="AU2905" t="inlineStr">
        <is>
          <t>8033258:eng</t>
        </is>
      </c>
      <c r="AV2905" t="inlineStr">
        <is>
          <t>3317458</t>
        </is>
      </c>
      <c r="AW2905" t="inlineStr">
        <is>
          <t>991004405039702656</t>
        </is>
      </c>
      <c r="AX2905" t="inlineStr">
        <is>
          <t>991004405039702656</t>
        </is>
      </c>
      <c r="AY2905" t="inlineStr">
        <is>
          <t>2264540520002656</t>
        </is>
      </c>
      <c r="AZ2905" t="inlineStr">
        <is>
          <t>BOOK</t>
        </is>
      </c>
      <c r="BC2905" t="inlineStr">
        <is>
          <t>32285001019164</t>
        </is>
      </c>
      <c r="BD2905" t="inlineStr">
        <is>
          <t>893775985</t>
        </is>
      </c>
    </row>
    <row r="2906">
      <c r="A2906" t="inlineStr">
        <is>
          <t>No</t>
        </is>
      </c>
      <c r="B2906" t="inlineStr">
        <is>
          <t>BX821 .L3 1909</t>
        </is>
      </c>
      <c r="C2906" t="inlineStr">
        <is>
          <t>0                      BX 0821000L  3           1909</t>
        </is>
      </c>
      <c r="D2906" t="inlineStr">
        <is>
          <t>A manual of councils of the Holy Catholic Church / by Edward H. Landon.</t>
        </is>
      </c>
      <c r="E2906" t="inlineStr">
        <is>
          <t>V. 1</t>
        </is>
      </c>
      <c r="F2906" t="inlineStr">
        <is>
          <t>Yes</t>
        </is>
      </c>
      <c r="G2906" t="inlineStr">
        <is>
          <t>1</t>
        </is>
      </c>
      <c r="H2906" t="inlineStr">
        <is>
          <t>No</t>
        </is>
      </c>
      <c r="I2906" t="inlineStr">
        <is>
          <t>No</t>
        </is>
      </c>
      <c r="J2906" t="inlineStr">
        <is>
          <t>0</t>
        </is>
      </c>
      <c r="K2906" t="inlineStr">
        <is>
          <t>Landon, Edward H. (Edward Henry), -1877.</t>
        </is>
      </c>
      <c r="L2906" t="inlineStr">
        <is>
          <t>Edinburgh : J. Grant, 1909.</t>
        </is>
      </c>
      <c r="M2906" t="inlineStr">
        <is>
          <t>1909</t>
        </is>
      </c>
      <c r="N2906" t="inlineStr">
        <is>
          <t>New and rev. ed.</t>
        </is>
      </c>
      <c r="O2906" t="inlineStr">
        <is>
          <t>eng</t>
        </is>
      </c>
      <c r="P2906" t="inlineStr">
        <is>
          <t>stk</t>
        </is>
      </c>
      <c r="R2906" t="inlineStr">
        <is>
          <t xml:space="preserve">BX </t>
        </is>
      </c>
      <c r="S2906" t="n">
        <v>3</v>
      </c>
      <c r="T2906" t="n">
        <v>10</v>
      </c>
      <c r="U2906" t="inlineStr">
        <is>
          <t>2002-09-20</t>
        </is>
      </c>
      <c r="V2906" t="inlineStr">
        <is>
          <t>2010-03-24</t>
        </is>
      </c>
      <c r="W2906" t="inlineStr">
        <is>
          <t>1992-04-20</t>
        </is>
      </c>
      <c r="X2906" t="inlineStr">
        <is>
          <t>1992-04-20</t>
        </is>
      </c>
      <c r="Y2906" t="n">
        <v>219</v>
      </c>
      <c r="Z2906" t="n">
        <v>171</v>
      </c>
      <c r="AA2906" t="n">
        <v>225</v>
      </c>
      <c r="AB2906" t="n">
        <v>2</v>
      </c>
      <c r="AC2906" t="n">
        <v>4</v>
      </c>
      <c r="AD2906" t="n">
        <v>16</v>
      </c>
      <c r="AE2906" t="n">
        <v>21</v>
      </c>
      <c r="AF2906" t="n">
        <v>3</v>
      </c>
      <c r="AG2906" t="n">
        <v>4</v>
      </c>
      <c r="AH2906" t="n">
        <v>3</v>
      </c>
      <c r="AI2906" t="n">
        <v>4</v>
      </c>
      <c r="AJ2906" t="n">
        <v>13</v>
      </c>
      <c r="AK2906" t="n">
        <v>14</v>
      </c>
      <c r="AL2906" t="n">
        <v>0</v>
      </c>
      <c r="AM2906" t="n">
        <v>2</v>
      </c>
      <c r="AN2906" t="n">
        <v>1</v>
      </c>
      <c r="AO2906" t="n">
        <v>1</v>
      </c>
      <c r="AP2906" t="inlineStr">
        <is>
          <t>Yes</t>
        </is>
      </c>
      <c r="AQ2906" t="inlineStr">
        <is>
          <t>No</t>
        </is>
      </c>
      <c r="AR2906">
        <f>HYPERLINK("http://catalog.hathitrust.org/Record/001935278","HathiTrust Record")</f>
        <v/>
      </c>
      <c r="AS2906">
        <f>HYPERLINK("https://creighton-primo.hosted.exlibrisgroup.com/primo-explore/search?tab=default_tab&amp;search_scope=EVERYTHING&amp;vid=01CRU&amp;lang=en_US&amp;offset=0&amp;query=any,contains,991004405039702656","Catalog Record")</f>
        <v/>
      </c>
      <c r="AT2906">
        <f>HYPERLINK("http://www.worldcat.org/oclc/3317458","WorldCat Record")</f>
        <v/>
      </c>
      <c r="AU2906" t="inlineStr">
        <is>
          <t>8033258:eng</t>
        </is>
      </c>
      <c r="AV2906" t="inlineStr">
        <is>
          <t>3317458</t>
        </is>
      </c>
      <c r="AW2906" t="inlineStr">
        <is>
          <t>991004405039702656</t>
        </is>
      </c>
      <c r="AX2906" t="inlineStr">
        <is>
          <t>991004405039702656</t>
        </is>
      </c>
      <c r="AY2906" t="inlineStr">
        <is>
          <t>2264540520002656</t>
        </is>
      </c>
      <c r="AZ2906" t="inlineStr">
        <is>
          <t>BOOK</t>
        </is>
      </c>
      <c r="BC2906" t="inlineStr">
        <is>
          <t>32285001019156</t>
        </is>
      </c>
      <c r="BD2906" t="inlineStr">
        <is>
          <t>893775984</t>
        </is>
      </c>
    </row>
    <row r="2907">
      <c r="A2907" t="inlineStr">
        <is>
          <t>No</t>
        </is>
      </c>
      <c r="B2907" t="inlineStr">
        <is>
          <t>BX822 .C66 1997</t>
        </is>
      </c>
      <c r="C2907" t="inlineStr">
        <is>
          <t>0                      BX 0822000C  66          1997</t>
        </is>
      </c>
      <c r="D2907" t="inlineStr">
        <is>
          <t>Conciliarism and papalism / edited by J.H. Burns and Thomas M. Izbicki.</t>
        </is>
      </c>
      <c r="F2907" t="inlineStr">
        <is>
          <t>No</t>
        </is>
      </c>
      <c r="G2907" t="inlineStr">
        <is>
          <t>1</t>
        </is>
      </c>
      <c r="H2907" t="inlineStr">
        <is>
          <t>No</t>
        </is>
      </c>
      <c r="I2907" t="inlineStr">
        <is>
          <t>No</t>
        </is>
      </c>
      <c r="J2907" t="inlineStr">
        <is>
          <t>0</t>
        </is>
      </c>
      <c r="L2907" t="inlineStr">
        <is>
          <t>Cambridge [England] ; New York, NY, USA : Cambridge University Press, 1997.</t>
        </is>
      </c>
      <c r="M2907" t="inlineStr">
        <is>
          <t>1997</t>
        </is>
      </c>
      <c r="O2907" t="inlineStr">
        <is>
          <t>eng</t>
        </is>
      </c>
      <c r="P2907" t="inlineStr">
        <is>
          <t>enk</t>
        </is>
      </c>
      <c r="Q2907" t="inlineStr">
        <is>
          <t>Cambridge texts in the history of political thought</t>
        </is>
      </c>
      <c r="R2907" t="inlineStr">
        <is>
          <t xml:space="preserve">BX </t>
        </is>
      </c>
      <c r="S2907" t="n">
        <v>6</v>
      </c>
      <c r="T2907" t="n">
        <v>6</v>
      </c>
      <c r="U2907" t="inlineStr">
        <is>
          <t>2010-04-18</t>
        </is>
      </c>
      <c r="V2907" t="inlineStr">
        <is>
          <t>2010-04-18</t>
        </is>
      </c>
      <c r="W2907" t="inlineStr">
        <is>
          <t>1999-08-23</t>
        </is>
      </c>
      <c r="X2907" t="inlineStr">
        <is>
          <t>1999-08-23</t>
        </is>
      </c>
      <c r="Y2907" t="n">
        <v>388</v>
      </c>
      <c r="Z2907" t="n">
        <v>280</v>
      </c>
      <c r="AA2907" t="n">
        <v>287</v>
      </c>
      <c r="AB2907" t="n">
        <v>4</v>
      </c>
      <c r="AC2907" t="n">
        <v>4</v>
      </c>
      <c r="AD2907" t="n">
        <v>26</v>
      </c>
      <c r="AE2907" t="n">
        <v>26</v>
      </c>
      <c r="AF2907" t="n">
        <v>12</v>
      </c>
      <c r="AG2907" t="n">
        <v>12</v>
      </c>
      <c r="AH2907" t="n">
        <v>6</v>
      </c>
      <c r="AI2907" t="n">
        <v>6</v>
      </c>
      <c r="AJ2907" t="n">
        <v>14</v>
      </c>
      <c r="AK2907" t="n">
        <v>14</v>
      </c>
      <c r="AL2907" t="n">
        <v>2</v>
      </c>
      <c r="AM2907" t="n">
        <v>2</v>
      </c>
      <c r="AN2907" t="n">
        <v>0</v>
      </c>
      <c r="AO2907" t="n">
        <v>0</v>
      </c>
      <c r="AP2907" t="inlineStr">
        <is>
          <t>No</t>
        </is>
      </c>
      <c r="AQ2907" t="inlineStr">
        <is>
          <t>No</t>
        </is>
      </c>
      <c r="AS2907">
        <f>HYPERLINK("https://creighton-primo.hosted.exlibrisgroup.com/primo-explore/search?tab=default_tab&amp;search_scope=EVERYTHING&amp;vid=01CRU&amp;lang=en_US&amp;offset=0&amp;query=any,contains,991002899849702656","Catalog Record")</f>
        <v/>
      </c>
      <c r="AT2907">
        <f>HYPERLINK("http://www.worldcat.org/oclc/38223741","WorldCat Record")</f>
        <v/>
      </c>
      <c r="AU2907" t="inlineStr">
        <is>
          <t>763174512:eng</t>
        </is>
      </c>
      <c r="AV2907" t="inlineStr">
        <is>
          <t>38223741</t>
        </is>
      </c>
      <c r="AW2907" t="inlineStr">
        <is>
          <t>991002899849702656</t>
        </is>
      </c>
      <c r="AX2907" t="inlineStr">
        <is>
          <t>991002899849702656</t>
        </is>
      </c>
      <c r="AY2907" t="inlineStr">
        <is>
          <t>2269050480002656</t>
        </is>
      </c>
      <c r="AZ2907" t="inlineStr">
        <is>
          <t>BOOK</t>
        </is>
      </c>
      <c r="BB2907" t="inlineStr">
        <is>
          <t>9780521470896</t>
        </is>
      </c>
      <c r="BC2907" t="inlineStr">
        <is>
          <t>32285003583514</t>
        </is>
      </c>
      <c r="BD2907" t="inlineStr">
        <is>
          <t>893685931</t>
        </is>
      </c>
    </row>
    <row r="2908">
      <c r="A2908" t="inlineStr">
        <is>
          <t>No</t>
        </is>
      </c>
      <c r="B2908" t="inlineStr">
        <is>
          <t>BX8235 .S92 1964</t>
        </is>
      </c>
      <c r="C2908" t="inlineStr">
        <is>
          <t>0                      BX 8235000S  92          1964</t>
        </is>
      </c>
      <c r="D2908" t="inlineStr">
        <is>
          <t>The Methodists : a collection of source materials / by William Warren Sweet.</t>
        </is>
      </c>
      <c r="F2908" t="inlineStr">
        <is>
          <t>No</t>
        </is>
      </c>
      <c r="G2908" t="inlineStr">
        <is>
          <t>1</t>
        </is>
      </c>
      <c r="H2908" t="inlineStr">
        <is>
          <t>No</t>
        </is>
      </c>
      <c r="I2908" t="inlineStr">
        <is>
          <t>No</t>
        </is>
      </c>
      <c r="J2908" t="inlineStr">
        <is>
          <t>0</t>
        </is>
      </c>
      <c r="K2908" t="inlineStr">
        <is>
          <t>Sweet, William Warren, 1881-1959 editor.</t>
        </is>
      </c>
      <c r="L2908" t="inlineStr">
        <is>
          <t>New York : Cooper Square Publishers, 1964 [c1946]</t>
        </is>
      </c>
      <c r="M2908" t="inlineStr">
        <is>
          <t>1964</t>
        </is>
      </c>
      <c r="O2908" t="inlineStr">
        <is>
          <t>eng</t>
        </is>
      </c>
      <c r="P2908" t="inlineStr">
        <is>
          <t>___</t>
        </is>
      </c>
      <c r="Q2908" t="inlineStr">
        <is>
          <t>His Religion on the American frontier, 1783-1840, v. 4</t>
        </is>
      </c>
      <c r="R2908" t="inlineStr">
        <is>
          <t xml:space="preserve">BX </t>
        </is>
      </c>
      <c r="S2908" t="n">
        <v>1</v>
      </c>
      <c r="T2908" t="n">
        <v>1</v>
      </c>
      <c r="U2908" t="inlineStr">
        <is>
          <t>2002-11-15</t>
        </is>
      </c>
      <c r="V2908" t="inlineStr">
        <is>
          <t>2002-11-15</t>
        </is>
      </c>
      <c r="W2908" t="inlineStr">
        <is>
          <t>1992-05-21</t>
        </is>
      </c>
      <c r="X2908" t="inlineStr">
        <is>
          <t>1992-05-21</t>
        </is>
      </c>
      <c r="Y2908" t="n">
        <v>410</v>
      </c>
      <c r="Z2908" t="n">
        <v>392</v>
      </c>
      <c r="AA2908" t="n">
        <v>769</v>
      </c>
      <c r="AB2908" t="n">
        <v>6</v>
      </c>
      <c r="AC2908" t="n">
        <v>9</v>
      </c>
      <c r="AD2908" t="n">
        <v>13</v>
      </c>
      <c r="AE2908" t="n">
        <v>33</v>
      </c>
      <c r="AF2908" t="n">
        <v>5</v>
      </c>
      <c r="AG2908" t="n">
        <v>14</v>
      </c>
      <c r="AH2908" t="n">
        <v>1</v>
      </c>
      <c r="AI2908" t="n">
        <v>4</v>
      </c>
      <c r="AJ2908" t="n">
        <v>5</v>
      </c>
      <c r="AK2908" t="n">
        <v>15</v>
      </c>
      <c r="AL2908" t="n">
        <v>4</v>
      </c>
      <c r="AM2908" t="n">
        <v>7</v>
      </c>
      <c r="AN2908" t="n">
        <v>0</v>
      </c>
      <c r="AO2908" t="n">
        <v>0</v>
      </c>
      <c r="AP2908" t="inlineStr">
        <is>
          <t>No</t>
        </is>
      </c>
      <c r="AQ2908" t="inlineStr">
        <is>
          <t>Yes</t>
        </is>
      </c>
      <c r="AR2908">
        <f>HYPERLINK("http://catalog.hathitrust.org/Record/001603440","HathiTrust Record")</f>
        <v/>
      </c>
      <c r="AS2908">
        <f>HYPERLINK("https://creighton-primo.hosted.exlibrisgroup.com/primo-explore/search?tab=default_tab&amp;search_scope=EVERYTHING&amp;vid=01CRU&amp;lang=en_US&amp;offset=0&amp;query=any,contains,991002075869702656","Catalog Record")</f>
        <v/>
      </c>
      <c r="AT2908">
        <f>HYPERLINK("http://www.worldcat.org/oclc/263866","WorldCat Record")</f>
        <v/>
      </c>
      <c r="AU2908" t="inlineStr">
        <is>
          <t>1378314:eng</t>
        </is>
      </c>
      <c r="AV2908" t="inlineStr">
        <is>
          <t>263866</t>
        </is>
      </c>
      <c r="AW2908" t="inlineStr">
        <is>
          <t>991002075869702656</t>
        </is>
      </c>
      <c r="AX2908" t="inlineStr">
        <is>
          <t>991002075869702656</t>
        </is>
      </c>
      <c r="AY2908" t="inlineStr">
        <is>
          <t>2268595710002656</t>
        </is>
      </c>
      <c r="AZ2908" t="inlineStr">
        <is>
          <t>BOOK</t>
        </is>
      </c>
      <c r="BC2908" t="inlineStr">
        <is>
          <t>32285001124758</t>
        </is>
      </c>
      <c r="BD2908" t="inlineStr">
        <is>
          <t>893341000</t>
        </is>
      </c>
    </row>
    <row r="2909">
      <c r="A2909" t="inlineStr">
        <is>
          <t>No</t>
        </is>
      </c>
      <c r="B2909" t="inlineStr">
        <is>
          <t>BX8237 .N6 1976</t>
        </is>
      </c>
      <c r="C2909" t="inlineStr">
        <is>
          <t>0                      BX 8237000N  6           1976</t>
        </is>
      </c>
      <c r="D2909" t="inlineStr">
        <is>
          <t>The schism in the Methodist Episcopal Church, 1844 : a study of slavery and ecclesias͡tical politics / by John Nelson Norwood.</t>
        </is>
      </c>
      <c r="F2909" t="inlineStr">
        <is>
          <t>No</t>
        </is>
      </c>
      <c r="G2909" t="inlineStr">
        <is>
          <t>1</t>
        </is>
      </c>
      <c r="H2909" t="inlineStr">
        <is>
          <t>No</t>
        </is>
      </c>
      <c r="I2909" t="inlineStr">
        <is>
          <t>No</t>
        </is>
      </c>
      <c r="J2909" t="inlineStr">
        <is>
          <t>0</t>
        </is>
      </c>
      <c r="K2909" t="inlineStr">
        <is>
          <t>Norwood, John Nelson, 1879-1965.</t>
        </is>
      </c>
      <c r="L2909" t="inlineStr">
        <is>
          <t>Philadelphia : Porcupine Press, 1976.</t>
        </is>
      </c>
      <c r="M2909" t="inlineStr">
        <is>
          <t>1976</t>
        </is>
      </c>
      <c r="O2909" t="inlineStr">
        <is>
          <t>eng</t>
        </is>
      </c>
      <c r="P2909" t="inlineStr">
        <is>
          <t>pau</t>
        </is>
      </c>
      <c r="Q2909" t="inlineStr">
        <is>
          <t>Perspectives in American history ; no. 33</t>
        </is>
      </c>
      <c r="R2909" t="inlineStr">
        <is>
          <t xml:space="preserve">BX </t>
        </is>
      </c>
      <c r="S2909" t="n">
        <v>8</v>
      </c>
      <c r="T2909" t="n">
        <v>8</v>
      </c>
      <c r="U2909" t="inlineStr">
        <is>
          <t>1997-04-08</t>
        </is>
      </c>
      <c r="V2909" t="inlineStr">
        <is>
          <t>1997-04-08</t>
        </is>
      </c>
      <c r="W2909" t="inlineStr">
        <is>
          <t>1992-05-21</t>
        </is>
      </c>
      <c r="X2909" t="inlineStr">
        <is>
          <t>1992-05-21</t>
        </is>
      </c>
      <c r="Y2909" t="n">
        <v>135</v>
      </c>
      <c r="Z2909" t="n">
        <v>126</v>
      </c>
      <c r="AA2909" t="n">
        <v>313</v>
      </c>
      <c r="AB2909" t="n">
        <v>1</v>
      </c>
      <c r="AC2909" t="n">
        <v>4</v>
      </c>
      <c r="AD2909" t="n">
        <v>6</v>
      </c>
      <c r="AE2909" t="n">
        <v>11</v>
      </c>
      <c r="AF2909" t="n">
        <v>3</v>
      </c>
      <c r="AG2909" t="n">
        <v>4</v>
      </c>
      <c r="AH2909" t="n">
        <v>0</v>
      </c>
      <c r="AI2909" t="n">
        <v>1</v>
      </c>
      <c r="AJ2909" t="n">
        <v>3</v>
      </c>
      <c r="AK2909" t="n">
        <v>4</v>
      </c>
      <c r="AL2909" t="n">
        <v>0</v>
      </c>
      <c r="AM2909" t="n">
        <v>2</v>
      </c>
      <c r="AN2909" t="n">
        <v>0</v>
      </c>
      <c r="AO2909" t="n">
        <v>0</v>
      </c>
      <c r="AP2909" t="inlineStr">
        <is>
          <t>No</t>
        </is>
      </c>
      <c r="AQ2909" t="inlineStr">
        <is>
          <t>No</t>
        </is>
      </c>
      <c r="AS2909">
        <f>HYPERLINK("https://creighton-primo.hosted.exlibrisgroup.com/primo-explore/search?tab=default_tab&amp;search_scope=EVERYTHING&amp;vid=01CRU&amp;lang=en_US&amp;offset=0&amp;query=any,contains,991004080339702656","Catalog Record")</f>
        <v/>
      </c>
      <c r="AT2909">
        <f>HYPERLINK("http://www.worldcat.org/oclc/2326231","WorldCat Record")</f>
        <v/>
      </c>
      <c r="AU2909" t="inlineStr">
        <is>
          <t>3162402:eng</t>
        </is>
      </c>
      <c r="AV2909" t="inlineStr">
        <is>
          <t>2326231</t>
        </is>
      </c>
      <c r="AW2909" t="inlineStr">
        <is>
          <t>991004080339702656</t>
        </is>
      </c>
      <c r="AX2909" t="inlineStr">
        <is>
          <t>991004080339702656</t>
        </is>
      </c>
      <c r="AY2909" t="inlineStr">
        <is>
          <t>2261565940002656</t>
        </is>
      </c>
      <c r="AZ2909" t="inlineStr">
        <is>
          <t>BOOK</t>
        </is>
      </c>
      <c r="BB2909" t="inlineStr">
        <is>
          <t>9780879913571</t>
        </is>
      </c>
      <c r="BC2909" t="inlineStr">
        <is>
          <t>32285001124766</t>
        </is>
      </c>
      <c r="BD2909" t="inlineStr">
        <is>
          <t>893228914</t>
        </is>
      </c>
    </row>
    <row r="2910">
      <c r="A2910" t="inlineStr">
        <is>
          <t>No</t>
        </is>
      </c>
      <c r="B2910" t="inlineStr">
        <is>
          <t>BX8241 .P67 1974</t>
        </is>
      </c>
      <c r="C2910" t="inlineStr">
        <is>
          <t>0                      BX 8241000P  67          1974</t>
        </is>
      </c>
      <c r="D2910" t="inlineStr">
        <is>
          <t>The development of Methodism in the old Southwest, 1783-1824 / by Walter Brownlow Posey.</t>
        </is>
      </c>
      <c r="F2910" t="inlineStr">
        <is>
          <t>No</t>
        </is>
      </c>
      <c r="G2910" t="inlineStr">
        <is>
          <t>1</t>
        </is>
      </c>
      <c r="H2910" t="inlineStr">
        <is>
          <t>No</t>
        </is>
      </c>
      <c r="I2910" t="inlineStr">
        <is>
          <t>No</t>
        </is>
      </c>
      <c r="J2910" t="inlineStr">
        <is>
          <t>0</t>
        </is>
      </c>
      <c r="K2910" t="inlineStr">
        <is>
          <t>Posey, Walter Brownlow, 1900-1988.</t>
        </is>
      </c>
      <c r="L2910" t="inlineStr">
        <is>
          <t>Philadelphia : Porcupine Press, 1974.</t>
        </is>
      </c>
      <c r="M2910" t="inlineStr">
        <is>
          <t>1974</t>
        </is>
      </c>
      <c r="O2910" t="inlineStr">
        <is>
          <t>eng</t>
        </is>
      </c>
      <c r="P2910" t="inlineStr">
        <is>
          <t>pau</t>
        </is>
      </c>
      <c r="Q2910" t="inlineStr">
        <is>
          <t>Perspectives in American history, no. 19</t>
        </is>
      </c>
      <c r="R2910" t="inlineStr">
        <is>
          <t xml:space="preserve">BX </t>
        </is>
      </c>
      <c r="S2910" t="n">
        <v>5</v>
      </c>
      <c r="T2910" t="n">
        <v>5</v>
      </c>
      <c r="U2910" t="inlineStr">
        <is>
          <t>1995-03-26</t>
        </is>
      </c>
      <c r="V2910" t="inlineStr">
        <is>
          <t>1995-03-26</t>
        </is>
      </c>
      <c r="W2910" t="inlineStr">
        <is>
          <t>1992-05-21</t>
        </is>
      </c>
      <c r="X2910" t="inlineStr">
        <is>
          <t>1992-05-21</t>
        </is>
      </c>
      <c r="Y2910" t="n">
        <v>180</v>
      </c>
      <c r="Z2910" t="n">
        <v>163</v>
      </c>
      <c r="AA2910" t="n">
        <v>342</v>
      </c>
      <c r="AB2910" t="n">
        <v>1</v>
      </c>
      <c r="AC2910" t="n">
        <v>3</v>
      </c>
      <c r="AD2910" t="n">
        <v>6</v>
      </c>
      <c r="AE2910" t="n">
        <v>9</v>
      </c>
      <c r="AF2910" t="n">
        <v>1</v>
      </c>
      <c r="AG2910" t="n">
        <v>1</v>
      </c>
      <c r="AH2910" t="n">
        <v>1</v>
      </c>
      <c r="AI2910" t="n">
        <v>2</v>
      </c>
      <c r="AJ2910" t="n">
        <v>5</v>
      </c>
      <c r="AK2910" t="n">
        <v>5</v>
      </c>
      <c r="AL2910" t="n">
        <v>0</v>
      </c>
      <c r="AM2910" t="n">
        <v>2</v>
      </c>
      <c r="AN2910" t="n">
        <v>0</v>
      </c>
      <c r="AO2910" t="n">
        <v>0</v>
      </c>
      <c r="AP2910" t="inlineStr">
        <is>
          <t>No</t>
        </is>
      </c>
      <c r="AQ2910" t="inlineStr">
        <is>
          <t>Yes</t>
        </is>
      </c>
      <c r="AR2910">
        <f>HYPERLINK("http://catalog.hathitrust.org/Record/009519426","HathiTrust Record")</f>
        <v/>
      </c>
      <c r="AS2910">
        <f>HYPERLINK("https://creighton-primo.hosted.exlibrisgroup.com/primo-explore/search?tab=default_tab&amp;search_scope=EVERYTHING&amp;vid=01CRU&amp;lang=en_US&amp;offset=0&amp;query=any,contains,991003215109702656","Catalog Record")</f>
        <v/>
      </c>
      <c r="AT2910">
        <f>HYPERLINK("http://www.worldcat.org/oclc/741051","WorldCat Record")</f>
        <v/>
      </c>
      <c r="AU2910" t="inlineStr">
        <is>
          <t>495901279:eng</t>
        </is>
      </c>
      <c r="AV2910" t="inlineStr">
        <is>
          <t>741051</t>
        </is>
      </c>
      <c r="AW2910" t="inlineStr">
        <is>
          <t>991003215109702656</t>
        </is>
      </c>
      <c r="AX2910" t="inlineStr">
        <is>
          <t>991003215109702656</t>
        </is>
      </c>
      <c r="AY2910" t="inlineStr">
        <is>
          <t>2270887490002656</t>
        </is>
      </c>
      <c r="AZ2910" t="inlineStr">
        <is>
          <t>BOOK</t>
        </is>
      </c>
      <c r="BB2910" t="inlineStr">
        <is>
          <t>9780879913397</t>
        </is>
      </c>
      <c r="BC2910" t="inlineStr">
        <is>
          <t>32285001124774</t>
        </is>
      </c>
      <c r="BD2910" t="inlineStr">
        <is>
          <t>893868195</t>
        </is>
      </c>
    </row>
    <row r="2911">
      <c r="A2911" t="inlineStr">
        <is>
          <t>No</t>
        </is>
      </c>
      <c r="B2911" t="inlineStr">
        <is>
          <t>BX825 .A5 1974</t>
        </is>
      </c>
      <c r="C2911" t="inlineStr">
        <is>
          <t>0                      BX 0825000A  5           1974</t>
        </is>
      </c>
      <c r="D2911" t="inlineStr">
        <is>
          <t>Disciplinary decrees of the general councils : text, translation, and commentary / by Rev. H. J. Schroeder, O.P.</t>
        </is>
      </c>
      <c r="F2911" t="inlineStr">
        <is>
          <t>No</t>
        </is>
      </c>
      <c r="G2911" t="inlineStr">
        <is>
          <t>1</t>
        </is>
      </c>
      <c r="H2911" t="inlineStr">
        <is>
          <t>No</t>
        </is>
      </c>
      <c r="I2911" t="inlineStr">
        <is>
          <t>No</t>
        </is>
      </c>
      <c r="J2911" t="inlineStr">
        <is>
          <t>0</t>
        </is>
      </c>
      <c r="K2911" t="inlineStr">
        <is>
          <t>Catholic Church.</t>
        </is>
      </c>
      <c r="L2911" t="inlineStr">
        <is>
          <t>Ann Arbor, Mich. : University Microfilms, 1974.</t>
        </is>
      </c>
      <c r="M2911" t="inlineStr">
        <is>
          <t>1974</t>
        </is>
      </c>
      <c r="O2911" t="inlineStr">
        <is>
          <t>eng</t>
        </is>
      </c>
      <c r="P2911" t="inlineStr">
        <is>
          <t>miu</t>
        </is>
      </c>
      <c r="R2911" t="inlineStr">
        <is>
          <t xml:space="preserve">BX </t>
        </is>
      </c>
      <c r="S2911" t="n">
        <v>0</v>
      </c>
      <c r="T2911" t="n">
        <v>0</v>
      </c>
      <c r="U2911" t="inlineStr">
        <is>
          <t>2005-05-23</t>
        </is>
      </c>
      <c r="V2911" t="inlineStr">
        <is>
          <t>2005-05-23</t>
        </is>
      </c>
      <c r="W2911" t="inlineStr">
        <is>
          <t>1992-04-20</t>
        </is>
      </c>
      <c r="X2911" t="inlineStr">
        <is>
          <t>1992-04-20</t>
        </is>
      </c>
      <c r="Y2911" t="n">
        <v>7</v>
      </c>
      <c r="Z2911" t="n">
        <v>7</v>
      </c>
      <c r="AA2911" t="n">
        <v>198</v>
      </c>
      <c r="AB2911" t="n">
        <v>1</v>
      </c>
      <c r="AC2911" t="n">
        <v>2</v>
      </c>
      <c r="AD2911" t="n">
        <v>0</v>
      </c>
      <c r="AE2911" t="n">
        <v>28</v>
      </c>
      <c r="AF2911" t="n">
        <v>0</v>
      </c>
      <c r="AG2911" t="n">
        <v>12</v>
      </c>
      <c r="AH2911" t="n">
        <v>0</v>
      </c>
      <c r="AI2911" t="n">
        <v>8</v>
      </c>
      <c r="AJ2911" t="n">
        <v>0</v>
      </c>
      <c r="AK2911" t="n">
        <v>20</v>
      </c>
      <c r="AL2911" t="n">
        <v>0</v>
      </c>
      <c r="AM2911" t="n">
        <v>0</v>
      </c>
      <c r="AN2911" t="n">
        <v>0</v>
      </c>
      <c r="AO2911" t="n">
        <v>0</v>
      </c>
      <c r="AP2911" t="inlineStr">
        <is>
          <t>No</t>
        </is>
      </c>
      <c r="AQ2911" t="inlineStr">
        <is>
          <t>No</t>
        </is>
      </c>
      <c r="AS2911">
        <f>HYPERLINK("https://creighton-primo.hosted.exlibrisgroup.com/primo-explore/search?tab=default_tab&amp;search_scope=EVERYTHING&amp;vid=01CRU&amp;lang=en_US&amp;offset=0&amp;query=any,contains,991004408649702656","Catalog Record")</f>
        <v/>
      </c>
      <c r="AT2911">
        <f>HYPERLINK("http://www.worldcat.org/oclc/3330866","WorldCat Record")</f>
        <v/>
      </c>
      <c r="AU2911" t="inlineStr">
        <is>
          <t>1795870:eng</t>
        </is>
      </c>
      <c r="AV2911" t="inlineStr">
        <is>
          <t>3330866</t>
        </is>
      </c>
      <c r="AW2911" t="inlineStr">
        <is>
          <t>991004408649702656</t>
        </is>
      </c>
      <c r="AX2911" t="inlineStr">
        <is>
          <t>991004408649702656</t>
        </is>
      </c>
      <c r="AY2911" t="inlineStr">
        <is>
          <t>2255846010002656</t>
        </is>
      </c>
      <c r="AZ2911" t="inlineStr">
        <is>
          <t>BOOK</t>
        </is>
      </c>
      <c r="BC2911" t="inlineStr">
        <is>
          <t>32285001019180</t>
        </is>
      </c>
      <c r="BD2911" t="inlineStr">
        <is>
          <t>893446192</t>
        </is>
      </c>
    </row>
    <row r="2912">
      <c r="A2912" t="inlineStr">
        <is>
          <t>No</t>
        </is>
      </c>
      <c r="B2912" t="inlineStr">
        <is>
          <t>BX825 .H413 1965</t>
        </is>
      </c>
      <c r="C2912" t="inlineStr">
        <is>
          <t>0                      BX 0825000H  413         1965</t>
        </is>
      </c>
      <c r="D2912" t="inlineStr">
        <is>
          <t>The Pope and the world : an illustrated history of the Ecumenical Councils / Anton Henze. Translated from the German by Maurice Michael.</t>
        </is>
      </c>
      <c r="F2912" t="inlineStr">
        <is>
          <t>No</t>
        </is>
      </c>
      <c r="G2912" t="inlineStr">
        <is>
          <t>1</t>
        </is>
      </c>
      <c r="H2912" t="inlineStr">
        <is>
          <t>No</t>
        </is>
      </c>
      <c r="I2912" t="inlineStr">
        <is>
          <t>No</t>
        </is>
      </c>
      <c r="J2912" t="inlineStr">
        <is>
          <t>0</t>
        </is>
      </c>
      <c r="K2912" t="inlineStr">
        <is>
          <t>Henze, Anton.</t>
        </is>
      </c>
      <c r="L2912" t="inlineStr">
        <is>
          <t>New York : Viking Press, 1965.</t>
        </is>
      </c>
      <c r="M2912" t="inlineStr">
        <is>
          <t>1965</t>
        </is>
      </c>
      <c r="O2912" t="inlineStr">
        <is>
          <t>eng</t>
        </is>
      </c>
      <c r="P2912" t="inlineStr">
        <is>
          <t xml:space="preserve">xx </t>
        </is>
      </c>
      <c r="Q2912" t="inlineStr">
        <is>
          <t>A Studio book</t>
        </is>
      </c>
      <c r="R2912" t="inlineStr">
        <is>
          <t xml:space="preserve">BX </t>
        </is>
      </c>
      <c r="S2912" t="n">
        <v>1</v>
      </c>
      <c r="T2912" t="n">
        <v>1</v>
      </c>
      <c r="U2912" t="inlineStr">
        <is>
          <t>2002-09-23</t>
        </is>
      </c>
      <c r="V2912" t="inlineStr">
        <is>
          <t>2002-09-23</t>
        </is>
      </c>
      <c r="W2912" t="inlineStr">
        <is>
          <t>1992-04-20</t>
        </is>
      </c>
      <c r="X2912" t="inlineStr">
        <is>
          <t>1992-04-20</t>
        </is>
      </c>
      <c r="Y2912" t="n">
        <v>275</v>
      </c>
      <c r="Z2912" t="n">
        <v>260</v>
      </c>
      <c r="AA2912" t="n">
        <v>334</v>
      </c>
      <c r="AB2912" t="n">
        <v>2</v>
      </c>
      <c r="AC2912" t="n">
        <v>4</v>
      </c>
      <c r="AD2912" t="n">
        <v>18</v>
      </c>
      <c r="AE2912" t="n">
        <v>22</v>
      </c>
      <c r="AF2912" t="n">
        <v>7</v>
      </c>
      <c r="AG2912" t="n">
        <v>7</v>
      </c>
      <c r="AH2912" t="n">
        <v>5</v>
      </c>
      <c r="AI2912" t="n">
        <v>6</v>
      </c>
      <c r="AJ2912" t="n">
        <v>14</v>
      </c>
      <c r="AK2912" t="n">
        <v>15</v>
      </c>
      <c r="AL2912" t="n">
        <v>0</v>
      </c>
      <c r="AM2912" t="n">
        <v>2</v>
      </c>
      <c r="AN2912" t="n">
        <v>0</v>
      </c>
      <c r="AO2912" t="n">
        <v>0</v>
      </c>
      <c r="AP2912" t="inlineStr">
        <is>
          <t>No</t>
        </is>
      </c>
      <c r="AQ2912" t="inlineStr">
        <is>
          <t>No</t>
        </is>
      </c>
      <c r="AS2912">
        <f>HYPERLINK("https://creighton-primo.hosted.exlibrisgroup.com/primo-explore/search?tab=default_tab&amp;search_scope=EVERYTHING&amp;vid=01CRU&amp;lang=en_US&amp;offset=0&amp;query=any,contains,991003753359702656","Catalog Record")</f>
        <v/>
      </c>
      <c r="AT2912">
        <f>HYPERLINK("http://www.worldcat.org/oclc/1432349","WorldCat Record")</f>
        <v/>
      </c>
      <c r="AU2912" t="inlineStr">
        <is>
          <t>1840906:eng</t>
        </is>
      </c>
      <c r="AV2912" t="inlineStr">
        <is>
          <t>1432349</t>
        </is>
      </c>
      <c r="AW2912" t="inlineStr">
        <is>
          <t>991003753359702656</t>
        </is>
      </c>
      <c r="AX2912" t="inlineStr">
        <is>
          <t>991003753359702656</t>
        </is>
      </c>
      <c r="AY2912" t="inlineStr">
        <is>
          <t>2269001320002656</t>
        </is>
      </c>
      <c r="AZ2912" t="inlineStr">
        <is>
          <t>BOOK</t>
        </is>
      </c>
      <c r="BC2912" t="inlineStr">
        <is>
          <t>32285001019198</t>
        </is>
      </c>
      <c r="BD2912" t="inlineStr">
        <is>
          <t>893228418</t>
        </is>
      </c>
    </row>
    <row r="2913">
      <c r="A2913" t="inlineStr">
        <is>
          <t>No</t>
        </is>
      </c>
      <c r="B2913" t="inlineStr">
        <is>
          <t>BX825 .J4 1960a</t>
        </is>
      </c>
      <c r="C2913" t="inlineStr">
        <is>
          <t>0                      BX 0825000J  4           1960a</t>
        </is>
      </c>
      <c r="D2913" t="inlineStr">
        <is>
          <t>Ecumenical councils of the Catholic Church : an historical outline / Hubert Jedin. [Translation by Ernest Graf.</t>
        </is>
      </c>
      <c r="F2913" t="inlineStr">
        <is>
          <t>No</t>
        </is>
      </c>
      <c r="G2913" t="inlineStr">
        <is>
          <t>1</t>
        </is>
      </c>
      <c r="H2913" t="inlineStr">
        <is>
          <t>No</t>
        </is>
      </c>
      <c r="I2913" t="inlineStr">
        <is>
          <t>No</t>
        </is>
      </c>
      <c r="J2913" t="inlineStr">
        <is>
          <t>0</t>
        </is>
      </c>
      <c r="K2913" t="inlineStr">
        <is>
          <t>Jedin, Hubert, 1900-1980.</t>
        </is>
      </c>
      <c r="L2913" t="inlineStr">
        <is>
          <t>New York] : Herder and Herder, [1960]</t>
        </is>
      </c>
      <c r="M2913" t="inlineStr">
        <is>
          <t>1960</t>
        </is>
      </c>
      <c r="O2913" t="inlineStr">
        <is>
          <t>eng</t>
        </is>
      </c>
      <c r="P2913" t="inlineStr">
        <is>
          <t xml:space="preserve">xx </t>
        </is>
      </c>
      <c r="R2913" t="inlineStr">
        <is>
          <t xml:space="preserve">BX </t>
        </is>
      </c>
      <c r="S2913" t="n">
        <v>8</v>
      </c>
      <c r="T2913" t="n">
        <v>8</v>
      </c>
      <c r="U2913" t="inlineStr">
        <is>
          <t>2010-02-01</t>
        </is>
      </c>
      <c r="V2913" t="inlineStr">
        <is>
          <t>2010-02-01</t>
        </is>
      </c>
      <c r="W2913" t="inlineStr">
        <is>
          <t>1990-04-12</t>
        </is>
      </c>
      <c r="X2913" t="inlineStr">
        <is>
          <t>1990-04-12</t>
        </is>
      </c>
      <c r="Y2913" t="n">
        <v>349</v>
      </c>
      <c r="Z2913" t="n">
        <v>293</v>
      </c>
      <c r="AA2913" t="n">
        <v>391</v>
      </c>
      <c r="AB2913" t="n">
        <v>5</v>
      </c>
      <c r="AC2913" t="n">
        <v>6</v>
      </c>
      <c r="AD2913" t="n">
        <v>28</v>
      </c>
      <c r="AE2913" t="n">
        <v>32</v>
      </c>
      <c r="AF2913" t="n">
        <v>7</v>
      </c>
      <c r="AG2913" t="n">
        <v>9</v>
      </c>
      <c r="AH2913" t="n">
        <v>8</v>
      </c>
      <c r="AI2913" t="n">
        <v>8</v>
      </c>
      <c r="AJ2913" t="n">
        <v>16</v>
      </c>
      <c r="AK2913" t="n">
        <v>20</v>
      </c>
      <c r="AL2913" t="n">
        <v>4</v>
      </c>
      <c r="AM2913" t="n">
        <v>4</v>
      </c>
      <c r="AN2913" t="n">
        <v>0</v>
      </c>
      <c r="AO2913" t="n">
        <v>0</v>
      </c>
      <c r="AP2913" t="inlineStr">
        <is>
          <t>No</t>
        </is>
      </c>
      <c r="AQ2913" t="inlineStr">
        <is>
          <t>No</t>
        </is>
      </c>
      <c r="AS2913">
        <f>HYPERLINK("https://creighton-primo.hosted.exlibrisgroup.com/primo-explore/search?tab=default_tab&amp;search_scope=EVERYTHING&amp;vid=01CRU&amp;lang=en_US&amp;offset=0&amp;query=any,contains,991004370769702656","Catalog Record")</f>
        <v/>
      </c>
      <c r="AT2913">
        <f>HYPERLINK("http://www.worldcat.org/oclc/2866038","WorldCat Record")</f>
        <v/>
      </c>
      <c r="AU2913" t="inlineStr">
        <is>
          <t>4495332161:eng</t>
        </is>
      </c>
      <c r="AV2913" t="inlineStr">
        <is>
          <t>2866038</t>
        </is>
      </c>
      <c r="AW2913" t="inlineStr">
        <is>
          <t>991004370769702656</t>
        </is>
      </c>
      <c r="AX2913" t="inlineStr">
        <is>
          <t>991004370769702656</t>
        </is>
      </c>
      <c r="AY2913" t="inlineStr">
        <is>
          <t>2260961140002656</t>
        </is>
      </c>
      <c r="AZ2913" t="inlineStr">
        <is>
          <t>BOOK</t>
        </is>
      </c>
      <c r="BC2913" t="inlineStr">
        <is>
          <t>32285000121698</t>
        </is>
      </c>
      <c r="BD2913" t="inlineStr">
        <is>
          <t>893687649</t>
        </is>
      </c>
    </row>
    <row r="2914">
      <c r="A2914" t="inlineStr">
        <is>
          <t>No</t>
        </is>
      </c>
      <c r="B2914" t="inlineStr">
        <is>
          <t>BX825 .M8 1960</t>
        </is>
      </c>
      <c r="C2914" t="inlineStr">
        <is>
          <t>0                      BX 0825000M  8           1960</t>
        </is>
      </c>
      <c r="D2914" t="inlineStr">
        <is>
          <t>The general councils of the church / John L. Murphy.</t>
        </is>
      </c>
      <c r="F2914" t="inlineStr">
        <is>
          <t>No</t>
        </is>
      </c>
      <c r="G2914" t="inlineStr">
        <is>
          <t>1</t>
        </is>
      </c>
      <c r="H2914" t="inlineStr">
        <is>
          <t>No</t>
        </is>
      </c>
      <c r="I2914" t="inlineStr">
        <is>
          <t>No</t>
        </is>
      </c>
      <c r="J2914" t="inlineStr">
        <is>
          <t>0</t>
        </is>
      </c>
      <c r="K2914" t="inlineStr">
        <is>
          <t>Murphy, John L. (John Lawrence), 1924-1984.</t>
        </is>
      </c>
      <c r="L2914" t="inlineStr">
        <is>
          <t>Milwaukee : Bruce Pub. Co., [1960]</t>
        </is>
      </c>
      <c r="M2914" t="inlineStr">
        <is>
          <t>1960</t>
        </is>
      </c>
      <c r="O2914" t="inlineStr">
        <is>
          <t>eng</t>
        </is>
      </c>
      <c r="P2914" t="inlineStr">
        <is>
          <t>wiu</t>
        </is>
      </c>
      <c r="R2914" t="inlineStr">
        <is>
          <t xml:space="preserve">BX </t>
        </is>
      </c>
      <c r="S2914" t="n">
        <v>5</v>
      </c>
      <c r="T2914" t="n">
        <v>5</v>
      </c>
      <c r="U2914" t="inlineStr">
        <is>
          <t>2002-09-20</t>
        </is>
      </c>
      <c r="V2914" t="inlineStr">
        <is>
          <t>2002-09-20</t>
        </is>
      </c>
      <c r="W2914" t="inlineStr">
        <is>
          <t>1992-04-20</t>
        </is>
      </c>
      <c r="X2914" t="inlineStr">
        <is>
          <t>1992-04-20</t>
        </is>
      </c>
      <c r="Y2914" t="n">
        <v>421</v>
      </c>
      <c r="Z2914" t="n">
        <v>376</v>
      </c>
      <c r="AA2914" t="n">
        <v>382</v>
      </c>
      <c r="AB2914" t="n">
        <v>4</v>
      </c>
      <c r="AC2914" t="n">
        <v>4</v>
      </c>
      <c r="AD2914" t="n">
        <v>33</v>
      </c>
      <c r="AE2914" t="n">
        <v>33</v>
      </c>
      <c r="AF2914" t="n">
        <v>10</v>
      </c>
      <c r="AG2914" t="n">
        <v>10</v>
      </c>
      <c r="AH2914" t="n">
        <v>7</v>
      </c>
      <c r="AI2914" t="n">
        <v>7</v>
      </c>
      <c r="AJ2914" t="n">
        <v>22</v>
      </c>
      <c r="AK2914" t="n">
        <v>22</v>
      </c>
      <c r="AL2914" t="n">
        <v>1</v>
      </c>
      <c r="AM2914" t="n">
        <v>1</v>
      </c>
      <c r="AN2914" t="n">
        <v>2</v>
      </c>
      <c r="AO2914" t="n">
        <v>2</v>
      </c>
      <c r="AP2914" t="inlineStr">
        <is>
          <t>Yes</t>
        </is>
      </c>
      <c r="AQ2914" t="inlineStr">
        <is>
          <t>No</t>
        </is>
      </c>
      <c r="AR2914">
        <f>HYPERLINK("http://catalog.hathitrust.org/Record/102046352","HathiTrust Record")</f>
        <v/>
      </c>
      <c r="AS2914">
        <f>HYPERLINK("https://creighton-primo.hosted.exlibrisgroup.com/primo-explore/search?tab=default_tab&amp;search_scope=EVERYTHING&amp;vid=01CRU&amp;lang=en_US&amp;offset=0&amp;query=any,contains,991002702079702656","Catalog Record")</f>
        <v/>
      </c>
      <c r="AT2914">
        <f>HYPERLINK("http://www.worldcat.org/oclc/405947","WorldCat Record")</f>
        <v/>
      </c>
      <c r="AU2914" t="inlineStr">
        <is>
          <t>1432718:eng</t>
        </is>
      </c>
      <c r="AV2914" t="inlineStr">
        <is>
          <t>405947</t>
        </is>
      </c>
      <c r="AW2914" t="inlineStr">
        <is>
          <t>991002702079702656</t>
        </is>
      </c>
      <c r="AX2914" t="inlineStr">
        <is>
          <t>991002702079702656</t>
        </is>
      </c>
      <c r="AY2914" t="inlineStr">
        <is>
          <t>2258402700002656</t>
        </is>
      </c>
      <c r="AZ2914" t="inlineStr">
        <is>
          <t>BOOK</t>
        </is>
      </c>
      <c r="BC2914" t="inlineStr">
        <is>
          <t>32285001019214</t>
        </is>
      </c>
      <c r="BD2914" t="inlineStr">
        <is>
          <t>893899096</t>
        </is>
      </c>
    </row>
    <row r="2915">
      <c r="A2915" t="inlineStr">
        <is>
          <t>No</t>
        </is>
      </c>
      <c r="B2915" t="inlineStr">
        <is>
          <t>BX825 .T36 2002</t>
        </is>
      </c>
      <c r="C2915" t="inlineStr">
        <is>
          <t>0                      BX 0825000T  36          2002</t>
        </is>
      </c>
      <c r="D2915" t="inlineStr">
        <is>
          <t>Is the Church too Asian? : reflections on the ecumenical councils / Norman Tanner.</t>
        </is>
      </c>
      <c r="F2915" t="inlineStr">
        <is>
          <t>No</t>
        </is>
      </c>
      <c r="G2915" t="inlineStr">
        <is>
          <t>1</t>
        </is>
      </c>
      <c r="H2915" t="inlineStr">
        <is>
          <t>No</t>
        </is>
      </c>
      <c r="I2915" t="inlineStr">
        <is>
          <t>No</t>
        </is>
      </c>
      <c r="J2915" t="inlineStr">
        <is>
          <t>0</t>
        </is>
      </c>
      <c r="K2915" t="inlineStr">
        <is>
          <t>Tanner, Norman P.</t>
        </is>
      </c>
      <c r="L2915" t="inlineStr">
        <is>
          <t>Rome : Chavara Institute of Indian and Inter-religious Studies ; Bangalore : Dharmaram Publications, 2002.</t>
        </is>
      </c>
      <c r="M2915" t="inlineStr">
        <is>
          <t>2002</t>
        </is>
      </c>
      <c r="O2915" t="inlineStr">
        <is>
          <t>eng</t>
        </is>
      </c>
      <c r="P2915" t="inlineStr">
        <is>
          <t xml:space="preserve">ii </t>
        </is>
      </c>
      <c r="Q2915" t="inlineStr">
        <is>
          <t>Placid lecture series ; 2001</t>
        </is>
      </c>
      <c r="R2915" t="inlineStr">
        <is>
          <t xml:space="preserve">BX </t>
        </is>
      </c>
      <c r="S2915" t="n">
        <v>2</v>
      </c>
      <c r="T2915" t="n">
        <v>2</v>
      </c>
      <c r="U2915" t="inlineStr">
        <is>
          <t>2006-09-19</t>
        </is>
      </c>
      <c r="V2915" t="inlineStr">
        <is>
          <t>2006-09-19</t>
        </is>
      </c>
      <c r="W2915" t="inlineStr">
        <is>
          <t>2003-08-28</t>
        </is>
      </c>
      <c r="X2915" t="inlineStr">
        <is>
          <t>2003-08-28</t>
        </is>
      </c>
      <c r="Y2915" t="n">
        <v>31</v>
      </c>
      <c r="Z2915" t="n">
        <v>19</v>
      </c>
      <c r="AA2915" t="n">
        <v>19</v>
      </c>
      <c r="AB2915" t="n">
        <v>1</v>
      </c>
      <c r="AC2915" t="n">
        <v>1</v>
      </c>
      <c r="AD2915" t="n">
        <v>4</v>
      </c>
      <c r="AE2915" t="n">
        <v>4</v>
      </c>
      <c r="AF2915" t="n">
        <v>0</v>
      </c>
      <c r="AG2915" t="n">
        <v>0</v>
      </c>
      <c r="AH2915" t="n">
        <v>0</v>
      </c>
      <c r="AI2915" t="n">
        <v>0</v>
      </c>
      <c r="AJ2915" t="n">
        <v>4</v>
      </c>
      <c r="AK2915" t="n">
        <v>4</v>
      </c>
      <c r="AL2915" t="n">
        <v>0</v>
      </c>
      <c r="AM2915" t="n">
        <v>0</v>
      </c>
      <c r="AN2915" t="n">
        <v>0</v>
      </c>
      <c r="AO2915" t="n">
        <v>0</v>
      </c>
      <c r="AP2915" t="inlineStr">
        <is>
          <t>No</t>
        </is>
      </c>
      <c r="AQ2915" t="inlineStr">
        <is>
          <t>No</t>
        </is>
      </c>
      <c r="AS2915">
        <f>HYPERLINK("https://creighton-primo.hosted.exlibrisgroup.com/primo-explore/search?tab=default_tab&amp;search_scope=EVERYTHING&amp;vid=01CRU&amp;lang=en_US&amp;offset=0&amp;query=any,contains,991004110059702656","Catalog Record")</f>
        <v/>
      </c>
      <c r="AT2915">
        <f>HYPERLINK("http://www.worldcat.org/oclc/51836513","WorldCat Record")</f>
        <v/>
      </c>
      <c r="AU2915" t="inlineStr">
        <is>
          <t>9765946:eng</t>
        </is>
      </c>
      <c r="AV2915" t="inlineStr">
        <is>
          <t>51836513</t>
        </is>
      </c>
      <c r="AW2915" t="inlineStr">
        <is>
          <t>991004110059702656</t>
        </is>
      </c>
      <c r="AX2915" t="inlineStr">
        <is>
          <t>991004110059702656</t>
        </is>
      </c>
      <c r="AY2915" t="inlineStr">
        <is>
          <t>2256797950002656</t>
        </is>
      </c>
      <c r="AZ2915" t="inlineStr">
        <is>
          <t>BOOK</t>
        </is>
      </c>
      <c r="BB2915" t="inlineStr">
        <is>
          <t>9788186861486</t>
        </is>
      </c>
      <c r="BC2915" t="inlineStr">
        <is>
          <t>32285004759824</t>
        </is>
      </c>
      <c r="BD2915" t="inlineStr">
        <is>
          <t>893235069</t>
        </is>
      </c>
    </row>
    <row r="2916">
      <c r="A2916" t="inlineStr">
        <is>
          <t>No</t>
        </is>
      </c>
      <c r="B2916" t="inlineStr">
        <is>
          <t>BX825 .W35 1960</t>
        </is>
      </c>
      <c r="C2916" t="inlineStr">
        <is>
          <t>0                      BX 0825000W  35          1960</t>
        </is>
      </c>
      <c r="D2916" t="inlineStr">
        <is>
          <t>The church in council / E.I. Watkin.</t>
        </is>
      </c>
      <c r="F2916" t="inlineStr">
        <is>
          <t>No</t>
        </is>
      </c>
      <c r="G2916" t="inlineStr">
        <is>
          <t>1</t>
        </is>
      </c>
      <c r="H2916" t="inlineStr">
        <is>
          <t>No</t>
        </is>
      </c>
      <c r="I2916" t="inlineStr">
        <is>
          <t>No</t>
        </is>
      </c>
      <c r="J2916" t="inlineStr">
        <is>
          <t>0</t>
        </is>
      </c>
      <c r="K2916" t="inlineStr">
        <is>
          <t>Watkin, E. I. (Edward Ingram), 1888-1981.</t>
        </is>
      </c>
      <c r="L2916" t="inlineStr">
        <is>
          <t>London : Darton, Longman &amp; Todd ; New York : Sheed &amp; Ward, [c1960]</t>
        </is>
      </c>
      <c r="M2916" t="inlineStr">
        <is>
          <t>1960</t>
        </is>
      </c>
      <c r="O2916" t="inlineStr">
        <is>
          <t>eng</t>
        </is>
      </c>
      <c r="P2916" t="inlineStr">
        <is>
          <t xml:space="preserve">xx </t>
        </is>
      </c>
      <c r="R2916" t="inlineStr">
        <is>
          <t xml:space="preserve">BX </t>
        </is>
      </c>
      <c r="S2916" t="n">
        <v>5</v>
      </c>
      <c r="T2916" t="n">
        <v>5</v>
      </c>
      <c r="U2916" t="inlineStr">
        <is>
          <t>2005-11-08</t>
        </is>
      </c>
      <c r="V2916" t="inlineStr">
        <is>
          <t>2005-11-08</t>
        </is>
      </c>
      <c r="W2916" t="inlineStr">
        <is>
          <t>1990-04-12</t>
        </is>
      </c>
      <c r="X2916" t="inlineStr">
        <is>
          <t>1990-04-12</t>
        </is>
      </c>
      <c r="Y2916" t="n">
        <v>354</v>
      </c>
      <c r="Z2916" t="n">
        <v>284</v>
      </c>
      <c r="AA2916" t="n">
        <v>293</v>
      </c>
      <c r="AB2916" t="n">
        <v>4</v>
      </c>
      <c r="AC2916" t="n">
        <v>4</v>
      </c>
      <c r="AD2916" t="n">
        <v>27</v>
      </c>
      <c r="AE2916" t="n">
        <v>27</v>
      </c>
      <c r="AF2916" t="n">
        <v>7</v>
      </c>
      <c r="AG2916" t="n">
        <v>7</v>
      </c>
      <c r="AH2916" t="n">
        <v>7</v>
      </c>
      <c r="AI2916" t="n">
        <v>7</v>
      </c>
      <c r="AJ2916" t="n">
        <v>18</v>
      </c>
      <c r="AK2916" t="n">
        <v>18</v>
      </c>
      <c r="AL2916" t="n">
        <v>2</v>
      </c>
      <c r="AM2916" t="n">
        <v>2</v>
      </c>
      <c r="AN2916" t="n">
        <v>0</v>
      </c>
      <c r="AO2916" t="n">
        <v>0</v>
      </c>
      <c r="AP2916" t="inlineStr">
        <is>
          <t>No</t>
        </is>
      </c>
      <c r="AQ2916" t="inlineStr">
        <is>
          <t>Yes</t>
        </is>
      </c>
      <c r="AR2916">
        <f>HYPERLINK("http://catalog.hathitrust.org/Record/001415539","HathiTrust Record")</f>
        <v/>
      </c>
      <c r="AS2916">
        <f>HYPERLINK("https://creighton-primo.hosted.exlibrisgroup.com/primo-explore/search?tab=default_tab&amp;search_scope=EVERYTHING&amp;vid=01CRU&amp;lang=en_US&amp;offset=0&amp;query=any,contains,991002645949702656","Catalog Record")</f>
        <v/>
      </c>
      <c r="AT2916">
        <f>HYPERLINK("http://www.worldcat.org/oclc/385808","WorldCat Record")</f>
        <v/>
      </c>
      <c r="AU2916" t="inlineStr">
        <is>
          <t>1508976:eng</t>
        </is>
      </c>
      <c r="AV2916" t="inlineStr">
        <is>
          <t>385808</t>
        </is>
      </c>
      <c r="AW2916" t="inlineStr">
        <is>
          <t>991002645949702656</t>
        </is>
      </c>
      <c r="AX2916" t="inlineStr">
        <is>
          <t>991002645949702656</t>
        </is>
      </c>
      <c r="AY2916" t="inlineStr">
        <is>
          <t>2259135920002656</t>
        </is>
      </c>
      <c r="AZ2916" t="inlineStr">
        <is>
          <t>BOOK</t>
        </is>
      </c>
      <c r="BC2916" t="inlineStr">
        <is>
          <t>32285000121706</t>
        </is>
      </c>
      <c r="BD2916" t="inlineStr">
        <is>
          <t>893603828</t>
        </is>
      </c>
    </row>
    <row r="2917">
      <c r="A2917" t="inlineStr">
        <is>
          <t>No</t>
        </is>
      </c>
      <c r="B2917" t="inlineStr">
        <is>
          <t>BX8276 .G5 1966</t>
        </is>
      </c>
      <c r="C2917" t="inlineStr">
        <is>
          <t>0                      BX 8276000G  5           1966</t>
        </is>
      </c>
      <c r="D2917" t="inlineStr">
        <is>
          <t>The romantic movement and Methodism : a study of English romanticism and the evangelical revival / by Frederick C. Gill.</t>
        </is>
      </c>
      <c r="F2917" t="inlineStr">
        <is>
          <t>No</t>
        </is>
      </c>
      <c r="G2917" t="inlineStr">
        <is>
          <t>1</t>
        </is>
      </c>
      <c r="H2917" t="inlineStr">
        <is>
          <t>No</t>
        </is>
      </c>
      <c r="I2917" t="inlineStr">
        <is>
          <t>No</t>
        </is>
      </c>
      <c r="J2917" t="inlineStr">
        <is>
          <t>0</t>
        </is>
      </c>
      <c r="K2917" t="inlineStr">
        <is>
          <t>Gill, Frederick C. (Frederick Cyril), 1898-1974.</t>
        </is>
      </c>
      <c r="L2917" t="inlineStr">
        <is>
          <t>New York : Haskell House, 1966.</t>
        </is>
      </c>
      <c r="M2917" t="inlineStr">
        <is>
          <t>1966</t>
        </is>
      </c>
      <c r="O2917" t="inlineStr">
        <is>
          <t>eng</t>
        </is>
      </c>
      <c r="P2917" t="inlineStr">
        <is>
          <t>nyu</t>
        </is>
      </c>
      <c r="R2917" t="inlineStr">
        <is>
          <t xml:space="preserve">BX </t>
        </is>
      </c>
      <c r="S2917" t="n">
        <v>1</v>
      </c>
      <c r="T2917" t="n">
        <v>1</v>
      </c>
      <c r="U2917" t="inlineStr">
        <is>
          <t>2005-09-27</t>
        </is>
      </c>
      <c r="V2917" t="inlineStr">
        <is>
          <t>2005-09-27</t>
        </is>
      </c>
      <c r="W2917" t="inlineStr">
        <is>
          <t>1992-05-21</t>
        </is>
      </c>
      <c r="X2917" t="inlineStr">
        <is>
          <t>1992-05-21</t>
        </is>
      </c>
      <c r="Y2917" t="n">
        <v>183</v>
      </c>
      <c r="Z2917" t="n">
        <v>169</v>
      </c>
      <c r="AA2917" t="n">
        <v>384</v>
      </c>
      <c r="AB2917" t="n">
        <v>3</v>
      </c>
      <c r="AC2917" t="n">
        <v>4</v>
      </c>
      <c r="AD2917" t="n">
        <v>12</v>
      </c>
      <c r="AE2917" t="n">
        <v>23</v>
      </c>
      <c r="AF2917" t="n">
        <v>5</v>
      </c>
      <c r="AG2917" t="n">
        <v>8</v>
      </c>
      <c r="AH2917" t="n">
        <v>1</v>
      </c>
      <c r="AI2917" t="n">
        <v>3</v>
      </c>
      <c r="AJ2917" t="n">
        <v>6</v>
      </c>
      <c r="AK2917" t="n">
        <v>12</v>
      </c>
      <c r="AL2917" t="n">
        <v>2</v>
      </c>
      <c r="AM2917" t="n">
        <v>3</v>
      </c>
      <c r="AN2917" t="n">
        <v>0</v>
      </c>
      <c r="AO2917" t="n">
        <v>0</v>
      </c>
      <c r="AP2917" t="inlineStr">
        <is>
          <t>No</t>
        </is>
      </c>
      <c r="AQ2917" t="inlineStr">
        <is>
          <t>No</t>
        </is>
      </c>
      <c r="AS2917">
        <f>HYPERLINK("https://creighton-primo.hosted.exlibrisgroup.com/primo-explore/search?tab=default_tab&amp;search_scope=EVERYTHING&amp;vid=01CRU&amp;lang=en_US&amp;offset=0&amp;query=any,contains,991002527629702656","Catalog Record")</f>
        <v/>
      </c>
      <c r="AT2917">
        <f>HYPERLINK("http://www.worldcat.org/oclc/366825","WorldCat Record")</f>
        <v/>
      </c>
      <c r="AU2917" t="inlineStr">
        <is>
          <t>1428878:eng</t>
        </is>
      </c>
      <c r="AV2917" t="inlineStr">
        <is>
          <t>366825</t>
        </is>
      </c>
      <c r="AW2917" t="inlineStr">
        <is>
          <t>991002527629702656</t>
        </is>
      </c>
      <c r="AX2917" t="inlineStr">
        <is>
          <t>991002527629702656</t>
        </is>
      </c>
      <c r="AY2917" t="inlineStr">
        <is>
          <t>2264494380002656</t>
        </is>
      </c>
      <c r="AZ2917" t="inlineStr">
        <is>
          <t>BOOK</t>
        </is>
      </c>
      <c r="BC2917" t="inlineStr">
        <is>
          <t>32285001124790</t>
        </is>
      </c>
      <c r="BD2917" t="inlineStr">
        <is>
          <t>893433981</t>
        </is>
      </c>
    </row>
    <row r="2918">
      <c r="A2918" t="inlineStr">
        <is>
          <t>No</t>
        </is>
      </c>
      <c r="B2918" t="inlineStr">
        <is>
          <t>BX830 1438 .G53 1959</t>
        </is>
      </c>
      <c r="C2918" t="inlineStr">
        <is>
          <t>0                      BX 0830000               1438   G  53          1959</t>
        </is>
      </c>
      <c r="D2918" t="inlineStr">
        <is>
          <t>The Council of Florence.</t>
        </is>
      </c>
      <c r="F2918" t="inlineStr">
        <is>
          <t>No</t>
        </is>
      </c>
      <c r="G2918" t="inlineStr">
        <is>
          <t>1</t>
        </is>
      </c>
      <c r="H2918" t="inlineStr">
        <is>
          <t>No</t>
        </is>
      </c>
      <c r="I2918" t="inlineStr">
        <is>
          <t>No</t>
        </is>
      </c>
      <c r="J2918" t="inlineStr">
        <is>
          <t>0</t>
        </is>
      </c>
      <c r="K2918" t="inlineStr">
        <is>
          <t>Gill, Joseph, 1901-1989.</t>
        </is>
      </c>
      <c r="L2918" t="inlineStr">
        <is>
          <t>Cambridge [Eng.] : University Press, 1959.</t>
        </is>
      </c>
      <c r="M2918" t="inlineStr">
        <is>
          <t>1959</t>
        </is>
      </c>
      <c r="O2918" t="inlineStr">
        <is>
          <t>eng</t>
        </is>
      </c>
      <c r="P2918" t="inlineStr">
        <is>
          <t>enk</t>
        </is>
      </c>
      <c r="R2918" t="inlineStr">
        <is>
          <t xml:space="preserve">BX </t>
        </is>
      </c>
      <c r="S2918" t="n">
        <v>3</v>
      </c>
      <c r="T2918" t="n">
        <v>3</v>
      </c>
      <c r="U2918" t="inlineStr">
        <is>
          <t>2010-04-18</t>
        </is>
      </c>
      <c r="V2918" t="inlineStr">
        <is>
          <t>2010-04-18</t>
        </is>
      </c>
      <c r="W2918" t="inlineStr">
        <is>
          <t>1992-04-20</t>
        </is>
      </c>
      <c r="X2918" t="inlineStr">
        <is>
          <t>1992-04-20</t>
        </is>
      </c>
      <c r="Y2918" t="n">
        <v>531</v>
      </c>
      <c r="Z2918" t="n">
        <v>384</v>
      </c>
      <c r="AA2918" t="n">
        <v>554</v>
      </c>
      <c r="AB2918" t="n">
        <v>5</v>
      </c>
      <c r="AC2918" t="n">
        <v>5</v>
      </c>
      <c r="AD2918" t="n">
        <v>30</v>
      </c>
      <c r="AE2918" t="n">
        <v>38</v>
      </c>
      <c r="AF2918" t="n">
        <v>12</v>
      </c>
      <c r="AG2918" t="n">
        <v>14</v>
      </c>
      <c r="AH2918" t="n">
        <v>8</v>
      </c>
      <c r="AI2918" t="n">
        <v>10</v>
      </c>
      <c r="AJ2918" t="n">
        <v>18</v>
      </c>
      <c r="AK2918" t="n">
        <v>24</v>
      </c>
      <c r="AL2918" t="n">
        <v>2</v>
      </c>
      <c r="AM2918" t="n">
        <v>2</v>
      </c>
      <c r="AN2918" t="n">
        <v>0</v>
      </c>
      <c r="AO2918" t="n">
        <v>0</v>
      </c>
      <c r="AP2918" t="inlineStr">
        <is>
          <t>No</t>
        </is>
      </c>
      <c r="AQ2918" t="inlineStr">
        <is>
          <t>No</t>
        </is>
      </c>
      <c r="AS2918">
        <f>HYPERLINK("https://creighton-primo.hosted.exlibrisgroup.com/primo-explore/search?tab=default_tab&amp;search_scope=EVERYTHING&amp;vid=01CRU&amp;lang=en_US&amp;offset=0&amp;query=any,contains,991005215659702656","Catalog Record")</f>
        <v/>
      </c>
      <c r="AT2918">
        <f>HYPERLINK("http://www.worldcat.org/oclc/8192491","WorldCat Record")</f>
        <v/>
      </c>
      <c r="AU2918" t="inlineStr">
        <is>
          <t>15723399:eng</t>
        </is>
      </c>
      <c r="AV2918" t="inlineStr">
        <is>
          <t>8192491</t>
        </is>
      </c>
      <c r="AW2918" t="inlineStr">
        <is>
          <t>991005215659702656</t>
        </is>
      </c>
      <c r="AX2918" t="inlineStr">
        <is>
          <t>991005215659702656</t>
        </is>
      </c>
      <c r="AY2918" t="inlineStr">
        <is>
          <t>2263076920002656</t>
        </is>
      </c>
      <c r="AZ2918" t="inlineStr">
        <is>
          <t>BOOK</t>
        </is>
      </c>
      <c r="BC2918" t="inlineStr">
        <is>
          <t>32285001019271</t>
        </is>
      </c>
      <c r="BD2918" t="inlineStr">
        <is>
          <t>893688782</t>
        </is>
      </c>
    </row>
    <row r="2919">
      <c r="A2919" t="inlineStr">
        <is>
          <t>No</t>
        </is>
      </c>
      <c r="B2919" t="inlineStr">
        <is>
          <t>BX830 1545 .E8 1930</t>
        </is>
      </c>
      <c r="C2919" t="inlineStr">
        <is>
          <t>0                      BX 0830000               1545   E  8           1930</t>
        </is>
      </c>
      <c r="D2919" t="inlineStr">
        <is>
          <t>The Cardinal of Lorraine and the Council of Trent : a study in the counter-reformation / by H. Outram Evennett.</t>
        </is>
      </c>
      <c r="F2919" t="inlineStr">
        <is>
          <t>No</t>
        </is>
      </c>
      <c r="G2919" t="inlineStr">
        <is>
          <t>1</t>
        </is>
      </c>
      <c r="H2919" t="inlineStr">
        <is>
          <t>No</t>
        </is>
      </c>
      <c r="I2919" t="inlineStr">
        <is>
          <t>No</t>
        </is>
      </c>
      <c r="J2919" t="inlineStr">
        <is>
          <t>0</t>
        </is>
      </c>
      <c r="K2919" t="inlineStr">
        <is>
          <t>Evennett, H. O. (Henry Outram), 1901-1964.</t>
        </is>
      </c>
      <c r="L2919" t="inlineStr">
        <is>
          <t>Cambridge [Eng.] : The University press, 1930.</t>
        </is>
      </c>
      <c r="M2919" t="inlineStr">
        <is>
          <t>1930</t>
        </is>
      </c>
      <c r="O2919" t="inlineStr">
        <is>
          <t>eng</t>
        </is>
      </c>
      <c r="P2919" t="inlineStr">
        <is>
          <t xml:space="preserve">xx </t>
        </is>
      </c>
      <c r="R2919" t="inlineStr">
        <is>
          <t xml:space="preserve">BX </t>
        </is>
      </c>
      <c r="S2919" t="n">
        <v>3</v>
      </c>
      <c r="T2919" t="n">
        <v>3</v>
      </c>
      <c r="U2919" t="inlineStr">
        <is>
          <t>2010-02-02</t>
        </is>
      </c>
      <c r="V2919" t="inlineStr">
        <is>
          <t>2010-02-02</t>
        </is>
      </c>
      <c r="W2919" t="inlineStr">
        <is>
          <t>1990-04-04</t>
        </is>
      </c>
      <c r="X2919" t="inlineStr">
        <is>
          <t>1990-04-04</t>
        </is>
      </c>
      <c r="Y2919" t="n">
        <v>242</v>
      </c>
      <c r="Z2919" t="n">
        <v>176</v>
      </c>
      <c r="AA2919" t="n">
        <v>198</v>
      </c>
      <c r="AB2919" t="n">
        <v>2</v>
      </c>
      <c r="AC2919" t="n">
        <v>2</v>
      </c>
      <c r="AD2919" t="n">
        <v>17</v>
      </c>
      <c r="AE2919" t="n">
        <v>17</v>
      </c>
      <c r="AF2919" t="n">
        <v>6</v>
      </c>
      <c r="AG2919" t="n">
        <v>6</v>
      </c>
      <c r="AH2919" t="n">
        <v>4</v>
      </c>
      <c r="AI2919" t="n">
        <v>4</v>
      </c>
      <c r="AJ2919" t="n">
        <v>11</v>
      </c>
      <c r="AK2919" t="n">
        <v>11</v>
      </c>
      <c r="AL2919" t="n">
        <v>1</v>
      </c>
      <c r="AM2919" t="n">
        <v>1</v>
      </c>
      <c r="AN2919" t="n">
        <v>0</v>
      </c>
      <c r="AO2919" t="n">
        <v>0</v>
      </c>
      <c r="AP2919" t="inlineStr">
        <is>
          <t>No</t>
        </is>
      </c>
      <c r="AQ2919" t="inlineStr">
        <is>
          <t>Yes</t>
        </is>
      </c>
      <c r="AR2919">
        <f>HYPERLINK("http://catalog.hathitrust.org/Record/001415552","HathiTrust Record")</f>
        <v/>
      </c>
      <c r="AS2919">
        <f>HYPERLINK("https://creighton-primo.hosted.exlibrisgroup.com/primo-explore/search?tab=default_tab&amp;search_scope=EVERYTHING&amp;vid=01CRU&amp;lang=en_US&amp;offset=0&amp;query=any,contains,991004339979702656","Catalog Record")</f>
        <v/>
      </c>
      <c r="AT2919">
        <f>HYPERLINK("http://www.worldcat.org/oclc/3088600","WorldCat Record")</f>
        <v/>
      </c>
      <c r="AU2919" t="inlineStr">
        <is>
          <t>8059317:eng</t>
        </is>
      </c>
      <c r="AV2919" t="inlineStr">
        <is>
          <t>3088600</t>
        </is>
      </c>
      <c r="AW2919" t="inlineStr">
        <is>
          <t>991004339979702656</t>
        </is>
      </c>
      <c r="AX2919" t="inlineStr">
        <is>
          <t>991004339979702656</t>
        </is>
      </c>
      <c r="AY2919" t="inlineStr">
        <is>
          <t>2266012140002656</t>
        </is>
      </c>
      <c r="AZ2919" t="inlineStr">
        <is>
          <t>BOOK</t>
        </is>
      </c>
      <c r="BC2919" t="inlineStr">
        <is>
          <t>32285000111459</t>
        </is>
      </c>
      <c r="BD2919" t="inlineStr">
        <is>
          <t>893506732</t>
        </is>
      </c>
    </row>
    <row r="2920">
      <c r="A2920" t="inlineStr">
        <is>
          <t>No</t>
        </is>
      </c>
      <c r="B2920" t="inlineStr">
        <is>
          <t>BX830 1869 .B822 1962</t>
        </is>
      </c>
      <c r="C2920" t="inlineStr">
        <is>
          <t>0                      BX 0830000               1869   B  822         1962</t>
        </is>
      </c>
      <c r="D2920" t="inlineStr">
        <is>
          <t>The Vatican Council, 1869-1870 : based on Bishop Ullathorne's letters / edited by Christopher Butler.</t>
        </is>
      </c>
      <c r="F2920" t="inlineStr">
        <is>
          <t>No</t>
        </is>
      </c>
      <c r="G2920" t="inlineStr">
        <is>
          <t>1</t>
        </is>
      </c>
      <c r="H2920" t="inlineStr">
        <is>
          <t>No</t>
        </is>
      </c>
      <c r="I2920" t="inlineStr">
        <is>
          <t>No</t>
        </is>
      </c>
      <c r="J2920" t="inlineStr">
        <is>
          <t>0</t>
        </is>
      </c>
      <c r="K2920" t="inlineStr">
        <is>
          <t>Butler, Cuthbert, 1858-1934.</t>
        </is>
      </c>
      <c r="L2920" t="inlineStr">
        <is>
          <t>Westminster, Md. : Newman Press, 1962.</t>
        </is>
      </c>
      <c r="M2920" t="inlineStr">
        <is>
          <t>1962</t>
        </is>
      </c>
      <c r="O2920" t="inlineStr">
        <is>
          <t>eng</t>
        </is>
      </c>
      <c r="P2920" t="inlineStr">
        <is>
          <t xml:space="preserve">xx </t>
        </is>
      </c>
      <c r="R2920" t="inlineStr">
        <is>
          <t xml:space="preserve">BX </t>
        </is>
      </c>
      <c r="S2920" t="n">
        <v>9</v>
      </c>
      <c r="T2920" t="n">
        <v>9</v>
      </c>
      <c r="U2920" t="inlineStr">
        <is>
          <t>2008-03-18</t>
        </is>
      </c>
      <c r="V2920" t="inlineStr">
        <is>
          <t>2008-03-18</t>
        </is>
      </c>
      <c r="W2920" t="inlineStr">
        <is>
          <t>1990-03-27</t>
        </is>
      </c>
      <c r="X2920" t="inlineStr">
        <is>
          <t>1990-03-27</t>
        </is>
      </c>
      <c r="Y2920" t="n">
        <v>315</v>
      </c>
      <c r="Z2920" t="n">
        <v>288</v>
      </c>
      <c r="AA2920" t="n">
        <v>365</v>
      </c>
      <c r="AB2920" t="n">
        <v>5</v>
      </c>
      <c r="AC2920" t="n">
        <v>5</v>
      </c>
      <c r="AD2920" t="n">
        <v>31</v>
      </c>
      <c r="AE2920" t="n">
        <v>32</v>
      </c>
      <c r="AF2920" t="n">
        <v>11</v>
      </c>
      <c r="AG2920" t="n">
        <v>11</v>
      </c>
      <c r="AH2920" t="n">
        <v>4</v>
      </c>
      <c r="AI2920" t="n">
        <v>5</v>
      </c>
      <c r="AJ2920" t="n">
        <v>23</v>
      </c>
      <c r="AK2920" t="n">
        <v>23</v>
      </c>
      <c r="AL2920" t="n">
        <v>2</v>
      </c>
      <c r="AM2920" t="n">
        <v>2</v>
      </c>
      <c r="AN2920" t="n">
        <v>0</v>
      </c>
      <c r="AO2920" t="n">
        <v>0</v>
      </c>
      <c r="AP2920" t="inlineStr">
        <is>
          <t>No</t>
        </is>
      </c>
      <c r="AQ2920" t="inlineStr">
        <is>
          <t>No</t>
        </is>
      </c>
      <c r="AR2920">
        <f>HYPERLINK("http://catalog.hathitrust.org/Record/006022602","HathiTrust Record")</f>
        <v/>
      </c>
      <c r="AS2920">
        <f>HYPERLINK("https://creighton-primo.hosted.exlibrisgroup.com/primo-explore/search?tab=default_tab&amp;search_scope=EVERYTHING&amp;vid=01CRU&amp;lang=en_US&amp;offset=0&amp;query=any,contains,991002282419702656","Catalog Record")</f>
        <v/>
      </c>
      <c r="AT2920">
        <f>HYPERLINK("http://www.worldcat.org/oclc/310903","WorldCat Record")</f>
        <v/>
      </c>
      <c r="AU2920" t="inlineStr">
        <is>
          <t>4918129628:eng</t>
        </is>
      </c>
      <c r="AV2920" t="inlineStr">
        <is>
          <t>310903</t>
        </is>
      </c>
      <c r="AW2920" t="inlineStr">
        <is>
          <t>991002282419702656</t>
        </is>
      </c>
      <c r="AX2920" t="inlineStr">
        <is>
          <t>991002282419702656</t>
        </is>
      </c>
      <c r="AY2920" t="inlineStr">
        <is>
          <t>2259810690002656</t>
        </is>
      </c>
      <c r="AZ2920" t="inlineStr">
        <is>
          <t>BOOK</t>
        </is>
      </c>
      <c r="BC2920" t="inlineStr">
        <is>
          <t>32285000098391</t>
        </is>
      </c>
      <c r="BD2920" t="inlineStr">
        <is>
          <t>893523416</t>
        </is>
      </c>
    </row>
    <row r="2921">
      <c r="A2921" t="inlineStr">
        <is>
          <t>No</t>
        </is>
      </c>
      <c r="B2921" t="inlineStr">
        <is>
          <t>BX830 1869 .M64</t>
        </is>
      </c>
      <c r="C2921" t="inlineStr">
        <is>
          <t>0                      BX 0830000               1869   M  64</t>
        </is>
      </c>
      <c r="D2921" t="inlineStr">
        <is>
          <t>Letters from Rome on the occasion of the Œcumenical Council, 1869-1870,in two volumes / by Thomas Mozley. London, Longmans, Green, 1891.</t>
        </is>
      </c>
      <c r="E2921" t="inlineStr">
        <is>
          <t>V. 1</t>
        </is>
      </c>
      <c r="F2921" t="inlineStr">
        <is>
          <t>Yes</t>
        </is>
      </c>
      <c r="G2921" t="inlineStr">
        <is>
          <t>1</t>
        </is>
      </c>
      <c r="H2921" t="inlineStr">
        <is>
          <t>No</t>
        </is>
      </c>
      <c r="I2921" t="inlineStr">
        <is>
          <t>No</t>
        </is>
      </c>
      <c r="J2921" t="inlineStr">
        <is>
          <t>0</t>
        </is>
      </c>
      <c r="K2921" t="inlineStr">
        <is>
          <t>Mozley, T. (Thomas), 1806-1893.</t>
        </is>
      </c>
      <c r="L2921" t="inlineStr">
        <is>
          <t>London, Gregg, 1969-</t>
        </is>
      </c>
      <c r="M2921" t="inlineStr">
        <is>
          <t>1969</t>
        </is>
      </c>
      <c r="O2921" t="inlineStr">
        <is>
          <t>eng</t>
        </is>
      </c>
      <c r="P2921" t="inlineStr">
        <is>
          <t>enk</t>
        </is>
      </c>
      <c r="R2921" t="inlineStr">
        <is>
          <t xml:space="preserve">BX </t>
        </is>
      </c>
      <c r="S2921" t="n">
        <v>2</v>
      </c>
      <c r="T2921" t="n">
        <v>4</v>
      </c>
      <c r="U2921" t="inlineStr">
        <is>
          <t>2008-03-18</t>
        </is>
      </c>
      <c r="V2921" t="inlineStr">
        <is>
          <t>2008-03-18</t>
        </is>
      </c>
      <c r="W2921" t="inlineStr">
        <is>
          <t>1990-03-27</t>
        </is>
      </c>
      <c r="X2921" t="inlineStr">
        <is>
          <t>1992-04-20</t>
        </is>
      </c>
      <c r="Y2921" t="n">
        <v>115</v>
      </c>
      <c r="Z2921" t="n">
        <v>93</v>
      </c>
      <c r="AA2921" t="n">
        <v>100</v>
      </c>
      <c r="AB2921" t="n">
        <v>3</v>
      </c>
      <c r="AC2921" t="n">
        <v>3</v>
      </c>
      <c r="AD2921" t="n">
        <v>11</v>
      </c>
      <c r="AE2921" t="n">
        <v>11</v>
      </c>
      <c r="AF2921" t="n">
        <v>2</v>
      </c>
      <c r="AG2921" t="n">
        <v>2</v>
      </c>
      <c r="AH2921" t="n">
        <v>3</v>
      </c>
      <c r="AI2921" t="n">
        <v>3</v>
      </c>
      <c r="AJ2921" t="n">
        <v>9</v>
      </c>
      <c r="AK2921" t="n">
        <v>9</v>
      </c>
      <c r="AL2921" t="n">
        <v>1</v>
      </c>
      <c r="AM2921" t="n">
        <v>1</v>
      </c>
      <c r="AN2921" t="n">
        <v>0</v>
      </c>
      <c r="AO2921" t="n">
        <v>0</v>
      </c>
      <c r="AP2921" t="inlineStr">
        <is>
          <t>Yes</t>
        </is>
      </c>
      <c r="AQ2921" t="inlineStr">
        <is>
          <t>Yes</t>
        </is>
      </c>
      <c r="AR2921">
        <f>HYPERLINK("http://catalog.hathitrust.org/Record/001415568","HathiTrust Record")</f>
        <v/>
      </c>
      <c r="AS2921">
        <f>HYPERLINK("https://creighton-primo.hosted.exlibrisgroup.com/primo-explore/search?tab=default_tab&amp;search_scope=EVERYTHING&amp;vid=01CRU&amp;lang=en_US&amp;offset=0&amp;query=any,contains,991000244789702656","Catalog Record")</f>
        <v/>
      </c>
      <c r="AT2921">
        <f>HYPERLINK("http://www.worldcat.org/oclc/68017","WorldCat Record")</f>
        <v/>
      </c>
      <c r="AU2921" t="inlineStr">
        <is>
          <t>2866226381:eng</t>
        </is>
      </c>
      <c r="AV2921" t="inlineStr">
        <is>
          <t>68017</t>
        </is>
      </c>
      <c r="AW2921" t="inlineStr">
        <is>
          <t>991000244789702656</t>
        </is>
      </c>
      <c r="AX2921" t="inlineStr">
        <is>
          <t>991000244789702656</t>
        </is>
      </c>
      <c r="AY2921" t="inlineStr">
        <is>
          <t>2257693580002656</t>
        </is>
      </c>
      <c r="AZ2921" t="inlineStr">
        <is>
          <t>BOOK</t>
        </is>
      </c>
      <c r="BB2921" t="inlineStr">
        <is>
          <t>9780576029735</t>
        </is>
      </c>
      <c r="BC2921" t="inlineStr">
        <is>
          <t>32285000098425</t>
        </is>
      </c>
      <c r="BD2921" t="inlineStr">
        <is>
          <t>893896738</t>
        </is>
      </c>
    </row>
    <row r="2922">
      <c r="A2922" t="inlineStr">
        <is>
          <t>No</t>
        </is>
      </c>
      <c r="B2922" t="inlineStr">
        <is>
          <t>BX830 1869 .M64 V.2</t>
        </is>
      </c>
      <c r="C2922" t="inlineStr">
        <is>
          <t>0                      BX 0830000               1869   M  64                                V.2</t>
        </is>
      </c>
      <c r="D2922" t="inlineStr">
        <is>
          <t>Letters from Rome on the occasion of the Œcumenical Council, 1869-1870,in two volumes / by Thomas Mozley. London, Longmans, Green, 1891.</t>
        </is>
      </c>
      <c r="E2922" t="inlineStr">
        <is>
          <t>V. 2</t>
        </is>
      </c>
      <c r="F2922" t="inlineStr">
        <is>
          <t>Yes</t>
        </is>
      </c>
      <c r="G2922" t="inlineStr">
        <is>
          <t>1</t>
        </is>
      </c>
      <c r="H2922" t="inlineStr">
        <is>
          <t>No</t>
        </is>
      </c>
      <c r="I2922" t="inlineStr">
        <is>
          <t>No</t>
        </is>
      </c>
      <c r="J2922" t="inlineStr">
        <is>
          <t>0</t>
        </is>
      </c>
      <c r="K2922" t="inlineStr">
        <is>
          <t>Mozley, T. (Thomas), 1806-1893.</t>
        </is>
      </c>
      <c r="L2922" t="inlineStr">
        <is>
          <t>London, Gregg, 1969-</t>
        </is>
      </c>
      <c r="M2922" t="inlineStr">
        <is>
          <t>1969</t>
        </is>
      </c>
      <c r="O2922" t="inlineStr">
        <is>
          <t>eng</t>
        </is>
      </c>
      <c r="P2922" t="inlineStr">
        <is>
          <t>enk</t>
        </is>
      </c>
      <c r="R2922" t="inlineStr">
        <is>
          <t xml:space="preserve">BX </t>
        </is>
      </c>
      <c r="S2922" t="n">
        <v>2</v>
      </c>
      <c r="T2922" t="n">
        <v>4</v>
      </c>
      <c r="U2922" t="inlineStr">
        <is>
          <t>2008-03-18</t>
        </is>
      </c>
      <c r="V2922" t="inlineStr">
        <is>
          <t>2008-03-18</t>
        </is>
      </c>
      <c r="W2922" t="inlineStr">
        <is>
          <t>1992-04-20</t>
        </is>
      </c>
      <c r="X2922" t="inlineStr">
        <is>
          <t>1992-04-20</t>
        </is>
      </c>
      <c r="Y2922" t="n">
        <v>115</v>
      </c>
      <c r="Z2922" t="n">
        <v>93</v>
      </c>
      <c r="AA2922" t="n">
        <v>100</v>
      </c>
      <c r="AB2922" t="n">
        <v>3</v>
      </c>
      <c r="AC2922" t="n">
        <v>3</v>
      </c>
      <c r="AD2922" t="n">
        <v>11</v>
      </c>
      <c r="AE2922" t="n">
        <v>11</v>
      </c>
      <c r="AF2922" t="n">
        <v>2</v>
      </c>
      <c r="AG2922" t="n">
        <v>2</v>
      </c>
      <c r="AH2922" t="n">
        <v>3</v>
      </c>
      <c r="AI2922" t="n">
        <v>3</v>
      </c>
      <c r="AJ2922" t="n">
        <v>9</v>
      </c>
      <c r="AK2922" t="n">
        <v>9</v>
      </c>
      <c r="AL2922" t="n">
        <v>1</v>
      </c>
      <c r="AM2922" t="n">
        <v>1</v>
      </c>
      <c r="AN2922" t="n">
        <v>0</v>
      </c>
      <c r="AO2922" t="n">
        <v>0</v>
      </c>
      <c r="AP2922" t="inlineStr">
        <is>
          <t>Yes</t>
        </is>
      </c>
      <c r="AQ2922" t="inlineStr">
        <is>
          <t>Yes</t>
        </is>
      </c>
      <c r="AR2922">
        <f>HYPERLINK("http://catalog.hathitrust.org/Record/001415568","HathiTrust Record")</f>
        <v/>
      </c>
      <c r="AS2922">
        <f>HYPERLINK("https://creighton-primo.hosted.exlibrisgroup.com/primo-explore/search?tab=default_tab&amp;search_scope=EVERYTHING&amp;vid=01CRU&amp;lang=en_US&amp;offset=0&amp;query=any,contains,991000244789702656","Catalog Record")</f>
        <v/>
      </c>
      <c r="AT2922">
        <f>HYPERLINK("http://www.worldcat.org/oclc/68017","WorldCat Record")</f>
        <v/>
      </c>
      <c r="AU2922" t="inlineStr">
        <is>
          <t>2866226381:eng</t>
        </is>
      </c>
      <c r="AV2922" t="inlineStr">
        <is>
          <t>68017</t>
        </is>
      </c>
      <c r="AW2922" t="inlineStr">
        <is>
          <t>991000244789702656</t>
        </is>
      </c>
      <c r="AX2922" t="inlineStr">
        <is>
          <t>991000244789702656</t>
        </is>
      </c>
      <c r="AY2922" t="inlineStr">
        <is>
          <t>2257693580002656</t>
        </is>
      </c>
      <c r="AZ2922" t="inlineStr">
        <is>
          <t>BOOK</t>
        </is>
      </c>
      <c r="BB2922" t="inlineStr">
        <is>
          <t>9780576029735</t>
        </is>
      </c>
      <c r="BC2922" t="inlineStr">
        <is>
          <t>32285001019388</t>
        </is>
      </c>
      <c r="BD2922" t="inlineStr">
        <is>
          <t>893902948</t>
        </is>
      </c>
    </row>
    <row r="2923">
      <c r="A2923" t="inlineStr">
        <is>
          <t>No</t>
        </is>
      </c>
      <c r="B2923" t="inlineStr">
        <is>
          <t>BX830 1962 .A2 1970</t>
        </is>
      </c>
      <c r="C2923" t="inlineStr">
        <is>
          <t>0                      BX 0830000               1962   A  2           1970</t>
        </is>
      </c>
      <c r="D2923" t="inlineStr">
        <is>
          <t>Acta synodalia Sacrosancti Concilii Oecumenici Vaticani II.</t>
        </is>
      </c>
      <c r="E2923" t="inlineStr">
        <is>
          <t>V.2 PT.2</t>
        </is>
      </c>
      <c r="F2923" t="inlineStr">
        <is>
          <t>Yes</t>
        </is>
      </c>
      <c r="G2923" t="inlineStr">
        <is>
          <t>1</t>
        </is>
      </c>
      <c r="H2923" t="inlineStr">
        <is>
          <t>No</t>
        </is>
      </c>
      <c r="I2923" t="inlineStr">
        <is>
          <t>Yes</t>
        </is>
      </c>
      <c r="J2923" t="inlineStr">
        <is>
          <t>0</t>
        </is>
      </c>
      <c r="K2923" t="inlineStr">
        <is>
          <t>Vatican Council (2nd : 1962-1965 : Basilica di San Pietro in Vaticano)</t>
        </is>
      </c>
      <c r="L2923" t="inlineStr">
        <is>
          <t>[Vatican City] : Typis polyglottis Vaticanis, 1970-&lt;1978 &gt;</t>
        </is>
      </c>
      <c r="M2923" t="inlineStr">
        <is>
          <t>1970</t>
        </is>
      </c>
      <c r="O2923" t="inlineStr">
        <is>
          <t>lat</t>
        </is>
      </c>
      <c r="P2923" t="inlineStr">
        <is>
          <t xml:space="preserve">it </t>
        </is>
      </c>
      <c r="R2923" t="inlineStr">
        <is>
          <t xml:space="preserve">BX </t>
        </is>
      </c>
      <c r="S2923" t="n">
        <v>0</v>
      </c>
      <c r="T2923" t="n">
        <v>16</v>
      </c>
      <c r="V2923" t="inlineStr">
        <is>
          <t>2004-05-21</t>
        </is>
      </c>
      <c r="W2923" t="inlineStr">
        <is>
          <t>1992-04-20</t>
        </is>
      </c>
      <c r="X2923" t="inlineStr">
        <is>
          <t>1992-04-20</t>
        </is>
      </c>
      <c r="Y2923" t="n">
        <v>91</v>
      </c>
      <c r="Z2923" t="n">
        <v>78</v>
      </c>
      <c r="AA2923" t="n">
        <v>80</v>
      </c>
      <c r="AB2923" t="n">
        <v>2</v>
      </c>
      <c r="AC2923" t="n">
        <v>2</v>
      </c>
      <c r="AD2923" t="n">
        <v>15</v>
      </c>
      <c r="AE2923" t="n">
        <v>15</v>
      </c>
      <c r="AF2923" t="n">
        <v>3</v>
      </c>
      <c r="AG2923" t="n">
        <v>3</v>
      </c>
      <c r="AH2923" t="n">
        <v>5</v>
      </c>
      <c r="AI2923" t="n">
        <v>5</v>
      </c>
      <c r="AJ2923" t="n">
        <v>12</v>
      </c>
      <c r="AK2923" t="n">
        <v>12</v>
      </c>
      <c r="AL2923" t="n">
        <v>0</v>
      </c>
      <c r="AM2923" t="n">
        <v>0</v>
      </c>
      <c r="AN2923" t="n">
        <v>0</v>
      </c>
      <c r="AO2923" t="n">
        <v>0</v>
      </c>
      <c r="AP2923" t="inlineStr">
        <is>
          <t>No</t>
        </is>
      </c>
      <c r="AQ2923" t="inlineStr">
        <is>
          <t>No</t>
        </is>
      </c>
      <c r="AS2923">
        <f>HYPERLINK("https://creighton-primo.hosted.exlibrisgroup.com/primo-explore/search?tab=default_tab&amp;search_scope=EVERYTHING&amp;vid=01CRU&amp;lang=en_US&amp;offset=0&amp;query=any,contains,991004536969702656","Catalog Record")</f>
        <v/>
      </c>
      <c r="AT2923">
        <f>HYPERLINK("http://www.worldcat.org/oclc/3872156","WorldCat Record")</f>
        <v/>
      </c>
      <c r="AU2923" t="inlineStr">
        <is>
          <t>4917370651:lat</t>
        </is>
      </c>
      <c r="AV2923" t="inlineStr">
        <is>
          <t>3872156</t>
        </is>
      </c>
      <c r="AW2923" t="inlineStr">
        <is>
          <t>991004536969702656</t>
        </is>
      </c>
      <c r="AX2923" t="inlineStr">
        <is>
          <t>991004536969702656</t>
        </is>
      </c>
      <c r="AY2923" t="inlineStr">
        <is>
          <t>2267074800002656</t>
        </is>
      </c>
      <c r="AZ2923" t="inlineStr">
        <is>
          <t>BOOK</t>
        </is>
      </c>
      <c r="BC2923" t="inlineStr">
        <is>
          <t>32285001052561</t>
        </is>
      </c>
      <c r="BD2923" t="inlineStr">
        <is>
          <t>893436396</t>
        </is>
      </c>
    </row>
    <row r="2924">
      <c r="A2924" t="inlineStr">
        <is>
          <t>No</t>
        </is>
      </c>
      <c r="B2924" t="inlineStr">
        <is>
          <t>BX830 1962 .A2 1970</t>
        </is>
      </c>
      <c r="C2924" t="inlineStr">
        <is>
          <t>0                      BX 0830000               1962   A  2           1970</t>
        </is>
      </c>
      <c r="D2924" t="inlineStr">
        <is>
          <t>Acta synodalia Sacrosancti Concilii Oecumenici Vaticani II.</t>
        </is>
      </c>
      <c r="E2924" t="inlineStr">
        <is>
          <t>V.1 PT.2</t>
        </is>
      </c>
      <c r="F2924" t="inlineStr">
        <is>
          <t>Yes</t>
        </is>
      </c>
      <c r="G2924" t="inlineStr">
        <is>
          <t>1</t>
        </is>
      </c>
      <c r="H2924" t="inlineStr">
        <is>
          <t>No</t>
        </is>
      </c>
      <c r="I2924" t="inlineStr">
        <is>
          <t>Yes</t>
        </is>
      </c>
      <c r="J2924" t="inlineStr">
        <is>
          <t>0</t>
        </is>
      </c>
      <c r="K2924" t="inlineStr">
        <is>
          <t>Vatican Council (2nd : 1962-1965 : Basilica di San Pietro in Vaticano)</t>
        </is>
      </c>
      <c r="L2924" t="inlineStr">
        <is>
          <t>[Vatican City] : Typis polyglottis Vaticanis, 1970-&lt;1978 &gt;</t>
        </is>
      </c>
      <c r="M2924" t="inlineStr">
        <is>
          <t>1970</t>
        </is>
      </c>
      <c r="O2924" t="inlineStr">
        <is>
          <t>lat</t>
        </is>
      </c>
      <c r="P2924" t="inlineStr">
        <is>
          <t xml:space="preserve">it </t>
        </is>
      </c>
      <c r="R2924" t="inlineStr">
        <is>
          <t xml:space="preserve">BX </t>
        </is>
      </c>
      <c r="S2924" t="n">
        <v>0</v>
      </c>
      <c r="T2924" t="n">
        <v>16</v>
      </c>
      <c r="V2924" t="inlineStr">
        <is>
          <t>2004-05-21</t>
        </is>
      </c>
      <c r="W2924" t="inlineStr">
        <is>
          <t>1992-04-20</t>
        </is>
      </c>
      <c r="X2924" t="inlineStr">
        <is>
          <t>1992-04-20</t>
        </is>
      </c>
      <c r="Y2924" t="n">
        <v>91</v>
      </c>
      <c r="Z2924" t="n">
        <v>78</v>
      </c>
      <c r="AA2924" t="n">
        <v>80</v>
      </c>
      <c r="AB2924" t="n">
        <v>2</v>
      </c>
      <c r="AC2924" t="n">
        <v>2</v>
      </c>
      <c r="AD2924" t="n">
        <v>15</v>
      </c>
      <c r="AE2924" t="n">
        <v>15</v>
      </c>
      <c r="AF2924" t="n">
        <v>3</v>
      </c>
      <c r="AG2924" t="n">
        <v>3</v>
      </c>
      <c r="AH2924" t="n">
        <v>5</v>
      </c>
      <c r="AI2924" t="n">
        <v>5</v>
      </c>
      <c r="AJ2924" t="n">
        <v>12</v>
      </c>
      <c r="AK2924" t="n">
        <v>12</v>
      </c>
      <c r="AL2924" t="n">
        <v>0</v>
      </c>
      <c r="AM2924" t="n">
        <v>0</v>
      </c>
      <c r="AN2924" t="n">
        <v>0</v>
      </c>
      <c r="AO2924" t="n">
        <v>0</v>
      </c>
      <c r="AP2924" t="inlineStr">
        <is>
          <t>No</t>
        </is>
      </c>
      <c r="AQ2924" t="inlineStr">
        <is>
          <t>No</t>
        </is>
      </c>
      <c r="AS2924">
        <f>HYPERLINK("https://creighton-primo.hosted.exlibrisgroup.com/primo-explore/search?tab=default_tab&amp;search_scope=EVERYTHING&amp;vid=01CRU&amp;lang=en_US&amp;offset=0&amp;query=any,contains,991004536969702656","Catalog Record")</f>
        <v/>
      </c>
      <c r="AT2924">
        <f>HYPERLINK("http://www.worldcat.org/oclc/3872156","WorldCat Record")</f>
        <v/>
      </c>
      <c r="AU2924" t="inlineStr">
        <is>
          <t>4917370651:lat</t>
        </is>
      </c>
      <c r="AV2924" t="inlineStr">
        <is>
          <t>3872156</t>
        </is>
      </c>
      <c r="AW2924" t="inlineStr">
        <is>
          <t>991004536969702656</t>
        </is>
      </c>
      <c r="AX2924" t="inlineStr">
        <is>
          <t>991004536969702656</t>
        </is>
      </c>
      <c r="AY2924" t="inlineStr">
        <is>
          <t>2267074800002656</t>
        </is>
      </c>
      <c r="AZ2924" t="inlineStr">
        <is>
          <t>BOOK</t>
        </is>
      </c>
      <c r="BC2924" t="inlineStr">
        <is>
          <t>32285001052520</t>
        </is>
      </c>
      <c r="BD2924" t="inlineStr">
        <is>
          <t>893436397</t>
        </is>
      </c>
    </row>
    <row r="2925">
      <c r="A2925" t="inlineStr">
        <is>
          <t>No</t>
        </is>
      </c>
      <c r="B2925" t="inlineStr">
        <is>
          <t>BX830 1962 .A2 1970</t>
        </is>
      </c>
      <c r="C2925" t="inlineStr">
        <is>
          <t>0                      BX 0830000               1962   A  2           1970</t>
        </is>
      </c>
      <c r="D2925" t="inlineStr">
        <is>
          <t>Acta synodalia Sacrosancti Concilii Oecumenici Vaticani II.</t>
        </is>
      </c>
      <c r="E2925" t="inlineStr">
        <is>
          <t>V.3 PT.4</t>
        </is>
      </c>
      <c r="F2925" t="inlineStr">
        <is>
          <t>Yes</t>
        </is>
      </c>
      <c r="G2925" t="inlineStr">
        <is>
          <t>1</t>
        </is>
      </c>
      <c r="H2925" t="inlineStr">
        <is>
          <t>No</t>
        </is>
      </c>
      <c r="I2925" t="inlineStr">
        <is>
          <t>Yes</t>
        </is>
      </c>
      <c r="J2925" t="inlineStr">
        <is>
          <t>0</t>
        </is>
      </c>
      <c r="K2925" t="inlineStr">
        <is>
          <t>Vatican Council (2nd : 1962-1965 : Basilica di San Pietro in Vaticano)</t>
        </is>
      </c>
      <c r="L2925" t="inlineStr">
        <is>
          <t>[Vatican City] : Typis polyglottis Vaticanis, 1970-&lt;1978 &gt;</t>
        </is>
      </c>
      <c r="M2925" t="inlineStr">
        <is>
          <t>1970</t>
        </is>
      </c>
      <c r="O2925" t="inlineStr">
        <is>
          <t>lat</t>
        </is>
      </c>
      <c r="P2925" t="inlineStr">
        <is>
          <t xml:space="preserve">it </t>
        </is>
      </c>
      <c r="R2925" t="inlineStr">
        <is>
          <t xml:space="preserve">BX </t>
        </is>
      </c>
      <c r="S2925" t="n">
        <v>0</v>
      </c>
      <c r="T2925" t="n">
        <v>16</v>
      </c>
      <c r="V2925" t="inlineStr">
        <is>
          <t>2004-05-21</t>
        </is>
      </c>
      <c r="W2925" t="inlineStr">
        <is>
          <t>1992-04-20</t>
        </is>
      </c>
      <c r="X2925" t="inlineStr">
        <is>
          <t>1992-04-20</t>
        </is>
      </c>
      <c r="Y2925" t="n">
        <v>91</v>
      </c>
      <c r="Z2925" t="n">
        <v>78</v>
      </c>
      <c r="AA2925" t="n">
        <v>80</v>
      </c>
      <c r="AB2925" t="n">
        <v>2</v>
      </c>
      <c r="AC2925" t="n">
        <v>2</v>
      </c>
      <c r="AD2925" t="n">
        <v>15</v>
      </c>
      <c r="AE2925" t="n">
        <v>15</v>
      </c>
      <c r="AF2925" t="n">
        <v>3</v>
      </c>
      <c r="AG2925" t="n">
        <v>3</v>
      </c>
      <c r="AH2925" t="n">
        <v>5</v>
      </c>
      <c r="AI2925" t="n">
        <v>5</v>
      </c>
      <c r="AJ2925" t="n">
        <v>12</v>
      </c>
      <c r="AK2925" t="n">
        <v>12</v>
      </c>
      <c r="AL2925" t="n">
        <v>0</v>
      </c>
      <c r="AM2925" t="n">
        <v>0</v>
      </c>
      <c r="AN2925" t="n">
        <v>0</v>
      </c>
      <c r="AO2925" t="n">
        <v>0</v>
      </c>
      <c r="AP2925" t="inlineStr">
        <is>
          <t>No</t>
        </is>
      </c>
      <c r="AQ2925" t="inlineStr">
        <is>
          <t>No</t>
        </is>
      </c>
      <c r="AS2925">
        <f>HYPERLINK("https://creighton-primo.hosted.exlibrisgroup.com/primo-explore/search?tab=default_tab&amp;search_scope=EVERYTHING&amp;vid=01CRU&amp;lang=en_US&amp;offset=0&amp;query=any,contains,991004536969702656","Catalog Record")</f>
        <v/>
      </c>
      <c r="AT2925">
        <f>HYPERLINK("http://www.worldcat.org/oclc/3872156","WorldCat Record")</f>
        <v/>
      </c>
      <c r="AU2925" t="inlineStr">
        <is>
          <t>4917370651:lat</t>
        </is>
      </c>
      <c r="AV2925" t="inlineStr">
        <is>
          <t>3872156</t>
        </is>
      </c>
      <c r="AW2925" t="inlineStr">
        <is>
          <t>991004536969702656</t>
        </is>
      </c>
      <c r="AX2925" t="inlineStr">
        <is>
          <t>991004536969702656</t>
        </is>
      </c>
      <c r="AY2925" t="inlineStr">
        <is>
          <t>2267074800002656</t>
        </is>
      </c>
      <c r="AZ2925" t="inlineStr">
        <is>
          <t>BOOK</t>
        </is>
      </c>
      <c r="BC2925" t="inlineStr">
        <is>
          <t>32285001052645</t>
        </is>
      </c>
      <c r="BD2925" t="inlineStr">
        <is>
          <t>893436402</t>
        </is>
      </c>
    </row>
    <row r="2926">
      <c r="A2926" t="inlineStr">
        <is>
          <t>No</t>
        </is>
      </c>
      <c r="B2926" t="inlineStr">
        <is>
          <t>BX830 1962 .A2 1970</t>
        </is>
      </c>
      <c r="C2926" t="inlineStr">
        <is>
          <t>0                      BX 0830000               1962   A  2           1970</t>
        </is>
      </c>
      <c r="D2926" t="inlineStr">
        <is>
          <t>Acta synodalia Sacrosancti Concilii Oecumenici Vaticani II.</t>
        </is>
      </c>
      <c r="E2926" t="inlineStr">
        <is>
          <t>V.1 PT.4</t>
        </is>
      </c>
      <c r="F2926" t="inlineStr">
        <is>
          <t>Yes</t>
        </is>
      </c>
      <c r="G2926" t="inlineStr">
        <is>
          <t>1</t>
        </is>
      </c>
      <c r="H2926" t="inlineStr">
        <is>
          <t>No</t>
        </is>
      </c>
      <c r="I2926" t="inlineStr">
        <is>
          <t>Yes</t>
        </is>
      </c>
      <c r="J2926" t="inlineStr">
        <is>
          <t>0</t>
        </is>
      </c>
      <c r="K2926" t="inlineStr">
        <is>
          <t>Vatican Council (2nd : 1962-1965 : Basilica di San Pietro in Vaticano)</t>
        </is>
      </c>
      <c r="L2926" t="inlineStr">
        <is>
          <t>[Vatican City] : Typis polyglottis Vaticanis, 1970-&lt;1978 &gt;</t>
        </is>
      </c>
      <c r="M2926" t="inlineStr">
        <is>
          <t>1970</t>
        </is>
      </c>
      <c r="O2926" t="inlineStr">
        <is>
          <t>lat</t>
        </is>
      </c>
      <c r="P2926" t="inlineStr">
        <is>
          <t xml:space="preserve">it </t>
        </is>
      </c>
      <c r="R2926" t="inlineStr">
        <is>
          <t xml:space="preserve">BX </t>
        </is>
      </c>
      <c r="S2926" t="n">
        <v>0</v>
      </c>
      <c r="T2926" t="n">
        <v>16</v>
      </c>
      <c r="V2926" t="inlineStr">
        <is>
          <t>2004-05-21</t>
        </is>
      </c>
      <c r="W2926" t="inlineStr">
        <is>
          <t>1992-04-20</t>
        </is>
      </c>
      <c r="X2926" t="inlineStr">
        <is>
          <t>1992-04-20</t>
        </is>
      </c>
      <c r="Y2926" t="n">
        <v>91</v>
      </c>
      <c r="Z2926" t="n">
        <v>78</v>
      </c>
      <c r="AA2926" t="n">
        <v>80</v>
      </c>
      <c r="AB2926" t="n">
        <v>2</v>
      </c>
      <c r="AC2926" t="n">
        <v>2</v>
      </c>
      <c r="AD2926" t="n">
        <v>15</v>
      </c>
      <c r="AE2926" t="n">
        <v>15</v>
      </c>
      <c r="AF2926" t="n">
        <v>3</v>
      </c>
      <c r="AG2926" t="n">
        <v>3</v>
      </c>
      <c r="AH2926" t="n">
        <v>5</v>
      </c>
      <c r="AI2926" t="n">
        <v>5</v>
      </c>
      <c r="AJ2926" t="n">
        <v>12</v>
      </c>
      <c r="AK2926" t="n">
        <v>12</v>
      </c>
      <c r="AL2926" t="n">
        <v>0</v>
      </c>
      <c r="AM2926" t="n">
        <v>0</v>
      </c>
      <c r="AN2926" t="n">
        <v>0</v>
      </c>
      <c r="AO2926" t="n">
        <v>0</v>
      </c>
      <c r="AP2926" t="inlineStr">
        <is>
          <t>No</t>
        </is>
      </c>
      <c r="AQ2926" t="inlineStr">
        <is>
          <t>No</t>
        </is>
      </c>
      <c r="AS2926">
        <f>HYPERLINK("https://creighton-primo.hosted.exlibrisgroup.com/primo-explore/search?tab=default_tab&amp;search_scope=EVERYTHING&amp;vid=01CRU&amp;lang=en_US&amp;offset=0&amp;query=any,contains,991004536969702656","Catalog Record")</f>
        <v/>
      </c>
      <c r="AT2926">
        <f>HYPERLINK("http://www.worldcat.org/oclc/3872156","WorldCat Record")</f>
        <v/>
      </c>
      <c r="AU2926" t="inlineStr">
        <is>
          <t>4917370651:lat</t>
        </is>
      </c>
      <c r="AV2926" t="inlineStr">
        <is>
          <t>3872156</t>
        </is>
      </c>
      <c r="AW2926" t="inlineStr">
        <is>
          <t>991004536969702656</t>
        </is>
      </c>
      <c r="AX2926" t="inlineStr">
        <is>
          <t>991004536969702656</t>
        </is>
      </c>
      <c r="AY2926" t="inlineStr">
        <is>
          <t>2267074800002656</t>
        </is>
      </c>
      <c r="AZ2926" t="inlineStr">
        <is>
          <t>BOOK</t>
        </is>
      </c>
      <c r="BC2926" t="inlineStr">
        <is>
          <t>32285001052546</t>
        </is>
      </c>
      <c r="BD2926" t="inlineStr">
        <is>
          <t>893436401</t>
        </is>
      </c>
    </row>
    <row r="2927">
      <c r="A2927" t="inlineStr">
        <is>
          <t>No</t>
        </is>
      </c>
      <c r="B2927" t="inlineStr">
        <is>
          <t>BX830 1962 .A2 1970</t>
        </is>
      </c>
      <c r="C2927" t="inlineStr">
        <is>
          <t>0                      BX 0830000               1962   A  2           1970</t>
        </is>
      </c>
      <c r="D2927" t="inlineStr">
        <is>
          <t>Acta synodalia Sacrosancti Concilii Oecumenici Vaticani II.</t>
        </is>
      </c>
      <c r="E2927" t="inlineStr">
        <is>
          <t>V.4 PT.4</t>
        </is>
      </c>
      <c r="F2927" t="inlineStr">
        <is>
          <t>Yes</t>
        </is>
      </c>
      <c r="G2927" t="inlineStr">
        <is>
          <t>1</t>
        </is>
      </c>
      <c r="H2927" t="inlineStr">
        <is>
          <t>No</t>
        </is>
      </c>
      <c r="I2927" t="inlineStr">
        <is>
          <t>Yes</t>
        </is>
      </c>
      <c r="J2927" t="inlineStr">
        <is>
          <t>0</t>
        </is>
      </c>
      <c r="K2927" t="inlineStr">
        <is>
          <t>Vatican Council (2nd : 1962-1965 : Basilica di San Pietro in Vaticano)</t>
        </is>
      </c>
      <c r="L2927" t="inlineStr">
        <is>
          <t>[Vatican City] : Typis polyglottis Vaticanis, 1970-&lt;1978 &gt;</t>
        </is>
      </c>
      <c r="M2927" t="inlineStr">
        <is>
          <t>1970</t>
        </is>
      </c>
      <c r="O2927" t="inlineStr">
        <is>
          <t>lat</t>
        </is>
      </c>
      <c r="P2927" t="inlineStr">
        <is>
          <t xml:space="preserve">it </t>
        </is>
      </c>
      <c r="R2927" t="inlineStr">
        <is>
          <t xml:space="preserve">BX </t>
        </is>
      </c>
      <c r="S2927" t="n">
        <v>0</v>
      </c>
      <c r="T2927" t="n">
        <v>16</v>
      </c>
      <c r="V2927" t="inlineStr">
        <is>
          <t>2004-05-21</t>
        </is>
      </c>
      <c r="W2927" t="inlineStr">
        <is>
          <t>1992-04-20</t>
        </is>
      </c>
      <c r="X2927" t="inlineStr">
        <is>
          <t>1992-04-20</t>
        </is>
      </c>
      <c r="Y2927" t="n">
        <v>91</v>
      </c>
      <c r="Z2927" t="n">
        <v>78</v>
      </c>
      <c r="AA2927" t="n">
        <v>80</v>
      </c>
      <c r="AB2927" t="n">
        <v>2</v>
      </c>
      <c r="AC2927" t="n">
        <v>2</v>
      </c>
      <c r="AD2927" t="n">
        <v>15</v>
      </c>
      <c r="AE2927" t="n">
        <v>15</v>
      </c>
      <c r="AF2927" t="n">
        <v>3</v>
      </c>
      <c r="AG2927" t="n">
        <v>3</v>
      </c>
      <c r="AH2927" t="n">
        <v>5</v>
      </c>
      <c r="AI2927" t="n">
        <v>5</v>
      </c>
      <c r="AJ2927" t="n">
        <v>12</v>
      </c>
      <c r="AK2927" t="n">
        <v>12</v>
      </c>
      <c r="AL2927" t="n">
        <v>0</v>
      </c>
      <c r="AM2927" t="n">
        <v>0</v>
      </c>
      <c r="AN2927" t="n">
        <v>0</v>
      </c>
      <c r="AO2927" t="n">
        <v>0</v>
      </c>
      <c r="AP2927" t="inlineStr">
        <is>
          <t>No</t>
        </is>
      </c>
      <c r="AQ2927" t="inlineStr">
        <is>
          <t>No</t>
        </is>
      </c>
      <c r="AS2927">
        <f>HYPERLINK("https://creighton-primo.hosted.exlibrisgroup.com/primo-explore/search?tab=default_tab&amp;search_scope=EVERYTHING&amp;vid=01CRU&amp;lang=en_US&amp;offset=0&amp;query=any,contains,991004536969702656","Catalog Record")</f>
        <v/>
      </c>
      <c r="AT2927">
        <f>HYPERLINK("http://www.worldcat.org/oclc/3872156","WorldCat Record")</f>
        <v/>
      </c>
      <c r="AU2927" t="inlineStr">
        <is>
          <t>4917370651:lat</t>
        </is>
      </c>
      <c r="AV2927" t="inlineStr">
        <is>
          <t>3872156</t>
        </is>
      </c>
      <c r="AW2927" t="inlineStr">
        <is>
          <t>991004536969702656</t>
        </is>
      </c>
      <c r="AX2927" t="inlineStr">
        <is>
          <t>991004536969702656</t>
        </is>
      </c>
      <c r="AY2927" t="inlineStr">
        <is>
          <t>2267074800002656</t>
        </is>
      </c>
      <c r="AZ2927" t="inlineStr">
        <is>
          <t>BOOK</t>
        </is>
      </c>
      <c r="BC2927" t="inlineStr">
        <is>
          <t>32285001052710</t>
        </is>
      </c>
      <c r="BD2927" t="inlineStr">
        <is>
          <t>893436393</t>
        </is>
      </c>
    </row>
    <row r="2928">
      <c r="A2928" t="inlineStr">
        <is>
          <t>No</t>
        </is>
      </c>
      <c r="B2928" t="inlineStr">
        <is>
          <t>BX830 1962 .A2 1970</t>
        </is>
      </c>
      <c r="C2928" t="inlineStr">
        <is>
          <t>0                      BX 0830000               1962   A  2           1970</t>
        </is>
      </c>
      <c r="D2928" t="inlineStr">
        <is>
          <t>Acta synodalia Sacrosancti Concilii Oecumenici Vaticani II.</t>
        </is>
      </c>
      <c r="E2928" t="inlineStr">
        <is>
          <t>V.2 PT.3</t>
        </is>
      </c>
      <c r="F2928" t="inlineStr">
        <is>
          <t>Yes</t>
        </is>
      </c>
      <c r="G2928" t="inlineStr">
        <is>
          <t>1</t>
        </is>
      </c>
      <c r="H2928" t="inlineStr">
        <is>
          <t>No</t>
        </is>
      </c>
      <c r="I2928" t="inlineStr">
        <is>
          <t>Yes</t>
        </is>
      </c>
      <c r="J2928" t="inlineStr">
        <is>
          <t>0</t>
        </is>
      </c>
      <c r="K2928" t="inlineStr">
        <is>
          <t>Vatican Council (2nd : 1962-1965 : Basilica di San Pietro in Vaticano)</t>
        </is>
      </c>
      <c r="L2928" t="inlineStr">
        <is>
          <t>[Vatican City] : Typis polyglottis Vaticanis, 1970-&lt;1978 &gt;</t>
        </is>
      </c>
      <c r="M2928" t="inlineStr">
        <is>
          <t>1970</t>
        </is>
      </c>
      <c r="O2928" t="inlineStr">
        <is>
          <t>lat</t>
        </is>
      </c>
      <c r="P2928" t="inlineStr">
        <is>
          <t xml:space="preserve">it </t>
        </is>
      </c>
      <c r="R2928" t="inlineStr">
        <is>
          <t xml:space="preserve">BX </t>
        </is>
      </c>
      <c r="S2928" t="n">
        <v>1</v>
      </c>
      <c r="T2928" t="n">
        <v>16</v>
      </c>
      <c r="U2928" t="inlineStr">
        <is>
          <t>2002-07-19</t>
        </is>
      </c>
      <c r="V2928" t="inlineStr">
        <is>
          <t>2004-05-21</t>
        </is>
      </c>
      <c r="W2928" t="inlineStr">
        <is>
          <t>1992-04-20</t>
        </is>
      </c>
      <c r="X2928" t="inlineStr">
        <is>
          <t>1992-04-20</t>
        </is>
      </c>
      <c r="Y2928" t="n">
        <v>91</v>
      </c>
      <c r="Z2928" t="n">
        <v>78</v>
      </c>
      <c r="AA2928" t="n">
        <v>80</v>
      </c>
      <c r="AB2928" t="n">
        <v>2</v>
      </c>
      <c r="AC2928" t="n">
        <v>2</v>
      </c>
      <c r="AD2928" t="n">
        <v>15</v>
      </c>
      <c r="AE2928" t="n">
        <v>15</v>
      </c>
      <c r="AF2928" t="n">
        <v>3</v>
      </c>
      <c r="AG2928" t="n">
        <v>3</v>
      </c>
      <c r="AH2928" t="n">
        <v>5</v>
      </c>
      <c r="AI2928" t="n">
        <v>5</v>
      </c>
      <c r="AJ2928" t="n">
        <v>12</v>
      </c>
      <c r="AK2928" t="n">
        <v>12</v>
      </c>
      <c r="AL2928" t="n">
        <v>0</v>
      </c>
      <c r="AM2928" t="n">
        <v>0</v>
      </c>
      <c r="AN2928" t="n">
        <v>0</v>
      </c>
      <c r="AO2928" t="n">
        <v>0</v>
      </c>
      <c r="AP2928" t="inlineStr">
        <is>
          <t>No</t>
        </is>
      </c>
      <c r="AQ2928" t="inlineStr">
        <is>
          <t>No</t>
        </is>
      </c>
      <c r="AS2928">
        <f>HYPERLINK("https://creighton-primo.hosted.exlibrisgroup.com/primo-explore/search?tab=default_tab&amp;search_scope=EVERYTHING&amp;vid=01CRU&amp;lang=en_US&amp;offset=0&amp;query=any,contains,991004536969702656","Catalog Record")</f>
        <v/>
      </c>
      <c r="AT2928">
        <f>HYPERLINK("http://www.worldcat.org/oclc/3872156","WorldCat Record")</f>
        <v/>
      </c>
      <c r="AU2928" t="inlineStr">
        <is>
          <t>4917370651:lat</t>
        </is>
      </c>
      <c r="AV2928" t="inlineStr">
        <is>
          <t>3872156</t>
        </is>
      </c>
      <c r="AW2928" t="inlineStr">
        <is>
          <t>991004536969702656</t>
        </is>
      </c>
      <c r="AX2928" t="inlineStr">
        <is>
          <t>991004536969702656</t>
        </is>
      </c>
      <c r="AY2928" t="inlineStr">
        <is>
          <t>2267074800002656</t>
        </is>
      </c>
      <c r="AZ2928" t="inlineStr">
        <is>
          <t>BOOK</t>
        </is>
      </c>
      <c r="BC2928" t="inlineStr">
        <is>
          <t>32285001052579</t>
        </is>
      </c>
      <c r="BD2928" t="inlineStr">
        <is>
          <t>893430188</t>
        </is>
      </c>
    </row>
    <row r="2929">
      <c r="A2929" t="inlineStr">
        <is>
          <t>No</t>
        </is>
      </c>
      <c r="B2929" t="inlineStr">
        <is>
          <t>BX830 1962 .A2 1970</t>
        </is>
      </c>
      <c r="C2929" t="inlineStr">
        <is>
          <t>0                      BX 0830000               1962   A  2           1970</t>
        </is>
      </c>
      <c r="D2929" t="inlineStr">
        <is>
          <t>Acta synodalia Sacrosancti Concilii Oecumenici Vaticani II.</t>
        </is>
      </c>
      <c r="E2929" t="inlineStr">
        <is>
          <t>V.3 PT.3</t>
        </is>
      </c>
      <c r="F2929" t="inlineStr">
        <is>
          <t>Yes</t>
        </is>
      </c>
      <c r="G2929" t="inlineStr">
        <is>
          <t>1</t>
        </is>
      </c>
      <c r="H2929" t="inlineStr">
        <is>
          <t>No</t>
        </is>
      </c>
      <c r="I2929" t="inlineStr">
        <is>
          <t>Yes</t>
        </is>
      </c>
      <c r="J2929" t="inlineStr">
        <is>
          <t>0</t>
        </is>
      </c>
      <c r="K2929" t="inlineStr">
        <is>
          <t>Vatican Council (2nd : 1962-1965 : Basilica di San Pietro in Vaticano)</t>
        </is>
      </c>
      <c r="L2929" t="inlineStr">
        <is>
          <t>[Vatican City] : Typis polyglottis Vaticanis, 1970-&lt;1978 &gt;</t>
        </is>
      </c>
      <c r="M2929" t="inlineStr">
        <is>
          <t>1970</t>
        </is>
      </c>
      <c r="O2929" t="inlineStr">
        <is>
          <t>lat</t>
        </is>
      </c>
      <c r="P2929" t="inlineStr">
        <is>
          <t xml:space="preserve">it </t>
        </is>
      </c>
      <c r="R2929" t="inlineStr">
        <is>
          <t xml:space="preserve">BX </t>
        </is>
      </c>
      <c r="S2929" t="n">
        <v>0</v>
      </c>
      <c r="T2929" t="n">
        <v>16</v>
      </c>
      <c r="V2929" t="inlineStr">
        <is>
          <t>2004-05-21</t>
        </is>
      </c>
      <c r="W2929" t="inlineStr">
        <is>
          <t>1992-04-20</t>
        </is>
      </c>
      <c r="X2929" t="inlineStr">
        <is>
          <t>1992-04-20</t>
        </is>
      </c>
      <c r="Y2929" t="n">
        <v>91</v>
      </c>
      <c r="Z2929" t="n">
        <v>78</v>
      </c>
      <c r="AA2929" t="n">
        <v>80</v>
      </c>
      <c r="AB2929" t="n">
        <v>2</v>
      </c>
      <c r="AC2929" t="n">
        <v>2</v>
      </c>
      <c r="AD2929" t="n">
        <v>15</v>
      </c>
      <c r="AE2929" t="n">
        <v>15</v>
      </c>
      <c r="AF2929" t="n">
        <v>3</v>
      </c>
      <c r="AG2929" t="n">
        <v>3</v>
      </c>
      <c r="AH2929" t="n">
        <v>5</v>
      </c>
      <c r="AI2929" t="n">
        <v>5</v>
      </c>
      <c r="AJ2929" t="n">
        <v>12</v>
      </c>
      <c r="AK2929" t="n">
        <v>12</v>
      </c>
      <c r="AL2929" t="n">
        <v>0</v>
      </c>
      <c r="AM2929" t="n">
        <v>0</v>
      </c>
      <c r="AN2929" t="n">
        <v>0</v>
      </c>
      <c r="AO2929" t="n">
        <v>0</v>
      </c>
      <c r="AP2929" t="inlineStr">
        <is>
          <t>No</t>
        </is>
      </c>
      <c r="AQ2929" t="inlineStr">
        <is>
          <t>No</t>
        </is>
      </c>
      <c r="AS2929">
        <f>HYPERLINK("https://creighton-primo.hosted.exlibrisgroup.com/primo-explore/search?tab=default_tab&amp;search_scope=EVERYTHING&amp;vid=01CRU&amp;lang=en_US&amp;offset=0&amp;query=any,contains,991004536969702656","Catalog Record")</f>
        <v/>
      </c>
      <c r="AT2929">
        <f>HYPERLINK("http://www.worldcat.org/oclc/3872156","WorldCat Record")</f>
        <v/>
      </c>
      <c r="AU2929" t="inlineStr">
        <is>
          <t>4917370651:lat</t>
        </is>
      </c>
      <c r="AV2929" t="inlineStr">
        <is>
          <t>3872156</t>
        </is>
      </c>
      <c r="AW2929" t="inlineStr">
        <is>
          <t>991004536969702656</t>
        </is>
      </c>
      <c r="AX2929" t="inlineStr">
        <is>
          <t>991004536969702656</t>
        </is>
      </c>
      <c r="AY2929" t="inlineStr">
        <is>
          <t>2267074800002656</t>
        </is>
      </c>
      <c r="AZ2929" t="inlineStr">
        <is>
          <t>BOOK</t>
        </is>
      </c>
      <c r="BC2929" t="inlineStr">
        <is>
          <t>32285001052637</t>
        </is>
      </c>
      <c r="BD2929" t="inlineStr">
        <is>
          <t>893436399</t>
        </is>
      </c>
    </row>
    <row r="2930">
      <c r="A2930" t="inlineStr">
        <is>
          <t>No</t>
        </is>
      </c>
      <c r="B2930" t="inlineStr">
        <is>
          <t>BX830 1962 .A2 1970</t>
        </is>
      </c>
      <c r="C2930" t="inlineStr">
        <is>
          <t>0                      BX 0830000               1962   A  2           1970</t>
        </is>
      </c>
      <c r="D2930" t="inlineStr">
        <is>
          <t>Acta synodalia Sacrosancti Concilii Oecumenici Vaticani II.</t>
        </is>
      </c>
      <c r="E2930" t="inlineStr">
        <is>
          <t>V.1 PT.3</t>
        </is>
      </c>
      <c r="F2930" t="inlineStr">
        <is>
          <t>Yes</t>
        </is>
      </c>
      <c r="G2930" t="inlineStr">
        <is>
          <t>1</t>
        </is>
      </c>
      <c r="H2930" t="inlineStr">
        <is>
          <t>No</t>
        </is>
      </c>
      <c r="I2930" t="inlineStr">
        <is>
          <t>Yes</t>
        </is>
      </c>
      <c r="J2930" t="inlineStr">
        <is>
          <t>0</t>
        </is>
      </c>
      <c r="K2930" t="inlineStr">
        <is>
          <t>Vatican Council (2nd : 1962-1965 : Basilica di San Pietro in Vaticano)</t>
        </is>
      </c>
      <c r="L2930" t="inlineStr">
        <is>
          <t>[Vatican City] : Typis polyglottis Vaticanis, 1970-&lt;1978 &gt;</t>
        </is>
      </c>
      <c r="M2930" t="inlineStr">
        <is>
          <t>1970</t>
        </is>
      </c>
      <c r="O2930" t="inlineStr">
        <is>
          <t>lat</t>
        </is>
      </c>
      <c r="P2930" t="inlineStr">
        <is>
          <t xml:space="preserve">it </t>
        </is>
      </c>
      <c r="R2930" t="inlineStr">
        <is>
          <t xml:space="preserve">BX </t>
        </is>
      </c>
      <c r="S2930" t="n">
        <v>0</v>
      </c>
      <c r="T2930" t="n">
        <v>16</v>
      </c>
      <c r="V2930" t="inlineStr">
        <is>
          <t>2004-05-21</t>
        </is>
      </c>
      <c r="W2930" t="inlineStr">
        <is>
          <t>1992-04-20</t>
        </is>
      </c>
      <c r="X2930" t="inlineStr">
        <is>
          <t>1992-04-20</t>
        </is>
      </c>
      <c r="Y2930" t="n">
        <v>91</v>
      </c>
      <c r="Z2930" t="n">
        <v>78</v>
      </c>
      <c r="AA2930" t="n">
        <v>80</v>
      </c>
      <c r="AB2930" t="n">
        <v>2</v>
      </c>
      <c r="AC2930" t="n">
        <v>2</v>
      </c>
      <c r="AD2930" t="n">
        <v>15</v>
      </c>
      <c r="AE2930" t="n">
        <v>15</v>
      </c>
      <c r="AF2930" t="n">
        <v>3</v>
      </c>
      <c r="AG2930" t="n">
        <v>3</v>
      </c>
      <c r="AH2930" t="n">
        <v>5</v>
      </c>
      <c r="AI2930" t="n">
        <v>5</v>
      </c>
      <c r="AJ2930" t="n">
        <v>12</v>
      </c>
      <c r="AK2930" t="n">
        <v>12</v>
      </c>
      <c r="AL2930" t="n">
        <v>0</v>
      </c>
      <c r="AM2930" t="n">
        <v>0</v>
      </c>
      <c r="AN2930" t="n">
        <v>0</v>
      </c>
      <c r="AO2930" t="n">
        <v>0</v>
      </c>
      <c r="AP2930" t="inlineStr">
        <is>
          <t>No</t>
        </is>
      </c>
      <c r="AQ2930" t="inlineStr">
        <is>
          <t>No</t>
        </is>
      </c>
      <c r="AS2930">
        <f>HYPERLINK("https://creighton-primo.hosted.exlibrisgroup.com/primo-explore/search?tab=default_tab&amp;search_scope=EVERYTHING&amp;vid=01CRU&amp;lang=en_US&amp;offset=0&amp;query=any,contains,991004536969702656","Catalog Record")</f>
        <v/>
      </c>
      <c r="AT2930">
        <f>HYPERLINK("http://www.worldcat.org/oclc/3872156","WorldCat Record")</f>
        <v/>
      </c>
      <c r="AU2930" t="inlineStr">
        <is>
          <t>4917370651:lat</t>
        </is>
      </c>
      <c r="AV2930" t="inlineStr">
        <is>
          <t>3872156</t>
        </is>
      </c>
      <c r="AW2930" t="inlineStr">
        <is>
          <t>991004536969702656</t>
        </is>
      </c>
      <c r="AX2930" t="inlineStr">
        <is>
          <t>991004536969702656</t>
        </is>
      </c>
      <c r="AY2930" t="inlineStr">
        <is>
          <t>2267074800002656</t>
        </is>
      </c>
      <c r="AZ2930" t="inlineStr">
        <is>
          <t>BOOK</t>
        </is>
      </c>
      <c r="BC2930" t="inlineStr">
        <is>
          <t>32285001052538</t>
        </is>
      </c>
      <c r="BD2930" t="inlineStr">
        <is>
          <t>893446274</t>
        </is>
      </c>
    </row>
    <row r="2931">
      <c r="A2931" t="inlineStr">
        <is>
          <t>No</t>
        </is>
      </c>
      <c r="B2931" t="inlineStr">
        <is>
          <t>BX830 1962 .A2 1970</t>
        </is>
      </c>
      <c r="C2931" t="inlineStr">
        <is>
          <t>0                      BX 0830000               1962   A  2           1970</t>
        </is>
      </c>
      <c r="D2931" t="inlineStr">
        <is>
          <t>Acta synodalia Sacrosancti Concilii Oecumenici Vaticani II.</t>
        </is>
      </c>
      <c r="E2931" t="inlineStr">
        <is>
          <t>V.3 PT.2</t>
        </is>
      </c>
      <c r="F2931" t="inlineStr">
        <is>
          <t>Yes</t>
        </is>
      </c>
      <c r="G2931" t="inlineStr">
        <is>
          <t>1</t>
        </is>
      </c>
      <c r="H2931" t="inlineStr">
        <is>
          <t>No</t>
        </is>
      </c>
      <c r="I2931" t="inlineStr">
        <is>
          <t>Yes</t>
        </is>
      </c>
      <c r="J2931" t="inlineStr">
        <is>
          <t>0</t>
        </is>
      </c>
      <c r="K2931" t="inlineStr">
        <is>
          <t>Vatican Council (2nd : 1962-1965 : Basilica di San Pietro in Vaticano)</t>
        </is>
      </c>
      <c r="L2931" t="inlineStr">
        <is>
          <t>[Vatican City] : Typis polyglottis Vaticanis, 1970-&lt;1978 &gt;</t>
        </is>
      </c>
      <c r="M2931" t="inlineStr">
        <is>
          <t>1970</t>
        </is>
      </c>
      <c r="O2931" t="inlineStr">
        <is>
          <t>lat</t>
        </is>
      </c>
      <c r="P2931" t="inlineStr">
        <is>
          <t xml:space="preserve">it </t>
        </is>
      </c>
      <c r="R2931" t="inlineStr">
        <is>
          <t xml:space="preserve">BX </t>
        </is>
      </c>
      <c r="S2931" t="n">
        <v>0</v>
      </c>
      <c r="T2931" t="n">
        <v>16</v>
      </c>
      <c r="V2931" t="inlineStr">
        <is>
          <t>2004-05-21</t>
        </is>
      </c>
      <c r="W2931" t="inlineStr">
        <is>
          <t>1992-04-20</t>
        </is>
      </c>
      <c r="X2931" t="inlineStr">
        <is>
          <t>1992-04-20</t>
        </is>
      </c>
      <c r="Y2931" t="n">
        <v>91</v>
      </c>
      <c r="Z2931" t="n">
        <v>78</v>
      </c>
      <c r="AA2931" t="n">
        <v>80</v>
      </c>
      <c r="AB2931" t="n">
        <v>2</v>
      </c>
      <c r="AC2931" t="n">
        <v>2</v>
      </c>
      <c r="AD2931" t="n">
        <v>15</v>
      </c>
      <c r="AE2931" t="n">
        <v>15</v>
      </c>
      <c r="AF2931" t="n">
        <v>3</v>
      </c>
      <c r="AG2931" t="n">
        <v>3</v>
      </c>
      <c r="AH2931" t="n">
        <v>5</v>
      </c>
      <c r="AI2931" t="n">
        <v>5</v>
      </c>
      <c r="AJ2931" t="n">
        <v>12</v>
      </c>
      <c r="AK2931" t="n">
        <v>12</v>
      </c>
      <c r="AL2931" t="n">
        <v>0</v>
      </c>
      <c r="AM2931" t="n">
        <v>0</v>
      </c>
      <c r="AN2931" t="n">
        <v>0</v>
      </c>
      <c r="AO2931" t="n">
        <v>0</v>
      </c>
      <c r="AP2931" t="inlineStr">
        <is>
          <t>No</t>
        </is>
      </c>
      <c r="AQ2931" t="inlineStr">
        <is>
          <t>No</t>
        </is>
      </c>
      <c r="AS2931">
        <f>HYPERLINK("https://creighton-primo.hosted.exlibrisgroup.com/primo-explore/search?tab=default_tab&amp;search_scope=EVERYTHING&amp;vid=01CRU&amp;lang=en_US&amp;offset=0&amp;query=any,contains,991004536969702656","Catalog Record")</f>
        <v/>
      </c>
      <c r="AT2931">
        <f>HYPERLINK("http://www.worldcat.org/oclc/3872156","WorldCat Record")</f>
        <v/>
      </c>
      <c r="AU2931" t="inlineStr">
        <is>
          <t>4917370651:lat</t>
        </is>
      </c>
      <c r="AV2931" t="inlineStr">
        <is>
          <t>3872156</t>
        </is>
      </c>
      <c r="AW2931" t="inlineStr">
        <is>
          <t>991004536969702656</t>
        </is>
      </c>
      <c r="AX2931" t="inlineStr">
        <is>
          <t>991004536969702656</t>
        </is>
      </c>
      <c r="AY2931" t="inlineStr">
        <is>
          <t>2267074800002656</t>
        </is>
      </c>
      <c r="AZ2931" t="inlineStr">
        <is>
          <t>BOOK</t>
        </is>
      </c>
      <c r="BC2931" t="inlineStr">
        <is>
          <t>32285001052629</t>
        </is>
      </c>
      <c r="BD2931" t="inlineStr">
        <is>
          <t>893423933</t>
        </is>
      </c>
    </row>
    <row r="2932">
      <c r="A2932" t="inlineStr">
        <is>
          <t>No</t>
        </is>
      </c>
      <c r="B2932" t="inlineStr">
        <is>
          <t>BX830 1962 .A2 1970</t>
        </is>
      </c>
      <c r="C2932" t="inlineStr">
        <is>
          <t>0                      BX 0830000               1962   A  2           1970</t>
        </is>
      </c>
      <c r="D2932" t="inlineStr">
        <is>
          <t>Acta synodalia Sacrosancti Concilii Oecumenici Vaticani II.</t>
        </is>
      </c>
      <c r="E2932" t="inlineStr">
        <is>
          <t>V.4 PT.1</t>
        </is>
      </c>
      <c r="F2932" t="inlineStr">
        <is>
          <t>Yes</t>
        </is>
      </c>
      <c r="G2932" t="inlineStr">
        <is>
          <t>1</t>
        </is>
      </c>
      <c r="H2932" t="inlineStr">
        <is>
          <t>No</t>
        </is>
      </c>
      <c r="I2932" t="inlineStr">
        <is>
          <t>Yes</t>
        </is>
      </c>
      <c r="J2932" t="inlineStr">
        <is>
          <t>0</t>
        </is>
      </c>
      <c r="K2932" t="inlineStr">
        <is>
          <t>Vatican Council (2nd : 1962-1965 : Basilica di San Pietro in Vaticano)</t>
        </is>
      </c>
      <c r="L2932" t="inlineStr">
        <is>
          <t>[Vatican City] : Typis polyglottis Vaticanis, 1970-&lt;1978 &gt;</t>
        </is>
      </c>
      <c r="M2932" t="inlineStr">
        <is>
          <t>1970</t>
        </is>
      </c>
      <c r="O2932" t="inlineStr">
        <is>
          <t>lat</t>
        </is>
      </c>
      <c r="P2932" t="inlineStr">
        <is>
          <t xml:space="preserve">it </t>
        </is>
      </c>
      <c r="R2932" t="inlineStr">
        <is>
          <t xml:space="preserve">BX </t>
        </is>
      </c>
      <c r="S2932" t="n">
        <v>3</v>
      </c>
      <c r="T2932" t="n">
        <v>16</v>
      </c>
      <c r="U2932" t="inlineStr">
        <is>
          <t>2004-05-21</t>
        </is>
      </c>
      <c r="V2932" t="inlineStr">
        <is>
          <t>2004-05-21</t>
        </is>
      </c>
      <c r="W2932" t="inlineStr">
        <is>
          <t>1992-04-20</t>
        </is>
      </c>
      <c r="X2932" t="inlineStr">
        <is>
          <t>1992-04-20</t>
        </is>
      </c>
      <c r="Y2932" t="n">
        <v>91</v>
      </c>
      <c r="Z2932" t="n">
        <v>78</v>
      </c>
      <c r="AA2932" t="n">
        <v>80</v>
      </c>
      <c r="AB2932" t="n">
        <v>2</v>
      </c>
      <c r="AC2932" t="n">
        <v>2</v>
      </c>
      <c r="AD2932" t="n">
        <v>15</v>
      </c>
      <c r="AE2932" t="n">
        <v>15</v>
      </c>
      <c r="AF2932" t="n">
        <v>3</v>
      </c>
      <c r="AG2932" t="n">
        <v>3</v>
      </c>
      <c r="AH2932" t="n">
        <v>5</v>
      </c>
      <c r="AI2932" t="n">
        <v>5</v>
      </c>
      <c r="AJ2932" t="n">
        <v>12</v>
      </c>
      <c r="AK2932" t="n">
        <v>12</v>
      </c>
      <c r="AL2932" t="n">
        <v>0</v>
      </c>
      <c r="AM2932" t="n">
        <v>0</v>
      </c>
      <c r="AN2932" t="n">
        <v>0</v>
      </c>
      <c r="AO2932" t="n">
        <v>0</v>
      </c>
      <c r="AP2932" t="inlineStr">
        <is>
          <t>No</t>
        </is>
      </c>
      <c r="AQ2932" t="inlineStr">
        <is>
          <t>No</t>
        </is>
      </c>
      <c r="AS2932">
        <f>HYPERLINK("https://creighton-primo.hosted.exlibrisgroup.com/primo-explore/search?tab=default_tab&amp;search_scope=EVERYTHING&amp;vid=01CRU&amp;lang=en_US&amp;offset=0&amp;query=any,contains,991004536969702656","Catalog Record")</f>
        <v/>
      </c>
      <c r="AT2932">
        <f>HYPERLINK("http://www.worldcat.org/oclc/3872156","WorldCat Record")</f>
        <v/>
      </c>
      <c r="AU2932" t="inlineStr">
        <is>
          <t>4917370651:lat</t>
        </is>
      </c>
      <c r="AV2932" t="inlineStr">
        <is>
          <t>3872156</t>
        </is>
      </c>
      <c r="AW2932" t="inlineStr">
        <is>
          <t>991004536969702656</t>
        </is>
      </c>
      <c r="AX2932" t="inlineStr">
        <is>
          <t>991004536969702656</t>
        </is>
      </c>
      <c r="AY2932" t="inlineStr">
        <is>
          <t>2267074800002656</t>
        </is>
      </c>
      <c r="AZ2932" t="inlineStr">
        <is>
          <t>BOOK</t>
        </is>
      </c>
      <c r="BC2932" t="inlineStr">
        <is>
          <t>32285001052694</t>
        </is>
      </c>
      <c r="BD2932" t="inlineStr">
        <is>
          <t>893436394</t>
        </is>
      </c>
    </row>
    <row r="2933">
      <c r="A2933" t="inlineStr">
        <is>
          <t>No</t>
        </is>
      </c>
      <c r="B2933" t="inlineStr">
        <is>
          <t>BX830 1962 .A2 1970</t>
        </is>
      </c>
      <c r="C2933" t="inlineStr">
        <is>
          <t>0                      BX 0830000               1962   A  2           1970</t>
        </is>
      </c>
      <c r="D2933" t="inlineStr">
        <is>
          <t>Acta synodalia Sacrosancti Concilii Oecumenici Vaticani II.</t>
        </is>
      </c>
      <c r="E2933" t="inlineStr">
        <is>
          <t>V.4 PT.5</t>
        </is>
      </c>
      <c r="F2933" t="inlineStr">
        <is>
          <t>Yes</t>
        </is>
      </c>
      <c r="G2933" t="inlineStr">
        <is>
          <t>1</t>
        </is>
      </c>
      <c r="H2933" t="inlineStr">
        <is>
          <t>No</t>
        </is>
      </c>
      <c r="I2933" t="inlineStr">
        <is>
          <t>Yes</t>
        </is>
      </c>
      <c r="J2933" t="inlineStr">
        <is>
          <t>0</t>
        </is>
      </c>
      <c r="K2933" t="inlineStr">
        <is>
          <t>Vatican Council (2nd : 1962-1965 : Basilica di San Pietro in Vaticano)</t>
        </is>
      </c>
      <c r="L2933" t="inlineStr">
        <is>
          <t>[Vatican City] : Typis polyglottis Vaticanis, 1970-&lt;1978 &gt;</t>
        </is>
      </c>
      <c r="M2933" t="inlineStr">
        <is>
          <t>1970</t>
        </is>
      </c>
      <c r="O2933" t="inlineStr">
        <is>
          <t>lat</t>
        </is>
      </c>
      <c r="P2933" t="inlineStr">
        <is>
          <t xml:space="preserve">it </t>
        </is>
      </c>
      <c r="R2933" t="inlineStr">
        <is>
          <t xml:space="preserve">BX </t>
        </is>
      </c>
      <c r="S2933" t="n">
        <v>0</v>
      </c>
      <c r="T2933" t="n">
        <v>16</v>
      </c>
      <c r="V2933" t="inlineStr">
        <is>
          <t>2004-05-21</t>
        </is>
      </c>
      <c r="W2933" t="inlineStr">
        <is>
          <t>1992-04-20</t>
        </is>
      </c>
      <c r="X2933" t="inlineStr">
        <is>
          <t>1992-04-20</t>
        </is>
      </c>
      <c r="Y2933" t="n">
        <v>91</v>
      </c>
      <c r="Z2933" t="n">
        <v>78</v>
      </c>
      <c r="AA2933" t="n">
        <v>80</v>
      </c>
      <c r="AB2933" t="n">
        <v>2</v>
      </c>
      <c r="AC2933" t="n">
        <v>2</v>
      </c>
      <c r="AD2933" t="n">
        <v>15</v>
      </c>
      <c r="AE2933" t="n">
        <v>15</v>
      </c>
      <c r="AF2933" t="n">
        <v>3</v>
      </c>
      <c r="AG2933" t="n">
        <v>3</v>
      </c>
      <c r="AH2933" t="n">
        <v>5</v>
      </c>
      <c r="AI2933" t="n">
        <v>5</v>
      </c>
      <c r="AJ2933" t="n">
        <v>12</v>
      </c>
      <c r="AK2933" t="n">
        <v>12</v>
      </c>
      <c r="AL2933" t="n">
        <v>0</v>
      </c>
      <c r="AM2933" t="n">
        <v>0</v>
      </c>
      <c r="AN2933" t="n">
        <v>0</v>
      </c>
      <c r="AO2933" t="n">
        <v>0</v>
      </c>
      <c r="AP2933" t="inlineStr">
        <is>
          <t>No</t>
        </is>
      </c>
      <c r="AQ2933" t="inlineStr">
        <is>
          <t>No</t>
        </is>
      </c>
      <c r="AS2933">
        <f>HYPERLINK("https://creighton-primo.hosted.exlibrisgroup.com/primo-explore/search?tab=default_tab&amp;search_scope=EVERYTHING&amp;vid=01CRU&amp;lang=en_US&amp;offset=0&amp;query=any,contains,991004536969702656","Catalog Record")</f>
        <v/>
      </c>
      <c r="AT2933">
        <f>HYPERLINK("http://www.worldcat.org/oclc/3872156","WorldCat Record")</f>
        <v/>
      </c>
      <c r="AU2933" t="inlineStr">
        <is>
          <t>4917370651:lat</t>
        </is>
      </c>
      <c r="AV2933" t="inlineStr">
        <is>
          <t>3872156</t>
        </is>
      </c>
      <c r="AW2933" t="inlineStr">
        <is>
          <t>991004536969702656</t>
        </is>
      </c>
      <c r="AX2933" t="inlineStr">
        <is>
          <t>991004536969702656</t>
        </is>
      </c>
      <c r="AY2933" t="inlineStr">
        <is>
          <t>2267074800002656</t>
        </is>
      </c>
      <c r="AZ2933" t="inlineStr">
        <is>
          <t>BOOK</t>
        </is>
      </c>
      <c r="BC2933" t="inlineStr">
        <is>
          <t>32285001052728</t>
        </is>
      </c>
      <c r="BD2933" t="inlineStr">
        <is>
          <t>893411657</t>
        </is>
      </c>
    </row>
    <row r="2934">
      <c r="A2934" t="inlineStr">
        <is>
          <t>No</t>
        </is>
      </c>
      <c r="B2934" t="inlineStr">
        <is>
          <t>BX830 1962 .A2 1970</t>
        </is>
      </c>
      <c r="C2934" t="inlineStr">
        <is>
          <t>0                      BX 0830000               1962   A  2           1970</t>
        </is>
      </c>
      <c r="D2934" t="inlineStr">
        <is>
          <t>Acta synodalia Sacrosancti Concilii Oecumenici Vaticani II.</t>
        </is>
      </c>
      <c r="E2934" t="inlineStr">
        <is>
          <t>V.4 PT.3</t>
        </is>
      </c>
      <c r="F2934" t="inlineStr">
        <is>
          <t>Yes</t>
        </is>
      </c>
      <c r="G2934" t="inlineStr">
        <is>
          <t>1</t>
        </is>
      </c>
      <c r="H2934" t="inlineStr">
        <is>
          <t>No</t>
        </is>
      </c>
      <c r="I2934" t="inlineStr">
        <is>
          <t>Yes</t>
        </is>
      </c>
      <c r="J2934" t="inlineStr">
        <is>
          <t>0</t>
        </is>
      </c>
      <c r="K2934" t="inlineStr">
        <is>
          <t>Vatican Council (2nd : 1962-1965 : Basilica di San Pietro in Vaticano)</t>
        </is>
      </c>
      <c r="L2934" t="inlineStr">
        <is>
          <t>[Vatican City] : Typis polyglottis Vaticanis, 1970-&lt;1978 &gt;</t>
        </is>
      </c>
      <c r="M2934" t="inlineStr">
        <is>
          <t>1970</t>
        </is>
      </c>
      <c r="O2934" t="inlineStr">
        <is>
          <t>lat</t>
        </is>
      </c>
      <c r="P2934" t="inlineStr">
        <is>
          <t xml:space="preserve">it </t>
        </is>
      </c>
      <c r="R2934" t="inlineStr">
        <is>
          <t xml:space="preserve">BX </t>
        </is>
      </c>
      <c r="S2934" t="n">
        <v>1</v>
      </c>
      <c r="T2934" t="n">
        <v>16</v>
      </c>
      <c r="U2934" t="inlineStr">
        <is>
          <t>2002-07-18</t>
        </is>
      </c>
      <c r="V2934" t="inlineStr">
        <is>
          <t>2004-05-21</t>
        </is>
      </c>
      <c r="W2934" t="inlineStr">
        <is>
          <t>1992-04-20</t>
        </is>
      </c>
      <c r="X2934" t="inlineStr">
        <is>
          <t>1992-04-20</t>
        </is>
      </c>
      <c r="Y2934" t="n">
        <v>91</v>
      </c>
      <c r="Z2934" t="n">
        <v>78</v>
      </c>
      <c r="AA2934" t="n">
        <v>80</v>
      </c>
      <c r="AB2934" t="n">
        <v>2</v>
      </c>
      <c r="AC2934" t="n">
        <v>2</v>
      </c>
      <c r="AD2934" t="n">
        <v>15</v>
      </c>
      <c r="AE2934" t="n">
        <v>15</v>
      </c>
      <c r="AF2934" t="n">
        <v>3</v>
      </c>
      <c r="AG2934" t="n">
        <v>3</v>
      </c>
      <c r="AH2934" t="n">
        <v>5</v>
      </c>
      <c r="AI2934" t="n">
        <v>5</v>
      </c>
      <c r="AJ2934" t="n">
        <v>12</v>
      </c>
      <c r="AK2934" t="n">
        <v>12</v>
      </c>
      <c r="AL2934" t="n">
        <v>0</v>
      </c>
      <c r="AM2934" t="n">
        <v>0</v>
      </c>
      <c r="AN2934" t="n">
        <v>0</v>
      </c>
      <c r="AO2934" t="n">
        <v>0</v>
      </c>
      <c r="AP2934" t="inlineStr">
        <is>
          <t>No</t>
        </is>
      </c>
      <c r="AQ2934" t="inlineStr">
        <is>
          <t>No</t>
        </is>
      </c>
      <c r="AS2934">
        <f>HYPERLINK("https://creighton-primo.hosted.exlibrisgroup.com/primo-explore/search?tab=default_tab&amp;search_scope=EVERYTHING&amp;vid=01CRU&amp;lang=en_US&amp;offset=0&amp;query=any,contains,991004536969702656","Catalog Record")</f>
        <v/>
      </c>
      <c r="AT2934">
        <f>HYPERLINK("http://www.worldcat.org/oclc/3872156","WorldCat Record")</f>
        <v/>
      </c>
      <c r="AU2934" t="inlineStr">
        <is>
          <t>4917370651:lat</t>
        </is>
      </c>
      <c r="AV2934" t="inlineStr">
        <is>
          <t>3872156</t>
        </is>
      </c>
      <c r="AW2934" t="inlineStr">
        <is>
          <t>991004536969702656</t>
        </is>
      </c>
      <c r="AX2934" t="inlineStr">
        <is>
          <t>991004536969702656</t>
        </is>
      </c>
      <c r="AY2934" t="inlineStr">
        <is>
          <t>2267074800002656</t>
        </is>
      </c>
      <c r="AZ2934" t="inlineStr">
        <is>
          <t>BOOK</t>
        </is>
      </c>
      <c r="BC2934" t="inlineStr">
        <is>
          <t>32285001052702</t>
        </is>
      </c>
      <c r="BD2934" t="inlineStr">
        <is>
          <t>893436398</t>
        </is>
      </c>
    </row>
    <row r="2935">
      <c r="A2935" t="inlineStr">
        <is>
          <t>No</t>
        </is>
      </c>
      <c r="B2935" t="inlineStr">
        <is>
          <t>BX830 1962 .A2 1970</t>
        </is>
      </c>
      <c r="C2935" t="inlineStr">
        <is>
          <t>0                      BX 0830000               1962   A  2           1970</t>
        </is>
      </c>
      <c r="D2935" t="inlineStr">
        <is>
          <t>Acta synodalia Sacrosancti Concilii Oecumenici Vaticani II.</t>
        </is>
      </c>
      <c r="E2935" t="inlineStr">
        <is>
          <t>V.4 PT.6</t>
        </is>
      </c>
      <c r="F2935" t="inlineStr">
        <is>
          <t>Yes</t>
        </is>
      </c>
      <c r="G2935" t="inlineStr">
        <is>
          <t>1</t>
        </is>
      </c>
      <c r="H2935" t="inlineStr">
        <is>
          <t>No</t>
        </is>
      </c>
      <c r="I2935" t="inlineStr">
        <is>
          <t>Yes</t>
        </is>
      </c>
      <c r="J2935" t="inlineStr">
        <is>
          <t>0</t>
        </is>
      </c>
      <c r="K2935" t="inlineStr">
        <is>
          <t>Vatican Council (2nd : 1962-1965 : Basilica di San Pietro in Vaticano)</t>
        </is>
      </c>
      <c r="L2935" t="inlineStr">
        <is>
          <t>[Vatican City] : Typis polyglottis Vaticanis, 1970-&lt;1978 &gt;</t>
        </is>
      </c>
      <c r="M2935" t="inlineStr">
        <is>
          <t>1970</t>
        </is>
      </c>
      <c r="O2935" t="inlineStr">
        <is>
          <t>lat</t>
        </is>
      </c>
      <c r="P2935" t="inlineStr">
        <is>
          <t xml:space="preserve">it </t>
        </is>
      </c>
      <c r="R2935" t="inlineStr">
        <is>
          <t xml:space="preserve">BX </t>
        </is>
      </c>
      <c r="S2935" t="n">
        <v>3</v>
      </c>
      <c r="T2935" t="n">
        <v>16</v>
      </c>
      <c r="U2935" t="inlineStr">
        <is>
          <t>1998-07-28</t>
        </is>
      </c>
      <c r="V2935" t="inlineStr">
        <is>
          <t>2004-05-21</t>
        </is>
      </c>
      <c r="W2935" t="inlineStr">
        <is>
          <t>1992-04-20</t>
        </is>
      </c>
      <c r="X2935" t="inlineStr">
        <is>
          <t>1992-04-20</t>
        </is>
      </c>
      <c r="Y2935" t="n">
        <v>91</v>
      </c>
      <c r="Z2935" t="n">
        <v>78</v>
      </c>
      <c r="AA2935" t="n">
        <v>80</v>
      </c>
      <c r="AB2935" t="n">
        <v>2</v>
      </c>
      <c r="AC2935" t="n">
        <v>2</v>
      </c>
      <c r="AD2935" t="n">
        <v>15</v>
      </c>
      <c r="AE2935" t="n">
        <v>15</v>
      </c>
      <c r="AF2935" t="n">
        <v>3</v>
      </c>
      <c r="AG2935" t="n">
        <v>3</v>
      </c>
      <c r="AH2935" t="n">
        <v>5</v>
      </c>
      <c r="AI2935" t="n">
        <v>5</v>
      </c>
      <c r="AJ2935" t="n">
        <v>12</v>
      </c>
      <c r="AK2935" t="n">
        <v>12</v>
      </c>
      <c r="AL2935" t="n">
        <v>0</v>
      </c>
      <c r="AM2935" t="n">
        <v>0</v>
      </c>
      <c r="AN2935" t="n">
        <v>0</v>
      </c>
      <c r="AO2935" t="n">
        <v>0</v>
      </c>
      <c r="AP2935" t="inlineStr">
        <is>
          <t>No</t>
        </is>
      </c>
      <c r="AQ2935" t="inlineStr">
        <is>
          <t>No</t>
        </is>
      </c>
      <c r="AS2935">
        <f>HYPERLINK("https://creighton-primo.hosted.exlibrisgroup.com/primo-explore/search?tab=default_tab&amp;search_scope=EVERYTHING&amp;vid=01CRU&amp;lang=en_US&amp;offset=0&amp;query=any,contains,991004536969702656","Catalog Record")</f>
        <v/>
      </c>
      <c r="AT2935">
        <f>HYPERLINK("http://www.worldcat.org/oclc/3872156","WorldCat Record")</f>
        <v/>
      </c>
      <c r="AU2935" t="inlineStr">
        <is>
          <t>4917370651:lat</t>
        </is>
      </c>
      <c r="AV2935" t="inlineStr">
        <is>
          <t>3872156</t>
        </is>
      </c>
      <c r="AW2935" t="inlineStr">
        <is>
          <t>991004536969702656</t>
        </is>
      </c>
      <c r="AX2935" t="inlineStr">
        <is>
          <t>991004536969702656</t>
        </is>
      </c>
      <c r="AY2935" t="inlineStr">
        <is>
          <t>2267074800002656</t>
        </is>
      </c>
      <c r="AZ2935" t="inlineStr">
        <is>
          <t>BOOK</t>
        </is>
      </c>
      <c r="BC2935" t="inlineStr">
        <is>
          <t>32285001052736</t>
        </is>
      </c>
      <c r="BD2935" t="inlineStr">
        <is>
          <t>893446273</t>
        </is>
      </c>
    </row>
    <row r="2936">
      <c r="A2936" t="inlineStr">
        <is>
          <t>No</t>
        </is>
      </c>
      <c r="B2936" t="inlineStr">
        <is>
          <t>BX830 1962 .A2 1970</t>
        </is>
      </c>
      <c r="C2936" t="inlineStr">
        <is>
          <t>0                      BX 0830000               1962   A  2           1970</t>
        </is>
      </c>
      <c r="D2936" t="inlineStr">
        <is>
          <t>Acta synodalia Sacrosancti Concilii Oecumenici Vaticani II.</t>
        </is>
      </c>
      <c r="E2936" t="inlineStr">
        <is>
          <t>V.2 PT.1</t>
        </is>
      </c>
      <c r="F2936" t="inlineStr">
        <is>
          <t>Yes</t>
        </is>
      </c>
      <c r="G2936" t="inlineStr">
        <is>
          <t>1</t>
        </is>
      </c>
      <c r="H2936" t="inlineStr">
        <is>
          <t>No</t>
        </is>
      </c>
      <c r="I2936" t="inlineStr">
        <is>
          <t>Yes</t>
        </is>
      </c>
      <c r="J2936" t="inlineStr">
        <is>
          <t>0</t>
        </is>
      </c>
      <c r="K2936" t="inlineStr">
        <is>
          <t>Vatican Council (2nd : 1962-1965 : Basilica di San Pietro in Vaticano)</t>
        </is>
      </c>
      <c r="L2936" t="inlineStr">
        <is>
          <t>[Vatican City] : Typis polyglottis Vaticanis, 1970-&lt;1978 &gt;</t>
        </is>
      </c>
      <c r="M2936" t="inlineStr">
        <is>
          <t>1970</t>
        </is>
      </c>
      <c r="O2936" t="inlineStr">
        <is>
          <t>lat</t>
        </is>
      </c>
      <c r="P2936" t="inlineStr">
        <is>
          <t xml:space="preserve">it </t>
        </is>
      </c>
      <c r="R2936" t="inlineStr">
        <is>
          <t xml:space="preserve">BX </t>
        </is>
      </c>
      <c r="S2936" t="n">
        <v>2</v>
      </c>
      <c r="T2936" t="n">
        <v>16</v>
      </c>
      <c r="U2936" t="inlineStr">
        <is>
          <t>2002-08-29</t>
        </is>
      </c>
      <c r="V2936" t="inlineStr">
        <is>
          <t>2004-05-21</t>
        </is>
      </c>
      <c r="W2936" t="inlineStr">
        <is>
          <t>1992-04-20</t>
        </is>
      </c>
      <c r="X2936" t="inlineStr">
        <is>
          <t>1992-04-20</t>
        </is>
      </c>
      <c r="Y2936" t="n">
        <v>91</v>
      </c>
      <c r="Z2936" t="n">
        <v>78</v>
      </c>
      <c r="AA2936" t="n">
        <v>80</v>
      </c>
      <c r="AB2936" t="n">
        <v>2</v>
      </c>
      <c r="AC2936" t="n">
        <v>2</v>
      </c>
      <c r="AD2936" t="n">
        <v>15</v>
      </c>
      <c r="AE2936" t="n">
        <v>15</v>
      </c>
      <c r="AF2936" t="n">
        <v>3</v>
      </c>
      <c r="AG2936" t="n">
        <v>3</v>
      </c>
      <c r="AH2936" t="n">
        <v>5</v>
      </c>
      <c r="AI2936" t="n">
        <v>5</v>
      </c>
      <c r="AJ2936" t="n">
        <v>12</v>
      </c>
      <c r="AK2936" t="n">
        <v>12</v>
      </c>
      <c r="AL2936" t="n">
        <v>0</v>
      </c>
      <c r="AM2936" t="n">
        <v>0</v>
      </c>
      <c r="AN2936" t="n">
        <v>0</v>
      </c>
      <c r="AO2936" t="n">
        <v>0</v>
      </c>
      <c r="AP2936" t="inlineStr">
        <is>
          <t>No</t>
        </is>
      </c>
      <c r="AQ2936" t="inlineStr">
        <is>
          <t>No</t>
        </is>
      </c>
      <c r="AS2936">
        <f>HYPERLINK("https://creighton-primo.hosted.exlibrisgroup.com/primo-explore/search?tab=default_tab&amp;search_scope=EVERYTHING&amp;vid=01CRU&amp;lang=en_US&amp;offset=0&amp;query=any,contains,991004536969702656","Catalog Record")</f>
        <v/>
      </c>
      <c r="AT2936">
        <f>HYPERLINK("http://www.worldcat.org/oclc/3872156","WorldCat Record")</f>
        <v/>
      </c>
      <c r="AU2936" t="inlineStr">
        <is>
          <t>4917370651:lat</t>
        </is>
      </c>
      <c r="AV2936" t="inlineStr">
        <is>
          <t>3872156</t>
        </is>
      </c>
      <c r="AW2936" t="inlineStr">
        <is>
          <t>991004536969702656</t>
        </is>
      </c>
      <c r="AX2936" t="inlineStr">
        <is>
          <t>991004536969702656</t>
        </is>
      </c>
      <c r="AY2936" t="inlineStr">
        <is>
          <t>2267074800002656</t>
        </is>
      </c>
      <c r="AZ2936" t="inlineStr">
        <is>
          <t>BOOK</t>
        </is>
      </c>
      <c r="BC2936" t="inlineStr">
        <is>
          <t>32285001052553</t>
        </is>
      </c>
      <c r="BD2936" t="inlineStr">
        <is>
          <t>893442732</t>
        </is>
      </c>
    </row>
    <row r="2937">
      <c r="A2937" t="inlineStr">
        <is>
          <t>No</t>
        </is>
      </c>
      <c r="B2937" t="inlineStr">
        <is>
          <t>BX830 1962 .A2 1970</t>
        </is>
      </c>
      <c r="C2937" t="inlineStr">
        <is>
          <t>0                      BX 0830000               1962   A  2           1970</t>
        </is>
      </c>
      <c r="D2937" t="inlineStr">
        <is>
          <t>Acta synodalia Sacrosancti Concilii Oecumenici Vaticani II.</t>
        </is>
      </c>
      <c r="E2937" t="inlineStr">
        <is>
          <t>V.1 PT.1</t>
        </is>
      </c>
      <c r="F2937" t="inlineStr">
        <is>
          <t>Yes</t>
        </is>
      </c>
      <c r="G2937" t="inlineStr">
        <is>
          <t>1</t>
        </is>
      </c>
      <c r="H2937" t="inlineStr">
        <is>
          <t>No</t>
        </is>
      </c>
      <c r="I2937" t="inlineStr">
        <is>
          <t>Yes</t>
        </is>
      </c>
      <c r="J2937" t="inlineStr">
        <is>
          <t>0</t>
        </is>
      </c>
      <c r="K2937" t="inlineStr">
        <is>
          <t>Vatican Council (2nd : 1962-1965 : Basilica di San Pietro in Vaticano)</t>
        </is>
      </c>
      <c r="L2937" t="inlineStr">
        <is>
          <t>[Vatican City] : Typis polyglottis Vaticanis, 1970-&lt;1978 &gt;</t>
        </is>
      </c>
      <c r="M2937" t="inlineStr">
        <is>
          <t>1970</t>
        </is>
      </c>
      <c r="O2937" t="inlineStr">
        <is>
          <t>lat</t>
        </is>
      </c>
      <c r="P2937" t="inlineStr">
        <is>
          <t xml:space="preserve">it </t>
        </is>
      </c>
      <c r="R2937" t="inlineStr">
        <is>
          <t xml:space="preserve">BX </t>
        </is>
      </c>
      <c r="S2937" t="n">
        <v>2</v>
      </c>
      <c r="T2937" t="n">
        <v>16</v>
      </c>
      <c r="V2937" t="inlineStr">
        <is>
          <t>2004-05-21</t>
        </is>
      </c>
      <c r="W2937" t="inlineStr">
        <is>
          <t>1992-04-20</t>
        </is>
      </c>
      <c r="X2937" t="inlineStr">
        <is>
          <t>1992-04-20</t>
        </is>
      </c>
      <c r="Y2937" t="n">
        <v>91</v>
      </c>
      <c r="Z2937" t="n">
        <v>78</v>
      </c>
      <c r="AA2937" t="n">
        <v>80</v>
      </c>
      <c r="AB2937" t="n">
        <v>2</v>
      </c>
      <c r="AC2937" t="n">
        <v>2</v>
      </c>
      <c r="AD2937" t="n">
        <v>15</v>
      </c>
      <c r="AE2937" t="n">
        <v>15</v>
      </c>
      <c r="AF2937" t="n">
        <v>3</v>
      </c>
      <c r="AG2937" t="n">
        <v>3</v>
      </c>
      <c r="AH2937" t="n">
        <v>5</v>
      </c>
      <c r="AI2937" t="n">
        <v>5</v>
      </c>
      <c r="AJ2937" t="n">
        <v>12</v>
      </c>
      <c r="AK2937" t="n">
        <v>12</v>
      </c>
      <c r="AL2937" t="n">
        <v>0</v>
      </c>
      <c r="AM2937" t="n">
        <v>0</v>
      </c>
      <c r="AN2937" t="n">
        <v>0</v>
      </c>
      <c r="AO2937" t="n">
        <v>0</v>
      </c>
      <c r="AP2937" t="inlineStr">
        <is>
          <t>No</t>
        </is>
      </c>
      <c r="AQ2937" t="inlineStr">
        <is>
          <t>No</t>
        </is>
      </c>
      <c r="AS2937">
        <f>HYPERLINK("https://creighton-primo.hosted.exlibrisgroup.com/primo-explore/search?tab=default_tab&amp;search_scope=EVERYTHING&amp;vid=01CRU&amp;lang=en_US&amp;offset=0&amp;query=any,contains,991004536969702656","Catalog Record")</f>
        <v/>
      </c>
      <c r="AT2937">
        <f>HYPERLINK("http://www.worldcat.org/oclc/3872156","WorldCat Record")</f>
        <v/>
      </c>
      <c r="AU2937" t="inlineStr">
        <is>
          <t>4917370651:lat</t>
        </is>
      </c>
      <c r="AV2937" t="inlineStr">
        <is>
          <t>3872156</t>
        </is>
      </c>
      <c r="AW2937" t="inlineStr">
        <is>
          <t>991004536969702656</t>
        </is>
      </c>
      <c r="AX2937" t="inlineStr">
        <is>
          <t>991004536969702656</t>
        </is>
      </c>
      <c r="AY2937" t="inlineStr">
        <is>
          <t>2267074800002656</t>
        </is>
      </c>
      <c r="AZ2937" t="inlineStr">
        <is>
          <t>BOOK</t>
        </is>
      </c>
      <c r="BC2937" t="inlineStr">
        <is>
          <t>32285001052512</t>
        </is>
      </c>
      <c r="BD2937" t="inlineStr">
        <is>
          <t>893423934</t>
        </is>
      </c>
    </row>
    <row r="2938">
      <c r="A2938" t="inlineStr">
        <is>
          <t>No</t>
        </is>
      </c>
      <c r="B2938" t="inlineStr">
        <is>
          <t>BX830 1962 .A2 1970</t>
        </is>
      </c>
      <c r="C2938" t="inlineStr">
        <is>
          <t>0                      BX 0830000               1962   A  2           1970</t>
        </is>
      </c>
      <c r="D2938" t="inlineStr">
        <is>
          <t>Acta synodalia Sacrosancti Concilii Oecumenici Vaticani II.</t>
        </is>
      </c>
      <c r="E2938" t="inlineStr">
        <is>
          <t>V.2 PT.5</t>
        </is>
      </c>
      <c r="F2938" t="inlineStr">
        <is>
          <t>Yes</t>
        </is>
      </c>
      <c r="G2938" t="inlineStr">
        <is>
          <t>1</t>
        </is>
      </c>
      <c r="H2938" t="inlineStr">
        <is>
          <t>No</t>
        </is>
      </c>
      <c r="I2938" t="inlineStr">
        <is>
          <t>Yes</t>
        </is>
      </c>
      <c r="J2938" t="inlineStr">
        <is>
          <t>0</t>
        </is>
      </c>
      <c r="K2938" t="inlineStr">
        <is>
          <t>Vatican Council (2nd : 1962-1965 : Basilica di San Pietro in Vaticano)</t>
        </is>
      </c>
      <c r="L2938" t="inlineStr">
        <is>
          <t>[Vatican City] : Typis polyglottis Vaticanis, 1970-&lt;1978 &gt;</t>
        </is>
      </c>
      <c r="M2938" t="inlineStr">
        <is>
          <t>1970</t>
        </is>
      </c>
      <c r="O2938" t="inlineStr">
        <is>
          <t>lat</t>
        </is>
      </c>
      <c r="P2938" t="inlineStr">
        <is>
          <t xml:space="preserve">it </t>
        </is>
      </c>
      <c r="R2938" t="inlineStr">
        <is>
          <t xml:space="preserve">BX </t>
        </is>
      </c>
      <c r="S2938" t="n">
        <v>0</v>
      </c>
      <c r="T2938" t="n">
        <v>16</v>
      </c>
      <c r="V2938" t="inlineStr">
        <is>
          <t>2004-05-21</t>
        </is>
      </c>
      <c r="W2938" t="inlineStr">
        <is>
          <t>1992-04-20</t>
        </is>
      </c>
      <c r="X2938" t="inlineStr">
        <is>
          <t>1992-04-20</t>
        </is>
      </c>
      <c r="Y2938" t="n">
        <v>91</v>
      </c>
      <c r="Z2938" t="n">
        <v>78</v>
      </c>
      <c r="AA2938" t="n">
        <v>80</v>
      </c>
      <c r="AB2938" t="n">
        <v>2</v>
      </c>
      <c r="AC2938" t="n">
        <v>2</v>
      </c>
      <c r="AD2938" t="n">
        <v>15</v>
      </c>
      <c r="AE2938" t="n">
        <v>15</v>
      </c>
      <c r="AF2938" t="n">
        <v>3</v>
      </c>
      <c r="AG2938" t="n">
        <v>3</v>
      </c>
      <c r="AH2938" t="n">
        <v>5</v>
      </c>
      <c r="AI2938" t="n">
        <v>5</v>
      </c>
      <c r="AJ2938" t="n">
        <v>12</v>
      </c>
      <c r="AK2938" t="n">
        <v>12</v>
      </c>
      <c r="AL2938" t="n">
        <v>0</v>
      </c>
      <c r="AM2938" t="n">
        <v>0</v>
      </c>
      <c r="AN2938" t="n">
        <v>0</v>
      </c>
      <c r="AO2938" t="n">
        <v>0</v>
      </c>
      <c r="AP2938" t="inlineStr">
        <is>
          <t>No</t>
        </is>
      </c>
      <c r="AQ2938" t="inlineStr">
        <is>
          <t>No</t>
        </is>
      </c>
      <c r="AS2938">
        <f>HYPERLINK("https://creighton-primo.hosted.exlibrisgroup.com/primo-explore/search?tab=default_tab&amp;search_scope=EVERYTHING&amp;vid=01CRU&amp;lang=en_US&amp;offset=0&amp;query=any,contains,991004536969702656","Catalog Record")</f>
        <v/>
      </c>
      <c r="AT2938">
        <f>HYPERLINK("http://www.worldcat.org/oclc/3872156","WorldCat Record")</f>
        <v/>
      </c>
      <c r="AU2938" t="inlineStr">
        <is>
          <t>4917370651:lat</t>
        </is>
      </c>
      <c r="AV2938" t="inlineStr">
        <is>
          <t>3872156</t>
        </is>
      </c>
      <c r="AW2938" t="inlineStr">
        <is>
          <t>991004536969702656</t>
        </is>
      </c>
      <c r="AX2938" t="inlineStr">
        <is>
          <t>991004536969702656</t>
        </is>
      </c>
      <c r="AY2938" t="inlineStr">
        <is>
          <t>2267074800002656</t>
        </is>
      </c>
      <c r="AZ2938" t="inlineStr">
        <is>
          <t>BOOK</t>
        </is>
      </c>
      <c r="BC2938" t="inlineStr">
        <is>
          <t>32285001052595</t>
        </is>
      </c>
      <c r="BD2938" t="inlineStr">
        <is>
          <t>893442731</t>
        </is>
      </c>
    </row>
    <row r="2939">
      <c r="A2939" t="inlineStr">
        <is>
          <t>No</t>
        </is>
      </c>
      <c r="B2939" t="inlineStr">
        <is>
          <t>BX830 1962 .A2 1970</t>
        </is>
      </c>
      <c r="C2939" t="inlineStr">
        <is>
          <t>0                      BX 0830000               1962   A  2           1970</t>
        </is>
      </c>
      <c r="D2939" t="inlineStr">
        <is>
          <t>Acta synodalia Sacrosancti Concilii Oecumenici Vaticani II.</t>
        </is>
      </c>
      <c r="E2939" t="inlineStr">
        <is>
          <t>V.3 PT.1</t>
        </is>
      </c>
      <c r="F2939" t="inlineStr">
        <is>
          <t>Yes</t>
        </is>
      </c>
      <c r="G2939" t="inlineStr">
        <is>
          <t>1</t>
        </is>
      </c>
      <c r="H2939" t="inlineStr">
        <is>
          <t>No</t>
        </is>
      </c>
      <c r="I2939" t="inlineStr">
        <is>
          <t>Yes</t>
        </is>
      </c>
      <c r="J2939" t="inlineStr">
        <is>
          <t>0</t>
        </is>
      </c>
      <c r="K2939" t="inlineStr">
        <is>
          <t>Vatican Council (2nd : 1962-1965 : Basilica di San Pietro in Vaticano)</t>
        </is>
      </c>
      <c r="L2939" t="inlineStr">
        <is>
          <t>[Vatican City] : Typis polyglottis Vaticanis, 1970-&lt;1978 &gt;</t>
        </is>
      </c>
      <c r="M2939" t="inlineStr">
        <is>
          <t>1970</t>
        </is>
      </c>
      <c r="O2939" t="inlineStr">
        <is>
          <t>lat</t>
        </is>
      </c>
      <c r="P2939" t="inlineStr">
        <is>
          <t xml:space="preserve">it </t>
        </is>
      </c>
      <c r="R2939" t="inlineStr">
        <is>
          <t xml:space="preserve">BX </t>
        </is>
      </c>
      <c r="S2939" t="n">
        <v>0</v>
      </c>
      <c r="T2939" t="n">
        <v>16</v>
      </c>
      <c r="V2939" t="inlineStr">
        <is>
          <t>2004-05-21</t>
        </is>
      </c>
      <c r="W2939" t="inlineStr">
        <is>
          <t>1992-04-20</t>
        </is>
      </c>
      <c r="X2939" t="inlineStr">
        <is>
          <t>1992-04-20</t>
        </is>
      </c>
      <c r="Y2939" t="n">
        <v>91</v>
      </c>
      <c r="Z2939" t="n">
        <v>78</v>
      </c>
      <c r="AA2939" t="n">
        <v>80</v>
      </c>
      <c r="AB2939" t="n">
        <v>2</v>
      </c>
      <c r="AC2939" t="n">
        <v>2</v>
      </c>
      <c r="AD2939" t="n">
        <v>15</v>
      </c>
      <c r="AE2939" t="n">
        <v>15</v>
      </c>
      <c r="AF2939" t="n">
        <v>3</v>
      </c>
      <c r="AG2939" t="n">
        <v>3</v>
      </c>
      <c r="AH2939" t="n">
        <v>5</v>
      </c>
      <c r="AI2939" t="n">
        <v>5</v>
      </c>
      <c r="AJ2939" t="n">
        <v>12</v>
      </c>
      <c r="AK2939" t="n">
        <v>12</v>
      </c>
      <c r="AL2939" t="n">
        <v>0</v>
      </c>
      <c r="AM2939" t="n">
        <v>0</v>
      </c>
      <c r="AN2939" t="n">
        <v>0</v>
      </c>
      <c r="AO2939" t="n">
        <v>0</v>
      </c>
      <c r="AP2939" t="inlineStr">
        <is>
          <t>No</t>
        </is>
      </c>
      <c r="AQ2939" t="inlineStr">
        <is>
          <t>No</t>
        </is>
      </c>
      <c r="AS2939">
        <f>HYPERLINK("https://creighton-primo.hosted.exlibrisgroup.com/primo-explore/search?tab=default_tab&amp;search_scope=EVERYTHING&amp;vid=01CRU&amp;lang=en_US&amp;offset=0&amp;query=any,contains,991004536969702656","Catalog Record")</f>
        <v/>
      </c>
      <c r="AT2939">
        <f>HYPERLINK("http://www.worldcat.org/oclc/3872156","WorldCat Record")</f>
        <v/>
      </c>
      <c r="AU2939" t="inlineStr">
        <is>
          <t>4917370651:lat</t>
        </is>
      </c>
      <c r="AV2939" t="inlineStr">
        <is>
          <t>3872156</t>
        </is>
      </c>
      <c r="AW2939" t="inlineStr">
        <is>
          <t>991004536969702656</t>
        </is>
      </c>
      <c r="AX2939" t="inlineStr">
        <is>
          <t>991004536969702656</t>
        </is>
      </c>
      <c r="AY2939" t="inlineStr">
        <is>
          <t>2267074800002656</t>
        </is>
      </c>
      <c r="AZ2939" t="inlineStr">
        <is>
          <t>BOOK</t>
        </is>
      </c>
      <c r="BC2939" t="inlineStr">
        <is>
          <t>32285001052611</t>
        </is>
      </c>
      <c r="BD2939" t="inlineStr">
        <is>
          <t>893436400</t>
        </is>
      </c>
    </row>
    <row r="2940">
      <c r="A2940" t="inlineStr">
        <is>
          <t>No</t>
        </is>
      </c>
      <c r="B2940" t="inlineStr">
        <is>
          <t>BX830 1962 .A2 1970</t>
        </is>
      </c>
      <c r="C2940" t="inlineStr">
        <is>
          <t>0                      BX 0830000               1962   A  2           1970</t>
        </is>
      </c>
      <c r="D2940" t="inlineStr">
        <is>
          <t>Acta synodalia Sacrosancti Concilii Oecumenici Vaticani II.</t>
        </is>
      </c>
      <c r="E2940" t="inlineStr">
        <is>
          <t>V.3 PT.5</t>
        </is>
      </c>
      <c r="F2940" t="inlineStr">
        <is>
          <t>Yes</t>
        </is>
      </c>
      <c r="G2940" t="inlineStr">
        <is>
          <t>1</t>
        </is>
      </c>
      <c r="H2940" t="inlineStr">
        <is>
          <t>No</t>
        </is>
      </c>
      <c r="I2940" t="inlineStr">
        <is>
          <t>Yes</t>
        </is>
      </c>
      <c r="J2940" t="inlineStr">
        <is>
          <t>0</t>
        </is>
      </c>
      <c r="K2940" t="inlineStr">
        <is>
          <t>Vatican Council (2nd : 1962-1965 : Basilica di San Pietro in Vaticano)</t>
        </is>
      </c>
      <c r="L2940" t="inlineStr">
        <is>
          <t>[Vatican City] : Typis polyglottis Vaticanis, 1970-&lt;1978 &gt;</t>
        </is>
      </c>
      <c r="M2940" t="inlineStr">
        <is>
          <t>1970</t>
        </is>
      </c>
      <c r="O2940" t="inlineStr">
        <is>
          <t>lat</t>
        </is>
      </c>
      <c r="P2940" t="inlineStr">
        <is>
          <t xml:space="preserve">it </t>
        </is>
      </c>
      <c r="R2940" t="inlineStr">
        <is>
          <t xml:space="preserve">BX </t>
        </is>
      </c>
      <c r="S2940" t="n">
        <v>1</v>
      </c>
      <c r="T2940" t="n">
        <v>16</v>
      </c>
      <c r="U2940" t="inlineStr">
        <is>
          <t>2002-08-21</t>
        </is>
      </c>
      <c r="V2940" t="inlineStr">
        <is>
          <t>2004-05-21</t>
        </is>
      </c>
      <c r="W2940" t="inlineStr">
        <is>
          <t>1992-04-20</t>
        </is>
      </c>
      <c r="X2940" t="inlineStr">
        <is>
          <t>1992-04-20</t>
        </is>
      </c>
      <c r="Y2940" t="n">
        <v>91</v>
      </c>
      <c r="Z2940" t="n">
        <v>78</v>
      </c>
      <c r="AA2940" t="n">
        <v>80</v>
      </c>
      <c r="AB2940" t="n">
        <v>2</v>
      </c>
      <c r="AC2940" t="n">
        <v>2</v>
      </c>
      <c r="AD2940" t="n">
        <v>15</v>
      </c>
      <c r="AE2940" t="n">
        <v>15</v>
      </c>
      <c r="AF2940" t="n">
        <v>3</v>
      </c>
      <c r="AG2940" t="n">
        <v>3</v>
      </c>
      <c r="AH2940" t="n">
        <v>5</v>
      </c>
      <c r="AI2940" t="n">
        <v>5</v>
      </c>
      <c r="AJ2940" t="n">
        <v>12</v>
      </c>
      <c r="AK2940" t="n">
        <v>12</v>
      </c>
      <c r="AL2940" t="n">
        <v>0</v>
      </c>
      <c r="AM2940" t="n">
        <v>0</v>
      </c>
      <c r="AN2940" t="n">
        <v>0</v>
      </c>
      <c r="AO2940" t="n">
        <v>0</v>
      </c>
      <c r="AP2940" t="inlineStr">
        <is>
          <t>No</t>
        </is>
      </c>
      <c r="AQ2940" t="inlineStr">
        <is>
          <t>No</t>
        </is>
      </c>
      <c r="AS2940">
        <f>HYPERLINK("https://creighton-primo.hosted.exlibrisgroup.com/primo-explore/search?tab=default_tab&amp;search_scope=EVERYTHING&amp;vid=01CRU&amp;lang=en_US&amp;offset=0&amp;query=any,contains,991004536969702656","Catalog Record")</f>
        <v/>
      </c>
      <c r="AT2940">
        <f>HYPERLINK("http://www.worldcat.org/oclc/3872156","WorldCat Record")</f>
        <v/>
      </c>
      <c r="AU2940" t="inlineStr">
        <is>
          <t>4917370651:lat</t>
        </is>
      </c>
      <c r="AV2940" t="inlineStr">
        <is>
          <t>3872156</t>
        </is>
      </c>
      <c r="AW2940" t="inlineStr">
        <is>
          <t>991004536969702656</t>
        </is>
      </c>
      <c r="AX2940" t="inlineStr">
        <is>
          <t>991004536969702656</t>
        </is>
      </c>
      <c r="AY2940" t="inlineStr">
        <is>
          <t>2267074800002656</t>
        </is>
      </c>
      <c r="AZ2940" t="inlineStr">
        <is>
          <t>BOOK</t>
        </is>
      </c>
      <c r="BC2940" t="inlineStr">
        <is>
          <t>32285001052652</t>
        </is>
      </c>
      <c r="BD2940" t="inlineStr">
        <is>
          <t>893442728</t>
        </is>
      </c>
    </row>
    <row r="2941">
      <c r="A2941" t="inlineStr">
        <is>
          <t>No</t>
        </is>
      </c>
      <c r="B2941" t="inlineStr">
        <is>
          <t>BX830 1962 .A2 1970</t>
        </is>
      </c>
      <c r="C2941" t="inlineStr">
        <is>
          <t>0                      BX 0830000               1962   A  2           1970</t>
        </is>
      </c>
      <c r="D2941" t="inlineStr">
        <is>
          <t>Acta synodalia Sacrosancti Concilii Oecumenici Vaticani II.</t>
        </is>
      </c>
      <c r="E2941" t="inlineStr">
        <is>
          <t>V.2 PT.4</t>
        </is>
      </c>
      <c r="F2941" t="inlineStr">
        <is>
          <t>Yes</t>
        </is>
      </c>
      <c r="G2941" t="inlineStr">
        <is>
          <t>1</t>
        </is>
      </c>
      <c r="H2941" t="inlineStr">
        <is>
          <t>No</t>
        </is>
      </c>
      <c r="I2941" t="inlineStr">
        <is>
          <t>Yes</t>
        </is>
      </c>
      <c r="J2941" t="inlineStr">
        <is>
          <t>0</t>
        </is>
      </c>
      <c r="K2941" t="inlineStr">
        <is>
          <t>Vatican Council (2nd : 1962-1965 : Basilica di San Pietro in Vaticano)</t>
        </is>
      </c>
      <c r="L2941" t="inlineStr">
        <is>
          <t>[Vatican City] : Typis polyglottis Vaticanis, 1970-&lt;1978 &gt;</t>
        </is>
      </c>
      <c r="M2941" t="inlineStr">
        <is>
          <t>1970</t>
        </is>
      </c>
      <c r="O2941" t="inlineStr">
        <is>
          <t>lat</t>
        </is>
      </c>
      <c r="P2941" t="inlineStr">
        <is>
          <t xml:space="preserve">it </t>
        </is>
      </c>
      <c r="R2941" t="inlineStr">
        <is>
          <t xml:space="preserve">BX </t>
        </is>
      </c>
      <c r="S2941" t="n">
        <v>0</v>
      </c>
      <c r="T2941" t="n">
        <v>16</v>
      </c>
      <c r="V2941" t="inlineStr">
        <is>
          <t>2004-05-21</t>
        </is>
      </c>
      <c r="W2941" t="inlineStr">
        <is>
          <t>1992-04-20</t>
        </is>
      </c>
      <c r="X2941" t="inlineStr">
        <is>
          <t>1992-04-20</t>
        </is>
      </c>
      <c r="Y2941" t="n">
        <v>91</v>
      </c>
      <c r="Z2941" t="n">
        <v>78</v>
      </c>
      <c r="AA2941" t="n">
        <v>80</v>
      </c>
      <c r="AB2941" t="n">
        <v>2</v>
      </c>
      <c r="AC2941" t="n">
        <v>2</v>
      </c>
      <c r="AD2941" t="n">
        <v>15</v>
      </c>
      <c r="AE2941" t="n">
        <v>15</v>
      </c>
      <c r="AF2941" t="n">
        <v>3</v>
      </c>
      <c r="AG2941" t="n">
        <v>3</v>
      </c>
      <c r="AH2941" t="n">
        <v>5</v>
      </c>
      <c r="AI2941" t="n">
        <v>5</v>
      </c>
      <c r="AJ2941" t="n">
        <v>12</v>
      </c>
      <c r="AK2941" t="n">
        <v>12</v>
      </c>
      <c r="AL2941" t="n">
        <v>0</v>
      </c>
      <c r="AM2941" t="n">
        <v>0</v>
      </c>
      <c r="AN2941" t="n">
        <v>0</v>
      </c>
      <c r="AO2941" t="n">
        <v>0</v>
      </c>
      <c r="AP2941" t="inlineStr">
        <is>
          <t>No</t>
        </is>
      </c>
      <c r="AQ2941" t="inlineStr">
        <is>
          <t>No</t>
        </is>
      </c>
      <c r="AS2941">
        <f>HYPERLINK("https://creighton-primo.hosted.exlibrisgroup.com/primo-explore/search?tab=default_tab&amp;search_scope=EVERYTHING&amp;vid=01CRU&amp;lang=en_US&amp;offset=0&amp;query=any,contains,991004536969702656","Catalog Record")</f>
        <v/>
      </c>
      <c r="AT2941">
        <f>HYPERLINK("http://www.worldcat.org/oclc/3872156","WorldCat Record")</f>
        <v/>
      </c>
      <c r="AU2941" t="inlineStr">
        <is>
          <t>4917370651:lat</t>
        </is>
      </c>
      <c r="AV2941" t="inlineStr">
        <is>
          <t>3872156</t>
        </is>
      </c>
      <c r="AW2941" t="inlineStr">
        <is>
          <t>991004536969702656</t>
        </is>
      </c>
      <c r="AX2941" t="inlineStr">
        <is>
          <t>991004536969702656</t>
        </is>
      </c>
      <c r="AY2941" t="inlineStr">
        <is>
          <t>2267074800002656</t>
        </is>
      </c>
      <c r="AZ2941" t="inlineStr">
        <is>
          <t>BOOK</t>
        </is>
      </c>
      <c r="BC2941" t="inlineStr">
        <is>
          <t>32285001052587</t>
        </is>
      </c>
      <c r="BD2941" t="inlineStr">
        <is>
          <t>893436395</t>
        </is>
      </c>
    </row>
    <row r="2942">
      <c r="A2942" t="inlineStr">
        <is>
          <t>No</t>
        </is>
      </c>
      <c r="B2942" t="inlineStr">
        <is>
          <t>BX830 1962 .A2 1970</t>
        </is>
      </c>
      <c r="C2942" t="inlineStr">
        <is>
          <t>0                      BX 0830000               1962   A  2           1970</t>
        </is>
      </c>
      <c r="D2942" t="inlineStr">
        <is>
          <t>Acta synodalia Sacrosancti Concilii Oecumenici Vaticani II.</t>
        </is>
      </c>
      <c r="E2942" t="inlineStr">
        <is>
          <t>V.3 PT.6</t>
        </is>
      </c>
      <c r="F2942" t="inlineStr">
        <is>
          <t>Yes</t>
        </is>
      </c>
      <c r="G2942" t="inlineStr">
        <is>
          <t>1</t>
        </is>
      </c>
      <c r="H2942" t="inlineStr">
        <is>
          <t>No</t>
        </is>
      </c>
      <c r="I2942" t="inlineStr">
        <is>
          <t>Yes</t>
        </is>
      </c>
      <c r="J2942" t="inlineStr">
        <is>
          <t>0</t>
        </is>
      </c>
      <c r="K2942" t="inlineStr">
        <is>
          <t>Vatican Council (2nd : 1962-1965 : Basilica di San Pietro in Vaticano)</t>
        </is>
      </c>
      <c r="L2942" t="inlineStr">
        <is>
          <t>[Vatican City] : Typis polyglottis Vaticanis, 1970-&lt;1978 &gt;</t>
        </is>
      </c>
      <c r="M2942" t="inlineStr">
        <is>
          <t>1970</t>
        </is>
      </c>
      <c r="O2942" t="inlineStr">
        <is>
          <t>lat</t>
        </is>
      </c>
      <c r="P2942" t="inlineStr">
        <is>
          <t xml:space="preserve">it </t>
        </is>
      </c>
      <c r="R2942" t="inlineStr">
        <is>
          <t xml:space="preserve">BX </t>
        </is>
      </c>
      <c r="S2942" t="n">
        <v>1</v>
      </c>
      <c r="T2942" t="n">
        <v>16</v>
      </c>
      <c r="U2942" t="inlineStr">
        <is>
          <t>2002-08-21</t>
        </is>
      </c>
      <c r="V2942" t="inlineStr">
        <is>
          <t>2004-05-21</t>
        </is>
      </c>
      <c r="W2942" t="inlineStr">
        <is>
          <t>1992-04-20</t>
        </is>
      </c>
      <c r="X2942" t="inlineStr">
        <is>
          <t>1992-04-20</t>
        </is>
      </c>
      <c r="Y2942" t="n">
        <v>91</v>
      </c>
      <c r="Z2942" t="n">
        <v>78</v>
      </c>
      <c r="AA2942" t="n">
        <v>80</v>
      </c>
      <c r="AB2942" t="n">
        <v>2</v>
      </c>
      <c r="AC2942" t="n">
        <v>2</v>
      </c>
      <c r="AD2942" t="n">
        <v>15</v>
      </c>
      <c r="AE2942" t="n">
        <v>15</v>
      </c>
      <c r="AF2942" t="n">
        <v>3</v>
      </c>
      <c r="AG2942" t="n">
        <v>3</v>
      </c>
      <c r="AH2942" t="n">
        <v>5</v>
      </c>
      <c r="AI2942" t="n">
        <v>5</v>
      </c>
      <c r="AJ2942" t="n">
        <v>12</v>
      </c>
      <c r="AK2942" t="n">
        <v>12</v>
      </c>
      <c r="AL2942" t="n">
        <v>0</v>
      </c>
      <c r="AM2942" t="n">
        <v>0</v>
      </c>
      <c r="AN2942" t="n">
        <v>0</v>
      </c>
      <c r="AO2942" t="n">
        <v>0</v>
      </c>
      <c r="AP2942" t="inlineStr">
        <is>
          <t>No</t>
        </is>
      </c>
      <c r="AQ2942" t="inlineStr">
        <is>
          <t>No</t>
        </is>
      </c>
      <c r="AS2942">
        <f>HYPERLINK("https://creighton-primo.hosted.exlibrisgroup.com/primo-explore/search?tab=default_tab&amp;search_scope=EVERYTHING&amp;vid=01CRU&amp;lang=en_US&amp;offset=0&amp;query=any,contains,991004536969702656","Catalog Record")</f>
        <v/>
      </c>
      <c r="AT2942">
        <f>HYPERLINK("http://www.worldcat.org/oclc/3872156","WorldCat Record")</f>
        <v/>
      </c>
      <c r="AU2942" t="inlineStr">
        <is>
          <t>4917370651:lat</t>
        </is>
      </c>
      <c r="AV2942" t="inlineStr">
        <is>
          <t>3872156</t>
        </is>
      </c>
      <c r="AW2942" t="inlineStr">
        <is>
          <t>991004536969702656</t>
        </is>
      </c>
      <c r="AX2942" t="inlineStr">
        <is>
          <t>991004536969702656</t>
        </is>
      </c>
      <c r="AY2942" t="inlineStr">
        <is>
          <t>2267074800002656</t>
        </is>
      </c>
      <c r="AZ2942" t="inlineStr">
        <is>
          <t>BOOK</t>
        </is>
      </c>
      <c r="BC2942" t="inlineStr">
        <is>
          <t>32285001052660</t>
        </is>
      </c>
      <c r="BD2942" t="inlineStr">
        <is>
          <t>893442730</t>
        </is>
      </c>
    </row>
    <row r="2943">
      <c r="A2943" t="inlineStr">
        <is>
          <t>No</t>
        </is>
      </c>
      <c r="B2943" t="inlineStr">
        <is>
          <t>BX830 1962 .A2 1970</t>
        </is>
      </c>
      <c r="C2943" t="inlineStr">
        <is>
          <t>0                      BX 0830000               1962   A  2           1970</t>
        </is>
      </c>
      <c r="D2943" t="inlineStr">
        <is>
          <t>Acta synodalia Sacrosancti Concilii Oecumenici Vaticani II.</t>
        </is>
      </c>
      <c r="E2943" t="inlineStr">
        <is>
          <t>V.2 PT.6</t>
        </is>
      </c>
      <c r="F2943" t="inlineStr">
        <is>
          <t>Yes</t>
        </is>
      </c>
      <c r="G2943" t="inlineStr">
        <is>
          <t>1</t>
        </is>
      </c>
      <c r="H2943" t="inlineStr">
        <is>
          <t>No</t>
        </is>
      </c>
      <c r="I2943" t="inlineStr">
        <is>
          <t>Yes</t>
        </is>
      </c>
      <c r="J2943" t="inlineStr">
        <is>
          <t>0</t>
        </is>
      </c>
      <c r="K2943" t="inlineStr">
        <is>
          <t>Vatican Council (2nd : 1962-1965 : Basilica di San Pietro in Vaticano)</t>
        </is>
      </c>
      <c r="L2943" t="inlineStr">
        <is>
          <t>[Vatican City] : Typis polyglottis Vaticanis, 1970-&lt;1978 &gt;</t>
        </is>
      </c>
      <c r="M2943" t="inlineStr">
        <is>
          <t>1970</t>
        </is>
      </c>
      <c r="O2943" t="inlineStr">
        <is>
          <t>lat</t>
        </is>
      </c>
      <c r="P2943" t="inlineStr">
        <is>
          <t xml:space="preserve">it </t>
        </is>
      </c>
      <c r="R2943" t="inlineStr">
        <is>
          <t xml:space="preserve">BX </t>
        </is>
      </c>
      <c r="S2943" t="n">
        <v>0</v>
      </c>
      <c r="T2943" t="n">
        <v>16</v>
      </c>
      <c r="V2943" t="inlineStr">
        <is>
          <t>2004-05-21</t>
        </is>
      </c>
      <c r="W2943" t="inlineStr">
        <is>
          <t>1992-04-20</t>
        </is>
      </c>
      <c r="X2943" t="inlineStr">
        <is>
          <t>1992-04-20</t>
        </is>
      </c>
      <c r="Y2943" t="n">
        <v>91</v>
      </c>
      <c r="Z2943" t="n">
        <v>78</v>
      </c>
      <c r="AA2943" t="n">
        <v>80</v>
      </c>
      <c r="AB2943" t="n">
        <v>2</v>
      </c>
      <c r="AC2943" t="n">
        <v>2</v>
      </c>
      <c r="AD2943" t="n">
        <v>15</v>
      </c>
      <c r="AE2943" t="n">
        <v>15</v>
      </c>
      <c r="AF2943" t="n">
        <v>3</v>
      </c>
      <c r="AG2943" t="n">
        <v>3</v>
      </c>
      <c r="AH2943" t="n">
        <v>5</v>
      </c>
      <c r="AI2943" t="n">
        <v>5</v>
      </c>
      <c r="AJ2943" t="n">
        <v>12</v>
      </c>
      <c r="AK2943" t="n">
        <v>12</v>
      </c>
      <c r="AL2943" t="n">
        <v>0</v>
      </c>
      <c r="AM2943" t="n">
        <v>0</v>
      </c>
      <c r="AN2943" t="n">
        <v>0</v>
      </c>
      <c r="AO2943" t="n">
        <v>0</v>
      </c>
      <c r="AP2943" t="inlineStr">
        <is>
          <t>No</t>
        </is>
      </c>
      <c r="AQ2943" t="inlineStr">
        <is>
          <t>No</t>
        </is>
      </c>
      <c r="AS2943">
        <f>HYPERLINK("https://creighton-primo.hosted.exlibrisgroup.com/primo-explore/search?tab=default_tab&amp;search_scope=EVERYTHING&amp;vid=01CRU&amp;lang=en_US&amp;offset=0&amp;query=any,contains,991004536969702656","Catalog Record")</f>
        <v/>
      </c>
      <c r="AT2943">
        <f>HYPERLINK("http://www.worldcat.org/oclc/3872156","WorldCat Record")</f>
        <v/>
      </c>
      <c r="AU2943" t="inlineStr">
        <is>
          <t>4917370651:lat</t>
        </is>
      </c>
      <c r="AV2943" t="inlineStr">
        <is>
          <t>3872156</t>
        </is>
      </c>
      <c r="AW2943" t="inlineStr">
        <is>
          <t>991004536969702656</t>
        </is>
      </c>
      <c r="AX2943" t="inlineStr">
        <is>
          <t>991004536969702656</t>
        </is>
      </c>
      <c r="AY2943" t="inlineStr">
        <is>
          <t>2267074800002656</t>
        </is>
      </c>
      <c r="AZ2943" t="inlineStr">
        <is>
          <t>BOOK</t>
        </is>
      </c>
      <c r="BC2943" t="inlineStr">
        <is>
          <t>32285001052603</t>
        </is>
      </c>
      <c r="BD2943" t="inlineStr">
        <is>
          <t>893442729</t>
        </is>
      </c>
    </row>
    <row r="2944">
      <c r="A2944" t="inlineStr">
        <is>
          <t>No</t>
        </is>
      </c>
      <c r="B2944" t="inlineStr">
        <is>
          <t>BX830 1962 .A2 1970</t>
        </is>
      </c>
      <c r="C2944" t="inlineStr">
        <is>
          <t>0                      BX 0830000               1962   A  2           1970</t>
        </is>
      </c>
      <c r="D2944" t="inlineStr">
        <is>
          <t>Acta synodalia Sacrosancti Concilii Oecumenici Vaticani II.</t>
        </is>
      </c>
      <c r="E2944" t="inlineStr">
        <is>
          <t>V.3 PT.7</t>
        </is>
      </c>
      <c r="F2944" t="inlineStr">
        <is>
          <t>Yes</t>
        </is>
      </c>
      <c r="G2944" t="inlineStr">
        <is>
          <t>1</t>
        </is>
      </c>
      <c r="H2944" t="inlineStr">
        <is>
          <t>No</t>
        </is>
      </c>
      <c r="I2944" t="inlineStr">
        <is>
          <t>Yes</t>
        </is>
      </c>
      <c r="J2944" t="inlineStr">
        <is>
          <t>0</t>
        </is>
      </c>
      <c r="K2944" t="inlineStr">
        <is>
          <t>Vatican Council (2nd : 1962-1965 : Basilica di San Pietro in Vaticano)</t>
        </is>
      </c>
      <c r="L2944" t="inlineStr">
        <is>
          <t>[Vatican City] : Typis polyglottis Vaticanis, 1970-&lt;1978 &gt;</t>
        </is>
      </c>
      <c r="M2944" t="inlineStr">
        <is>
          <t>1970</t>
        </is>
      </c>
      <c r="O2944" t="inlineStr">
        <is>
          <t>lat</t>
        </is>
      </c>
      <c r="P2944" t="inlineStr">
        <is>
          <t xml:space="preserve">it </t>
        </is>
      </c>
      <c r="R2944" t="inlineStr">
        <is>
          <t xml:space="preserve">BX </t>
        </is>
      </c>
      <c r="S2944" t="n">
        <v>0</v>
      </c>
      <c r="T2944" t="n">
        <v>16</v>
      </c>
      <c r="V2944" t="inlineStr">
        <is>
          <t>2004-05-21</t>
        </is>
      </c>
      <c r="W2944" t="inlineStr">
        <is>
          <t>1992-04-20</t>
        </is>
      </c>
      <c r="X2944" t="inlineStr">
        <is>
          <t>1992-04-20</t>
        </is>
      </c>
      <c r="Y2944" t="n">
        <v>91</v>
      </c>
      <c r="Z2944" t="n">
        <v>78</v>
      </c>
      <c r="AA2944" t="n">
        <v>80</v>
      </c>
      <c r="AB2944" t="n">
        <v>2</v>
      </c>
      <c r="AC2944" t="n">
        <v>2</v>
      </c>
      <c r="AD2944" t="n">
        <v>15</v>
      </c>
      <c r="AE2944" t="n">
        <v>15</v>
      </c>
      <c r="AF2944" t="n">
        <v>3</v>
      </c>
      <c r="AG2944" t="n">
        <v>3</v>
      </c>
      <c r="AH2944" t="n">
        <v>5</v>
      </c>
      <c r="AI2944" t="n">
        <v>5</v>
      </c>
      <c r="AJ2944" t="n">
        <v>12</v>
      </c>
      <c r="AK2944" t="n">
        <v>12</v>
      </c>
      <c r="AL2944" t="n">
        <v>0</v>
      </c>
      <c r="AM2944" t="n">
        <v>0</v>
      </c>
      <c r="AN2944" t="n">
        <v>0</v>
      </c>
      <c r="AO2944" t="n">
        <v>0</v>
      </c>
      <c r="AP2944" t="inlineStr">
        <is>
          <t>No</t>
        </is>
      </c>
      <c r="AQ2944" t="inlineStr">
        <is>
          <t>No</t>
        </is>
      </c>
      <c r="AS2944">
        <f>HYPERLINK("https://creighton-primo.hosted.exlibrisgroup.com/primo-explore/search?tab=default_tab&amp;search_scope=EVERYTHING&amp;vid=01CRU&amp;lang=en_US&amp;offset=0&amp;query=any,contains,991004536969702656","Catalog Record")</f>
        <v/>
      </c>
      <c r="AT2944">
        <f>HYPERLINK("http://www.worldcat.org/oclc/3872156","WorldCat Record")</f>
        <v/>
      </c>
      <c r="AU2944" t="inlineStr">
        <is>
          <t>4917370651:lat</t>
        </is>
      </c>
      <c r="AV2944" t="inlineStr">
        <is>
          <t>3872156</t>
        </is>
      </c>
      <c r="AW2944" t="inlineStr">
        <is>
          <t>991004536969702656</t>
        </is>
      </c>
      <c r="AX2944" t="inlineStr">
        <is>
          <t>991004536969702656</t>
        </is>
      </c>
      <c r="AY2944" t="inlineStr">
        <is>
          <t>2267074800002656</t>
        </is>
      </c>
      <c r="AZ2944" t="inlineStr">
        <is>
          <t>BOOK</t>
        </is>
      </c>
      <c r="BC2944" t="inlineStr">
        <is>
          <t>32285001052678</t>
        </is>
      </c>
      <c r="BD2944" t="inlineStr">
        <is>
          <t>893423932</t>
        </is>
      </c>
    </row>
    <row r="2945">
      <c r="A2945" t="inlineStr">
        <is>
          <t>No</t>
        </is>
      </c>
      <c r="B2945" t="inlineStr">
        <is>
          <t>BX830 1962 .A2 1970</t>
        </is>
      </c>
      <c r="C2945" t="inlineStr">
        <is>
          <t>0                      BX 0830000               1962   A  2           1970</t>
        </is>
      </c>
      <c r="D2945" t="inlineStr">
        <is>
          <t>Acta synodalia Sacrosancti Concilii Oecumenici Vaticani II.</t>
        </is>
      </c>
      <c r="E2945" t="inlineStr">
        <is>
          <t>V.4 PT.7</t>
        </is>
      </c>
      <c r="F2945" t="inlineStr">
        <is>
          <t>Yes</t>
        </is>
      </c>
      <c r="G2945" t="inlineStr">
        <is>
          <t>1</t>
        </is>
      </c>
      <c r="H2945" t="inlineStr">
        <is>
          <t>No</t>
        </is>
      </c>
      <c r="I2945" t="inlineStr">
        <is>
          <t>Yes</t>
        </is>
      </c>
      <c r="J2945" t="inlineStr">
        <is>
          <t>0</t>
        </is>
      </c>
      <c r="K2945" t="inlineStr">
        <is>
          <t>Vatican Council (2nd : 1962-1965 : Basilica di San Pietro in Vaticano)</t>
        </is>
      </c>
      <c r="L2945" t="inlineStr">
        <is>
          <t>[Vatican City] : Typis polyglottis Vaticanis, 1970-&lt;1978 &gt;</t>
        </is>
      </c>
      <c r="M2945" t="inlineStr">
        <is>
          <t>1970</t>
        </is>
      </c>
      <c r="O2945" t="inlineStr">
        <is>
          <t>lat</t>
        </is>
      </c>
      <c r="P2945" t="inlineStr">
        <is>
          <t xml:space="preserve">it </t>
        </is>
      </c>
      <c r="R2945" t="inlineStr">
        <is>
          <t xml:space="preserve">BX </t>
        </is>
      </c>
      <c r="S2945" t="n">
        <v>2</v>
      </c>
      <c r="T2945" t="n">
        <v>16</v>
      </c>
      <c r="U2945" t="inlineStr">
        <is>
          <t>2002-08-22</t>
        </is>
      </c>
      <c r="V2945" t="inlineStr">
        <is>
          <t>2004-05-21</t>
        </is>
      </c>
      <c r="W2945" t="inlineStr">
        <is>
          <t>1992-04-20</t>
        </is>
      </c>
      <c r="X2945" t="inlineStr">
        <is>
          <t>1992-04-20</t>
        </is>
      </c>
      <c r="Y2945" t="n">
        <v>91</v>
      </c>
      <c r="Z2945" t="n">
        <v>78</v>
      </c>
      <c r="AA2945" t="n">
        <v>80</v>
      </c>
      <c r="AB2945" t="n">
        <v>2</v>
      </c>
      <c r="AC2945" t="n">
        <v>2</v>
      </c>
      <c r="AD2945" t="n">
        <v>15</v>
      </c>
      <c r="AE2945" t="n">
        <v>15</v>
      </c>
      <c r="AF2945" t="n">
        <v>3</v>
      </c>
      <c r="AG2945" t="n">
        <v>3</v>
      </c>
      <c r="AH2945" t="n">
        <v>5</v>
      </c>
      <c r="AI2945" t="n">
        <v>5</v>
      </c>
      <c r="AJ2945" t="n">
        <v>12</v>
      </c>
      <c r="AK2945" t="n">
        <v>12</v>
      </c>
      <c r="AL2945" t="n">
        <v>0</v>
      </c>
      <c r="AM2945" t="n">
        <v>0</v>
      </c>
      <c r="AN2945" t="n">
        <v>0</v>
      </c>
      <c r="AO2945" t="n">
        <v>0</v>
      </c>
      <c r="AP2945" t="inlineStr">
        <is>
          <t>No</t>
        </is>
      </c>
      <c r="AQ2945" t="inlineStr">
        <is>
          <t>No</t>
        </is>
      </c>
      <c r="AS2945">
        <f>HYPERLINK("https://creighton-primo.hosted.exlibrisgroup.com/primo-explore/search?tab=default_tab&amp;search_scope=EVERYTHING&amp;vid=01CRU&amp;lang=en_US&amp;offset=0&amp;query=any,contains,991004536969702656","Catalog Record")</f>
        <v/>
      </c>
      <c r="AT2945">
        <f>HYPERLINK("http://www.worldcat.org/oclc/3872156","WorldCat Record")</f>
        <v/>
      </c>
      <c r="AU2945" t="inlineStr">
        <is>
          <t>4917370651:lat</t>
        </is>
      </c>
      <c r="AV2945" t="inlineStr">
        <is>
          <t>3872156</t>
        </is>
      </c>
      <c r="AW2945" t="inlineStr">
        <is>
          <t>991004536969702656</t>
        </is>
      </c>
      <c r="AX2945" t="inlineStr">
        <is>
          <t>991004536969702656</t>
        </is>
      </c>
      <c r="AY2945" t="inlineStr">
        <is>
          <t>2267074800002656</t>
        </is>
      </c>
      <c r="AZ2945" t="inlineStr">
        <is>
          <t>BOOK</t>
        </is>
      </c>
      <c r="BC2945" t="inlineStr">
        <is>
          <t>32285001052744</t>
        </is>
      </c>
      <c r="BD2945" t="inlineStr">
        <is>
          <t>893442727</t>
        </is>
      </c>
    </row>
    <row r="2946">
      <c r="A2946" t="inlineStr">
        <is>
          <t>No</t>
        </is>
      </c>
      <c r="B2946" t="inlineStr">
        <is>
          <t>BX830 1962 .A2 1970</t>
        </is>
      </c>
      <c r="C2946" t="inlineStr">
        <is>
          <t>0                      BX 0830000               1962   A  2           1970</t>
        </is>
      </c>
      <c r="D2946" t="inlineStr">
        <is>
          <t>Acta synodalia Sacrosancti Concilii Oecumenici Vaticani II.</t>
        </is>
      </c>
      <c r="E2946" t="inlineStr">
        <is>
          <t>V.3 PT.8</t>
        </is>
      </c>
      <c r="F2946" t="inlineStr">
        <is>
          <t>Yes</t>
        </is>
      </c>
      <c r="G2946" t="inlineStr">
        <is>
          <t>1</t>
        </is>
      </c>
      <c r="H2946" t="inlineStr">
        <is>
          <t>No</t>
        </is>
      </c>
      <c r="I2946" t="inlineStr">
        <is>
          <t>Yes</t>
        </is>
      </c>
      <c r="J2946" t="inlineStr">
        <is>
          <t>0</t>
        </is>
      </c>
      <c r="K2946" t="inlineStr">
        <is>
          <t>Vatican Council (2nd : 1962-1965 : Basilica di San Pietro in Vaticano)</t>
        </is>
      </c>
      <c r="L2946" t="inlineStr">
        <is>
          <t>[Vatican City] : Typis polyglottis Vaticanis, 1970-&lt;1978 &gt;</t>
        </is>
      </c>
      <c r="M2946" t="inlineStr">
        <is>
          <t>1970</t>
        </is>
      </c>
      <c r="O2946" t="inlineStr">
        <is>
          <t>lat</t>
        </is>
      </c>
      <c r="P2946" t="inlineStr">
        <is>
          <t xml:space="preserve">it </t>
        </is>
      </c>
      <c r="R2946" t="inlineStr">
        <is>
          <t xml:space="preserve">BX </t>
        </is>
      </c>
      <c r="S2946" t="n">
        <v>0</v>
      </c>
      <c r="T2946" t="n">
        <v>16</v>
      </c>
      <c r="V2946" t="inlineStr">
        <is>
          <t>2004-05-21</t>
        </is>
      </c>
      <c r="W2946" t="inlineStr">
        <is>
          <t>1992-04-20</t>
        </is>
      </c>
      <c r="X2946" t="inlineStr">
        <is>
          <t>1992-04-20</t>
        </is>
      </c>
      <c r="Y2946" t="n">
        <v>91</v>
      </c>
      <c r="Z2946" t="n">
        <v>78</v>
      </c>
      <c r="AA2946" t="n">
        <v>80</v>
      </c>
      <c r="AB2946" t="n">
        <v>2</v>
      </c>
      <c r="AC2946" t="n">
        <v>2</v>
      </c>
      <c r="AD2946" t="n">
        <v>15</v>
      </c>
      <c r="AE2946" t="n">
        <v>15</v>
      </c>
      <c r="AF2946" t="n">
        <v>3</v>
      </c>
      <c r="AG2946" t="n">
        <v>3</v>
      </c>
      <c r="AH2946" t="n">
        <v>5</v>
      </c>
      <c r="AI2946" t="n">
        <v>5</v>
      </c>
      <c r="AJ2946" t="n">
        <v>12</v>
      </c>
      <c r="AK2946" t="n">
        <v>12</v>
      </c>
      <c r="AL2946" t="n">
        <v>0</v>
      </c>
      <c r="AM2946" t="n">
        <v>0</v>
      </c>
      <c r="AN2946" t="n">
        <v>0</v>
      </c>
      <c r="AO2946" t="n">
        <v>0</v>
      </c>
      <c r="AP2946" t="inlineStr">
        <is>
          <t>No</t>
        </is>
      </c>
      <c r="AQ2946" t="inlineStr">
        <is>
          <t>No</t>
        </is>
      </c>
      <c r="AS2946">
        <f>HYPERLINK("https://creighton-primo.hosted.exlibrisgroup.com/primo-explore/search?tab=default_tab&amp;search_scope=EVERYTHING&amp;vid=01CRU&amp;lang=en_US&amp;offset=0&amp;query=any,contains,991004536969702656","Catalog Record")</f>
        <v/>
      </c>
      <c r="AT2946">
        <f>HYPERLINK("http://www.worldcat.org/oclc/3872156","WorldCat Record")</f>
        <v/>
      </c>
      <c r="AU2946" t="inlineStr">
        <is>
          <t>4917370651:lat</t>
        </is>
      </c>
      <c r="AV2946" t="inlineStr">
        <is>
          <t>3872156</t>
        </is>
      </c>
      <c r="AW2946" t="inlineStr">
        <is>
          <t>991004536969702656</t>
        </is>
      </c>
      <c r="AX2946" t="inlineStr">
        <is>
          <t>991004536969702656</t>
        </is>
      </c>
      <c r="AY2946" t="inlineStr">
        <is>
          <t>2267074800002656</t>
        </is>
      </c>
      <c r="AZ2946" t="inlineStr">
        <is>
          <t>BOOK</t>
        </is>
      </c>
      <c r="BC2946" t="inlineStr">
        <is>
          <t>32285001052686</t>
        </is>
      </c>
      <c r="BD2946" t="inlineStr">
        <is>
          <t>893411658</t>
        </is>
      </c>
    </row>
    <row r="2947">
      <c r="A2947" t="inlineStr">
        <is>
          <t>No</t>
        </is>
      </c>
      <c r="B2947" t="inlineStr">
        <is>
          <t>BX830 1962 .A514 1967</t>
        </is>
      </c>
      <c r="C2947" t="inlineStr">
        <is>
          <t>0                      BX 0830000               1962   A  514         1967</t>
        </is>
      </c>
      <c r="D2947" t="inlineStr">
        <is>
          <t>American participation in the second Vatican Council / edited by Vincent A. Yzermans.</t>
        </is>
      </c>
      <c r="F2947" t="inlineStr">
        <is>
          <t>No</t>
        </is>
      </c>
      <c r="G2947" t="inlineStr">
        <is>
          <t>1</t>
        </is>
      </c>
      <c r="H2947" t="inlineStr">
        <is>
          <t>No</t>
        </is>
      </c>
      <c r="I2947" t="inlineStr">
        <is>
          <t>No</t>
        </is>
      </c>
      <c r="J2947" t="inlineStr">
        <is>
          <t>0</t>
        </is>
      </c>
      <c r="K2947" t="inlineStr">
        <is>
          <t>Vatican Council (2nd : 1962-1965 : Basilica di San Pietro in Vaticano)</t>
        </is>
      </c>
      <c r="L2947" t="inlineStr">
        <is>
          <t>New York : Sheed and Ward, [1967]</t>
        </is>
      </c>
      <c r="M2947" t="inlineStr">
        <is>
          <t>1967</t>
        </is>
      </c>
      <c r="O2947" t="inlineStr">
        <is>
          <t>eng</t>
        </is>
      </c>
      <c r="P2947" t="inlineStr">
        <is>
          <t>nyu</t>
        </is>
      </c>
      <c r="R2947" t="inlineStr">
        <is>
          <t xml:space="preserve">BX </t>
        </is>
      </c>
      <c r="S2947" t="n">
        <v>5</v>
      </c>
      <c r="T2947" t="n">
        <v>5</v>
      </c>
      <c r="U2947" t="inlineStr">
        <is>
          <t>2007-01-05</t>
        </is>
      </c>
      <c r="V2947" t="inlineStr">
        <is>
          <t>2007-01-05</t>
        </is>
      </c>
      <c r="W2947" t="inlineStr">
        <is>
          <t>1992-04-23</t>
        </is>
      </c>
      <c r="X2947" t="inlineStr">
        <is>
          <t>1992-04-23</t>
        </is>
      </c>
      <c r="Y2947" t="n">
        <v>402</v>
      </c>
      <c r="Z2947" t="n">
        <v>370</v>
      </c>
      <c r="AA2947" t="n">
        <v>377</v>
      </c>
      <c r="AB2947" t="n">
        <v>5</v>
      </c>
      <c r="AC2947" t="n">
        <v>5</v>
      </c>
      <c r="AD2947" t="n">
        <v>36</v>
      </c>
      <c r="AE2947" t="n">
        <v>36</v>
      </c>
      <c r="AF2947" t="n">
        <v>12</v>
      </c>
      <c r="AG2947" t="n">
        <v>12</v>
      </c>
      <c r="AH2947" t="n">
        <v>10</v>
      </c>
      <c r="AI2947" t="n">
        <v>10</v>
      </c>
      <c r="AJ2947" t="n">
        <v>24</v>
      </c>
      <c r="AK2947" t="n">
        <v>24</v>
      </c>
      <c r="AL2947" t="n">
        <v>2</v>
      </c>
      <c r="AM2947" t="n">
        <v>2</v>
      </c>
      <c r="AN2947" t="n">
        <v>0</v>
      </c>
      <c r="AO2947" t="n">
        <v>0</v>
      </c>
      <c r="AP2947" t="inlineStr">
        <is>
          <t>No</t>
        </is>
      </c>
      <c r="AQ2947" t="inlineStr">
        <is>
          <t>Yes</t>
        </is>
      </c>
      <c r="AR2947">
        <f>HYPERLINK("http://catalog.hathitrust.org/Record/008304374","HathiTrust Record")</f>
        <v/>
      </c>
      <c r="AS2947">
        <f>HYPERLINK("https://creighton-primo.hosted.exlibrisgroup.com/primo-explore/search?tab=default_tab&amp;search_scope=EVERYTHING&amp;vid=01CRU&amp;lang=en_US&amp;offset=0&amp;query=any,contains,991003682459702656","Catalog Record")</f>
        <v/>
      </c>
      <c r="AT2947">
        <f>HYPERLINK("http://www.worldcat.org/oclc/1308628","WorldCat Record")</f>
        <v/>
      </c>
      <c r="AU2947" t="inlineStr">
        <is>
          <t>2178599:eng</t>
        </is>
      </c>
      <c r="AV2947" t="inlineStr">
        <is>
          <t>1308628</t>
        </is>
      </c>
      <c r="AW2947" t="inlineStr">
        <is>
          <t>991003682459702656</t>
        </is>
      </c>
      <c r="AX2947" t="inlineStr">
        <is>
          <t>991003682459702656</t>
        </is>
      </c>
      <c r="AY2947" t="inlineStr">
        <is>
          <t>2265659950002656</t>
        </is>
      </c>
      <c r="AZ2947" t="inlineStr">
        <is>
          <t>BOOK</t>
        </is>
      </c>
      <c r="BC2947" t="inlineStr">
        <is>
          <t>32285001019693</t>
        </is>
      </c>
      <c r="BD2947" t="inlineStr">
        <is>
          <t>893623760</t>
        </is>
      </c>
    </row>
    <row r="2948">
      <c r="A2948" t="inlineStr">
        <is>
          <t>No</t>
        </is>
      </c>
      <c r="B2948" t="inlineStr">
        <is>
          <t>BX830 1962 .A517 1967</t>
        </is>
      </c>
      <c r="C2948" t="inlineStr">
        <is>
          <t>0                      BX 0830000               1962   A  517         1967</t>
        </is>
      </c>
      <c r="D2948" t="inlineStr">
        <is>
          <t>The catechism of modern man : all in the words of Vatican II / compiled by a group of priest specialists of the Roman province of the Society of St. Paul. Editing of the English edition, addition of the latest implementing documents, arrangement and documentation for study and discussion, topic index, and bibliographical lists, by the Daughters of St. Paul.</t>
        </is>
      </c>
      <c r="F2948" t="inlineStr">
        <is>
          <t>No</t>
        </is>
      </c>
      <c r="G2948" t="inlineStr">
        <is>
          <t>1</t>
        </is>
      </c>
      <c r="H2948" t="inlineStr">
        <is>
          <t>No</t>
        </is>
      </c>
      <c r="I2948" t="inlineStr">
        <is>
          <t>No</t>
        </is>
      </c>
      <c r="J2948" t="inlineStr">
        <is>
          <t>0</t>
        </is>
      </c>
      <c r="K2948" t="inlineStr">
        <is>
          <t>Vatican Council (2nd : 1962-1965 : Basilica di San Pietro in Vaticano)</t>
        </is>
      </c>
      <c r="L2948" t="inlineStr">
        <is>
          <t>[Boston] : St. Paul Editions, [1967]</t>
        </is>
      </c>
      <c r="M2948" t="inlineStr">
        <is>
          <t>1967</t>
        </is>
      </c>
      <c r="O2948" t="inlineStr">
        <is>
          <t>eng</t>
        </is>
      </c>
      <c r="P2948" t="inlineStr">
        <is>
          <t>mau</t>
        </is>
      </c>
      <c r="R2948" t="inlineStr">
        <is>
          <t xml:space="preserve">BX </t>
        </is>
      </c>
      <c r="S2948" t="n">
        <v>4</v>
      </c>
      <c r="T2948" t="n">
        <v>4</v>
      </c>
      <c r="U2948" t="inlineStr">
        <is>
          <t>1994-02-23</t>
        </is>
      </c>
      <c r="V2948" t="inlineStr">
        <is>
          <t>1994-02-23</t>
        </is>
      </c>
      <c r="W2948" t="inlineStr">
        <is>
          <t>1992-04-23</t>
        </is>
      </c>
      <c r="X2948" t="inlineStr">
        <is>
          <t>1992-04-23</t>
        </is>
      </c>
      <c r="Y2948" t="n">
        <v>144</v>
      </c>
      <c r="Z2948" t="n">
        <v>137</v>
      </c>
      <c r="AA2948" t="n">
        <v>138</v>
      </c>
      <c r="AB2948" t="n">
        <v>2</v>
      </c>
      <c r="AC2948" t="n">
        <v>2</v>
      </c>
      <c r="AD2948" t="n">
        <v>13</v>
      </c>
      <c r="AE2948" t="n">
        <v>13</v>
      </c>
      <c r="AF2948" t="n">
        <v>3</v>
      </c>
      <c r="AG2948" t="n">
        <v>3</v>
      </c>
      <c r="AH2948" t="n">
        <v>3</v>
      </c>
      <c r="AI2948" t="n">
        <v>3</v>
      </c>
      <c r="AJ2948" t="n">
        <v>10</v>
      </c>
      <c r="AK2948" t="n">
        <v>10</v>
      </c>
      <c r="AL2948" t="n">
        <v>0</v>
      </c>
      <c r="AM2948" t="n">
        <v>0</v>
      </c>
      <c r="AN2948" t="n">
        <v>0</v>
      </c>
      <c r="AO2948" t="n">
        <v>0</v>
      </c>
      <c r="AP2948" t="inlineStr">
        <is>
          <t>No</t>
        </is>
      </c>
      <c r="AQ2948" t="inlineStr">
        <is>
          <t>Yes</t>
        </is>
      </c>
      <c r="AR2948">
        <f>HYPERLINK("http://catalog.hathitrust.org/Record/006017676","HathiTrust Record")</f>
        <v/>
      </c>
      <c r="AS2948">
        <f>HYPERLINK("https://creighton-primo.hosted.exlibrisgroup.com/primo-explore/search?tab=default_tab&amp;search_scope=EVERYTHING&amp;vid=01CRU&amp;lang=en_US&amp;offset=0&amp;query=any,contains,991003377759702656","Catalog Record")</f>
        <v/>
      </c>
      <c r="AT2948">
        <f>HYPERLINK("http://www.worldcat.org/oclc/914390","WorldCat Record")</f>
        <v/>
      </c>
      <c r="AU2948" t="inlineStr">
        <is>
          <t>3862842590:eng</t>
        </is>
      </c>
      <c r="AV2948" t="inlineStr">
        <is>
          <t>914390</t>
        </is>
      </c>
      <c r="AW2948" t="inlineStr">
        <is>
          <t>991003377759702656</t>
        </is>
      </c>
      <c r="AX2948" t="inlineStr">
        <is>
          <t>991003377759702656</t>
        </is>
      </c>
      <c r="AY2948" t="inlineStr">
        <is>
          <t>2262733180002656</t>
        </is>
      </c>
      <c r="AZ2948" t="inlineStr">
        <is>
          <t>BOOK</t>
        </is>
      </c>
      <c r="BC2948" t="inlineStr">
        <is>
          <t>32285001019701</t>
        </is>
      </c>
      <c r="BD2948" t="inlineStr">
        <is>
          <t>893348626</t>
        </is>
      </c>
    </row>
    <row r="2949">
      <c r="A2949" t="inlineStr">
        <is>
          <t>No</t>
        </is>
      </c>
      <c r="B2949" t="inlineStr">
        <is>
          <t>BX830 1962 .A53 1963</t>
        </is>
      </c>
      <c r="C2949" t="inlineStr">
        <is>
          <t>0                      BX 0830000               1962   A  53          1963</t>
        </is>
      </c>
      <c r="D2949" t="inlineStr">
        <is>
          <t>Twelve council fathers.</t>
        </is>
      </c>
      <c r="F2949" t="inlineStr">
        <is>
          <t>No</t>
        </is>
      </c>
      <c r="G2949" t="inlineStr">
        <is>
          <t>1</t>
        </is>
      </c>
      <c r="H2949" t="inlineStr">
        <is>
          <t>No</t>
        </is>
      </c>
      <c r="I2949" t="inlineStr">
        <is>
          <t>No</t>
        </is>
      </c>
      <c r="J2949" t="inlineStr">
        <is>
          <t>0</t>
        </is>
      </c>
      <c r="K2949" t="inlineStr">
        <is>
          <t>Abbott, Walter M.</t>
        </is>
      </c>
      <c r="L2949" t="inlineStr">
        <is>
          <t>New York : Macmillan, [1963]</t>
        </is>
      </c>
      <c r="M2949" t="inlineStr">
        <is>
          <t>1963</t>
        </is>
      </c>
      <c r="O2949" t="inlineStr">
        <is>
          <t>eng</t>
        </is>
      </c>
      <c r="P2949" t="inlineStr">
        <is>
          <t>nyu</t>
        </is>
      </c>
      <c r="R2949" t="inlineStr">
        <is>
          <t xml:space="preserve">BX </t>
        </is>
      </c>
      <c r="S2949" t="n">
        <v>2</v>
      </c>
      <c r="T2949" t="n">
        <v>2</v>
      </c>
      <c r="U2949" t="inlineStr">
        <is>
          <t>1993-09-13</t>
        </is>
      </c>
      <c r="V2949" t="inlineStr">
        <is>
          <t>1993-09-13</t>
        </is>
      </c>
      <c r="W2949" t="inlineStr">
        <is>
          <t>1992-04-23</t>
        </is>
      </c>
      <c r="X2949" t="inlineStr">
        <is>
          <t>1992-04-23</t>
        </is>
      </c>
      <c r="Y2949" t="n">
        <v>381</v>
      </c>
      <c r="Z2949" t="n">
        <v>344</v>
      </c>
      <c r="AA2949" t="n">
        <v>351</v>
      </c>
      <c r="AB2949" t="n">
        <v>4</v>
      </c>
      <c r="AC2949" t="n">
        <v>4</v>
      </c>
      <c r="AD2949" t="n">
        <v>32</v>
      </c>
      <c r="AE2949" t="n">
        <v>32</v>
      </c>
      <c r="AF2949" t="n">
        <v>9</v>
      </c>
      <c r="AG2949" t="n">
        <v>9</v>
      </c>
      <c r="AH2949" t="n">
        <v>9</v>
      </c>
      <c r="AI2949" t="n">
        <v>9</v>
      </c>
      <c r="AJ2949" t="n">
        <v>26</v>
      </c>
      <c r="AK2949" t="n">
        <v>26</v>
      </c>
      <c r="AL2949" t="n">
        <v>1</v>
      </c>
      <c r="AM2949" t="n">
        <v>1</v>
      </c>
      <c r="AN2949" t="n">
        <v>0</v>
      </c>
      <c r="AO2949" t="n">
        <v>0</v>
      </c>
      <c r="AP2949" t="inlineStr">
        <is>
          <t>No</t>
        </is>
      </c>
      <c r="AQ2949" t="inlineStr">
        <is>
          <t>No</t>
        </is>
      </c>
      <c r="AR2949">
        <f>HYPERLINK("http://catalog.hathitrust.org/Record/001415583","HathiTrust Record")</f>
        <v/>
      </c>
      <c r="AS2949">
        <f>HYPERLINK("https://creighton-primo.hosted.exlibrisgroup.com/primo-explore/search?tab=default_tab&amp;search_scope=EVERYTHING&amp;vid=01CRU&amp;lang=en_US&amp;offset=0&amp;query=any,contains,991003490029702656","Catalog Record")</f>
        <v/>
      </c>
      <c r="AT2949">
        <f>HYPERLINK("http://www.worldcat.org/oclc/1039113","WorldCat Record")</f>
        <v/>
      </c>
      <c r="AU2949" t="inlineStr">
        <is>
          <t>2002355:eng</t>
        </is>
      </c>
      <c r="AV2949" t="inlineStr">
        <is>
          <t>1039113</t>
        </is>
      </c>
      <c r="AW2949" t="inlineStr">
        <is>
          <t>991003490029702656</t>
        </is>
      </c>
      <c r="AX2949" t="inlineStr">
        <is>
          <t>991003490029702656</t>
        </is>
      </c>
      <c r="AY2949" t="inlineStr">
        <is>
          <t>2264635220002656</t>
        </is>
      </c>
      <c r="AZ2949" t="inlineStr">
        <is>
          <t>BOOK</t>
        </is>
      </c>
      <c r="BC2949" t="inlineStr">
        <is>
          <t>32285001019719</t>
        </is>
      </c>
      <c r="BD2949" t="inlineStr">
        <is>
          <t>893717708</t>
        </is>
      </c>
    </row>
    <row r="2950">
      <c r="A2950" t="inlineStr">
        <is>
          <t>No</t>
        </is>
      </c>
      <c r="B2950" t="inlineStr">
        <is>
          <t>BX830 1962 .B5</t>
        </is>
      </c>
      <c r="C2950" t="inlineStr">
        <is>
          <t>0                      BX 0830000               1962   B  5</t>
        </is>
      </c>
      <c r="D2950" t="inlineStr">
        <is>
          <t>Paul Blanshard on Vatican II.</t>
        </is>
      </c>
      <c r="F2950" t="inlineStr">
        <is>
          <t>No</t>
        </is>
      </c>
      <c r="G2950" t="inlineStr">
        <is>
          <t>1</t>
        </is>
      </c>
      <c r="H2950" t="inlineStr">
        <is>
          <t>No</t>
        </is>
      </c>
      <c r="I2950" t="inlineStr">
        <is>
          <t>No</t>
        </is>
      </c>
      <c r="J2950" t="inlineStr">
        <is>
          <t>0</t>
        </is>
      </c>
      <c r="K2950" t="inlineStr">
        <is>
          <t>Blanshard, Paul, 1892-1980.</t>
        </is>
      </c>
      <c r="L2950" t="inlineStr">
        <is>
          <t>Boston, Beacon Press [1966]</t>
        </is>
      </c>
      <c r="M2950" t="inlineStr">
        <is>
          <t>1966</t>
        </is>
      </c>
      <c r="O2950" t="inlineStr">
        <is>
          <t>eng</t>
        </is>
      </c>
      <c r="P2950" t="inlineStr">
        <is>
          <t>mau</t>
        </is>
      </c>
      <c r="R2950" t="inlineStr">
        <is>
          <t xml:space="preserve">BX </t>
        </is>
      </c>
      <c r="S2950" t="n">
        <v>4</v>
      </c>
      <c r="T2950" t="n">
        <v>4</v>
      </c>
      <c r="U2950" t="inlineStr">
        <is>
          <t>2004-10-29</t>
        </is>
      </c>
      <c r="V2950" t="inlineStr">
        <is>
          <t>2004-10-29</t>
        </is>
      </c>
      <c r="W2950" t="inlineStr">
        <is>
          <t>1992-05-06</t>
        </is>
      </c>
      <c r="X2950" t="inlineStr">
        <is>
          <t>1992-05-06</t>
        </is>
      </c>
      <c r="Y2950" t="n">
        <v>799</v>
      </c>
      <c r="Z2950" t="n">
        <v>749</v>
      </c>
      <c r="AA2950" t="n">
        <v>788</v>
      </c>
      <c r="AB2950" t="n">
        <v>7</v>
      </c>
      <c r="AC2950" t="n">
        <v>7</v>
      </c>
      <c r="AD2950" t="n">
        <v>39</v>
      </c>
      <c r="AE2950" t="n">
        <v>41</v>
      </c>
      <c r="AF2950" t="n">
        <v>15</v>
      </c>
      <c r="AG2950" t="n">
        <v>17</v>
      </c>
      <c r="AH2950" t="n">
        <v>9</v>
      </c>
      <c r="AI2950" t="n">
        <v>9</v>
      </c>
      <c r="AJ2950" t="n">
        <v>20</v>
      </c>
      <c r="AK2950" t="n">
        <v>20</v>
      </c>
      <c r="AL2950" t="n">
        <v>4</v>
      </c>
      <c r="AM2950" t="n">
        <v>4</v>
      </c>
      <c r="AN2950" t="n">
        <v>0</v>
      </c>
      <c r="AO2950" t="n">
        <v>0</v>
      </c>
      <c r="AP2950" t="inlineStr">
        <is>
          <t>No</t>
        </is>
      </c>
      <c r="AQ2950" t="inlineStr">
        <is>
          <t>Yes</t>
        </is>
      </c>
      <c r="AR2950">
        <f>HYPERLINK("http://catalog.hathitrust.org/Record/001415586","HathiTrust Record")</f>
        <v/>
      </c>
      <c r="AS2950">
        <f>HYPERLINK("https://creighton-primo.hosted.exlibrisgroup.com/primo-explore/search?tab=default_tab&amp;search_scope=EVERYTHING&amp;vid=01CRU&amp;lang=en_US&amp;offset=0&amp;query=any,contains,991003228239702656","Catalog Record")</f>
        <v/>
      </c>
      <c r="AT2950">
        <f>HYPERLINK("http://www.worldcat.org/oclc/753354","WorldCat Record")</f>
        <v/>
      </c>
      <c r="AU2950" t="inlineStr">
        <is>
          <t>147948801:eng</t>
        </is>
      </c>
      <c r="AV2950" t="inlineStr">
        <is>
          <t>753354</t>
        </is>
      </c>
      <c r="AW2950" t="inlineStr">
        <is>
          <t>991003228239702656</t>
        </is>
      </c>
      <c r="AX2950" t="inlineStr">
        <is>
          <t>991003228239702656</t>
        </is>
      </c>
      <c r="AY2950" t="inlineStr">
        <is>
          <t>2270494810002656</t>
        </is>
      </c>
      <c r="AZ2950" t="inlineStr">
        <is>
          <t>BOOK</t>
        </is>
      </c>
      <c r="BC2950" t="inlineStr">
        <is>
          <t>32285001120384</t>
        </is>
      </c>
      <c r="BD2950" t="inlineStr">
        <is>
          <t>893805535</t>
        </is>
      </c>
    </row>
    <row r="2951">
      <c r="A2951" t="inlineStr">
        <is>
          <t>No</t>
        </is>
      </c>
      <c r="B2951" t="inlineStr">
        <is>
          <t>BX830 1962 .B7</t>
        </is>
      </c>
      <c r="C2951" t="inlineStr">
        <is>
          <t>0                      BX 0830000               1962   B  7</t>
        </is>
      </c>
      <c r="D2951" t="inlineStr">
        <is>
          <t>Observer in Rome : a Protestant report on the Vatican Council / by Robert McAfee Brown.</t>
        </is>
      </c>
      <c r="F2951" t="inlineStr">
        <is>
          <t>No</t>
        </is>
      </c>
      <c r="G2951" t="inlineStr">
        <is>
          <t>1</t>
        </is>
      </c>
      <c r="H2951" t="inlineStr">
        <is>
          <t>No</t>
        </is>
      </c>
      <c r="I2951" t="inlineStr">
        <is>
          <t>No</t>
        </is>
      </c>
      <c r="J2951" t="inlineStr">
        <is>
          <t>0</t>
        </is>
      </c>
      <c r="K2951" t="inlineStr">
        <is>
          <t>Brown, Robert McAfee, 1920-2001.</t>
        </is>
      </c>
      <c r="L2951" t="inlineStr">
        <is>
          <t>Garden City, N.Y., Doubleday, 1964.</t>
        </is>
      </c>
      <c r="M2951" t="inlineStr">
        <is>
          <t>1964</t>
        </is>
      </c>
      <c r="N2951" t="inlineStr">
        <is>
          <t>[1st ed.]</t>
        </is>
      </c>
      <c r="O2951" t="inlineStr">
        <is>
          <t>eng</t>
        </is>
      </c>
      <c r="P2951" t="inlineStr">
        <is>
          <t>nyu</t>
        </is>
      </c>
      <c r="R2951" t="inlineStr">
        <is>
          <t xml:space="preserve">BX </t>
        </is>
      </c>
      <c r="S2951" t="n">
        <v>6</v>
      </c>
      <c r="T2951" t="n">
        <v>6</v>
      </c>
      <c r="U2951" t="inlineStr">
        <is>
          <t>2000-03-05</t>
        </is>
      </c>
      <c r="V2951" t="inlineStr">
        <is>
          <t>2000-03-05</t>
        </is>
      </c>
      <c r="W2951" t="inlineStr">
        <is>
          <t>1992-04-23</t>
        </is>
      </c>
      <c r="X2951" t="inlineStr">
        <is>
          <t>1992-04-23</t>
        </is>
      </c>
      <c r="Y2951" t="n">
        <v>868</v>
      </c>
      <c r="Z2951" t="n">
        <v>813</v>
      </c>
      <c r="AA2951" t="n">
        <v>833</v>
      </c>
      <c r="AB2951" t="n">
        <v>8</v>
      </c>
      <c r="AC2951" t="n">
        <v>8</v>
      </c>
      <c r="AD2951" t="n">
        <v>46</v>
      </c>
      <c r="AE2951" t="n">
        <v>46</v>
      </c>
      <c r="AF2951" t="n">
        <v>19</v>
      </c>
      <c r="AG2951" t="n">
        <v>19</v>
      </c>
      <c r="AH2951" t="n">
        <v>10</v>
      </c>
      <c r="AI2951" t="n">
        <v>10</v>
      </c>
      <c r="AJ2951" t="n">
        <v>25</v>
      </c>
      <c r="AK2951" t="n">
        <v>25</v>
      </c>
      <c r="AL2951" t="n">
        <v>4</v>
      </c>
      <c r="AM2951" t="n">
        <v>4</v>
      </c>
      <c r="AN2951" t="n">
        <v>0</v>
      </c>
      <c r="AO2951" t="n">
        <v>0</v>
      </c>
      <c r="AP2951" t="inlineStr">
        <is>
          <t>No</t>
        </is>
      </c>
      <c r="AQ2951" t="inlineStr">
        <is>
          <t>Yes</t>
        </is>
      </c>
      <c r="AR2951">
        <f>HYPERLINK("http://catalog.hathitrust.org/Record/001415587","HathiTrust Record")</f>
        <v/>
      </c>
      <c r="AS2951">
        <f>HYPERLINK("https://creighton-primo.hosted.exlibrisgroup.com/primo-explore/search?tab=default_tab&amp;search_scope=EVERYTHING&amp;vid=01CRU&amp;lang=en_US&amp;offset=0&amp;query=any,contains,991003077669702656","Catalog Record")</f>
        <v/>
      </c>
      <c r="AT2951">
        <f>HYPERLINK("http://www.worldcat.org/oclc/630632","WorldCat Record")</f>
        <v/>
      </c>
      <c r="AU2951" t="inlineStr">
        <is>
          <t>308829260:eng</t>
        </is>
      </c>
      <c r="AV2951" t="inlineStr">
        <is>
          <t>630632</t>
        </is>
      </c>
      <c r="AW2951" t="inlineStr">
        <is>
          <t>991003077669702656</t>
        </is>
      </c>
      <c r="AX2951" t="inlineStr">
        <is>
          <t>991003077669702656</t>
        </is>
      </c>
      <c r="AY2951" t="inlineStr">
        <is>
          <t>2262439930002656</t>
        </is>
      </c>
      <c r="AZ2951" t="inlineStr">
        <is>
          <t>BOOK</t>
        </is>
      </c>
      <c r="BC2951" t="inlineStr">
        <is>
          <t>32285001019735</t>
        </is>
      </c>
      <c r="BD2951" t="inlineStr">
        <is>
          <t>893780588</t>
        </is>
      </c>
    </row>
    <row r="2952">
      <c r="A2952" t="inlineStr">
        <is>
          <t>No</t>
        </is>
      </c>
      <c r="B2952" t="inlineStr">
        <is>
          <t>BX830 1962 .C336 1996</t>
        </is>
      </c>
      <c r="C2952" t="inlineStr">
        <is>
          <t>0                      BX 0830000               1962   C  336         1996</t>
        </is>
      </c>
      <c r="D2952" t="inlineStr">
        <is>
          <t>The Catholic Church &amp; Vatican II : conference of Rev. Fr. Franz Schmidberger.</t>
        </is>
      </c>
      <c r="F2952" t="inlineStr">
        <is>
          <t>No</t>
        </is>
      </c>
      <c r="G2952" t="inlineStr">
        <is>
          <t>1</t>
        </is>
      </c>
      <c r="H2952" t="inlineStr">
        <is>
          <t>No</t>
        </is>
      </c>
      <c r="I2952" t="inlineStr">
        <is>
          <t>No</t>
        </is>
      </c>
      <c r="J2952" t="inlineStr">
        <is>
          <t>0</t>
        </is>
      </c>
      <c r="L2952" t="inlineStr">
        <is>
          <t>Kansas City, Mo. : Angelus Press, c1996</t>
        </is>
      </c>
      <c r="M2952" t="inlineStr">
        <is>
          <t>1996</t>
        </is>
      </c>
      <c r="N2952" t="inlineStr">
        <is>
          <t>2nd ed.</t>
        </is>
      </c>
      <c r="O2952" t="inlineStr">
        <is>
          <t>eng</t>
        </is>
      </c>
      <c r="P2952" t="inlineStr">
        <is>
          <t>mou</t>
        </is>
      </c>
      <c r="R2952" t="inlineStr">
        <is>
          <t xml:space="preserve">BX </t>
        </is>
      </c>
      <c r="S2952" t="n">
        <v>5</v>
      </c>
      <c r="T2952" t="n">
        <v>5</v>
      </c>
      <c r="U2952" t="inlineStr">
        <is>
          <t>2010-11-19</t>
        </is>
      </c>
      <c r="V2952" t="inlineStr">
        <is>
          <t>2010-11-19</t>
        </is>
      </c>
      <c r="W2952" t="inlineStr">
        <is>
          <t>2003-06-09</t>
        </is>
      </c>
      <c r="X2952" t="inlineStr">
        <is>
          <t>2003-06-09</t>
        </is>
      </c>
      <c r="Y2952" t="n">
        <v>4</v>
      </c>
      <c r="Z2952" t="n">
        <v>4</v>
      </c>
      <c r="AA2952" t="n">
        <v>4</v>
      </c>
      <c r="AB2952" t="n">
        <v>1</v>
      </c>
      <c r="AC2952" t="n">
        <v>1</v>
      </c>
      <c r="AD2952" t="n">
        <v>0</v>
      </c>
      <c r="AE2952" t="n">
        <v>0</v>
      </c>
      <c r="AF2952" t="n">
        <v>0</v>
      </c>
      <c r="AG2952" t="n">
        <v>0</v>
      </c>
      <c r="AH2952" t="n">
        <v>0</v>
      </c>
      <c r="AI2952" t="n">
        <v>0</v>
      </c>
      <c r="AJ2952" t="n">
        <v>0</v>
      </c>
      <c r="AK2952" t="n">
        <v>0</v>
      </c>
      <c r="AL2952" t="n">
        <v>0</v>
      </c>
      <c r="AM2952" t="n">
        <v>0</v>
      </c>
      <c r="AN2952" t="n">
        <v>0</v>
      </c>
      <c r="AO2952" t="n">
        <v>0</v>
      </c>
      <c r="AP2952" t="inlineStr">
        <is>
          <t>No</t>
        </is>
      </c>
      <c r="AQ2952" t="inlineStr">
        <is>
          <t>No</t>
        </is>
      </c>
      <c r="AS2952">
        <f>HYPERLINK("https://creighton-primo.hosted.exlibrisgroup.com/primo-explore/search?tab=default_tab&amp;search_scope=EVERYTHING&amp;vid=01CRU&amp;lang=en_US&amp;offset=0&amp;query=any,contains,991004065589702656","Catalog Record")</f>
        <v/>
      </c>
      <c r="AT2952">
        <f>HYPERLINK("http://www.worldcat.org/oclc/40632851","WorldCat Record")</f>
        <v/>
      </c>
      <c r="AU2952" t="inlineStr">
        <is>
          <t>25873310:eng</t>
        </is>
      </c>
      <c r="AV2952" t="inlineStr">
        <is>
          <t>40632851</t>
        </is>
      </c>
      <c r="AW2952" t="inlineStr">
        <is>
          <t>991004065589702656</t>
        </is>
      </c>
      <c r="AX2952" t="inlineStr">
        <is>
          <t>991004065589702656</t>
        </is>
      </c>
      <c r="AY2952" t="inlineStr">
        <is>
          <t>2268782380002656</t>
        </is>
      </c>
      <c r="AZ2952" t="inlineStr">
        <is>
          <t>BOOK</t>
        </is>
      </c>
      <c r="BB2952" t="inlineStr">
        <is>
          <t>9780935952322</t>
        </is>
      </c>
      <c r="BC2952" t="inlineStr">
        <is>
          <t>32285004751029</t>
        </is>
      </c>
      <c r="BD2952" t="inlineStr">
        <is>
          <t>893429611</t>
        </is>
      </c>
    </row>
    <row r="2953">
      <c r="A2953" t="inlineStr">
        <is>
          <t>No</t>
        </is>
      </c>
      <c r="B2953" t="inlineStr">
        <is>
          <t>BX830 1962 .C35</t>
        </is>
      </c>
      <c r="C2953" t="inlineStr">
        <is>
          <t>0                      BX 0830000               1962   C  35</t>
        </is>
      </c>
      <c r="D2953" t="inlineStr">
        <is>
          <t>The layman and the Council : conversations between John Cogley, Daniel Callahan, Donald J. Thorman [and] Martin H. Work / edited by Michael Greene.</t>
        </is>
      </c>
      <c r="F2953" t="inlineStr">
        <is>
          <t>No</t>
        </is>
      </c>
      <c r="G2953" t="inlineStr">
        <is>
          <t>1</t>
        </is>
      </c>
      <c r="H2953" t="inlineStr">
        <is>
          <t>No</t>
        </is>
      </c>
      <c r="I2953" t="inlineStr">
        <is>
          <t>No</t>
        </is>
      </c>
      <c r="J2953" t="inlineStr">
        <is>
          <t>0</t>
        </is>
      </c>
      <c r="K2953" t="inlineStr">
        <is>
          <t>Catholic reporter (Kansas City, Mo.)</t>
        </is>
      </c>
      <c r="L2953" t="inlineStr">
        <is>
          <t>Springfield, Ill., Templegate [1964]</t>
        </is>
      </c>
      <c r="M2953" t="inlineStr">
        <is>
          <t>1964</t>
        </is>
      </c>
      <c r="O2953" t="inlineStr">
        <is>
          <t>eng</t>
        </is>
      </c>
      <c r="P2953" t="inlineStr">
        <is>
          <t>ilu</t>
        </is>
      </c>
      <c r="R2953" t="inlineStr">
        <is>
          <t xml:space="preserve">BX </t>
        </is>
      </c>
      <c r="S2953" t="n">
        <v>3</v>
      </c>
      <c r="T2953" t="n">
        <v>3</v>
      </c>
      <c r="U2953" t="inlineStr">
        <is>
          <t>1997-07-15</t>
        </is>
      </c>
      <c r="V2953" t="inlineStr">
        <is>
          <t>1997-07-15</t>
        </is>
      </c>
      <c r="W2953" t="inlineStr">
        <is>
          <t>1992-02-28</t>
        </is>
      </c>
      <c r="X2953" t="inlineStr">
        <is>
          <t>1992-02-28</t>
        </is>
      </c>
      <c r="Y2953" t="n">
        <v>117</v>
      </c>
      <c r="Z2953" t="n">
        <v>112</v>
      </c>
      <c r="AA2953" t="n">
        <v>117</v>
      </c>
      <c r="AB2953" t="n">
        <v>1</v>
      </c>
      <c r="AC2953" t="n">
        <v>1</v>
      </c>
      <c r="AD2953" t="n">
        <v>18</v>
      </c>
      <c r="AE2953" t="n">
        <v>18</v>
      </c>
      <c r="AF2953" t="n">
        <v>5</v>
      </c>
      <c r="AG2953" t="n">
        <v>5</v>
      </c>
      <c r="AH2953" t="n">
        <v>2</v>
      </c>
      <c r="AI2953" t="n">
        <v>2</v>
      </c>
      <c r="AJ2953" t="n">
        <v>14</v>
      </c>
      <c r="AK2953" t="n">
        <v>14</v>
      </c>
      <c r="AL2953" t="n">
        <v>0</v>
      </c>
      <c r="AM2953" t="n">
        <v>0</v>
      </c>
      <c r="AN2953" t="n">
        <v>0</v>
      </c>
      <c r="AO2953" t="n">
        <v>0</v>
      </c>
      <c r="AP2953" t="inlineStr">
        <is>
          <t>No</t>
        </is>
      </c>
      <c r="AQ2953" t="inlineStr">
        <is>
          <t>No</t>
        </is>
      </c>
      <c r="AS2953">
        <f>HYPERLINK("https://creighton-primo.hosted.exlibrisgroup.com/primo-explore/search?tab=default_tab&amp;search_scope=EVERYTHING&amp;vid=01CRU&amp;lang=en_US&amp;offset=0&amp;query=any,contains,991003715659702656","Catalog Record")</f>
        <v/>
      </c>
      <c r="AT2953">
        <f>HYPERLINK("http://www.worldcat.org/oclc/1360163","WorldCat Record")</f>
        <v/>
      </c>
      <c r="AU2953" t="inlineStr">
        <is>
          <t>5145525809:eng</t>
        </is>
      </c>
      <c r="AV2953" t="inlineStr">
        <is>
          <t>1360163</t>
        </is>
      </c>
      <c r="AW2953" t="inlineStr">
        <is>
          <t>991003715659702656</t>
        </is>
      </c>
      <c r="AX2953" t="inlineStr">
        <is>
          <t>991003715659702656</t>
        </is>
      </c>
      <c r="AY2953" t="inlineStr">
        <is>
          <t>2257666450002656</t>
        </is>
      </c>
      <c r="AZ2953" t="inlineStr">
        <is>
          <t>BOOK</t>
        </is>
      </c>
      <c r="BC2953" t="inlineStr">
        <is>
          <t>32285000949353</t>
        </is>
      </c>
      <c r="BD2953" t="inlineStr">
        <is>
          <t>893717999</t>
        </is>
      </c>
    </row>
    <row r="2954">
      <c r="A2954" t="inlineStr">
        <is>
          <t>No</t>
        </is>
      </c>
      <c r="B2954" t="inlineStr">
        <is>
          <t>BX830 1962 .D84 1986</t>
        </is>
      </c>
      <c r="C2954" t="inlineStr">
        <is>
          <t>0                      BX 0830000               1962   D  84          1986</t>
        </is>
      </c>
      <c r="D2954" t="inlineStr">
        <is>
          <t>Vatican II and the extraordinary synod : an overview / Avery Dulles.</t>
        </is>
      </c>
      <c r="F2954" t="inlineStr">
        <is>
          <t>No</t>
        </is>
      </c>
      <c r="G2954" t="inlineStr">
        <is>
          <t>1</t>
        </is>
      </c>
      <c r="H2954" t="inlineStr">
        <is>
          <t>No</t>
        </is>
      </c>
      <c r="I2954" t="inlineStr">
        <is>
          <t>No</t>
        </is>
      </c>
      <c r="J2954" t="inlineStr">
        <is>
          <t>0</t>
        </is>
      </c>
      <c r="K2954" t="inlineStr">
        <is>
          <t>Dulles, Avery, 1918-2008.</t>
        </is>
      </c>
      <c r="L2954" t="inlineStr">
        <is>
          <t>Collegeville, Mn. : Liturgical Press, 1986.</t>
        </is>
      </c>
      <c r="M2954" t="inlineStr">
        <is>
          <t>1986</t>
        </is>
      </c>
      <c r="O2954" t="inlineStr">
        <is>
          <t>eng</t>
        </is>
      </c>
      <c r="P2954" t="inlineStr">
        <is>
          <t>mnu</t>
        </is>
      </c>
      <c r="R2954" t="inlineStr">
        <is>
          <t xml:space="preserve">BX </t>
        </is>
      </c>
      <c r="S2954" t="n">
        <v>8</v>
      </c>
      <c r="T2954" t="n">
        <v>8</v>
      </c>
      <c r="U2954" t="inlineStr">
        <is>
          <t>2004-04-26</t>
        </is>
      </c>
      <c r="V2954" t="inlineStr">
        <is>
          <t>2004-04-26</t>
        </is>
      </c>
      <c r="W2954" t="inlineStr">
        <is>
          <t>1992-04-24</t>
        </is>
      </c>
      <c r="X2954" t="inlineStr">
        <is>
          <t>1992-04-24</t>
        </is>
      </c>
      <c r="Y2954" t="n">
        <v>55</v>
      </c>
      <c r="Z2954" t="n">
        <v>49</v>
      </c>
      <c r="AA2954" t="n">
        <v>49</v>
      </c>
      <c r="AB2954" t="n">
        <v>1</v>
      </c>
      <c r="AC2954" t="n">
        <v>1</v>
      </c>
      <c r="AD2954" t="n">
        <v>9</v>
      </c>
      <c r="AE2954" t="n">
        <v>9</v>
      </c>
      <c r="AF2954" t="n">
        <v>3</v>
      </c>
      <c r="AG2954" t="n">
        <v>3</v>
      </c>
      <c r="AH2954" t="n">
        <v>0</v>
      </c>
      <c r="AI2954" t="n">
        <v>0</v>
      </c>
      <c r="AJ2954" t="n">
        <v>8</v>
      </c>
      <c r="AK2954" t="n">
        <v>8</v>
      </c>
      <c r="AL2954" t="n">
        <v>0</v>
      </c>
      <c r="AM2954" t="n">
        <v>0</v>
      </c>
      <c r="AN2954" t="n">
        <v>0</v>
      </c>
      <c r="AO2954" t="n">
        <v>0</v>
      </c>
      <c r="AP2954" t="inlineStr">
        <is>
          <t>No</t>
        </is>
      </c>
      <c r="AQ2954" t="inlineStr">
        <is>
          <t>No</t>
        </is>
      </c>
      <c r="AS2954">
        <f>HYPERLINK("https://creighton-primo.hosted.exlibrisgroup.com/primo-explore/search?tab=default_tab&amp;search_scope=EVERYTHING&amp;vid=01CRU&amp;lang=en_US&amp;offset=0&amp;query=any,contains,991001044479702656","Catalog Record")</f>
        <v/>
      </c>
      <c r="AT2954">
        <f>HYPERLINK("http://www.worldcat.org/oclc/15597898","WorldCat Record")</f>
        <v/>
      </c>
      <c r="AU2954" t="inlineStr">
        <is>
          <t>2021118:eng</t>
        </is>
      </c>
      <c r="AV2954" t="inlineStr">
        <is>
          <t>15597898</t>
        </is>
      </c>
      <c r="AW2954" t="inlineStr">
        <is>
          <t>991001044479702656</t>
        </is>
      </c>
      <c r="AX2954" t="inlineStr">
        <is>
          <t>991001044479702656</t>
        </is>
      </c>
      <c r="AY2954" t="inlineStr">
        <is>
          <t>2255800100002656</t>
        </is>
      </c>
      <c r="AZ2954" t="inlineStr">
        <is>
          <t>BOOK</t>
        </is>
      </c>
      <c r="BB2954" t="inlineStr">
        <is>
          <t>9780814615515</t>
        </is>
      </c>
      <c r="BC2954" t="inlineStr">
        <is>
          <t>32285001086908</t>
        </is>
      </c>
      <c r="BD2954" t="inlineStr">
        <is>
          <t>893407778</t>
        </is>
      </c>
    </row>
    <row r="2955">
      <c r="A2955" t="inlineStr">
        <is>
          <t>No</t>
        </is>
      </c>
      <c r="B2955" t="inlineStr">
        <is>
          <t>BX830 1962 .F8 1969</t>
        </is>
      </c>
      <c r="C2955" t="inlineStr">
        <is>
          <t>0                      BX 0830000               1962   F  8           1969</t>
        </is>
      </c>
      <c r="D2955" t="inlineStr">
        <is>
          <t>Exploring Vatican 2 : Christian living today &amp; tomorrow / [by] Raymond B. Fullam.</t>
        </is>
      </c>
      <c r="F2955" t="inlineStr">
        <is>
          <t>No</t>
        </is>
      </c>
      <c r="G2955" t="inlineStr">
        <is>
          <t>1</t>
        </is>
      </c>
      <c r="H2955" t="inlineStr">
        <is>
          <t>No</t>
        </is>
      </c>
      <c r="I2955" t="inlineStr">
        <is>
          <t>No</t>
        </is>
      </c>
      <c r="J2955" t="inlineStr">
        <is>
          <t>0</t>
        </is>
      </c>
      <c r="K2955" t="inlineStr">
        <is>
          <t>Fullam, Raymond B.</t>
        </is>
      </c>
      <c r="L2955" t="inlineStr">
        <is>
          <t>Staten Island, N.Y. : Alba House, [1969]</t>
        </is>
      </c>
      <c r="M2955" t="inlineStr">
        <is>
          <t>1969</t>
        </is>
      </c>
      <c r="O2955" t="inlineStr">
        <is>
          <t>eng</t>
        </is>
      </c>
      <c r="P2955" t="inlineStr">
        <is>
          <t>nyu</t>
        </is>
      </c>
      <c r="R2955" t="inlineStr">
        <is>
          <t xml:space="preserve">BX </t>
        </is>
      </c>
      <c r="S2955" t="n">
        <v>4</v>
      </c>
      <c r="T2955" t="n">
        <v>4</v>
      </c>
      <c r="U2955" t="inlineStr">
        <is>
          <t>2002-10-27</t>
        </is>
      </c>
      <c r="V2955" t="inlineStr">
        <is>
          <t>2002-10-27</t>
        </is>
      </c>
      <c r="W2955" t="inlineStr">
        <is>
          <t>1992-04-24</t>
        </is>
      </c>
      <c r="X2955" t="inlineStr">
        <is>
          <t>1992-04-24</t>
        </is>
      </c>
      <c r="Y2955" t="n">
        <v>165</v>
      </c>
      <c r="Z2955" t="n">
        <v>148</v>
      </c>
      <c r="AA2955" t="n">
        <v>149</v>
      </c>
      <c r="AB2955" t="n">
        <v>3</v>
      </c>
      <c r="AC2955" t="n">
        <v>3</v>
      </c>
      <c r="AD2955" t="n">
        <v>25</v>
      </c>
      <c r="AE2955" t="n">
        <v>25</v>
      </c>
      <c r="AF2955" t="n">
        <v>7</v>
      </c>
      <c r="AG2955" t="n">
        <v>7</v>
      </c>
      <c r="AH2955" t="n">
        <v>6</v>
      </c>
      <c r="AI2955" t="n">
        <v>6</v>
      </c>
      <c r="AJ2955" t="n">
        <v>20</v>
      </c>
      <c r="AK2955" t="n">
        <v>20</v>
      </c>
      <c r="AL2955" t="n">
        <v>1</v>
      </c>
      <c r="AM2955" t="n">
        <v>1</v>
      </c>
      <c r="AN2955" t="n">
        <v>0</v>
      </c>
      <c r="AO2955" t="n">
        <v>0</v>
      </c>
      <c r="AP2955" t="inlineStr">
        <is>
          <t>No</t>
        </is>
      </c>
      <c r="AQ2955" t="inlineStr">
        <is>
          <t>No</t>
        </is>
      </c>
      <c r="AS2955">
        <f>HYPERLINK("https://creighton-primo.hosted.exlibrisgroup.com/primo-explore/search?tab=default_tab&amp;search_scope=EVERYTHING&amp;vid=01CRU&amp;lang=en_US&amp;offset=0&amp;query=any,contains,991000105259702656","Catalog Record")</f>
        <v/>
      </c>
      <c r="AT2955">
        <f>HYPERLINK("http://www.worldcat.org/oclc/46135","WorldCat Record")</f>
        <v/>
      </c>
      <c r="AU2955" t="inlineStr">
        <is>
          <t>196109260:eng</t>
        </is>
      </c>
      <c r="AV2955" t="inlineStr">
        <is>
          <t>46135</t>
        </is>
      </c>
      <c r="AW2955" t="inlineStr">
        <is>
          <t>991000105259702656</t>
        </is>
      </c>
      <c r="AX2955" t="inlineStr">
        <is>
          <t>991000105259702656</t>
        </is>
      </c>
      <c r="AY2955" t="inlineStr">
        <is>
          <t>2264281190002656</t>
        </is>
      </c>
      <c r="AZ2955" t="inlineStr">
        <is>
          <t>BOOK</t>
        </is>
      </c>
      <c r="BC2955" t="inlineStr">
        <is>
          <t>32285001019800</t>
        </is>
      </c>
      <c r="BD2955" t="inlineStr">
        <is>
          <t>893601455</t>
        </is>
      </c>
    </row>
    <row r="2956">
      <c r="A2956" t="inlineStr">
        <is>
          <t>No</t>
        </is>
      </c>
      <c r="B2956" t="inlineStr">
        <is>
          <t>BX830 1962 .H283 1966</t>
        </is>
      </c>
      <c r="C2956" t="inlineStr">
        <is>
          <t>0                      BX 0830000               1962   H  283         1966</t>
        </is>
      </c>
      <c r="D2956" t="inlineStr">
        <is>
          <t>Road to renewal : perspectives of Vatican II / [By] Bernard Haring.</t>
        </is>
      </c>
      <c r="F2956" t="inlineStr">
        <is>
          <t>No</t>
        </is>
      </c>
      <c r="G2956" t="inlineStr">
        <is>
          <t>1</t>
        </is>
      </c>
      <c r="H2956" t="inlineStr">
        <is>
          <t>No</t>
        </is>
      </c>
      <c r="I2956" t="inlineStr">
        <is>
          <t>No</t>
        </is>
      </c>
      <c r="J2956" t="inlineStr">
        <is>
          <t>0</t>
        </is>
      </c>
      <c r="K2956" t="inlineStr">
        <is>
          <t>Häring, Bernhard, 1912-1998.</t>
        </is>
      </c>
      <c r="L2956" t="inlineStr">
        <is>
          <t>Staten Island, N.Y. : Alba House, [1966]</t>
        </is>
      </c>
      <c r="M2956" t="inlineStr">
        <is>
          <t>1966</t>
        </is>
      </c>
      <c r="O2956" t="inlineStr">
        <is>
          <t>eng</t>
        </is>
      </c>
      <c r="P2956" t="inlineStr">
        <is>
          <t xml:space="preserve">xx </t>
        </is>
      </c>
      <c r="R2956" t="inlineStr">
        <is>
          <t xml:space="preserve">BX </t>
        </is>
      </c>
      <c r="S2956" t="n">
        <v>1</v>
      </c>
      <c r="T2956" t="n">
        <v>1</v>
      </c>
      <c r="U2956" t="inlineStr">
        <is>
          <t>2001-11-09</t>
        </is>
      </c>
      <c r="V2956" t="inlineStr">
        <is>
          <t>2001-11-09</t>
        </is>
      </c>
      <c r="W2956" t="inlineStr">
        <is>
          <t>1992-04-24</t>
        </is>
      </c>
      <c r="X2956" t="inlineStr">
        <is>
          <t>1992-04-24</t>
        </is>
      </c>
      <c r="Y2956" t="n">
        <v>245</v>
      </c>
      <c r="Z2956" t="n">
        <v>219</v>
      </c>
      <c r="AA2956" t="n">
        <v>264</v>
      </c>
      <c r="AB2956" t="n">
        <v>2</v>
      </c>
      <c r="AC2956" t="n">
        <v>2</v>
      </c>
      <c r="AD2956" t="n">
        <v>26</v>
      </c>
      <c r="AE2956" t="n">
        <v>27</v>
      </c>
      <c r="AF2956" t="n">
        <v>8</v>
      </c>
      <c r="AG2956" t="n">
        <v>9</v>
      </c>
      <c r="AH2956" t="n">
        <v>7</v>
      </c>
      <c r="AI2956" t="n">
        <v>7</v>
      </c>
      <c r="AJ2956" t="n">
        <v>20</v>
      </c>
      <c r="AK2956" t="n">
        <v>20</v>
      </c>
      <c r="AL2956" t="n">
        <v>0</v>
      </c>
      <c r="AM2956" t="n">
        <v>0</v>
      </c>
      <c r="AN2956" t="n">
        <v>0</v>
      </c>
      <c r="AO2956" t="n">
        <v>0</v>
      </c>
      <c r="AP2956" t="inlineStr">
        <is>
          <t>No</t>
        </is>
      </c>
      <c r="AQ2956" t="inlineStr">
        <is>
          <t>Yes</t>
        </is>
      </c>
      <c r="AR2956">
        <f>HYPERLINK("http://catalog.hathitrust.org/Record/006017681","HathiTrust Record")</f>
        <v/>
      </c>
      <c r="AS2956">
        <f>HYPERLINK("https://creighton-primo.hosted.exlibrisgroup.com/primo-explore/search?tab=default_tab&amp;search_scope=EVERYTHING&amp;vid=01CRU&amp;lang=en_US&amp;offset=0&amp;query=any,contains,991003611779702656","Catalog Record")</f>
        <v/>
      </c>
      <c r="AT2956">
        <f>HYPERLINK("http://www.worldcat.org/oclc/1194648","WorldCat Record")</f>
        <v/>
      </c>
      <c r="AU2956" t="inlineStr">
        <is>
          <t>836825726:eng</t>
        </is>
      </c>
      <c r="AV2956" t="inlineStr">
        <is>
          <t>1194648</t>
        </is>
      </c>
      <c r="AW2956" t="inlineStr">
        <is>
          <t>991003611779702656</t>
        </is>
      </c>
      <c r="AX2956" t="inlineStr">
        <is>
          <t>991003611779702656</t>
        </is>
      </c>
      <c r="AY2956" t="inlineStr">
        <is>
          <t>2260610880002656</t>
        </is>
      </c>
      <c r="AZ2956" t="inlineStr">
        <is>
          <t>BOOK</t>
        </is>
      </c>
      <c r="BC2956" t="inlineStr">
        <is>
          <t>32285001019818</t>
        </is>
      </c>
      <c r="BD2956" t="inlineStr">
        <is>
          <t>893592685</t>
        </is>
      </c>
    </row>
    <row r="2957">
      <c r="A2957" t="inlineStr">
        <is>
          <t>No</t>
        </is>
      </c>
      <c r="B2957" t="inlineStr">
        <is>
          <t>BX830 1962 .H313 1963</t>
        </is>
      </c>
      <c r="C2957" t="inlineStr">
        <is>
          <t>0                      BX 0830000               1962   H  313         1963</t>
        </is>
      </c>
      <c r="D2957" t="inlineStr">
        <is>
          <t>The Johannine Council : witness to unity / Translated by Edwin G. Kaiser.</t>
        </is>
      </c>
      <c r="F2957" t="inlineStr">
        <is>
          <t>No</t>
        </is>
      </c>
      <c r="G2957" t="inlineStr">
        <is>
          <t>1</t>
        </is>
      </c>
      <c r="H2957" t="inlineStr">
        <is>
          <t>No</t>
        </is>
      </c>
      <c r="I2957" t="inlineStr">
        <is>
          <t>No</t>
        </is>
      </c>
      <c r="J2957" t="inlineStr">
        <is>
          <t>0</t>
        </is>
      </c>
      <c r="K2957" t="inlineStr">
        <is>
          <t>Häring, Bernhard, 1912-1998.</t>
        </is>
      </c>
      <c r="L2957" t="inlineStr">
        <is>
          <t>New York : Herder and Herder, [1963]</t>
        </is>
      </c>
      <c r="M2957" t="inlineStr">
        <is>
          <t>1963</t>
        </is>
      </c>
      <c r="O2957" t="inlineStr">
        <is>
          <t>eng</t>
        </is>
      </c>
      <c r="P2957" t="inlineStr">
        <is>
          <t xml:space="preserve">xx </t>
        </is>
      </c>
      <c r="R2957" t="inlineStr">
        <is>
          <t xml:space="preserve">BX </t>
        </is>
      </c>
      <c r="S2957" t="n">
        <v>1</v>
      </c>
      <c r="T2957" t="n">
        <v>1</v>
      </c>
      <c r="U2957" t="inlineStr">
        <is>
          <t>2004-01-27</t>
        </is>
      </c>
      <c r="V2957" t="inlineStr">
        <is>
          <t>2004-01-27</t>
        </is>
      </c>
      <c r="W2957" t="inlineStr">
        <is>
          <t>1992-04-24</t>
        </is>
      </c>
      <c r="X2957" t="inlineStr">
        <is>
          <t>1992-04-24</t>
        </is>
      </c>
      <c r="Y2957" t="n">
        <v>350</v>
      </c>
      <c r="Z2957" t="n">
        <v>313</v>
      </c>
      <c r="AA2957" t="n">
        <v>318</v>
      </c>
      <c r="AB2957" t="n">
        <v>3</v>
      </c>
      <c r="AC2957" t="n">
        <v>3</v>
      </c>
      <c r="AD2957" t="n">
        <v>34</v>
      </c>
      <c r="AE2957" t="n">
        <v>34</v>
      </c>
      <c r="AF2957" t="n">
        <v>12</v>
      </c>
      <c r="AG2957" t="n">
        <v>12</v>
      </c>
      <c r="AH2957" t="n">
        <v>9</v>
      </c>
      <c r="AI2957" t="n">
        <v>9</v>
      </c>
      <c r="AJ2957" t="n">
        <v>26</v>
      </c>
      <c r="AK2957" t="n">
        <v>26</v>
      </c>
      <c r="AL2957" t="n">
        <v>0</v>
      </c>
      <c r="AM2957" t="n">
        <v>0</v>
      </c>
      <c r="AN2957" t="n">
        <v>0</v>
      </c>
      <c r="AO2957" t="n">
        <v>0</v>
      </c>
      <c r="AP2957" t="inlineStr">
        <is>
          <t>No</t>
        </is>
      </c>
      <c r="AQ2957" t="inlineStr">
        <is>
          <t>No</t>
        </is>
      </c>
      <c r="AS2957">
        <f>HYPERLINK("https://creighton-primo.hosted.exlibrisgroup.com/primo-explore/search?tab=default_tab&amp;search_scope=EVERYTHING&amp;vid=01CRU&amp;lang=en_US&amp;offset=0&amp;query=any,contains,991002852919702656","Catalog Record")</f>
        <v/>
      </c>
      <c r="AT2957">
        <f>HYPERLINK("http://www.worldcat.org/oclc/488063","WorldCat Record")</f>
        <v/>
      </c>
      <c r="AU2957" t="inlineStr">
        <is>
          <t>2908660263:eng</t>
        </is>
      </c>
      <c r="AV2957" t="inlineStr">
        <is>
          <t>488063</t>
        </is>
      </c>
      <c r="AW2957" t="inlineStr">
        <is>
          <t>991002852919702656</t>
        </is>
      </c>
      <c r="AX2957" t="inlineStr">
        <is>
          <t>991002852919702656</t>
        </is>
      </c>
      <c r="AY2957" t="inlineStr">
        <is>
          <t>2254999820002656</t>
        </is>
      </c>
      <c r="AZ2957" t="inlineStr">
        <is>
          <t>BOOK</t>
        </is>
      </c>
      <c r="BC2957" t="inlineStr">
        <is>
          <t>32285001019826</t>
        </is>
      </c>
      <c r="BD2957" t="inlineStr">
        <is>
          <t>893251705</t>
        </is>
      </c>
    </row>
    <row r="2958">
      <c r="A2958" t="inlineStr">
        <is>
          <t>No</t>
        </is>
      </c>
      <c r="B2958" t="inlineStr">
        <is>
          <t>BX830 1962 .I5</t>
        </is>
      </c>
      <c r="C2958" t="inlineStr">
        <is>
          <t>0                      BX 0830000               1962   I  5</t>
        </is>
      </c>
      <c r="D2958" t="inlineStr">
        <is>
          <t>Vatican II; an interfaith appraisal, [Participants] Barnabas Ahern [and others] Edited by John H. Miller.</t>
        </is>
      </c>
      <c r="F2958" t="inlineStr">
        <is>
          <t>No</t>
        </is>
      </c>
      <c r="G2958" t="inlineStr">
        <is>
          <t>1</t>
        </is>
      </c>
      <c r="H2958" t="inlineStr">
        <is>
          <t>No</t>
        </is>
      </c>
      <c r="I2958" t="inlineStr">
        <is>
          <t>No</t>
        </is>
      </c>
      <c r="J2958" t="inlineStr">
        <is>
          <t>0</t>
        </is>
      </c>
      <c r="K2958" t="inlineStr">
        <is>
          <t>International Theological Conference (1966 : Notre Dame, Ind.)</t>
        </is>
      </c>
      <c r="L2958" t="inlineStr">
        <is>
          <t>Notre Dame, University of Notre Dame Press [1966]</t>
        </is>
      </c>
      <c r="M2958" t="inlineStr">
        <is>
          <t>1966</t>
        </is>
      </c>
      <c r="O2958" t="inlineStr">
        <is>
          <t>eng</t>
        </is>
      </c>
      <c r="P2958" t="inlineStr">
        <is>
          <t>inu</t>
        </is>
      </c>
      <c r="R2958" t="inlineStr">
        <is>
          <t xml:space="preserve">BX </t>
        </is>
      </c>
      <c r="S2958" t="n">
        <v>2</v>
      </c>
      <c r="T2958" t="n">
        <v>2</v>
      </c>
      <c r="U2958" t="inlineStr">
        <is>
          <t>2006-12-13</t>
        </is>
      </c>
      <c r="V2958" t="inlineStr">
        <is>
          <t>2006-12-13</t>
        </is>
      </c>
      <c r="W2958" t="inlineStr">
        <is>
          <t>1992-05-14</t>
        </is>
      </c>
      <c r="X2958" t="inlineStr">
        <is>
          <t>1992-05-14</t>
        </is>
      </c>
      <c r="Y2958" t="n">
        <v>724</v>
      </c>
      <c r="Z2958" t="n">
        <v>651</v>
      </c>
      <c r="AA2958" t="n">
        <v>657</v>
      </c>
      <c r="AB2958" t="n">
        <v>7</v>
      </c>
      <c r="AC2958" t="n">
        <v>7</v>
      </c>
      <c r="AD2958" t="n">
        <v>45</v>
      </c>
      <c r="AE2958" t="n">
        <v>45</v>
      </c>
      <c r="AF2958" t="n">
        <v>18</v>
      </c>
      <c r="AG2958" t="n">
        <v>18</v>
      </c>
      <c r="AH2958" t="n">
        <v>10</v>
      </c>
      <c r="AI2958" t="n">
        <v>10</v>
      </c>
      <c r="AJ2958" t="n">
        <v>25</v>
      </c>
      <c r="AK2958" t="n">
        <v>25</v>
      </c>
      <c r="AL2958" t="n">
        <v>4</v>
      </c>
      <c r="AM2958" t="n">
        <v>4</v>
      </c>
      <c r="AN2958" t="n">
        <v>0</v>
      </c>
      <c r="AO2958" t="n">
        <v>0</v>
      </c>
      <c r="AP2958" t="inlineStr">
        <is>
          <t>No</t>
        </is>
      </c>
      <c r="AQ2958" t="inlineStr">
        <is>
          <t>No</t>
        </is>
      </c>
      <c r="AS2958">
        <f>HYPERLINK("https://creighton-primo.hosted.exlibrisgroup.com/primo-explore/search?tab=default_tab&amp;search_scope=EVERYTHING&amp;vid=01CRU&amp;lang=en_US&amp;offset=0&amp;query=any,contains,991003377409702656","Catalog Record")</f>
        <v/>
      </c>
      <c r="AT2958">
        <f>HYPERLINK("http://www.worldcat.org/oclc/387151","WorldCat Record")</f>
        <v/>
      </c>
      <c r="AU2958" t="inlineStr">
        <is>
          <t>30839410:eng</t>
        </is>
      </c>
      <c r="AV2958" t="inlineStr">
        <is>
          <t>387151</t>
        </is>
      </c>
      <c r="AW2958" t="inlineStr">
        <is>
          <t>991003377409702656</t>
        </is>
      </c>
      <c r="AX2958" t="inlineStr">
        <is>
          <t>991003377409702656</t>
        </is>
      </c>
      <c r="AY2958" t="inlineStr">
        <is>
          <t>2262774490002656</t>
        </is>
      </c>
      <c r="AZ2958" t="inlineStr">
        <is>
          <t>BOOK</t>
        </is>
      </c>
      <c r="BC2958" t="inlineStr">
        <is>
          <t>32285001110856</t>
        </is>
      </c>
      <c r="BD2958" t="inlineStr">
        <is>
          <t>893348625</t>
        </is>
      </c>
    </row>
    <row r="2959">
      <c r="A2959" t="inlineStr">
        <is>
          <t>No</t>
        </is>
      </c>
      <c r="B2959" t="inlineStr">
        <is>
          <t>BX830 1962 .J6 1967</t>
        </is>
      </c>
      <c r="C2959" t="inlineStr">
        <is>
          <t>0                      BX 0830000               1962   J  6           1967</t>
        </is>
      </c>
      <c r="D2959" t="inlineStr">
        <is>
          <t>La liturgie après Vatican II : bilans, études, prospective / par Y. Congar [et al.] sous la direction de J.- P. Jossua et Y. Congar.</t>
        </is>
      </c>
      <c r="F2959" t="inlineStr">
        <is>
          <t>No</t>
        </is>
      </c>
      <c r="G2959" t="inlineStr">
        <is>
          <t>1</t>
        </is>
      </c>
      <c r="H2959" t="inlineStr">
        <is>
          <t>No</t>
        </is>
      </c>
      <c r="I2959" t="inlineStr">
        <is>
          <t>No</t>
        </is>
      </c>
      <c r="J2959" t="inlineStr">
        <is>
          <t>0</t>
        </is>
      </c>
      <c r="K2959" t="inlineStr">
        <is>
          <t>Vatican Council (2nd : 1962-1965 : Basilica di San Pietro in Vaticano)</t>
        </is>
      </c>
      <c r="L2959" t="inlineStr">
        <is>
          <t>Paris : Éditions du Cerf, 1967.</t>
        </is>
      </c>
      <c r="M2959" t="inlineStr">
        <is>
          <t>1967</t>
        </is>
      </c>
      <c r="O2959" t="inlineStr">
        <is>
          <t>fre</t>
        </is>
      </c>
      <c r="P2959" t="inlineStr">
        <is>
          <t xml:space="preserve">fr </t>
        </is>
      </c>
      <c r="Q2959" t="inlineStr">
        <is>
          <t>Unam sanctam ; 66</t>
        </is>
      </c>
      <c r="R2959" t="inlineStr">
        <is>
          <t xml:space="preserve">BX </t>
        </is>
      </c>
      <c r="S2959" t="n">
        <v>0</v>
      </c>
      <c r="T2959" t="n">
        <v>0</v>
      </c>
      <c r="U2959" t="inlineStr">
        <is>
          <t>2003-02-13</t>
        </is>
      </c>
      <c r="V2959" t="inlineStr">
        <is>
          <t>2003-02-13</t>
        </is>
      </c>
      <c r="W2959" t="inlineStr">
        <is>
          <t>1992-04-28</t>
        </is>
      </c>
      <c r="X2959" t="inlineStr">
        <is>
          <t>1992-04-28</t>
        </is>
      </c>
      <c r="Y2959" t="n">
        <v>91</v>
      </c>
      <c r="Z2959" t="n">
        <v>60</v>
      </c>
      <c r="AA2959" t="n">
        <v>63</v>
      </c>
      <c r="AB2959" t="n">
        <v>1</v>
      </c>
      <c r="AC2959" t="n">
        <v>1</v>
      </c>
      <c r="AD2959" t="n">
        <v>8</v>
      </c>
      <c r="AE2959" t="n">
        <v>8</v>
      </c>
      <c r="AF2959" t="n">
        <v>1</v>
      </c>
      <c r="AG2959" t="n">
        <v>1</v>
      </c>
      <c r="AH2959" t="n">
        <v>3</v>
      </c>
      <c r="AI2959" t="n">
        <v>3</v>
      </c>
      <c r="AJ2959" t="n">
        <v>7</v>
      </c>
      <c r="AK2959" t="n">
        <v>7</v>
      </c>
      <c r="AL2959" t="n">
        <v>0</v>
      </c>
      <c r="AM2959" t="n">
        <v>0</v>
      </c>
      <c r="AN2959" t="n">
        <v>0</v>
      </c>
      <c r="AO2959" t="n">
        <v>0</v>
      </c>
      <c r="AP2959" t="inlineStr">
        <is>
          <t>No</t>
        </is>
      </c>
      <c r="AQ2959" t="inlineStr">
        <is>
          <t>Yes</t>
        </is>
      </c>
      <c r="AR2959">
        <f>HYPERLINK("http://catalog.hathitrust.org/Record/102156116","HathiTrust Record")</f>
        <v/>
      </c>
      <c r="AS2959">
        <f>HYPERLINK("https://creighton-primo.hosted.exlibrisgroup.com/primo-explore/search?tab=default_tab&amp;search_scope=EVERYTHING&amp;vid=01CRU&amp;lang=en_US&amp;offset=0&amp;query=any,contains,991001161519702656","Catalog Record")</f>
        <v/>
      </c>
      <c r="AT2959">
        <f>HYPERLINK("http://www.worldcat.org/oclc/801329","WorldCat Record")</f>
        <v/>
      </c>
      <c r="AU2959" t="inlineStr">
        <is>
          <t>2864322193:fre</t>
        </is>
      </c>
      <c r="AV2959" t="inlineStr">
        <is>
          <t>801329</t>
        </is>
      </c>
      <c r="AW2959" t="inlineStr">
        <is>
          <t>991001161519702656</t>
        </is>
      </c>
      <c r="AX2959" t="inlineStr">
        <is>
          <t>991001161519702656</t>
        </is>
      </c>
      <c r="AY2959" t="inlineStr">
        <is>
          <t>2269309610002656</t>
        </is>
      </c>
      <c r="AZ2959" t="inlineStr">
        <is>
          <t>BOOK</t>
        </is>
      </c>
      <c r="BC2959" t="inlineStr">
        <is>
          <t>32285001019842</t>
        </is>
      </c>
      <c r="BD2959" t="inlineStr">
        <is>
          <t>893596245</t>
        </is>
      </c>
    </row>
    <row r="2960">
      <c r="A2960" t="inlineStr">
        <is>
          <t>No</t>
        </is>
      </c>
      <c r="B2960" t="inlineStr">
        <is>
          <t>BX830 1962 .K54313 1974</t>
        </is>
      </c>
      <c r="C2960" t="inlineStr">
        <is>
          <t>0                      BX 0830000               1962   K  54313       1974</t>
        </is>
      </c>
      <c r="D2960" t="inlineStr">
        <is>
          <t>The ecclesiology of Vatican II / by Bonaventure Kloppenburg. Translated by Matthew J. O'Connell.</t>
        </is>
      </c>
      <c r="F2960" t="inlineStr">
        <is>
          <t>No</t>
        </is>
      </c>
      <c r="G2960" t="inlineStr">
        <is>
          <t>1</t>
        </is>
      </c>
      <c r="H2960" t="inlineStr">
        <is>
          <t>No</t>
        </is>
      </c>
      <c r="I2960" t="inlineStr">
        <is>
          <t>No</t>
        </is>
      </c>
      <c r="J2960" t="inlineStr">
        <is>
          <t>0</t>
        </is>
      </c>
      <c r="K2960" t="inlineStr">
        <is>
          <t>Boaventura, frei, 1919-</t>
        </is>
      </c>
      <c r="L2960" t="inlineStr">
        <is>
          <t>Chicago : Franciscan Herald Press, [1974]</t>
        </is>
      </c>
      <c r="M2960" t="inlineStr">
        <is>
          <t>1974</t>
        </is>
      </c>
      <c r="O2960" t="inlineStr">
        <is>
          <t>eng</t>
        </is>
      </c>
      <c r="P2960" t="inlineStr">
        <is>
          <t>ilu</t>
        </is>
      </c>
      <c r="R2960" t="inlineStr">
        <is>
          <t xml:space="preserve">BX </t>
        </is>
      </c>
      <c r="S2960" t="n">
        <v>12</v>
      </c>
      <c r="T2960" t="n">
        <v>12</v>
      </c>
      <c r="U2960" t="inlineStr">
        <is>
          <t>2010-09-09</t>
        </is>
      </c>
      <c r="V2960" t="inlineStr">
        <is>
          <t>2010-09-09</t>
        </is>
      </c>
      <c r="W2960" t="inlineStr">
        <is>
          <t>1992-05-18</t>
        </is>
      </c>
      <c r="X2960" t="inlineStr">
        <is>
          <t>1992-05-18</t>
        </is>
      </c>
      <c r="Y2960" t="n">
        <v>350</v>
      </c>
      <c r="Z2960" t="n">
        <v>298</v>
      </c>
      <c r="AA2960" t="n">
        <v>299</v>
      </c>
      <c r="AB2960" t="n">
        <v>5</v>
      </c>
      <c r="AC2960" t="n">
        <v>5</v>
      </c>
      <c r="AD2960" t="n">
        <v>32</v>
      </c>
      <c r="AE2960" t="n">
        <v>32</v>
      </c>
      <c r="AF2960" t="n">
        <v>11</v>
      </c>
      <c r="AG2960" t="n">
        <v>11</v>
      </c>
      <c r="AH2960" t="n">
        <v>7</v>
      </c>
      <c r="AI2960" t="n">
        <v>7</v>
      </c>
      <c r="AJ2960" t="n">
        <v>22</v>
      </c>
      <c r="AK2960" t="n">
        <v>22</v>
      </c>
      <c r="AL2960" t="n">
        <v>2</v>
      </c>
      <c r="AM2960" t="n">
        <v>2</v>
      </c>
      <c r="AN2960" t="n">
        <v>0</v>
      </c>
      <c r="AO2960" t="n">
        <v>0</v>
      </c>
      <c r="AP2960" t="inlineStr">
        <is>
          <t>No</t>
        </is>
      </c>
      <c r="AQ2960" t="inlineStr">
        <is>
          <t>Yes</t>
        </is>
      </c>
      <c r="AR2960">
        <f>HYPERLINK("http://catalog.hathitrust.org/Record/007152167","HathiTrust Record")</f>
        <v/>
      </c>
      <c r="AS2960">
        <f>HYPERLINK("https://creighton-primo.hosted.exlibrisgroup.com/primo-explore/search?tab=default_tab&amp;search_scope=EVERYTHING&amp;vid=01CRU&amp;lang=en_US&amp;offset=0&amp;query=any,contains,991003362329702656","Catalog Record")</f>
        <v/>
      </c>
      <c r="AT2960">
        <f>HYPERLINK("http://www.worldcat.org/oclc/898059","WorldCat Record")</f>
        <v/>
      </c>
      <c r="AU2960" t="inlineStr">
        <is>
          <t>484575:eng</t>
        </is>
      </c>
      <c r="AV2960" t="inlineStr">
        <is>
          <t>898059</t>
        </is>
      </c>
      <c r="AW2960" t="inlineStr">
        <is>
          <t>991003362329702656</t>
        </is>
      </c>
      <c r="AX2960" t="inlineStr">
        <is>
          <t>991003362329702656</t>
        </is>
      </c>
      <c r="AY2960" t="inlineStr">
        <is>
          <t>2259416130002656</t>
        </is>
      </c>
      <c r="AZ2960" t="inlineStr">
        <is>
          <t>BOOK</t>
        </is>
      </c>
      <c r="BB2960" t="inlineStr">
        <is>
          <t>9780819904843</t>
        </is>
      </c>
      <c r="BC2960" t="inlineStr">
        <is>
          <t>32285001111763</t>
        </is>
      </c>
      <c r="BD2960" t="inlineStr">
        <is>
          <t>893623427</t>
        </is>
      </c>
    </row>
    <row r="2961">
      <c r="A2961" t="inlineStr">
        <is>
          <t>No</t>
        </is>
      </c>
      <c r="B2961" t="inlineStr">
        <is>
          <t>BX830 1962 .K55 1985</t>
        </is>
      </c>
      <c r="C2961" t="inlineStr">
        <is>
          <t>0                      BX 0830000               1962   K  55          1985</t>
        </is>
      </c>
      <c r="D2961" t="inlineStr">
        <is>
          <t>Vatican II and phenomenology : reflections on the life-world of the church / John F. Kobler.</t>
        </is>
      </c>
      <c r="F2961" t="inlineStr">
        <is>
          <t>No</t>
        </is>
      </c>
      <c r="G2961" t="inlineStr">
        <is>
          <t>1</t>
        </is>
      </c>
      <c r="H2961" t="inlineStr">
        <is>
          <t>No</t>
        </is>
      </c>
      <c r="I2961" t="inlineStr">
        <is>
          <t>No</t>
        </is>
      </c>
      <c r="J2961" t="inlineStr">
        <is>
          <t>0</t>
        </is>
      </c>
      <c r="K2961" t="inlineStr">
        <is>
          <t>Kobler, John F.</t>
        </is>
      </c>
      <c r="L2961" t="inlineStr">
        <is>
          <t>Dordrecht ; Boston : M. Nijhoff ; Hingham, MA, USA : Distributors for the U.S. and Canada, Kluwer Academic Publishers, 1985.</t>
        </is>
      </c>
      <c r="M2961" t="inlineStr">
        <is>
          <t>1985</t>
        </is>
      </c>
      <c r="O2961" t="inlineStr">
        <is>
          <t>eng</t>
        </is>
      </c>
      <c r="P2961" t="inlineStr">
        <is>
          <t xml:space="preserve">ne </t>
        </is>
      </c>
      <c r="Q2961" t="inlineStr">
        <is>
          <t>Studies in philosophy and religion ; 8</t>
        </is>
      </c>
      <c r="R2961" t="inlineStr">
        <is>
          <t xml:space="preserve">BX </t>
        </is>
      </c>
      <c r="S2961" t="n">
        <v>9</v>
      </c>
      <c r="T2961" t="n">
        <v>9</v>
      </c>
      <c r="U2961" t="inlineStr">
        <is>
          <t>2006-11-12</t>
        </is>
      </c>
      <c r="V2961" t="inlineStr">
        <is>
          <t>2006-11-12</t>
        </is>
      </c>
      <c r="W2961" t="inlineStr">
        <is>
          <t>1992-04-28</t>
        </is>
      </c>
      <c r="X2961" t="inlineStr">
        <is>
          <t>1992-04-28</t>
        </is>
      </c>
      <c r="Y2961" t="n">
        <v>293</v>
      </c>
      <c r="Z2961" t="n">
        <v>230</v>
      </c>
      <c r="AA2961" t="n">
        <v>242</v>
      </c>
      <c r="AB2961" t="n">
        <v>3</v>
      </c>
      <c r="AC2961" t="n">
        <v>3</v>
      </c>
      <c r="AD2961" t="n">
        <v>28</v>
      </c>
      <c r="AE2961" t="n">
        <v>28</v>
      </c>
      <c r="AF2961" t="n">
        <v>9</v>
      </c>
      <c r="AG2961" t="n">
        <v>9</v>
      </c>
      <c r="AH2961" t="n">
        <v>7</v>
      </c>
      <c r="AI2961" t="n">
        <v>7</v>
      </c>
      <c r="AJ2961" t="n">
        <v>21</v>
      </c>
      <c r="AK2961" t="n">
        <v>21</v>
      </c>
      <c r="AL2961" t="n">
        <v>1</v>
      </c>
      <c r="AM2961" t="n">
        <v>1</v>
      </c>
      <c r="AN2961" t="n">
        <v>0</v>
      </c>
      <c r="AO2961" t="n">
        <v>0</v>
      </c>
      <c r="AP2961" t="inlineStr">
        <is>
          <t>No</t>
        </is>
      </c>
      <c r="AQ2961" t="inlineStr">
        <is>
          <t>No</t>
        </is>
      </c>
      <c r="AS2961">
        <f>HYPERLINK("https://creighton-primo.hosted.exlibrisgroup.com/primo-explore/search?tab=default_tab&amp;search_scope=EVERYTHING&amp;vid=01CRU&amp;lang=en_US&amp;offset=0&amp;query=any,contains,991000650859702656","Catalog Record")</f>
        <v/>
      </c>
      <c r="AT2961">
        <f>HYPERLINK("http://www.worldcat.org/oclc/12162860","WorldCat Record")</f>
        <v/>
      </c>
      <c r="AU2961" t="inlineStr">
        <is>
          <t>836717172:eng</t>
        </is>
      </c>
      <c r="AV2961" t="inlineStr">
        <is>
          <t>12162860</t>
        </is>
      </c>
      <c r="AW2961" t="inlineStr">
        <is>
          <t>991000650859702656</t>
        </is>
      </c>
      <c r="AX2961" t="inlineStr">
        <is>
          <t>991000650859702656</t>
        </is>
      </c>
      <c r="AY2961" t="inlineStr">
        <is>
          <t>2271957540002656</t>
        </is>
      </c>
      <c r="AZ2961" t="inlineStr">
        <is>
          <t>BOOK</t>
        </is>
      </c>
      <c r="BB2961" t="inlineStr">
        <is>
          <t>9789024731947</t>
        </is>
      </c>
      <c r="BC2961" t="inlineStr">
        <is>
          <t>32285001019859</t>
        </is>
      </c>
      <c r="BD2961" t="inlineStr">
        <is>
          <t>893714782</t>
        </is>
      </c>
    </row>
    <row r="2962">
      <c r="A2962" t="inlineStr">
        <is>
          <t>No</t>
        </is>
      </c>
      <c r="B2962" t="inlineStr">
        <is>
          <t>BX830 1962 .L4 1963</t>
        </is>
      </c>
      <c r="C2962" t="inlineStr">
        <is>
          <t>0                      BX 0830000               1962   L  4           1963</t>
        </is>
      </c>
      <c r="D2962" t="inlineStr">
        <is>
          <t>Vatican II : the theological dimension / With introd. by Ferrer E. Smith.</t>
        </is>
      </c>
      <c r="F2962" t="inlineStr">
        <is>
          <t>No</t>
        </is>
      </c>
      <c r="G2962" t="inlineStr">
        <is>
          <t>1</t>
        </is>
      </c>
      <c r="H2962" t="inlineStr">
        <is>
          <t>No</t>
        </is>
      </c>
      <c r="I2962" t="inlineStr">
        <is>
          <t>No</t>
        </is>
      </c>
      <c r="J2962" t="inlineStr">
        <is>
          <t>0</t>
        </is>
      </c>
      <c r="K2962" t="inlineStr">
        <is>
          <t>Lee, Anthony D., editor.</t>
        </is>
      </c>
      <c r="L2962" t="inlineStr">
        <is>
          <t>[Washington] : Thomist Press, 1963.</t>
        </is>
      </c>
      <c r="M2962" t="inlineStr">
        <is>
          <t>1963</t>
        </is>
      </c>
      <c r="O2962" t="inlineStr">
        <is>
          <t>eng</t>
        </is>
      </c>
      <c r="P2962" t="inlineStr">
        <is>
          <t xml:space="preserve">xx </t>
        </is>
      </c>
      <c r="R2962" t="inlineStr">
        <is>
          <t xml:space="preserve">BX </t>
        </is>
      </c>
      <c r="S2962" t="n">
        <v>3</v>
      </c>
      <c r="T2962" t="n">
        <v>3</v>
      </c>
      <c r="U2962" t="inlineStr">
        <is>
          <t>1994-10-11</t>
        </is>
      </c>
      <c r="V2962" t="inlineStr">
        <is>
          <t>1994-10-11</t>
        </is>
      </c>
      <c r="W2962" t="inlineStr">
        <is>
          <t>1990-03-23</t>
        </is>
      </c>
      <c r="X2962" t="inlineStr">
        <is>
          <t>1990-03-23</t>
        </is>
      </c>
      <c r="Y2962" t="n">
        <v>397</v>
      </c>
      <c r="Z2962" t="n">
        <v>363</v>
      </c>
      <c r="AA2962" t="n">
        <v>376</v>
      </c>
      <c r="AB2962" t="n">
        <v>4</v>
      </c>
      <c r="AC2962" t="n">
        <v>4</v>
      </c>
      <c r="AD2962" t="n">
        <v>33</v>
      </c>
      <c r="AE2962" t="n">
        <v>33</v>
      </c>
      <c r="AF2962" t="n">
        <v>14</v>
      </c>
      <c r="AG2962" t="n">
        <v>14</v>
      </c>
      <c r="AH2962" t="n">
        <v>6</v>
      </c>
      <c r="AI2962" t="n">
        <v>6</v>
      </c>
      <c r="AJ2962" t="n">
        <v>22</v>
      </c>
      <c r="AK2962" t="n">
        <v>22</v>
      </c>
      <c r="AL2962" t="n">
        <v>1</v>
      </c>
      <c r="AM2962" t="n">
        <v>1</v>
      </c>
      <c r="AN2962" t="n">
        <v>0</v>
      </c>
      <c r="AO2962" t="n">
        <v>0</v>
      </c>
      <c r="AP2962" t="inlineStr">
        <is>
          <t>No</t>
        </is>
      </c>
      <c r="AQ2962" t="inlineStr">
        <is>
          <t>No</t>
        </is>
      </c>
      <c r="AS2962">
        <f>HYPERLINK("https://creighton-primo.hosted.exlibrisgroup.com/primo-explore/search?tab=default_tab&amp;search_scope=EVERYTHING&amp;vid=01CRU&amp;lang=en_US&amp;offset=0&amp;query=any,contains,991003943609702656","Catalog Record")</f>
        <v/>
      </c>
      <c r="AT2962">
        <f>HYPERLINK("http://www.worldcat.org/oclc/1939718","WorldCat Record")</f>
        <v/>
      </c>
      <c r="AU2962" t="inlineStr">
        <is>
          <t>2977935:eng</t>
        </is>
      </c>
      <c r="AV2962" t="inlineStr">
        <is>
          <t>1939718</t>
        </is>
      </c>
      <c r="AW2962" t="inlineStr">
        <is>
          <t>991003943609702656</t>
        </is>
      </c>
      <c r="AX2962" t="inlineStr">
        <is>
          <t>991003943609702656</t>
        </is>
      </c>
      <c r="AY2962" t="inlineStr">
        <is>
          <t>2259851490002656</t>
        </is>
      </c>
      <c r="AZ2962" t="inlineStr">
        <is>
          <t>BOOK</t>
        </is>
      </c>
      <c r="BC2962" t="inlineStr">
        <is>
          <t>32285000096049</t>
        </is>
      </c>
      <c r="BD2962" t="inlineStr">
        <is>
          <t>893806454</t>
        </is>
      </c>
    </row>
    <row r="2963">
      <c r="A2963" t="inlineStr">
        <is>
          <t>No</t>
        </is>
      </c>
      <c r="B2963" t="inlineStr">
        <is>
          <t>BX830 1962 .M3 1966</t>
        </is>
      </c>
      <c r="C2963" t="inlineStr">
        <is>
          <t>0                      BX 0830000               1962   M  3           1966</t>
        </is>
      </c>
      <c r="D2963" t="inlineStr">
        <is>
          <t>What happened at Rome? : The Council and its implications for the modern world / Introd. by John Cogley.</t>
        </is>
      </c>
      <c r="F2963" t="inlineStr">
        <is>
          <t>No</t>
        </is>
      </c>
      <c r="G2963" t="inlineStr">
        <is>
          <t>1</t>
        </is>
      </c>
      <c r="H2963" t="inlineStr">
        <is>
          <t>No</t>
        </is>
      </c>
      <c r="I2963" t="inlineStr">
        <is>
          <t>No</t>
        </is>
      </c>
      <c r="J2963" t="inlineStr">
        <is>
          <t>0</t>
        </is>
      </c>
      <c r="K2963" t="inlineStr">
        <is>
          <t>MacEóin, Gary, 1909-2003.</t>
        </is>
      </c>
      <c r="L2963" t="inlineStr">
        <is>
          <t>New York : Holt, Rinehart, and Winston, [1966]</t>
        </is>
      </c>
      <c r="M2963" t="inlineStr">
        <is>
          <t>1966</t>
        </is>
      </c>
      <c r="N2963" t="inlineStr">
        <is>
          <t>[1st ed.]</t>
        </is>
      </c>
      <c r="O2963" t="inlineStr">
        <is>
          <t>eng</t>
        </is>
      </c>
      <c r="P2963" t="inlineStr">
        <is>
          <t>nyu</t>
        </is>
      </c>
      <c r="R2963" t="inlineStr">
        <is>
          <t xml:space="preserve">BX </t>
        </is>
      </c>
      <c r="S2963" t="n">
        <v>7</v>
      </c>
      <c r="T2963" t="n">
        <v>7</v>
      </c>
      <c r="U2963" t="inlineStr">
        <is>
          <t>2006-11-21</t>
        </is>
      </c>
      <c r="V2963" t="inlineStr">
        <is>
          <t>2006-11-21</t>
        </is>
      </c>
      <c r="W2963" t="inlineStr">
        <is>
          <t>1990-05-07</t>
        </is>
      </c>
      <c r="X2963" t="inlineStr">
        <is>
          <t>1990-05-07</t>
        </is>
      </c>
      <c r="Y2963" t="n">
        <v>482</v>
      </c>
      <c r="Z2963" t="n">
        <v>441</v>
      </c>
      <c r="AA2963" t="n">
        <v>482</v>
      </c>
      <c r="AB2963" t="n">
        <v>2</v>
      </c>
      <c r="AC2963" t="n">
        <v>3</v>
      </c>
      <c r="AD2963" t="n">
        <v>30</v>
      </c>
      <c r="AE2963" t="n">
        <v>33</v>
      </c>
      <c r="AF2963" t="n">
        <v>11</v>
      </c>
      <c r="AG2963" t="n">
        <v>13</v>
      </c>
      <c r="AH2963" t="n">
        <v>7</v>
      </c>
      <c r="AI2963" t="n">
        <v>8</v>
      </c>
      <c r="AJ2963" t="n">
        <v>19</v>
      </c>
      <c r="AK2963" t="n">
        <v>20</v>
      </c>
      <c r="AL2963" t="n">
        <v>0</v>
      </c>
      <c r="AM2963" t="n">
        <v>0</v>
      </c>
      <c r="AN2963" t="n">
        <v>0</v>
      </c>
      <c r="AO2963" t="n">
        <v>0</v>
      </c>
      <c r="AP2963" t="inlineStr">
        <is>
          <t>No</t>
        </is>
      </c>
      <c r="AQ2963" t="inlineStr">
        <is>
          <t>Yes</t>
        </is>
      </c>
      <c r="AR2963">
        <f>HYPERLINK("http://catalog.hathitrust.org/Record/008003674","HathiTrust Record")</f>
        <v/>
      </c>
      <c r="AS2963">
        <f>HYPERLINK("https://creighton-primo.hosted.exlibrisgroup.com/primo-explore/search?tab=default_tab&amp;search_scope=EVERYTHING&amp;vid=01CRU&amp;lang=en_US&amp;offset=0&amp;query=any,contains,991003411289702656","Catalog Record")</f>
        <v/>
      </c>
      <c r="AT2963">
        <f>HYPERLINK("http://www.worldcat.org/oclc/949642","WorldCat Record")</f>
        <v/>
      </c>
      <c r="AU2963" t="inlineStr">
        <is>
          <t>1913116:eng</t>
        </is>
      </c>
      <c r="AV2963" t="inlineStr">
        <is>
          <t>949642</t>
        </is>
      </c>
      <c r="AW2963" t="inlineStr">
        <is>
          <t>991003411289702656</t>
        </is>
      </c>
      <c r="AX2963" t="inlineStr">
        <is>
          <t>991003411289702656</t>
        </is>
      </c>
      <c r="AY2963" t="inlineStr">
        <is>
          <t>2262996900002656</t>
        </is>
      </c>
      <c r="AZ2963" t="inlineStr">
        <is>
          <t>BOOK</t>
        </is>
      </c>
      <c r="BC2963" t="inlineStr">
        <is>
          <t>32285000149442</t>
        </is>
      </c>
      <c r="BD2963" t="inlineStr">
        <is>
          <t>893893700</t>
        </is>
      </c>
    </row>
    <row r="2964">
      <c r="A2964" t="inlineStr">
        <is>
          <t>No</t>
        </is>
      </c>
      <c r="B2964" t="inlineStr">
        <is>
          <t>BX830 1962 .R3813 1987</t>
        </is>
      </c>
      <c r="C2964" t="inlineStr">
        <is>
          <t>0                      BX 0830000               1962   R  3813        1987</t>
        </is>
      </c>
      <c r="D2964" t="inlineStr">
        <is>
          <t>The reception of Vatican II / edited by Giuseppe Alberigo, Jean-Pierre Jossua, and Joseph A. Komonchak ; translated by Matthew J. O'Connell.</t>
        </is>
      </c>
      <c r="F2964" t="inlineStr">
        <is>
          <t>No</t>
        </is>
      </c>
      <c r="G2964" t="inlineStr">
        <is>
          <t>1</t>
        </is>
      </c>
      <c r="H2964" t="inlineStr">
        <is>
          <t>No</t>
        </is>
      </c>
      <c r="I2964" t="inlineStr">
        <is>
          <t>No</t>
        </is>
      </c>
      <c r="J2964" t="inlineStr">
        <is>
          <t>0</t>
        </is>
      </c>
      <c r="K2964" t="inlineStr">
        <is>
          <t>Réception de Vatican II. English.</t>
        </is>
      </c>
      <c r="L2964" t="inlineStr">
        <is>
          <t>Washington, D.C. : Catholic University of America Press, c1987.</t>
        </is>
      </c>
      <c r="M2964" t="inlineStr">
        <is>
          <t>1987</t>
        </is>
      </c>
      <c r="O2964" t="inlineStr">
        <is>
          <t>eng</t>
        </is>
      </c>
      <c r="P2964" t="inlineStr">
        <is>
          <t>dcu</t>
        </is>
      </c>
      <c r="R2964" t="inlineStr">
        <is>
          <t xml:space="preserve">BX </t>
        </is>
      </c>
      <c r="S2964" t="n">
        <v>21</v>
      </c>
      <c r="T2964" t="n">
        <v>21</v>
      </c>
      <c r="U2964" t="inlineStr">
        <is>
          <t>2009-04-07</t>
        </is>
      </c>
      <c r="V2964" t="inlineStr">
        <is>
          <t>2009-04-07</t>
        </is>
      </c>
      <c r="W2964" t="inlineStr">
        <is>
          <t>1992-04-28</t>
        </is>
      </c>
      <c r="X2964" t="inlineStr">
        <is>
          <t>1992-04-28</t>
        </is>
      </c>
      <c r="Y2964" t="n">
        <v>309</v>
      </c>
      <c r="Z2964" t="n">
        <v>261</v>
      </c>
      <c r="AA2964" t="n">
        <v>261</v>
      </c>
      <c r="AB2964" t="n">
        <v>3</v>
      </c>
      <c r="AC2964" t="n">
        <v>3</v>
      </c>
      <c r="AD2964" t="n">
        <v>33</v>
      </c>
      <c r="AE2964" t="n">
        <v>33</v>
      </c>
      <c r="AF2964" t="n">
        <v>11</v>
      </c>
      <c r="AG2964" t="n">
        <v>11</v>
      </c>
      <c r="AH2964" t="n">
        <v>10</v>
      </c>
      <c r="AI2964" t="n">
        <v>10</v>
      </c>
      <c r="AJ2964" t="n">
        <v>22</v>
      </c>
      <c r="AK2964" t="n">
        <v>22</v>
      </c>
      <c r="AL2964" t="n">
        <v>1</v>
      </c>
      <c r="AM2964" t="n">
        <v>1</v>
      </c>
      <c r="AN2964" t="n">
        <v>0</v>
      </c>
      <c r="AO2964" t="n">
        <v>0</v>
      </c>
      <c r="AP2964" t="inlineStr">
        <is>
          <t>No</t>
        </is>
      </c>
      <c r="AQ2964" t="inlineStr">
        <is>
          <t>No</t>
        </is>
      </c>
      <c r="AS2964">
        <f>HYPERLINK("https://creighton-primo.hosted.exlibrisgroup.com/primo-explore/search?tab=default_tab&amp;search_scope=EVERYTHING&amp;vid=01CRU&amp;lang=en_US&amp;offset=0&amp;query=any,contains,991001093859702656","Catalog Record")</f>
        <v/>
      </c>
      <c r="AT2964">
        <f>HYPERLINK("http://www.worldcat.org/oclc/16227227","WorldCat Record")</f>
        <v/>
      </c>
      <c r="AU2964" t="inlineStr">
        <is>
          <t>4494956269:eng</t>
        </is>
      </c>
      <c r="AV2964" t="inlineStr">
        <is>
          <t>16227227</t>
        </is>
      </c>
      <c r="AW2964" t="inlineStr">
        <is>
          <t>991001093859702656</t>
        </is>
      </c>
      <c r="AX2964" t="inlineStr">
        <is>
          <t>991001093859702656</t>
        </is>
      </c>
      <c r="AY2964" t="inlineStr">
        <is>
          <t>2264781320002656</t>
        </is>
      </c>
      <c r="AZ2964" t="inlineStr">
        <is>
          <t>BOOK</t>
        </is>
      </c>
      <c r="BB2964" t="inlineStr">
        <is>
          <t>9780813206547</t>
        </is>
      </c>
      <c r="BC2964" t="inlineStr">
        <is>
          <t>32285001019891</t>
        </is>
      </c>
      <c r="BD2964" t="inlineStr">
        <is>
          <t>893784804</t>
        </is>
      </c>
    </row>
    <row r="2965">
      <c r="A2965" t="inlineStr">
        <is>
          <t>No</t>
        </is>
      </c>
      <c r="B2965" t="inlineStr">
        <is>
          <t>BX830 1962 .R9 1963</t>
        </is>
      </c>
      <c r="C2965" t="inlineStr">
        <is>
          <t>0                      BX 0830000               1962   R  9           1963</t>
        </is>
      </c>
      <c r="D2965" t="inlineStr">
        <is>
          <t>Letters from Vatican City.</t>
        </is>
      </c>
      <c r="F2965" t="inlineStr">
        <is>
          <t>No</t>
        </is>
      </c>
      <c r="G2965" t="inlineStr">
        <is>
          <t>1</t>
        </is>
      </c>
      <c r="H2965" t="inlineStr">
        <is>
          <t>No</t>
        </is>
      </c>
      <c r="I2965" t="inlineStr">
        <is>
          <t>No</t>
        </is>
      </c>
      <c r="J2965" t="inlineStr">
        <is>
          <t>0</t>
        </is>
      </c>
      <c r="K2965" t="inlineStr">
        <is>
          <t>Rynne, Xavier.</t>
        </is>
      </c>
      <c r="L2965" t="inlineStr">
        <is>
          <t>New York : Farrar, Straus, [1963]</t>
        </is>
      </c>
      <c r="M2965" t="inlineStr">
        <is>
          <t>1963</t>
        </is>
      </c>
      <c r="O2965" t="inlineStr">
        <is>
          <t>eng</t>
        </is>
      </c>
      <c r="P2965" t="inlineStr">
        <is>
          <t xml:space="preserve">xx </t>
        </is>
      </c>
      <c r="R2965" t="inlineStr">
        <is>
          <t xml:space="preserve">BX </t>
        </is>
      </c>
      <c r="S2965" t="n">
        <v>2</v>
      </c>
      <c r="T2965" t="n">
        <v>2</v>
      </c>
      <c r="U2965" t="inlineStr">
        <is>
          <t>2003-02-04</t>
        </is>
      </c>
      <c r="V2965" t="inlineStr">
        <is>
          <t>2003-02-04</t>
        </is>
      </c>
      <c r="W2965" t="inlineStr">
        <is>
          <t>1992-04-28</t>
        </is>
      </c>
      <c r="X2965" t="inlineStr">
        <is>
          <t>1992-04-28</t>
        </is>
      </c>
      <c r="Y2965" t="n">
        <v>993</v>
      </c>
      <c r="Z2965" t="n">
        <v>910</v>
      </c>
      <c r="AA2965" t="n">
        <v>968</v>
      </c>
      <c r="AB2965" t="n">
        <v>11</v>
      </c>
      <c r="AC2965" t="n">
        <v>11</v>
      </c>
      <c r="AD2965" t="n">
        <v>46</v>
      </c>
      <c r="AE2965" t="n">
        <v>48</v>
      </c>
      <c r="AF2965" t="n">
        <v>16</v>
      </c>
      <c r="AG2965" t="n">
        <v>17</v>
      </c>
      <c r="AH2965" t="n">
        <v>9</v>
      </c>
      <c r="AI2965" t="n">
        <v>10</v>
      </c>
      <c r="AJ2965" t="n">
        <v>25</v>
      </c>
      <c r="AK2965" t="n">
        <v>25</v>
      </c>
      <c r="AL2965" t="n">
        <v>7</v>
      </c>
      <c r="AM2965" t="n">
        <v>7</v>
      </c>
      <c r="AN2965" t="n">
        <v>0</v>
      </c>
      <c r="AO2965" t="n">
        <v>1</v>
      </c>
      <c r="AP2965" t="inlineStr">
        <is>
          <t>No</t>
        </is>
      </c>
      <c r="AQ2965" t="inlineStr">
        <is>
          <t>No</t>
        </is>
      </c>
      <c r="AS2965">
        <f>HYPERLINK("https://creighton-primo.hosted.exlibrisgroup.com/primo-explore/search?tab=default_tab&amp;search_scope=EVERYTHING&amp;vid=01CRU&amp;lang=en_US&amp;offset=0&amp;query=any,contains,991002645179702656","Catalog Record")</f>
        <v/>
      </c>
      <c r="AT2965">
        <f>HYPERLINK("http://www.worldcat.org/oclc/385648","WorldCat Record")</f>
        <v/>
      </c>
      <c r="AU2965" t="inlineStr">
        <is>
          <t>1097366319:eng</t>
        </is>
      </c>
      <c r="AV2965" t="inlineStr">
        <is>
          <t>385648</t>
        </is>
      </c>
      <c r="AW2965" t="inlineStr">
        <is>
          <t>991002645179702656</t>
        </is>
      </c>
      <c r="AX2965" t="inlineStr">
        <is>
          <t>991002645179702656</t>
        </is>
      </c>
      <c r="AY2965" t="inlineStr">
        <is>
          <t>2258791830002656</t>
        </is>
      </c>
      <c r="AZ2965" t="inlineStr">
        <is>
          <t>BOOK</t>
        </is>
      </c>
      <c r="BC2965" t="inlineStr">
        <is>
          <t>32285001019925</t>
        </is>
      </c>
      <c r="BD2965" t="inlineStr">
        <is>
          <t>893616371</t>
        </is>
      </c>
    </row>
    <row r="2966">
      <c r="A2966" t="inlineStr">
        <is>
          <t>No</t>
        </is>
      </c>
      <c r="B2966" t="inlineStr">
        <is>
          <t>BX830 1962 .R931 1966</t>
        </is>
      </c>
      <c r="C2966" t="inlineStr">
        <is>
          <t>0                      BX 0830000               1962   R  931         1966</t>
        </is>
      </c>
      <c r="D2966" t="inlineStr">
        <is>
          <t>The fourth session : the debates and decrees of Vatican Council II, September 14 to December 8, 1965.</t>
        </is>
      </c>
      <c r="F2966" t="inlineStr">
        <is>
          <t>No</t>
        </is>
      </c>
      <c r="G2966" t="inlineStr">
        <is>
          <t>1</t>
        </is>
      </c>
      <c r="H2966" t="inlineStr">
        <is>
          <t>No</t>
        </is>
      </c>
      <c r="I2966" t="inlineStr">
        <is>
          <t>No</t>
        </is>
      </c>
      <c r="J2966" t="inlineStr">
        <is>
          <t>0</t>
        </is>
      </c>
      <c r="K2966" t="inlineStr">
        <is>
          <t>Rynne, Xavier.</t>
        </is>
      </c>
      <c r="L2966" t="inlineStr">
        <is>
          <t>New York : Farrar, Straus and Giroux, [1966]</t>
        </is>
      </c>
      <c r="M2966" t="inlineStr">
        <is>
          <t>1966</t>
        </is>
      </c>
      <c r="O2966" t="inlineStr">
        <is>
          <t>eng</t>
        </is>
      </c>
      <c r="P2966" t="inlineStr">
        <is>
          <t>nyu</t>
        </is>
      </c>
      <c r="R2966" t="inlineStr">
        <is>
          <t xml:space="preserve">BX </t>
        </is>
      </c>
      <c r="S2966" t="n">
        <v>5</v>
      </c>
      <c r="T2966" t="n">
        <v>5</v>
      </c>
      <c r="U2966" t="inlineStr">
        <is>
          <t>2010-04-08</t>
        </is>
      </c>
      <c r="V2966" t="inlineStr">
        <is>
          <t>2010-04-08</t>
        </is>
      </c>
      <c r="W2966" t="inlineStr">
        <is>
          <t>1992-04-28</t>
        </is>
      </c>
      <c r="X2966" t="inlineStr">
        <is>
          <t>1992-04-28</t>
        </is>
      </c>
      <c r="Y2966" t="n">
        <v>732</v>
      </c>
      <c r="Z2966" t="n">
        <v>676</v>
      </c>
      <c r="AA2966" t="n">
        <v>699</v>
      </c>
      <c r="AB2966" t="n">
        <v>8</v>
      </c>
      <c r="AC2966" t="n">
        <v>8</v>
      </c>
      <c r="AD2966" t="n">
        <v>40</v>
      </c>
      <c r="AE2966" t="n">
        <v>40</v>
      </c>
      <c r="AF2966" t="n">
        <v>14</v>
      </c>
      <c r="AG2966" t="n">
        <v>14</v>
      </c>
      <c r="AH2966" t="n">
        <v>9</v>
      </c>
      <c r="AI2966" t="n">
        <v>9</v>
      </c>
      <c r="AJ2966" t="n">
        <v>24</v>
      </c>
      <c r="AK2966" t="n">
        <v>24</v>
      </c>
      <c r="AL2966" t="n">
        <v>5</v>
      </c>
      <c r="AM2966" t="n">
        <v>5</v>
      </c>
      <c r="AN2966" t="n">
        <v>0</v>
      </c>
      <c r="AO2966" t="n">
        <v>0</v>
      </c>
      <c r="AP2966" t="inlineStr">
        <is>
          <t>No</t>
        </is>
      </c>
      <c r="AQ2966" t="inlineStr">
        <is>
          <t>Yes</t>
        </is>
      </c>
      <c r="AR2966">
        <f>HYPERLINK("http://catalog.hathitrust.org/Record/001415607","HathiTrust Record")</f>
        <v/>
      </c>
      <c r="AS2966">
        <f>HYPERLINK("https://creighton-primo.hosted.exlibrisgroup.com/primo-explore/search?tab=default_tab&amp;search_scope=EVERYTHING&amp;vid=01CRU&amp;lang=en_US&amp;offset=0&amp;query=any,contains,991003065049702656","Catalog Record")</f>
        <v/>
      </c>
      <c r="AT2966">
        <f>HYPERLINK("http://www.worldcat.org/oclc/621790","WorldCat Record")</f>
        <v/>
      </c>
      <c r="AU2966" t="inlineStr">
        <is>
          <t>836666254:eng</t>
        </is>
      </c>
      <c r="AV2966" t="inlineStr">
        <is>
          <t>621790</t>
        </is>
      </c>
      <c r="AW2966" t="inlineStr">
        <is>
          <t>991003065049702656</t>
        </is>
      </c>
      <c r="AX2966" t="inlineStr">
        <is>
          <t>991003065049702656</t>
        </is>
      </c>
      <c r="AY2966" t="inlineStr">
        <is>
          <t>2257011000002656</t>
        </is>
      </c>
      <c r="AZ2966" t="inlineStr">
        <is>
          <t>BOOK</t>
        </is>
      </c>
      <c r="BC2966" t="inlineStr">
        <is>
          <t>32285001019958</t>
        </is>
      </c>
      <c r="BD2966" t="inlineStr">
        <is>
          <t>893329918</t>
        </is>
      </c>
    </row>
    <row r="2967">
      <c r="A2967" t="inlineStr">
        <is>
          <t>No</t>
        </is>
      </c>
      <c r="B2967" t="inlineStr">
        <is>
          <t>BX830 1962 .T32 1967</t>
        </is>
      </c>
      <c r="C2967" t="inlineStr">
        <is>
          <t>0                      BX 0830000               1962   T  32          1967</t>
        </is>
      </c>
      <c r="D2967" t="inlineStr">
        <is>
          <t>The pilgrim church / [by] George H. Tavard.</t>
        </is>
      </c>
      <c r="F2967" t="inlineStr">
        <is>
          <t>No</t>
        </is>
      </c>
      <c r="G2967" t="inlineStr">
        <is>
          <t>1</t>
        </is>
      </c>
      <c r="H2967" t="inlineStr">
        <is>
          <t>No</t>
        </is>
      </c>
      <c r="I2967" t="inlineStr">
        <is>
          <t>No</t>
        </is>
      </c>
      <c r="J2967" t="inlineStr">
        <is>
          <t>0</t>
        </is>
      </c>
      <c r="K2967" t="inlineStr">
        <is>
          <t>Tavard, George H. (George Henry), 1922-2007.</t>
        </is>
      </c>
      <c r="L2967" t="inlineStr">
        <is>
          <t>[New York] : Herder and Herder, [1967]</t>
        </is>
      </c>
      <c r="M2967" t="inlineStr">
        <is>
          <t>1967</t>
        </is>
      </c>
      <c r="O2967" t="inlineStr">
        <is>
          <t>eng</t>
        </is>
      </c>
      <c r="P2967" t="inlineStr">
        <is>
          <t>nyu</t>
        </is>
      </c>
      <c r="R2967" t="inlineStr">
        <is>
          <t xml:space="preserve">BX </t>
        </is>
      </c>
      <c r="S2967" t="n">
        <v>2</v>
      </c>
      <c r="T2967" t="n">
        <v>2</v>
      </c>
      <c r="U2967" t="inlineStr">
        <is>
          <t>1999-07-16</t>
        </is>
      </c>
      <c r="V2967" t="inlineStr">
        <is>
          <t>1999-07-16</t>
        </is>
      </c>
      <c r="W2967" t="inlineStr">
        <is>
          <t>1992-02-19</t>
        </is>
      </c>
      <c r="X2967" t="inlineStr">
        <is>
          <t>1992-02-19</t>
        </is>
      </c>
      <c r="Y2967" t="n">
        <v>276</v>
      </c>
      <c r="Z2967" t="n">
        <v>251</v>
      </c>
      <c r="AA2967" t="n">
        <v>272</v>
      </c>
      <c r="AB2967" t="n">
        <v>3</v>
      </c>
      <c r="AC2967" t="n">
        <v>3</v>
      </c>
      <c r="AD2967" t="n">
        <v>29</v>
      </c>
      <c r="AE2967" t="n">
        <v>31</v>
      </c>
      <c r="AF2967" t="n">
        <v>10</v>
      </c>
      <c r="AG2967" t="n">
        <v>11</v>
      </c>
      <c r="AH2967" t="n">
        <v>7</v>
      </c>
      <c r="AI2967" t="n">
        <v>8</v>
      </c>
      <c r="AJ2967" t="n">
        <v>24</v>
      </c>
      <c r="AK2967" t="n">
        <v>24</v>
      </c>
      <c r="AL2967" t="n">
        <v>0</v>
      </c>
      <c r="AM2967" t="n">
        <v>0</v>
      </c>
      <c r="AN2967" t="n">
        <v>0</v>
      </c>
      <c r="AO2967" t="n">
        <v>0</v>
      </c>
      <c r="AP2967" t="inlineStr">
        <is>
          <t>No</t>
        </is>
      </c>
      <c r="AQ2967" t="inlineStr">
        <is>
          <t>No</t>
        </is>
      </c>
      <c r="AS2967">
        <f>HYPERLINK("https://creighton-primo.hosted.exlibrisgroup.com/primo-explore/search?tab=default_tab&amp;search_scope=EVERYTHING&amp;vid=01CRU&amp;lang=en_US&amp;offset=0&amp;query=any,contains,991003980599702656","Catalog Record")</f>
        <v/>
      </c>
      <c r="AT2967">
        <f>HYPERLINK("http://www.worldcat.org/oclc/2019873","WorldCat Record")</f>
        <v/>
      </c>
      <c r="AU2967" t="inlineStr">
        <is>
          <t>1494107:eng</t>
        </is>
      </c>
      <c r="AV2967" t="inlineStr">
        <is>
          <t>2019873</t>
        </is>
      </c>
      <c r="AW2967" t="inlineStr">
        <is>
          <t>991003980599702656</t>
        </is>
      </c>
      <c r="AX2967" t="inlineStr">
        <is>
          <t>991003980599702656</t>
        </is>
      </c>
      <c r="AY2967" t="inlineStr">
        <is>
          <t>2260192940002656</t>
        </is>
      </c>
      <c r="AZ2967" t="inlineStr">
        <is>
          <t>BOOK</t>
        </is>
      </c>
      <c r="BC2967" t="inlineStr">
        <is>
          <t>32285000981430</t>
        </is>
      </c>
      <c r="BD2967" t="inlineStr">
        <is>
          <t>893417070</t>
        </is>
      </c>
    </row>
    <row r="2968">
      <c r="A2968" t="inlineStr">
        <is>
          <t>No</t>
        </is>
      </c>
      <c r="B2968" t="inlineStr">
        <is>
          <t>BX830 1962 .Y9 1963</t>
        </is>
      </c>
      <c r="C2968" t="inlineStr">
        <is>
          <t>0                      BX 0830000               1962   Y  9           1963</t>
        </is>
      </c>
      <c r="D2968" t="inlineStr">
        <is>
          <t>A new Pentecost : Vatican Council II: session 1 / Foreword by Gustave Weigel ; introd. by Hans Küng.</t>
        </is>
      </c>
      <c r="F2968" t="inlineStr">
        <is>
          <t>No</t>
        </is>
      </c>
      <c r="G2968" t="inlineStr">
        <is>
          <t>1</t>
        </is>
      </c>
      <c r="H2968" t="inlineStr">
        <is>
          <t>No</t>
        </is>
      </c>
      <c r="I2968" t="inlineStr">
        <is>
          <t>No</t>
        </is>
      </c>
      <c r="J2968" t="inlineStr">
        <is>
          <t>0</t>
        </is>
      </c>
      <c r="K2968" t="inlineStr">
        <is>
          <t>Yzermans, Vincent A. (Vincent Arthur), 1925-</t>
        </is>
      </c>
      <c r="L2968" t="inlineStr">
        <is>
          <t>Westminster, Md. : Newman Press, 1963.</t>
        </is>
      </c>
      <c r="M2968" t="inlineStr">
        <is>
          <t>1963</t>
        </is>
      </c>
      <c r="O2968" t="inlineStr">
        <is>
          <t>eng</t>
        </is>
      </c>
      <c r="P2968" t="inlineStr">
        <is>
          <t xml:space="preserve">xx </t>
        </is>
      </c>
      <c r="R2968" t="inlineStr">
        <is>
          <t xml:space="preserve">BX </t>
        </is>
      </c>
      <c r="S2968" t="n">
        <v>5</v>
      </c>
      <c r="T2968" t="n">
        <v>5</v>
      </c>
      <c r="U2968" t="inlineStr">
        <is>
          <t>1997-09-12</t>
        </is>
      </c>
      <c r="V2968" t="inlineStr">
        <is>
          <t>1997-09-12</t>
        </is>
      </c>
      <c r="W2968" t="inlineStr">
        <is>
          <t>1992-04-28</t>
        </is>
      </c>
      <c r="X2968" t="inlineStr">
        <is>
          <t>1992-04-28</t>
        </is>
      </c>
      <c r="Y2968" t="n">
        <v>226</v>
      </c>
      <c r="Z2968" t="n">
        <v>206</v>
      </c>
      <c r="AA2968" t="n">
        <v>208</v>
      </c>
      <c r="AB2968" t="n">
        <v>2</v>
      </c>
      <c r="AC2968" t="n">
        <v>2</v>
      </c>
      <c r="AD2968" t="n">
        <v>23</v>
      </c>
      <c r="AE2968" t="n">
        <v>23</v>
      </c>
      <c r="AF2968" t="n">
        <v>6</v>
      </c>
      <c r="AG2968" t="n">
        <v>6</v>
      </c>
      <c r="AH2968" t="n">
        <v>7</v>
      </c>
      <c r="AI2968" t="n">
        <v>7</v>
      </c>
      <c r="AJ2968" t="n">
        <v>18</v>
      </c>
      <c r="AK2968" t="n">
        <v>18</v>
      </c>
      <c r="AL2968" t="n">
        <v>0</v>
      </c>
      <c r="AM2968" t="n">
        <v>0</v>
      </c>
      <c r="AN2968" t="n">
        <v>0</v>
      </c>
      <c r="AO2968" t="n">
        <v>0</v>
      </c>
      <c r="AP2968" t="inlineStr">
        <is>
          <t>No</t>
        </is>
      </c>
      <c r="AQ2968" t="inlineStr">
        <is>
          <t>No</t>
        </is>
      </c>
      <c r="AR2968">
        <f>HYPERLINK("http://catalog.hathitrust.org/Record/001415611","HathiTrust Record")</f>
        <v/>
      </c>
      <c r="AS2968">
        <f>HYPERLINK("https://creighton-primo.hosted.exlibrisgroup.com/primo-explore/search?tab=default_tab&amp;search_scope=EVERYTHING&amp;vid=01CRU&amp;lang=en_US&amp;offset=0&amp;query=any,contains,991003714349702656","Catalog Record")</f>
        <v/>
      </c>
      <c r="AT2968">
        <f>HYPERLINK("http://www.worldcat.org/oclc/1357715","WorldCat Record")</f>
        <v/>
      </c>
      <c r="AU2968" t="inlineStr">
        <is>
          <t>422957492:eng</t>
        </is>
      </c>
      <c r="AV2968" t="inlineStr">
        <is>
          <t>1357715</t>
        </is>
      </c>
      <c r="AW2968" t="inlineStr">
        <is>
          <t>991003714349702656</t>
        </is>
      </c>
      <c r="AX2968" t="inlineStr">
        <is>
          <t>991003714349702656</t>
        </is>
      </c>
      <c r="AY2968" t="inlineStr">
        <is>
          <t>2271817160002656</t>
        </is>
      </c>
      <c r="AZ2968" t="inlineStr">
        <is>
          <t>BOOK</t>
        </is>
      </c>
      <c r="BC2968" t="inlineStr">
        <is>
          <t>32285001019982</t>
        </is>
      </c>
      <c r="BD2968" t="inlineStr">
        <is>
          <t>893686856</t>
        </is>
      </c>
    </row>
    <row r="2969">
      <c r="A2969" t="inlineStr">
        <is>
          <t>No</t>
        </is>
      </c>
      <c r="B2969" t="inlineStr">
        <is>
          <t>BX830 1962.A45 C425</t>
        </is>
      </c>
      <c r="C2969" t="inlineStr">
        <is>
          <t>0                      BX 0830000               1962   A  45                 C  425</t>
        </is>
      </c>
      <c r="D2969" t="inlineStr">
        <is>
          <t>Constitution on the church : Second Vatican Council : [De ecclesia], Nov. 21, 1964 / discussion outline and bibliography prepared by George H. Tavard.</t>
        </is>
      </c>
      <c r="F2969" t="inlineStr">
        <is>
          <t>No</t>
        </is>
      </c>
      <c r="G2969" t="inlineStr">
        <is>
          <t>1</t>
        </is>
      </c>
      <c r="H2969" t="inlineStr">
        <is>
          <t>No</t>
        </is>
      </c>
      <c r="I2969" t="inlineStr">
        <is>
          <t>No</t>
        </is>
      </c>
      <c r="J2969" t="inlineStr">
        <is>
          <t>0</t>
        </is>
      </c>
      <c r="K2969" t="inlineStr">
        <is>
          <t>Vatican Council (2nd : 1962-1965 : Basilica di San Pietro in Vaticano)</t>
        </is>
      </c>
      <c r="L2969" t="inlineStr">
        <is>
          <t>Washington (D.C.) : National Catholic Welfare Conference, [1964?]</t>
        </is>
      </c>
      <c r="M2969" t="inlineStr">
        <is>
          <t>1964</t>
        </is>
      </c>
      <c r="O2969" t="inlineStr">
        <is>
          <t>eng</t>
        </is>
      </c>
      <c r="P2969" t="inlineStr">
        <is>
          <t>dcu</t>
        </is>
      </c>
      <c r="R2969" t="inlineStr">
        <is>
          <t xml:space="preserve">BX </t>
        </is>
      </c>
      <c r="S2969" t="n">
        <v>6</v>
      </c>
      <c r="T2969" t="n">
        <v>6</v>
      </c>
      <c r="U2969" t="inlineStr">
        <is>
          <t>1998-09-20</t>
        </is>
      </c>
      <c r="V2969" t="inlineStr">
        <is>
          <t>1998-09-20</t>
        </is>
      </c>
      <c r="W2969" t="inlineStr">
        <is>
          <t>1992-04-22</t>
        </is>
      </c>
      <c r="X2969" t="inlineStr">
        <is>
          <t>1992-04-22</t>
        </is>
      </c>
      <c r="Y2969" t="n">
        <v>70</v>
      </c>
      <c r="Z2969" t="n">
        <v>66</v>
      </c>
      <c r="AA2969" t="n">
        <v>85</v>
      </c>
      <c r="AB2969" t="n">
        <v>1</v>
      </c>
      <c r="AC2969" t="n">
        <v>2</v>
      </c>
      <c r="AD2969" t="n">
        <v>10</v>
      </c>
      <c r="AE2969" t="n">
        <v>11</v>
      </c>
      <c r="AF2969" t="n">
        <v>1</v>
      </c>
      <c r="AG2969" t="n">
        <v>1</v>
      </c>
      <c r="AH2969" t="n">
        <v>3</v>
      </c>
      <c r="AI2969" t="n">
        <v>3</v>
      </c>
      <c r="AJ2969" t="n">
        <v>8</v>
      </c>
      <c r="AK2969" t="n">
        <v>9</v>
      </c>
      <c r="AL2969" t="n">
        <v>0</v>
      </c>
      <c r="AM2969" t="n">
        <v>0</v>
      </c>
      <c r="AN2969" t="n">
        <v>1</v>
      </c>
      <c r="AO2969" t="n">
        <v>1</v>
      </c>
      <c r="AP2969" t="inlineStr">
        <is>
          <t>No</t>
        </is>
      </c>
      <c r="AQ2969" t="inlineStr">
        <is>
          <t>No</t>
        </is>
      </c>
      <c r="AS2969">
        <f>HYPERLINK("https://creighton-primo.hosted.exlibrisgroup.com/primo-explore/search?tab=default_tab&amp;search_scope=EVERYTHING&amp;vid=01CRU&amp;lang=en_US&amp;offset=0&amp;query=any,contains,991004182379702656","Catalog Record")</f>
        <v/>
      </c>
      <c r="AT2969">
        <f>HYPERLINK("http://www.worldcat.org/oclc/2608474","WorldCat Record")</f>
        <v/>
      </c>
      <c r="AU2969" t="inlineStr">
        <is>
          <t>10627763546:eng</t>
        </is>
      </c>
      <c r="AV2969" t="inlineStr">
        <is>
          <t>2608474</t>
        </is>
      </c>
      <c r="AW2969" t="inlineStr">
        <is>
          <t>991004182379702656</t>
        </is>
      </c>
      <c r="AX2969" t="inlineStr">
        <is>
          <t>991004182379702656</t>
        </is>
      </c>
      <c r="AY2969" t="inlineStr">
        <is>
          <t>2261739590002656</t>
        </is>
      </c>
      <c r="AZ2969" t="inlineStr">
        <is>
          <t>BOOK</t>
        </is>
      </c>
      <c r="BC2969" t="inlineStr">
        <is>
          <t>32285001019453</t>
        </is>
      </c>
      <c r="BD2969" t="inlineStr">
        <is>
          <t>893875782</t>
        </is>
      </c>
    </row>
    <row r="2970">
      <c r="A2970" t="inlineStr">
        <is>
          <t>No</t>
        </is>
      </c>
      <c r="B2970" t="inlineStr">
        <is>
          <t>BX830 1962.A45 C88 1967</t>
        </is>
      </c>
      <c r="C2970" t="inlineStr">
        <is>
          <t>0                      BX 0830000               1962   A  45                 C  88          1967</t>
        </is>
      </c>
      <c r="D2970" t="inlineStr">
        <is>
          <t>Meditations on the church, based on the Constitution on the church / introd. by John J. Wright.</t>
        </is>
      </c>
      <c r="F2970" t="inlineStr">
        <is>
          <t>No</t>
        </is>
      </c>
      <c r="G2970" t="inlineStr">
        <is>
          <t>1</t>
        </is>
      </c>
      <c r="H2970" t="inlineStr">
        <is>
          <t>No</t>
        </is>
      </c>
      <c r="I2970" t="inlineStr">
        <is>
          <t>No</t>
        </is>
      </c>
      <c r="J2970" t="inlineStr">
        <is>
          <t>0</t>
        </is>
      </c>
      <c r="L2970" t="inlineStr">
        <is>
          <t>[New York] : Herder and Herder, [1967]</t>
        </is>
      </c>
      <c r="M2970" t="inlineStr">
        <is>
          <t>1967</t>
        </is>
      </c>
      <c r="O2970" t="inlineStr">
        <is>
          <t>eng</t>
        </is>
      </c>
      <c r="P2970" t="inlineStr">
        <is>
          <t>nyu</t>
        </is>
      </c>
      <c r="R2970" t="inlineStr">
        <is>
          <t xml:space="preserve">BX </t>
        </is>
      </c>
      <c r="S2970" t="n">
        <v>3</v>
      </c>
      <c r="T2970" t="n">
        <v>3</v>
      </c>
      <c r="U2970" t="inlineStr">
        <is>
          <t>2002-07-20</t>
        </is>
      </c>
      <c r="V2970" t="inlineStr">
        <is>
          <t>2002-07-20</t>
        </is>
      </c>
      <c r="W2970" t="inlineStr">
        <is>
          <t>1992-04-22</t>
        </is>
      </c>
      <c r="X2970" t="inlineStr">
        <is>
          <t>1992-04-22</t>
        </is>
      </c>
      <c r="Y2970" t="n">
        <v>198</v>
      </c>
      <c r="Z2970" t="n">
        <v>168</v>
      </c>
      <c r="AA2970" t="n">
        <v>168</v>
      </c>
      <c r="AB2970" t="n">
        <v>4</v>
      </c>
      <c r="AC2970" t="n">
        <v>4</v>
      </c>
      <c r="AD2970" t="n">
        <v>26</v>
      </c>
      <c r="AE2970" t="n">
        <v>26</v>
      </c>
      <c r="AF2970" t="n">
        <v>5</v>
      </c>
      <c r="AG2970" t="n">
        <v>5</v>
      </c>
      <c r="AH2970" t="n">
        <v>7</v>
      </c>
      <c r="AI2970" t="n">
        <v>7</v>
      </c>
      <c r="AJ2970" t="n">
        <v>18</v>
      </c>
      <c r="AK2970" t="n">
        <v>18</v>
      </c>
      <c r="AL2970" t="n">
        <v>1</v>
      </c>
      <c r="AM2970" t="n">
        <v>1</v>
      </c>
      <c r="AN2970" t="n">
        <v>0</v>
      </c>
      <c r="AO2970" t="n">
        <v>0</v>
      </c>
      <c r="AP2970" t="inlineStr">
        <is>
          <t>No</t>
        </is>
      </c>
      <c r="AQ2970" t="inlineStr">
        <is>
          <t>No</t>
        </is>
      </c>
      <c r="AS2970">
        <f>HYPERLINK("https://creighton-primo.hosted.exlibrisgroup.com/primo-explore/search?tab=default_tab&amp;search_scope=EVERYTHING&amp;vid=01CRU&amp;lang=en_US&amp;offset=0&amp;query=any,contains,991003706139702656","Catalog Record")</f>
        <v/>
      </c>
      <c r="AT2970">
        <f>HYPERLINK("http://www.worldcat.org/oclc/1343708","WorldCat Record")</f>
        <v/>
      </c>
      <c r="AU2970" t="inlineStr">
        <is>
          <t>2237302:eng</t>
        </is>
      </c>
      <c r="AV2970" t="inlineStr">
        <is>
          <t>1343708</t>
        </is>
      </c>
      <c r="AW2970" t="inlineStr">
        <is>
          <t>991003706139702656</t>
        </is>
      </c>
      <c r="AX2970" t="inlineStr">
        <is>
          <t>991003706139702656</t>
        </is>
      </c>
      <c r="AY2970" t="inlineStr">
        <is>
          <t>2263754330002656</t>
        </is>
      </c>
      <c r="AZ2970" t="inlineStr">
        <is>
          <t>BOOK</t>
        </is>
      </c>
      <c r="BC2970" t="inlineStr">
        <is>
          <t>32285001019529</t>
        </is>
      </c>
      <c r="BD2970" t="inlineStr">
        <is>
          <t>893518784</t>
        </is>
      </c>
    </row>
    <row r="2971">
      <c r="A2971" t="inlineStr">
        <is>
          <t>No</t>
        </is>
      </c>
      <c r="B2971" t="inlineStr">
        <is>
          <t>BX830 1962.A45 D423 1966</t>
        </is>
      </c>
      <c r="C2971" t="inlineStr">
        <is>
          <t>0                      BX 0830000               1962   A  45                 D  423         1966</t>
        </is>
      </c>
      <c r="D2971" t="inlineStr">
        <is>
          <t>Religious liberty : an end and a beginning : the Declaration on religious freedom, an ecumenical discussion / edited by John Courtney Murray.</t>
        </is>
      </c>
      <c r="F2971" t="inlineStr">
        <is>
          <t>No</t>
        </is>
      </c>
      <c r="G2971" t="inlineStr">
        <is>
          <t>1</t>
        </is>
      </c>
      <c r="H2971" t="inlineStr">
        <is>
          <t>No</t>
        </is>
      </c>
      <c r="I2971" t="inlineStr">
        <is>
          <t>No</t>
        </is>
      </c>
      <c r="J2971" t="inlineStr">
        <is>
          <t>0</t>
        </is>
      </c>
      <c r="K2971" t="inlineStr">
        <is>
          <t>Institute on Religious Freedom (1966 : Bellarmine School of Theology)</t>
        </is>
      </c>
      <c r="L2971" t="inlineStr">
        <is>
          <t>New York : Macmillan, [1966]</t>
        </is>
      </c>
      <c r="M2971" t="inlineStr">
        <is>
          <t>1966</t>
        </is>
      </c>
      <c r="O2971" t="inlineStr">
        <is>
          <t>eng</t>
        </is>
      </c>
      <c r="P2971" t="inlineStr">
        <is>
          <t xml:space="preserve">xx </t>
        </is>
      </c>
      <c r="R2971" t="inlineStr">
        <is>
          <t xml:space="preserve">BX </t>
        </is>
      </c>
      <c r="S2971" t="n">
        <v>2</v>
      </c>
      <c r="T2971" t="n">
        <v>2</v>
      </c>
      <c r="U2971" t="inlineStr">
        <is>
          <t>2000-06-30</t>
        </is>
      </c>
      <c r="V2971" t="inlineStr">
        <is>
          <t>2000-06-30</t>
        </is>
      </c>
      <c r="W2971" t="inlineStr">
        <is>
          <t>1992-04-23</t>
        </is>
      </c>
      <c r="X2971" t="inlineStr">
        <is>
          <t>1992-04-23</t>
        </is>
      </c>
      <c r="Y2971" t="n">
        <v>555</v>
      </c>
      <c r="Z2971" t="n">
        <v>496</v>
      </c>
      <c r="AA2971" t="n">
        <v>502</v>
      </c>
      <c r="AB2971" t="n">
        <v>4</v>
      </c>
      <c r="AC2971" t="n">
        <v>4</v>
      </c>
      <c r="AD2971" t="n">
        <v>42</v>
      </c>
      <c r="AE2971" t="n">
        <v>42</v>
      </c>
      <c r="AF2971" t="n">
        <v>14</v>
      </c>
      <c r="AG2971" t="n">
        <v>14</v>
      </c>
      <c r="AH2971" t="n">
        <v>9</v>
      </c>
      <c r="AI2971" t="n">
        <v>9</v>
      </c>
      <c r="AJ2971" t="n">
        <v>25</v>
      </c>
      <c r="AK2971" t="n">
        <v>25</v>
      </c>
      <c r="AL2971" t="n">
        <v>2</v>
      </c>
      <c r="AM2971" t="n">
        <v>2</v>
      </c>
      <c r="AN2971" t="n">
        <v>4</v>
      </c>
      <c r="AO2971" t="n">
        <v>4</v>
      </c>
      <c r="AP2971" t="inlineStr">
        <is>
          <t>No</t>
        </is>
      </c>
      <c r="AQ2971" t="inlineStr">
        <is>
          <t>No</t>
        </is>
      </c>
      <c r="AS2971">
        <f>HYPERLINK("https://creighton-primo.hosted.exlibrisgroup.com/primo-explore/search?tab=default_tab&amp;search_scope=EVERYTHING&amp;vid=01CRU&amp;lang=en_US&amp;offset=0&amp;query=any,contains,991003790309702656","Catalog Record")</f>
        <v/>
      </c>
      <c r="AT2971">
        <f>HYPERLINK("http://www.worldcat.org/oclc/1508892","WorldCat Record")</f>
        <v/>
      </c>
      <c r="AU2971" t="inlineStr">
        <is>
          <t>836619062:eng</t>
        </is>
      </c>
      <c r="AV2971" t="inlineStr">
        <is>
          <t>1508892</t>
        </is>
      </c>
      <c r="AW2971" t="inlineStr">
        <is>
          <t>991003790309702656</t>
        </is>
      </c>
      <c r="AX2971" t="inlineStr">
        <is>
          <t>991003790309702656</t>
        </is>
      </c>
      <c r="AY2971" t="inlineStr">
        <is>
          <t>2257031780002656</t>
        </is>
      </c>
      <c r="AZ2971" t="inlineStr">
        <is>
          <t>BOOK</t>
        </is>
      </c>
      <c r="BC2971" t="inlineStr">
        <is>
          <t>32285001019560</t>
        </is>
      </c>
      <c r="BD2971" t="inlineStr">
        <is>
          <t>893258868</t>
        </is>
      </c>
    </row>
    <row r="2972">
      <c r="A2972" t="inlineStr">
        <is>
          <t>No</t>
        </is>
      </c>
      <c r="B2972" t="inlineStr">
        <is>
          <t>BX830 1962.A45 D464</t>
        </is>
      </c>
      <c r="C2972" t="inlineStr">
        <is>
          <t>0                      BX 0830000               1962   A  45                 D  464</t>
        </is>
      </c>
      <c r="D2972" t="inlineStr">
        <is>
          <t>Council and clergy / [by] Cardinal Heenan.</t>
        </is>
      </c>
      <c r="F2972" t="inlineStr">
        <is>
          <t>No</t>
        </is>
      </c>
      <c r="G2972" t="inlineStr">
        <is>
          <t>1</t>
        </is>
      </c>
      <c r="H2972" t="inlineStr">
        <is>
          <t>No</t>
        </is>
      </c>
      <c r="I2972" t="inlineStr">
        <is>
          <t>No</t>
        </is>
      </c>
      <c r="J2972" t="inlineStr">
        <is>
          <t>0</t>
        </is>
      </c>
      <c r="K2972" t="inlineStr">
        <is>
          <t>Heenan, John Carmel, 1905-1975.</t>
        </is>
      </c>
      <c r="L2972" t="inlineStr">
        <is>
          <t>London ; Dublin : G. Chapman, 1966.</t>
        </is>
      </c>
      <c r="M2972" t="inlineStr">
        <is>
          <t>1966</t>
        </is>
      </c>
      <c r="O2972" t="inlineStr">
        <is>
          <t>eng</t>
        </is>
      </c>
      <c r="P2972" t="inlineStr">
        <is>
          <t>|||</t>
        </is>
      </c>
      <c r="Q2972" t="inlineStr">
        <is>
          <t>Deacon books.</t>
        </is>
      </c>
      <c r="R2972" t="inlineStr">
        <is>
          <t xml:space="preserve">BX </t>
        </is>
      </c>
      <c r="S2972" t="n">
        <v>1</v>
      </c>
      <c r="T2972" t="n">
        <v>1</v>
      </c>
      <c r="U2972" t="inlineStr">
        <is>
          <t>2004-11-21</t>
        </is>
      </c>
      <c r="V2972" t="inlineStr">
        <is>
          <t>2004-11-21</t>
        </is>
      </c>
      <c r="W2972" t="inlineStr">
        <is>
          <t>1992-04-23</t>
        </is>
      </c>
      <c r="X2972" t="inlineStr">
        <is>
          <t>1992-04-23</t>
        </is>
      </c>
      <c r="Y2972" t="n">
        <v>72</v>
      </c>
      <c r="Z2972" t="n">
        <v>51</v>
      </c>
      <c r="AA2972" t="n">
        <v>54</v>
      </c>
      <c r="AB2972" t="n">
        <v>2</v>
      </c>
      <c r="AC2972" t="n">
        <v>2</v>
      </c>
      <c r="AD2972" t="n">
        <v>6</v>
      </c>
      <c r="AE2972" t="n">
        <v>6</v>
      </c>
      <c r="AF2972" t="n">
        <v>0</v>
      </c>
      <c r="AG2972" t="n">
        <v>0</v>
      </c>
      <c r="AH2972" t="n">
        <v>1</v>
      </c>
      <c r="AI2972" t="n">
        <v>1</v>
      </c>
      <c r="AJ2972" t="n">
        <v>5</v>
      </c>
      <c r="AK2972" t="n">
        <v>5</v>
      </c>
      <c r="AL2972" t="n">
        <v>0</v>
      </c>
      <c r="AM2972" t="n">
        <v>0</v>
      </c>
      <c r="AN2972" t="n">
        <v>0</v>
      </c>
      <c r="AO2972" t="n">
        <v>0</v>
      </c>
      <c r="AP2972" t="inlineStr">
        <is>
          <t>No</t>
        </is>
      </c>
      <c r="AQ2972" t="inlineStr">
        <is>
          <t>Yes</t>
        </is>
      </c>
      <c r="AR2972">
        <f>HYPERLINK("http://catalog.hathitrust.org/Record/001415580","HathiTrust Record")</f>
        <v/>
      </c>
      <c r="AS2972">
        <f>HYPERLINK("https://creighton-primo.hosted.exlibrisgroup.com/primo-explore/search?tab=default_tab&amp;search_scope=EVERYTHING&amp;vid=01CRU&amp;lang=en_US&amp;offset=0&amp;query=any,contains,991003608579702656","Catalog Record")</f>
        <v/>
      </c>
      <c r="AT2972">
        <f>HYPERLINK("http://www.worldcat.org/oclc/1189978","WorldCat Record")</f>
        <v/>
      </c>
      <c r="AU2972" t="inlineStr">
        <is>
          <t>2145951:eng</t>
        </is>
      </c>
      <c r="AV2972" t="inlineStr">
        <is>
          <t>1189978</t>
        </is>
      </c>
      <c r="AW2972" t="inlineStr">
        <is>
          <t>991003608579702656</t>
        </is>
      </c>
      <c r="AX2972" t="inlineStr">
        <is>
          <t>991003608579702656</t>
        </is>
      </c>
      <c r="AY2972" t="inlineStr">
        <is>
          <t>2264420720002656</t>
        </is>
      </c>
      <c r="AZ2972" t="inlineStr">
        <is>
          <t>BOOK</t>
        </is>
      </c>
      <c r="BC2972" t="inlineStr">
        <is>
          <t>32285001019586</t>
        </is>
      </c>
      <c r="BD2972" t="inlineStr">
        <is>
          <t>893258623</t>
        </is>
      </c>
    </row>
    <row r="2973">
      <c r="A2973" t="inlineStr">
        <is>
          <t>No</t>
        </is>
      </c>
      <c r="B2973" t="inlineStr">
        <is>
          <t>BX830 1962.A48 D43 1968</t>
        </is>
      </c>
      <c r="C2973" t="inlineStr">
        <is>
          <t>0                      BX 0830000               1962   A  48                 D  43          1968</t>
        </is>
      </c>
      <c r="D2973" t="inlineStr">
        <is>
          <t>Dictionary of the Council / edited by J. Deretz and A. Nocent.</t>
        </is>
      </c>
      <c r="F2973" t="inlineStr">
        <is>
          <t>No</t>
        </is>
      </c>
      <c r="G2973" t="inlineStr">
        <is>
          <t>1</t>
        </is>
      </c>
      <c r="H2973" t="inlineStr">
        <is>
          <t>No</t>
        </is>
      </c>
      <c r="I2973" t="inlineStr">
        <is>
          <t>No</t>
        </is>
      </c>
      <c r="J2973" t="inlineStr">
        <is>
          <t>0</t>
        </is>
      </c>
      <c r="K2973" t="inlineStr">
        <is>
          <t>Deretz, Jacques.</t>
        </is>
      </c>
      <c r="L2973" t="inlineStr">
        <is>
          <t>Washington : Corpus Books, [1968]</t>
        </is>
      </c>
      <c r="M2973" t="inlineStr">
        <is>
          <t>1968</t>
        </is>
      </c>
      <c r="O2973" t="inlineStr">
        <is>
          <t>eng</t>
        </is>
      </c>
      <c r="P2973" t="inlineStr">
        <is>
          <t>dcu</t>
        </is>
      </c>
      <c r="R2973" t="inlineStr">
        <is>
          <t xml:space="preserve">BX </t>
        </is>
      </c>
      <c r="S2973" t="n">
        <v>3</v>
      </c>
      <c r="T2973" t="n">
        <v>3</v>
      </c>
      <c r="U2973" t="inlineStr">
        <is>
          <t>2001-11-16</t>
        </is>
      </c>
      <c r="V2973" t="inlineStr">
        <is>
          <t>2001-11-16</t>
        </is>
      </c>
      <c r="W2973" t="inlineStr">
        <is>
          <t>1998-08-27</t>
        </is>
      </c>
      <c r="X2973" t="inlineStr">
        <is>
          <t>1998-08-27</t>
        </is>
      </c>
      <c r="Y2973" t="n">
        <v>345</v>
      </c>
      <c r="Z2973" t="n">
        <v>319</v>
      </c>
      <c r="AA2973" t="n">
        <v>354</v>
      </c>
      <c r="AB2973" t="n">
        <v>4</v>
      </c>
      <c r="AC2973" t="n">
        <v>4</v>
      </c>
      <c r="AD2973" t="n">
        <v>34</v>
      </c>
      <c r="AE2973" t="n">
        <v>34</v>
      </c>
      <c r="AF2973" t="n">
        <v>12</v>
      </c>
      <c r="AG2973" t="n">
        <v>12</v>
      </c>
      <c r="AH2973" t="n">
        <v>9</v>
      </c>
      <c r="AI2973" t="n">
        <v>9</v>
      </c>
      <c r="AJ2973" t="n">
        <v>23</v>
      </c>
      <c r="AK2973" t="n">
        <v>23</v>
      </c>
      <c r="AL2973" t="n">
        <v>1</v>
      </c>
      <c r="AM2973" t="n">
        <v>1</v>
      </c>
      <c r="AN2973" t="n">
        <v>0</v>
      </c>
      <c r="AO2973" t="n">
        <v>0</v>
      </c>
      <c r="AP2973" t="inlineStr">
        <is>
          <t>No</t>
        </is>
      </c>
      <c r="AQ2973" t="inlineStr">
        <is>
          <t>No</t>
        </is>
      </c>
      <c r="AS2973">
        <f>HYPERLINK("https://creighton-primo.hosted.exlibrisgroup.com/primo-explore/search?tab=default_tab&amp;search_scope=EVERYTHING&amp;vid=01CRU&amp;lang=en_US&amp;offset=0&amp;query=any,contains,991000090879702656","Catalog Record")</f>
        <v/>
      </c>
      <c r="AT2973">
        <f>HYPERLINK("http://www.worldcat.org/oclc/36204","WorldCat Record")</f>
        <v/>
      </c>
      <c r="AU2973" t="inlineStr">
        <is>
          <t>373881200:eng</t>
        </is>
      </c>
      <c r="AV2973" t="inlineStr">
        <is>
          <t>36204</t>
        </is>
      </c>
      <c r="AW2973" t="inlineStr">
        <is>
          <t>991000090879702656</t>
        </is>
      </c>
      <c r="AX2973" t="inlineStr">
        <is>
          <t>991000090879702656</t>
        </is>
      </c>
      <c r="AY2973" t="inlineStr">
        <is>
          <t>2264781080002656</t>
        </is>
      </c>
      <c r="AZ2973" t="inlineStr">
        <is>
          <t>BOOK</t>
        </is>
      </c>
      <c r="BC2973" t="inlineStr">
        <is>
          <t>32285003463212</t>
        </is>
      </c>
      <c r="BD2973" t="inlineStr">
        <is>
          <t>893508506</t>
        </is>
      </c>
    </row>
    <row r="2974">
      <c r="A2974" t="inlineStr">
        <is>
          <t>No</t>
        </is>
      </c>
      <c r="B2974" t="inlineStr">
        <is>
          <t>BX830.1962 .R94</t>
        </is>
      </c>
      <c r="C2974" t="inlineStr">
        <is>
          <t>0                      BX 0830000                                                           .1962 .R94</t>
        </is>
      </c>
      <c r="D2974" t="inlineStr">
        <is>
          <t>Vatican Council II / Xavier Rynne.</t>
        </is>
      </c>
      <c r="F2974" t="inlineStr">
        <is>
          <t>No</t>
        </is>
      </c>
      <c r="G2974" t="inlineStr">
        <is>
          <t>1</t>
        </is>
      </c>
      <c r="H2974" t="inlineStr">
        <is>
          <t>No</t>
        </is>
      </c>
      <c r="I2974" t="inlineStr">
        <is>
          <t>Yes</t>
        </is>
      </c>
      <c r="J2974" t="inlineStr">
        <is>
          <t>0</t>
        </is>
      </c>
      <c r="K2974" t="inlineStr">
        <is>
          <t>Rynne, Xavier.</t>
        </is>
      </c>
      <c r="L2974" t="inlineStr">
        <is>
          <t>New York : Farrar, Straus and Giroux, [1968]</t>
        </is>
      </c>
      <c r="M2974" t="inlineStr">
        <is>
          <t>1968</t>
        </is>
      </c>
      <c r="O2974" t="inlineStr">
        <is>
          <t>eng</t>
        </is>
      </c>
      <c r="P2974" t="inlineStr">
        <is>
          <t>nyu</t>
        </is>
      </c>
      <c r="R2974" t="inlineStr">
        <is>
          <t xml:space="preserve">BX </t>
        </is>
      </c>
      <c r="S2974" t="n">
        <v>5</v>
      </c>
      <c r="T2974" t="n">
        <v>5</v>
      </c>
      <c r="U2974" t="inlineStr">
        <is>
          <t>2004-04-26</t>
        </is>
      </c>
      <c r="V2974" t="inlineStr">
        <is>
          <t>2004-04-26</t>
        </is>
      </c>
      <c r="W2974" t="inlineStr">
        <is>
          <t>1992-04-28</t>
        </is>
      </c>
      <c r="X2974" t="inlineStr">
        <is>
          <t>1992-04-28</t>
        </is>
      </c>
      <c r="Y2974" t="n">
        <v>666</v>
      </c>
      <c r="Z2974" t="n">
        <v>633</v>
      </c>
      <c r="AA2974" t="n">
        <v>859</v>
      </c>
      <c r="AB2974" t="n">
        <v>5</v>
      </c>
      <c r="AC2974" t="n">
        <v>7</v>
      </c>
      <c r="AD2974" t="n">
        <v>29</v>
      </c>
      <c r="AE2974" t="n">
        <v>44</v>
      </c>
      <c r="AF2974" t="n">
        <v>12</v>
      </c>
      <c r="AG2974" t="n">
        <v>21</v>
      </c>
      <c r="AH2974" t="n">
        <v>8</v>
      </c>
      <c r="AI2974" t="n">
        <v>9</v>
      </c>
      <c r="AJ2974" t="n">
        <v>16</v>
      </c>
      <c r="AK2974" t="n">
        <v>25</v>
      </c>
      <c r="AL2974" t="n">
        <v>1</v>
      </c>
      <c r="AM2974" t="n">
        <v>2</v>
      </c>
      <c r="AN2974" t="n">
        <v>0</v>
      </c>
      <c r="AO2974" t="n">
        <v>0</v>
      </c>
      <c r="AP2974" t="inlineStr">
        <is>
          <t>No</t>
        </is>
      </c>
      <c r="AQ2974" t="inlineStr">
        <is>
          <t>No</t>
        </is>
      </c>
      <c r="AS2974">
        <f>HYPERLINK("https://creighton-primo.hosted.exlibrisgroup.com/primo-explore/search?tab=default_tab&amp;search_scope=EVERYTHING&amp;vid=01CRU&amp;lang=en_US&amp;offset=0&amp;query=any,contains,991002984249702656","Catalog Record")</f>
        <v/>
      </c>
      <c r="AT2974">
        <f>HYPERLINK("http://www.worldcat.org/oclc/556681","WorldCat Record")</f>
        <v/>
      </c>
      <c r="AU2974" t="inlineStr">
        <is>
          <t>1619377:eng</t>
        </is>
      </c>
      <c r="AV2974" t="inlineStr">
        <is>
          <t>556681</t>
        </is>
      </c>
      <c r="AW2974" t="inlineStr">
        <is>
          <t>991002984249702656</t>
        </is>
      </c>
      <c r="AX2974" t="inlineStr">
        <is>
          <t>991002984249702656</t>
        </is>
      </c>
      <c r="AY2974" t="inlineStr">
        <is>
          <t>2259866540002656</t>
        </is>
      </c>
      <c r="AZ2974" t="inlineStr">
        <is>
          <t>BOOK</t>
        </is>
      </c>
      <c r="BC2974" t="inlineStr">
        <is>
          <t>32285001019966</t>
        </is>
      </c>
      <c r="BD2974" t="inlineStr">
        <is>
          <t>893717180</t>
        </is>
      </c>
    </row>
    <row r="2975">
      <c r="A2975" t="inlineStr">
        <is>
          <t>No</t>
        </is>
      </c>
      <c r="B2975" t="inlineStr">
        <is>
          <t>BX833 .G8 1932</t>
        </is>
      </c>
      <c r="C2975" t="inlineStr">
        <is>
          <t>0                      BX 0833000G  8           1932</t>
        </is>
      </c>
      <c r="D2975" t="inlineStr">
        <is>
          <t>A history of the councils of Baltimore, (1791-1884) / by Peter Guilday.</t>
        </is>
      </c>
      <c r="F2975" t="inlineStr">
        <is>
          <t>No</t>
        </is>
      </c>
      <c r="G2975" t="inlineStr">
        <is>
          <t>1</t>
        </is>
      </c>
      <c r="H2975" t="inlineStr">
        <is>
          <t>No</t>
        </is>
      </c>
      <c r="I2975" t="inlineStr">
        <is>
          <t>No</t>
        </is>
      </c>
      <c r="J2975" t="inlineStr">
        <is>
          <t>0</t>
        </is>
      </c>
      <c r="K2975" t="inlineStr">
        <is>
          <t>Guilday, Peter, 1884-1947.</t>
        </is>
      </c>
      <c r="L2975" t="inlineStr">
        <is>
          <t>New York : Macmillan, 1932.</t>
        </is>
      </c>
      <c r="M2975" t="inlineStr">
        <is>
          <t>1932</t>
        </is>
      </c>
      <c r="O2975" t="inlineStr">
        <is>
          <t>eng</t>
        </is>
      </c>
      <c r="P2975" t="inlineStr">
        <is>
          <t xml:space="preserve">xx </t>
        </is>
      </c>
      <c r="R2975" t="inlineStr">
        <is>
          <t xml:space="preserve">BX </t>
        </is>
      </c>
      <c r="S2975" t="n">
        <v>4</v>
      </c>
      <c r="T2975" t="n">
        <v>4</v>
      </c>
      <c r="U2975" t="inlineStr">
        <is>
          <t>1999-11-08</t>
        </is>
      </c>
      <c r="V2975" t="inlineStr">
        <is>
          <t>1999-11-08</t>
        </is>
      </c>
      <c r="W2975" t="inlineStr">
        <is>
          <t>1992-04-28</t>
        </is>
      </c>
      <c r="X2975" t="inlineStr">
        <is>
          <t>1992-04-28</t>
        </is>
      </c>
      <c r="Y2975" t="n">
        <v>186</v>
      </c>
      <c r="Z2975" t="n">
        <v>182</v>
      </c>
      <c r="AA2975" t="n">
        <v>410</v>
      </c>
      <c r="AB2975" t="n">
        <v>2</v>
      </c>
      <c r="AC2975" t="n">
        <v>2</v>
      </c>
      <c r="AD2975" t="n">
        <v>26</v>
      </c>
      <c r="AE2975" t="n">
        <v>34</v>
      </c>
      <c r="AF2975" t="n">
        <v>7</v>
      </c>
      <c r="AG2975" t="n">
        <v>13</v>
      </c>
      <c r="AH2975" t="n">
        <v>8</v>
      </c>
      <c r="AI2975" t="n">
        <v>10</v>
      </c>
      <c r="AJ2975" t="n">
        <v>21</v>
      </c>
      <c r="AK2975" t="n">
        <v>24</v>
      </c>
      <c r="AL2975" t="n">
        <v>0</v>
      </c>
      <c r="AM2975" t="n">
        <v>0</v>
      </c>
      <c r="AN2975" t="n">
        <v>0</v>
      </c>
      <c r="AO2975" t="n">
        <v>0</v>
      </c>
      <c r="AP2975" t="inlineStr">
        <is>
          <t>Yes</t>
        </is>
      </c>
      <c r="AQ2975" t="inlineStr">
        <is>
          <t>No</t>
        </is>
      </c>
      <c r="AR2975">
        <f>HYPERLINK("http://catalog.hathitrust.org/Record/001935639","HathiTrust Record")</f>
        <v/>
      </c>
      <c r="AS2975">
        <f>HYPERLINK("https://creighton-primo.hosted.exlibrisgroup.com/primo-explore/search?tab=default_tab&amp;search_scope=EVERYTHING&amp;vid=01CRU&amp;lang=en_US&amp;offset=0&amp;query=any,contains,991003725829702656","Catalog Record")</f>
        <v/>
      </c>
      <c r="AT2975">
        <f>HYPERLINK("http://www.worldcat.org/oclc/1372940","WorldCat Record")</f>
        <v/>
      </c>
      <c r="AU2975" t="inlineStr">
        <is>
          <t>1291771:eng</t>
        </is>
      </c>
      <c r="AV2975" t="inlineStr">
        <is>
          <t>1372940</t>
        </is>
      </c>
      <c r="AW2975" t="inlineStr">
        <is>
          <t>991003725829702656</t>
        </is>
      </c>
      <c r="AX2975" t="inlineStr">
        <is>
          <t>991003725829702656</t>
        </is>
      </c>
      <c r="AY2975" t="inlineStr">
        <is>
          <t>2260684190002656</t>
        </is>
      </c>
      <c r="AZ2975" t="inlineStr">
        <is>
          <t>BOOK</t>
        </is>
      </c>
      <c r="BC2975" t="inlineStr">
        <is>
          <t>32285001080067</t>
        </is>
      </c>
      <c r="BD2975" t="inlineStr">
        <is>
          <t>893234497</t>
        </is>
      </c>
    </row>
    <row r="2976">
      <c r="A2976" t="inlineStr">
        <is>
          <t>No</t>
        </is>
      </c>
      <c r="B2976" t="inlineStr">
        <is>
          <t>BX8331.2 .D63 1999</t>
        </is>
      </c>
      <c r="C2976" t="inlineStr">
        <is>
          <t>0                      BX 8331200D  63          1999</t>
        </is>
      </c>
      <c r="D2976" t="inlineStr">
        <is>
          <t>Doctrines and discipline / Dennis M. Campbell, William B. Lawrence, Russell E. Richey, editors.</t>
        </is>
      </c>
      <c r="F2976" t="inlineStr">
        <is>
          <t>No</t>
        </is>
      </c>
      <c r="G2976" t="inlineStr">
        <is>
          <t>1</t>
        </is>
      </c>
      <c r="H2976" t="inlineStr">
        <is>
          <t>No</t>
        </is>
      </c>
      <c r="I2976" t="inlineStr">
        <is>
          <t>No</t>
        </is>
      </c>
      <c r="J2976" t="inlineStr">
        <is>
          <t>0</t>
        </is>
      </c>
      <c r="L2976" t="inlineStr">
        <is>
          <t>Nashville : Abingdon Press, c1999.</t>
        </is>
      </c>
      <c r="M2976" t="inlineStr">
        <is>
          <t>1999</t>
        </is>
      </c>
      <c r="O2976" t="inlineStr">
        <is>
          <t>eng</t>
        </is>
      </c>
      <c r="P2976" t="inlineStr">
        <is>
          <t>tnu</t>
        </is>
      </c>
      <c r="Q2976" t="inlineStr">
        <is>
          <t>United Methodism and American culture ; v. 3</t>
        </is>
      </c>
      <c r="R2976" t="inlineStr">
        <is>
          <t xml:space="preserve">BX </t>
        </is>
      </c>
      <c r="S2976" t="n">
        <v>5</v>
      </c>
      <c r="T2976" t="n">
        <v>5</v>
      </c>
      <c r="U2976" t="inlineStr">
        <is>
          <t>2004-11-07</t>
        </is>
      </c>
      <c r="V2976" t="inlineStr">
        <is>
          <t>2004-11-07</t>
        </is>
      </c>
      <c r="W2976" t="inlineStr">
        <is>
          <t>2002-01-14</t>
        </is>
      </c>
      <c r="X2976" t="inlineStr">
        <is>
          <t>2002-01-14</t>
        </is>
      </c>
      <c r="Y2976" t="n">
        <v>139</v>
      </c>
      <c r="Z2976" t="n">
        <v>127</v>
      </c>
      <c r="AA2976" t="n">
        <v>129</v>
      </c>
      <c r="AB2976" t="n">
        <v>1</v>
      </c>
      <c r="AC2976" t="n">
        <v>1</v>
      </c>
      <c r="AD2976" t="n">
        <v>9</v>
      </c>
      <c r="AE2976" t="n">
        <v>9</v>
      </c>
      <c r="AF2976" t="n">
        <v>4</v>
      </c>
      <c r="AG2976" t="n">
        <v>4</v>
      </c>
      <c r="AH2976" t="n">
        <v>1</v>
      </c>
      <c r="AI2976" t="n">
        <v>1</v>
      </c>
      <c r="AJ2976" t="n">
        <v>5</v>
      </c>
      <c r="AK2976" t="n">
        <v>5</v>
      </c>
      <c r="AL2976" t="n">
        <v>0</v>
      </c>
      <c r="AM2976" t="n">
        <v>0</v>
      </c>
      <c r="AN2976" t="n">
        <v>0</v>
      </c>
      <c r="AO2976" t="n">
        <v>0</v>
      </c>
      <c r="AP2976" t="inlineStr">
        <is>
          <t>No</t>
        </is>
      </c>
      <c r="AQ2976" t="inlineStr">
        <is>
          <t>Yes</t>
        </is>
      </c>
      <c r="AR2976">
        <f>HYPERLINK("http://catalog.hathitrust.org/Record/004064753","HathiTrust Record")</f>
        <v/>
      </c>
      <c r="AS2976">
        <f>HYPERLINK("https://creighton-primo.hosted.exlibrisgroup.com/primo-explore/search?tab=default_tab&amp;search_scope=EVERYTHING&amp;vid=01CRU&amp;lang=en_US&amp;offset=0&amp;query=any,contains,991003675569702656","Catalog Record")</f>
        <v/>
      </c>
      <c r="AT2976">
        <f>HYPERLINK("http://www.worldcat.org/oclc/41096078","WorldCat Record")</f>
        <v/>
      </c>
      <c r="AU2976" t="inlineStr">
        <is>
          <t>476413104:eng</t>
        </is>
      </c>
      <c r="AV2976" t="inlineStr">
        <is>
          <t>41096078</t>
        </is>
      </c>
      <c r="AW2976" t="inlineStr">
        <is>
          <t>991003675569702656</t>
        </is>
      </c>
      <c r="AX2976" t="inlineStr">
        <is>
          <t>991003675569702656</t>
        </is>
      </c>
      <c r="AY2976" t="inlineStr">
        <is>
          <t>2265412950002656</t>
        </is>
      </c>
      <c r="AZ2976" t="inlineStr">
        <is>
          <t>BOOK</t>
        </is>
      </c>
      <c r="BB2976" t="inlineStr">
        <is>
          <t>9780687021390</t>
        </is>
      </c>
      <c r="BC2976" t="inlineStr">
        <is>
          <t>32285004448527</t>
        </is>
      </c>
      <c r="BD2976" t="inlineStr">
        <is>
          <t>893410544</t>
        </is>
      </c>
    </row>
    <row r="2977">
      <c r="A2977" t="inlineStr">
        <is>
          <t>No</t>
        </is>
      </c>
      <c r="B2977" t="inlineStr">
        <is>
          <t>BX8331.2 .F88 1985</t>
        </is>
      </c>
      <c r="C2977" t="inlineStr">
        <is>
          <t>0                      BX 8331200F  88          1985</t>
        </is>
      </c>
      <c r="D2977" t="inlineStr">
        <is>
          <t>The Future of the Methodist theological traditions / edited by M. Douglas Meeks.</t>
        </is>
      </c>
      <c r="F2977" t="inlineStr">
        <is>
          <t>No</t>
        </is>
      </c>
      <c r="G2977" t="inlineStr">
        <is>
          <t>1</t>
        </is>
      </c>
      <c r="H2977" t="inlineStr">
        <is>
          <t>No</t>
        </is>
      </c>
      <c r="I2977" t="inlineStr">
        <is>
          <t>No</t>
        </is>
      </c>
      <c r="J2977" t="inlineStr">
        <is>
          <t>0</t>
        </is>
      </c>
      <c r="L2977" t="inlineStr">
        <is>
          <t>Nashville : Abingdon Press, c1985.</t>
        </is>
      </c>
      <c r="M2977" t="inlineStr">
        <is>
          <t>1985</t>
        </is>
      </c>
      <c r="O2977" t="inlineStr">
        <is>
          <t>eng</t>
        </is>
      </c>
      <c r="P2977" t="inlineStr">
        <is>
          <t>tnu</t>
        </is>
      </c>
      <c r="R2977" t="inlineStr">
        <is>
          <t xml:space="preserve">BX </t>
        </is>
      </c>
      <c r="S2977" t="n">
        <v>9</v>
      </c>
      <c r="T2977" t="n">
        <v>9</v>
      </c>
      <c r="U2977" t="inlineStr">
        <is>
          <t>2001-04-17</t>
        </is>
      </c>
      <c r="V2977" t="inlineStr">
        <is>
          <t>2001-04-17</t>
        </is>
      </c>
      <c r="W2977" t="inlineStr">
        <is>
          <t>1992-05-21</t>
        </is>
      </c>
      <c r="X2977" t="inlineStr">
        <is>
          <t>1992-05-21</t>
        </is>
      </c>
      <c r="Y2977" t="n">
        <v>236</v>
      </c>
      <c r="Z2977" t="n">
        <v>202</v>
      </c>
      <c r="AA2977" t="n">
        <v>208</v>
      </c>
      <c r="AB2977" t="n">
        <v>1</v>
      </c>
      <c r="AC2977" t="n">
        <v>1</v>
      </c>
      <c r="AD2977" t="n">
        <v>6</v>
      </c>
      <c r="AE2977" t="n">
        <v>6</v>
      </c>
      <c r="AF2977" t="n">
        <v>0</v>
      </c>
      <c r="AG2977" t="n">
        <v>0</v>
      </c>
      <c r="AH2977" t="n">
        <v>1</v>
      </c>
      <c r="AI2977" t="n">
        <v>1</v>
      </c>
      <c r="AJ2977" t="n">
        <v>6</v>
      </c>
      <c r="AK2977" t="n">
        <v>6</v>
      </c>
      <c r="AL2977" t="n">
        <v>0</v>
      </c>
      <c r="AM2977" t="n">
        <v>0</v>
      </c>
      <c r="AN2977" t="n">
        <v>0</v>
      </c>
      <c r="AO2977" t="n">
        <v>0</v>
      </c>
      <c r="AP2977" t="inlineStr">
        <is>
          <t>No</t>
        </is>
      </c>
      <c r="AQ2977" t="inlineStr">
        <is>
          <t>Yes</t>
        </is>
      </c>
      <c r="AR2977">
        <f>HYPERLINK("http://catalog.hathitrust.org/Record/000580475","HathiTrust Record")</f>
        <v/>
      </c>
      <c r="AS2977">
        <f>HYPERLINK("https://creighton-primo.hosted.exlibrisgroup.com/primo-explore/search?tab=default_tab&amp;search_scope=EVERYTHING&amp;vid=01CRU&amp;lang=en_US&amp;offset=0&amp;query=any,contains,991000463979702656","Catalog Record")</f>
        <v/>
      </c>
      <c r="AT2977">
        <f>HYPERLINK("http://www.worldcat.org/oclc/10949526","WorldCat Record")</f>
        <v/>
      </c>
      <c r="AU2977" t="inlineStr">
        <is>
          <t>345572592:eng</t>
        </is>
      </c>
      <c r="AV2977" t="inlineStr">
        <is>
          <t>10949526</t>
        </is>
      </c>
      <c r="AW2977" t="inlineStr">
        <is>
          <t>991000463979702656</t>
        </is>
      </c>
      <c r="AX2977" t="inlineStr">
        <is>
          <t>991000463979702656</t>
        </is>
      </c>
      <c r="AY2977" t="inlineStr">
        <is>
          <t>2271607240002656</t>
        </is>
      </c>
      <c r="AZ2977" t="inlineStr">
        <is>
          <t>BOOK</t>
        </is>
      </c>
      <c r="BB2977" t="inlineStr">
        <is>
          <t>9780687138685</t>
        </is>
      </c>
      <c r="BC2977" t="inlineStr">
        <is>
          <t>32285001124816</t>
        </is>
      </c>
      <c r="BD2977" t="inlineStr">
        <is>
          <t>893444323</t>
        </is>
      </c>
    </row>
    <row r="2978">
      <c r="A2978" t="inlineStr">
        <is>
          <t>No</t>
        </is>
      </c>
      <c r="B2978" t="inlineStr">
        <is>
          <t>BX8345 .M27 1985</t>
        </is>
      </c>
      <c r="C2978" t="inlineStr">
        <is>
          <t>0                      BX 8345000M  27          1985</t>
        </is>
      </c>
      <c r="D2978" t="inlineStr">
        <is>
          <t>Set apart to serve : the meaning and role of episcopacy in the Wesleyan tradition / James K. Mathews.</t>
        </is>
      </c>
      <c r="F2978" t="inlineStr">
        <is>
          <t>No</t>
        </is>
      </c>
      <c r="G2978" t="inlineStr">
        <is>
          <t>1</t>
        </is>
      </c>
      <c r="H2978" t="inlineStr">
        <is>
          <t>No</t>
        </is>
      </c>
      <c r="I2978" t="inlineStr">
        <is>
          <t>No</t>
        </is>
      </c>
      <c r="J2978" t="inlineStr">
        <is>
          <t>0</t>
        </is>
      </c>
      <c r="K2978" t="inlineStr">
        <is>
          <t>Mathews, James K. (James Kenneth), 1913-</t>
        </is>
      </c>
      <c r="L2978" t="inlineStr">
        <is>
          <t>Nashville : Abingdon Press, c1985.</t>
        </is>
      </c>
      <c r="M2978" t="inlineStr">
        <is>
          <t>1985</t>
        </is>
      </c>
      <c r="O2978" t="inlineStr">
        <is>
          <t>eng</t>
        </is>
      </c>
      <c r="P2978" t="inlineStr">
        <is>
          <t>tnu</t>
        </is>
      </c>
      <c r="R2978" t="inlineStr">
        <is>
          <t xml:space="preserve">BX </t>
        </is>
      </c>
      <c r="S2978" t="n">
        <v>6</v>
      </c>
      <c r="T2978" t="n">
        <v>6</v>
      </c>
      <c r="U2978" t="inlineStr">
        <is>
          <t>1996-02-26</t>
        </is>
      </c>
      <c r="V2978" t="inlineStr">
        <is>
          <t>1996-02-26</t>
        </is>
      </c>
      <c r="W2978" t="inlineStr">
        <is>
          <t>1992-05-21</t>
        </is>
      </c>
      <c r="X2978" t="inlineStr">
        <is>
          <t>1992-05-21</t>
        </is>
      </c>
      <c r="Y2978" t="n">
        <v>185</v>
      </c>
      <c r="Z2978" t="n">
        <v>160</v>
      </c>
      <c r="AA2978" t="n">
        <v>161</v>
      </c>
      <c r="AB2978" t="n">
        <v>1</v>
      </c>
      <c r="AC2978" t="n">
        <v>1</v>
      </c>
      <c r="AD2978" t="n">
        <v>6</v>
      </c>
      <c r="AE2978" t="n">
        <v>6</v>
      </c>
      <c r="AF2978" t="n">
        <v>2</v>
      </c>
      <c r="AG2978" t="n">
        <v>2</v>
      </c>
      <c r="AH2978" t="n">
        <v>0</v>
      </c>
      <c r="AI2978" t="n">
        <v>0</v>
      </c>
      <c r="AJ2978" t="n">
        <v>5</v>
      </c>
      <c r="AK2978" t="n">
        <v>5</v>
      </c>
      <c r="AL2978" t="n">
        <v>0</v>
      </c>
      <c r="AM2978" t="n">
        <v>0</v>
      </c>
      <c r="AN2978" t="n">
        <v>0</v>
      </c>
      <c r="AO2978" t="n">
        <v>0</v>
      </c>
      <c r="AP2978" t="inlineStr">
        <is>
          <t>No</t>
        </is>
      </c>
      <c r="AQ2978" t="inlineStr">
        <is>
          <t>Yes</t>
        </is>
      </c>
      <c r="AR2978">
        <f>HYPERLINK("http://catalog.hathitrust.org/Record/000376380","HathiTrust Record")</f>
        <v/>
      </c>
      <c r="AS2978">
        <f>HYPERLINK("https://creighton-primo.hosted.exlibrisgroup.com/primo-explore/search?tab=default_tab&amp;search_scope=EVERYTHING&amp;vid=01CRU&amp;lang=en_US&amp;offset=0&amp;query=any,contains,991000596199702656","Catalog Record")</f>
        <v/>
      </c>
      <c r="AT2978">
        <f>HYPERLINK("http://www.worldcat.org/oclc/11812925","WorldCat Record")</f>
        <v/>
      </c>
      <c r="AU2978" t="inlineStr">
        <is>
          <t>366929156:eng</t>
        </is>
      </c>
      <c r="AV2978" t="inlineStr">
        <is>
          <t>11812925</t>
        </is>
      </c>
      <c r="AW2978" t="inlineStr">
        <is>
          <t>991000596199702656</t>
        </is>
      </c>
      <c r="AX2978" t="inlineStr">
        <is>
          <t>991000596199702656</t>
        </is>
      </c>
      <c r="AY2978" t="inlineStr">
        <is>
          <t>2260350500002656</t>
        </is>
      </c>
      <c r="AZ2978" t="inlineStr">
        <is>
          <t>BOOK</t>
        </is>
      </c>
      <c r="BB2978" t="inlineStr">
        <is>
          <t>9780687381005</t>
        </is>
      </c>
      <c r="BC2978" t="inlineStr">
        <is>
          <t>32285001124857</t>
        </is>
      </c>
      <c r="BD2978" t="inlineStr">
        <is>
          <t>893339702</t>
        </is>
      </c>
    </row>
    <row r="2979">
      <c r="A2979" t="inlineStr">
        <is>
          <t>No</t>
        </is>
      </c>
      <c r="B2979" t="inlineStr">
        <is>
          <t>BX835 1884 .M4</t>
        </is>
      </c>
      <c r="C2979" t="inlineStr">
        <is>
          <t>0                      BX 0835000               1884   M  4</t>
        </is>
      </c>
      <c r="D2979" t="inlineStr">
        <is>
          <t>The Memorial volume, a history of the Third Plenary Council of Baltimore, November 9-December 7, 1884.</t>
        </is>
      </c>
      <c r="F2979" t="inlineStr">
        <is>
          <t>No</t>
        </is>
      </c>
      <c r="G2979" t="inlineStr">
        <is>
          <t>1</t>
        </is>
      </c>
      <c r="H2979" t="inlineStr">
        <is>
          <t>No</t>
        </is>
      </c>
      <c r="I2979" t="inlineStr">
        <is>
          <t>No</t>
        </is>
      </c>
      <c r="J2979" t="inlineStr">
        <is>
          <t>0</t>
        </is>
      </c>
      <c r="K2979" t="inlineStr">
        <is>
          <t>Catholic Church. Plenary Council of Baltimore (3rd : 1884)</t>
        </is>
      </c>
      <c r="L2979" t="inlineStr">
        <is>
          <t>Baltimore : The Baltimore Publishing Co., 1885.</t>
        </is>
      </c>
      <c r="M2979" t="inlineStr">
        <is>
          <t>1885</t>
        </is>
      </c>
      <c r="O2979" t="inlineStr">
        <is>
          <t>eng</t>
        </is>
      </c>
      <c r="P2979" t="inlineStr">
        <is>
          <t>mdu</t>
        </is>
      </c>
      <c r="R2979" t="inlineStr">
        <is>
          <t xml:space="preserve">BX </t>
        </is>
      </c>
      <c r="S2979" t="n">
        <v>2</v>
      </c>
      <c r="T2979" t="n">
        <v>2</v>
      </c>
      <c r="U2979" t="inlineStr">
        <is>
          <t>2006-07-10</t>
        </is>
      </c>
      <c r="V2979" t="inlineStr">
        <is>
          <t>2006-07-10</t>
        </is>
      </c>
      <c r="W2979" t="inlineStr">
        <is>
          <t>1992-04-28</t>
        </is>
      </c>
      <c r="X2979" t="inlineStr">
        <is>
          <t>1992-04-28</t>
        </is>
      </c>
      <c r="Y2979" t="n">
        <v>107</v>
      </c>
      <c r="Z2979" t="n">
        <v>98</v>
      </c>
      <c r="AA2979" t="n">
        <v>105</v>
      </c>
      <c r="AB2979" t="n">
        <v>1</v>
      </c>
      <c r="AC2979" t="n">
        <v>2</v>
      </c>
      <c r="AD2979" t="n">
        <v>15</v>
      </c>
      <c r="AE2979" t="n">
        <v>16</v>
      </c>
      <c r="AF2979" t="n">
        <v>6</v>
      </c>
      <c r="AG2979" t="n">
        <v>6</v>
      </c>
      <c r="AH2979" t="n">
        <v>3</v>
      </c>
      <c r="AI2979" t="n">
        <v>3</v>
      </c>
      <c r="AJ2979" t="n">
        <v>10</v>
      </c>
      <c r="AK2979" t="n">
        <v>10</v>
      </c>
      <c r="AL2979" t="n">
        <v>0</v>
      </c>
      <c r="AM2979" t="n">
        <v>1</v>
      </c>
      <c r="AN2979" t="n">
        <v>0</v>
      </c>
      <c r="AO2979" t="n">
        <v>0</v>
      </c>
      <c r="AP2979" t="inlineStr">
        <is>
          <t>Yes</t>
        </is>
      </c>
      <c r="AQ2979" t="inlineStr">
        <is>
          <t>No</t>
        </is>
      </c>
      <c r="AR2979">
        <f>HYPERLINK("http://catalog.hathitrust.org/Record/007701036","HathiTrust Record")</f>
        <v/>
      </c>
      <c r="AS2979">
        <f>HYPERLINK("https://creighton-primo.hosted.exlibrisgroup.com/primo-explore/search?tab=default_tab&amp;search_scope=EVERYTHING&amp;vid=01CRU&amp;lang=en_US&amp;offset=0&amp;query=any,contains,991004133189702656","Catalog Record")</f>
        <v/>
      </c>
      <c r="AT2979">
        <f>HYPERLINK("http://www.worldcat.org/oclc/2477518","WorldCat Record")</f>
        <v/>
      </c>
      <c r="AU2979" t="inlineStr">
        <is>
          <t>10567211305:eng</t>
        </is>
      </c>
      <c r="AV2979" t="inlineStr">
        <is>
          <t>2477518</t>
        </is>
      </c>
      <c r="AW2979" t="inlineStr">
        <is>
          <t>991004133189702656</t>
        </is>
      </c>
      <c r="AX2979" t="inlineStr">
        <is>
          <t>991004133189702656</t>
        </is>
      </c>
      <c r="AY2979" t="inlineStr">
        <is>
          <t>2270734840002656</t>
        </is>
      </c>
      <c r="AZ2979" t="inlineStr">
        <is>
          <t>BOOK</t>
        </is>
      </c>
      <c r="BC2979" t="inlineStr">
        <is>
          <t>32285001080075</t>
        </is>
      </c>
      <c r="BD2979" t="inlineStr">
        <is>
          <t>893519278</t>
        </is>
      </c>
    </row>
    <row r="2980">
      <c r="A2980" t="inlineStr">
        <is>
          <t>No</t>
        </is>
      </c>
      <c r="B2980" t="inlineStr">
        <is>
          <t>BX8382.2 .M47 2001</t>
        </is>
      </c>
      <c r="C2980" t="inlineStr">
        <is>
          <t>0                      BX 8382200M  47          2001</t>
        </is>
      </c>
      <c r="D2980" t="inlineStr">
        <is>
          <t>Methodist-Catholic dialogues : thirty years of mission and witness.</t>
        </is>
      </c>
      <c r="F2980" t="inlineStr">
        <is>
          <t>No</t>
        </is>
      </c>
      <c r="G2980" t="inlineStr">
        <is>
          <t>1</t>
        </is>
      </c>
      <c r="H2980" t="inlineStr">
        <is>
          <t>No</t>
        </is>
      </c>
      <c r="I2980" t="inlineStr">
        <is>
          <t>No</t>
        </is>
      </c>
      <c r="J2980" t="inlineStr">
        <is>
          <t>0</t>
        </is>
      </c>
      <c r="L2980" t="inlineStr">
        <is>
          <t>New York : General Commission on Christian Unity and Interreligious Concerns of the United Methodist Church ; Washington, D.C. : United States Catholic Conference, 2001.</t>
        </is>
      </c>
      <c r="M2980" t="inlineStr">
        <is>
          <t>2001</t>
        </is>
      </c>
      <c r="O2980" t="inlineStr">
        <is>
          <t>eng</t>
        </is>
      </c>
      <c r="P2980" t="inlineStr">
        <is>
          <t>nyu</t>
        </is>
      </c>
      <c r="R2980" t="inlineStr">
        <is>
          <t xml:space="preserve">BX </t>
        </is>
      </c>
      <c r="S2980" t="n">
        <v>5</v>
      </c>
      <c r="T2980" t="n">
        <v>5</v>
      </c>
      <c r="U2980" t="inlineStr">
        <is>
          <t>2004-11-07</t>
        </is>
      </c>
      <c r="V2980" t="inlineStr">
        <is>
          <t>2004-11-07</t>
        </is>
      </c>
      <c r="W2980" t="inlineStr">
        <is>
          <t>2001-03-19</t>
        </is>
      </c>
      <c r="X2980" t="inlineStr">
        <is>
          <t>2001-03-19</t>
        </is>
      </c>
      <c r="Y2980" t="n">
        <v>91</v>
      </c>
      <c r="Z2980" t="n">
        <v>87</v>
      </c>
      <c r="AA2980" t="n">
        <v>91</v>
      </c>
      <c r="AB2980" t="n">
        <v>1</v>
      </c>
      <c r="AC2980" t="n">
        <v>1</v>
      </c>
      <c r="AD2980" t="n">
        <v>12</v>
      </c>
      <c r="AE2980" t="n">
        <v>12</v>
      </c>
      <c r="AF2980" t="n">
        <v>2</v>
      </c>
      <c r="AG2980" t="n">
        <v>2</v>
      </c>
      <c r="AH2980" t="n">
        <v>4</v>
      </c>
      <c r="AI2980" t="n">
        <v>4</v>
      </c>
      <c r="AJ2980" t="n">
        <v>10</v>
      </c>
      <c r="AK2980" t="n">
        <v>10</v>
      </c>
      <c r="AL2980" t="n">
        <v>0</v>
      </c>
      <c r="AM2980" t="n">
        <v>0</v>
      </c>
      <c r="AN2980" t="n">
        <v>0</v>
      </c>
      <c r="AO2980" t="n">
        <v>0</v>
      </c>
      <c r="AP2980" t="inlineStr">
        <is>
          <t>No</t>
        </is>
      </c>
      <c r="AQ2980" t="inlineStr">
        <is>
          <t>No</t>
        </is>
      </c>
      <c r="AS2980">
        <f>HYPERLINK("https://creighton-primo.hosted.exlibrisgroup.com/primo-explore/search?tab=default_tab&amp;search_scope=EVERYTHING&amp;vid=01CRU&amp;lang=en_US&amp;offset=0&amp;query=any,contains,991003516049702656","Catalog Record")</f>
        <v/>
      </c>
      <c r="AT2980">
        <f>HYPERLINK("http://www.worldcat.org/oclc/46465197","WorldCat Record")</f>
        <v/>
      </c>
      <c r="AU2980" t="inlineStr">
        <is>
          <t>35415336:eng</t>
        </is>
      </c>
      <c r="AV2980" t="inlineStr">
        <is>
          <t>46465197</t>
        </is>
      </c>
      <c r="AW2980" t="inlineStr">
        <is>
          <t>991003516049702656</t>
        </is>
      </c>
      <c r="AX2980" t="inlineStr">
        <is>
          <t>991003516049702656</t>
        </is>
      </c>
      <c r="AY2980" t="inlineStr">
        <is>
          <t>2268290850002656</t>
        </is>
      </c>
      <c r="AZ2980" t="inlineStr">
        <is>
          <t>BOOK</t>
        </is>
      </c>
      <c r="BB2980" t="inlineStr">
        <is>
          <t>9781574553284</t>
        </is>
      </c>
      <c r="BC2980" t="inlineStr">
        <is>
          <t>32285004305875</t>
        </is>
      </c>
      <c r="BD2980" t="inlineStr">
        <is>
          <t>893252447</t>
        </is>
      </c>
    </row>
    <row r="2981">
      <c r="A2981" t="inlineStr">
        <is>
          <t>No</t>
        </is>
      </c>
      <c r="B2981" t="inlineStr">
        <is>
          <t>BX8382.2.A4 W37 1984</t>
        </is>
      </c>
      <c r="C2981" t="inlineStr">
        <is>
          <t>0                      BX 8382200A  4                  W  37          1984</t>
        </is>
      </c>
      <c r="D2981" t="inlineStr">
        <is>
          <t>An unfinished church : a brief history of the union of the Evangelical United Brethren Church and the Methodist Church / Paul Washburn.</t>
        </is>
      </c>
      <c r="F2981" t="inlineStr">
        <is>
          <t>No</t>
        </is>
      </c>
      <c r="G2981" t="inlineStr">
        <is>
          <t>1</t>
        </is>
      </c>
      <c r="H2981" t="inlineStr">
        <is>
          <t>No</t>
        </is>
      </c>
      <c r="I2981" t="inlineStr">
        <is>
          <t>No</t>
        </is>
      </c>
      <c r="J2981" t="inlineStr">
        <is>
          <t>0</t>
        </is>
      </c>
      <c r="K2981" t="inlineStr">
        <is>
          <t>Washburn, Paul, 1911-1989.</t>
        </is>
      </c>
      <c r="L2981" t="inlineStr">
        <is>
          <t>Nashville : Abingdon Press, c1984.</t>
        </is>
      </c>
      <c r="M2981" t="inlineStr">
        <is>
          <t>1984</t>
        </is>
      </c>
      <c r="O2981" t="inlineStr">
        <is>
          <t>eng</t>
        </is>
      </c>
      <c r="P2981" t="inlineStr">
        <is>
          <t>tnu</t>
        </is>
      </c>
      <c r="R2981" t="inlineStr">
        <is>
          <t xml:space="preserve">BX </t>
        </is>
      </c>
      <c r="S2981" t="n">
        <v>4</v>
      </c>
      <c r="T2981" t="n">
        <v>4</v>
      </c>
      <c r="U2981" t="inlineStr">
        <is>
          <t>1996-11-19</t>
        </is>
      </c>
      <c r="V2981" t="inlineStr">
        <is>
          <t>1996-11-19</t>
        </is>
      </c>
      <c r="W2981" t="inlineStr">
        <is>
          <t>1992-05-21</t>
        </is>
      </c>
      <c r="X2981" t="inlineStr">
        <is>
          <t>1992-05-21</t>
        </is>
      </c>
      <c r="Y2981" t="n">
        <v>201</v>
      </c>
      <c r="Z2981" t="n">
        <v>180</v>
      </c>
      <c r="AA2981" t="n">
        <v>181</v>
      </c>
      <c r="AB2981" t="n">
        <v>1</v>
      </c>
      <c r="AC2981" t="n">
        <v>1</v>
      </c>
      <c r="AD2981" t="n">
        <v>6</v>
      </c>
      <c r="AE2981" t="n">
        <v>6</v>
      </c>
      <c r="AF2981" t="n">
        <v>2</v>
      </c>
      <c r="AG2981" t="n">
        <v>2</v>
      </c>
      <c r="AH2981" t="n">
        <v>0</v>
      </c>
      <c r="AI2981" t="n">
        <v>0</v>
      </c>
      <c r="AJ2981" t="n">
        <v>5</v>
      </c>
      <c r="AK2981" t="n">
        <v>5</v>
      </c>
      <c r="AL2981" t="n">
        <v>0</v>
      </c>
      <c r="AM2981" t="n">
        <v>0</v>
      </c>
      <c r="AN2981" t="n">
        <v>0</v>
      </c>
      <c r="AO2981" t="n">
        <v>0</v>
      </c>
      <c r="AP2981" t="inlineStr">
        <is>
          <t>No</t>
        </is>
      </c>
      <c r="AQ2981" t="inlineStr">
        <is>
          <t>Yes</t>
        </is>
      </c>
      <c r="AR2981">
        <f>HYPERLINK("http://catalog.hathitrust.org/Record/000247611","HathiTrust Record")</f>
        <v/>
      </c>
      <c r="AS2981">
        <f>HYPERLINK("https://creighton-primo.hosted.exlibrisgroup.com/primo-explore/search?tab=default_tab&amp;search_scope=EVERYTHING&amp;vid=01CRU&amp;lang=en_US&amp;offset=0&amp;query=any,contains,991000385399702656","Catalog Record")</f>
        <v/>
      </c>
      <c r="AT2981">
        <f>HYPERLINK("http://www.worldcat.org/oclc/10507679","WorldCat Record")</f>
        <v/>
      </c>
      <c r="AU2981" t="inlineStr">
        <is>
          <t>892013687:eng</t>
        </is>
      </c>
      <c r="AV2981" t="inlineStr">
        <is>
          <t>10507679</t>
        </is>
      </c>
      <c r="AW2981" t="inlineStr">
        <is>
          <t>991000385399702656</t>
        </is>
      </c>
      <c r="AX2981" t="inlineStr">
        <is>
          <t>991000385399702656</t>
        </is>
      </c>
      <c r="AY2981" t="inlineStr">
        <is>
          <t>2256978090002656</t>
        </is>
      </c>
      <c r="AZ2981" t="inlineStr">
        <is>
          <t>BOOK</t>
        </is>
      </c>
      <c r="BB2981" t="inlineStr">
        <is>
          <t>9780687013784</t>
        </is>
      </c>
      <c r="BC2981" t="inlineStr">
        <is>
          <t>32285001124865</t>
        </is>
      </c>
      <c r="BD2981" t="inlineStr">
        <is>
          <t>893802719</t>
        </is>
      </c>
    </row>
    <row r="2982">
      <c r="A2982" t="inlineStr">
        <is>
          <t>No</t>
        </is>
      </c>
      <c r="B2982" t="inlineStr">
        <is>
          <t>BX8385.H6 W66 2000</t>
        </is>
      </c>
      <c r="C2982" t="inlineStr">
        <is>
          <t>0                      BX 8385000H  6                  W  66          2000</t>
        </is>
      </c>
      <c r="D2982" t="inlineStr">
        <is>
          <t>Where the Spirit leads : the evolving views of United Methodists on homosexuality / James Rutland Wood.</t>
        </is>
      </c>
      <c r="F2982" t="inlineStr">
        <is>
          <t>No</t>
        </is>
      </c>
      <c r="G2982" t="inlineStr">
        <is>
          <t>1</t>
        </is>
      </c>
      <c r="H2982" t="inlineStr">
        <is>
          <t>No</t>
        </is>
      </c>
      <c r="I2982" t="inlineStr">
        <is>
          <t>No</t>
        </is>
      </c>
      <c r="J2982" t="inlineStr">
        <is>
          <t>0</t>
        </is>
      </c>
      <c r="K2982" t="inlineStr">
        <is>
          <t>Wood, James R., 1933-</t>
        </is>
      </c>
      <c r="L2982" t="inlineStr">
        <is>
          <t>Nashville : Abingdon Press, c2000.</t>
        </is>
      </c>
      <c r="M2982" t="inlineStr">
        <is>
          <t>2000</t>
        </is>
      </c>
      <c r="O2982" t="inlineStr">
        <is>
          <t>eng</t>
        </is>
      </c>
      <c r="P2982" t="inlineStr">
        <is>
          <t>tnu</t>
        </is>
      </c>
      <c r="R2982" t="inlineStr">
        <is>
          <t xml:space="preserve">BX </t>
        </is>
      </c>
      <c r="S2982" t="n">
        <v>5</v>
      </c>
      <c r="T2982" t="n">
        <v>5</v>
      </c>
      <c r="U2982" t="inlineStr">
        <is>
          <t>2008-12-06</t>
        </is>
      </c>
      <c r="V2982" t="inlineStr">
        <is>
          <t>2008-12-06</t>
        </is>
      </c>
      <c r="W2982" t="inlineStr">
        <is>
          <t>2000-12-06</t>
        </is>
      </c>
      <c r="X2982" t="inlineStr">
        <is>
          <t>2000-12-06</t>
        </is>
      </c>
      <c r="Y2982" t="n">
        <v>177</v>
      </c>
      <c r="Z2982" t="n">
        <v>160</v>
      </c>
      <c r="AA2982" t="n">
        <v>160</v>
      </c>
      <c r="AB2982" t="n">
        <v>4</v>
      </c>
      <c r="AC2982" t="n">
        <v>4</v>
      </c>
      <c r="AD2982" t="n">
        <v>13</v>
      </c>
      <c r="AE2982" t="n">
        <v>13</v>
      </c>
      <c r="AF2982" t="n">
        <v>5</v>
      </c>
      <c r="AG2982" t="n">
        <v>5</v>
      </c>
      <c r="AH2982" t="n">
        <v>2</v>
      </c>
      <c r="AI2982" t="n">
        <v>2</v>
      </c>
      <c r="AJ2982" t="n">
        <v>6</v>
      </c>
      <c r="AK2982" t="n">
        <v>6</v>
      </c>
      <c r="AL2982" t="n">
        <v>3</v>
      </c>
      <c r="AM2982" t="n">
        <v>3</v>
      </c>
      <c r="AN2982" t="n">
        <v>0</v>
      </c>
      <c r="AO2982" t="n">
        <v>0</v>
      </c>
      <c r="AP2982" t="inlineStr">
        <is>
          <t>No</t>
        </is>
      </c>
      <c r="AQ2982" t="inlineStr">
        <is>
          <t>No</t>
        </is>
      </c>
      <c r="AS2982">
        <f>HYPERLINK("https://creighton-primo.hosted.exlibrisgroup.com/primo-explore/search?tab=default_tab&amp;search_scope=EVERYTHING&amp;vid=01CRU&amp;lang=en_US&amp;offset=0&amp;query=any,contains,991003329179702656","Catalog Record")</f>
        <v/>
      </c>
      <c r="AT2982">
        <f>HYPERLINK("http://www.worldcat.org/oclc/42080155","WorldCat Record")</f>
        <v/>
      </c>
      <c r="AU2982" t="inlineStr">
        <is>
          <t>28191755:eng</t>
        </is>
      </c>
      <c r="AV2982" t="inlineStr">
        <is>
          <t>42080155</t>
        </is>
      </c>
      <c r="AW2982" t="inlineStr">
        <is>
          <t>991003329179702656</t>
        </is>
      </c>
      <c r="AX2982" t="inlineStr">
        <is>
          <t>991003329179702656</t>
        </is>
      </c>
      <c r="AY2982" t="inlineStr">
        <is>
          <t>2262837600002656</t>
        </is>
      </c>
      <c r="AZ2982" t="inlineStr">
        <is>
          <t>BOOK</t>
        </is>
      </c>
      <c r="BB2982" t="inlineStr">
        <is>
          <t>9780687082179</t>
        </is>
      </c>
      <c r="BC2982" t="inlineStr">
        <is>
          <t>32285004275813</t>
        </is>
      </c>
      <c r="BD2982" t="inlineStr">
        <is>
          <t>893774631</t>
        </is>
      </c>
    </row>
    <row r="2983">
      <c r="A2983" t="inlineStr">
        <is>
          <t>No</t>
        </is>
      </c>
      <c r="B2983" t="inlineStr">
        <is>
          <t>BX839 .F44</t>
        </is>
      </c>
      <c r="C2983" t="inlineStr">
        <is>
          <t>0                      BX 0839000F  44</t>
        </is>
      </c>
      <c r="D2983" t="inlineStr">
        <is>
          <t>Catholic faith and human life : proceedings of the first convention of the Fellowship of Catholic Scholars, April 28-30, 1978, Kansas City, Mo.</t>
        </is>
      </c>
      <c r="F2983" t="inlineStr">
        <is>
          <t>No</t>
        </is>
      </c>
      <c r="G2983" t="inlineStr">
        <is>
          <t>1</t>
        </is>
      </c>
      <c r="H2983" t="inlineStr">
        <is>
          <t>No</t>
        </is>
      </c>
      <c r="I2983" t="inlineStr">
        <is>
          <t>No</t>
        </is>
      </c>
      <c r="J2983" t="inlineStr">
        <is>
          <t>0</t>
        </is>
      </c>
      <c r="K2983" t="inlineStr">
        <is>
          <t>Fellowship of Catholic Scholars (1st : 1978 : Kansas City, Mo.)</t>
        </is>
      </c>
      <c r="L2983" t="inlineStr">
        <is>
          <t>[Jamaica, N.Y. : Fellowship of Catholic Scholars, 1978]</t>
        </is>
      </c>
      <c r="M2983" t="inlineStr">
        <is>
          <t>1978</t>
        </is>
      </c>
      <c r="O2983" t="inlineStr">
        <is>
          <t>eng</t>
        </is>
      </c>
      <c r="P2983" t="inlineStr">
        <is>
          <t xml:space="preserve">xx </t>
        </is>
      </c>
      <c r="R2983" t="inlineStr">
        <is>
          <t xml:space="preserve">BX </t>
        </is>
      </c>
      <c r="S2983" t="n">
        <v>2</v>
      </c>
      <c r="T2983" t="n">
        <v>2</v>
      </c>
      <c r="U2983" t="inlineStr">
        <is>
          <t>1998-11-01</t>
        </is>
      </c>
      <c r="V2983" t="inlineStr">
        <is>
          <t>1998-11-01</t>
        </is>
      </c>
      <c r="W2983" t="inlineStr">
        <is>
          <t>1992-04-28</t>
        </is>
      </c>
      <c r="X2983" t="inlineStr">
        <is>
          <t>1992-04-28</t>
        </is>
      </c>
      <c r="Y2983" t="n">
        <v>28</v>
      </c>
      <c r="Z2983" t="n">
        <v>27</v>
      </c>
      <c r="AA2983" t="n">
        <v>27</v>
      </c>
      <c r="AB2983" t="n">
        <v>3</v>
      </c>
      <c r="AC2983" t="n">
        <v>3</v>
      </c>
      <c r="AD2983" t="n">
        <v>5</v>
      </c>
      <c r="AE2983" t="n">
        <v>5</v>
      </c>
      <c r="AF2983" t="n">
        <v>0</v>
      </c>
      <c r="AG2983" t="n">
        <v>0</v>
      </c>
      <c r="AH2983" t="n">
        <v>1</v>
      </c>
      <c r="AI2983" t="n">
        <v>1</v>
      </c>
      <c r="AJ2983" t="n">
        <v>4</v>
      </c>
      <c r="AK2983" t="n">
        <v>4</v>
      </c>
      <c r="AL2983" t="n">
        <v>0</v>
      </c>
      <c r="AM2983" t="n">
        <v>0</v>
      </c>
      <c r="AN2983" t="n">
        <v>1</v>
      </c>
      <c r="AO2983" t="n">
        <v>1</v>
      </c>
      <c r="AP2983" t="inlineStr">
        <is>
          <t>No</t>
        </is>
      </c>
      <c r="AQ2983" t="inlineStr">
        <is>
          <t>No</t>
        </is>
      </c>
      <c r="AS2983">
        <f>HYPERLINK("https://creighton-primo.hosted.exlibrisgroup.com/primo-explore/search?tab=default_tab&amp;search_scope=EVERYTHING&amp;vid=01CRU&amp;lang=en_US&amp;offset=0&amp;query=any,contains,991004934009702656","Catalog Record")</f>
        <v/>
      </c>
      <c r="AT2983">
        <f>HYPERLINK("http://www.worldcat.org/oclc/6130270","WorldCat Record")</f>
        <v/>
      </c>
      <c r="AU2983" t="inlineStr">
        <is>
          <t>21508191:eng</t>
        </is>
      </c>
      <c r="AV2983" t="inlineStr">
        <is>
          <t>6130270</t>
        </is>
      </c>
      <c r="AW2983" t="inlineStr">
        <is>
          <t>991004934009702656</t>
        </is>
      </c>
      <c r="AX2983" t="inlineStr">
        <is>
          <t>991004934009702656</t>
        </is>
      </c>
      <c r="AY2983" t="inlineStr">
        <is>
          <t>2266365820002656</t>
        </is>
      </c>
      <c r="AZ2983" t="inlineStr">
        <is>
          <t>BOOK</t>
        </is>
      </c>
      <c r="BC2983" t="inlineStr">
        <is>
          <t>32285001080125</t>
        </is>
      </c>
      <c r="BD2983" t="inlineStr">
        <is>
          <t>893513825</t>
        </is>
      </c>
    </row>
    <row r="2984">
      <c r="A2984" t="inlineStr">
        <is>
          <t>No</t>
        </is>
      </c>
      <c r="B2984" t="inlineStr">
        <is>
          <t>BX841 .B7</t>
        </is>
      </c>
      <c r="C2984" t="inlineStr">
        <is>
          <t>0                      BX 0841000B  7</t>
        </is>
      </c>
      <c r="D2984" t="inlineStr">
        <is>
          <t>Concise Catholic dictionary / compiled by Robert C. Broderick.</t>
        </is>
      </c>
      <c r="F2984" t="inlineStr">
        <is>
          <t>No</t>
        </is>
      </c>
      <c r="G2984" t="inlineStr">
        <is>
          <t>1</t>
        </is>
      </c>
      <c r="H2984" t="inlineStr">
        <is>
          <t>No</t>
        </is>
      </c>
      <c r="I2984" t="inlineStr">
        <is>
          <t>No</t>
        </is>
      </c>
      <c r="J2984" t="inlineStr">
        <is>
          <t>0</t>
        </is>
      </c>
      <c r="K2984" t="inlineStr">
        <is>
          <t>Broderick, Robert C., 1913-</t>
        </is>
      </c>
      <c r="L2984" t="inlineStr">
        <is>
          <t>Milwaukee : The Bruce Publishing Company, 1944</t>
        </is>
      </c>
      <c r="M2984" t="inlineStr">
        <is>
          <t>1944</t>
        </is>
      </c>
      <c r="O2984" t="inlineStr">
        <is>
          <t>eng</t>
        </is>
      </c>
      <c r="P2984" t="inlineStr">
        <is>
          <t>___</t>
        </is>
      </c>
      <c r="R2984" t="inlineStr">
        <is>
          <t xml:space="preserve">BX </t>
        </is>
      </c>
      <c r="S2984" t="n">
        <v>7</v>
      </c>
      <c r="T2984" t="n">
        <v>7</v>
      </c>
      <c r="U2984" t="inlineStr">
        <is>
          <t>2010-06-04</t>
        </is>
      </c>
      <c r="V2984" t="inlineStr">
        <is>
          <t>2010-06-04</t>
        </is>
      </c>
      <c r="W2984" t="inlineStr">
        <is>
          <t>1992-04-28</t>
        </is>
      </c>
      <c r="X2984" t="inlineStr">
        <is>
          <t>1992-04-28</t>
        </is>
      </c>
      <c r="Y2984" t="n">
        <v>119</v>
      </c>
      <c r="Z2984" t="n">
        <v>104</v>
      </c>
      <c r="AA2984" t="n">
        <v>139</v>
      </c>
      <c r="AB2984" t="n">
        <v>1</v>
      </c>
      <c r="AC2984" t="n">
        <v>2</v>
      </c>
      <c r="AD2984" t="n">
        <v>10</v>
      </c>
      <c r="AE2984" t="n">
        <v>11</v>
      </c>
      <c r="AF2984" t="n">
        <v>0</v>
      </c>
      <c r="AG2984" t="n">
        <v>1</v>
      </c>
      <c r="AH2984" t="n">
        <v>4</v>
      </c>
      <c r="AI2984" t="n">
        <v>4</v>
      </c>
      <c r="AJ2984" t="n">
        <v>7</v>
      </c>
      <c r="AK2984" t="n">
        <v>7</v>
      </c>
      <c r="AL2984" t="n">
        <v>0</v>
      </c>
      <c r="AM2984" t="n">
        <v>0</v>
      </c>
      <c r="AN2984" t="n">
        <v>0</v>
      </c>
      <c r="AO2984" t="n">
        <v>0</v>
      </c>
      <c r="AP2984" t="inlineStr">
        <is>
          <t>Yes</t>
        </is>
      </c>
      <c r="AQ2984" t="inlineStr">
        <is>
          <t>No</t>
        </is>
      </c>
      <c r="AR2984">
        <f>HYPERLINK("http://catalog.hathitrust.org/Record/001415616","HathiTrust Record")</f>
        <v/>
      </c>
      <c r="AS2984">
        <f>HYPERLINK("https://creighton-primo.hosted.exlibrisgroup.com/primo-explore/search?tab=default_tab&amp;search_scope=EVERYTHING&amp;vid=01CRU&amp;lang=en_US&amp;offset=0&amp;query=any,contains,991003458899702656","Catalog Record")</f>
        <v/>
      </c>
      <c r="AT2984">
        <f>HYPERLINK("http://www.worldcat.org/oclc/999313","WorldCat Record")</f>
        <v/>
      </c>
      <c r="AU2984" t="inlineStr">
        <is>
          <t>1999522:eng</t>
        </is>
      </c>
      <c r="AV2984" t="inlineStr">
        <is>
          <t>999313</t>
        </is>
      </c>
      <c r="AW2984" t="inlineStr">
        <is>
          <t>991003458899702656</t>
        </is>
      </c>
      <c r="AX2984" t="inlineStr">
        <is>
          <t>991003458899702656</t>
        </is>
      </c>
      <c r="AY2984" t="inlineStr">
        <is>
          <t>2272222030002656</t>
        </is>
      </c>
      <c r="AZ2984" t="inlineStr">
        <is>
          <t>BOOK</t>
        </is>
      </c>
      <c r="BC2984" t="inlineStr">
        <is>
          <t>32285001080141</t>
        </is>
      </c>
      <c r="BD2984" t="inlineStr">
        <is>
          <t>893535471</t>
        </is>
      </c>
    </row>
    <row r="2985">
      <c r="A2985" t="inlineStr">
        <is>
          <t>No</t>
        </is>
      </c>
      <c r="B2985" t="inlineStr">
        <is>
          <t>BX841 .C25</t>
        </is>
      </c>
      <c r="C2985" t="inlineStr">
        <is>
          <t>0                      BX 0841000C  25</t>
        </is>
      </c>
      <c r="D2985"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85" t="inlineStr">
        <is>
          <t>V. 13</t>
        </is>
      </c>
      <c r="F2985" t="inlineStr">
        <is>
          <t>Yes</t>
        </is>
      </c>
      <c r="G2985" t="inlineStr">
        <is>
          <t>1</t>
        </is>
      </c>
      <c r="H2985" t="inlineStr">
        <is>
          <t>Yes</t>
        </is>
      </c>
      <c r="I2985" t="inlineStr">
        <is>
          <t>No</t>
        </is>
      </c>
      <c r="J2985" t="inlineStr">
        <is>
          <t>0</t>
        </is>
      </c>
      <c r="L2985" t="inlineStr">
        <is>
          <t>New York : Appleton, [1907-12]</t>
        </is>
      </c>
      <c r="M2985" t="inlineStr">
        <is>
          <t>1907</t>
        </is>
      </c>
      <c r="O2985" t="inlineStr">
        <is>
          <t>eng</t>
        </is>
      </c>
      <c r="P2985" t="inlineStr">
        <is>
          <t>nyu</t>
        </is>
      </c>
      <c r="R2985" t="inlineStr">
        <is>
          <t xml:space="preserve">BX </t>
        </is>
      </c>
      <c r="S2985" t="n">
        <v>2</v>
      </c>
      <c r="T2985" t="n">
        <v>32</v>
      </c>
      <c r="V2985" t="inlineStr">
        <is>
          <t>2001-10-25</t>
        </is>
      </c>
      <c r="W2985" t="inlineStr">
        <is>
          <t>1998-04-08</t>
        </is>
      </c>
      <c r="X2985" t="inlineStr">
        <is>
          <t>2000-05-08</t>
        </is>
      </c>
      <c r="Y2985" t="n">
        <v>539</v>
      </c>
      <c r="Z2985" t="n">
        <v>476</v>
      </c>
      <c r="AA2985" t="n">
        <v>503</v>
      </c>
      <c r="AB2985" t="n">
        <v>4</v>
      </c>
      <c r="AC2985" t="n">
        <v>4</v>
      </c>
      <c r="AD2985" t="n">
        <v>31</v>
      </c>
      <c r="AE2985" t="n">
        <v>33</v>
      </c>
      <c r="AF2985" t="n">
        <v>14</v>
      </c>
      <c r="AG2985" t="n">
        <v>15</v>
      </c>
      <c r="AH2985" t="n">
        <v>7</v>
      </c>
      <c r="AI2985" t="n">
        <v>8</v>
      </c>
      <c r="AJ2985" t="n">
        <v>18</v>
      </c>
      <c r="AK2985" t="n">
        <v>19</v>
      </c>
      <c r="AL2985" t="n">
        <v>1</v>
      </c>
      <c r="AM2985" t="n">
        <v>1</v>
      </c>
      <c r="AN2985" t="n">
        <v>0</v>
      </c>
      <c r="AO2985" t="n">
        <v>0</v>
      </c>
      <c r="AP2985" t="inlineStr">
        <is>
          <t>Yes</t>
        </is>
      </c>
      <c r="AQ2985" t="inlineStr">
        <is>
          <t>No</t>
        </is>
      </c>
      <c r="AR2985">
        <f>HYPERLINK("http://catalog.hathitrust.org/Record/000867126","HathiTrust Record")</f>
        <v/>
      </c>
      <c r="AS2985">
        <f>HYPERLINK("https://creighton-primo.hosted.exlibrisgroup.com/primo-explore/search?tab=default_tab&amp;search_scope=EVERYTHING&amp;vid=01CRU&amp;lang=en_US&amp;offset=0&amp;query=any,contains,991001339799702656","Catalog Record")</f>
        <v/>
      </c>
      <c r="AT2985">
        <f>HYPERLINK("http://www.worldcat.org/oclc/1017058","WorldCat Record")</f>
        <v/>
      </c>
      <c r="AU2985" t="inlineStr">
        <is>
          <t>10792562986:eng</t>
        </is>
      </c>
      <c r="AV2985" t="inlineStr">
        <is>
          <t>1017058</t>
        </is>
      </c>
      <c r="AW2985" t="inlineStr">
        <is>
          <t>991001339799702656</t>
        </is>
      </c>
      <c r="AX2985" t="inlineStr">
        <is>
          <t>991001339799702656</t>
        </is>
      </c>
      <c r="AY2985" t="inlineStr">
        <is>
          <t>2259443060002656</t>
        </is>
      </c>
      <c r="AZ2985" t="inlineStr">
        <is>
          <t>BOOK</t>
        </is>
      </c>
      <c r="BC2985" t="inlineStr">
        <is>
          <t>32285003385480</t>
        </is>
      </c>
      <c r="BD2985" t="inlineStr">
        <is>
          <t>893256186</t>
        </is>
      </c>
    </row>
    <row r="2986">
      <c r="A2986" t="inlineStr">
        <is>
          <t>No</t>
        </is>
      </c>
      <c r="B2986" t="inlineStr">
        <is>
          <t>BX841 .C25</t>
        </is>
      </c>
      <c r="C2986" t="inlineStr">
        <is>
          <t>0                      BX 0841000C  25</t>
        </is>
      </c>
      <c r="D2986"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86" t="inlineStr">
        <is>
          <t>V. 11</t>
        </is>
      </c>
      <c r="F2986" t="inlineStr">
        <is>
          <t>Yes</t>
        </is>
      </c>
      <c r="G2986" t="inlineStr">
        <is>
          <t>1</t>
        </is>
      </c>
      <c r="H2986" t="inlineStr">
        <is>
          <t>Yes</t>
        </is>
      </c>
      <c r="I2986" t="inlineStr">
        <is>
          <t>No</t>
        </is>
      </c>
      <c r="J2986" t="inlineStr">
        <is>
          <t>0</t>
        </is>
      </c>
      <c r="L2986" t="inlineStr">
        <is>
          <t>New York : Appleton, [1907-12]</t>
        </is>
      </c>
      <c r="M2986" t="inlineStr">
        <is>
          <t>1907</t>
        </is>
      </c>
      <c r="O2986" t="inlineStr">
        <is>
          <t>eng</t>
        </is>
      </c>
      <c r="P2986" t="inlineStr">
        <is>
          <t>nyu</t>
        </is>
      </c>
      <c r="R2986" t="inlineStr">
        <is>
          <t xml:space="preserve">BX </t>
        </is>
      </c>
      <c r="S2986" t="n">
        <v>2</v>
      </c>
      <c r="T2986" t="n">
        <v>32</v>
      </c>
      <c r="V2986" t="inlineStr">
        <is>
          <t>2001-10-25</t>
        </is>
      </c>
      <c r="W2986" t="inlineStr">
        <is>
          <t>1998-04-08</t>
        </is>
      </c>
      <c r="X2986" t="inlineStr">
        <is>
          <t>2000-05-08</t>
        </is>
      </c>
      <c r="Y2986" t="n">
        <v>539</v>
      </c>
      <c r="Z2986" t="n">
        <v>476</v>
      </c>
      <c r="AA2986" t="n">
        <v>503</v>
      </c>
      <c r="AB2986" t="n">
        <v>4</v>
      </c>
      <c r="AC2986" t="n">
        <v>4</v>
      </c>
      <c r="AD2986" t="n">
        <v>31</v>
      </c>
      <c r="AE2986" t="n">
        <v>33</v>
      </c>
      <c r="AF2986" t="n">
        <v>14</v>
      </c>
      <c r="AG2986" t="n">
        <v>15</v>
      </c>
      <c r="AH2986" t="n">
        <v>7</v>
      </c>
      <c r="AI2986" t="n">
        <v>8</v>
      </c>
      <c r="AJ2986" t="n">
        <v>18</v>
      </c>
      <c r="AK2986" t="n">
        <v>19</v>
      </c>
      <c r="AL2986" t="n">
        <v>1</v>
      </c>
      <c r="AM2986" t="n">
        <v>1</v>
      </c>
      <c r="AN2986" t="n">
        <v>0</v>
      </c>
      <c r="AO2986" t="n">
        <v>0</v>
      </c>
      <c r="AP2986" t="inlineStr">
        <is>
          <t>Yes</t>
        </is>
      </c>
      <c r="AQ2986" t="inlineStr">
        <is>
          <t>No</t>
        </is>
      </c>
      <c r="AR2986">
        <f>HYPERLINK("http://catalog.hathitrust.org/Record/000867126","HathiTrust Record")</f>
        <v/>
      </c>
      <c r="AS2986">
        <f>HYPERLINK("https://creighton-primo.hosted.exlibrisgroup.com/primo-explore/search?tab=default_tab&amp;search_scope=EVERYTHING&amp;vid=01CRU&amp;lang=en_US&amp;offset=0&amp;query=any,contains,991001339799702656","Catalog Record")</f>
        <v/>
      </c>
      <c r="AT2986">
        <f>HYPERLINK("http://www.worldcat.org/oclc/1017058","WorldCat Record")</f>
        <v/>
      </c>
      <c r="AU2986" t="inlineStr">
        <is>
          <t>10792562986:eng</t>
        </is>
      </c>
      <c r="AV2986" t="inlineStr">
        <is>
          <t>1017058</t>
        </is>
      </c>
      <c r="AW2986" t="inlineStr">
        <is>
          <t>991001339799702656</t>
        </is>
      </c>
      <c r="AX2986" t="inlineStr">
        <is>
          <t>991001339799702656</t>
        </is>
      </c>
      <c r="AY2986" t="inlineStr">
        <is>
          <t>2259443060002656</t>
        </is>
      </c>
      <c r="AZ2986" t="inlineStr">
        <is>
          <t>BOOK</t>
        </is>
      </c>
      <c r="BC2986" t="inlineStr">
        <is>
          <t>32285003385464</t>
        </is>
      </c>
      <c r="BD2986" t="inlineStr">
        <is>
          <t>893261811</t>
        </is>
      </c>
    </row>
    <row r="2987">
      <c r="A2987" t="inlineStr">
        <is>
          <t>No</t>
        </is>
      </c>
      <c r="B2987" t="inlineStr">
        <is>
          <t>BX841 .C25</t>
        </is>
      </c>
      <c r="C2987" t="inlineStr">
        <is>
          <t>0                      BX 0841000C  25</t>
        </is>
      </c>
      <c r="D2987"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87" t="inlineStr">
        <is>
          <t>V. 5</t>
        </is>
      </c>
      <c r="F2987" t="inlineStr">
        <is>
          <t>Yes</t>
        </is>
      </c>
      <c r="G2987" t="inlineStr">
        <is>
          <t>1</t>
        </is>
      </c>
      <c r="H2987" t="inlineStr">
        <is>
          <t>Yes</t>
        </is>
      </c>
      <c r="I2987" t="inlineStr">
        <is>
          <t>No</t>
        </is>
      </c>
      <c r="J2987" t="inlineStr">
        <is>
          <t>0</t>
        </is>
      </c>
      <c r="L2987" t="inlineStr">
        <is>
          <t>New York : Appleton, [1907-12]</t>
        </is>
      </c>
      <c r="M2987" t="inlineStr">
        <is>
          <t>1907</t>
        </is>
      </c>
      <c r="O2987" t="inlineStr">
        <is>
          <t>eng</t>
        </is>
      </c>
      <c r="P2987" t="inlineStr">
        <is>
          <t>nyu</t>
        </is>
      </c>
      <c r="R2987" t="inlineStr">
        <is>
          <t xml:space="preserve">BX </t>
        </is>
      </c>
      <c r="S2987" t="n">
        <v>5</v>
      </c>
      <c r="T2987" t="n">
        <v>32</v>
      </c>
      <c r="V2987" t="inlineStr">
        <is>
          <t>2001-10-25</t>
        </is>
      </c>
      <c r="W2987" t="inlineStr">
        <is>
          <t>1998-04-08</t>
        </is>
      </c>
      <c r="X2987" t="inlineStr">
        <is>
          <t>2000-05-08</t>
        </is>
      </c>
      <c r="Y2987" t="n">
        <v>539</v>
      </c>
      <c r="Z2987" t="n">
        <v>476</v>
      </c>
      <c r="AA2987" t="n">
        <v>503</v>
      </c>
      <c r="AB2987" t="n">
        <v>4</v>
      </c>
      <c r="AC2987" t="n">
        <v>4</v>
      </c>
      <c r="AD2987" t="n">
        <v>31</v>
      </c>
      <c r="AE2987" t="n">
        <v>33</v>
      </c>
      <c r="AF2987" t="n">
        <v>14</v>
      </c>
      <c r="AG2987" t="n">
        <v>15</v>
      </c>
      <c r="AH2987" t="n">
        <v>7</v>
      </c>
      <c r="AI2987" t="n">
        <v>8</v>
      </c>
      <c r="AJ2987" t="n">
        <v>18</v>
      </c>
      <c r="AK2987" t="n">
        <v>19</v>
      </c>
      <c r="AL2987" t="n">
        <v>1</v>
      </c>
      <c r="AM2987" t="n">
        <v>1</v>
      </c>
      <c r="AN2987" t="n">
        <v>0</v>
      </c>
      <c r="AO2987" t="n">
        <v>0</v>
      </c>
      <c r="AP2987" t="inlineStr">
        <is>
          <t>Yes</t>
        </is>
      </c>
      <c r="AQ2987" t="inlineStr">
        <is>
          <t>No</t>
        </is>
      </c>
      <c r="AR2987">
        <f>HYPERLINK("http://catalog.hathitrust.org/Record/000867126","HathiTrust Record")</f>
        <v/>
      </c>
      <c r="AS2987">
        <f>HYPERLINK("https://creighton-primo.hosted.exlibrisgroup.com/primo-explore/search?tab=default_tab&amp;search_scope=EVERYTHING&amp;vid=01CRU&amp;lang=en_US&amp;offset=0&amp;query=any,contains,991001339799702656","Catalog Record")</f>
        <v/>
      </c>
      <c r="AT2987">
        <f>HYPERLINK("http://www.worldcat.org/oclc/1017058","WorldCat Record")</f>
        <v/>
      </c>
      <c r="AU2987" t="inlineStr">
        <is>
          <t>10792562986:eng</t>
        </is>
      </c>
      <c r="AV2987" t="inlineStr">
        <is>
          <t>1017058</t>
        </is>
      </c>
      <c r="AW2987" t="inlineStr">
        <is>
          <t>991001339799702656</t>
        </is>
      </c>
      <c r="AX2987" t="inlineStr">
        <is>
          <t>991001339799702656</t>
        </is>
      </c>
      <c r="AY2987" t="inlineStr">
        <is>
          <t>2259443060002656</t>
        </is>
      </c>
      <c r="AZ2987" t="inlineStr">
        <is>
          <t>BOOK</t>
        </is>
      </c>
      <c r="BC2987" t="inlineStr">
        <is>
          <t>32285003385407</t>
        </is>
      </c>
      <c r="BD2987" t="inlineStr">
        <is>
          <t>893250174</t>
        </is>
      </c>
    </row>
    <row r="2988">
      <c r="A2988" t="inlineStr">
        <is>
          <t>No</t>
        </is>
      </c>
      <c r="B2988" t="inlineStr">
        <is>
          <t>BX841 .C25</t>
        </is>
      </c>
      <c r="C2988" t="inlineStr">
        <is>
          <t>0                      BX 0841000C  25</t>
        </is>
      </c>
      <c r="D2988"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88" t="inlineStr">
        <is>
          <t>V. 1</t>
        </is>
      </c>
      <c r="F2988" t="inlineStr">
        <is>
          <t>Yes</t>
        </is>
      </c>
      <c r="G2988" t="inlineStr">
        <is>
          <t>1</t>
        </is>
      </c>
      <c r="H2988" t="inlineStr">
        <is>
          <t>Yes</t>
        </is>
      </c>
      <c r="I2988" t="inlineStr">
        <is>
          <t>No</t>
        </is>
      </c>
      <c r="J2988" t="inlineStr">
        <is>
          <t>0</t>
        </is>
      </c>
      <c r="L2988" t="inlineStr">
        <is>
          <t>New York : Appleton, [1907-12]</t>
        </is>
      </c>
      <c r="M2988" t="inlineStr">
        <is>
          <t>1907</t>
        </is>
      </c>
      <c r="O2988" t="inlineStr">
        <is>
          <t>eng</t>
        </is>
      </c>
      <c r="P2988" t="inlineStr">
        <is>
          <t>nyu</t>
        </is>
      </c>
      <c r="R2988" t="inlineStr">
        <is>
          <t xml:space="preserve">BX </t>
        </is>
      </c>
      <c r="S2988" t="n">
        <v>0</v>
      </c>
      <c r="T2988" t="n">
        <v>32</v>
      </c>
      <c r="V2988" t="inlineStr">
        <is>
          <t>2001-10-25</t>
        </is>
      </c>
      <c r="W2988" t="inlineStr">
        <is>
          <t>1998-04-08</t>
        </is>
      </c>
      <c r="X2988" t="inlineStr">
        <is>
          <t>2000-05-08</t>
        </is>
      </c>
      <c r="Y2988" t="n">
        <v>539</v>
      </c>
      <c r="Z2988" t="n">
        <v>476</v>
      </c>
      <c r="AA2988" t="n">
        <v>503</v>
      </c>
      <c r="AB2988" t="n">
        <v>4</v>
      </c>
      <c r="AC2988" t="n">
        <v>4</v>
      </c>
      <c r="AD2988" t="n">
        <v>31</v>
      </c>
      <c r="AE2988" t="n">
        <v>33</v>
      </c>
      <c r="AF2988" t="n">
        <v>14</v>
      </c>
      <c r="AG2988" t="n">
        <v>15</v>
      </c>
      <c r="AH2988" t="n">
        <v>7</v>
      </c>
      <c r="AI2988" t="n">
        <v>8</v>
      </c>
      <c r="AJ2988" t="n">
        <v>18</v>
      </c>
      <c r="AK2988" t="n">
        <v>19</v>
      </c>
      <c r="AL2988" t="n">
        <v>1</v>
      </c>
      <c r="AM2988" t="n">
        <v>1</v>
      </c>
      <c r="AN2988" t="n">
        <v>0</v>
      </c>
      <c r="AO2988" t="n">
        <v>0</v>
      </c>
      <c r="AP2988" t="inlineStr">
        <is>
          <t>Yes</t>
        </is>
      </c>
      <c r="AQ2988" t="inlineStr">
        <is>
          <t>No</t>
        </is>
      </c>
      <c r="AR2988">
        <f>HYPERLINK("http://catalog.hathitrust.org/Record/000867126","HathiTrust Record")</f>
        <v/>
      </c>
      <c r="AS2988">
        <f>HYPERLINK("https://creighton-primo.hosted.exlibrisgroup.com/primo-explore/search?tab=default_tab&amp;search_scope=EVERYTHING&amp;vid=01CRU&amp;lang=en_US&amp;offset=0&amp;query=any,contains,991001339799702656","Catalog Record")</f>
        <v/>
      </c>
      <c r="AT2988">
        <f>HYPERLINK("http://www.worldcat.org/oclc/1017058","WorldCat Record")</f>
        <v/>
      </c>
      <c r="AU2988" t="inlineStr">
        <is>
          <t>10792562986:eng</t>
        </is>
      </c>
      <c r="AV2988" t="inlineStr">
        <is>
          <t>1017058</t>
        </is>
      </c>
      <c r="AW2988" t="inlineStr">
        <is>
          <t>991001339799702656</t>
        </is>
      </c>
      <c r="AX2988" t="inlineStr">
        <is>
          <t>991001339799702656</t>
        </is>
      </c>
      <c r="AY2988" t="inlineStr">
        <is>
          <t>2259443060002656</t>
        </is>
      </c>
      <c r="AZ2988" t="inlineStr">
        <is>
          <t>BOOK</t>
        </is>
      </c>
      <c r="BC2988" t="inlineStr">
        <is>
          <t>32285003385365</t>
        </is>
      </c>
      <c r="BD2988" t="inlineStr">
        <is>
          <t>893244055</t>
        </is>
      </c>
    </row>
    <row r="2989">
      <c r="A2989" t="inlineStr">
        <is>
          <t>No</t>
        </is>
      </c>
      <c r="B2989" t="inlineStr">
        <is>
          <t>BX841 .C25</t>
        </is>
      </c>
      <c r="C2989" t="inlineStr">
        <is>
          <t>0                      BX 0841000C  25</t>
        </is>
      </c>
      <c r="D2989"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89" t="inlineStr">
        <is>
          <t>V. 3</t>
        </is>
      </c>
      <c r="F2989" t="inlineStr">
        <is>
          <t>Yes</t>
        </is>
      </c>
      <c r="G2989" t="inlineStr">
        <is>
          <t>1</t>
        </is>
      </c>
      <c r="H2989" t="inlineStr">
        <is>
          <t>Yes</t>
        </is>
      </c>
      <c r="I2989" t="inlineStr">
        <is>
          <t>No</t>
        </is>
      </c>
      <c r="J2989" t="inlineStr">
        <is>
          <t>0</t>
        </is>
      </c>
      <c r="L2989" t="inlineStr">
        <is>
          <t>New York : Appleton, [1907-12]</t>
        </is>
      </c>
      <c r="M2989" t="inlineStr">
        <is>
          <t>1907</t>
        </is>
      </c>
      <c r="O2989" t="inlineStr">
        <is>
          <t>eng</t>
        </is>
      </c>
      <c r="P2989" t="inlineStr">
        <is>
          <t>nyu</t>
        </is>
      </c>
      <c r="R2989" t="inlineStr">
        <is>
          <t xml:space="preserve">BX </t>
        </is>
      </c>
      <c r="S2989" t="n">
        <v>1</v>
      </c>
      <c r="T2989" t="n">
        <v>32</v>
      </c>
      <c r="V2989" t="inlineStr">
        <is>
          <t>2001-10-25</t>
        </is>
      </c>
      <c r="W2989" t="inlineStr">
        <is>
          <t>1998-04-08</t>
        </is>
      </c>
      <c r="X2989" t="inlineStr">
        <is>
          <t>2000-05-08</t>
        </is>
      </c>
      <c r="Y2989" t="n">
        <v>539</v>
      </c>
      <c r="Z2989" t="n">
        <v>476</v>
      </c>
      <c r="AA2989" t="n">
        <v>503</v>
      </c>
      <c r="AB2989" t="n">
        <v>4</v>
      </c>
      <c r="AC2989" t="n">
        <v>4</v>
      </c>
      <c r="AD2989" t="n">
        <v>31</v>
      </c>
      <c r="AE2989" t="n">
        <v>33</v>
      </c>
      <c r="AF2989" t="n">
        <v>14</v>
      </c>
      <c r="AG2989" t="n">
        <v>15</v>
      </c>
      <c r="AH2989" t="n">
        <v>7</v>
      </c>
      <c r="AI2989" t="n">
        <v>8</v>
      </c>
      <c r="AJ2989" t="n">
        <v>18</v>
      </c>
      <c r="AK2989" t="n">
        <v>19</v>
      </c>
      <c r="AL2989" t="n">
        <v>1</v>
      </c>
      <c r="AM2989" t="n">
        <v>1</v>
      </c>
      <c r="AN2989" t="n">
        <v>0</v>
      </c>
      <c r="AO2989" t="n">
        <v>0</v>
      </c>
      <c r="AP2989" t="inlineStr">
        <is>
          <t>Yes</t>
        </is>
      </c>
      <c r="AQ2989" t="inlineStr">
        <is>
          <t>No</t>
        </is>
      </c>
      <c r="AR2989">
        <f>HYPERLINK("http://catalog.hathitrust.org/Record/000867126","HathiTrust Record")</f>
        <v/>
      </c>
      <c r="AS2989">
        <f>HYPERLINK("https://creighton-primo.hosted.exlibrisgroup.com/primo-explore/search?tab=default_tab&amp;search_scope=EVERYTHING&amp;vid=01CRU&amp;lang=en_US&amp;offset=0&amp;query=any,contains,991001339799702656","Catalog Record")</f>
        <v/>
      </c>
      <c r="AT2989">
        <f>HYPERLINK("http://www.worldcat.org/oclc/1017058","WorldCat Record")</f>
        <v/>
      </c>
      <c r="AU2989" t="inlineStr">
        <is>
          <t>10792562986:eng</t>
        </is>
      </c>
      <c r="AV2989" t="inlineStr">
        <is>
          <t>1017058</t>
        </is>
      </c>
      <c r="AW2989" t="inlineStr">
        <is>
          <t>991001339799702656</t>
        </is>
      </c>
      <c r="AX2989" t="inlineStr">
        <is>
          <t>991001339799702656</t>
        </is>
      </c>
      <c r="AY2989" t="inlineStr">
        <is>
          <t>2259443060002656</t>
        </is>
      </c>
      <c r="AZ2989" t="inlineStr">
        <is>
          <t>BOOK</t>
        </is>
      </c>
      <c r="BC2989" t="inlineStr">
        <is>
          <t>32285003385381</t>
        </is>
      </c>
      <c r="BD2989" t="inlineStr">
        <is>
          <t>893244054</t>
        </is>
      </c>
    </row>
    <row r="2990">
      <c r="A2990" t="inlineStr">
        <is>
          <t>No</t>
        </is>
      </c>
      <c r="B2990" t="inlineStr">
        <is>
          <t>BX841 .C25</t>
        </is>
      </c>
      <c r="C2990" t="inlineStr">
        <is>
          <t>0                      BX 0841000C  25</t>
        </is>
      </c>
      <c r="D2990"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90" t="inlineStr">
        <is>
          <t>V. 7</t>
        </is>
      </c>
      <c r="F2990" t="inlineStr">
        <is>
          <t>Yes</t>
        </is>
      </c>
      <c r="G2990" t="inlineStr">
        <is>
          <t>1</t>
        </is>
      </c>
      <c r="H2990" t="inlineStr">
        <is>
          <t>Yes</t>
        </is>
      </c>
      <c r="I2990" t="inlineStr">
        <is>
          <t>No</t>
        </is>
      </c>
      <c r="J2990" t="inlineStr">
        <is>
          <t>0</t>
        </is>
      </c>
      <c r="L2990" t="inlineStr">
        <is>
          <t>New York : Appleton, [1907-12]</t>
        </is>
      </c>
      <c r="M2990" t="inlineStr">
        <is>
          <t>1907</t>
        </is>
      </c>
      <c r="O2990" t="inlineStr">
        <is>
          <t>eng</t>
        </is>
      </c>
      <c r="P2990" t="inlineStr">
        <is>
          <t>nyu</t>
        </is>
      </c>
      <c r="R2990" t="inlineStr">
        <is>
          <t xml:space="preserve">BX </t>
        </is>
      </c>
      <c r="S2990" t="n">
        <v>2</v>
      </c>
      <c r="T2990" t="n">
        <v>32</v>
      </c>
      <c r="V2990" t="inlineStr">
        <is>
          <t>2001-10-25</t>
        </is>
      </c>
      <c r="W2990" t="inlineStr">
        <is>
          <t>1998-04-08</t>
        </is>
      </c>
      <c r="X2990" t="inlineStr">
        <is>
          <t>2000-05-08</t>
        </is>
      </c>
      <c r="Y2990" t="n">
        <v>539</v>
      </c>
      <c r="Z2990" t="n">
        <v>476</v>
      </c>
      <c r="AA2990" t="n">
        <v>503</v>
      </c>
      <c r="AB2990" t="n">
        <v>4</v>
      </c>
      <c r="AC2990" t="n">
        <v>4</v>
      </c>
      <c r="AD2990" t="n">
        <v>31</v>
      </c>
      <c r="AE2990" t="n">
        <v>33</v>
      </c>
      <c r="AF2990" t="n">
        <v>14</v>
      </c>
      <c r="AG2990" t="n">
        <v>15</v>
      </c>
      <c r="AH2990" t="n">
        <v>7</v>
      </c>
      <c r="AI2990" t="n">
        <v>8</v>
      </c>
      <c r="AJ2990" t="n">
        <v>18</v>
      </c>
      <c r="AK2990" t="n">
        <v>19</v>
      </c>
      <c r="AL2990" t="n">
        <v>1</v>
      </c>
      <c r="AM2990" t="n">
        <v>1</v>
      </c>
      <c r="AN2990" t="n">
        <v>0</v>
      </c>
      <c r="AO2990" t="n">
        <v>0</v>
      </c>
      <c r="AP2990" t="inlineStr">
        <is>
          <t>Yes</t>
        </is>
      </c>
      <c r="AQ2990" t="inlineStr">
        <is>
          <t>No</t>
        </is>
      </c>
      <c r="AR2990">
        <f>HYPERLINK("http://catalog.hathitrust.org/Record/000867126","HathiTrust Record")</f>
        <v/>
      </c>
      <c r="AS2990">
        <f>HYPERLINK("https://creighton-primo.hosted.exlibrisgroup.com/primo-explore/search?tab=default_tab&amp;search_scope=EVERYTHING&amp;vid=01CRU&amp;lang=en_US&amp;offset=0&amp;query=any,contains,991001339799702656","Catalog Record")</f>
        <v/>
      </c>
      <c r="AT2990">
        <f>HYPERLINK("http://www.worldcat.org/oclc/1017058","WorldCat Record")</f>
        <v/>
      </c>
      <c r="AU2990" t="inlineStr">
        <is>
          <t>10792562986:eng</t>
        </is>
      </c>
      <c r="AV2990" t="inlineStr">
        <is>
          <t>1017058</t>
        </is>
      </c>
      <c r="AW2990" t="inlineStr">
        <is>
          <t>991001339799702656</t>
        </is>
      </c>
      <c r="AX2990" t="inlineStr">
        <is>
          <t>991001339799702656</t>
        </is>
      </c>
      <c r="AY2990" t="inlineStr">
        <is>
          <t>2259443060002656</t>
        </is>
      </c>
      <c r="AZ2990" t="inlineStr">
        <is>
          <t>BOOK</t>
        </is>
      </c>
      <c r="BC2990" t="inlineStr">
        <is>
          <t>32285003385415</t>
        </is>
      </c>
      <c r="BD2990" t="inlineStr">
        <is>
          <t>893244051</t>
        </is>
      </c>
    </row>
    <row r="2991">
      <c r="A2991" t="inlineStr">
        <is>
          <t>No</t>
        </is>
      </c>
      <c r="B2991" t="inlineStr">
        <is>
          <t>BX841 .C25</t>
        </is>
      </c>
      <c r="C2991" t="inlineStr">
        <is>
          <t>0                      BX 0841000C  25</t>
        </is>
      </c>
      <c r="D2991"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91" t="inlineStr">
        <is>
          <t>V. 16</t>
        </is>
      </c>
      <c r="F2991" t="inlineStr">
        <is>
          <t>Yes</t>
        </is>
      </c>
      <c r="G2991" t="inlineStr">
        <is>
          <t>1</t>
        </is>
      </c>
      <c r="H2991" t="inlineStr">
        <is>
          <t>Yes</t>
        </is>
      </c>
      <c r="I2991" t="inlineStr">
        <is>
          <t>No</t>
        </is>
      </c>
      <c r="J2991" t="inlineStr">
        <is>
          <t>0</t>
        </is>
      </c>
      <c r="L2991" t="inlineStr">
        <is>
          <t>New York : Appleton, [1907-12]</t>
        </is>
      </c>
      <c r="M2991" t="inlineStr">
        <is>
          <t>1907</t>
        </is>
      </c>
      <c r="O2991" t="inlineStr">
        <is>
          <t>eng</t>
        </is>
      </c>
      <c r="P2991" t="inlineStr">
        <is>
          <t>nyu</t>
        </is>
      </c>
      <c r="R2991" t="inlineStr">
        <is>
          <t xml:space="preserve">BX </t>
        </is>
      </c>
      <c r="S2991" t="n">
        <v>0</v>
      </c>
      <c r="T2991" t="n">
        <v>32</v>
      </c>
      <c r="V2991" t="inlineStr">
        <is>
          <t>2001-10-25</t>
        </is>
      </c>
      <c r="W2991" t="inlineStr">
        <is>
          <t>1998-04-08</t>
        </is>
      </c>
      <c r="X2991" t="inlineStr">
        <is>
          <t>2000-05-08</t>
        </is>
      </c>
      <c r="Y2991" t="n">
        <v>539</v>
      </c>
      <c r="Z2991" t="n">
        <v>476</v>
      </c>
      <c r="AA2991" t="n">
        <v>503</v>
      </c>
      <c r="AB2991" t="n">
        <v>4</v>
      </c>
      <c r="AC2991" t="n">
        <v>4</v>
      </c>
      <c r="AD2991" t="n">
        <v>31</v>
      </c>
      <c r="AE2991" t="n">
        <v>33</v>
      </c>
      <c r="AF2991" t="n">
        <v>14</v>
      </c>
      <c r="AG2991" t="n">
        <v>15</v>
      </c>
      <c r="AH2991" t="n">
        <v>7</v>
      </c>
      <c r="AI2991" t="n">
        <v>8</v>
      </c>
      <c r="AJ2991" t="n">
        <v>18</v>
      </c>
      <c r="AK2991" t="n">
        <v>19</v>
      </c>
      <c r="AL2991" t="n">
        <v>1</v>
      </c>
      <c r="AM2991" t="n">
        <v>1</v>
      </c>
      <c r="AN2991" t="n">
        <v>0</v>
      </c>
      <c r="AO2991" t="n">
        <v>0</v>
      </c>
      <c r="AP2991" t="inlineStr">
        <is>
          <t>Yes</t>
        </is>
      </c>
      <c r="AQ2991" t="inlineStr">
        <is>
          <t>No</t>
        </is>
      </c>
      <c r="AR2991">
        <f>HYPERLINK("http://catalog.hathitrust.org/Record/000867126","HathiTrust Record")</f>
        <v/>
      </c>
      <c r="AS2991">
        <f>HYPERLINK("https://creighton-primo.hosted.exlibrisgroup.com/primo-explore/search?tab=default_tab&amp;search_scope=EVERYTHING&amp;vid=01CRU&amp;lang=en_US&amp;offset=0&amp;query=any,contains,991001339799702656","Catalog Record")</f>
        <v/>
      </c>
      <c r="AT2991">
        <f>HYPERLINK("http://www.worldcat.org/oclc/1017058","WorldCat Record")</f>
        <v/>
      </c>
      <c r="AU2991" t="inlineStr">
        <is>
          <t>10792562986:eng</t>
        </is>
      </c>
      <c r="AV2991" t="inlineStr">
        <is>
          <t>1017058</t>
        </is>
      </c>
      <c r="AW2991" t="inlineStr">
        <is>
          <t>991001339799702656</t>
        </is>
      </c>
      <c r="AX2991" t="inlineStr">
        <is>
          <t>991001339799702656</t>
        </is>
      </c>
      <c r="AY2991" t="inlineStr">
        <is>
          <t>2259443060002656</t>
        </is>
      </c>
      <c r="AZ2991" t="inlineStr">
        <is>
          <t>BOOK</t>
        </is>
      </c>
      <c r="BC2991" t="inlineStr">
        <is>
          <t>32285003385514</t>
        </is>
      </c>
      <c r="BD2991" t="inlineStr">
        <is>
          <t>893256185</t>
        </is>
      </c>
    </row>
    <row r="2992">
      <c r="A2992" t="inlineStr">
        <is>
          <t>No</t>
        </is>
      </c>
      <c r="B2992" t="inlineStr">
        <is>
          <t>BX841 .C25</t>
        </is>
      </c>
      <c r="C2992" t="inlineStr">
        <is>
          <t>0                      BX 0841000C  25</t>
        </is>
      </c>
      <c r="D2992"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92" t="inlineStr">
        <is>
          <t>V. 10</t>
        </is>
      </c>
      <c r="F2992" t="inlineStr">
        <is>
          <t>Yes</t>
        </is>
      </c>
      <c r="G2992" t="inlineStr">
        <is>
          <t>1</t>
        </is>
      </c>
      <c r="H2992" t="inlineStr">
        <is>
          <t>Yes</t>
        </is>
      </c>
      <c r="I2992" t="inlineStr">
        <is>
          <t>No</t>
        </is>
      </c>
      <c r="J2992" t="inlineStr">
        <is>
          <t>0</t>
        </is>
      </c>
      <c r="L2992" t="inlineStr">
        <is>
          <t>New York : Appleton, [1907-12]</t>
        </is>
      </c>
      <c r="M2992" t="inlineStr">
        <is>
          <t>1907</t>
        </is>
      </c>
      <c r="O2992" t="inlineStr">
        <is>
          <t>eng</t>
        </is>
      </c>
      <c r="P2992" t="inlineStr">
        <is>
          <t>nyu</t>
        </is>
      </c>
      <c r="R2992" t="inlineStr">
        <is>
          <t xml:space="preserve">BX </t>
        </is>
      </c>
      <c r="S2992" t="n">
        <v>2</v>
      </c>
      <c r="T2992" t="n">
        <v>32</v>
      </c>
      <c r="V2992" t="inlineStr">
        <is>
          <t>2001-10-25</t>
        </is>
      </c>
      <c r="W2992" t="inlineStr">
        <is>
          <t>1998-04-08</t>
        </is>
      </c>
      <c r="X2992" t="inlineStr">
        <is>
          <t>2000-05-08</t>
        </is>
      </c>
      <c r="Y2992" t="n">
        <v>539</v>
      </c>
      <c r="Z2992" t="n">
        <v>476</v>
      </c>
      <c r="AA2992" t="n">
        <v>503</v>
      </c>
      <c r="AB2992" t="n">
        <v>4</v>
      </c>
      <c r="AC2992" t="n">
        <v>4</v>
      </c>
      <c r="AD2992" t="n">
        <v>31</v>
      </c>
      <c r="AE2992" t="n">
        <v>33</v>
      </c>
      <c r="AF2992" t="n">
        <v>14</v>
      </c>
      <c r="AG2992" t="n">
        <v>15</v>
      </c>
      <c r="AH2992" t="n">
        <v>7</v>
      </c>
      <c r="AI2992" t="n">
        <v>8</v>
      </c>
      <c r="AJ2992" t="n">
        <v>18</v>
      </c>
      <c r="AK2992" t="n">
        <v>19</v>
      </c>
      <c r="AL2992" t="n">
        <v>1</v>
      </c>
      <c r="AM2992" t="n">
        <v>1</v>
      </c>
      <c r="AN2992" t="n">
        <v>0</v>
      </c>
      <c r="AO2992" t="n">
        <v>0</v>
      </c>
      <c r="AP2992" t="inlineStr">
        <is>
          <t>Yes</t>
        </is>
      </c>
      <c r="AQ2992" t="inlineStr">
        <is>
          <t>No</t>
        </is>
      </c>
      <c r="AR2992">
        <f>HYPERLINK("http://catalog.hathitrust.org/Record/000867126","HathiTrust Record")</f>
        <v/>
      </c>
      <c r="AS2992">
        <f>HYPERLINK("https://creighton-primo.hosted.exlibrisgroup.com/primo-explore/search?tab=default_tab&amp;search_scope=EVERYTHING&amp;vid=01CRU&amp;lang=en_US&amp;offset=0&amp;query=any,contains,991001339799702656","Catalog Record")</f>
        <v/>
      </c>
      <c r="AT2992">
        <f>HYPERLINK("http://www.worldcat.org/oclc/1017058","WorldCat Record")</f>
        <v/>
      </c>
      <c r="AU2992" t="inlineStr">
        <is>
          <t>10792562986:eng</t>
        </is>
      </c>
      <c r="AV2992" t="inlineStr">
        <is>
          <t>1017058</t>
        </is>
      </c>
      <c r="AW2992" t="inlineStr">
        <is>
          <t>991001339799702656</t>
        </is>
      </c>
      <c r="AX2992" t="inlineStr">
        <is>
          <t>991001339799702656</t>
        </is>
      </c>
      <c r="AY2992" t="inlineStr">
        <is>
          <t>2259443060002656</t>
        </is>
      </c>
      <c r="AZ2992" t="inlineStr">
        <is>
          <t>BOOK</t>
        </is>
      </c>
      <c r="BC2992" t="inlineStr">
        <is>
          <t>32285003385456</t>
        </is>
      </c>
      <c r="BD2992" t="inlineStr">
        <is>
          <t>893244052</t>
        </is>
      </c>
    </row>
    <row r="2993">
      <c r="A2993" t="inlineStr">
        <is>
          <t>No</t>
        </is>
      </c>
      <c r="B2993" t="inlineStr">
        <is>
          <t>BX841 .C25</t>
        </is>
      </c>
      <c r="C2993" t="inlineStr">
        <is>
          <t>0                      BX 0841000C  25</t>
        </is>
      </c>
      <c r="D2993"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93" t="inlineStr">
        <is>
          <t>V. 15</t>
        </is>
      </c>
      <c r="F2993" t="inlineStr">
        <is>
          <t>Yes</t>
        </is>
      </c>
      <c r="G2993" t="inlineStr">
        <is>
          <t>1</t>
        </is>
      </c>
      <c r="H2993" t="inlineStr">
        <is>
          <t>Yes</t>
        </is>
      </c>
      <c r="I2993" t="inlineStr">
        <is>
          <t>No</t>
        </is>
      </c>
      <c r="J2993" t="inlineStr">
        <is>
          <t>0</t>
        </is>
      </c>
      <c r="L2993" t="inlineStr">
        <is>
          <t>New York : Appleton, [1907-12]</t>
        </is>
      </c>
      <c r="M2993" t="inlineStr">
        <is>
          <t>1907</t>
        </is>
      </c>
      <c r="O2993" t="inlineStr">
        <is>
          <t>eng</t>
        </is>
      </c>
      <c r="P2993" t="inlineStr">
        <is>
          <t>nyu</t>
        </is>
      </c>
      <c r="R2993" t="inlineStr">
        <is>
          <t xml:space="preserve">BX </t>
        </is>
      </c>
      <c r="S2993" t="n">
        <v>6</v>
      </c>
      <c r="T2993" t="n">
        <v>32</v>
      </c>
      <c r="V2993" t="inlineStr">
        <is>
          <t>2001-10-25</t>
        </is>
      </c>
      <c r="W2993" t="inlineStr">
        <is>
          <t>1998-04-08</t>
        </is>
      </c>
      <c r="X2993" t="inlineStr">
        <is>
          <t>2000-05-08</t>
        </is>
      </c>
      <c r="Y2993" t="n">
        <v>539</v>
      </c>
      <c r="Z2993" t="n">
        <v>476</v>
      </c>
      <c r="AA2993" t="n">
        <v>503</v>
      </c>
      <c r="AB2993" t="n">
        <v>4</v>
      </c>
      <c r="AC2993" t="n">
        <v>4</v>
      </c>
      <c r="AD2993" t="n">
        <v>31</v>
      </c>
      <c r="AE2993" t="n">
        <v>33</v>
      </c>
      <c r="AF2993" t="n">
        <v>14</v>
      </c>
      <c r="AG2993" t="n">
        <v>15</v>
      </c>
      <c r="AH2993" t="n">
        <v>7</v>
      </c>
      <c r="AI2993" t="n">
        <v>8</v>
      </c>
      <c r="AJ2993" t="n">
        <v>18</v>
      </c>
      <c r="AK2993" t="n">
        <v>19</v>
      </c>
      <c r="AL2993" t="n">
        <v>1</v>
      </c>
      <c r="AM2993" t="n">
        <v>1</v>
      </c>
      <c r="AN2993" t="n">
        <v>0</v>
      </c>
      <c r="AO2993" t="n">
        <v>0</v>
      </c>
      <c r="AP2993" t="inlineStr">
        <is>
          <t>Yes</t>
        </is>
      </c>
      <c r="AQ2993" t="inlineStr">
        <is>
          <t>No</t>
        </is>
      </c>
      <c r="AR2993">
        <f>HYPERLINK("http://catalog.hathitrust.org/Record/000867126","HathiTrust Record")</f>
        <v/>
      </c>
      <c r="AS2993">
        <f>HYPERLINK("https://creighton-primo.hosted.exlibrisgroup.com/primo-explore/search?tab=default_tab&amp;search_scope=EVERYTHING&amp;vid=01CRU&amp;lang=en_US&amp;offset=0&amp;query=any,contains,991001339799702656","Catalog Record")</f>
        <v/>
      </c>
      <c r="AT2993">
        <f>HYPERLINK("http://www.worldcat.org/oclc/1017058","WorldCat Record")</f>
        <v/>
      </c>
      <c r="AU2993" t="inlineStr">
        <is>
          <t>10792562986:eng</t>
        </is>
      </c>
      <c r="AV2993" t="inlineStr">
        <is>
          <t>1017058</t>
        </is>
      </c>
      <c r="AW2993" t="inlineStr">
        <is>
          <t>991001339799702656</t>
        </is>
      </c>
      <c r="AX2993" t="inlineStr">
        <is>
          <t>991001339799702656</t>
        </is>
      </c>
      <c r="AY2993" t="inlineStr">
        <is>
          <t>2259443060002656</t>
        </is>
      </c>
      <c r="AZ2993" t="inlineStr">
        <is>
          <t>BOOK</t>
        </is>
      </c>
      <c r="BC2993" t="inlineStr">
        <is>
          <t>32285003385506</t>
        </is>
      </c>
      <c r="BD2993" t="inlineStr">
        <is>
          <t>893250171</t>
        </is>
      </c>
    </row>
    <row r="2994">
      <c r="A2994" t="inlineStr">
        <is>
          <t>No</t>
        </is>
      </c>
      <c r="B2994" t="inlineStr">
        <is>
          <t>BX841 .C25</t>
        </is>
      </c>
      <c r="C2994" t="inlineStr">
        <is>
          <t>0                      BX 0841000C  25</t>
        </is>
      </c>
      <c r="D2994"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94" t="inlineStr">
        <is>
          <t>V. 6</t>
        </is>
      </c>
      <c r="F2994" t="inlineStr">
        <is>
          <t>Yes</t>
        </is>
      </c>
      <c r="G2994" t="inlineStr">
        <is>
          <t>1</t>
        </is>
      </c>
      <c r="H2994" t="inlineStr">
        <is>
          <t>Yes</t>
        </is>
      </c>
      <c r="I2994" t="inlineStr">
        <is>
          <t>No</t>
        </is>
      </c>
      <c r="J2994" t="inlineStr">
        <is>
          <t>0</t>
        </is>
      </c>
      <c r="L2994" t="inlineStr">
        <is>
          <t>New York : Appleton, [1907-12]</t>
        </is>
      </c>
      <c r="M2994" t="inlineStr">
        <is>
          <t>1907</t>
        </is>
      </c>
      <c r="O2994" t="inlineStr">
        <is>
          <t>eng</t>
        </is>
      </c>
      <c r="P2994" t="inlineStr">
        <is>
          <t>nyu</t>
        </is>
      </c>
      <c r="R2994" t="inlineStr">
        <is>
          <t xml:space="preserve">BX </t>
        </is>
      </c>
      <c r="S2994" t="n">
        <v>2</v>
      </c>
      <c r="T2994" t="n">
        <v>32</v>
      </c>
      <c r="V2994" t="inlineStr">
        <is>
          <t>2001-10-25</t>
        </is>
      </c>
      <c r="W2994" t="inlineStr">
        <is>
          <t>1998-04-08</t>
        </is>
      </c>
      <c r="X2994" t="inlineStr">
        <is>
          <t>2000-05-08</t>
        </is>
      </c>
      <c r="Y2994" t="n">
        <v>539</v>
      </c>
      <c r="Z2994" t="n">
        <v>476</v>
      </c>
      <c r="AA2994" t="n">
        <v>503</v>
      </c>
      <c r="AB2994" t="n">
        <v>4</v>
      </c>
      <c r="AC2994" t="n">
        <v>4</v>
      </c>
      <c r="AD2994" t="n">
        <v>31</v>
      </c>
      <c r="AE2994" t="n">
        <v>33</v>
      </c>
      <c r="AF2994" t="n">
        <v>14</v>
      </c>
      <c r="AG2994" t="n">
        <v>15</v>
      </c>
      <c r="AH2994" t="n">
        <v>7</v>
      </c>
      <c r="AI2994" t="n">
        <v>8</v>
      </c>
      <c r="AJ2994" t="n">
        <v>18</v>
      </c>
      <c r="AK2994" t="n">
        <v>19</v>
      </c>
      <c r="AL2994" t="n">
        <v>1</v>
      </c>
      <c r="AM2994" t="n">
        <v>1</v>
      </c>
      <c r="AN2994" t="n">
        <v>0</v>
      </c>
      <c r="AO2994" t="n">
        <v>0</v>
      </c>
      <c r="AP2994" t="inlineStr">
        <is>
          <t>Yes</t>
        </is>
      </c>
      <c r="AQ2994" t="inlineStr">
        <is>
          <t>No</t>
        </is>
      </c>
      <c r="AR2994">
        <f>HYPERLINK("http://catalog.hathitrust.org/Record/000867126","HathiTrust Record")</f>
        <v/>
      </c>
      <c r="AS2994">
        <f>HYPERLINK("https://creighton-primo.hosted.exlibrisgroup.com/primo-explore/search?tab=default_tab&amp;search_scope=EVERYTHING&amp;vid=01CRU&amp;lang=en_US&amp;offset=0&amp;query=any,contains,991001339799702656","Catalog Record")</f>
        <v/>
      </c>
      <c r="AT2994">
        <f>HYPERLINK("http://www.worldcat.org/oclc/1017058","WorldCat Record")</f>
        <v/>
      </c>
      <c r="AU2994" t="inlineStr">
        <is>
          <t>10792562986:eng</t>
        </is>
      </c>
      <c r="AV2994" t="inlineStr">
        <is>
          <t>1017058</t>
        </is>
      </c>
      <c r="AW2994" t="inlineStr">
        <is>
          <t>991001339799702656</t>
        </is>
      </c>
      <c r="AX2994" t="inlineStr">
        <is>
          <t>991001339799702656</t>
        </is>
      </c>
      <c r="AY2994" t="inlineStr">
        <is>
          <t>2259443060002656</t>
        </is>
      </c>
      <c r="AZ2994" t="inlineStr">
        <is>
          <t>BOOK</t>
        </is>
      </c>
      <c r="BC2994" t="inlineStr">
        <is>
          <t>32285003385449</t>
        </is>
      </c>
      <c r="BD2994" t="inlineStr">
        <is>
          <t>893244053</t>
        </is>
      </c>
    </row>
    <row r="2995">
      <c r="A2995" t="inlineStr">
        <is>
          <t>No</t>
        </is>
      </c>
      <c r="B2995" t="inlineStr">
        <is>
          <t>BX841 .C25</t>
        </is>
      </c>
      <c r="C2995" t="inlineStr">
        <is>
          <t>0                      BX 0841000C  25</t>
        </is>
      </c>
      <c r="D2995"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95" t="inlineStr">
        <is>
          <t>V. 12</t>
        </is>
      </c>
      <c r="F2995" t="inlineStr">
        <is>
          <t>Yes</t>
        </is>
      </c>
      <c r="G2995" t="inlineStr">
        <is>
          <t>1</t>
        </is>
      </c>
      <c r="H2995" t="inlineStr">
        <is>
          <t>Yes</t>
        </is>
      </c>
      <c r="I2995" t="inlineStr">
        <is>
          <t>No</t>
        </is>
      </c>
      <c r="J2995" t="inlineStr">
        <is>
          <t>0</t>
        </is>
      </c>
      <c r="L2995" t="inlineStr">
        <is>
          <t>New York : Appleton, [1907-12]</t>
        </is>
      </c>
      <c r="M2995" t="inlineStr">
        <is>
          <t>1907</t>
        </is>
      </c>
      <c r="O2995" t="inlineStr">
        <is>
          <t>eng</t>
        </is>
      </c>
      <c r="P2995" t="inlineStr">
        <is>
          <t>nyu</t>
        </is>
      </c>
      <c r="R2995" t="inlineStr">
        <is>
          <t xml:space="preserve">BX </t>
        </is>
      </c>
      <c r="S2995" t="n">
        <v>0</v>
      </c>
      <c r="T2995" t="n">
        <v>32</v>
      </c>
      <c r="V2995" t="inlineStr">
        <is>
          <t>2001-10-25</t>
        </is>
      </c>
      <c r="W2995" t="inlineStr">
        <is>
          <t>1998-04-08</t>
        </is>
      </c>
      <c r="X2995" t="inlineStr">
        <is>
          <t>2000-05-08</t>
        </is>
      </c>
      <c r="Y2995" t="n">
        <v>539</v>
      </c>
      <c r="Z2995" t="n">
        <v>476</v>
      </c>
      <c r="AA2995" t="n">
        <v>503</v>
      </c>
      <c r="AB2995" t="n">
        <v>4</v>
      </c>
      <c r="AC2995" t="n">
        <v>4</v>
      </c>
      <c r="AD2995" t="n">
        <v>31</v>
      </c>
      <c r="AE2995" t="n">
        <v>33</v>
      </c>
      <c r="AF2995" t="n">
        <v>14</v>
      </c>
      <c r="AG2995" t="n">
        <v>15</v>
      </c>
      <c r="AH2995" t="n">
        <v>7</v>
      </c>
      <c r="AI2995" t="n">
        <v>8</v>
      </c>
      <c r="AJ2995" t="n">
        <v>18</v>
      </c>
      <c r="AK2995" t="n">
        <v>19</v>
      </c>
      <c r="AL2995" t="n">
        <v>1</v>
      </c>
      <c r="AM2995" t="n">
        <v>1</v>
      </c>
      <c r="AN2995" t="n">
        <v>0</v>
      </c>
      <c r="AO2995" t="n">
        <v>0</v>
      </c>
      <c r="AP2995" t="inlineStr">
        <is>
          <t>Yes</t>
        </is>
      </c>
      <c r="AQ2995" t="inlineStr">
        <is>
          <t>No</t>
        </is>
      </c>
      <c r="AR2995">
        <f>HYPERLINK("http://catalog.hathitrust.org/Record/000867126","HathiTrust Record")</f>
        <v/>
      </c>
      <c r="AS2995">
        <f>HYPERLINK("https://creighton-primo.hosted.exlibrisgroup.com/primo-explore/search?tab=default_tab&amp;search_scope=EVERYTHING&amp;vid=01CRU&amp;lang=en_US&amp;offset=0&amp;query=any,contains,991001339799702656","Catalog Record")</f>
        <v/>
      </c>
      <c r="AT2995">
        <f>HYPERLINK("http://www.worldcat.org/oclc/1017058","WorldCat Record")</f>
        <v/>
      </c>
      <c r="AU2995" t="inlineStr">
        <is>
          <t>10792562986:eng</t>
        </is>
      </c>
      <c r="AV2995" t="inlineStr">
        <is>
          <t>1017058</t>
        </is>
      </c>
      <c r="AW2995" t="inlineStr">
        <is>
          <t>991001339799702656</t>
        </is>
      </c>
      <c r="AX2995" t="inlineStr">
        <is>
          <t>991001339799702656</t>
        </is>
      </c>
      <c r="AY2995" t="inlineStr">
        <is>
          <t>2259443060002656</t>
        </is>
      </c>
      <c r="AZ2995" t="inlineStr">
        <is>
          <t>BOOK</t>
        </is>
      </c>
      <c r="BC2995" t="inlineStr">
        <is>
          <t>32285003385472</t>
        </is>
      </c>
      <c r="BD2995" t="inlineStr">
        <is>
          <t>893244049</t>
        </is>
      </c>
    </row>
    <row r="2996">
      <c r="A2996" t="inlineStr">
        <is>
          <t>No</t>
        </is>
      </c>
      <c r="B2996" t="inlineStr">
        <is>
          <t>BX841 .C25</t>
        </is>
      </c>
      <c r="C2996" t="inlineStr">
        <is>
          <t>0                      BX 0841000C  25</t>
        </is>
      </c>
      <c r="D2996"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96" t="inlineStr">
        <is>
          <t>V. 18 PT. 1</t>
        </is>
      </c>
      <c r="F2996" t="inlineStr">
        <is>
          <t>Yes</t>
        </is>
      </c>
      <c r="G2996" t="inlineStr">
        <is>
          <t>1</t>
        </is>
      </c>
      <c r="H2996" t="inlineStr">
        <is>
          <t>No</t>
        </is>
      </c>
      <c r="I2996" t="inlineStr">
        <is>
          <t>No</t>
        </is>
      </c>
      <c r="J2996" t="inlineStr">
        <is>
          <t>0</t>
        </is>
      </c>
      <c r="L2996" t="inlineStr">
        <is>
          <t>New York : Appleton, [1907-12]</t>
        </is>
      </c>
      <c r="M2996" t="inlineStr">
        <is>
          <t>1907</t>
        </is>
      </c>
      <c r="O2996" t="inlineStr">
        <is>
          <t>eng</t>
        </is>
      </c>
      <c r="P2996" t="inlineStr">
        <is>
          <t>nyu</t>
        </is>
      </c>
      <c r="R2996" t="inlineStr">
        <is>
          <t xml:space="preserve">BX </t>
        </is>
      </c>
      <c r="S2996" t="n">
        <v>0</v>
      </c>
      <c r="T2996" t="n">
        <v>32</v>
      </c>
      <c r="V2996" t="inlineStr">
        <is>
          <t>2001-10-25</t>
        </is>
      </c>
      <c r="W2996" t="inlineStr">
        <is>
          <t>1998-04-08</t>
        </is>
      </c>
      <c r="X2996" t="inlineStr">
        <is>
          <t>2000-05-08</t>
        </is>
      </c>
      <c r="Y2996" t="n">
        <v>539</v>
      </c>
      <c r="Z2996" t="n">
        <v>476</v>
      </c>
      <c r="AA2996" t="n">
        <v>503</v>
      </c>
      <c r="AB2996" t="n">
        <v>4</v>
      </c>
      <c r="AC2996" t="n">
        <v>4</v>
      </c>
      <c r="AD2996" t="n">
        <v>31</v>
      </c>
      <c r="AE2996" t="n">
        <v>33</v>
      </c>
      <c r="AF2996" t="n">
        <v>14</v>
      </c>
      <c r="AG2996" t="n">
        <v>15</v>
      </c>
      <c r="AH2996" t="n">
        <v>7</v>
      </c>
      <c r="AI2996" t="n">
        <v>8</v>
      </c>
      <c r="AJ2996" t="n">
        <v>18</v>
      </c>
      <c r="AK2996" t="n">
        <v>19</v>
      </c>
      <c r="AL2996" t="n">
        <v>1</v>
      </c>
      <c r="AM2996" t="n">
        <v>1</v>
      </c>
      <c r="AN2996" t="n">
        <v>0</v>
      </c>
      <c r="AO2996" t="n">
        <v>0</v>
      </c>
      <c r="AP2996" t="inlineStr">
        <is>
          <t>Yes</t>
        </is>
      </c>
      <c r="AQ2996" t="inlineStr">
        <is>
          <t>No</t>
        </is>
      </c>
      <c r="AR2996">
        <f>HYPERLINK("http://catalog.hathitrust.org/Record/000867126","HathiTrust Record")</f>
        <v/>
      </c>
      <c r="AS2996">
        <f>HYPERLINK("https://creighton-primo.hosted.exlibrisgroup.com/primo-explore/search?tab=default_tab&amp;search_scope=EVERYTHING&amp;vid=01CRU&amp;lang=en_US&amp;offset=0&amp;query=any,contains,991001339799702656","Catalog Record")</f>
        <v/>
      </c>
      <c r="AT2996">
        <f>HYPERLINK("http://www.worldcat.org/oclc/1017058","WorldCat Record")</f>
        <v/>
      </c>
      <c r="AU2996" t="inlineStr">
        <is>
          <t>10792562986:eng</t>
        </is>
      </c>
      <c r="AV2996" t="inlineStr">
        <is>
          <t>1017058</t>
        </is>
      </c>
      <c r="AW2996" t="inlineStr">
        <is>
          <t>991001339799702656</t>
        </is>
      </c>
      <c r="AX2996" t="inlineStr">
        <is>
          <t>991001339799702656</t>
        </is>
      </c>
      <c r="AY2996" t="inlineStr">
        <is>
          <t>2259443060002656</t>
        </is>
      </c>
      <c r="AZ2996" t="inlineStr">
        <is>
          <t>BOOK</t>
        </is>
      </c>
      <c r="BC2996" t="inlineStr">
        <is>
          <t>32285003385530</t>
        </is>
      </c>
      <c r="BD2996" t="inlineStr">
        <is>
          <t>893250173</t>
        </is>
      </c>
    </row>
    <row r="2997">
      <c r="A2997" t="inlineStr">
        <is>
          <t>No</t>
        </is>
      </c>
      <c r="B2997" t="inlineStr">
        <is>
          <t>BX841 .C25</t>
        </is>
      </c>
      <c r="C2997" t="inlineStr">
        <is>
          <t>0                      BX 0841000C  25</t>
        </is>
      </c>
      <c r="D2997"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97" t="inlineStr">
        <is>
          <t>V. 14</t>
        </is>
      </c>
      <c r="F2997" t="inlineStr">
        <is>
          <t>Yes</t>
        </is>
      </c>
      <c r="G2997" t="inlineStr">
        <is>
          <t>1</t>
        </is>
      </c>
      <c r="H2997" t="inlineStr">
        <is>
          <t>Yes</t>
        </is>
      </c>
      <c r="I2997" t="inlineStr">
        <is>
          <t>No</t>
        </is>
      </c>
      <c r="J2997" t="inlineStr">
        <is>
          <t>0</t>
        </is>
      </c>
      <c r="L2997" t="inlineStr">
        <is>
          <t>New York : Appleton, [1907-12]</t>
        </is>
      </c>
      <c r="M2997" t="inlineStr">
        <is>
          <t>1907</t>
        </is>
      </c>
      <c r="O2997" t="inlineStr">
        <is>
          <t>eng</t>
        </is>
      </c>
      <c r="P2997" t="inlineStr">
        <is>
          <t>nyu</t>
        </is>
      </c>
      <c r="R2997" t="inlineStr">
        <is>
          <t xml:space="preserve">BX </t>
        </is>
      </c>
      <c r="S2997" t="n">
        <v>3</v>
      </c>
      <c r="T2997" t="n">
        <v>32</v>
      </c>
      <c r="U2997" t="inlineStr">
        <is>
          <t>2001-10-25</t>
        </is>
      </c>
      <c r="V2997" t="inlineStr">
        <is>
          <t>2001-10-25</t>
        </is>
      </c>
      <c r="W2997" t="inlineStr">
        <is>
          <t>1998-04-08</t>
        </is>
      </c>
      <c r="X2997" t="inlineStr">
        <is>
          <t>2000-05-08</t>
        </is>
      </c>
      <c r="Y2997" t="n">
        <v>539</v>
      </c>
      <c r="Z2997" t="n">
        <v>476</v>
      </c>
      <c r="AA2997" t="n">
        <v>503</v>
      </c>
      <c r="AB2997" t="n">
        <v>4</v>
      </c>
      <c r="AC2997" t="n">
        <v>4</v>
      </c>
      <c r="AD2997" t="n">
        <v>31</v>
      </c>
      <c r="AE2997" t="n">
        <v>33</v>
      </c>
      <c r="AF2997" t="n">
        <v>14</v>
      </c>
      <c r="AG2997" t="n">
        <v>15</v>
      </c>
      <c r="AH2997" t="n">
        <v>7</v>
      </c>
      <c r="AI2997" t="n">
        <v>8</v>
      </c>
      <c r="AJ2997" t="n">
        <v>18</v>
      </c>
      <c r="AK2997" t="n">
        <v>19</v>
      </c>
      <c r="AL2997" t="n">
        <v>1</v>
      </c>
      <c r="AM2997" t="n">
        <v>1</v>
      </c>
      <c r="AN2997" t="n">
        <v>0</v>
      </c>
      <c r="AO2997" t="n">
        <v>0</v>
      </c>
      <c r="AP2997" t="inlineStr">
        <is>
          <t>Yes</t>
        </is>
      </c>
      <c r="AQ2997" t="inlineStr">
        <is>
          <t>No</t>
        </is>
      </c>
      <c r="AR2997">
        <f>HYPERLINK("http://catalog.hathitrust.org/Record/000867126","HathiTrust Record")</f>
        <v/>
      </c>
      <c r="AS2997">
        <f>HYPERLINK("https://creighton-primo.hosted.exlibrisgroup.com/primo-explore/search?tab=default_tab&amp;search_scope=EVERYTHING&amp;vid=01CRU&amp;lang=en_US&amp;offset=0&amp;query=any,contains,991001339799702656","Catalog Record")</f>
        <v/>
      </c>
      <c r="AT2997">
        <f>HYPERLINK("http://www.worldcat.org/oclc/1017058","WorldCat Record")</f>
        <v/>
      </c>
      <c r="AU2997" t="inlineStr">
        <is>
          <t>10792562986:eng</t>
        </is>
      </c>
      <c r="AV2997" t="inlineStr">
        <is>
          <t>1017058</t>
        </is>
      </c>
      <c r="AW2997" t="inlineStr">
        <is>
          <t>991001339799702656</t>
        </is>
      </c>
      <c r="AX2997" t="inlineStr">
        <is>
          <t>991001339799702656</t>
        </is>
      </c>
      <c r="AY2997" t="inlineStr">
        <is>
          <t>2259443060002656</t>
        </is>
      </c>
      <c r="AZ2997" t="inlineStr">
        <is>
          <t>BOOK</t>
        </is>
      </c>
      <c r="BC2997" t="inlineStr">
        <is>
          <t>32285003385498</t>
        </is>
      </c>
      <c r="BD2997" t="inlineStr">
        <is>
          <t>893250172</t>
        </is>
      </c>
    </row>
    <row r="2998">
      <c r="A2998" t="inlineStr">
        <is>
          <t>No</t>
        </is>
      </c>
      <c r="B2998" t="inlineStr">
        <is>
          <t>BX841 .C25</t>
        </is>
      </c>
      <c r="C2998" t="inlineStr">
        <is>
          <t>0                      BX 0841000C  25</t>
        </is>
      </c>
      <c r="D2998"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98" t="inlineStr">
        <is>
          <t>V. 17</t>
        </is>
      </c>
      <c r="F2998" t="inlineStr">
        <is>
          <t>Yes</t>
        </is>
      </c>
      <c r="G2998" t="inlineStr">
        <is>
          <t>1</t>
        </is>
      </c>
      <c r="H2998" t="inlineStr">
        <is>
          <t>Yes</t>
        </is>
      </c>
      <c r="I2998" t="inlineStr">
        <is>
          <t>No</t>
        </is>
      </c>
      <c r="J2998" t="inlineStr">
        <is>
          <t>0</t>
        </is>
      </c>
      <c r="L2998" t="inlineStr">
        <is>
          <t>New York : Appleton, [1907-12]</t>
        </is>
      </c>
      <c r="M2998" t="inlineStr">
        <is>
          <t>1907</t>
        </is>
      </c>
      <c r="O2998" t="inlineStr">
        <is>
          <t>eng</t>
        </is>
      </c>
      <c r="P2998" t="inlineStr">
        <is>
          <t>nyu</t>
        </is>
      </c>
      <c r="R2998" t="inlineStr">
        <is>
          <t xml:space="preserve">BX </t>
        </is>
      </c>
      <c r="S2998" t="n">
        <v>0</v>
      </c>
      <c r="T2998" t="n">
        <v>32</v>
      </c>
      <c r="V2998" t="inlineStr">
        <is>
          <t>2001-10-25</t>
        </is>
      </c>
      <c r="W2998" t="inlineStr">
        <is>
          <t>1998-04-08</t>
        </is>
      </c>
      <c r="X2998" t="inlineStr">
        <is>
          <t>2000-05-08</t>
        </is>
      </c>
      <c r="Y2998" t="n">
        <v>539</v>
      </c>
      <c r="Z2998" t="n">
        <v>476</v>
      </c>
      <c r="AA2998" t="n">
        <v>503</v>
      </c>
      <c r="AB2998" t="n">
        <v>4</v>
      </c>
      <c r="AC2998" t="n">
        <v>4</v>
      </c>
      <c r="AD2998" t="n">
        <v>31</v>
      </c>
      <c r="AE2998" t="n">
        <v>33</v>
      </c>
      <c r="AF2998" t="n">
        <v>14</v>
      </c>
      <c r="AG2998" t="n">
        <v>15</v>
      </c>
      <c r="AH2998" t="n">
        <v>7</v>
      </c>
      <c r="AI2998" t="n">
        <v>8</v>
      </c>
      <c r="AJ2998" t="n">
        <v>18</v>
      </c>
      <c r="AK2998" t="n">
        <v>19</v>
      </c>
      <c r="AL2998" t="n">
        <v>1</v>
      </c>
      <c r="AM2998" t="n">
        <v>1</v>
      </c>
      <c r="AN2998" t="n">
        <v>0</v>
      </c>
      <c r="AO2998" t="n">
        <v>0</v>
      </c>
      <c r="AP2998" t="inlineStr">
        <is>
          <t>Yes</t>
        </is>
      </c>
      <c r="AQ2998" t="inlineStr">
        <is>
          <t>No</t>
        </is>
      </c>
      <c r="AR2998">
        <f>HYPERLINK("http://catalog.hathitrust.org/Record/000867126","HathiTrust Record")</f>
        <v/>
      </c>
      <c r="AS2998">
        <f>HYPERLINK("https://creighton-primo.hosted.exlibrisgroup.com/primo-explore/search?tab=default_tab&amp;search_scope=EVERYTHING&amp;vid=01CRU&amp;lang=en_US&amp;offset=0&amp;query=any,contains,991001339799702656","Catalog Record")</f>
        <v/>
      </c>
      <c r="AT2998">
        <f>HYPERLINK("http://www.worldcat.org/oclc/1017058","WorldCat Record")</f>
        <v/>
      </c>
      <c r="AU2998" t="inlineStr">
        <is>
          <t>10792562986:eng</t>
        </is>
      </c>
      <c r="AV2998" t="inlineStr">
        <is>
          <t>1017058</t>
        </is>
      </c>
      <c r="AW2998" t="inlineStr">
        <is>
          <t>991001339799702656</t>
        </is>
      </c>
      <c r="AX2998" t="inlineStr">
        <is>
          <t>991001339799702656</t>
        </is>
      </c>
      <c r="AY2998" t="inlineStr">
        <is>
          <t>2259443060002656</t>
        </is>
      </c>
      <c r="AZ2998" t="inlineStr">
        <is>
          <t>BOOK</t>
        </is>
      </c>
      <c r="BC2998" t="inlineStr">
        <is>
          <t>32285003385522</t>
        </is>
      </c>
      <c r="BD2998" t="inlineStr">
        <is>
          <t>893244048</t>
        </is>
      </c>
    </row>
    <row r="2999">
      <c r="A2999" t="inlineStr">
        <is>
          <t>No</t>
        </is>
      </c>
      <c r="B2999" t="inlineStr">
        <is>
          <t>BX841 .C25</t>
        </is>
      </c>
      <c r="C2999" t="inlineStr">
        <is>
          <t>0                      BX 0841000C  25</t>
        </is>
      </c>
      <c r="D2999"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2999" t="inlineStr">
        <is>
          <t>V. 4</t>
        </is>
      </c>
      <c r="F2999" t="inlineStr">
        <is>
          <t>Yes</t>
        </is>
      </c>
      <c r="G2999" t="inlineStr">
        <is>
          <t>1</t>
        </is>
      </c>
      <c r="H2999" t="inlineStr">
        <is>
          <t>Yes</t>
        </is>
      </c>
      <c r="I2999" t="inlineStr">
        <is>
          <t>No</t>
        </is>
      </c>
      <c r="J2999" t="inlineStr">
        <is>
          <t>0</t>
        </is>
      </c>
      <c r="L2999" t="inlineStr">
        <is>
          <t>New York : Appleton, [1907-12]</t>
        </is>
      </c>
      <c r="M2999" t="inlineStr">
        <is>
          <t>1907</t>
        </is>
      </c>
      <c r="O2999" t="inlineStr">
        <is>
          <t>eng</t>
        </is>
      </c>
      <c r="P2999" t="inlineStr">
        <is>
          <t>nyu</t>
        </is>
      </c>
      <c r="R2999" t="inlineStr">
        <is>
          <t xml:space="preserve">BX </t>
        </is>
      </c>
      <c r="S2999" t="n">
        <v>3</v>
      </c>
      <c r="T2999" t="n">
        <v>32</v>
      </c>
      <c r="V2999" t="inlineStr">
        <is>
          <t>2001-10-25</t>
        </is>
      </c>
      <c r="W2999" t="inlineStr">
        <is>
          <t>1998-04-08</t>
        </is>
      </c>
      <c r="X2999" t="inlineStr">
        <is>
          <t>2000-05-08</t>
        </is>
      </c>
      <c r="Y2999" t="n">
        <v>539</v>
      </c>
      <c r="Z2999" t="n">
        <v>476</v>
      </c>
      <c r="AA2999" t="n">
        <v>503</v>
      </c>
      <c r="AB2999" t="n">
        <v>4</v>
      </c>
      <c r="AC2999" t="n">
        <v>4</v>
      </c>
      <c r="AD2999" t="n">
        <v>31</v>
      </c>
      <c r="AE2999" t="n">
        <v>33</v>
      </c>
      <c r="AF2999" t="n">
        <v>14</v>
      </c>
      <c r="AG2999" t="n">
        <v>15</v>
      </c>
      <c r="AH2999" t="n">
        <v>7</v>
      </c>
      <c r="AI2999" t="n">
        <v>8</v>
      </c>
      <c r="AJ2999" t="n">
        <v>18</v>
      </c>
      <c r="AK2999" t="n">
        <v>19</v>
      </c>
      <c r="AL2999" t="n">
        <v>1</v>
      </c>
      <c r="AM2999" t="n">
        <v>1</v>
      </c>
      <c r="AN2999" t="n">
        <v>0</v>
      </c>
      <c r="AO2999" t="n">
        <v>0</v>
      </c>
      <c r="AP2999" t="inlineStr">
        <is>
          <t>Yes</t>
        </is>
      </c>
      <c r="AQ2999" t="inlineStr">
        <is>
          <t>No</t>
        </is>
      </c>
      <c r="AR2999">
        <f>HYPERLINK("http://catalog.hathitrust.org/Record/000867126","HathiTrust Record")</f>
        <v/>
      </c>
      <c r="AS2999">
        <f>HYPERLINK("https://creighton-primo.hosted.exlibrisgroup.com/primo-explore/search?tab=default_tab&amp;search_scope=EVERYTHING&amp;vid=01CRU&amp;lang=en_US&amp;offset=0&amp;query=any,contains,991001339799702656","Catalog Record")</f>
        <v/>
      </c>
      <c r="AT2999">
        <f>HYPERLINK("http://www.worldcat.org/oclc/1017058","WorldCat Record")</f>
        <v/>
      </c>
      <c r="AU2999" t="inlineStr">
        <is>
          <t>10792562986:eng</t>
        </is>
      </c>
      <c r="AV2999" t="inlineStr">
        <is>
          <t>1017058</t>
        </is>
      </c>
      <c r="AW2999" t="inlineStr">
        <is>
          <t>991001339799702656</t>
        </is>
      </c>
      <c r="AX2999" t="inlineStr">
        <is>
          <t>991001339799702656</t>
        </is>
      </c>
      <c r="AY2999" t="inlineStr">
        <is>
          <t>2259443060002656</t>
        </is>
      </c>
      <c r="AZ2999" t="inlineStr">
        <is>
          <t>BOOK</t>
        </is>
      </c>
      <c r="BC2999" t="inlineStr">
        <is>
          <t>32285003385399</t>
        </is>
      </c>
      <c r="BD2999" t="inlineStr">
        <is>
          <t>893250175</t>
        </is>
      </c>
    </row>
    <row r="3000">
      <c r="A3000" t="inlineStr">
        <is>
          <t>No</t>
        </is>
      </c>
      <c r="B3000" t="inlineStr">
        <is>
          <t>BX841 .C25</t>
        </is>
      </c>
      <c r="C3000" t="inlineStr">
        <is>
          <t>0                      BX 0841000C  25</t>
        </is>
      </c>
      <c r="D3000"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3000" t="inlineStr">
        <is>
          <t>V. 9</t>
        </is>
      </c>
      <c r="F3000" t="inlineStr">
        <is>
          <t>Yes</t>
        </is>
      </c>
      <c r="G3000" t="inlineStr">
        <is>
          <t>1</t>
        </is>
      </c>
      <c r="H3000" t="inlineStr">
        <is>
          <t>Yes</t>
        </is>
      </c>
      <c r="I3000" t="inlineStr">
        <is>
          <t>No</t>
        </is>
      </c>
      <c r="J3000" t="inlineStr">
        <is>
          <t>0</t>
        </is>
      </c>
      <c r="L3000" t="inlineStr">
        <is>
          <t>New York : Appleton, [1907-12]</t>
        </is>
      </c>
      <c r="M3000" t="inlineStr">
        <is>
          <t>1907</t>
        </is>
      </c>
      <c r="O3000" t="inlineStr">
        <is>
          <t>eng</t>
        </is>
      </c>
      <c r="P3000" t="inlineStr">
        <is>
          <t>nyu</t>
        </is>
      </c>
      <c r="R3000" t="inlineStr">
        <is>
          <t xml:space="preserve">BX </t>
        </is>
      </c>
      <c r="S3000" t="n">
        <v>3</v>
      </c>
      <c r="T3000" t="n">
        <v>32</v>
      </c>
      <c r="V3000" t="inlineStr">
        <is>
          <t>2001-10-25</t>
        </is>
      </c>
      <c r="W3000" t="inlineStr">
        <is>
          <t>1998-04-08</t>
        </is>
      </c>
      <c r="X3000" t="inlineStr">
        <is>
          <t>2000-05-08</t>
        </is>
      </c>
      <c r="Y3000" t="n">
        <v>539</v>
      </c>
      <c r="Z3000" t="n">
        <v>476</v>
      </c>
      <c r="AA3000" t="n">
        <v>503</v>
      </c>
      <c r="AB3000" t="n">
        <v>4</v>
      </c>
      <c r="AC3000" t="n">
        <v>4</v>
      </c>
      <c r="AD3000" t="n">
        <v>31</v>
      </c>
      <c r="AE3000" t="n">
        <v>33</v>
      </c>
      <c r="AF3000" t="n">
        <v>14</v>
      </c>
      <c r="AG3000" t="n">
        <v>15</v>
      </c>
      <c r="AH3000" t="n">
        <v>7</v>
      </c>
      <c r="AI3000" t="n">
        <v>8</v>
      </c>
      <c r="AJ3000" t="n">
        <v>18</v>
      </c>
      <c r="AK3000" t="n">
        <v>19</v>
      </c>
      <c r="AL3000" t="n">
        <v>1</v>
      </c>
      <c r="AM3000" t="n">
        <v>1</v>
      </c>
      <c r="AN3000" t="n">
        <v>0</v>
      </c>
      <c r="AO3000" t="n">
        <v>0</v>
      </c>
      <c r="AP3000" t="inlineStr">
        <is>
          <t>Yes</t>
        </is>
      </c>
      <c r="AQ3000" t="inlineStr">
        <is>
          <t>No</t>
        </is>
      </c>
      <c r="AR3000">
        <f>HYPERLINK("http://catalog.hathitrust.org/Record/000867126","HathiTrust Record")</f>
        <v/>
      </c>
      <c r="AS3000">
        <f>HYPERLINK("https://creighton-primo.hosted.exlibrisgroup.com/primo-explore/search?tab=default_tab&amp;search_scope=EVERYTHING&amp;vid=01CRU&amp;lang=en_US&amp;offset=0&amp;query=any,contains,991001339799702656","Catalog Record")</f>
        <v/>
      </c>
      <c r="AT3000">
        <f>HYPERLINK("http://www.worldcat.org/oclc/1017058","WorldCat Record")</f>
        <v/>
      </c>
      <c r="AU3000" t="inlineStr">
        <is>
          <t>10792562986:eng</t>
        </is>
      </c>
      <c r="AV3000" t="inlineStr">
        <is>
          <t>1017058</t>
        </is>
      </c>
      <c r="AW3000" t="inlineStr">
        <is>
          <t>991001339799702656</t>
        </is>
      </c>
      <c r="AX3000" t="inlineStr">
        <is>
          <t>991001339799702656</t>
        </is>
      </c>
      <c r="AY3000" t="inlineStr">
        <is>
          <t>2259443060002656</t>
        </is>
      </c>
      <c r="AZ3000" t="inlineStr">
        <is>
          <t>BOOK</t>
        </is>
      </c>
      <c r="BC3000" t="inlineStr">
        <is>
          <t>32285003385431</t>
        </is>
      </c>
      <c r="BD3000" t="inlineStr">
        <is>
          <t>893244050</t>
        </is>
      </c>
    </row>
    <row r="3001">
      <c r="A3001" t="inlineStr">
        <is>
          <t>No</t>
        </is>
      </c>
      <c r="B3001" t="inlineStr">
        <is>
          <t>BX841 .C25</t>
        </is>
      </c>
      <c r="C3001" t="inlineStr">
        <is>
          <t>0                      BX 0841000C  25</t>
        </is>
      </c>
      <c r="D3001"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3001" t="inlineStr">
        <is>
          <t>V. 18 PT. 2</t>
        </is>
      </c>
      <c r="F3001" t="inlineStr">
        <is>
          <t>Yes</t>
        </is>
      </c>
      <c r="G3001" t="inlineStr">
        <is>
          <t>1</t>
        </is>
      </c>
      <c r="H3001" t="inlineStr">
        <is>
          <t>No</t>
        </is>
      </c>
      <c r="I3001" t="inlineStr">
        <is>
          <t>No</t>
        </is>
      </c>
      <c r="J3001" t="inlineStr">
        <is>
          <t>0</t>
        </is>
      </c>
      <c r="L3001" t="inlineStr">
        <is>
          <t>New York : Appleton, [1907-12]</t>
        </is>
      </c>
      <c r="M3001" t="inlineStr">
        <is>
          <t>1907</t>
        </is>
      </c>
      <c r="O3001" t="inlineStr">
        <is>
          <t>eng</t>
        </is>
      </c>
      <c r="P3001" t="inlineStr">
        <is>
          <t>nyu</t>
        </is>
      </c>
      <c r="R3001" t="inlineStr">
        <is>
          <t xml:space="preserve">BX </t>
        </is>
      </c>
      <c r="S3001" t="n">
        <v>0</v>
      </c>
      <c r="T3001" t="n">
        <v>32</v>
      </c>
      <c r="V3001" t="inlineStr">
        <is>
          <t>2001-10-25</t>
        </is>
      </c>
      <c r="W3001" t="inlineStr">
        <is>
          <t>1998-04-08</t>
        </is>
      </c>
      <c r="X3001" t="inlineStr">
        <is>
          <t>2000-05-08</t>
        </is>
      </c>
      <c r="Y3001" t="n">
        <v>539</v>
      </c>
      <c r="Z3001" t="n">
        <v>476</v>
      </c>
      <c r="AA3001" t="n">
        <v>503</v>
      </c>
      <c r="AB3001" t="n">
        <v>4</v>
      </c>
      <c r="AC3001" t="n">
        <v>4</v>
      </c>
      <c r="AD3001" t="n">
        <v>31</v>
      </c>
      <c r="AE3001" t="n">
        <v>33</v>
      </c>
      <c r="AF3001" t="n">
        <v>14</v>
      </c>
      <c r="AG3001" t="n">
        <v>15</v>
      </c>
      <c r="AH3001" t="n">
        <v>7</v>
      </c>
      <c r="AI3001" t="n">
        <v>8</v>
      </c>
      <c r="AJ3001" t="n">
        <v>18</v>
      </c>
      <c r="AK3001" t="n">
        <v>19</v>
      </c>
      <c r="AL3001" t="n">
        <v>1</v>
      </c>
      <c r="AM3001" t="n">
        <v>1</v>
      </c>
      <c r="AN3001" t="n">
        <v>0</v>
      </c>
      <c r="AO3001" t="n">
        <v>0</v>
      </c>
      <c r="AP3001" t="inlineStr">
        <is>
          <t>Yes</t>
        </is>
      </c>
      <c r="AQ3001" t="inlineStr">
        <is>
          <t>No</t>
        </is>
      </c>
      <c r="AR3001">
        <f>HYPERLINK("http://catalog.hathitrust.org/Record/000867126","HathiTrust Record")</f>
        <v/>
      </c>
      <c r="AS3001">
        <f>HYPERLINK("https://creighton-primo.hosted.exlibrisgroup.com/primo-explore/search?tab=default_tab&amp;search_scope=EVERYTHING&amp;vid=01CRU&amp;lang=en_US&amp;offset=0&amp;query=any,contains,991001339799702656","Catalog Record")</f>
        <v/>
      </c>
      <c r="AT3001">
        <f>HYPERLINK("http://www.worldcat.org/oclc/1017058","WorldCat Record")</f>
        <v/>
      </c>
      <c r="AU3001" t="inlineStr">
        <is>
          <t>10792562986:eng</t>
        </is>
      </c>
      <c r="AV3001" t="inlineStr">
        <is>
          <t>1017058</t>
        </is>
      </c>
      <c r="AW3001" t="inlineStr">
        <is>
          <t>991001339799702656</t>
        </is>
      </c>
      <c r="AX3001" t="inlineStr">
        <is>
          <t>991001339799702656</t>
        </is>
      </c>
      <c r="AY3001" t="inlineStr">
        <is>
          <t>2259443060002656</t>
        </is>
      </c>
      <c r="AZ3001" t="inlineStr">
        <is>
          <t>BOOK</t>
        </is>
      </c>
      <c r="BC3001" t="inlineStr">
        <is>
          <t>32285003385548</t>
        </is>
      </c>
      <c r="BD3001" t="inlineStr">
        <is>
          <t>893250170</t>
        </is>
      </c>
    </row>
    <row r="3002">
      <c r="A3002" t="inlineStr">
        <is>
          <t>No</t>
        </is>
      </c>
      <c r="B3002" t="inlineStr">
        <is>
          <t>BX841 .C25</t>
        </is>
      </c>
      <c r="C3002" t="inlineStr">
        <is>
          <t>0                      BX 0841000C  25</t>
        </is>
      </c>
      <c r="D3002"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3002" t="inlineStr">
        <is>
          <t>V. 8</t>
        </is>
      </c>
      <c r="F3002" t="inlineStr">
        <is>
          <t>Yes</t>
        </is>
      </c>
      <c r="G3002" t="inlineStr">
        <is>
          <t>1</t>
        </is>
      </c>
      <c r="H3002" t="inlineStr">
        <is>
          <t>Yes</t>
        </is>
      </c>
      <c r="I3002" t="inlineStr">
        <is>
          <t>No</t>
        </is>
      </c>
      <c r="J3002" t="inlineStr">
        <is>
          <t>0</t>
        </is>
      </c>
      <c r="L3002" t="inlineStr">
        <is>
          <t>New York : Appleton, [1907-12]</t>
        </is>
      </c>
      <c r="M3002" t="inlineStr">
        <is>
          <t>1907</t>
        </is>
      </c>
      <c r="O3002" t="inlineStr">
        <is>
          <t>eng</t>
        </is>
      </c>
      <c r="P3002" t="inlineStr">
        <is>
          <t>nyu</t>
        </is>
      </c>
      <c r="R3002" t="inlineStr">
        <is>
          <t xml:space="preserve">BX </t>
        </is>
      </c>
      <c r="S3002" t="n">
        <v>1</v>
      </c>
      <c r="T3002" t="n">
        <v>32</v>
      </c>
      <c r="V3002" t="inlineStr">
        <is>
          <t>2001-10-25</t>
        </is>
      </c>
      <c r="W3002" t="inlineStr">
        <is>
          <t>1998-04-08</t>
        </is>
      </c>
      <c r="X3002" t="inlineStr">
        <is>
          <t>2000-05-08</t>
        </is>
      </c>
      <c r="Y3002" t="n">
        <v>539</v>
      </c>
      <c r="Z3002" t="n">
        <v>476</v>
      </c>
      <c r="AA3002" t="n">
        <v>503</v>
      </c>
      <c r="AB3002" t="n">
        <v>4</v>
      </c>
      <c r="AC3002" t="n">
        <v>4</v>
      </c>
      <c r="AD3002" t="n">
        <v>31</v>
      </c>
      <c r="AE3002" t="n">
        <v>33</v>
      </c>
      <c r="AF3002" t="n">
        <v>14</v>
      </c>
      <c r="AG3002" t="n">
        <v>15</v>
      </c>
      <c r="AH3002" t="n">
        <v>7</v>
      </c>
      <c r="AI3002" t="n">
        <v>8</v>
      </c>
      <c r="AJ3002" t="n">
        <v>18</v>
      </c>
      <c r="AK3002" t="n">
        <v>19</v>
      </c>
      <c r="AL3002" t="n">
        <v>1</v>
      </c>
      <c r="AM3002" t="n">
        <v>1</v>
      </c>
      <c r="AN3002" t="n">
        <v>0</v>
      </c>
      <c r="AO3002" t="n">
        <v>0</v>
      </c>
      <c r="AP3002" t="inlineStr">
        <is>
          <t>Yes</t>
        </is>
      </c>
      <c r="AQ3002" t="inlineStr">
        <is>
          <t>No</t>
        </is>
      </c>
      <c r="AR3002">
        <f>HYPERLINK("http://catalog.hathitrust.org/Record/000867126","HathiTrust Record")</f>
        <v/>
      </c>
      <c r="AS3002">
        <f>HYPERLINK("https://creighton-primo.hosted.exlibrisgroup.com/primo-explore/search?tab=default_tab&amp;search_scope=EVERYTHING&amp;vid=01CRU&amp;lang=en_US&amp;offset=0&amp;query=any,contains,991001339799702656","Catalog Record")</f>
        <v/>
      </c>
      <c r="AT3002">
        <f>HYPERLINK("http://www.worldcat.org/oclc/1017058","WorldCat Record")</f>
        <v/>
      </c>
      <c r="AU3002" t="inlineStr">
        <is>
          <t>10792562986:eng</t>
        </is>
      </c>
      <c r="AV3002" t="inlineStr">
        <is>
          <t>1017058</t>
        </is>
      </c>
      <c r="AW3002" t="inlineStr">
        <is>
          <t>991001339799702656</t>
        </is>
      </c>
      <c r="AX3002" t="inlineStr">
        <is>
          <t>991001339799702656</t>
        </is>
      </c>
      <c r="AY3002" t="inlineStr">
        <is>
          <t>2259443060002656</t>
        </is>
      </c>
      <c r="AZ3002" t="inlineStr">
        <is>
          <t>BOOK</t>
        </is>
      </c>
      <c r="BC3002" t="inlineStr">
        <is>
          <t>32285003385423</t>
        </is>
      </c>
      <c r="BD3002" t="inlineStr">
        <is>
          <t>893256187</t>
        </is>
      </c>
    </row>
    <row r="3003">
      <c r="A3003" t="inlineStr">
        <is>
          <t>No</t>
        </is>
      </c>
      <c r="B3003" t="inlineStr">
        <is>
          <t>BX841 .C25</t>
        </is>
      </c>
      <c r="C3003" t="inlineStr">
        <is>
          <t>0                      BX 0841000C  25</t>
        </is>
      </c>
      <c r="D3003" t="inlineStr">
        <is>
          <t>The Catholic encyclopedia : an international work of reference on the constitution, doctrine, discipline, and history of the Catholic church / edited by Charles G. Herbermann, Edward A. Pace, Condé B. Pallen, Thomas J. Shahan, John J. Wynne; assisted by numerous collaborators.</t>
        </is>
      </c>
      <c r="E3003" t="inlineStr">
        <is>
          <t>V. 2</t>
        </is>
      </c>
      <c r="F3003" t="inlineStr">
        <is>
          <t>Yes</t>
        </is>
      </c>
      <c r="G3003" t="inlineStr">
        <is>
          <t>1</t>
        </is>
      </c>
      <c r="H3003" t="inlineStr">
        <is>
          <t>Yes</t>
        </is>
      </c>
      <c r="I3003" t="inlineStr">
        <is>
          <t>No</t>
        </is>
      </c>
      <c r="J3003" t="inlineStr">
        <is>
          <t>0</t>
        </is>
      </c>
      <c r="L3003" t="inlineStr">
        <is>
          <t>New York : Appleton, [1907-12]</t>
        </is>
      </c>
      <c r="M3003" t="inlineStr">
        <is>
          <t>1907</t>
        </is>
      </c>
      <c r="O3003" t="inlineStr">
        <is>
          <t>eng</t>
        </is>
      </c>
      <c r="P3003" t="inlineStr">
        <is>
          <t>nyu</t>
        </is>
      </c>
      <c r="R3003" t="inlineStr">
        <is>
          <t xml:space="preserve">BX </t>
        </is>
      </c>
      <c r="S3003" t="n">
        <v>0</v>
      </c>
      <c r="T3003" t="n">
        <v>32</v>
      </c>
      <c r="V3003" t="inlineStr">
        <is>
          <t>2001-10-25</t>
        </is>
      </c>
      <c r="W3003" t="inlineStr">
        <is>
          <t>1998-04-08</t>
        </is>
      </c>
      <c r="X3003" t="inlineStr">
        <is>
          <t>2000-05-08</t>
        </is>
      </c>
      <c r="Y3003" t="n">
        <v>539</v>
      </c>
      <c r="Z3003" t="n">
        <v>476</v>
      </c>
      <c r="AA3003" t="n">
        <v>503</v>
      </c>
      <c r="AB3003" t="n">
        <v>4</v>
      </c>
      <c r="AC3003" t="n">
        <v>4</v>
      </c>
      <c r="AD3003" t="n">
        <v>31</v>
      </c>
      <c r="AE3003" t="n">
        <v>33</v>
      </c>
      <c r="AF3003" t="n">
        <v>14</v>
      </c>
      <c r="AG3003" t="n">
        <v>15</v>
      </c>
      <c r="AH3003" t="n">
        <v>7</v>
      </c>
      <c r="AI3003" t="n">
        <v>8</v>
      </c>
      <c r="AJ3003" t="n">
        <v>18</v>
      </c>
      <c r="AK3003" t="n">
        <v>19</v>
      </c>
      <c r="AL3003" t="n">
        <v>1</v>
      </c>
      <c r="AM3003" t="n">
        <v>1</v>
      </c>
      <c r="AN3003" t="n">
        <v>0</v>
      </c>
      <c r="AO3003" t="n">
        <v>0</v>
      </c>
      <c r="AP3003" t="inlineStr">
        <is>
          <t>Yes</t>
        </is>
      </c>
      <c r="AQ3003" t="inlineStr">
        <is>
          <t>No</t>
        </is>
      </c>
      <c r="AR3003">
        <f>HYPERLINK("http://catalog.hathitrust.org/Record/000867126","HathiTrust Record")</f>
        <v/>
      </c>
      <c r="AS3003">
        <f>HYPERLINK("https://creighton-primo.hosted.exlibrisgroup.com/primo-explore/search?tab=default_tab&amp;search_scope=EVERYTHING&amp;vid=01CRU&amp;lang=en_US&amp;offset=0&amp;query=any,contains,991001339799702656","Catalog Record")</f>
        <v/>
      </c>
      <c r="AT3003">
        <f>HYPERLINK("http://www.worldcat.org/oclc/1017058","WorldCat Record")</f>
        <v/>
      </c>
      <c r="AU3003" t="inlineStr">
        <is>
          <t>10792562986:eng</t>
        </is>
      </c>
      <c r="AV3003" t="inlineStr">
        <is>
          <t>1017058</t>
        </is>
      </c>
      <c r="AW3003" t="inlineStr">
        <is>
          <t>991001339799702656</t>
        </is>
      </c>
      <c r="AX3003" t="inlineStr">
        <is>
          <t>991001339799702656</t>
        </is>
      </c>
      <c r="AY3003" t="inlineStr">
        <is>
          <t>2259443060002656</t>
        </is>
      </c>
      <c r="AZ3003" t="inlineStr">
        <is>
          <t>BOOK</t>
        </is>
      </c>
      <c r="BC3003" t="inlineStr">
        <is>
          <t>32285003385373</t>
        </is>
      </c>
      <c r="BD3003" t="inlineStr">
        <is>
          <t>893256188</t>
        </is>
      </c>
    </row>
    <row r="3004">
      <c r="A3004" t="inlineStr">
        <is>
          <t>No</t>
        </is>
      </c>
      <c r="B3004" t="inlineStr">
        <is>
          <t>BX841 .D67</t>
        </is>
      </c>
      <c r="C3004" t="inlineStr">
        <is>
          <t>0                      BX 0841000D  67</t>
        </is>
      </c>
      <c r="D3004" t="inlineStr">
        <is>
          <t>Dictionnaire de spiritualité ascétique et mystique, doctrine et histoire, publié sous la direction de Marcel Viller, S.J., assisté de F. Cavallera, et J. de Guibert, S.J., avec la concours d'un grand nombre de collaborateurs ...</t>
        </is>
      </c>
      <c r="E3004" t="inlineStr">
        <is>
          <t>V. 3</t>
        </is>
      </c>
      <c r="F3004" t="inlineStr">
        <is>
          <t>Yes</t>
        </is>
      </c>
      <c r="G3004" t="inlineStr">
        <is>
          <t>1</t>
        </is>
      </c>
      <c r="H3004" t="inlineStr">
        <is>
          <t>No</t>
        </is>
      </c>
      <c r="I3004" t="inlineStr">
        <is>
          <t>No</t>
        </is>
      </c>
      <c r="J3004" t="inlineStr">
        <is>
          <t>0</t>
        </is>
      </c>
      <c r="L3004" t="inlineStr">
        <is>
          <t>Paris G. Beauchesne et ses fils, 1937-</t>
        </is>
      </c>
      <c r="M3004" t="inlineStr">
        <is>
          <t>1937</t>
        </is>
      </c>
      <c r="O3004" t="inlineStr">
        <is>
          <t>fre</t>
        </is>
      </c>
      <c r="P3004" t="inlineStr">
        <is>
          <t xml:space="preserve">fr </t>
        </is>
      </c>
      <c r="R3004" t="inlineStr">
        <is>
          <t xml:space="preserve">BX </t>
        </is>
      </c>
      <c r="S3004" t="n">
        <v>3</v>
      </c>
      <c r="T3004" t="n">
        <v>41</v>
      </c>
      <c r="U3004" t="inlineStr">
        <is>
          <t>1997-05-24</t>
        </is>
      </c>
      <c r="V3004" t="inlineStr">
        <is>
          <t>2002-08-30</t>
        </is>
      </c>
      <c r="W3004" t="inlineStr">
        <is>
          <t>1992-04-28</t>
        </is>
      </c>
      <c r="X3004" t="inlineStr">
        <is>
          <t>1995-10-16</t>
        </is>
      </c>
      <c r="Y3004" t="n">
        <v>231</v>
      </c>
      <c r="Z3004" t="n">
        <v>193</v>
      </c>
      <c r="AA3004" t="n">
        <v>209</v>
      </c>
      <c r="AB3004" t="n">
        <v>3</v>
      </c>
      <c r="AC3004" t="n">
        <v>3</v>
      </c>
      <c r="AD3004" t="n">
        <v>23</v>
      </c>
      <c r="AE3004" t="n">
        <v>25</v>
      </c>
      <c r="AF3004" t="n">
        <v>6</v>
      </c>
      <c r="AG3004" t="n">
        <v>6</v>
      </c>
      <c r="AH3004" t="n">
        <v>6</v>
      </c>
      <c r="AI3004" t="n">
        <v>7</v>
      </c>
      <c r="AJ3004" t="n">
        <v>18</v>
      </c>
      <c r="AK3004" t="n">
        <v>19</v>
      </c>
      <c r="AL3004" t="n">
        <v>1</v>
      </c>
      <c r="AM3004" t="n">
        <v>1</v>
      </c>
      <c r="AN3004" t="n">
        <v>0</v>
      </c>
      <c r="AO3004" t="n">
        <v>0</v>
      </c>
      <c r="AP3004" t="inlineStr">
        <is>
          <t>No</t>
        </is>
      </c>
      <c r="AQ3004" t="inlineStr">
        <is>
          <t>Yes</t>
        </is>
      </c>
      <c r="AR3004">
        <f>HYPERLINK("http://catalog.hathitrust.org/Record/000223578","HathiTrust Record")</f>
        <v/>
      </c>
      <c r="AS3004">
        <f>HYPERLINK("https://creighton-primo.hosted.exlibrisgroup.com/primo-explore/search?tab=default_tab&amp;search_scope=EVERYTHING&amp;vid=01CRU&amp;lang=en_US&amp;offset=0&amp;query=any,contains,991005369669702656","Catalog Record")</f>
        <v/>
      </c>
      <c r="AT3004">
        <f>HYPERLINK("http://www.worldcat.org/oclc/2386331","WorldCat Record")</f>
        <v/>
      </c>
      <c r="AU3004" t="inlineStr">
        <is>
          <t>355952866:fre</t>
        </is>
      </c>
      <c r="AV3004" t="inlineStr">
        <is>
          <t>2386331</t>
        </is>
      </c>
      <c r="AW3004" t="inlineStr">
        <is>
          <t>991005369669702656</t>
        </is>
      </c>
      <c r="AX3004" t="inlineStr">
        <is>
          <t>991005369669702656</t>
        </is>
      </c>
      <c r="AY3004" t="inlineStr">
        <is>
          <t>2255924230002656</t>
        </is>
      </c>
      <c r="AZ3004" t="inlineStr">
        <is>
          <t>BOOK</t>
        </is>
      </c>
      <c r="BC3004" t="inlineStr">
        <is>
          <t>32285001080182</t>
        </is>
      </c>
      <c r="BD3004" t="inlineStr">
        <is>
          <t>893601081</t>
        </is>
      </c>
    </row>
    <row r="3005">
      <c r="A3005" t="inlineStr">
        <is>
          <t>No</t>
        </is>
      </c>
      <c r="B3005" t="inlineStr">
        <is>
          <t>BX841 .D67</t>
        </is>
      </c>
      <c r="C3005" t="inlineStr">
        <is>
          <t>0                      BX 0841000D  67</t>
        </is>
      </c>
      <c r="D3005" t="inlineStr">
        <is>
          <t>Dictionnaire de spiritualité ascétique et mystique, doctrine et histoire, publié sous la direction de Marcel Viller, S.J., assisté de F. Cavallera, et J. de Guibert, S.J., avec la concours d'un grand nombre de collaborateurs ...</t>
        </is>
      </c>
      <c r="E3005" t="inlineStr">
        <is>
          <t>V. 13</t>
        </is>
      </c>
      <c r="F3005" t="inlineStr">
        <is>
          <t>Yes</t>
        </is>
      </c>
      <c r="G3005" t="inlineStr">
        <is>
          <t>1</t>
        </is>
      </c>
      <c r="H3005" t="inlineStr">
        <is>
          <t>No</t>
        </is>
      </c>
      <c r="I3005" t="inlineStr">
        <is>
          <t>No</t>
        </is>
      </c>
      <c r="J3005" t="inlineStr">
        <is>
          <t>0</t>
        </is>
      </c>
      <c r="L3005" t="inlineStr">
        <is>
          <t>Paris G. Beauchesne et ses fils, 1937-</t>
        </is>
      </c>
      <c r="M3005" t="inlineStr">
        <is>
          <t>1937</t>
        </is>
      </c>
      <c r="O3005" t="inlineStr">
        <is>
          <t>fre</t>
        </is>
      </c>
      <c r="P3005" t="inlineStr">
        <is>
          <t xml:space="preserve">fr </t>
        </is>
      </c>
      <c r="R3005" t="inlineStr">
        <is>
          <t xml:space="preserve">BX </t>
        </is>
      </c>
      <c r="S3005" t="n">
        <v>1</v>
      </c>
      <c r="T3005" t="n">
        <v>41</v>
      </c>
      <c r="U3005" t="inlineStr">
        <is>
          <t>1997-05-23</t>
        </is>
      </c>
      <c r="V3005" t="inlineStr">
        <is>
          <t>2002-08-30</t>
        </is>
      </c>
      <c r="W3005" t="inlineStr">
        <is>
          <t>1993-03-29</t>
        </is>
      </c>
      <c r="X3005" t="inlineStr">
        <is>
          <t>1995-10-16</t>
        </is>
      </c>
      <c r="Y3005" t="n">
        <v>231</v>
      </c>
      <c r="Z3005" t="n">
        <v>193</v>
      </c>
      <c r="AA3005" t="n">
        <v>209</v>
      </c>
      <c r="AB3005" t="n">
        <v>3</v>
      </c>
      <c r="AC3005" t="n">
        <v>3</v>
      </c>
      <c r="AD3005" t="n">
        <v>23</v>
      </c>
      <c r="AE3005" t="n">
        <v>25</v>
      </c>
      <c r="AF3005" t="n">
        <v>6</v>
      </c>
      <c r="AG3005" t="n">
        <v>6</v>
      </c>
      <c r="AH3005" t="n">
        <v>6</v>
      </c>
      <c r="AI3005" t="n">
        <v>7</v>
      </c>
      <c r="AJ3005" t="n">
        <v>18</v>
      </c>
      <c r="AK3005" t="n">
        <v>19</v>
      </c>
      <c r="AL3005" t="n">
        <v>1</v>
      </c>
      <c r="AM3005" t="n">
        <v>1</v>
      </c>
      <c r="AN3005" t="n">
        <v>0</v>
      </c>
      <c r="AO3005" t="n">
        <v>0</v>
      </c>
      <c r="AP3005" t="inlineStr">
        <is>
          <t>No</t>
        </is>
      </c>
      <c r="AQ3005" t="inlineStr">
        <is>
          <t>Yes</t>
        </is>
      </c>
      <c r="AR3005">
        <f>HYPERLINK("http://catalog.hathitrust.org/Record/000223578","HathiTrust Record")</f>
        <v/>
      </c>
      <c r="AS3005">
        <f>HYPERLINK("https://creighton-primo.hosted.exlibrisgroup.com/primo-explore/search?tab=default_tab&amp;search_scope=EVERYTHING&amp;vid=01CRU&amp;lang=en_US&amp;offset=0&amp;query=any,contains,991005369669702656","Catalog Record")</f>
        <v/>
      </c>
      <c r="AT3005">
        <f>HYPERLINK("http://www.worldcat.org/oclc/2386331","WorldCat Record")</f>
        <v/>
      </c>
      <c r="AU3005" t="inlineStr">
        <is>
          <t>355952866:fre</t>
        </is>
      </c>
      <c r="AV3005" t="inlineStr">
        <is>
          <t>2386331</t>
        </is>
      </c>
      <c r="AW3005" t="inlineStr">
        <is>
          <t>991005369669702656</t>
        </is>
      </c>
      <c r="AX3005" t="inlineStr">
        <is>
          <t>991005369669702656</t>
        </is>
      </c>
      <c r="AY3005" t="inlineStr">
        <is>
          <t>2255924230002656</t>
        </is>
      </c>
      <c r="AZ3005" t="inlineStr">
        <is>
          <t>BOOK</t>
        </is>
      </c>
      <c r="BC3005" t="inlineStr">
        <is>
          <t>32285001592970</t>
        </is>
      </c>
      <c r="BD3005" t="inlineStr">
        <is>
          <t>893619876</t>
        </is>
      </c>
    </row>
    <row r="3006">
      <c r="A3006" t="inlineStr">
        <is>
          <t>No</t>
        </is>
      </c>
      <c r="B3006" t="inlineStr">
        <is>
          <t>BX841 .D67</t>
        </is>
      </c>
      <c r="C3006" t="inlineStr">
        <is>
          <t>0                      BX 0841000D  67</t>
        </is>
      </c>
      <c r="D3006" t="inlineStr">
        <is>
          <t>Dictionnaire de spiritualité ascétique et mystique, doctrine et histoire, publié sous la direction de Marcel Viller, S.J., assisté de F. Cavallera, et J. de Guibert, S.J., avec la concours d'un grand nombre de collaborateurs ...</t>
        </is>
      </c>
      <c r="E3006" t="inlineStr">
        <is>
          <t>V. 12 PT. 1</t>
        </is>
      </c>
      <c r="F3006" t="inlineStr">
        <is>
          <t>Yes</t>
        </is>
      </c>
      <c r="G3006" t="inlineStr">
        <is>
          <t>1</t>
        </is>
      </c>
      <c r="H3006" t="inlineStr">
        <is>
          <t>No</t>
        </is>
      </c>
      <c r="I3006" t="inlineStr">
        <is>
          <t>No</t>
        </is>
      </c>
      <c r="J3006" t="inlineStr">
        <is>
          <t>0</t>
        </is>
      </c>
      <c r="L3006" t="inlineStr">
        <is>
          <t>Paris G. Beauchesne et ses fils, 1937-</t>
        </is>
      </c>
      <c r="M3006" t="inlineStr">
        <is>
          <t>1937</t>
        </is>
      </c>
      <c r="O3006" t="inlineStr">
        <is>
          <t>fre</t>
        </is>
      </c>
      <c r="P3006" t="inlineStr">
        <is>
          <t xml:space="preserve">fr </t>
        </is>
      </c>
      <c r="R3006" t="inlineStr">
        <is>
          <t xml:space="preserve">BX </t>
        </is>
      </c>
      <c r="S3006" t="n">
        <v>5</v>
      </c>
      <c r="T3006" t="n">
        <v>41</v>
      </c>
      <c r="U3006" t="inlineStr">
        <is>
          <t>2000-05-17</t>
        </is>
      </c>
      <c r="V3006" t="inlineStr">
        <is>
          <t>2002-08-30</t>
        </is>
      </c>
      <c r="W3006" t="inlineStr">
        <is>
          <t>1993-03-29</t>
        </is>
      </c>
      <c r="X3006" t="inlineStr">
        <is>
          <t>1995-10-16</t>
        </is>
      </c>
      <c r="Y3006" t="n">
        <v>231</v>
      </c>
      <c r="Z3006" t="n">
        <v>193</v>
      </c>
      <c r="AA3006" t="n">
        <v>209</v>
      </c>
      <c r="AB3006" t="n">
        <v>3</v>
      </c>
      <c r="AC3006" t="n">
        <v>3</v>
      </c>
      <c r="AD3006" t="n">
        <v>23</v>
      </c>
      <c r="AE3006" t="n">
        <v>25</v>
      </c>
      <c r="AF3006" t="n">
        <v>6</v>
      </c>
      <c r="AG3006" t="n">
        <v>6</v>
      </c>
      <c r="AH3006" t="n">
        <v>6</v>
      </c>
      <c r="AI3006" t="n">
        <v>7</v>
      </c>
      <c r="AJ3006" t="n">
        <v>18</v>
      </c>
      <c r="AK3006" t="n">
        <v>19</v>
      </c>
      <c r="AL3006" t="n">
        <v>1</v>
      </c>
      <c r="AM3006" t="n">
        <v>1</v>
      </c>
      <c r="AN3006" t="n">
        <v>0</v>
      </c>
      <c r="AO3006" t="n">
        <v>0</v>
      </c>
      <c r="AP3006" t="inlineStr">
        <is>
          <t>No</t>
        </is>
      </c>
      <c r="AQ3006" t="inlineStr">
        <is>
          <t>Yes</t>
        </is>
      </c>
      <c r="AR3006">
        <f>HYPERLINK("http://catalog.hathitrust.org/Record/000223578","HathiTrust Record")</f>
        <v/>
      </c>
      <c r="AS3006">
        <f>HYPERLINK("https://creighton-primo.hosted.exlibrisgroup.com/primo-explore/search?tab=default_tab&amp;search_scope=EVERYTHING&amp;vid=01CRU&amp;lang=en_US&amp;offset=0&amp;query=any,contains,991005369669702656","Catalog Record")</f>
        <v/>
      </c>
      <c r="AT3006">
        <f>HYPERLINK("http://www.worldcat.org/oclc/2386331","WorldCat Record")</f>
        <v/>
      </c>
      <c r="AU3006" t="inlineStr">
        <is>
          <t>355952866:fre</t>
        </is>
      </c>
      <c r="AV3006" t="inlineStr">
        <is>
          <t>2386331</t>
        </is>
      </c>
      <c r="AW3006" t="inlineStr">
        <is>
          <t>991005369669702656</t>
        </is>
      </c>
      <c r="AX3006" t="inlineStr">
        <is>
          <t>991005369669702656</t>
        </is>
      </c>
      <c r="AY3006" t="inlineStr">
        <is>
          <t>2255924230002656</t>
        </is>
      </c>
      <c r="AZ3006" t="inlineStr">
        <is>
          <t>BOOK</t>
        </is>
      </c>
      <c r="BC3006" t="inlineStr">
        <is>
          <t>32285001592954</t>
        </is>
      </c>
      <c r="BD3006" t="inlineStr">
        <is>
          <t>893601084</t>
        </is>
      </c>
    </row>
    <row r="3007">
      <c r="A3007" t="inlineStr">
        <is>
          <t>No</t>
        </is>
      </c>
      <c r="B3007" t="inlineStr">
        <is>
          <t>BX841 .D67</t>
        </is>
      </c>
      <c r="C3007" t="inlineStr">
        <is>
          <t>0                      BX 0841000D  67</t>
        </is>
      </c>
      <c r="D3007" t="inlineStr">
        <is>
          <t>Dictionnaire de spiritualité ascétique et mystique, doctrine et histoire, publié sous la direction de Marcel Viller, S.J., assisté de F. Cavallera, et J. de Guibert, S.J., avec la concours d'un grand nombre de collaborateurs ...</t>
        </is>
      </c>
      <c r="E3007" t="inlineStr">
        <is>
          <t>V. 16</t>
        </is>
      </c>
      <c r="F3007" t="inlineStr">
        <is>
          <t>Yes</t>
        </is>
      </c>
      <c r="G3007" t="inlineStr">
        <is>
          <t>1</t>
        </is>
      </c>
      <c r="H3007" t="inlineStr">
        <is>
          <t>No</t>
        </is>
      </c>
      <c r="I3007" t="inlineStr">
        <is>
          <t>No</t>
        </is>
      </c>
      <c r="J3007" t="inlineStr">
        <is>
          <t>0</t>
        </is>
      </c>
      <c r="L3007" t="inlineStr">
        <is>
          <t>Paris G. Beauchesne et ses fils, 1937-</t>
        </is>
      </c>
      <c r="M3007" t="inlineStr">
        <is>
          <t>1937</t>
        </is>
      </c>
      <c r="O3007" t="inlineStr">
        <is>
          <t>fre</t>
        </is>
      </c>
      <c r="P3007" t="inlineStr">
        <is>
          <t xml:space="preserve">fr </t>
        </is>
      </c>
      <c r="R3007" t="inlineStr">
        <is>
          <t xml:space="preserve">BX </t>
        </is>
      </c>
      <c r="S3007" t="n">
        <v>3</v>
      </c>
      <c r="T3007" t="n">
        <v>41</v>
      </c>
      <c r="U3007" t="inlineStr">
        <is>
          <t>1997-05-24</t>
        </is>
      </c>
      <c r="V3007" t="inlineStr">
        <is>
          <t>2002-08-30</t>
        </is>
      </c>
      <c r="W3007" t="inlineStr">
        <is>
          <t>1994-08-30</t>
        </is>
      </c>
      <c r="X3007" t="inlineStr">
        <is>
          <t>1995-10-16</t>
        </is>
      </c>
      <c r="Y3007" t="n">
        <v>231</v>
      </c>
      <c r="Z3007" t="n">
        <v>193</v>
      </c>
      <c r="AA3007" t="n">
        <v>209</v>
      </c>
      <c r="AB3007" t="n">
        <v>3</v>
      </c>
      <c r="AC3007" t="n">
        <v>3</v>
      </c>
      <c r="AD3007" t="n">
        <v>23</v>
      </c>
      <c r="AE3007" t="n">
        <v>25</v>
      </c>
      <c r="AF3007" t="n">
        <v>6</v>
      </c>
      <c r="AG3007" t="n">
        <v>6</v>
      </c>
      <c r="AH3007" t="n">
        <v>6</v>
      </c>
      <c r="AI3007" t="n">
        <v>7</v>
      </c>
      <c r="AJ3007" t="n">
        <v>18</v>
      </c>
      <c r="AK3007" t="n">
        <v>19</v>
      </c>
      <c r="AL3007" t="n">
        <v>1</v>
      </c>
      <c r="AM3007" t="n">
        <v>1</v>
      </c>
      <c r="AN3007" t="n">
        <v>0</v>
      </c>
      <c r="AO3007" t="n">
        <v>0</v>
      </c>
      <c r="AP3007" t="inlineStr">
        <is>
          <t>No</t>
        </is>
      </c>
      <c r="AQ3007" t="inlineStr">
        <is>
          <t>Yes</t>
        </is>
      </c>
      <c r="AR3007">
        <f>HYPERLINK("http://catalog.hathitrust.org/Record/000223578","HathiTrust Record")</f>
        <v/>
      </c>
      <c r="AS3007">
        <f>HYPERLINK("https://creighton-primo.hosted.exlibrisgroup.com/primo-explore/search?tab=default_tab&amp;search_scope=EVERYTHING&amp;vid=01CRU&amp;lang=en_US&amp;offset=0&amp;query=any,contains,991005369669702656","Catalog Record")</f>
        <v/>
      </c>
      <c r="AT3007">
        <f>HYPERLINK("http://www.worldcat.org/oclc/2386331","WorldCat Record")</f>
        <v/>
      </c>
      <c r="AU3007" t="inlineStr">
        <is>
          <t>355952866:fre</t>
        </is>
      </c>
      <c r="AV3007" t="inlineStr">
        <is>
          <t>2386331</t>
        </is>
      </c>
      <c r="AW3007" t="inlineStr">
        <is>
          <t>991005369669702656</t>
        </is>
      </c>
      <c r="AX3007" t="inlineStr">
        <is>
          <t>991005369669702656</t>
        </is>
      </c>
      <c r="AY3007" t="inlineStr">
        <is>
          <t>2255924230002656</t>
        </is>
      </c>
      <c r="AZ3007" t="inlineStr">
        <is>
          <t>BOOK</t>
        </is>
      </c>
      <c r="BC3007" t="inlineStr">
        <is>
          <t>32285001867141</t>
        </is>
      </c>
      <c r="BD3007" t="inlineStr">
        <is>
          <t>893607271</t>
        </is>
      </c>
    </row>
    <row r="3008">
      <c r="A3008" t="inlineStr">
        <is>
          <t>No</t>
        </is>
      </c>
      <c r="B3008" t="inlineStr">
        <is>
          <t>BX841 .D67</t>
        </is>
      </c>
      <c r="C3008" t="inlineStr">
        <is>
          <t>0                      BX 0841000D  67</t>
        </is>
      </c>
      <c r="D3008" t="inlineStr">
        <is>
          <t>Dictionnaire de spiritualité ascétique et mystique, doctrine et histoire, publié sous la direction de Marcel Viller, S.J., assisté de F. Cavallera, et J. de Guibert, S.J., avec la concours d'un grand nombre de collaborateurs ...</t>
        </is>
      </c>
      <c r="E3008" t="inlineStr">
        <is>
          <t>V. 10</t>
        </is>
      </c>
      <c r="F3008" t="inlineStr">
        <is>
          <t>Yes</t>
        </is>
      </c>
      <c r="G3008" t="inlineStr">
        <is>
          <t>1</t>
        </is>
      </c>
      <c r="H3008" t="inlineStr">
        <is>
          <t>No</t>
        </is>
      </c>
      <c r="I3008" t="inlineStr">
        <is>
          <t>No</t>
        </is>
      </c>
      <c r="J3008" t="inlineStr">
        <is>
          <t>0</t>
        </is>
      </c>
      <c r="L3008" t="inlineStr">
        <is>
          <t>Paris G. Beauchesne et ses fils, 1937-</t>
        </is>
      </c>
      <c r="M3008" t="inlineStr">
        <is>
          <t>1937</t>
        </is>
      </c>
      <c r="O3008" t="inlineStr">
        <is>
          <t>fre</t>
        </is>
      </c>
      <c r="P3008" t="inlineStr">
        <is>
          <t xml:space="preserve">fr </t>
        </is>
      </c>
      <c r="R3008" t="inlineStr">
        <is>
          <t xml:space="preserve">BX </t>
        </is>
      </c>
      <c r="S3008" t="n">
        <v>4</v>
      </c>
      <c r="T3008" t="n">
        <v>41</v>
      </c>
      <c r="U3008" t="inlineStr">
        <is>
          <t>1997-05-24</t>
        </is>
      </c>
      <c r="V3008" t="inlineStr">
        <is>
          <t>2002-08-30</t>
        </is>
      </c>
      <c r="W3008" t="inlineStr">
        <is>
          <t>1992-04-28</t>
        </is>
      </c>
      <c r="X3008" t="inlineStr">
        <is>
          <t>1995-10-16</t>
        </is>
      </c>
      <c r="Y3008" t="n">
        <v>231</v>
      </c>
      <c r="Z3008" t="n">
        <v>193</v>
      </c>
      <c r="AA3008" t="n">
        <v>209</v>
      </c>
      <c r="AB3008" t="n">
        <v>3</v>
      </c>
      <c r="AC3008" t="n">
        <v>3</v>
      </c>
      <c r="AD3008" t="n">
        <v>23</v>
      </c>
      <c r="AE3008" t="n">
        <v>25</v>
      </c>
      <c r="AF3008" t="n">
        <v>6</v>
      </c>
      <c r="AG3008" t="n">
        <v>6</v>
      </c>
      <c r="AH3008" t="n">
        <v>6</v>
      </c>
      <c r="AI3008" t="n">
        <v>7</v>
      </c>
      <c r="AJ3008" t="n">
        <v>18</v>
      </c>
      <c r="AK3008" t="n">
        <v>19</v>
      </c>
      <c r="AL3008" t="n">
        <v>1</v>
      </c>
      <c r="AM3008" t="n">
        <v>1</v>
      </c>
      <c r="AN3008" t="n">
        <v>0</v>
      </c>
      <c r="AO3008" t="n">
        <v>0</v>
      </c>
      <c r="AP3008" t="inlineStr">
        <is>
          <t>No</t>
        </is>
      </c>
      <c r="AQ3008" t="inlineStr">
        <is>
          <t>Yes</t>
        </is>
      </c>
      <c r="AR3008">
        <f>HYPERLINK("http://catalog.hathitrust.org/Record/000223578","HathiTrust Record")</f>
        <v/>
      </c>
      <c r="AS3008">
        <f>HYPERLINK("https://creighton-primo.hosted.exlibrisgroup.com/primo-explore/search?tab=default_tab&amp;search_scope=EVERYTHING&amp;vid=01CRU&amp;lang=en_US&amp;offset=0&amp;query=any,contains,991005369669702656","Catalog Record")</f>
        <v/>
      </c>
      <c r="AT3008">
        <f>HYPERLINK("http://www.worldcat.org/oclc/2386331","WorldCat Record")</f>
        <v/>
      </c>
      <c r="AU3008" t="inlineStr">
        <is>
          <t>355952866:fre</t>
        </is>
      </c>
      <c r="AV3008" t="inlineStr">
        <is>
          <t>2386331</t>
        </is>
      </c>
      <c r="AW3008" t="inlineStr">
        <is>
          <t>991005369669702656</t>
        </is>
      </c>
      <c r="AX3008" t="inlineStr">
        <is>
          <t>991005369669702656</t>
        </is>
      </c>
      <c r="AY3008" t="inlineStr">
        <is>
          <t>2255924230002656</t>
        </is>
      </c>
      <c r="AZ3008" t="inlineStr">
        <is>
          <t>BOOK</t>
        </is>
      </c>
      <c r="BC3008" t="inlineStr">
        <is>
          <t>32285001080232</t>
        </is>
      </c>
      <c r="BD3008" t="inlineStr">
        <is>
          <t>893601090</t>
        </is>
      </c>
    </row>
    <row r="3009">
      <c r="A3009" t="inlineStr">
        <is>
          <t>No</t>
        </is>
      </c>
      <c r="B3009" t="inlineStr">
        <is>
          <t>BX841 .D67</t>
        </is>
      </c>
      <c r="C3009" t="inlineStr">
        <is>
          <t>0                      BX 0841000D  67</t>
        </is>
      </c>
      <c r="D3009" t="inlineStr">
        <is>
          <t>Dictionnaire de spiritualité ascétique et mystique, doctrine et histoire, publié sous la direction de Marcel Viller, S.J., assisté de F. Cavallera, et J. de Guibert, S.J., avec la concours d'un grand nombre de collaborateurs ...</t>
        </is>
      </c>
      <c r="E3009" t="inlineStr">
        <is>
          <t>V. 14</t>
        </is>
      </c>
      <c r="F3009" t="inlineStr">
        <is>
          <t>Yes</t>
        </is>
      </c>
      <c r="G3009" t="inlineStr">
        <is>
          <t>1</t>
        </is>
      </c>
      <c r="H3009" t="inlineStr">
        <is>
          <t>No</t>
        </is>
      </c>
      <c r="I3009" t="inlineStr">
        <is>
          <t>No</t>
        </is>
      </c>
      <c r="J3009" t="inlineStr">
        <is>
          <t>0</t>
        </is>
      </c>
      <c r="L3009" t="inlineStr">
        <is>
          <t>Paris G. Beauchesne et ses fils, 1937-</t>
        </is>
      </c>
      <c r="M3009" t="inlineStr">
        <is>
          <t>1937</t>
        </is>
      </c>
      <c r="O3009" t="inlineStr">
        <is>
          <t>fre</t>
        </is>
      </c>
      <c r="P3009" t="inlineStr">
        <is>
          <t xml:space="preserve">fr </t>
        </is>
      </c>
      <c r="R3009" t="inlineStr">
        <is>
          <t xml:space="preserve">BX </t>
        </is>
      </c>
      <c r="S3009" t="n">
        <v>4</v>
      </c>
      <c r="T3009" t="n">
        <v>41</v>
      </c>
      <c r="U3009" t="inlineStr">
        <is>
          <t>1997-05-24</t>
        </is>
      </c>
      <c r="V3009" t="inlineStr">
        <is>
          <t>2002-08-30</t>
        </is>
      </c>
      <c r="W3009" t="inlineStr">
        <is>
          <t>1993-03-29</t>
        </is>
      </c>
      <c r="X3009" t="inlineStr">
        <is>
          <t>1995-10-16</t>
        </is>
      </c>
      <c r="Y3009" t="n">
        <v>231</v>
      </c>
      <c r="Z3009" t="n">
        <v>193</v>
      </c>
      <c r="AA3009" t="n">
        <v>209</v>
      </c>
      <c r="AB3009" t="n">
        <v>3</v>
      </c>
      <c r="AC3009" t="n">
        <v>3</v>
      </c>
      <c r="AD3009" t="n">
        <v>23</v>
      </c>
      <c r="AE3009" t="n">
        <v>25</v>
      </c>
      <c r="AF3009" t="n">
        <v>6</v>
      </c>
      <c r="AG3009" t="n">
        <v>6</v>
      </c>
      <c r="AH3009" t="n">
        <v>6</v>
      </c>
      <c r="AI3009" t="n">
        <v>7</v>
      </c>
      <c r="AJ3009" t="n">
        <v>18</v>
      </c>
      <c r="AK3009" t="n">
        <v>19</v>
      </c>
      <c r="AL3009" t="n">
        <v>1</v>
      </c>
      <c r="AM3009" t="n">
        <v>1</v>
      </c>
      <c r="AN3009" t="n">
        <v>0</v>
      </c>
      <c r="AO3009" t="n">
        <v>0</v>
      </c>
      <c r="AP3009" t="inlineStr">
        <is>
          <t>No</t>
        </is>
      </c>
      <c r="AQ3009" t="inlineStr">
        <is>
          <t>Yes</t>
        </is>
      </c>
      <c r="AR3009">
        <f>HYPERLINK("http://catalog.hathitrust.org/Record/000223578","HathiTrust Record")</f>
        <v/>
      </c>
      <c r="AS3009">
        <f>HYPERLINK("https://creighton-primo.hosted.exlibrisgroup.com/primo-explore/search?tab=default_tab&amp;search_scope=EVERYTHING&amp;vid=01CRU&amp;lang=en_US&amp;offset=0&amp;query=any,contains,991005369669702656","Catalog Record")</f>
        <v/>
      </c>
      <c r="AT3009">
        <f>HYPERLINK("http://www.worldcat.org/oclc/2386331","WorldCat Record")</f>
        <v/>
      </c>
      <c r="AU3009" t="inlineStr">
        <is>
          <t>355952866:fre</t>
        </is>
      </c>
      <c r="AV3009" t="inlineStr">
        <is>
          <t>2386331</t>
        </is>
      </c>
      <c r="AW3009" t="inlineStr">
        <is>
          <t>991005369669702656</t>
        </is>
      </c>
      <c r="AX3009" t="inlineStr">
        <is>
          <t>991005369669702656</t>
        </is>
      </c>
      <c r="AY3009" t="inlineStr">
        <is>
          <t>2255924230002656</t>
        </is>
      </c>
      <c r="AZ3009" t="inlineStr">
        <is>
          <t>BOOK</t>
        </is>
      </c>
      <c r="BC3009" t="inlineStr">
        <is>
          <t>32285001592988</t>
        </is>
      </c>
      <c r="BD3009" t="inlineStr">
        <is>
          <t>893601083</t>
        </is>
      </c>
    </row>
    <row r="3010">
      <c r="A3010" t="inlineStr">
        <is>
          <t>No</t>
        </is>
      </c>
      <c r="B3010" t="inlineStr">
        <is>
          <t>BX841 .D67</t>
        </is>
      </c>
      <c r="C3010" t="inlineStr">
        <is>
          <t>0                      BX 0841000D  67</t>
        </is>
      </c>
      <c r="D3010" t="inlineStr">
        <is>
          <t>Dictionnaire de spiritualité ascétique et mystique, doctrine et histoire, publié sous la direction de Marcel Viller, S.J., assisté de F. Cavallera, et J. de Guibert, S.J., avec la concours d'un grand nombre de collaborateurs ...</t>
        </is>
      </c>
      <c r="E3010" t="inlineStr">
        <is>
          <t>V. 9</t>
        </is>
      </c>
      <c r="F3010" t="inlineStr">
        <is>
          <t>Yes</t>
        </is>
      </c>
      <c r="G3010" t="inlineStr">
        <is>
          <t>1</t>
        </is>
      </c>
      <c r="H3010" t="inlineStr">
        <is>
          <t>No</t>
        </is>
      </c>
      <c r="I3010" t="inlineStr">
        <is>
          <t>No</t>
        </is>
      </c>
      <c r="J3010" t="inlineStr">
        <is>
          <t>0</t>
        </is>
      </c>
      <c r="L3010" t="inlineStr">
        <is>
          <t>Paris G. Beauchesne et ses fils, 1937-</t>
        </is>
      </c>
      <c r="M3010" t="inlineStr">
        <is>
          <t>1937</t>
        </is>
      </c>
      <c r="O3010" t="inlineStr">
        <is>
          <t>fre</t>
        </is>
      </c>
      <c r="P3010" t="inlineStr">
        <is>
          <t xml:space="preserve">fr </t>
        </is>
      </c>
      <c r="R3010" t="inlineStr">
        <is>
          <t xml:space="preserve">BX </t>
        </is>
      </c>
      <c r="S3010" t="n">
        <v>1</v>
      </c>
      <c r="T3010" t="n">
        <v>41</v>
      </c>
      <c r="U3010" t="inlineStr">
        <is>
          <t>2016-06-21</t>
        </is>
      </c>
      <c r="V3010" t="inlineStr">
        <is>
          <t>2002-08-30</t>
        </is>
      </c>
      <c r="W3010" t="inlineStr">
        <is>
          <t>1992-04-28</t>
        </is>
      </c>
      <c r="X3010" t="inlineStr">
        <is>
          <t>1995-10-16</t>
        </is>
      </c>
      <c r="Y3010" t="n">
        <v>231</v>
      </c>
      <c r="Z3010" t="n">
        <v>193</v>
      </c>
      <c r="AA3010" t="n">
        <v>209</v>
      </c>
      <c r="AB3010" t="n">
        <v>3</v>
      </c>
      <c r="AC3010" t="n">
        <v>3</v>
      </c>
      <c r="AD3010" t="n">
        <v>23</v>
      </c>
      <c r="AE3010" t="n">
        <v>25</v>
      </c>
      <c r="AF3010" t="n">
        <v>6</v>
      </c>
      <c r="AG3010" t="n">
        <v>6</v>
      </c>
      <c r="AH3010" t="n">
        <v>6</v>
      </c>
      <c r="AI3010" t="n">
        <v>7</v>
      </c>
      <c r="AJ3010" t="n">
        <v>18</v>
      </c>
      <c r="AK3010" t="n">
        <v>19</v>
      </c>
      <c r="AL3010" t="n">
        <v>1</v>
      </c>
      <c r="AM3010" t="n">
        <v>1</v>
      </c>
      <c r="AN3010" t="n">
        <v>0</v>
      </c>
      <c r="AO3010" t="n">
        <v>0</v>
      </c>
      <c r="AP3010" t="inlineStr">
        <is>
          <t>No</t>
        </is>
      </c>
      <c r="AQ3010" t="inlineStr">
        <is>
          <t>Yes</t>
        </is>
      </c>
      <c r="AR3010">
        <f>HYPERLINK("http://catalog.hathitrust.org/Record/000223578","HathiTrust Record")</f>
        <v/>
      </c>
      <c r="AS3010">
        <f>HYPERLINK("https://creighton-primo.hosted.exlibrisgroup.com/primo-explore/search?tab=default_tab&amp;search_scope=EVERYTHING&amp;vid=01CRU&amp;lang=en_US&amp;offset=0&amp;query=any,contains,991005369669702656","Catalog Record")</f>
        <v/>
      </c>
      <c r="AT3010">
        <f>HYPERLINK("http://www.worldcat.org/oclc/2386331","WorldCat Record")</f>
        <v/>
      </c>
      <c r="AU3010" t="inlineStr">
        <is>
          <t>355952866:fre</t>
        </is>
      </c>
      <c r="AV3010" t="inlineStr">
        <is>
          <t>2386331</t>
        </is>
      </c>
      <c r="AW3010" t="inlineStr">
        <is>
          <t>991005369669702656</t>
        </is>
      </c>
      <c r="AX3010" t="inlineStr">
        <is>
          <t>991005369669702656</t>
        </is>
      </c>
      <c r="AY3010" t="inlineStr">
        <is>
          <t>2255924230002656</t>
        </is>
      </c>
      <c r="AZ3010" t="inlineStr">
        <is>
          <t>BOOK</t>
        </is>
      </c>
      <c r="BC3010" t="inlineStr">
        <is>
          <t>32285001080224</t>
        </is>
      </c>
      <c r="BD3010" t="inlineStr">
        <is>
          <t>893607269</t>
        </is>
      </c>
    </row>
    <row r="3011">
      <c r="A3011" t="inlineStr">
        <is>
          <t>No</t>
        </is>
      </c>
      <c r="B3011" t="inlineStr">
        <is>
          <t>BX841 .D67</t>
        </is>
      </c>
      <c r="C3011" t="inlineStr">
        <is>
          <t>0                      BX 0841000D  67</t>
        </is>
      </c>
      <c r="D3011" t="inlineStr">
        <is>
          <t>Dictionnaire de spiritualité ascétique et mystique, doctrine et histoire, publié sous la direction de Marcel Viller, S.J., assisté de F. Cavallera, et J. de Guibert, S.J., avec la concours d'un grand nombre de collaborateurs ...</t>
        </is>
      </c>
      <c r="E3011" t="inlineStr">
        <is>
          <t>V. 5</t>
        </is>
      </c>
      <c r="F3011" t="inlineStr">
        <is>
          <t>Yes</t>
        </is>
      </c>
      <c r="G3011" t="inlineStr">
        <is>
          <t>1</t>
        </is>
      </c>
      <c r="H3011" t="inlineStr">
        <is>
          <t>No</t>
        </is>
      </c>
      <c r="I3011" t="inlineStr">
        <is>
          <t>No</t>
        </is>
      </c>
      <c r="J3011" t="inlineStr">
        <is>
          <t>0</t>
        </is>
      </c>
      <c r="L3011" t="inlineStr">
        <is>
          <t>Paris G. Beauchesne et ses fils, 1937-</t>
        </is>
      </c>
      <c r="M3011" t="inlineStr">
        <is>
          <t>1937</t>
        </is>
      </c>
      <c r="O3011" t="inlineStr">
        <is>
          <t>fre</t>
        </is>
      </c>
      <c r="P3011" t="inlineStr">
        <is>
          <t xml:space="preserve">fr </t>
        </is>
      </c>
      <c r="R3011" t="inlineStr">
        <is>
          <t xml:space="preserve">BX </t>
        </is>
      </c>
      <c r="S3011" t="n">
        <v>0</v>
      </c>
      <c r="T3011" t="n">
        <v>41</v>
      </c>
      <c r="V3011" t="inlineStr">
        <is>
          <t>2002-08-30</t>
        </is>
      </c>
      <c r="W3011" t="inlineStr">
        <is>
          <t>1991-07-11</t>
        </is>
      </c>
      <c r="X3011" t="inlineStr">
        <is>
          <t>1995-10-16</t>
        </is>
      </c>
      <c r="Y3011" t="n">
        <v>231</v>
      </c>
      <c r="Z3011" t="n">
        <v>193</v>
      </c>
      <c r="AA3011" t="n">
        <v>209</v>
      </c>
      <c r="AB3011" t="n">
        <v>3</v>
      </c>
      <c r="AC3011" t="n">
        <v>3</v>
      </c>
      <c r="AD3011" t="n">
        <v>23</v>
      </c>
      <c r="AE3011" t="n">
        <v>25</v>
      </c>
      <c r="AF3011" t="n">
        <v>6</v>
      </c>
      <c r="AG3011" t="n">
        <v>6</v>
      </c>
      <c r="AH3011" t="n">
        <v>6</v>
      </c>
      <c r="AI3011" t="n">
        <v>7</v>
      </c>
      <c r="AJ3011" t="n">
        <v>18</v>
      </c>
      <c r="AK3011" t="n">
        <v>19</v>
      </c>
      <c r="AL3011" t="n">
        <v>1</v>
      </c>
      <c r="AM3011" t="n">
        <v>1</v>
      </c>
      <c r="AN3011" t="n">
        <v>0</v>
      </c>
      <c r="AO3011" t="n">
        <v>0</v>
      </c>
      <c r="AP3011" t="inlineStr">
        <is>
          <t>No</t>
        </is>
      </c>
      <c r="AQ3011" t="inlineStr">
        <is>
          <t>Yes</t>
        </is>
      </c>
      <c r="AR3011">
        <f>HYPERLINK("http://catalog.hathitrust.org/Record/000223578","HathiTrust Record")</f>
        <v/>
      </c>
      <c r="AS3011">
        <f>HYPERLINK("https://creighton-primo.hosted.exlibrisgroup.com/primo-explore/search?tab=default_tab&amp;search_scope=EVERYTHING&amp;vid=01CRU&amp;lang=en_US&amp;offset=0&amp;query=any,contains,991005369669702656","Catalog Record")</f>
        <v/>
      </c>
      <c r="AT3011">
        <f>HYPERLINK("http://www.worldcat.org/oclc/2386331","WorldCat Record")</f>
        <v/>
      </c>
      <c r="AU3011" t="inlineStr">
        <is>
          <t>355952866:fre</t>
        </is>
      </c>
      <c r="AV3011" t="inlineStr">
        <is>
          <t>2386331</t>
        </is>
      </c>
      <c r="AW3011" t="inlineStr">
        <is>
          <t>991005369669702656</t>
        </is>
      </c>
      <c r="AX3011" t="inlineStr">
        <is>
          <t>991005369669702656</t>
        </is>
      </c>
      <c r="AY3011" t="inlineStr">
        <is>
          <t>2255924230002656</t>
        </is>
      </c>
      <c r="AZ3011" t="inlineStr">
        <is>
          <t>BOOK</t>
        </is>
      </c>
      <c r="BC3011" t="inlineStr">
        <is>
          <t>32285000636935</t>
        </is>
      </c>
      <c r="BD3011" t="inlineStr">
        <is>
          <t>893601087</t>
        </is>
      </c>
    </row>
    <row r="3012">
      <c r="A3012" t="inlineStr">
        <is>
          <t>No</t>
        </is>
      </c>
      <c r="B3012" t="inlineStr">
        <is>
          <t>BX841 .D67</t>
        </is>
      </c>
      <c r="C3012" t="inlineStr">
        <is>
          <t>0                      BX 0841000D  67</t>
        </is>
      </c>
      <c r="D3012" t="inlineStr">
        <is>
          <t>Dictionnaire de spiritualité ascétique et mystique, doctrine et histoire, publié sous la direction de Marcel Viller, S.J., assisté de F. Cavallera, et J. de Guibert, S.J., avec la concours d'un grand nombre de collaborateurs ...</t>
        </is>
      </c>
      <c r="E3012" t="inlineStr">
        <is>
          <t>V. 8</t>
        </is>
      </c>
      <c r="F3012" t="inlineStr">
        <is>
          <t>Yes</t>
        </is>
      </c>
      <c r="G3012" t="inlineStr">
        <is>
          <t>1</t>
        </is>
      </c>
      <c r="H3012" t="inlineStr">
        <is>
          <t>No</t>
        </is>
      </c>
      <c r="I3012" t="inlineStr">
        <is>
          <t>No</t>
        </is>
      </c>
      <c r="J3012" t="inlineStr">
        <is>
          <t>0</t>
        </is>
      </c>
      <c r="L3012" t="inlineStr">
        <is>
          <t>Paris G. Beauchesne et ses fils, 1937-</t>
        </is>
      </c>
      <c r="M3012" t="inlineStr">
        <is>
          <t>1937</t>
        </is>
      </c>
      <c r="O3012" t="inlineStr">
        <is>
          <t>fre</t>
        </is>
      </c>
      <c r="P3012" t="inlineStr">
        <is>
          <t xml:space="preserve">fr </t>
        </is>
      </c>
      <c r="R3012" t="inlineStr">
        <is>
          <t xml:space="preserve">BX </t>
        </is>
      </c>
      <c r="S3012" t="n">
        <v>0</v>
      </c>
      <c r="T3012" t="n">
        <v>41</v>
      </c>
      <c r="V3012" t="inlineStr">
        <is>
          <t>2002-08-30</t>
        </is>
      </c>
      <c r="W3012" t="inlineStr">
        <is>
          <t>1992-04-28</t>
        </is>
      </c>
      <c r="X3012" t="inlineStr">
        <is>
          <t>1995-10-16</t>
        </is>
      </c>
      <c r="Y3012" t="n">
        <v>231</v>
      </c>
      <c r="Z3012" t="n">
        <v>193</v>
      </c>
      <c r="AA3012" t="n">
        <v>209</v>
      </c>
      <c r="AB3012" t="n">
        <v>3</v>
      </c>
      <c r="AC3012" t="n">
        <v>3</v>
      </c>
      <c r="AD3012" t="n">
        <v>23</v>
      </c>
      <c r="AE3012" t="n">
        <v>25</v>
      </c>
      <c r="AF3012" t="n">
        <v>6</v>
      </c>
      <c r="AG3012" t="n">
        <v>6</v>
      </c>
      <c r="AH3012" t="n">
        <v>6</v>
      </c>
      <c r="AI3012" t="n">
        <v>7</v>
      </c>
      <c r="AJ3012" t="n">
        <v>18</v>
      </c>
      <c r="AK3012" t="n">
        <v>19</v>
      </c>
      <c r="AL3012" t="n">
        <v>1</v>
      </c>
      <c r="AM3012" t="n">
        <v>1</v>
      </c>
      <c r="AN3012" t="n">
        <v>0</v>
      </c>
      <c r="AO3012" t="n">
        <v>0</v>
      </c>
      <c r="AP3012" t="inlineStr">
        <is>
          <t>No</t>
        </is>
      </c>
      <c r="AQ3012" t="inlineStr">
        <is>
          <t>Yes</t>
        </is>
      </c>
      <c r="AR3012">
        <f>HYPERLINK("http://catalog.hathitrust.org/Record/000223578","HathiTrust Record")</f>
        <v/>
      </c>
      <c r="AS3012">
        <f>HYPERLINK("https://creighton-primo.hosted.exlibrisgroup.com/primo-explore/search?tab=default_tab&amp;search_scope=EVERYTHING&amp;vid=01CRU&amp;lang=en_US&amp;offset=0&amp;query=any,contains,991005369669702656","Catalog Record")</f>
        <v/>
      </c>
      <c r="AT3012">
        <f>HYPERLINK("http://www.worldcat.org/oclc/2386331","WorldCat Record")</f>
        <v/>
      </c>
      <c r="AU3012" t="inlineStr">
        <is>
          <t>355952866:fre</t>
        </is>
      </c>
      <c r="AV3012" t="inlineStr">
        <is>
          <t>2386331</t>
        </is>
      </c>
      <c r="AW3012" t="inlineStr">
        <is>
          <t>991005369669702656</t>
        </is>
      </c>
      <c r="AX3012" t="inlineStr">
        <is>
          <t>991005369669702656</t>
        </is>
      </c>
      <c r="AY3012" t="inlineStr">
        <is>
          <t>2255924230002656</t>
        </is>
      </c>
      <c r="AZ3012" t="inlineStr">
        <is>
          <t>BOOK</t>
        </is>
      </c>
      <c r="BC3012" t="inlineStr">
        <is>
          <t>32285001080216</t>
        </is>
      </c>
      <c r="BD3012" t="inlineStr">
        <is>
          <t>893601086</t>
        </is>
      </c>
    </row>
    <row r="3013">
      <c r="A3013" t="inlineStr">
        <is>
          <t>No</t>
        </is>
      </c>
      <c r="B3013" t="inlineStr">
        <is>
          <t>BX841 .D67</t>
        </is>
      </c>
      <c r="C3013" t="inlineStr">
        <is>
          <t>0                      BX 0841000D  67</t>
        </is>
      </c>
      <c r="D3013" t="inlineStr">
        <is>
          <t>Dictionnaire de spiritualité ascétique et mystique, doctrine et histoire, publié sous la direction de Marcel Viller, S.J., assisté de F. Cavallera, et J. de Guibert, S.J., avec la concours d'un grand nombre de collaborateurs ...</t>
        </is>
      </c>
      <c r="E3013" t="inlineStr">
        <is>
          <t>V. 17</t>
        </is>
      </c>
      <c r="F3013" t="inlineStr">
        <is>
          <t>Yes</t>
        </is>
      </c>
      <c r="G3013" t="inlineStr">
        <is>
          <t>1</t>
        </is>
      </c>
      <c r="H3013" t="inlineStr">
        <is>
          <t>No</t>
        </is>
      </c>
      <c r="I3013" t="inlineStr">
        <is>
          <t>No</t>
        </is>
      </c>
      <c r="J3013" t="inlineStr">
        <is>
          <t>0</t>
        </is>
      </c>
      <c r="L3013" t="inlineStr">
        <is>
          <t>Paris G. Beauchesne et ses fils, 1937-</t>
        </is>
      </c>
      <c r="M3013" t="inlineStr">
        <is>
          <t>1937</t>
        </is>
      </c>
      <c r="O3013" t="inlineStr">
        <is>
          <t>fre</t>
        </is>
      </c>
      <c r="P3013" t="inlineStr">
        <is>
          <t xml:space="preserve">fr </t>
        </is>
      </c>
      <c r="R3013" t="inlineStr">
        <is>
          <t xml:space="preserve">BX </t>
        </is>
      </c>
      <c r="S3013" t="n">
        <v>1</v>
      </c>
      <c r="T3013" t="n">
        <v>41</v>
      </c>
      <c r="U3013" t="inlineStr">
        <is>
          <t>1995-10-20</t>
        </is>
      </c>
      <c r="V3013" t="inlineStr">
        <is>
          <t>2002-08-30</t>
        </is>
      </c>
      <c r="W3013" t="inlineStr">
        <is>
          <t>1995-10-16</t>
        </is>
      </c>
      <c r="X3013" t="inlineStr">
        <is>
          <t>1995-10-16</t>
        </is>
      </c>
      <c r="Y3013" t="n">
        <v>231</v>
      </c>
      <c r="Z3013" t="n">
        <v>193</v>
      </c>
      <c r="AA3013" t="n">
        <v>209</v>
      </c>
      <c r="AB3013" t="n">
        <v>3</v>
      </c>
      <c r="AC3013" t="n">
        <v>3</v>
      </c>
      <c r="AD3013" t="n">
        <v>23</v>
      </c>
      <c r="AE3013" t="n">
        <v>25</v>
      </c>
      <c r="AF3013" t="n">
        <v>6</v>
      </c>
      <c r="AG3013" t="n">
        <v>6</v>
      </c>
      <c r="AH3013" t="n">
        <v>6</v>
      </c>
      <c r="AI3013" t="n">
        <v>7</v>
      </c>
      <c r="AJ3013" t="n">
        <v>18</v>
      </c>
      <c r="AK3013" t="n">
        <v>19</v>
      </c>
      <c r="AL3013" t="n">
        <v>1</v>
      </c>
      <c r="AM3013" t="n">
        <v>1</v>
      </c>
      <c r="AN3013" t="n">
        <v>0</v>
      </c>
      <c r="AO3013" t="n">
        <v>0</v>
      </c>
      <c r="AP3013" t="inlineStr">
        <is>
          <t>No</t>
        </is>
      </c>
      <c r="AQ3013" t="inlineStr">
        <is>
          <t>Yes</t>
        </is>
      </c>
      <c r="AR3013">
        <f>HYPERLINK("http://catalog.hathitrust.org/Record/000223578","HathiTrust Record")</f>
        <v/>
      </c>
      <c r="AS3013">
        <f>HYPERLINK("https://creighton-primo.hosted.exlibrisgroup.com/primo-explore/search?tab=default_tab&amp;search_scope=EVERYTHING&amp;vid=01CRU&amp;lang=en_US&amp;offset=0&amp;query=any,contains,991005369669702656","Catalog Record")</f>
        <v/>
      </c>
      <c r="AT3013">
        <f>HYPERLINK("http://www.worldcat.org/oclc/2386331","WorldCat Record")</f>
        <v/>
      </c>
      <c r="AU3013" t="inlineStr">
        <is>
          <t>355952866:fre</t>
        </is>
      </c>
      <c r="AV3013" t="inlineStr">
        <is>
          <t>2386331</t>
        </is>
      </c>
      <c r="AW3013" t="inlineStr">
        <is>
          <t>991005369669702656</t>
        </is>
      </c>
      <c r="AX3013" t="inlineStr">
        <is>
          <t>991005369669702656</t>
        </is>
      </c>
      <c r="AY3013" t="inlineStr">
        <is>
          <t>2255924230002656</t>
        </is>
      </c>
      <c r="AZ3013" t="inlineStr">
        <is>
          <t>BOOK</t>
        </is>
      </c>
      <c r="BC3013" t="inlineStr">
        <is>
          <t>32285002087244</t>
        </is>
      </c>
      <c r="BD3013" t="inlineStr">
        <is>
          <t>893619875</t>
        </is>
      </c>
    </row>
    <row r="3014">
      <c r="A3014" t="inlineStr">
        <is>
          <t>No</t>
        </is>
      </c>
      <c r="B3014" t="inlineStr">
        <is>
          <t>BX841 .D67</t>
        </is>
      </c>
      <c r="C3014" t="inlineStr">
        <is>
          <t>0                      BX 0841000D  67</t>
        </is>
      </c>
      <c r="D3014" t="inlineStr">
        <is>
          <t>Dictionnaire de spiritualité ascétique et mystique, doctrine et histoire, publié sous la direction de Marcel Viller, S.J., assisté de F. Cavallera, et J. de Guibert, S.J., avec la concours d'un grand nombre de collaborateurs ...</t>
        </is>
      </c>
      <c r="E3014" t="inlineStr">
        <is>
          <t>V. 6</t>
        </is>
      </c>
      <c r="F3014" t="inlineStr">
        <is>
          <t>Yes</t>
        </is>
      </c>
      <c r="G3014" t="inlineStr">
        <is>
          <t>1</t>
        </is>
      </c>
      <c r="H3014" t="inlineStr">
        <is>
          <t>No</t>
        </is>
      </c>
      <c r="I3014" t="inlineStr">
        <is>
          <t>No</t>
        </is>
      </c>
      <c r="J3014" t="inlineStr">
        <is>
          <t>0</t>
        </is>
      </c>
      <c r="L3014" t="inlineStr">
        <is>
          <t>Paris G. Beauchesne et ses fils, 1937-</t>
        </is>
      </c>
      <c r="M3014" t="inlineStr">
        <is>
          <t>1937</t>
        </is>
      </c>
      <c r="O3014" t="inlineStr">
        <is>
          <t>fre</t>
        </is>
      </c>
      <c r="P3014" t="inlineStr">
        <is>
          <t xml:space="preserve">fr </t>
        </is>
      </c>
      <c r="R3014" t="inlineStr">
        <is>
          <t xml:space="preserve">BX </t>
        </is>
      </c>
      <c r="S3014" t="n">
        <v>2</v>
      </c>
      <c r="T3014" t="n">
        <v>41</v>
      </c>
      <c r="V3014" t="inlineStr">
        <is>
          <t>2002-08-30</t>
        </is>
      </c>
      <c r="W3014" t="inlineStr">
        <is>
          <t>1992-04-28</t>
        </is>
      </c>
      <c r="X3014" t="inlineStr">
        <is>
          <t>1995-10-16</t>
        </is>
      </c>
      <c r="Y3014" t="n">
        <v>231</v>
      </c>
      <c r="Z3014" t="n">
        <v>193</v>
      </c>
      <c r="AA3014" t="n">
        <v>209</v>
      </c>
      <c r="AB3014" t="n">
        <v>3</v>
      </c>
      <c r="AC3014" t="n">
        <v>3</v>
      </c>
      <c r="AD3014" t="n">
        <v>23</v>
      </c>
      <c r="AE3014" t="n">
        <v>25</v>
      </c>
      <c r="AF3014" t="n">
        <v>6</v>
      </c>
      <c r="AG3014" t="n">
        <v>6</v>
      </c>
      <c r="AH3014" t="n">
        <v>6</v>
      </c>
      <c r="AI3014" t="n">
        <v>7</v>
      </c>
      <c r="AJ3014" t="n">
        <v>18</v>
      </c>
      <c r="AK3014" t="n">
        <v>19</v>
      </c>
      <c r="AL3014" t="n">
        <v>1</v>
      </c>
      <c r="AM3014" t="n">
        <v>1</v>
      </c>
      <c r="AN3014" t="n">
        <v>0</v>
      </c>
      <c r="AO3014" t="n">
        <v>0</v>
      </c>
      <c r="AP3014" t="inlineStr">
        <is>
          <t>No</t>
        </is>
      </c>
      <c r="AQ3014" t="inlineStr">
        <is>
          <t>Yes</t>
        </is>
      </c>
      <c r="AR3014">
        <f>HYPERLINK("http://catalog.hathitrust.org/Record/000223578","HathiTrust Record")</f>
        <v/>
      </c>
      <c r="AS3014">
        <f>HYPERLINK("https://creighton-primo.hosted.exlibrisgroup.com/primo-explore/search?tab=default_tab&amp;search_scope=EVERYTHING&amp;vid=01CRU&amp;lang=en_US&amp;offset=0&amp;query=any,contains,991005369669702656","Catalog Record")</f>
        <v/>
      </c>
      <c r="AT3014">
        <f>HYPERLINK("http://www.worldcat.org/oclc/2386331","WorldCat Record")</f>
        <v/>
      </c>
      <c r="AU3014" t="inlineStr">
        <is>
          <t>355952866:fre</t>
        </is>
      </c>
      <c r="AV3014" t="inlineStr">
        <is>
          <t>2386331</t>
        </is>
      </c>
      <c r="AW3014" t="inlineStr">
        <is>
          <t>991005369669702656</t>
        </is>
      </c>
      <c r="AX3014" t="inlineStr">
        <is>
          <t>991005369669702656</t>
        </is>
      </c>
      <c r="AY3014" t="inlineStr">
        <is>
          <t>2255924230002656</t>
        </is>
      </c>
      <c r="AZ3014" t="inlineStr">
        <is>
          <t>BOOK</t>
        </is>
      </c>
      <c r="BC3014" t="inlineStr">
        <is>
          <t>32285001080190</t>
        </is>
      </c>
      <c r="BD3014" t="inlineStr">
        <is>
          <t>893628722</t>
        </is>
      </c>
    </row>
    <row r="3015">
      <c r="A3015" t="inlineStr">
        <is>
          <t>No</t>
        </is>
      </c>
      <c r="B3015" t="inlineStr">
        <is>
          <t>BX841 .D67</t>
        </is>
      </c>
      <c r="C3015" t="inlineStr">
        <is>
          <t>0                      BX 0841000D  67</t>
        </is>
      </c>
      <c r="D3015" t="inlineStr">
        <is>
          <t>Dictionnaire de spiritualité ascétique et mystique, doctrine et histoire, publié sous la direction de Marcel Viller, S.J., assisté de F. Cavallera, et J. de Guibert, S.J., avec la concours d'un grand nombre de collaborateurs ...</t>
        </is>
      </c>
      <c r="E3015" t="inlineStr">
        <is>
          <t>V. 2 PT. 2</t>
        </is>
      </c>
      <c r="F3015" t="inlineStr">
        <is>
          <t>Yes</t>
        </is>
      </c>
      <c r="G3015" t="inlineStr">
        <is>
          <t>1</t>
        </is>
      </c>
      <c r="H3015" t="inlineStr">
        <is>
          <t>No</t>
        </is>
      </c>
      <c r="I3015" t="inlineStr">
        <is>
          <t>No</t>
        </is>
      </c>
      <c r="J3015" t="inlineStr">
        <is>
          <t>0</t>
        </is>
      </c>
      <c r="L3015" t="inlineStr">
        <is>
          <t>Paris G. Beauchesne et ses fils, 1937-</t>
        </is>
      </c>
      <c r="M3015" t="inlineStr">
        <is>
          <t>1937</t>
        </is>
      </c>
      <c r="O3015" t="inlineStr">
        <is>
          <t>fre</t>
        </is>
      </c>
      <c r="P3015" t="inlineStr">
        <is>
          <t xml:space="preserve">fr </t>
        </is>
      </c>
      <c r="R3015" t="inlineStr">
        <is>
          <t xml:space="preserve">BX </t>
        </is>
      </c>
      <c r="S3015" t="n">
        <v>4</v>
      </c>
      <c r="T3015" t="n">
        <v>41</v>
      </c>
      <c r="U3015" t="inlineStr">
        <is>
          <t>2016-07-08</t>
        </is>
      </c>
      <c r="V3015" t="inlineStr">
        <is>
          <t>2002-08-30</t>
        </is>
      </c>
      <c r="W3015" t="inlineStr">
        <is>
          <t>1992-04-28</t>
        </is>
      </c>
      <c r="X3015" t="inlineStr">
        <is>
          <t>1995-10-16</t>
        </is>
      </c>
      <c r="Y3015" t="n">
        <v>231</v>
      </c>
      <c r="Z3015" t="n">
        <v>193</v>
      </c>
      <c r="AA3015" t="n">
        <v>209</v>
      </c>
      <c r="AB3015" t="n">
        <v>3</v>
      </c>
      <c r="AC3015" t="n">
        <v>3</v>
      </c>
      <c r="AD3015" t="n">
        <v>23</v>
      </c>
      <c r="AE3015" t="n">
        <v>25</v>
      </c>
      <c r="AF3015" t="n">
        <v>6</v>
      </c>
      <c r="AG3015" t="n">
        <v>6</v>
      </c>
      <c r="AH3015" t="n">
        <v>6</v>
      </c>
      <c r="AI3015" t="n">
        <v>7</v>
      </c>
      <c r="AJ3015" t="n">
        <v>18</v>
      </c>
      <c r="AK3015" t="n">
        <v>19</v>
      </c>
      <c r="AL3015" t="n">
        <v>1</v>
      </c>
      <c r="AM3015" t="n">
        <v>1</v>
      </c>
      <c r="AN3015" t="n">
        <v>0</v>
      </c>
      <c r="AO3015" t="n">
        <v>0</v>
      </c>
      <c r="AP3015" t="inlineStr">
        <is>
          <t>No</t>
        </is>
      </c>
      <c r="AQ3015" t="inlineStr">
        <is>
          <t>Yes</t>
        </is>
      </c>
      <c r="AR3015">
        <f>HYPERLINK("http://catalog.hathitrust.org/Record/000223578","HathiTrust Record")</f>
        <v/>
      </c>
      <c r="AS3015">
        <f>HYPERLINK("https://creighton-primo.hosted.exlibrisgroup.com/primo-explore/search?tab=default_tab&amp;search_scope=EVERYTHING&amp;vid=01CRU&amp;lang=en_US&amp;offset=0&amp;query=any,contains,991005369669702656","Catalog Record")</f>
        <v/>
      </c>
      <c r="AT3015">
        <f>HYPERLINK("http://www.worldcat.org/oclc/2386331","WorldCat Record")</f>
        <v/>
      </c>
      <c r="AU3015" t="inlineStr">
        <is>
          <t>355952866:fre</t>
        </is>
      </c>
      <c r="AV3015" t="inlineStr">
        <is>
          <t>2386331</t>
        </is>
      </c>
      <c r="AW3015" t="inlineStr">
        <is>
          <t>991005369669702656</t>
        </is>
      </c>
      <c r="AX3015" t="inlineStr">
        <is>
          <t>991005369669702656</t>
        </is>
      </c>
      <c r="AY3015" t="inlineStr">
        <is>
          <t>2255924230002656</t>
        </is>
      </c>
      <c r="AZ3015" t="inlineStr">
        <is>
          <t>BOOK</t>
        </is>
      </c>
      <c r="BC3015" t="inlineStr">
        <is>
          <t>32285001080174</t>
        </is>
      </c>
      <c r="BD3015" t="inlineStr">
        <is>
          <t>893607270</t>
        </is>
      </c>
    </row>
    <row r="3016">
      <c r="A3016" t="inlineStr">
        <is>
          <t>No</t>
        </is>
      </c>
      <c r="B3016" t="inlineStr">
        <is>
          <t>BX841 .D67</t>
        </is>
      </c>
      <c r="C3016" t="inlineStr">
        <is>
          <t>0                      BX 0841000D  67</t>
        </is>
      </c>
      <c r="D3016" t="inlineStr">
        <is>
          <t>Dictionnaire de spiritualité ascétique et mystique, doctrine et histoire, publié sous la direction de Marcel Viller, S.J., assisté de F. Cavallera, et J. de Guibert, S.J., avec la concours d'un grand nombre de collaborateurs ...</t>
        </is>
      </c>
      <c r="E3016" t="inlineStr">
        <is>
          <t>V. 4</t>
        </is>
      </c>
      <c r="F3016" t="inlineStr">
        <is>
          <t>Yes</t>
        </is>
      </c>
      <c r="G3016" t="inlineStr">
        <is>
          <t>1</t>
        </is>
      </c>
      <c r="H3016" t="inlineStr">
        <is>
          <t>No</t>
        </is>
      </c>
      <c r="I3016" t="inlineStr">
        <is>
          <t>No</t>
        </is>
      </c>
      <c r="J3016" t="inlineStr">
        <is>
          <t>0</t>
        </is>
      </c>
      <c r="L3016" t="inlineStr">
        <is>
          <t>Paris G. Beauchesne et ses fils, 1937-</t>
        </is>
      </c>
      <c r="M3016" t="inlineStr">
        <is>
          <t>1937</t>
        </is>
      </c>
      <c r="O3016" t="inlineStr">
        <is>
          <t>fre</t>
        </is>
      </c>
      <c r="P3016" t="inlineStr">
        <is>
          <t xml:space="preserve">fr </t>
        </is>
      </c>
      <c r="R3016" t="inlineStr">
        <is>
          <t xml:space="preserve">BX </t>
        </is>
      </c>
      <c r="S3016" t="n">
        <v>1</v>
      </c>
      <c r="T3016" t="n">
        <v>41</v>
      </c>
      <c r="U3016" t="inlineStr">
        <is>
          <t>1992-10-02</t>
        </is>
      </c>
      <c r="V3016" t="inlineStr">
        <is>
          <t>2002-08-30</t>
        </is>
      </c>
      <c r="W3016" t="inlineStr">
        <is>
          <t>1991-07-11</t>
        </is>
      </c>
      <c r="X3016" t="inlineStr">
        <is>
          <t>1995-10-16</t>
        </is>
      </c>
      <c r="Y3016" t="n">
        <v>231</v>
      </c>
      <c r="Z3016" t="n">
        <v>193</v>
      </c>
      <c r="AA3016" t="n">
        <v>209</v>
      </c>
      <c r="AB3016" t="n">
        <v>3</v>
      </c>
      <c r="AC3016" t="n">
        <v>3</v>
      </c>
      <c r="AD3016" t="n">
        <v>23</v>
      </c>
      <c r="AE3016" t="n">
        <v>25</v>
      </c>
      <c r="AF3016" t="n">
        <v>6</v>
      </c>
      <c r="AG3016" t="n">
        <v>6</v>
      </c>
      <c r="AH3016" t="n">
        <v>6</v>
      </c>
      <c r="AI3016" t="n">
        <v>7</v>
      </c>
      <c r="AJ3016" t="n">
        <v>18</v>
      </c>
      <c r="AK3016" t="n">
        <v>19</v>
      </c>
      <c r="AL3016" t="n">
        <v>1</v>
      </c>
      <c r="AM3016" t="n">
        <v>1</v>
      </c>
      <c r="AN3016" t="n">
        <v>0</v>
      </c>
      <c r="AO3016" t="n">
        <v>0</v>
      </c>
      <c r="AP3016" t="inlineStr">
        <is>
          <t>No</t>
        </is>
      </c>
      <c r="AQ3016" t="inlineStr">
        <is>
          <t>Yes</t>
        </is>
      </c>
      <c r="AR3016">
        <f>HYPERLINK("http://catalog.hathitrust.org/Record/000223578","HathiTrust Record")</f>
        <v/>
      </c>
      <c r="AS3016">
        <f>HYPERLINK("https://creighton-primo.hosted.exlibrisgroup.com/primo-explore/search?tab=default_tab&amp;search_scope=EVERYTHING&amp;vid=01CRU&amp;lang=en_US&amp;offset=0&amp;query=any,contains,991005369669702656","Catalog Record")</f>
        <v/>
      </c>
      <c r="AT3016">
        <f>HYPERLINK("http://www.worldcat.org/oclc/2386331","WorldCat Record")</f>
        <v/>
      </c>
      <c r="AU3016" t="inlineStr">
        <is>
          <t>355952866:fre</t>
        </is>
      </c>
      <c r="AV3016" t="inlineStr">
        <is>
          <t>2386331</t>
        </is>
      </c>
      <c r="AW3016" t="inlineStr">
        <is>
          <t>991005369669702656</t>
        </is>
      </c>
      <c r="AX3016" t="inlineStr">
        <is>
          <t>991005369669702656</t>
        </is>
      </c>
      <c r="AY3016" t="inlineStr">
        <is>
          <t>2255924230002656</t>
        </is>
      </c>
      <c r="AZ3016" t="inlineStr">
        <is>
          <t>BOOK</t>
        </is>
      </c>
      <c r="BC3016" t="inlineStr">
        <is>
          <t>32285000636927</t>
        </is>
      </c>
      <c r="BD3016" t="inlineStr">
        <is>
          <t>893628723</t>
        </is>
      </c>
    </row>
    <row r="3017">
      <c r="A3017" t="inlineStr">
        <is>
          <t>No</t>
        </is>
      </c>
      <c r="B3017" t="inlineStr">
        <is>
          <t>BX841 .D67</t>
        </is>
      </c>
      <c r="C3017" t="inlineStr">
        <is>
          <t>0                      BX 0841000D  67</t>
        </is>
      </c>
      <c r="D3017" t="inlineStr">
        <is>
          <t>Dictionnaire de spiritualité ascétique et mystique, doctrine et histoire, publié sous la direction de Marcel Viller, S.J., assisté de F. Cavallera, et J. de Guibert, S.J., avec la concours d'un grand nombre de collaborateurs ...</t>
        </is>
      </c>
      <c r="E3017" t="inlineStr">
        <is>
          <t>V. 11</t>
        </is>
      </c>
      <c r="F3017" t="inlineStr">
        <is>
          <t>Yes</t>
        </is>
      </c>
      <c r="G3017" t="inlineStr">
        <is>
          <t>1</t>
        </is>
      </c>
      <c r="H3017" t="inlineStr">
        <is>
          <t>No</t>
        </is>
      </c>
      <c r="I3017" t="inlineStr">
        <is>
          <t>No</t>
        </is>
      </c>
      <c r="J3017" t="inlineStr">
        <is>
          <t>0</t>
        </is>
      </c>
      <c r="L3017" t="inlineStr">
        <is>
          <t>Paris G. Beauchesne et ses fils, 1937-</t>
        </is>
      </c>
      <c r="M3017" t="inlineStr">
        <is>
          <t>1937</t>
        </is>
      </c>
      <c r="O3017" t="inlineStr">
        <is>
          <t>fre</t>
        </is>
      </c>
      <c r="P3017" t="inlineStr">
        <is>
          <t xml:space="preserve">fr </t>
        </is>
      </c>
      <c r="R3017" t="inlineStr">
        <is>
          <t xml:space="preserve">BX </t>
        </is>
      </c>
      <c r="S3017" t="n">
        <v>1</v>
      </c>
      <c r="T3017" t="n">
        <v>41</v>
      </c>
      <c r="U3017" t="inlineStr">
        <is>
          <t>1997-05-23</t>
        </is>
      </c>
      <c r="V3017" t="inlineStr">
        <is>
          <t>2002-08-30</t>
        </is>
      </c>
      <c r="W3017" t="inlineStr">
        <is>
          <t>1993-03-29</t>
        </is>
      </c>
      <c r="X3017" t="inlineStr">
        <is>
          <t>1995-10-16</t>
        </is>
      </c>
      <c r="Y3017" t="n">
        <v>231</v>
      </c>
      <c r="Z3017" t="n">
        <v>193</v>
      </c>
      <c r="AA3017" t="n">
        <v>209</v>
      </c>
      <c r="AB3017" t="n">
        <v>3</v>
      </c>
      <c r="AC3017" t="n">
        <v>3</v>
      </c>
      <c r="AD3017" t="n">
        <v>23</v>
      </c>
      <c r="AE3017" t="n">
        <v>25</v>
      </c>
      <c r="AF3017" t="n">
        <v>6</v>
      </c>
      <c r="AG3017" t="n">
        <v>6</v>
      </c>
      <c r="AH3017" t="n">
        <v>6</v>
      </c>
      <c r="AI3017" t="n">
        <v>7</v>
      </c>
      <c r="AJ3017" t="n">
        <v>18</v>
      </c>
      <c r="AK3017" t="n">
        <v>19</v>
      </c>
      <c r="AL3017" t="n">
        <v>1</v>
      </c>
      <c r="AM3017" t="n">
        <v>1</v>
      </c>
      <c r="AN3017" t="n">
        <v>0</v>
      </c>
      <c r="AO3017" t="n">
        <v>0</v>
      </c>
      <c r="AP3017" t="inlineStr">
        <is>
          <t>No</t>
        </is>
      </c>
      <c r="AQ3017" t="inlineStr">
        <is>
          <t>Yes</t>
        </is>
      </c>
      <c r="AR3017">
        <f>HYPERLINK("http://catalog.hathitrust.org/Record/000223578","HathiTrust Record")</f>
        <v/>
      </c>
      <c r="AS3017">
        <f>HYPERLINK("https://creighton-primo.hosted.exlibrisgroup.com/primo-explore/search?tab=default_tab&amp;search_scope=EVERYTHING&amp;vid=01CRU&amp;lang=en_US&amp;offset=0&amp;query=any,contains,991005369669702656","Catalog Record")</f>
        <v/>
      </c>
      <c r="AT3017">
        <f>HYPERLINK("http://www.worldcat.org/oclc/2386331","WorldCat Record")</f>
        <v/>
      </c>
      <c r="AU3017" t="inlineStr">
        <is>
          <t>355952866:fre</t>
        </is>
      </c>
      <c r="AV3017" t="inlineStr">
        <is>
          <t>2386331</t>
        </is>
      </c>
      <c r="AW3017" t="inlineStr">
        <is>
          <t>991005369669702656</t>
        </is>
      </c>
      <c r="AX3017" t="inlineStr">
        <is>
          <t>991005369669702656</t>
        </is>
      </c>
      <c r="AY3017" t="inlineStr">
        <is>
          <t>2255924230002656</t>
        </is>
      </c>
      <c r="AZ3017" t="inlineStr">
        <is>
          <t>BOOK</t>
        </is>
      </c>
      <c r="BC3017" t="inlineStr">
        <is>
          <t>32285001592947</t>
        </is>
      </c>
      <c r="BD3017" t="inlineStr">
        <is>
          <t>893601089</t>
        </is>
      </c>
    </row>
    <row r="3018">
      <c r="A3018" t="inlineStr">
        <is>
          <t>No</t>
        </is>
      </c>
      <c r="B3018" t="inlineStr">
        <is>
          <t>BX841 .D67</t>
        </is>
      </c>
      <c r="C3018" t="inlineStr">
        <is>
          <t>0                      BX 0841000D  67</t>
        </is>
      </c>
      <c r="D3018" t="inlineStr">
        <is>
          <t>Dictionnaire de spiritualité ascétique et mystique, doctrine et histoire, publié sous la direction de Marcel Viller, S.J., assisté de F. Cavallera, et J. de Guibert, S.J., avec la concours d'un grand nombre de collaborateurs ...</t>
        </is>
      </c>
      <c r="E3018" t="inlineStr">
        <is>
          <t>V. 2 PT. 1</t>
        </is>
      </c>
      <c r="F3018" t="inlineStr">
        <is>
          <t>Yes</t>
        </is>
      </c>
      <c r="G3018" t="inlineStr">
        <is>
          <t>1</t>
        </is>
      </c>
      <c r="H3018" t="inlineStr">
        <is>
          <t>No</t>
        </is>
      </c>
      <c r="I3018" t="inlineStr">
        <is>
          <t>No</t>
        </is>
      </c>
      <c r="J3018" t="inlineStr">
        <is>
          <t>0</t>
        </is>
      </c>
      <c r="L3018" t="inlineStr">
        <is>
          <t>Paris G. Beauchesne et ses fils, 1937-</t>
        </is>
      </c>
      <c r="M3018" t="inlineStr">
        <is>
          <t>1937</t>
        </is>
      </c>
      <c r="O3018" t="inlineStr">
        <is>
          <t>fre</t>
        </is>
      </c>
      <c r="P3018" t="inlineStr">
        <is>
          <t xml:space="preserve">fr </t>
        </is>
      </c>
      <c r="R3018" t="inlineStr">
        <is>
          <t xml:space="preserve">BX </t>
        </is>
      </c>
      <c r="S3018" t="n">
        <v>3</v>
      </c>
      <c r="T3018" t="n">
        <v>41</v>
      </c>
      <c r="U3018" t="inlineStr">
        <is>
          <t>2002-08-30</t>
        </is>
      </c>
      <c r="V3018" t="inlineStr">
        <is>
          <t>2002-08-30</t>
        </is>
      </c>
      <c r="W3018" t="inlineStr">
        <is>
          <t>1992-04-28</t>
        </is>
      </c>
      <c r="X3018" t="inlineStr">
        <is>
          <t>1995-10-16</t>
        </is>
      </c>
      <c r="Y3018" t="n">
        <v>231</v>
      </c>
      <c r="Z3018" t="n">
        <v>193</v>
      </c>
      <c r="AA3018" t="n">
        <v>209</v>
      </c>
      <c r="AB3018" t="n">
        <v>3</v>
      </c>
      <c r="AC3018" t="n">
        <v>3</v>
      </c>
      <c r="AD3018" t="n">
        <v>23</v>
      </c>
      <c r="AE3018" t="n">
        <v>25</v>
      </c>
      <c r="AF3018" t="n">
        <v>6</v>
      </c>
      <c r="AG3018" t="n">
        <v>6</v>
      </c>
      <c r="AH3018" t="n">
        <v>6</v>
      </c>
      <c r="AI3018" t="n">
        <v>7</v>
      </c>
      <c r="AJ3018" t="n">
        <v>18</v>
      </c>
      <c r="AK3018" t="n">
        <v>19</v>
      </c>
      <c r="AL3018" t="n">
        <v>1</v>
      </c>
      <c r="AM3018" t="n">
        <v>1</v>
      </c>
      <c r="AN3018" t="n">
        <v>0</v>
      </c>
      <c r="AO3018" t="n">
        <v>0</v>
      </c>
      <c r="AP3018" t="inlineStr">
        <is>
          <t>No</t>
        </is>
      </c>
      <c r="AQ3018" t="inlineStr">
        <is>
          <t>Yes</t>
        </is>
      </c>
      <c r="AR3018">
        <f>HYPERLINK("http://catalog.hathitrust.org/Record/000223578","HathiTrust Record")</f>
        <v/>
      </c>
      <c r="AS3018">
        <f>HYPERLINK("https://creighton-primo.hosted.exlibrisgroup.com/primo-explore/search?tab=default_tab&amp;search_scope=EVERYTHING&amp;vid=01CRU&amp;lang=en_US&amp;offset=0&amp;query=any,contains,991005369669702656","Catalog Record")</f>
        <v/>
      </c>
      <c r="AT3018">
        <f>HYPERLINK("http://www.worldcat.org/oclc/2386331","WorldCat Record")</f>
        <v/>
      </c>
      <c r="AU3018" t="inlineStr">
        <is>
          <t>355952866:fre</t>
        </is>
      </c>
      <c r="AV3018" t="inlineStr">
        <is>
          <t>2386331</t>
        </is>
      </c>
      <c r="AW3018" t="inlineStr">
        <is>
          <t>991005369669702656</t>
        </is>
      </c>
      <c r="AX3018" t="inlineStr">
        <is>
          <t>991005369669702656</t>
        </is>
      </c>
      <c r="AY3018" t="inlineStr">
        <is>
          <t>2255924230002656</t>
        </is>
      </c>
      <c r="AZ3018" t="inlineStr">
        <is>
          <t>BOOK</t>
        </is>
      </c>
      <c r="BC3018" t="inlineStr">
        <is>
          <t>32285001080166</t>
        </is>
      </c>
      <c r="BD3018" t="inlineStr">
        <is>
          <t>893619874</t>
        </is>
      </c>
    </row>
    <row r="3019">
      <c r="A3019" t="inlineStr">
        <is>
          <t>No</t>
        </is>
      </c>
      <c r="B3019" t="inlineStr">
        <is>
          <t>BX841 .D67</t>
        </is>
      </c>
      <c r="C3019" t="inlineStr">
        <is>
          <t>0                      BX 0841000D  67</t>
        </is>
      </c>
      <c r="D3019" t="inlineStr">
        <is>
          <t>Dictionnaire de spiritualité ascétique et mystique, doctrine et histoire, publié sous la direction de Marcel Viller, S.J., assisté de F. Cavallera, et J. de Guibert, S.J., avec la concours d'un grand nombre de collaborateurs ...</t>
        </is>
      </c>
      <c r="E3019" t="inlineStr">
        <is>
          <t>V. 7</t>
        </is>
      </c>
      <c r="F3019" t="inlineStr">
        <is>
          <t>Yes</t>
        </is>
      </c>
      <c r="G3019" t="inlineStr">
        <is>
          <t>1</t>
        </is>
      </c>
      <c r="H3019" t="inlineStr">
        <is>
          <t>No</t>
        </is>
      </c>
      <c r="I3019" t="inlineStr">
        <is>
          <t>No</t>
        </is>
      </c>
      <c r="J3019" t="inlineStr">
        <is>
          <t>0</t>
        </is>
      </c>
      <c r="L3019" t="inlineStr">
        <is>
          <t>Paris G. Beauchesne et ses fils, 1937-</t>
        </is>
      </c>
      <c r="M3019" t="inlineStr">
        <is>
          <t>1937</t>
        </is>
      </c>
      <c r="O3019" t="inlineStr">
        <is>
          <t>fre</t>
        </is>
      </c>
      <c r="P3019" t="inlineStr">
        <is>
          <t xml:space="preserve">fr </t>
        </is>
      </c>
      <c r="R3019" t="inlineStr">
        <is>
          <t xml:space="preserve">BX </t>
        </is>
      </c>
      <c r="S3019" t="n">
        <v>1</v>
      </c>
      <c r="T3019" t="n">
        <v>41</v>
      </c>
      <c r="V3019" t="inlineStr">
        <is>
          <t>2002-08-30</t>
        </is>
      </c>
      <c r="W3019" t="inlineStr">
        <is>
          <t>1992-04-28</t>
        </is>
      </c>
      <c r="X3019" t="inlineStr">
        <is>
          <t>1995-10-16</t>
        </is>
      </c>
      <c r="Y3019" t="n">
        <v>231</v>
      </c>
      <c r="Z3019" t="n">
        <v>193</v>
      </c>
      <c r="AA3019" t="n">
        <v>209</v>
      </c>
      <c r="AB3019" t="n">
        <v>3</v>
      </c>
      <c r="AC3019" t="n">
        <v>3</v>
      </c>
      <c r="AD3019" t="n">
        <v>23</v>
      </c>
      <c r="AE3019" t="n">
        <v>25</v>
      </c>
      <c r="AF3019" t="n">
        <v>6</v>
      </c>
      <c r="AG3019" t="n">
        <v>6</v>
      </c>
      <c r="AH3019" t="n">
        <v>6</v>
      </c>
      <c r="AI3019" t="n">
        <v>7</v>
      </c>
      <c r="AJ3019" t="n">
        <v>18</v>
      </c>
      <c r="AK3019" t="n">
        <v>19</v>
      </c>
      <c r="AL3019" t="n">
        <v>1</v>
      </c>
      <c r="AM3019" t="n">
        <v>1</v>
      </c>
      <c r="AN3019" t="n">
        <v>0</v>
      </c>
      <c r="AO3019" t="n">
        <v>0</v>
      </c>
      <c r="AP3019" t="inlineStr">
        <is>
          <t>No</t>
        </is>
      </c>
      <c r="AQ3019" t="inlineStr">
        <is>
          <t>Yes</t>
        </is>
      </c>
      <c r="AR3019">
        <f>HYPERLINK("http://catalog.hathitrust.org/Record/000223578","HathiTrust Record")</f>
        <v/>
      </c>
      <c r="AS3019">
        <f>HYPERLINK("https://creighton-primo.hosted.exlibrisgroup.com/primo-explore/search?tab=default_tab&amp;search_scope=EVERYTHING&amp;vid=01CRU&amp;lang=en_US&amp;offset=0&amp;query=any,contains,991005369669702656","Catalog Record")</f>
        <v/>
      </c>
      <c r="AT3019">
        <f>HYPERLINK("http://www.worldcat.org/oclc/2386331","WorldCat Record")</f>
        <v/>
      </c>
      <c r="AU3019" t="inlineStr">
        <is>
          <t>355952866:fre</t>
        </is>
      </c>
      <c r="AV3019" t="inlineStr">
        <is>
          <t>2386331</t>
        </is>
      </c>
      <c r="AW3019" t="inlineStr">
        <is>
          <t>991005369669702656</t>
        </is>
      </c>
      <c r="AX3019" t="inlineStr">
        <is>
          <t>991005369669702656</t>
        </is>
      </c>
      <c r="AY3019" t="inlineStr">
        <is>
          <t>2255924230002656</t>
        </is>
      </c>
      <c r="AZ3019" t="inlineStr">
        <is>
          <t>BOOK</t>
        </is>
      </c>
      <c r="BC3019" t="inlineStr">
        <is>
          <t>32285001080208</t>
        </is>
      </c>
      <c r="BD3019" t="inlineStr">
        <is>
          <t>893619873</t>
        </is>
      </c>
    </row>
    <row r="3020">
      <c r="A3020" t="inlineStr">
        <is>
          <t>No</t>
        </is>
      </c>
      <c r="B3020" t="inlineStr">
        <is>
          <t>BX841 .D67</t>
        </is>
      </c>
      <c r="C3020" t="inlineStr">
        <is>
          <t>0                      BX 0841000D  67</t>
        </is>
      </c>
      <c r="D3020" t="inlineStr">
        <is>
          <t>Dictionnaire de spiritualité ascétique et mystique, doctrine et histoire, publié sous la direction de Marcel Viller, S.J., assisté de F. Cavallera, et J. de Guibert, S.J., avec la concours d'un grand nombre de collaborateurs ...</t>
        </is>
      </c>
      <c r="E3020" t="inlineStr">
        <is>
          <t>V. 12 PT. 2</t>
        </is>
      </c>
      <c r="F3020" t="inlineStr">
        <is>
          <t>Yes</t>
        </is>
      </c>
      <c r="G3020" t="inlineStr">
        <is>
          <t>1</t>
        </is>
      </c>
      <c r="H3020" t="inlineStr">
        <is>
          <t>No</t>
        </is>
      </c>
      <c r="I3020" t="inlineStr">
        <is>
          <t>No</t>
        </is>
      </c>
      <c r="J3020" t="inlineStr">
        <is>
          <t>0</t>
        </is>
      </c>
      <c r="L3020" t="inlineStr">
        <is>
          <t>Paris G. Beauchesne et ses fils, 1937-</t>
        </is>
      </c>
      <c r="M3020" t="inlineStr">
        <is>
          <t>1937</t>
        </is>
      </c>
      <c r="O3020" t="inlineStr">
        <is>
          <t>fre</t>
        </is>
      </c>
      <c r="P3020" t="inlineStr">
        <is>
          <t xml:space="preserve">fr </t>
        </is>
      </c>
      <c r="R3020" t="inlineStr">
        <is>
          <t xml:space="preserve">BX </t>
        </is>
      </c>
      <c r="S3020" t="n">
        <v>0</v>
      </c>
      <c r="T3020" t="n">
        <v>41</v>
      </c>
      <c r="V3020" t="inlineStr">
        <is>
          <t>2002-08-30</t>
        </is>
      </c>
      <c r="W3020" t="inlineStr">
        <is>
          <t>1993-03-29</t>
        </is>
      </c>
      <c r="X3020" t="inlineStr">
        <is>
          <t>1995-10-16</t>
        </is>
      </c>
      <c r="Y3020" t="n">
        <v>231</v>
      </c>
      <c r="Z3020" t="n">
        <v>193</v>
      </c>
      <c r="AA3020" t="n">
        <v>209</v>
      </c>
      <c r="AB3020" t="n">
        <v>3</v>
      </c>
      <c r="AC3020" t="n">
        <v>3</v>
      </c>
      <c r="AD3020" t="n">
        <v>23</v>
      </c>
      <c r="AE3020" t="n">
        <v>25</v>
      </c>
      <c r="AF3020" t="n">
        <v>6</v>
      </c>
      <c r="AG3020" t="n">
        <v>6</v>
      </c>
      <c r="AH3020" t="n">
        <v>6</v>
      </c>
      <c r="AI3020" t="n">
        <v>7</v>
      </c>
      <c r="AJ3020" t="n">
        <v>18</v>
      </c>
      <c r="AK3020" t="n">
        <v>19</v>
      </c>
      <c r="AL3020" t="n">
        <v>1</v>
      </c>
      <c r="AM3020" t="n">
        <v>1</v>
      </c>
      <c r="AN3020" t="n">
        <v>0</v>
      </c>
      <c r="AO3020" t="n">
        <v>0</v>
      </c>
      <c r="AP3020" t="inlineStr">
        <is>
          <t>No</t>
        </is>
      </c>
      <c r="AQ3020" t="inlineStr">
        <is>
          <t>Yes</t>
        </is>
      </c>
      <c r="AR3020">
        <f>HYPERLINK("http://catalog.hathitrust.org/Record/000223578","HathiTrust Record")</f>
        <v/>
      </c>
      <c r="AS3020">
        <f>HYPERLINK("https://creighton-primo.hosted.exlibrisgroup.com/primo-explore/search?tab=default_tab&amp;search_scope=EVERYTHING&amp;vid=01CRU&amp;lang=en_US&amp;offset=0&amp;query=any,contains,991005369669702656","Catalog Record")</f>
        <v/>
      </c>
      <c r="AT3020">
        <f>HYPERLINK("http://www.worldcat.org/oclc/2386331","WorldCat Record")</f>
        <v/>
      </c>
      <c r="AU3020" t="inlineStr">
        <is>
          <t>355952866:fre</t>
        </is>
      </c>
      <c r="AV3020" t="inlineStr">
        <is>
          <t>2386331</t>
        </is>
      </c>
      <c r="AW3020" t="inlineStr">
        <is>
          <t>991005369669702656</t>
        </is>
      </c>
      <c r="AX3020" t="inlineStr">
        <is>
          <t>991005369669702656</t>
        </is>
      </c>
      <c r="AY3020" t="inlineStr">
        <is>
          <t>2255924230002656</t>
        </is>
      </c>
      <c r="AZ3020" t="inlineStr">
        <is>
          <t>BOOK</t>
        </is>
      </c>
      <c r="BC3020" t="inlineStr">
        <is>
          <t>32285001592962</t>
        </is>
      </c>
      <c r="BD3020" t="inlineStr">
        <is>
          <t>893601088</t>
        </is>
      </c>
    </row>
    <row r="3021">
      <c r="A3021" t="inlineStr">
        <is>
          <t>No</t>
        </is>
      </c>
      <c r="B3021" t="inlineStr">
        <is>
          <t>BX841 .D67</t>
        </is>
      </c>
      <c r="C3021" t="inlineStr">
        <is>
          <t>0                      BX 0841000D  67</t>
        </is>
      </c>
      <c r="D3021" t="inlineStr">
        <is>
          <t>Dictionnaire de spiritualité ascétique et mystique, doctrine et histoire, publié sous la direction de Marcel Viller, S.J., assisté de F. Cavallera, et J. de Guibert, S.J., avec la concours d'un grand nombre de collaborateurs ...</t>
        </is>
      </c>
      <c r="E3021" t="inlineStr">
        <is>
          <t>V. 1</t>
        </is>
      </c>
      <c r="F3021" t="inlineStr">
        <is>
          <t>Yes</t>
        </is>
      </c>
      <c r="G3021" t="inlineStr">
        <is>
          <t>1</t>
        </is>
      </c>
      <c r="H3021" t="inlineStr">
        <is>
          <t>No</t>
        </is>
      </c>
      <c r="I3021" t="inlineStr">
        <is>
          <t>No</t>
        </is>
      </c>
      <c r="J3021" t="inlineStr">
        <is>
          <t>0</t>
        </is>
      </c>
      <c r="L3021" t="inlineStr">
        <is>
          <t>Paris G. Beauchesne et ses fils, 1937-</t>
        </is>
      </c>
      <c r="M3021" t="inlineStr">
        <is>
          <t>1937</t>
        </is>
      </c>
      <c r="O3021" t="inlineStr">
        <is>
          <t>fre</t>
        </is>
      </c>
      <c r="P3021" t="inlineStr">
        <is>
          <t xml:space="preserve">fr </t>
        </is>
      </c>
      <c r="R3021" t="inlineStr">
        <is>
          <t xml:space="preserve">BX </t>
        </is>
      </c>
      <c r="S3021" t="n">
        <v>7</v>
      </c>
      <c r="T3021" t="n">
        <v>41</v>
      </c>
      <c r="U3021" t="inlineStr">
        <is>
          <t>2002-08-30</t>
        </is>
      </c>
      <c r="V3021" t="inlineStr">
        <is>
          <t>2002-08-30</t>
        </is>
      </c>
      <c r="W3021" t="inlineStr">
        <is>
          <t>1992-04-28</t>
        </is>
      </c>
      <c r="X3021" t="inlineStr">
        <is>
          <t>1995-10-16</t>
        </is>
      </c>
      <c r="Y3021" t="n">
        <v>231</v>
      </c>
      <c r="Z3021" t="n">
        <v>193</v>
      </c>
      <c r="AA3021" t="n">
        <v>209</v>
      </c>
      <c r="AB3021" t="n">
        <v>3</v>
      </c>
      <c r="AC3021" t="n">
        <v>3</v>
      </c>
      <c r="AD3021" t="n">
        <v>23</v>
      </c>
      <c r="AE3021" t="n">
        <v>25</v>
      </c>
      <c r="AF3021" t="n">
        <v>6</v>
      </c>
      <c r="AG3021" t="n">
        <v>6</v>
      </c>
      <c r="AH3021" t="n">
        <v>6</v>
      </c>
      <c r="AI3021" t="n">
        <v>7</v>
      </c>
      <c r="AJ3021" t="n">
        <v>18</v>
      </c>
      <c r="AK3021" t="n">
        <v>19</v>
      </c>
      <c r="AL3021" t="n">
        <v>1</v>
      </c>
      <c r="AM3021" t="n">
        <v>1</v>
      </c>
      <c r="AN3021" t="n">
        <v>0</v>
      </c>
      <c r="AO3021" t="n">
        <v>0</v>
      </c>
      <c r="AP3021" t="inlineStr">
        <is>
          <t>No</t>
        </is>
      </c>
      <c r="AQ3021" t="inlineStr">
        <is>
          <t>Yes</t>
        </is>
      </c>
      <c r="AR3021">
        <f>HYPERLINK("http://catalog.hathitrust.org/Record/000223578","HathiTrust Record")</f>
        <v/>
      </c>
      <c r="AS3021">
        <f>HYPERLINK("https://creighton-primo.hosted.exlibrisgroup.com/primo-explore/search?tab=default_tab&amp;search_scope=EVERYTHING&amp;vid=01CRU&amp;lang=en_US&amp;offset=0&amp;query=any,contains,991005369669702656","Catalog Record")</f>
        <v/>
      </c>
      <c r="AT3021">
        <f>HYPERLINK("http://www.worldcat.org/oclc/2386331","WorldCat Record")</f>
        <v/>
      </c>
      <c r="AU3021" t="inlineStr">
        <is>
          <t>355952866:fre</t>
        </is>
      </c>
      <c r="AV3021" t="inlineStr">
        <is>
          <t>2386331</t>
        </is>
      </c>
      <c r="AW3021" t="inlineStr">
        <is>
          <t>991005369669702656</t>
        </is>
      </c>
      <c r="AX3021" t="inlineStr">
        <is>
          <t>991005369669702656</t>
        </is>
      </c>
      <c r="AY3021" t="inlineStr">
        <is>
          <t>2255924230002656</t>
        </is>
      </c>
      <c r="AZ3021" t="inlineStr">
        <is>
          <t>BOOK</t>
        </is>
      </c>
      <c r="BC3021" t="inlineStr">
        <is>
          <t>32285001080158</t>
        </is>
      </c>
      <c r="BD3021" t="inlineStr">
        <is>
          <t>893601085</t>
        </is>
      </c>
    </row>
    <row r="3022">
      <c r="A3022" t="inlineStr">
        <is>
          <t>No</t>
        </is>
      </c>
      <c r="B3022" t="inlineStr">
        <is>
          <t>BX841 .D67</t>
        </is>
      </c>
      <c r="C3022" t="inlineStr">
        <is>
          <t>0                      BX 0841000D  67</t>
        </is>
      </c>
      <c r="D3022" t="inlineStr">
        <is>
          <t>Dictionnaire de spiritualité ascétique et mystique, doctrine et histoire, publié sous la direction de Marcel Viller, S.J., assisté de F. Cavallera, et J. de Guibert, S.J., avec la concours d'un grand nombre de collaborateurs ...</t>
        </is>
      </c>
      <c r="E3022" t="inlineStr">
        <is>
          <t>V. 15</t>
        </is>
      </c>
      <c r="F3022" t="inlineStr">
        <is>
          <t>Yes</t>
        </is>
      </c>
      <c r="G3022" t="inlineStr">
        <is>
          <t>1</t>
        </is>
      </c>
      <c r="H3022" t="inlineStr">
        <is>
          <t>No</t>
        </is>
      </c>
      <c r="I3022" t="inlineStr">
        <is>
          <t>No</t>
        </is>
      </c>
      <c r="J3022" t="inlineStr">
        <is>
          <t>0</t>
        </is>
      </c>
      <c r="L3022" t="inlineStr">
        <is>
          <t>Paris G. Beauchesne et ses fils, 1937-</t>
        </is>
      </c>
      <c r="M3022" t="inlineStr">
        <is>
          <t>1937</t>
        </is>
      </c>
      <c r="O3022" t="inlineStr">
        <is>
          <t>fre</t>
        </is>
      </c>
      <c r="P3022" t="inlineStr">
        <is>
          <t xml:space="preserve">fr </t>
        </is>
      </c>
      <c r="R3022" t="inlineStr">
        <is>
          <t xml:space="preserve">BX </t>
        </is>
      </c>
      <c r="S3022" t="n">
        <v>0</v>
      </c>
      <c r="T3022" t="n">
        <v>41</v>
      </c>
      <c r="V3022" t="inlineStr">
        <is>
          <t>2002-08-30</t>
        </is>
      </c>
      <c r="W3022" t="inlineStr">
        <is>
          <t>1991-09-25</t>
        </is>
      </c>
      <c r="X3022" t="inlineStr">
        <is>
          <t>1995-10-16</t>
        </is>
      </c>
      <c r="Y3022" t="n">
        <v>231</v>
      </c>
      <c r="Z3022" t="n">
        <v>193</v>
      </c>
      <c r="AA3022" t="n">
        <v>209</v>
      </c>
      <c r="AB3022" t="n">
        <v>3</v>
      </c>
      <c r="AC3022" t="n">
        <v>3</v>
      </c>
      <c r="AD3022" t="n">
        <v>23</v>
      </c>
      <c r="AE3022" t="n">
        <v>25</v>
      </c>
      <c r="AF3022" t="n">
        <v>6</v>
      </c>
      <c r="AG3022" t="n">
        <v>6</v>
      </c>
      <c r="AH3022" t="n">
        <v>6</v>
      </c>
      <c r="AI3022" t="n">
        <v>7</v>
      </c>
      <c r="AJ3022" t="n">
        <v>18</v>
      </c>
      <c r="AK3022" t="n">
        <v>19</v>
      </c>
      <c r="AL3022" t="n">
        <v>1</v>
      </c>
      <c r="AM3022" t="n">
        <v>1</v>
      </c>
      <c r="AN3022" t="n">
        <v>0</v>
      </c>
      <c r="AO3022" t="n">
        <v>0</v>
      </c>
      <c r="AP3022" t="inlineStr">
        <is>
          <t>No</t>
        </is>
      </c>
      <c r="AQ3022" t="inlineStr">
        <is>
          <t>Yes</t>
        </is>
      </c>
      <c r="AR3022">
        <f>HYPERLINK("http://catalog.hathitrust.org/Record/000223578","HathiTrust Record")</f>
        <v/>
      </c>
      <c r="AS3022">
        <f>HYPERLINK("https://creighton-primo.hosted.exlibrisgroup.com/primo-explore/search?tab=default_tab&amp;search_scope=EVERYTHING&amp;vid=01CRU&amp;lang=en_US&amp;offset=0&amp;query=any,contains,991005369669702656","Catalog Record")</f>
        <v/>
      </c>
      <c r="AT3022">
        <f>HYPERLINK("http://www.worldcat.org/oclc/2386331","WorldCat Record")</f>
        <v/>
      </c>
      <c r="AU3022" t="inlineStr">
        <is>
          <t>355952866:fre</t>
        </is>
      </c>
      <c r="AV3022" t="inlineStr">
        <is>
          <t>2386331</t>
        </is>
      </c>
      <c r="AW3022" t="inlineStr">
        <is>
          <t>991005369669702656</t>
        </is>
      </c>
      <c r="AX3022" t="inlineStr">
        <is>
          <t>991005369669702656</t>
        </is>
      </c>
      <c r="AY3022" t="inlineStr">
        <is>
          <t>2255924230002656</t>
        </is>
      </c>
      <c r="AZ3022" t="inlineStr">
        <is>
          <t>BOOK</t>
        </is>
      </c>
      <c r="BC3022" t="inlineStr">
        <is>
          <t>32285000744580</t>
        </is>
      </c>
      <c r="BD3022" t="inlineStr">
        <is>
          <t>893601082</t>
        </is>
      </c>
    </row>
    <row r="3023">
      <c r="A3023" t="inlineStr">
        <is>
          <t>No</t>
        </is>
      </c>
      <c r="B3023" t="inlineStr">
        <is>
          <t>BX841 .N4 1941</t>
        </is>
      </c>
      <c r="C3023" t="inlineStr">
        <is>
          <t>0                      BX 0841000N  4           1941</t>
        </is>
      </c>
      <c r="D3023" t="inlineStr">
        <is>
          <t>The Catholic encyclopedia dictionary : containing 8500 articles on the beliefs, devotions, rites, symbolism, tradition and history of the church; her laws, organizations, dioceses, missions, institutions, religious orders, saints; her part in promoting art, science, education and social welfare / Compiled and edited under the direction of the editors of the Catholic encyclopedia, assisted by 36 editorial assistants and 200 writers.</t>
        </is>
      </c>
      <c r="F3023" t="inlineStr">
        <is>
          <t>No</t>
        </is>
      </c>
      <c r="G3023" t="inlineStr">
        <is>
          <t>1</t>
        </is>
      </c>
      <c r="H3023" t="inlineStr">
        <is>
          <t>No</t>
        </is>
      </c>
      <c r="I3023" t="inlineStr">
        <is>
          <t>No</t>
        </is>
      </c>
      <c r="J3023" t="inlineStr">
        <is>
          <t>0</t>
        </is>
      </c>
      <c r="K3023" t="inlineStr">
        <is>
          <t>New Catholic dictionary.</t>
        </is>
      </c>
      <c r="L3023" t="inlineStr">
        <is>
          <t>New York : The Gilmary society, [c1941]</t>
        </is>
      </c>
      <c r="M3023" t="inlineStr">
        <is>
          <t>1941</t>
        </is>
      </c>
      <c r="O3023" t="inlineStr">
        <is>
          <t>eng</t>
        </is>
      </c>
      <c r="P3023" t="inlineStr">
        <is>
          <t>nyu</t>
        </is>
      </c>
      <c r="R3023" t="inlineStr">
        <is>
          <t xml:space="preserve">BX </t>
        </is>
      </c>
      <c r="S3023" t="n">
        <v>24</v>
      </c>
      <c r="T3023" t="n">
        <v>24</v>
      </c>
      <c r="U3023" t="inlineStr">
        <is>
          <t>2003-03-04</t>
        </is>
      </c>
      <c r="V3023" t="inlineStr">
        <is>
          <t>2003-03-04</t>
        </is>
      </c>
      <c r="W3023" t="inlineStr">
        <is>
          <t>1992-04-29</t>
        </is>
      </c>
      <c r="X3023" t="inlineStr">
        <is>
          <t>1992-04-29</t>
        </is>
      </c>
      <c r="Y3023" t="n">
        <v>122</v>
      </c>
      <c r="Z3023" t="n">
        <v>117</v>
      </c>
      <c r="AA3023" t="n">
        <v>130</v>
      </c>
      <c r="AB3023" t="n">
        <v>3</v>
      </c>
      <c r="AC3023" t="n">
        <v>3</v>
      </c>
      <c r="AD3023" t="n">
        <v>10</v>
      </c>
      <c r="AE3023" t="n">
        <v>10</v>
      </c>
      <c r="AF3023" t="n">
        <v>3</v>
      </c>
      <c r="AG3023" t="n">
        <v>3</v>
      </c>
      <c r="AH3023" t="n">
        <v>3</v>
      </c>
      <c r="AI3023" t="n">
        <v>3</v>
      </c>
      <c r="AJ3023" t="n">
        <v>6</v>
      </c>
      <c r="AK3023" t="n">
        <v>6</v>
      </c>
      <c r="AL3023" t="n">
        <v>0</v>
      </c>
      <c r="AM3023" t="n">
        <v>0</v>
      </c>
      <c r="AN3023" t="n">
        <v>0</v>
      </c>
      <c r="AO3023" t="n">
        <v>0</v>
      </c>
      <c r="AP3023" t="inlineStr">
        <is>
          <t>No</t>
        </is>
      </c>
      <c r="AQ3023" t="inlineStr">
        <is>
          <t>No</t>
        </is>
      </c>
      <c r="AR3023">
        <f>HYPERLINK("http://catalog.hathitrust.org/Record/001415624","HathiTrust Record")</f>
        <v/>
      </c>
      <c r="AS3023">
        <f>HYPERLINK("https://creighton-primo.hosted.exlibrisgroup.com/primo-explore/search?tab=default_tab&amp;search_scope=EVERYTHING&amp;vid=01CRU&amp;lang=en_US&amp;offset=0&amp;query=any,contains,991003271759702656","Catalog Record")</f>
        <v/>
      </c>
      <c r="AT3023">
        <f>HYPERLINK("http://www.worldcat.org/oclc/797554","WorldCat Record")</f>
        <v/>
      </c>
      <c r="AU3023" t="inlineStr">
        <is>
          <t>1770326:eng</t>
        </is>
      </c>
      <c r="AV3023" t="inlineStr">
        <is>
          <t>797554</t>
        </is>
      </c>
      <c r="AW3023" t="inlineStr">
        <is>
          <t>991003271759702656</t>
        </is>
      </c>
      <c r="AX3023" t="inlineStr">
        <is>
          <t>991003271759702656</t>
        </is>
      </c>
      <c r="AY3023" t="inlineStr">
        <is>
          <t>2258248510002656</t>
        </is>
      </c>
      <c r="AZ3023" t="inlineStr">
        <is>
          <t>BOOK</t>
        </is>
      </c>
      <c r="BC3023" t="inlineStr">
        <is>
          <t>32285001080240</t>
        </is>
      </c>
      <c r="BD3023" t="inlineStr">
        <is>
          <t>893524622</t>
        </is>
      </c>
    </row>
    <row r="3024">
      <c r="A3024" t="inlineStr">
        <is>
          <t>No</t>
        </is>
      </c>
      <c r="B3024" t="inlineStr">
        <is>
          <t>BX8443 .D63 2002</t>
        </is>
      </c>
      <c r="C3024" t="inlineStr">
        <is>
          <t>0                      BX 8443000D  63          2002</t>
        </is>
      </c>
      <c r="D3024" t="inlineStr">
        <is>
          <t>Engendering church : women, power, and the AME Church / Jualynne E. Dodson.</t>
        </is>
      </c>
      <c r="F3024" t="inlineStr">
        <is>
          <t>No</t>
        </is>
      </c>
      <c r="G3024" t="inlineStr">
        <is>
          <t>1</t>
        </is>
      </c>
      <c r="H3024" t="inlineStr">
        <is>
          <t>No</t>
        </is>
      </c>
      <c r="I3024" t="inlineStr">
        <is>
          <t>No</t>
        </is>
      </c>
      <c r="J3024" t="inlineStr">
        <is>
          <t>0</t>
        </is>
      </c>
      <c r="K3024" t="inlineStr">
        <is>
          <t>Dodson, Jualynne E.</t>
        </is>
      </c>
      <c r="L3024" t="inlineStr">
        <is>
          <t>Lanham, Md. : Rowman &amp; Littlefield, c2002.</t>
        </is>
      </c>
      <c r="M3024" t="inlineStr">
        <is>
          <t>2002</t>
        </is>
      </c>
      <c r="O3024" t="inlineStr">
        <is>
          <t>eng</t>
        </is>
      </c>
      <c r="P3024" t="inlineStr">
        <is>
          <t>mdu</t>
        </is>
      </c>
      <c r="R3024" t="inlineStr">
        <is>
          <t xml:space="preserve">BX </t>
        </is>
      </c>
      <c r="S3024" t="n">
        <v>2</v>
      </c>
      <c r="T3024" t="n">
        <v>2</v>
      </c>
      <c r="U3024" t="inlineStr">
        <is>
          <t>2005-11-30</t>
        </is>
      </c>
      <c r="V3024" t="inlineStr">
        <is>
          <t>2005-11-30</t>
        </is>
      </c>
      <c r="W3024" t="inlineStr">
        <is>
          <t>2003-10-01</t>
        </is>
      </c>
      <c r="X3024" t="inlineStr">
        <is>
          <t>2003-10-01</t>
        </is>
      </c>
      <c r="Y3024" t="n">
        <v>393</v>
      </c>
      <c r="Z3024" t="n">
        <v>369</v>
      </c>
      <c r="AA3024" t="n">
        <v>369</v>
      </c>
      <c r="AB3024" t="n">
        <v>3</v>
      </c>
      <c r="AC3024" t="n">
        <v>3</v>
      </c>
      <c r="AD3024" t="n">
        <v>16</v>
      </c>
      <c r="AE3024" t="n">
        <v>16</v>
      </c>
      <c r="AF3024" t="n">
        <v>5</v>
      </c>
      <c r="AG3024" t="n">
        <v>5</v>
      </c>
      <c r="AH3024" t="n">
        <v>3</v>
      </c>
      <c r="AI3024" t="n">
        <v>3</v>
      </c>
      <c r="AJ3024" t="n">
        <v>10</v>
      </c>
      <c r="AK3024" t="n">
        <v>10</v>
      </c>
      <c r="AL3024" t="n">
        <v>2</v>
      </c>
      <c r="AM3024" t="n">
        <v>2</v>
      </c>
      <c r="AN3024" t="n">
        <v>0</v>
      </c>
      <c r="AO3024" t="n">
        <v>0</v>
      </c>
      <c r="AP3024" t="inlineStr">
        <is>
          <t>No</t>
        </is>
      </c>
      <c r="AQ3024" t="inlineStr">
        <is>
          <t>No</t>
        </is>
      </c>
      <c r="AS3024">
        <f>HYPERLINK("https://creighton-primo.hosted.exlibrisgroup.com/primo-explore/search?tab=default_tab&amp;search_scope=EVERYTHING&amp;vid=01CRU&amp;lang=en_US&amp;offset=0&amp;query=any,contains,991004145929702656","Catalog Record")</f>
        <v/>
      </c>
      <c r="AT3024">
        <f>HYPERLINK("http://www.worldcat.org/oclc/46937526","WorldCat Record")</f>
        <v/>
      </c>
      <c r="AU3024" t="inlineStr">
        <is>
          <t>20799497:eng</t>
        </is>
      </c>
      <c r="AV3024" t="inlineStr">
        <is>
          <t>46937526</t>
        </is>
      </c>
      <c r="AW3024" t="inlineStr">
        <is>
          <t>991004145929702656</t>
        </is>
      </c>
      <c r="AX3024" t="inlineStr">
        <is>
          <t>991004145929702656</t>
        </is>
      </c>
      <c r="AY3024" t="inlineStr">
        <is>
          <t>2266694850002656</t>
        </is>
      </c>
      <c r="AZ3024" t="inlineStr">
        <is>
          <t>BOOK</t>
        </is>
      </c>
      <c r="BB3024" t="inlineStr">
        <is>
          <t>9780847693801</t>
        </is>
      </c>
      <c r="BC3024" t="inlineStr">
        <is>
          <t>32285004844188</t>
        </is>
      </c>
      <c r="BD3024" t="inlineStr">
        <is>
          <t>893349662</t>
        </is>
      </c>
    </row>
    <row r="3025">
      <c r="A3025" t="inlineStr">
        <is>
          <t>No</t>
        </is>
      </c>
      <c r="B3025" t="inlineStr">
        <is>
          <t>BX8443 .P28 1968</t>
        </is>
      </c>
      <c r="C3025" t="inlineStr">
        <is>
          <t>0                      BX 8443000P  28          1968</t>
        </is>
      </c>
      <c r="D3025" t="inlineStr">
        <is>
          <t>History of the African Methodist Episcopal Church / by Daniel A. Payne. Edited by Rev. C. S. Smith. Nashville, Tenn., Publishing house of the A. M. E. Sunday school union, 1891;</t>
        </is>
      </c>
      <c r="E3025" t="inlineStr">
        <is>
          <t>V. 2</t>
        </is>
      </c>
      <c r="F3025" t="inlineStr">
        <is>
          <t>Yes</t>
        </is>
      </c>
      <c r="G3025" t="inlineStr">
        <is>
          <t>1</t>
        </is>
      </c>
      <c r="H3025" t="inlineStr">
        <is>
          <t>No</t>
        </is>
      </c>
      <c r="I3025" t="inlineStr">
        <is>
          <t>No</t>
        </is>
      </c>
      <c r="J3025" t="inlineStr">
        <is>
          <t>0</t>
        </is>
      </c>
      <c r="K3025" t="inlineStr">
        <is>
          <t>Payne, Daniel Alexander, 1811-1893.</t>
        </is>
      </c>
      <c r="L3025" t="inlineStr">
        <is>
          <t>New York : Johnson Reprint Corp., [1968]</t>
        </is>
      </c>
      <c r="M3025" t="inlineStr">
        <is>
          <t>1968</t>
        </is>
      </c>
      <c r="O3025" t="inlineStr">
        <is>
          <t>eng</t>
        </is>
      </c>
      <c r="P3025" t="inlineStr">
        <is>
          <t>tnu</t>
        </is>
      </c>
      <c r="R3025" t="inlineStr">
        <is>
          <t xml:space="preserve">BX </t>
        </is>
      </c>
      <c r="S3025" t="n">
        <v>3</v>
      </c>
      <c r="T3025" t="n">
        <v>5</v>
      </c>
      <c r="U3025" t="inlineStr">
        <is>
          <t>1994-09-15</t>
        </is>
      </c>
      <c r="V3025" t="inlineStr">
        <is>
          <t>1994-09-15</t>
        </is>
      </c>
      <c r="W3025" t="inlineStr">
        <is>
          <t>1992-05-21</t>
        </is>
      </c>
      <c r="X3025" t="inlineStr">
        <is>
          <t>1992-05-21</t>
        </is>
      </c>
      <c r="Y3025" t="n">
        <v>171</v>
      </c>
      <c r="Z3025" t="n">
        <v>162</v>
      </c>
      <c r="AA3025" t="n">
        <v>169</v>
      </c>
      <c r="AB3025" t="n">
        <v>3</v>
      </c>
      <c r="AC3025" t="n">
        <v>3</v>
      </c>
      <c r="AD3025" t="n">
        <v>11</v>
      </c>
      <c r="AE3025" t="n">
        <v>11</v>
      </c>
      <c r="AF3025" t="n">
        <v>7</v>
      </c>
      <c r="AG3025" t="n">
        <v>7</v>
      </c>
      <c r="AH3025" t="n">
        <v>1</v>
      </c>
      <c r="AI3025" t="n">
        <v>1</v>
      </c>
      <c r="AJ3025" t="n">
        <v>4</v>
      </c>
      <c r="AK3025" t="n">
        <v>4</v>
      </c>
      <c r="AL3025" t="n">
        <v>2</v>
      </c>
      <c r="AM3025" t="n">
        <v>2</v>
      </c>
      <c r="AN3025" t="n">
        <v>0</v>
      </c>
      <c r="AO3025" t="n">
        <v>0</v>
      </c>
      <c r="AP3025" t="inlineStr">
        <is>
          <t>Yes</t>
        </is>
      </c>
      <c r="AQ3025" t="inlineStr">
        <is>
          <t>Yes</t>
        </is>
      </c>
      <c r="AR3025">
        <f>HYPERLINK("http://catalog.hathitrust.org/Record/007287929","HathiTrust Record")</f>
        <v/>
      </c>
      <c r="AS3025">
        <f>HYPERLINK("https://creighton-primo.hosted.exlibrisgroup.com/primo-explore/search?tab=default_tab&amp;search_scope=EVERYTHING&amp;vid=01CRU&amp;lang=en_US&amp;offset=0&amp;query=any,contains,991004274349702656","Catalog Record")</f>
        <v/>
      </c>
      <c r="AT3025">
        <f>HYPERLINK("http://www.worldcat.org/oclc/2889088","WorldCat Record")</f>
        <v/>
      </c>
      <c r="AU3025" t="inlineStr">
        <is>
          <t>3769460520:eng</t>
        </is>
      </c>
      <c r="AV3025" t="inlineStr">
        <is>
          <t>2889088</t>
        </is>
      </c>
      <c r="AW3025" t="inlineStr">
        <is>
          <t>991004274349702656</t>
        </is>
      </c>
      <c r="AX3025" t="inlineStr">
        <is>
          <t>991004274349702656</t>
        </is>
      </c>
      <c r="AY3025" t="inlineStr">
        <is>
          <t>2256300000002656</t>
        </is>
      </c>
      <c r="AZ3025" t="inlineStr">
        <is>
          <t>BOOK</t>
        </is>
      </c>
      <c r="BC3025" t="inlineStr">
        <is>
          <t>32285001124907</t>
        </is>
      </c>
      <c r="BD3025" t="inlineStr">
        <is>
          <t>893417421</t>
        </is>
      </c>
    </row>
    <row r="3026">
      <c r="A3026" t="inlineStr">
        <is>
          <t>No</t>
        </is>
      </c>
      <c r="B3026" t="inlineStr">
        <is>
          <t>BX8443 .P28 1968</t>
        </is>
      </c>
      <c r="C3026" t="inlineStr">
        <is>
          <t>0                      BX 8443000P  28          1968</t>
        </is>
      </c>
      <c r="D3026" t="inlineStr">
        <is>
          <t>History of the African Methodist Episcopal Church / by Daniel A. Payne. Edited by Rev. C. S. Smith. Nashville, Tenn., Publishing house of the A. M. E. Sunday school union, 1891;</t>
        </is>
      </c>
      <c r="E3026" t="inlineStr">
        <is>
          <t>V. 1</t>
        </is>
      </c>
      <c r="F3026" t="inlineStr">
        <is>
          <t>Yes</t>
        </is>
      </c>
      <c r="G3026" t="inlineStr">
        <is>
          <t>1</t>
        </is>
      </c>
      <c r="H3026" t="inlineStr">
        <is>
          <t>No</t>
        </is>
      </c>
      <c r="I3026" t="inlineStr">
        <is>
          <t>No</t>
        </is>
      </c>
      <c r="J3026" t="inlineStr">
        <is>
          <t>0</t>
        </is>
      </c>
      <c r="K3026" t="inlineStr">
        <is>
          <t>Payne, Daniel Alexander, 1811-1893.</t>
        </is>
      </c>
      <c r="L3026" t="inlineStr">
        <is>
          <t>New York : Johnson Reprint Corp., [1968]</t>
        </is>
      </c>
      <c r="M3026" t="inlineStr">
        <is>
          <t>1968</t>
        </is>
      </c>
      <c r="O3026" t="inlineStr">
        <is>
          <t>eng</t>
        </is>
      </c>
      <c r="P3026" t="inlineStr">
        <is>
          <t>tnu</t>
        </is>
      </c>
      <c r="R3026" t="inlineStr">
        <is>
          <t xml:space="preserve">BX </t>
        </is>
      </c>
      <c r="S3026" t="n">
        <v>2</v>
      </c>
      <c r="T3026" t="n">
        <v>5</v>
      </c>
      <c r="U3026" t="inlineStr">
        <is>
          <t>1994-09-15</t>
        </is>
      </c>
      <c r="V3026" t="inlineStr">
        <is>
          <t>1994-09-15</t>
        </is>
      </c>
      <c r="W3026" t="inlineStr">
        <is>
          <t>1992-05-21</t>
        </is>
      </c>
      <c r="X3026" t="inlineStr">
        <is>
          <t>1992-05-21</t>
        </is>
      </c>
      <c r="Y3026" t="n">
        <v>171</v>
      </c>
      <c r="Z3026" t="n">
        <v>162</v>
      </c>
      <c r="AA3026" t="n">
        <v>169</v>
      </c>
      <c r="AB3026" t="n">
        <v>3</v>
      </c>
      <c r="AC3026" t="n">
        <v>3</v>
      </c>
      <c r="AD3026" t="n">
        <v>11</v>
      </c>
      <c r="AE3026" t="n">
        <v>11</v>
      </c>
      <c r="AF3026" t="n">
        <v>7</v>
      </c>
      <c r="AG3026" t="n">
        <v>7</v>
      </c>
      <c r="AH3026" t="n">
        <v>1</v>
      </c>
      <c r="AI3026" t="n">
        <v>1</v>
      </c>
      <c r="AJ3026" t="n">
        <v>4</v>
      </c>
      <c r="AK3026" t="n">
        <v>4</v>
      </c>
      <c r="AL3026" t="n">
        <v>2</v>
      </c>
      <c r="AM3026" t="n">
        <v>2</v>
      </c>
      <c r="AN3026" t="n">
        <v>0</v>
      </c>
      <c r="AO3026" t="n">
        <v>0</v>
      </c>
      <c r="AP3026" t="inlineStr">
        <is>
          <t>Yes</t>
        </is>
      </c>
      <c r="AQ3026" t="inlineStr">
        <is>
          <t>Yes</t>
        </is>
      </c>
      <c r="AR3026">
        <f>HYPERLINK("http://catalog.hathitrust.org/Record/007287929","HathiTrust Record")</f>
        <v/>
      </c>
      <c r="AS3026">
        <f>HYPERLINK("https://creighton-primo.hosted.exlibrisgroup.com/primo-explore/search?tab=default_tab&amp;search_scope=EVERYTHING&amp;vid=01CRU&amp;lang=en_US&amp;offset=0&amp;query=any,contains,991004274349702656","Catalog Record")</f>
        <v/>
      </c>
      <c r="AT3026">
        <f>HYPERLINK("http://www.worldcat.org/oclc/2889088","WorldCat Record")</f>
        <v/>
      </c>
      <c r="AU3026" t="inlineStr">
        <is>
          <t>3769460520:eng</t>
        </is>
      </c>
      <c r="AV3026" t="inlineStr">
        <is>
          <t>2889088</t>
        </is>
      </c>
      <c r="AW3026" t="inlineStr">
        <is>
          <t>991004274349702656</t>
        </is>
      </c>
      <c r="AX3026" t="inlineStr">
        <is>
          <t>991004274349702656</t>
        </is>
      </c>
      <c r="AY3026" t="inlineStr">
        <is>
          <t>2256300000002656</t>
        </is>
      </c>
      <c r="AZ3026" t="inlineStr">
        <is>
          <t>BOOK</t>
        </is>
      </c>
      <c r="BC3026" t="inlineStr">
        <is>
          <t>32285001124899</t>
        </is>
      </c>
      <c r="BD3026" t="inlineStr">
        <is>
          <t>893429874</t>
        </is>
      </c>
    </row>
    <row r="3027">
      <c r="A3027" t="inlineStr">
        <is>
          <t>No</t>
        </is>
      </c>
      <c r="B3027" t="inlineStr">
        <is>
          <t>BX8449.A6 G46</t>
        </is>
      </c>
      <c r="C3027" t="inlineStr">
        <is>
          <t>0                      BX 8449000A  6                  G  46</t>
        </is>
      </c>
      <c r="D3027" t="inlineStr">
        <is>
          <t>Segregated Sabbaths : Richard Allen and the emergence of independent Black churches 1760-1840 / [by] Carol V. R. George.</t>
        </is>
      </c>
      <c r="F3027" t="inlineStr">
        <is>
          <t>No</t>
        </is>
      </c>
      <c r="G3027" t="inlineStr">
        <is>
          <t>1</t>
        </is>
      </c>
      <c r="H3027" t="inlineStr">
        <is>
          <t>No</t>
        </is>
      </c>
      <c r="I3027" t="inlineStr">
        <is>
          <t>No</t>
        </is>
      </c>
      <c r="J3027" t="inlineStr">
        <is>
          <t>0</t>
        </is>
      </c>
      <c r="K3027" t="inlineStr">
        <is>
          <t>George, Carol V. R.</t>
        </is>
      </c>
      <c r="L3027" t="inlineStr">
        <is>
          <t>New York : Oxford University Press, 1973.</t>
        </is>
      </c>
      <c r="M3027" t="inlineStr">
        <is>
          <t>1973</t>
        </is>
      </c>
      <c r="O3027" t="inlineStr">
        <is>
          <t>eng</t>
        </is>
      </c>
      <c r="P3027" t="inlineStr">
        <is>
          <t>nyu</t>
        </is>
      </c>
      <c r="R3027" t="inlineStr">
        <is>
          <t xml:space="preserve">BX </t>
        </is>
      </c>
      <c r="S3027" t="n">
        <v>8</v>
      </c>
      <c r="T3027" t="n">
        <v>8</v>
      </c>
      <c r="U3027" t="inlineStr">
        <is>
          <t>1997-11-11</t>
        </is>
      </c>
      <c r="V3027" t="inlineStr">
        <is>
          <t>1997-11-11</t>
        </is>
      </c>
      <c r="W3027" t="inlineStr">
        <is>
          <t>1990-03-02</t>
        </is>
      </c>
      <c r="X3027" t="inlineStr">
        <is>
          <t>1990-03-02</t>
        </is>
      </c>
      <c r="Y3027" t="n">
        <v>917</v>
      </c>
      <c r="Z3027" t="n">
        <v>841</v>
      </c>
      <c r="AA3027" t="n">
        <v>845</v>
      </c>
      <c r="AB3027" t="n">
        <v>6</v>
      </c>
      <c r="AC3027" t="n">
        <v>6</v>
      </c>
      <c r="AD3027" t="n">
        <v>32</v>
      </c>
      <c r="AE3027" t="n">
        <v>32</v>
      </c>
      <c r="AF3027" t="n">
        <v>10</v>
      </c>
      <c r="AG3027" t="n">
        <v>10</v>
      </c>
      <c r="AH3027" t="n">
        <v>9</v>
      </c>
      <c r="AI3027" t="n">
        <v>9</v>
      </c>
      <c r="AJ3027" t="n">
        <v>18</v>
      </c>
      <c r="AK3027" t="n">
        <v>18</v>
      </c>
      <c r="AL3027" t="n">
        <v>5</v>
      </c>
      <c r="AM3027" t="n">
        <v>5</v>
      </c>
      <c r="AN3027" t="n">
        <v>0</v>
      </c>
      <c r="AO3027" t="n">
        <v>0</v>
      </c>
      <c r="AP3027" t="inlineStr">
        <is>
          <t>No</t>
        </is>
      </c>
      <c r="AQ3027" t="inlineStr">
        <is>
          <t>No</t>
        </is>
      </c>
      <c r="AS3027">
        <f>HYPERLINK("https://creighton-primo.hosted.exlibrisgroup.com/primo-explore/search?tab=default_tab&amp;search_scope=EVERYTHING&amp;vid=01CRU&amp;lang=en_US&amp;offset=0&amp;query=any,contains,991003162389702656","Catalog Record")</f>
        <v/>
      </c>
      <c r="AT3027">
        <f>HYPERLINK("http://www.worldcat.org/oclc/701003","WorldCat Record")</f>
        <v/>
      </c>
      <c r="AU3027" t="inlineStr">
        <is>
          <t>414806:eng</t>
        </is>
      </c>
      <c r="AV3027" t="inlineStr">
        <is>
          <t>701003</t>
        </is>
      </c>
      <c r="AW3027" t="inlineStr">
        <is>
          <t>991003162389702656</t>
        </is>
      </c>
      <c r="AX3027" t="inlineStr">
        <is>
          <t>991003162389702656</t>
        </is>
      </c>
      <c r="AY3027" t="inlineStr">
        <is>
          <t>2255356880002656</t>
        </is>
      </c>
      <c r="AZ3027" t="inlineStr">
        <is>
          <t>BOOK</t>
        </is>
      </c>
      <c r="BC3027" t="inlineStr">
        <is>
          <t>32285000074624</t>
        </is>
      </c>
      <c r="BD3027" t="inlineStr">
        <is>
          <t>893793376</t>
        </is>
      </c>
    </row>
    <row r="3028">
      <c r="A3028" t="inlineStr">
        <is>
          <t>No</t>
        </is>
      </c>
      <c r="B3028" t="inlineStr">
        <is>
          <t>BX8449.H4 A3</t>
        </is>
      </c>
      <c r="C3028" t="inlineStr">
        <is>
          <t>0                      BX 8449000H  4                  A  3</t>
        </is>
      </c>
      <c r="D3028" t="inlineStr">
        <is>
          <t>From slavery to the bishopric in the A.M.E. Church / William H. Heard.</t>
        </is>
      </c>
      <c r="F3028" t="inlineStr">
        <is>
          <t>No</t>
        </is>
      </c>
      <c r="G3028" t="inlineStr">
        <is>
          <t>1</t>
        </is>
      </c>
      <c r="H3028" t="inlineStr">
        <is>
          <t>No</t>
        </is>
      </c>
      <c r="I3028" t="inlineStr">
        <is>
          <t>No</t>
        </is>
      </c>
      <c r="J3028" t="inlineStr">
        <is>
          <t>0</t>
        </is>
      </c>
      <c r="K3028" t="inlineStr">
        <is>
          <t>Heard, William H. (William Henry), 1850-1937.</t>
        </is>
      </c>
      <c r="L3028" t="inlineStr">
        <is>
          <t>New York : Arno Press, 1969.</t>
        </is>
      </c>
      <c r="M3028" t="inlineStr">
        <is>
          <t>1969</t>
        </is>
      </c>
      <c r="O3028" t="inlineStr">
        <is>
          <t>eng</t>
        </is>
      </c>
      <c r="P3028" t="inlineStr">
        <is>
          <t>nyu</t>
        </is>
      </c>
      <c r="Q3028" t="inlineStr">
        <is>
          <t>The American Negro, his history and literature</t>
        </is>
      </c>
      <c r="R3028" t="inlineStr">
        <is>
          <t xml:space="preserve">BX </t>
        </is>
      </c>
      <c r="S3028" t="n">
        <v>2</v>
      </c>
      <c r="T3028" t="n">
        <v>2</v>
      </c>
      <c r="U3028" t="inlineStr">
        <is>
          <t>1994-09-15</t>
        </is>
      </c>
      <c r="V3028" t="inlineStr">
        <is>
          <t>1994-09-15</t>
        </is>
      </c>
      <c r="W3028" t="inlineStr">
        <is>
          <t>1992-04-06</t>
        </is>
      </c>
      <c r="X3028" t="inlineStr">
        <is>
          <t>1992-04-06</t>
        </is>
      </c>
      <c r="Y3028" t="n">
        <v>451</v>
      </c>
      <c r="Z3028" t="n">
        <v>444</v>
      </c>
      <c r="AA3028" t="n">
        <v>488</v>
      </c>
      <c r="AB3028" t="n">
        <v>4</v>
      </c>
      <c r="AC3028" t="n">
        <v>5</v>
      </c>
      <c r="AD3028" t="n">
        <v>22</v>
      </c>
      <c r="AE3028" t="n">
        <v>23</v>
      </c>
      <c r="AF3028" t="n">
        <v>7</v>
      </c>
      <c r="AG3028" t="n">
        <v>7</v>
      </c>
      <c r="AH3028" t="n">
        <v>6</v>
      </c>
      <c r="AI3028" t="n">
        <v>6</v>
      </c>
      <c r="AJ3028" t="n">
        <v>10</v>
      </c>
      <c r="AK3028" t="n">
        <v>10</v>
      </c>
      <c r="AL3028" t="n">
        <v>3</v>
      </c>
      <c r="AM3028" t="n">
        <v>4</v>
      </c>
      <c r="AN3028" t="n">
        <v>0</v>
      </c>
      <c r="AO3028" t="n">
        <v>0</v>
      </c>
      <c r="AP3028" t="inlineStr">
        <is>
          <t>No</t>
        </is>
      </c>
      <c r="AQ3028" t="inlineStr">
        <is>
          <t>No</t>
        </is>
      </c>
      <c r="AS3028">
        <f>HYPERLINK("https://creighton-primo.hosted.exlibrisgroup.com/primo-explore/search?tab=default_tab&amp;search_scope=EVERYTHING&amp;vid=01CRU&amp;lang=en_US&amp;offset=0&amp;query=any,contains,991005438649702656","Catalog Record")</f>
        <v/>
      </c>
      <c r="AT3028">
        <f>HYPERLINK("http://www.worldcat.org/oclc/6108","WorldCat Record")</f>
        <v/>
      </c>
      <c r="AU3028" t="inlineStr">
        <is>
          <t>44646403:eng</t>
        </is>
      </c>
      <c r="AV3028" t="inlineStr">
        <is>
          <t>6108</t>
        </is>
      </c>
      <c r="AW3028" t="inlineStr">
        <is>
          <t>991005438649702656</t>
        </is>
      </c>
      <c r="AX3028" t="inlineStr">
        <is>
          <t>991005438649702656</t>
        </is>
      </c>
      <c r="AY3028" t="inlineStr">
        <is>
          <t>2265157100002656</t>
        </is>
      </c>
      <c r="AZ3028" t="inlineStr">
        <is>
          <t>BOOK</t>
        </is>
      </c>
      <c r="BC3028" t="inlineStr">
        <is>
          <t>32285001055184</t>
        </is>
      </c>
      <c r="BD3028" t="inlineStr">
        <is>
          <t>893607403</t>
        </is>
      </c>
    </row>
    <row r="3029">
      <c r="A3029" t="inlineStr">
        <is>
          <t>No</t>
        </is>
      </c>
      <c r="B3029" t="inlineStr">
        <is>
          <t>BX8449.P3 A3 1968</t>
        </is>
      </c>
      <c r="C3029" t="inlineStr">
        <is>
          <t>0                      BX 8449000P  3                  A  3           1968</t>
        </is>
      </c>
      <c r="D3029" t="inlineStr">
        <is>
          <t>Recollections of seventy years / Daniel Alexander Payne.</t>
        </is>
      </c>
      <c r="F3029" t="inlineStr">
        <is>
          <t>No</t>
        </is>
      </c>
      <c r="G3029" t="inlineStr">
        <is>
          <t>1</t>
        </is>
      </c>
      <c r="H3029" t="inlineStr">
        <is>
          <t>No</t>
        </is>
      </c>
      <c r="I3029" t="inlineStr">
        <is>
          <t>No</t>
        </is>
      </c>
      <c r="J3029" t="inlineStr">
        <is>
          <t>0</t>
        </is>
      </c>
      <c r="K3029" t="inlineStr">
        <is>
          <t>Payne, Daniel Alexander, 1811-1893.</t>
        </is>
      </c>
      <c r="L3029" t="inlineStr">
        <is>
          <t>New York : Arno Press, 1968.</t>
        </is>
      </c>
      <c r="M3029" t="inlineStr">
        <is>
          <t>1968</t>
        </is>
      </c>
      <c r="O3029" t="inlineStr">
        <is>
          <t>eng</t>
        </is>
      </c>
      <c r="P3029" t="inlineStr">
        <is>
          <t>nyu</t>
        </is>
      </c>
      <c r="Q3029" t="inlineStr">
        <is>
          <t>The American Negro, his history and literature</t>
        </is>
      </c>
      <c r="R3029" t="inlineStr">
        <is>
          <t xml:space="preserve">BX </t>
        </is>
      </c>
      <c r="S3029" t="n">
        <v>2</v>
      </c>
      <c r="T3029" t="n">
        <v>2</v>
      </c>
      <c r="U3029" t="inlineStr">
        <is>
          <t>1994-09-15</t>
        </is>
      </c>
      <c r="V3029" t="inlineStr">
        <is>
          <t>1994-09-15</t>
        </is>
      </c>
      <c r="W3029" t="inlineStr">
        <is>
          <t>1992-05-21</t>
        </is>
      </c>
      <c r="X3029" t="inlineStr">
        <is>
          <t>1992-05-21</t>
        </is>
      </c>
      <c r="Y3029" t="n">
        <v>758</v>
      </c>
      <c r="Z3029" t="n">
        <v>735</v>
      </c>
      <c r="AA3029" t="n">
        <v>814</v>
      </c>
      <c r="AB3029" t="n">
        <v>7</v>
      </c>
      <c r="AC3029" t="n">
        <v>8</v>
      </c>
      <c r="AD3029" t="n">
        <v>32</v>
      </c>
      <c r="AE3029" t="n">
        <v>35</v>
      </c>
      <c r="AF3029" t="n">
        <v>10</v>
      </c>
      <c r="AG3029" t="n">
        <v>11</v>
      </c>
      <c r="AH3029" t="n">
        <v>6</v>
      </c>
      <c r="AI3029" t="n">
        <v>7</v>
      </c>
      <c r="AJ3029" t="n">
        <v>15</v>
      </c>
      <c r="AK3029" t="n">
        <v>15</v>
      </c>
      <c r="AL3029" t="n">
        <v>6</v>
      </c>
      <c r="AM3029" t="n">
        <v>7</v>
      </c>
      <c r="AN3029" t="n">
        <v>0</v>
      </c>
      <c r="AO3029" t="n">
        <v>0</v>
      </c>
      <c r="AP3029" t="inlineStr">
        <is>
          <t>No</t>
        </is>
      </c>
      <c r="AQ3029" t="inlineStr">
        <is>
          <t>Yes</t>
        </is>
      </c>
      <c r="AR3029">
        <f>HYPERLINK("http://catalog.hathitrust.org/Record/001593993","HathiTrust Record")</f>
        <v/>
      </c>
      <c r="AS3029">
        <f>HYPERLINK("https://creighton-primo.hosted.exlibrisgroup.com/primo-explore/search?tab=default_tab&amp;search_scope=EVERYTHING&amp;vid=01CRU&amp;lang=en_US&amp;offset=0&amp;query=any,contains,991002650449702656","Catalog Record")</f>
        <v/>
      </c>
      <c r="AT3029">
        <f>HYPERLINK("http://www.worldcat.org/oclc/386933","WorldCat Record")</f>
        <v/>
      </c>
      <c r="AU3029" t="inlineStr">
        <is>
          <t>1512939:eng</t>
        </is>
      </c>
      <c r="AV3029" t="inlineStr">
        <is>
          <t>386933</t>
        </is>
      </c>
      <c r="AW3029" t="inlineStr">
        <is>
          <t>991002650449702656</t>
        </is>
      </c>
      <c r="AX3029" t="inlineStr">
        <is>
          <t>991002650449702656</t>
        </is>
      </c>
      <c r="AY3029" t="inlineStr">
        <is>
          <t>2259583780002656</t>
        </is>
      </c>
      <c r="AZ3029" t="inlineStr">
        <is>
          <t>BOOK</t>
        </is>
      </c>
      <c r="BC3029" t="inlineStr">
        <is>
          <t>32285001124915</t>
        </is>
      </c>
      <c r="BD3029" t="inlineStr">
        <is>
          <t>893239331</t>
        </is>
      </c>
    </row>
    <row r="3030">
      <c r="A3030" t="inlineStr">
        <is>
          <t>No</t>
        </is>
      </c>
      <c r="B3030" t="inlineStr">
        <is>
          <t>BX8471.A4 B34 1983</t>
        </is>
      </c>
      <c r="C3030" t="inlineStr">
        <is>
          <t>0                      BX 8471000A  4                  B  34          1983</t>
        </is>
      </c>
      <c r="D3030" t="inlineStr">
        <is>
          <t>"Invisible" strands in African Methodism : a history of the African Union Methodist Protestant and Union American Methodist Episcopal churches, 1805-1980 / by Lewis V. Baldwin.</t>
        </is>
      </c>
      <c r="F3030" t="inlineStr">
        <is>
          <t>No</t>
        </is>
      </c>
      <c r="G3030" t="inlineStr">
        <is>
          <t>1</t>
        </is>
      </c>
      <c r="H3030" t="inlineStr">
        <is>
          <t>No</t>
        </is>
      </c>
      <c r="I3030" t="inlineStr">
        <is>
          <t>No</t>
        </is>
      </c>
      <c r="J3030" t="inlineStr">
        <is>
          <t>0</t>
        </is>
      </c>
      <c r="K3030" t="inlineStr">
        <is>
          <t>Baldwin, Lewis V., 1949-</t>
        </is>
      </c>
      <c r="L3030" t="inlineStr">
        <is>
          <t>[Philadelphia] : American Theological Library Association ; Metuchen, N.J. : Scarecrow Press, 1983.</t>
        </is>
      </c>
      <c r="M3030" t="inlineStr">
        <is>
          <t>1983</t>
        </is>
      </c>
      <c r="O3030" t="inlineStr">
        <is>
          <t>eng</t>
        </is>
      </c>
      <c r="P3030" t="inlineStr">
        <is>
          <t>pau</t>
        </is>
      </c>
      <c r="Q3030" t="inlineStr">
        <is>
          <t>ATLA monograph series ; no. 19</t>
        </is>
      </c>
      <c r="R3030" t="inlineStr">
        <is>
          <t xml:space="preserve">BX </t>
        </is>
      </c>
      <c r="S3030" t="n">
        <v>3</v>
      </c>
      <c r="T3030" t="n">
        <v>3</v>
      </c>
      <c r="U3030" t="inlineStr">
        <is>
          <t>1994-09-15</t>
        </is>
      </c>
      <c r="V3030" t="inlineStr">
        <is>
          <t>1994-09-15</t>
        </is>
      </c>
      <c r="W3030" t="inlineStr">
        <is>
          <t>1992-05-21</t>
        </is>
      </c>
      <c r="X3030" t="inlineStr">
        <is>
          <t>1992-05-21</t>
        </is>
      </c>
      <c r="Y3030" t="n">
        <v>304</v>
      </c>
      <c r="Z3030" t="n">
        <v>272</v>
      </c>
      <c r="AA3030" t="n">
        <v>286</v>
      </c>
      <c r="AB3030" t="n">
        <v>1</v>
      </c>
      <c r="AC3030" t="n">
        <v>1</v>
      </c>
      <c r="AD3030" t="n">
        <v>7</v>
      </c>
      <c r="AE3030" t="n">
        <v>7</v>
      </c>
      <c r="AF3030" t="n">
        <v>3</v>
      </c>
      <c r="AG3030" t="n">
        <v>3</v>
      </c>
      <c r="AH3030" t="n">
        <v>2</v>
      </c>
      <c r="AI3030" t="n">
        <v>2</v>
      </c>
      <c r="AJ3030" t="n">
        <v>4</v>
      </c>
      <c r="AK3030" t="n">
        <v>4</v>
      </c>
      <c r="AL3030" t="n">
        <v>0</v>
      </c>
      <c r="AM3030" t="n">
        <v>0</v>
      </c>
      <c r="AN3030" t="n">
        <v>0</v>
      </c>
      <c r="AO3030" t="n">
        <v>0</v>
      </c>
      <c r="AP3030" t="inlineStr">
        <is>
          <t>No</t>
        </is>
      </c>
      <c r="AQ3030" t="inlineStr">
        <is>
          <t>Yes</t>
        </is>
      </c>
      <c r="AR3030">
        <f>HYPERLINK("http://catalog.hathitrust.org/Record/000204025","HathiTrust Record")</f>
        <v/>
      </c>
      <c r="AS3030">
        <f>HYPERLINK("https://creighton-primo.hosted.exlibrisgroup.com/primo-explore/search?tab=default_tab&amp;search_scope=EVERYTHING&amp;vid=01CRU&amp;lang=en_US&amp;offset=0&amp;query=any,contains,991000268649702656","Catalog Record")</f>
        <v/>
      </c>
      <c r="AT3030">
        <f>HYPERLINK("http://www.worldcat.org/oclc/9852318","WorldCat Record")</f>
        <v/>
      </c>
      <c r="AU3030" t="inlineStr">
        <is>
          <t>3816268:eng</t>
        </is>
      </c>
      <c r="AV3030" t="inlineStr">
        <is>
          <t>9852318</t>
        </is>
      </c>
      <c r="AW3030" t="inlineStr">
        <is>
          <t>991000268649702656</t>
        </is>
      </c>
      <c r="AX3030" t="inlineStr">
        <is>
          <t>991000268649702656</t>
        </is>
      </c>
      <c r="AY3030" t="inlineStr">
        <is>
          <t>2262324740002656</t>
        </is>
      </c>
      <c r="AZ3030" t="inlineStr">
        <is>
          <t>BOOK</t>
        </is>
      </c>
      <c r="BB3030" t="inlineStr">
        <is>
          <t>9780810816473</t>
        </is>
      </c>
      <c r="BC3030" t="inlineStr">
        <is>
          <t>32285001124923</t>
        </is>
      </c>
      <c r="BD3030" t="inlineStr">
        <is>
          <t>893708254</t>
        </is>
      </c>
    </row>
    <row r="3031">
      <c r="A3031" t="inlineStr">
        <is>
          <t>No</t>
        </is>
      </c>
      <c r="B3031" t="inlineStr">
        <is>
          <t>BX8481.G74 L48 2007</t>
        </is>
      </c>
      <c r="C3031" t="inlineStr">
        <is>
          <t>0                      BX 8481000G  74                 L  48          2007</t>
        </is>
      </c>
      <c r="D3031" t="inlineStr">
        <is>
          <t>Sewing circles, dime suppers, and W.E.B. Du Bois : a history of the Clinton A.M.E. Zion Church / David Levinson.</t>
        </is>
      </c>
      <c r="F3031" t="inlineStr">
        <is>
          <t>No</t>
        </is>
      </c>
      <c r="G3031" t="inlineStr">
        <is>
          <t>1</t>
        </is>
      </c>
      <c r="H3031" t="inlineStr">
        <is>
          <t>No</t>
        </is>
      </c>
      <c r="I3031" t="inlineStr">
        <is>
          <t>No</t>
        </is>
      </c>
      <c r="J3031" t="inlineStr">
        <is>
          <t>0</t>
        </is>
      </c>
      <c r="K3031" t="inlineStr">
        <is>
          <t>Levinson, David, 1947-</t>
        </is>
      </c>
      <c r="L3031" t="inlineStr">
        <is>
          <t>Great Barrington, Mass. : Berkshire Pub. Group, c2007.</t>
        </is>
      </c>
      <c r="M3031" t="inlineStr">
        <is>
          <t>2007</t>
        </is>
      </c>
      <c r="O3031" t="inlineStr">
        <is>
          <t>eng</t>
        </is>
      </c>
      <c r="P3031" t="inlineStr">
        <is>
          <t>mau</t>
        </is>
      </c>
      <c r="R3031" t="inlineStr">
        <is>
          <t xml:space="preserve">BX </t>
        </is>
      </c>
      <c r="S3031" t="n">
        <v>1</v>
      </c>
      <c r="T3031" t="n">
        <v>1</v>
      </c>
      <c r="U3031" t="inlineStr">
        <is>
          <t>2010-10-12</t>
        </is>
      </c>
      <c r="V3031" t="inlineStr">
        <is>
          <t>2010-10-12</t>
        </is>
      </c>
      <c r="W3031" t="inlineStr">
        <is>
          <t>2010-10-12</t>
        </is>
      </c>
      <c r="X3031" t="inlineStr">
        <is>
          <t>2010-10-12</t>
        </is>
      </c>
      <c r="Y3031" t="n">
        <v>68</v>
      </c>
      <c r="Z3031" t="n">
        <v>68</v>
      </c>
      <c r="AA3031" t="n">
        <v>84</v>
      </c>
      <c r="AB3031" t="n">
        <v>1</v>
      </c>
      <c r="AC3031" t="n">
        <v>1</v>
      </c>
      <c r="AD3031" t="n">
        <v>4</v>
      </c>
      <c r="AE3031" t="n">
        <v>4</v>
      </c>
      <c r="AF3031" t="n">
        <v>3</v>
      </c>
      <c r="AG3031" t="n">
        <v>3</v>
      </c>
      <c r="AH3031" t="n">
        <v>0</v>
      </c>
      <c r="AI3031" t="n">
        <v>0</v>
      </c>
      <c r="AJ3031" t="n">
        <v>1</v>
      </c>
      <c r="AK3031" t="n">
        <v>1</v>
      </c>
      <c r="AL3031" t="n">
        <v>0</v>
      </c>
      <c r="AM3031" t="n">
        <v>0</v>
      </c>
      <c r="AN3031" t="n">
        <v>0</v>
      </c>
      <c r="AO3031" t="n">
        <v>0</v>
      </c>
      <c r="AP3031" t="inlineStr">
        <is>
          <t>No</t>
        </is>
      </c>
      <c r="AQ3031" t="inlineStr">
        <is>
          <t>Yes</t>
        </is>
      </c>
      <c r="AR3031">
        <f>HYPERLINK("http://catalog.hathitrust.org/Record/007287909","HathiTrust Record")</f>
        <v/>
      </c>
      <c r="AS3031">
        <f>HYPERLINK("https://creighton-primo.hosted.exlibrisgroup.com/primo-explore/search?tab=default_tab&amp;search_scope=EVERYTHING&amp;vid=01CRU&amp;lang=en_US&amp;offset=0&amp;query=any,contains,991000176509702656","Catalog Record")</f>
        <v/>
      </c>
      <c r="AT3031">
        <f>HYPERLINK("http://www.worldcat.org/oclc/71800597","WorldCat Record")</f>
        <v/>
      </c>
      <c r="AU3031" t="inlineStr">
        <is>
          <t>803515276:eng</t>
        </is>
      </c>
      <c r="AV3031" t="inlineStr">
        <is>
          <t>71800597</t>
        </is>
      </c>
      <c r="AW3031" t="inlineStr">
        <is>
          <t>991000176509702656</t>
        </is>
      </c>
      <c r="AX3031" t="inlineStr">
        <is>
          <t>991000176509702656</t>
        </is>
      </c>
      <c r="AY3031" t="inlineStr">
        <is>
          <t>2259784920002656</t>
        </is>
      </c>
      <c r="AZ3031" t="inlineStr">
        <is>
          <t>BOOK</t>
        </is>
      </c>
      <c r="BB3031" t="inlineStr">
        <is>
          <t>9781933782058</t>
        </is>
      </c>
      <c r="BC3031" t="inlineStr">
        <is>
          <t>32285005600480</t>
        </is>
      </c>
      <c r="BD3031" t="inlineStr">
        <is>
          <t>893896682</t>
        </is>
      </c>
    </row>
    <row r="3032">
      <c r="A3032" t="inlineStr">
        <is>
          <t>No</t>
        </is>
      </c>
      <c r="B3032" t="inlineStr">
        <is>
          <t>BX8495.S72 S7 1940</t>
        </is>
      </c>
      <c r="C3032" t="inlineStr">
        <is>
          <t>0                      BX 8495000S  72                 S  7           1940</t>
        </is>
      </c>
      <c r="D3032" t="inlineStr">
        <is>
          <t>One foot in heaven, the life of a practical parson, by Hartzell Spence; illustrated by Donald McKay.</t>
        </is>
      </c>
      <c r="F3032" t="inlineStr">
        <is>
          <t>No</t>
        </is>
      </c>
      <c r="G3032" t="inlineStr">
        <is>
          <t>1</t>
        </is>
      </c>
      <c r="H3032" t="inlineStr">
        <is>
          <t>No</t>
        </is>
      </c>
      <c r="I3032" t="inlineStr">
        <is>
          <t>No</t>
        </is>
      </c>
      <c r="J3032" t="inlineStr">
        <is>
          <t>0</t>
        </is>
      </c>
      <c r="K3032" t="inlineStr">
        <is>
          <t>Spence, Hartzell, 1908-2001.</t>
        </is>
      </c>
      <c r="L3032" t="inlineStr">
        <is>
          <t>New York, Grosset &amp; Dunlap [c1940]</t>
        </is>
      </c>
      <c r="M3032" t="inlineStr">
        <is>
          <t>1940</t>
        </is>
      </c>
      <c r="O3032" t="inlineStr">
        <is>
          <t>eng</t>
        </is>
      </c>
      <c r="P3032" t="inlineStr">
        <is>
          <t>___</t>
        </is>
      </c>
      <c r="R3032" t="inlineStr">
        <is>
          <t xml:space="preserve">BX </t>
        </is>
      </c>
      <c r="S3032" t="n">
        <v>1</v>
      </c>
      <c r="T3032" t="n">
        <v>1</v>
      </c>
      <c r="U3032" t="inlineStr">
        <is>
          <t>2001-10-08</t>
        </is>
      </c>
      <c r="V3032" t="inlineStr">
        <is>
          <t>2001-10-08</t>
        </is>
      </c>
      <c r="W3032" t="inlineStr">
        <is>
          <t>1992-05-21</t>
        </is>
      </c>
      <c r="X3032" t="inlineStr">
        <is>
          <t>1992-05-21</t>
        </is>
      </c>
      <c r="Y3032" t="n">
        <v>225</v>
      </c>
      <c r="Z3032" t="n">
        <v>218</v>
      </c>
      <c r="AA3032" t="n">
        <v>573</v>
      </c>
      <c r="AB3032" t="n">
        <v>4</v>
      </c>
      <c r="AC3032" t="n">
        <v>11</v>
      </c>
      <c r="AD3032" t="n">
        <v>3</v>
      </c>
      <c r="AE3032" t="n">
        <v>13</v>
      </c>
      <c r="AF3032" t="n">
        <v>1</v>
      </c>
      <c r="AG3032" t="n">
        <v>4</v>
      </c>
      <c r="AH3032" t="n">
        <v>1</v>
      </c>
      <c r="AI3032" t="n">
        <v>1</v>
      </c>
      <c r="AJ3032" t="n">
        <v>0</v>
      </c>
      <c r="AK3032" t="n">
        <v>4</v>
      </c>
      <c r="AL3032" t="n">
        <v>1</v>
      </c>
      <c r="AM3032" t="n">
        <v>5</v>
      </c>
      <c r="AN3032" t="n">
        <v>0</v>
      </c>
      <c r="AO3032" t="n">
        <v>0</v>
      </c>
      <c r="AP3032" t="inlineStr">
        <is>
          <t>No</t>
        </is>
      </c>
      <c r="AQ3032" t="inlineStr">
        <is>
          <t>Yes</t>
        </is>
      </c>
      <c r="AR3032">
        <f>HYPERLINK("http://catalog.hathitrust.org/Record/002701837","HathiTrust Record")</f>
        <v/>
      </c>
      <c r="AS3032">
        <f>HYPERLINK("https://creighton-primo.hosted.exlibrisgroup.com/primo-explore/search?tab=default_tab&amp;search_scope=EVERYTHING&amp;vid=01CRU&amp;lang=en_US&amp;offset=0&amp;query=any,contains,991003660679702656","Catalog Record")</f>
        <v/>
      </c>
      <c r="AT3032">
        <f>HYPERLINK("http://www.worldcat.org/oclc/1268775","WorldCat Record")</f>
        <v/>
      </c>
      <c r="AU3032" t="inlineStr">
        <is>
          <t>121124276:eng</t>
        </is>
      </c>
      <c r="AV3032" t="inlineStr">
        <is>
          <t>1268775</t>
        </is>
      </c>
      <c r="AW3032" t="inlineStr">
        <is>
          <t>991003660679702656</t>
        </is>
      </c>
      <c r="AX3032" t="inlineStr">
        <is>
          <t>991003660679702656</t>
        </is>
      </c>
      <c r="AY3032" t="inlineStr">
        <is>
          <t>2260194520002656</t>
        </is>
      </c>
      <c r="AZ3032" t="inlineStr">
        <is>
          <t>BOOK</t>
        </is>
      </c>
      <c r="BC3032" t="inlineStr">
        <is>
          <t>32285001125003</t>
        </is>
      </c>
      <c r="BD3032" t="inlineStr">
        <is>
          <t>893806059</t>
        </is>
      </c>
    </row>
    <row r="3033">
      <c r="A3033" t="inlineStr">
        <is>
          <t>No</t>
        </is>
      </c>
      <c r="B3033" t="inlineStr">
        <is>
          <t>BX8495.W55 N4</t>
        </is>
      </c>
      <c r="C3033" t="inlineStr">
        <is>
          <t>0                      BX 8495000W  55                 N  4</t>
        </is>
      </c>
      <c r="D3033" t="inlineStr">
        <is>
          <t>Susanna Wesley and the Puritan tradition in Methodism / [by] John A. Newton.</t>
        </is>
      </c>
      <c r="F3033" t="inlineStr">
        <is>
          <t>No</t>
        </is>
      </c>
      <c r="G3033" t="inlineStr">
        <is>
          <t>1</t>
        </is>
      </c>
      <c r="H3033" t="inlineStr">
        <is>
          <t>No</t>
        </is>
      </c>
      <c r="I3033" t="inlineStr">
        <is>
          <t>No</t>
        </is>
      </c>
      <c r="J3033" t="inlineStr">
        <is>
          <t>0</t>
        </is>
      </c>
      <c r="K3033" t="inlineStr">
        <is>
          <t>Newton, John A. (John Anthony)</t>
        </is>
      </c>
      <c r="L3033" t="inlineStr">
        <is>
          <t>London : Epworth P., 1968.</t>
        </is>
      </c>
      <c r="M3033" t="inlineStr">
        <is>
          <t>1968</t>
        </is>
      </c>
      <c r="O3033" t="inlineStr">
        <is>
          <t>eng</t>
        </is>
      </c>
      <c r="P3033" t="inlineStr">
        <is>
          <t>enk</t>
        </is>
      </c>
      <c r="R3033" t="inlineStr">
        <is>
          <t xml:space="preserve">BX </t>
        </is>
      </c>
      <c r="S3033" t="n">
        <v>5</v>
      </c>
      <c r="T3033" t="n">
        <v>5</v>
      </c>
      <c r="U3033" t="inlineStr">
        <is>
          <t>1997-02-15</t>
        </is>
      </c>
      <c r="V3033" t="inlineStr">
        <is>
          <t>1997-02-15</t>
        </is>
      </c>
      <c r="W3033" t="inlineStr">
        <is>
          <t>1992-05-22</t>
        </is>
      </c>
      <c r="X3033" t="inlineStr">
        <is>
          <t>1992-05-22</t>
        </is>
      </c>
      <c r="Y3033" t="n">
        <v>231</v>
      </c>
      <c r="Z3033" t="n">
        <v>159</v>
      </c>
      <c r="AA3033" t="n">
        <v>215</v>
      </c>
      <c r="AB3033" t="n">
        <v>1</v>
      </c>
      <c r="AC3033" t="n">
        <v>1</v>
      </c>
      <c r="AD3033" t="n">
        <v>4</v>
      </c>
      <c r="AE3033" t="n">
        <v>8</v>
      </c>
      <c r="AF3033" t="n">
        <v>1</v>
      </c>
      <c r="AG3033" t="n">
        <v>3</v>
      </c>
      <c r="AH3033" t="n">
        <v>1</v>
      </c>
      <c r="AI3033" t="n">
        <v>2</v>
      </c>
      <c r="AJ3033" t="n">
        <v>2</v>
      </c>
      <c r="AK3033" t="n">
        <v>4</v>
      </c>
      <c r="AL3033" t="n">
        <v>0</v>
      </c>
      <c r="AM3033" t="n">
        <v>0</v>
      </c>
      <c r="AN3033" t="n">
        <v>0</v>
      </c>
      <c r="AO3033" t="n">
        <v>0</v>
      </c>
      <c r="AP3033" t="inlineStr">
        <is>
          <t>No</t>
        </is>
      </c>
      <c r="AQ3033" t="inlineStr">
        <is>
          <t>Yes</t>
        </is>
      </c>
      <c r="AR3033">
        <f>HYPERLINK("http://catalog.hathitrust.org/Record/001594069","HathiTrust Record")</f>
        <v/>
      </c>
      <c r="AS3033">
        <f>HYPERLINK("https://creighton-primo.hosted.exlibrisgroup.com/primo-explore/search?tab=default_tab&amp;search_scope=EVERYTHING&amp;vid=01CRU&amp;lang=en_US&amp;offset=0&amp;query=any,contains,991000098429702656","Catalog Record")</f>
        <v/>
      </c>
      <c r="AT3033">
        <f>HYPERLINK("http://www.worldcat.org/oclc/43348","WorldCat Record")</f>
        <v/>
      </c>
      <c r="AU3033" t="inlineStr">
        <is>
          <t>940781:eng</t>
        </is>
      </c>
      <c r="AV3033" t="inlineStr">
        <is>
          <t>43348</t>
        </is>
      </c>
      <c r="AW3033" t="inlineStr">
        <is>
          <t>991000098429702656</t>
        </is>
      </c>
      <c r="AX3033" t="inlineStr">
        <is>
          <t>991000098429702656</t>
        </is>
      </c>
      <c r="AY3033" t="inlineStr">
        <is>
          <t>2258438590002656</t>
        </is>
      </c>
      <c r="AZ3033" t="inlineStr">
        <is>
          <t>BOOK</t>
        </is>
      </c>
      <c r="BB3033" t="inlineStr">
        <is>
          <t>9780716200499</t>
        </is>
      </c>
      <c r="BC3033" t="inlineStr">
        <is>
          <t>32285001140119</t>
        </is>
      </c>
      <c r="BD3033" t="inlineStr">
        <is>
          <t>893589127</t>
        </is>
      </c>
    </row>
    <row r="3034">
      <c r="A3034" t="inlineStr">
        <is>
          <t>No</t>
        </is>
      </c>
      <c r="B3034" t="inlineStr">
        <is>
          <t>BX850 .A48 1943</t>
        </is>
      </c>
      <c r="C3034" t="inlineStr">
        <is>
          <t>0                      BX 0850000A  48          1943</t>
        </is>
      </c>
      <c r="D3034" t="inlineStr">
        <is>
          <t>Principles for peace : selections from papal documents, Leo XIII to Pius XII / edited for the Bishops' Committee on the Pope's Peace Points by the Reverend Harry C. Koenig. With a preface by the Most Reverend Samuel A. Stritch.</t>
        </is>
      </c>
      <c r="F3034" t="inlineStr">
        <is>
          <t>No</t>
        </is>
      </c>
      <c r="G3034" t="inlineStr">
        <is>
          <t>1</t>
        </is>
      </c>
      <c r="H3034" t="inlineStr">
        <is>
          <t>No</t>
        </is>
      </c>
      <c r="I3034" t="inlineStr">
        <is>
          <t>No</t>
        </is>
      </c>
      <c r="J3034" t="inlineStr">
        <is>
          <t>0</t>
        </is>
      </c>
      <c r="K3034" t="inlineStr">
        <is>
          <t>Catholic Church. Pope.</t>
        </is>
      </c>
      <c r="L3034" t="inlineStr">
        <is>
          <t>Washington : National Catholic Welfare Conference, 1943.</t>
        </is>
      </c>
      <c r="M3034" t="inlineStr">
        <is>
          <t>1943</t>
        </is>
      </c>
      <c r="O3034" t="inlineStr">
        <is>
          <t>eng</t>
        </is>
      </c>
      <c r="P3034" t="inlineStr">
        <is>
          <t>dcu</t>
        </is>
      </c>
      <c r="R3034" t="inlineStr">
        <is>
          <t xml:space="preserve">BX </t>
        </is>
      </c>
      <c r="S3034" t="n">
        <v>4</v>
      </c>
      <c r="T3034" t="n">
        <v>4</v>
      </c>
      <c r="U3034" t="inlineStr">
        <is>
          <t>2005-09-16</t>
        </is>
      </c>
      <c r="V3034" t="inlineStr">
        <is>
          <t>2005-09-16</t>
        </is>
      </c>
      <c r="W3034" t="inlineStr">
        <is>
          <t>1991-07-11</t>
        </is>
      </c>
      <c r="X3034" t="inlineStr">
        <is>
          <t>1991-07-11</t>
        </is>
      </c>
      <c r="Y3034" t="n">
        <v>391</v>
      </c>
      <c r="Z3034" t="n">
        <v>355</v>
      </c>
      <c r="AA3034" t="n">
        <v>456</v>
      </c>
      <c r="AB3034" t="n">
        <v>3</v>
      </c>
      <c r="AC3034" t="n">
        <v>4</v>
      </c>
      <c r="AD3034" t="n">
        <v>35</v>
      </c>
      <c r="AE3034" t="n">
        <v>42</v>
      </c>
      <c r="AF3034" t="n">
        <v>11</v>
      </c>
      <c r="AG3034" t="n">
        <v>14</v>
      </c>
      <c r="AH3034" t="n">
        <v>9</v>
      </c>
      <c r="AI3034" t="n">
        <v>10</v>
      </c>
      <c r="AJ3034" t="n">
        <v>26</v>
      </c>
      <c r="AK3034" t="n">
        <v>26</v>
      </c>
      <c r="AL3034" t="n">
        <v>1</v>
      </c>
      <c r="AM3034" t="n">
        <v>2</v>
      </c>
      <c r="AN3034" t="n">
        <v>1</v>
      </c>
      <c r="AO3034" t="n">
        <v>4</v>
      </c>
      <c r="AP3034" t="inlineStr">
        <is>
          <t>Yes</t>
        </is>
      </c>
      <c r="AQ3034" t="inlineStr">
        <is>
          <t>No</t>
        </is>
      </c>
      <c r="AR3034">
        <f>HYPERLINK("http://catalog.hathitrust.org/Record/001153969","HathiTrust Record")</f>
        <v/>
      </c>
      <c r="AS3034">
        <f>HYPERLINK("https://creighton-primo.hosted.exlibrisgroup.com/primo-explore/search?tab=default_tab&amp;search_scope=EVERYTHING&amp;vid=01CRU&amp;lang=en_US&amp;offset=0&amp;query=any,contains,991003519039702656","Catalog Record")</f>
        <v/>
      </c>
      <c r="AT3034">
        <f>HYPERLINK("http://www.worldcat.org/oclc/1078278","WorldCat Record")</f>
        <v/>
      </c>
      <c r="AU3034" t="inlineStr">
        <is>
          <t>2040316:eng</t>
        </is>
      </c>
      <c r="AV3034" t="inlineStr">
        <is>
          <t>1078278</t>
        </is>
      </c>
      <c r="AW3034" t="inlineStr">
        <is>
          <t>991003519039702656</t>
        </is>
      </c>
      <c r="AX3034" t="inlineStr">
        <is>
          <t>991003519039702656</t>
        </is>
      </c>
      <c r="AY3034" t="inlineStr">
        <is>
          <t>2258712220002656</t>
        </is>
      </c>
      <c r="AZ3034" t="inlineStr">
        <is>
          <t>BOOK</t>
        </is>
      </c>
      <c r="BC3034" t="inlineStr">
        <is>
          <t>32285000636869</t>
        </is>
      </c>
      <c r="BD3034" t="inlineStr">
        <is>
          <t>893258510</t>
        </is>
      </c>
    </row>
    <row r="3035">
      <c r="A3035" t="inlineStr">
        <is>
          <t>No</t>
        </is>
      </c>
      <c r="B3035" t="inlineStr">
        <is>
          <t>BX8525.8.C3 K36 1989</t>
        </is>
      </c>
      <c r="C3035" t="inlineStr">
        <is>
          <t>0                      BX 8525800C  3                  K  36          1989</t>
        </is>
      </c>
      <c r="D3035" t="inlineStr">
        <is>
          <t>State and salvation : the Jehovah's Witnesses and their fight for civil rights / William Kaplan.</t>
        </is>
      </c>
      <c r="F3035" t="inlineStr">
        <is>
          <t>No</t>
        </is>
      </c>
      <c r="G3035" t="inlineStr">
        <is>
          <t>1</t>
        </is>
      </c>
      <c r="H3035" t="inlineStr">
        <is>
          <t>No</t>
        </is>
      </c>
      <c r="I3035" t="inlineStr">
        <is>
          <t>No</t>
        </is>
      </c>
      <c r="J3035" t="inlineStr">
        <is>
          <t>0</t>
        </is>
      </c>
      <c r="K3035" t="inlineStr">
        <is>
          <t>Kaplan, William, 1957-</t>
        </is>
      </c>
      <c r="L3035" t="inlineStr">
        <is>
          <t>Toronto : University of Toronto Press, c1989.</t>
        </is>
      </c>
      <c r="M3035" t="inlineStr">
        <is>
          <t>1989</t>
        </is>
      </c>
      <c r="O3035" t="inlineStr">
        <is>
          <t>eng</t>
        </is>
      </c>
      <c r="P3035" t="inlineStr">
        <is>
          <t>onc</t>
        </is>
      </c>
      <c r="R3035" t="inlineStr">
        <is>
          <t xml:space="preserve">BX </t>
        </is>
      </c>
      <c r="S3035" t="n">
        <v>8</v>
      </c>
      <c r="T3035" t="n">
        <v>8</v>
      </c>
      <c r="U3035" t="inlineStr">
        <is>
          <t>2004-04-27</t>
        </is>
      </c>
      <c r="V3035" t="inlineStr">
        <is>
          <t>2004-04-27</t>
        </is>
      </c>
      <c r="W3035" t="inlineStr">
        <is>
          <t>1990-06-18</t>
        </is>
      </c>
      <c r="X3035" t="inlineStr">
        <is>
          <t>1990-06-18</t>
        </is>
      </c>
      <c r="Y3035" t="n">
        <v>326</v>
      </c>
      <c r="Z3035" t="n">
        <v>222</v>
      </c>
      <c r="AA3035" t="n">
        <v>224</v>
      </c>
      <c r="AB3035" t="n">
        <v>2</v>
      </c>
      <c r="AC3035" t="n">
        <v>2</v>
      </c>
      <c r="AD3035" t="n">
        <v>10</v>
      </c>
      <c r="AE3035" t="n">
        <v>10</v>
      </c>
      <c r="AF3035" t="n">
        <v>1</v>
      </c>
      <c r="AG3035" t="n">
        <v>1</v>
      </c>
      <c r="AH3035" t="n">
        <v>3</v>
      </c>
      <c r="AI3035" t="n">
        <v>3</v>
      </c>
      <c r="AJ3035" t="n">
        <v>5</v>
      </c>
      <c r="AK3035" t="n">
        <v>5</v>
      </c>
      <c r="AL3035" t="n">
        <v>1</v>
      </c>
      <c r="AM3035" t="n">
        <v>1</v>
      </c>
      <c r="AN3035" t="n">
        <v>3</v>
      </c>
      <c r="AO3035" t="n">
        <v>3</v>
      </c>
      <c r="AP3035" t="inlineStr">
        <is>
          <t>No</t>
        </is>
      </c>
      <c r="AQ3035" t="inlineStr">
        <is>
          <t>Yes</t>
        </is>
      </c>
      <c r="AR3035">
        <f>HYPERLINK("http://catalog.hathitrust.org/Record/001551819","HathiTrust Record")</f>
        <v/>
      </c>
      <c r="AS3035">
        <f>HYPERLINK("https://creighton-primo.hosted.exlibrisgroup.com/primo-explore/search?tab=default_tab&amp;search_scope=EVERYTHING&amp;vid=01CRU&amp;lang=en_US&amp;offset=0&amp;query=any,contains,991001507989702656","Catalog Record")</f>
        <v/>
      </c>
      <c r="AT3035">
        <f>HYPERLINK("http://www.worldcat.org/oclc/19849807","WorldCat Record")</f>
        <v/>
      </c>
      <c r="AU3035" t="inlineStr">
        <is>
          <t>196510156:eng</t>
        </is>
      </c>
      <c r="AV3035" t="inlineStr">
        <is>
          <t>19849807</t>
        </is>
      </c>
      <c r="AW3035" t="inlineStr">
        <is>
          <t>991001507989702656</t>
        </is>
      </c>
      <c r="AX3035" t="inlineStr">
        <is>
          <t>991001507989702656</t>
        </is>
      </c>
      <c r="AY3035" t="inlineStr">
        <is>
          <t>2266403800002656</t>
        </is>
      </c>
      <c r="AZ3035" t="inlineStr">
        <is>
          <t>BOOK</t>
        </is>
      </c>
      <c r="BB3035" t="inlineStr">
        <is>
          <t>9780802058423</t>
        </is>
      </c>
      <c r="BC3035" t="inlineStr">
        <is>
          <t>32285000178045</t>
        </is>
      </c>
      <c r="BD3035" t="inlineStr">
        <is>
          <t>893408179</t>
        </is>
      </c>
    </row>
    <row r="3036">
      <c r="A3036" t="inlineStr">
        <is>
          <t>No</t>
        </is>
      </c>
      <c r="B3036" t="inlineStr">
        <is>
          <t>BX8591 .M67 1997</t>
        </is>
      </c>
      <c r="C3036" t="inlineStr">
        <is>
          <t>0                      BX 8591000M  67          1997</t>
        </is>
      </c>
      <c r="D3036" t="inlineStr">
        <is>
          <t>Moravian women's memoirs : their related lives, 1750-1820 / translated and with an introduction by Katherine M. Faull.</t>
        </is>
      </c>
      <c r="F3036" t="inlineStr">
        <is>
          <t>No</t>
        </is>
      </c>
      <c r="G3036" t="inlineStr">
        <is>
          <t>1</t>
        </is>
      </c>
      <c r="H3036" t="inlineStr">
        <is>
          <t>No</t>
        </is>
      </c>
      <c r="I3036" t="inlineStr">
        <is>
          <t>No</t>
        </is>
      </c>
      <c r="J3036" t="inlineStr">
        <is>
          <t>0</t>
        </is>
      </c>
      <c r="L3036" t="inlineStr">
        <is>
          <t>Syracuse, N.Y. : Syracuse University Press, 1997.</t>
        </is>
      </c>
      <c r="M3036" t="inlineStr">
        <is>
          <t>1997</t>
        </is>
      </c>
      <c r="N3036" t="inlineStr">
        <is>
          <t>1st ed.</t>
        </is>
      </c>
      <c r="O3036" t="inlineStr">
        <is>
          <t>eng</t>
        </is>
      </c>
      <c r="P3036" t="inlineStr">
        <is>
          <t>nyu</t>
        </is>
      </c>
      <c r="Q3036" t="inlineStr">
        <is>
          <t>Women and gender in North American religions</t>
        </is>
      </c>
      <c r="R3036" t="inlineStr">
        <is>
          <t xml:space="preserve">BX </t>
        </is>
      </c>
      <c r="S3036" t="n">
        <v>1</v>
      </c>
      <c r="T3036" t="n">
        <v>1</v>
      </c>
      <c r="U3036" t="inlineStr">
        <is>
          <t>2004-10-14</t>
        </is>
      </c>
      <c r="V3036" t="inlineStr">
        <is>
          <t>2004-10-14</t>
        </is>
      </c>
      <c r="W3036" t="inlineStr">
        <is>
          <t>2004-10-14</t>
        </is>
      </c>
      <c r="X3036" t="inlineStr">
        <is>
          <t>2004-10-14</t>
        </is>
      </c>
      <c r="Y3036" t="n">
        <v>264</v>
      </c>
      <c r="Z3036" t="n">
        <v>236</v>
      </c>
      <c r="AA3036" t="n">
        <v>237</v>
      </c>
      <c r="AB3036" t="n">
        <v>1</v>
      </c>
      <c r="AC3036" t="n">
        <v>1</v>
      </c>
      <c r="AD3036" t="n">
        <v>14</v>
      </c>
      <c r="AE3036" t="n">
        <v>14</v>
      </c>
      <c r="AF3036" t="n">
        <v>4</v>
      </c>
      <c r="AG3036" t="n">
        <v>4</v>
      </c>
      <c r="AH3036" t="n">
        <v>5</v>
      </c>
      <c r="AI3036" t="n">
        <v>5</v>
      </c>
      <c r="AJ3036" t="n">
        <v>9</v>
      </c>
      <c r="AK3036" t="n">
        <v>9</v>
      </c>
      <c r="AL3036" t="n">
        <v>0</v>
      </c>
      <c r="AM3036" t="n">
        <v>0</v>
      </c>
      <c r="AN3036" t="n">
        <v>0</v>
      </c>
      <c r="AO3036" t="n">
        <v>0</v>
      </c>
      <c r="AP3036" t="inlineStr">
        <is>
          <t>No</t>
        </is>
      </c>
      <c r="AQ3036" t="inlineStr">
        <is>
          <t>Yes</t>
        </is>
      </c>
      <c r="AR3036">
        <f>HYPERLINK("http://catalog.hathitrust.org/Record/003165163","HathiTrust Record")</f>
        <v/>
      </c>
      <c r="AS3036">
        <f>HYPERLINK("https://creighton-primo.hosted.exlibrisgroup.com/primo-explore/search?tab=default_tab&amp;search_scope=EVERYTHING&amp;vid=01CRU&amp;lang=en_US&amp;offset=0&amp;query=any,contains,991004349739702656","Catalog Record")</f>
        <v/>
      </c>
      <c r="AT3036">
        <f>HYPERLINK("http://www.worldcat.org/oclc/34967702","WorldCat Record")</f>
        <v/>
      </c>
      <c r="AU3036" t="inlineStr">
        <is>
          <t>39947815:eng</t>
        </is>
      </c>
      <c r="AV3036" t="inlineStr">
        <is>
          <t>34967702</t>
        </is>
      </c>
      <c r="AW3036" t="inlineStr">
        <is>
          <t>991004349739702656</t>
        </is>
      </c>
      <c r="AX3036" t="inlineStr">
        <is>
          <t>991004349739702656</t>
        </is>
      </c>
      <c r="AY3036" t="inlineStr">
        <is>
          <t>2260392840002656</t>
        </is>
      </c>
      <c r="AZ3036" t="inlineStr">
        <is>
          <t>BOOK</t>
        </is>
      </c>
      <c r="BB3036" t="inlineStr">
        <is>
          <t>9780815603979</t>
        </is>
      </c>
      <c r="BC3036" t="inlineStr">
        <is>
          <t>32285005003842</t>
        </is>
      </c>
      <c r="BD3036" t="inlineStr">
        <is>
          <t>893869616</t>
        </is>
      </c>
    </row>
    <row r="3037">
      <c r="A3037" t="inlineStr">
        <is>
          <t>No</t>
        </is>
      </c>
      <c r="B3037" t="inlineStr">
        <is>
          <t>BX860 .A368 1965</t>
        </is>
      </c>
      <c r="C3037" t="inlineStr">
        <is>
          <t>0                      BX 0860000A  368         1965</t>
        </is>
      </c>
      <c r="D3037" t="inlineStr">
        <is>
          <t>Encyclicals of Pope John XXIII.</t>
        </is>
      </c>
      <c r="F3037" t="inlineStr">
        <is>
          <t>No</t>
        </is>
      </c>
      <c r="G3037" t="inlineStr">
        <is>
          <t>1</t>
        </is>
      </c>
      <c r="H3037" t="inlineStr">
        <is>
          <t>No</t>
        </is>
      </c>
      <c r="I3037" t="inlineStr">
        <is>
          <t>No</t>
        </is>
      </c>
      <c r="J3037" t="inlineStr">
        <is>
          <t>0</t>
        </is>
      </c>
      <c r="K3037" t="inlineStr">
        <is>
          <t>Catholic Church. Pope (1958-1963 : John XXIII)</t>
        </is>
      </c>
      <c r="L3037" t="inlineStr">
        <is>
          <t>Washington : National Catholic Welfare Conference, 1965.</t>
        </is>
      </c>
      <c r="M3037" t="inlineStr">
        <is>
          <t>1965</t>
        </is>
      </c>
      <c r="O3037" t="inlineStr">
        <is>
          <t>eng</t>
        </is>
      </c>
      <c r="P3037" t="inlineStr">
        <is>
          <t>dcu</t>
        </is>
      </c>
      <c r="R3037" t="inlineStr">
        <is>
          <t xml:space="preserve">BX </t>
        </is>
      </c>
      <c r="S3037" t="n">
        <v>3</v>
      </c>
      <c r="T3037" t="n">
        <v>3</v>
      </c>
      <c r="U3037" t="inlineStr">
        <is>
          <t>2000-10-13</t>
        </is>
      </c>
      <c r="V3037" t="inlineStr">
        <is>
          <t>2000-10-13</t>
        </is>
      </c>
      <c r="W3037" t="inlineStr">
        <is>
          <t>1992-05-01</t>
        </is>
      </c>
      <c r="X3037" t="inlineStr">
        <is>
          <t>1992-05-01</t>
        </is>
      </c>
      <c r="Y3037" t="n">
        <v>79</v>
      </c>
      <c r="Z3037" t="n">
        <v>67</v>
      </c>
      <c r="AA3037" t="n">
        <v>79</v>
      </c>
      <c r="AB3037" t="n">
        <v>1</v>
      </c>
      <c r="AC3037" t="n">
        <v>1</v>
      </c>
      <c r="AD3037" t="n">
        <v>8</v>
      </c>
      <c r="AE3037" t="n">
        <v>8</v>
      </c>
      <c r="AF3037" t="n">
        <v>4</v>
      </c>
      <c r="AG3037" t="n">
        <v>4</v>
      </c>
      <c r="AH3037" t="n">
        <v>2</v>
      </c>
      <c r="AI3037" t="n">
        <v>2</v>
      </c>
      <c r="AJ3037" t="n">
        <v>6</v>
      </c>
      <c r="AK3037" t="n">
        <v>6</v>
      </c>
      <c r="AL3037" t="n">
        <v>0</v>
      </c>
      <c r="AM3037" t="n">
        <v>0</v>
      </c>
      <c r="AN3037" t="n">
        <v>0</v>
      </c>
      <c r="AO3037" t="n">
        <v>0</v>
      </c>
      <c r="AP3037" t="inlineStr">
        <is>
          <t>No</t>
        </is>
      </c>
      <c r="AQ3037" t="inlineStr">
        <is>
          <t>No</t>
        </is>
      </c>
      <c r="AS3037">
        <f>HYPERLINK("https://creighton-primo.hosted.exlibrisgroup.com/primo-explore/search?tab=default_tab&amp;search_scope=EVERYTHING&amp;vid=01CRU&amp;lang=en_US&amp;offset=0&amp;query=any,contains,991002647819702656","Catalog Record")</f>
        <v/>
      </c>
      <c r="AT3037">
        <f>HYPERLINK("http://www.worldcat.org/oclc/386286","WorldCat Record")</f>
        <v/>
      </c>
      <c r="AU3037" t="inlineStr">
        <is>
          <t>1510918:eng</t>
        </is>
      </c>
      <c r="AV3037" t="inlineStr">
        <is>
          <t>386286</t>
        </is>
      </c>
      <c r="AW3037" t="inlineStr">
        <is>
          <t>991002647819702656</t>
        </is>
      </c>
      <c r="AX3037" t="inlineStr">
        <is>
          <t>991002647819702656</t>
        </is>
      </c>
      <c r="AY3037" t="inlineStr">
        <is>
          <t>2259471700002656</t>
        </is>
      </c>
      <c r="AZ3037" t="inlineStr">
        <is>
          <t>BOOK</t>
        </is>
      </c>
      <c r="BC3037" t="inlineStr">
        <is>
          <t>32285001080257</t>
        </is>
      </c>
      <c r="BD3037" t="inlineStr">
        <is>
          <t>893347747</t>
        </is>
      </c>
    </row>
    <row r="3038">
      <c r="A3038" t="inlineStr">
        <is>
          <t>No</t>
        </is>
      </c>
      <c r="B3038" t="inlineStr">
        <is>
          <t>BX860 .C37 1931</t>
        </is>
      </c>
      <c r="C3038" t="inlineStr">
        <is>
          <t>0                      BX 0860000C  37          1931</t>
        </is>
      </c>
      <c r="D3038" t="inlineStr">
        <is>
          <t>Three great encyclicals : labor: education: marriage.</t>
        </is>
      </c>
      <c r="F3038" t="inlineStr">
        <is>
          <t>No</t>
        </is>
      </c>
      <c r="G3038" t="inlineStr">
        <is>
          <t>1</t>
        </is>
      </c>
      <c r="H3038" t="inlineStr">
        <is>
          <t>No</t>
        </is>
      </c>
      <c r="I3038" t="inlineStr">
        <is>
          <t>No</t>
        </is>
      </c>
      <c r="J3038" t="inlineStr">
        <is>
          <t>0</t>
        </is>
      </c>
      <c r="K3038" t="inlineStr">
        <is>
          <t>Catholic Church. Pope.</t>
        </is>
      </c>
      <c r="L3038" t="inlineStr">
        <is>
          <t>New York : The Paulist press, 1931.</t>
        </is>
      </c>
      <c r="M3038" t="inlineStr">
        <is>
          <t>1931</t>
        </is>
      </c>
      <c r="O3038" t="inlineStr">
        <is>
          <t>eng</t>
        </is>
      </c>
      <c r="P3038" t="inlineStr">
        <is>
          <t xml:space="preserve">xx </t>
        </is>
      </c>
      <c r="R3038" t="inlineStr">
        <is>
          <t xml:space="preserve">BX </t>
        </is>
      </c>
      <c r="S3038" t="n">
        <v>3</v>
      </c>
      <c r="T3038" t="n">
        <v>3</v>
      </c>
      <c r="U3038" t="inlineStr">
        <is>
          <t>2002-04-10</t>
        </is>
      </c>
      <c r="V3038" t="inlineStr">
        <is>
          <t>2002-04-10</t>
        </is>
      </c>
      <c r="W3038" t="inlineStr">
        <is>
          <t>1992-05-01</t>
        </is>
      </c>
      <c r="X3038" t="inlineStr">
        <is>
          <t>1992-05-01</t>
        </is>
      </c>
      <c r="Y3038" t="n">
        <v>38</v>
      </c>
      <c r="Z3038" t="n">
        <v>36</v>
      </c>
      <c r="AA3038" t="n">
        <v>38</v>
      </c>
      <c r="AB3038" t="n">
        <v>1</v>
      </c>
      <c r="AC3038" t="n">
        <v>1</v>
      </c>
      <c r="AD3038" t="n">
        <v>8</v>
      </c>
      <c r="AE3038" t="n">
        <v>8</v>
      </c>
      <c r="AF3038" t="n">
        <v>2</v>
      </c>
      <c r="AG3038" t="n">
        <v>2</v>
      </c>
      <c r="AH3038" t="n">
        <v>1</v>
      </c>
      <c r="AI3038" t="n">
        <v>1</v>
      </c>
      <c r="AJ3038" t="n">
        <v>7</v>
      </c>
      <c r="AK3038" t="n">
        <v>7</v>
      </c>
      <c r="AL3038" t="n">
        <v>0</v>
      </c>
      <c r="AM3038" t="n">
        <v>0</v>
      </c>
      <c r="AN3038" t="n">
        <v>0</v>
      </c>
      <c r="AO3038" t="n">
        <v>0</v>
      </c>
      <c r="AP3038" t="inlineStr">
        <is>
          <t>No</t>
        </is>
      </c>
      <c r="AQ3038" t="inlineStr">
        <is>
          <t>Yes</t>
        </is>
      </c>
      <c r="AR3038">
        <f>HYPERLINK("http://catalog.hathitrust.org/Record/008881323","HathiTrust Record")</f>
        <v/>
      </c>
      <c r="AS3038">
        <f>HYPERLINK("https://creighton-primo.hosted.exlibrisgroup.com/primo-explore/search?tab=default_tab&amp;search_scope=EVERYTHING&amp;vid=01CRU&amp;lang=en_US&amp;offset=0&amp;query=any,contains,991004703619702656","Catalog Record")</f>
        <v/>
      </c>
      <c r="AT3038">
        <f>HYPERLINK("http://www.worldcat.org/oclc/4693559","WorldCat Record")</f>
        <v/>
      </c>
      <c r="AU3038" t="inlineStr">
        <is>
          <t>852066852:eng</t>
        </is>
      </c>
      <c r="AV3038" t="inlineStr">
        <is>
          <t>4693559</t>
        </is>
      </c>
      <c r="AW3038" t="inlineStr">
        <is>
          <t>991004703619702656</t>
        </is>
      </c>
      <c r="AX3038" t="inlineStr">
        <is>
          <t>991004703619702656</t>
        </is>
      </c>
      <c r="AY3038" t="inlineStr">
        <is>
          <t>2257174840002656</t>
        </is>
      </c>
      <c r="AZ3038" t="inlineStr">
        <is>
          <t>BOOK</t>
        </is>
      </c>
      <c r="BC3038" t="inlineStr">
        <is>
          <t>32285001080273</t>
        </is>
      </c>
      <c r="BD3038" t="inlineStr">
        <is>
          <t>893895373</t>
        </is>
      </c>
    </row>
    <row r="3039">
      <c r="A3039" t="inlineStr">
        <is>
          <t>No</t>
        </is>
      </c>
      <c r="B3039" t="inlineStr">
        <is>
          <t>BX8611 .C58 1992</t>
        </is>
      </c>
      <c r="C3039" t="inlineStr">
        <is>
          <t>0                      BX 8611000C  58          1992</t>
        </is>
      </c>
      <c r="D3039" t="inlineStr">
        <is>
          <t>Church history in the fulness of times : the history of the Church of Jesus Christ of Latter-day Saints / prepared by the Church Educational System.</t>
        </is>
      </c>
      <c r="F3039" t="inlineStr">
        <is>
          <t>No</t>
        </is>
      </c>
      <c r="G3039" t="inlineStr">
        <is>
          <t>1</t>
        </is>
      </c>
      <c r="H3039" t="inlineStr">
        <is>
          <t>No</t>
        </is>
      </c>
      <c r="I3039" t="inlineStr">
        <is>
          <t>No</t>
        </is>
      </c>
      <c r="J3039" t="inlineStr">
        <is>
          <t>0</t>
        </is>
      </c>
      <c r="L3039" t="inlineStr">
        <is>
          <t>Salt Lake City, Utah : Church of Jesus Christ of Latter-Day Saints, c1992, 1989.</t>
        </is>
      </c>
      <c r="M3039" t="inlineStr">
        <is>
          <t>1992</t>
        </is>
      </c>
      <c r="N3039" t="inlineStr">
        <is>
          <t>Rev. ed.</t>
        </is>
      </c>
      <c r="O3039" t="inlineStr">
        <is>
          <t>eng</t>
        </is>
      </c>
      <c r="P3039" t="inlineStr">
        <is>
          <t>utu</t>
        </is>
      </c>
      <c r="R3039" t="inlineStr">
        <is>
          <t xml:space="preserve">BX </t>
        </is>
      </c>
      <c r="S3039" t="n">
        <v>3</v>
      </c>
      <c r="T3039" t="n">
        <v>3</v>
      </c>
      <c r="U3039" t="inlineStr">
        <is>
          <t>2003-12-06</t>
        </is>
      </c>
      <c r="V3039" t="inlineStr">
        <is>
          <t>2003-12-06</t>
        </is>
      </c>
      <c r="W3039" t="inlineStr">
        <is>
          <t>2001-06-06</t>
        </is>
      </c>
      <c r="X3039" t="inlineStr">
        <is>
          <t>2001-06-06</t>
        </is>
      </c>
      <c r="Y3039" t="n">
        <v>825</v>
      </c>
      <c r="Z3039" t="n">
        <v>789</v>
      </c>
      <c r="AA3039" t="n">
        <v>1134</v>
      </c>
      <c r="AB3039" t="n">
        <v>9</v>
      </c>
      <c r="AC3039" t="n">
        <v>13</v>
      </c>
      <c r="AD3039" t="n">
        <v>13</v>
      </c>
      <c r="AE3039" t="n">
        <v>16</v>
      </c>
      <c r="AF3039" t="n">
        <v>6</v>
      </c>
      <c r="AG3039" t="n">
        <v>6</v>
      </c>
      <c r="AH3039" t="n">
        <v>2</v>
      </c>
      <c r="AI3039" t="n">
        <v>3</v>
      </c>
      <c r="AJ3039" t="n">
        <v>3</v>
      </c>
      <c r="AK3039" t="n">
        <v>5</v>
      </c>
      <c r="AL3039" t="n">
        <v>3</v>
      </c>
      <c r="AM3039" t="n">
        <v>4</v>
      </c>
      <c r="AN3039" t="n">
        <v>0</v>
      </c>
      <c r="AO3039" t="n">
        <v>0</v>
      </c>
      <c r="AP3039" t="inlineStr">
        <is>
          <t>No</t>
        </is>
      </c>
      <c r="AQ3039" t="inlineStr">
        <is>
          <t>Yes</t>
        </is>
      </c>
      <c r="AR3039">
        <f>HYPERLINK("http://catalog.hathitrust.org/Record/003565521","HathiTrust Record")</f>
        <v/>
      </c>
      <c r="AS3039">
        <f>HYPERLINK("https://creighton-primo.hosted.exlibrisgroup.com/primo-explore/search?tab=default_tab&amp;search_scope=EVERYTHING&amp;vid=01CRU&amp;lang=en_US&amp;offset=0&amp;query=any,contains,991003548509702656","Catalog Record")</f>
        <v/>
      </c>
      <c r="AT3039">
        <f>HYPERLINK("http://www.worldcat.org/oclc/45498674","WorldCat Record")</f>
        <v/>
      </c>
      <c r="AU3039" t="inlineStr">
        <is>
          <t>433172498:eng</t>
        </is>
      </c>
      <c r="AV3039" t="inlineStr">
        <is>
          <t>45498674</t>
        </is>
      </c>
      <c r="AW3039" t="inlineStr">
        <is>
          <t>991003548509702656</t>
        </is>
      </c>
      <c r="AX3039" t="inlineStr">
        <is>
          <t>991003548509702656</t>
        </is>
      </c>
      <c r="AY3039" t="inlineStr">
        <is>
          <t>2255025010002656</t>
        </is>
      </c>
      <c r="AZ3039" t="inlineStr">
        <is>
          <t>BOOK</t>
        </is>
      </c>
      <c r="BC3039" t="inlineStr">
        <is>
          <t>32285004325428</t>
        </is>
      </c>
      <c r="BD3039" t="inlineStr">
        <is>
          <t>893435127</t>
        </is>
      </c>
    </row>
    <row r="3040">
      <c r="A3040" t="inlineStr">
        <is>
          <t>No</t>
        </is>
      </c>
      <c r="B3040" t="inlineStr">
        <is>
          <t>BX8611 .H295</t>
        </is>
      </c>
      <c r="C3040" t="inlineStr">
        <is>
          <t>0                      BX 8611000H  295</t>
        </is>
      </c>
      <c r="D3040" t="inlineStr">
        <is>
          <t>Quest for empire : the politicial kingdom of God and the Council of Fifty in Mormon history / by Klaus J. Hansen.</t>
        </is>
      </c>
      <c r="F3040" t="inlineStr">
        <is>
          <t>No</t>
        </is>
      </c>
      <c r="G3040" t="inlineStr">
        <is>
          <t>1</t>
        </is>
      </c>
      <c r="H3040" t="inlineStr">
        <is>
          <t>No</t>
        </is>
      </c>
      <c r="I3040" t="inlineStr">
        <is>
          <t>No</t>
        </is>
      </c>
      <c r="J3040" t="inlineStr">
        <is>
          <t>0</t>
        </is>
      </c>
      <c r="K3040" t="inlineStr">
        <is>
          <t>Hansen, Klaus J.</t>
        </is>
      </c>
      <c r="L3040" t="inlineStr">
        <is>
          <t>[East Lansing, Mich.] : Michigan State University Press, 1970, c1967.</t>
        </is>
      </c>
      <c r="M3040" t="inlineStr">
        <is>
          <t>1970</t>
        </is>
      </c>
      <c r="O3040" t="inlineStr">
        <is>
          <t>eng</t>
        </is>
      </c>
      <c r="P3040" t="inlineStr">
        <is>
          <t>miu</t>
        </is>
      </c>
      <c r="R3040" t="inlineStr">
        <is>
          <t xml:space="preserve">BX </t>
        </is>
      </c>
      <c r="S3040" t="n">
        <v>2</v>
      </c>
      <c r="T3040" t="n">
        <v>2</v>
      </c>
      <c r="U3040" t="inlineStr">
        <is>
          <t>1993-02-09</t>
        </is>
      </c>
      <c r="V3040" t="inlineStr">
        <is>
          <t>1993-02-09</t>
        </is>
      </c>
      <c r="W3040" t="inlineStr">
        <is>
          <t>1992-05-22</t>
        </is>
      </c>
      <c r="X3040" t="inlineStr">
        <is>
          <t>1992-05-22</t>
        </is>
      </c>
      <c r="Y3040" t="n">
        <v>43</v>
      </c>
      <c r="Z3040" t="n">
        <v>39</v>
      </c>
      <c r="AA3040" t="n">
        <v>512</v>
      </c>
      <c r="AB3040" t="n">
        <v>1</v>
      </c>
      <c r="AC3040" t="n">
        <v>8</v>
      </c>
      <c r="AD3040" t="n">
        <v>1</v>
      </c>
      <c r="AE3040" t="n">
        <v>25</v>
      </c>
      <c r="AF3040" t="n">
        <v>1</v>
      </c>
      <c r="AG3040" t="n">
        <v>11</v>
      </c>
      <c r="AH3040" t="n">
        <v>0</v>
      </c>
      <c r="AI3040" t="n">
        <v>5</v>
      </c>
      <c r="AJ3040" t="n">
        <v>1</v>
      </c>
      <c r="AK3040" t="n">
        <v>8</v>
      </c>
      <c r="AL3040" t="n">
        <v>0</v>
      </c>
      <c r="AM3040" t="n">
        <v>6</v>
      </c>
      <c r="AN3040" t="n">
        <v>0</v>
      </c>
      <c r="AO3040" t="n">
        <v>0</v>
      </c>
      <c r="AP3040" t="inlineStr">
        <is>
          <t>No</t>
        </is>
      </c>
      <c r="AQ3040" t="inlineStr">
        <is>
          <t>Yes</t>
        </is>
      </c>
      <c r="AR3040">
        <f>HYPERLINK("http://catalog.hathitrust.org/Record/006016831","HathiTrust Record")</f>
        <v/>
      </c>
      <c r="AS3040">
        <f>HYPERLINK("https://creighton-primo.hosted.exlibrisgroup.com/primo-explore/search?tab=default_tab&amp;search_scope=EVERYTHING&amp;vid=01CRU&amp;lang=en_US&amp;offset=0&amp;query=any,contains,991000181619702656","Catalog Record")</f>
        <v/>
      </c>
      <c r="AT3040">
        <f>HYPERLINK("http://www.worldcat.org/oclc/1928771","WorldCat Record")</f>
        <v/>
      </c>
      <c r="AU3040" t="inlineStr">
        <is>
          <t>1525740:eng</t>
        </is>
      </c>
      <c r="AV3040" t="inlineStr">
        <is>
          <t>1928771</t>
        </is>
      </c>
      <c r="AW3040" t="inlineStr">
        <is>
          <t>991000181619702656</t>
        </is>
      </c>
      <c r="AX3040" t="inlineStr">
        <is>
          <t>991000181619702656</t>
        </is>
      </c>
      <c r="AY3040" t="inlineStr">
        <is>
          <t>2267050850002656</t>
        </is>
      </c>
      <c r="AZ3040" t="inlineStr">
        <is>
          <t>BOOK</t>
        </is>
      </c>
      <c r="BC3040" t="inlineStr">
        <is>
          <t>32285001140192</t>
        </is>
      </c>
      <c r="BD3040" t="inlineStr">
        <is>
          <t>893614006</t>
        </is>
      </c>
    </row>
    <row r="3041">
      <c r="A3041" t="inlineStr">
        <is>
          <t>No</t>
        </is>
      </c>
      <c r="B3041" t="inlineStr">
        <is>
          <t>BX8611 .L5</t>
        </is>
      </c>
      <c r="C3041" t="inlineStr">
        <is>
          <t>0                      BX 8611000L  5</t>
        </is>
      </c>
      <c r="D3041" t="inlineStr">
        <is>
          <t>The story of the Mormons : from the date of their origin to the year 1901 / by William Alexander Linn.</t>
        </is>
      </c>
      <c r="F3041" t="inlineStr">
        <is>
          <t>No</t>
        </is>
      </c>
      <c r="G3041" t="inlineStr">
        <is>
          <t>1</t>
        </is>
      </c>
      <c r="H3041" t="inlineStr">
        <is>
          <t>No</t>
        </is>
      </c>
      <c r="I3041" t="inlineStr">
        <is>
          <t>No</t>
        </is>
      </c>
      <c r="J3041" t="inlineStr">
        <is>
          <t>0</t>
        </is>
      </c>
      <c r="K3041" t="inlineStr">
        <is>
          <t>Linn, William Alexander, 1846-1917.</t>
        </is>
      </c>
      <c r="L3041" t="inlineStr">
        <is>
          <t>New York : Russell &amp; Russell, 1963.</t>
        </is>
      </c>
      <c r="M3041" t="inlineStr">
        <is>
          <t>1963</t>
        </is>
      </c>
      <c r="O3041" t="inlineStr">
        <is>
          <t>eng</t>
        </is>
      </c>
      <c r="P3041" t="inlineStr">
        <is>
          <t>nyu</t>
        </is>
      </c>
      <c r="R3041" t="inlineStr">
        <is>
          <t xml:space="preserve">BX </t>
        </is>
      </c>
      <c r="S3041" t="n">
        <v>5</v>
      </c>
      <c r="T3041" t="n">
        <v>5</v>
      </c>
      <c r="U3041" t="inlineStr">
        <is>
          <t>1993-10-04</t>
        </is>
      </c>
      <c r="V3041" t="inlineStr">
        <is>
          <t>1993-10-04</t>
        </is>
      </c>
      <c r="W3041" t="inlineStr">
        <is>
          <t>1992-03-24</t>
        </is>
      </c>
      <c r="X3041" t="inlineStr">
        <is>
          <t>1992-03-24</t>
        </is>
      </c>
      <c r="Y3041" t="n">
        <v>314</v>
      </c>
      <c r="Z3041" t="n">
        <v>296</v>
      </c>
      <c r="AA3041" t="n">
        <v>950</v>
      </c>
      <c r="AB3041" t="n">
        <v>3</v>
      </c>
      <c r="AC3041" t="n">
        <v>7</v>
      </c>
      <c r="AD3041" t="n">
        <v>18</v>
      </c>
      <c r="AE3041" t="n">
        <v>40</v>
      </c>
      <c r="AF3041" t="n">
        <v>8</v>
      </c>
      <c r="AG3041" t="n">
        <v>16</v>
      </c>
      <c r="AH3041" t="n">
        <v>5</v>
      </c>
      <c r="AI3041" t="n">
        <v>9</v>
      </c>
      <c r="AJ3041" t="n">
        <v>9</v>
      </c>
      <c r="AK3041" t="n">
        <v>17</v>
      </c>
      <c r="AL3041" t="n">
        <v>2</v>
      </c>
      <c r="AM3041" t="n">
        <v>6</v>
      </c>
      <c r="AN3041" t="n">
        <v>0</v>
      </c>
      <c r="AO3041" t="n">
        <v>0</v>
      </c>
      <c r="AP3041" t="inlineStr">
        <is>
          <t>No</t>
        </is>
      </c>
      <c r="AQ3041" t="inlineStr">
        <is>
          <t>Yes</t>
        </is>
      </c>
      <c r="AR3041">
        <f>HYPERLINK("http://catalog.hathitrust.org/Record/007152937","HathiTrust Record")</f>
        <v/>
      </c>
      <c r="AS3041">
        <f>HYPERLINK("https://creighton-primo.hosted.exlibrisgroup.com/primo-explore/search?tab=default_tab&amp;search_scope=EVERYTHING&amp;vid=01CRU&amp;lang=en_US&amp;offset=0&amp;query=any,contains,991003686409702656","Catalog Record")</f>
        <v/>
      </c>
      <c r="AT3041">
        <f>HYPERLINK("http://www.worldcat.org/oclc/1314898","WorldCat Record")</f>
        <v/>
      </c>
      <c r="AU3041" t="inlineStr">
        <is>
          <t>4917263006:eng</t>
        </is>
      </c>
      <c r="AV3041" t="inlineStr">
        <is>
          <t>1314898</t>
        </is>
      </c>
      <c r="AW3041" t="inlineStr">
        <is>
          <t>991003686409702656</t>
        </is>
      </c>
      <c r="AX3041" t="inlineStr">
        <is>
          <t>991003686409702656</t>
        </is>
      </c>
      <c r="AY3041" t="inlineStr">
        <is>
          <t>2270407210002656</t>
        </is>
      </c>
      <c r="AZ3041" t="inlineStr">
        <is>
          <t>BOOK</t>
        </is>
      </c>
      <c r="BC3041" t="inlineStr">
        <is>
          <t>32285001028173</t>
        </is>
      </c>
      <c r="BD3041" t="inlineStr">
        <is>
          <t>893868717</t>
        </is>
      </c>
    </row>
    <row r="3042">
      <c r="A3042" t="inlineStr">
        <is>
          <t>No</t>
        </is>
      </c>
      <c r="B3042" t="inlineStr">
        <is>
          <t>BX8623 1970</t>
        </is>
      </c>
      <c r="C3042" t="inlineStr">
        <is>
          <t>0                      BX 8623000               1970</t>
        </is>
      </c>
      <c r="D3042" t="inlineStr">
        <is>
          <t>The Book of Mormon : an account written by the hand of Mormon, upon plates taken from the plates of Nephi ... / by Joseph Smith, junior.</t>
        </is>
      </c>
      <c r="F3042" t="inlineStr">
        <is>
          <t>No</t>
        </is>
      </c>
      <c r="G3042" t="inlineStr">
        <is>
          <t>1</t>
        </is>
      </c>
      <c r="H3042" t="inlineStr">
        <is>
          <t>No</t>
        </is>
      </c>
      <c r="I3042" t="inlineStr">
        <is>
          <t>Yes</t>
        </is>
      </c>
      <c r="J3042" t="inlineStr">
        <is>
          <t>0</t>
        </is>
      </c>
      <c r="K3042" t="inlineStr">
        <is>
          <t>Book of Mormon.</t>
        </is>
      </c>
      <c r="L3042" t="inlineStr">
        <is>
          <t>[S.l. : Herald House], 1970.</t>
        </is>
      </c>
      <c r="M3042" t="inlineStr">
        <is>
          <t>1970</t>
        </is>
      </c>
      <c r="O3042" t="inlineStr">
        <is>
          <t>eng</t>
        </is>
      </c>
      <c r="P3042" t="inlineStr">
        <is>
          <t xml:space="preserve">xx </t>
        </is>
      </c>
      <c r="Q3042" t="inlineStr">
        <is>
          <t>Herald heritage reprint</t>
        </is>
      </c>
      <c r="R3042" t="inlineStr">
        <is>
          <t xml:space="preserve">BX </t>
        </is>
      </c>
      <c r="S3042" t="n">
        <v>6</v>
      </c>
      <c r="T3042" t="n">
        <v>6</v>
      </c>
      <c r="U3042" t="inlineStr">
        <is>
          <t>1995-01-11</t>
        </is>
      </c>
      <c r="V3042" t="inlineStr">
        <is>
          <t>1995-01-11</t>
        </is>
      </c>
      <c r="W3042" t="inlineStr">
        <is>
          <t>1993-12-02</t>
        </is>
      </c>
      <c r="X3042" t="inlineStr">
        <is>
          <t>1993-12-02</t>
        </is>
      </c>
      <c r="Y3042" t="n">
        <v>27</v>
      </c>
      <c r="Z3042" t="n">
        <v>27</v>
      </c>
      <c r="AA3042" t="n">
        <v>5204</v>
      </c>
      <c r="AB3042" t="n">
        <v>1</v>
      </c>
      <c r="AC3042" t="n">
        <v>62</v>
      </c>
      <c r="AD3042" t="n">
        <v>1</v>
      </c>
      <c r="AE3042" t="n">
        <v>84</v>
      </c>
      <c r="AF3042" t="n">
        <v>0</v>
      </c>
      <c r="AG3042" t="n">
        <v>28</v>
      </c>
      <c r="AH3042" t="n">
        <v>0</v>
      </c>
      <c r="AI3042" t="n">
        <v>11</v>
      </c>
      <c r="AJ3042" t="n">
        <v>1</v>
      </c>
      <c r="AK3042" t="n">
        <v>28</v>
      </c>
      <c r="AL3042" t="n">
        <v>0</v>
      </c>
      <c r="AM3042" t="n">
        <v>20</v>
      </c>
      <c r="AN3042" t="n">
        <v>0</v>
      </c>
      <c r="AO3042" t="n">
        <v>11</v>
      </c>
      <c r="AP3042" t="inlineStr">
        <is>
          <t>No</t>
        </is>
      </c>
      <c r="AQ3042" t="inlineStr">
        <is>
          <t>No</t>
        </is>
      </c>
      <c r="AS3042">
        <f>HYPERLINK("https://creighton-primo.hosted.exlibrisgroup.com/primo-explore/search?tab=default_tab&amp;search_scope=EVERYTHING&amp;vid=01CRU&amp;lang=en_US&amp;offset=0&amp;query=any,contains,991005142339702656","Catalog Record")</f>
        <v/>
      </c>
      <c r="AT3042">
        <f>HYPERLINK("http://www.worldcat.org/oclc/7625795","WorldCat Record")</f>
        <v/>
      </c>
      <c r="AU3042" t="inlineStr">
        <is>
          <t>1081784990:eng</t>
        </is>
      </c>
      <c r="AV3042" t="inlineStr">
        <is>
          <t>7625795</t>
        </is>
      </c>
      <c r="AW3042" t="inlineStr">
        <is>
          <t>991005142339702656</t>
        </is>
      </c>
      <c r="AX3042" t="inlineStr">
        <is>
          <t>991005142339702656</t>
        </is>
      </c>
      <c r="AY3042" t="inlineStr">
        <is>
          <t>2262491900002656</t>
        </is>
      </c>
      <c r="AZ3042" t="inlineStr">
        <is>
          <t>BOOK</t>
        </is>
      </c>
      <c r="BC3042" t="inlineStr">
        <is>
          <t>32285001805661</t>
        </is>
      </c>
      <c r="BD3042" t="inlineStr">
        <is>
          <t>893870586</t>
        </is>
      </c>
    </row>
    <row r="3043">
      <c r="A3043" t="inlineStr">
        <is>
          <t>No</t>
        </is>
      </c>
      <c r="B3043" t="inlineStr">
        <is>
          <t>BX8643.C68 B76 1994</t>
        </is>
      </c>
      <c r="C3043" t="inlineStr">
        <is>
          <t>0                      BX 8643000C  68                 B  76          1994</t>
        </is>
      </c>
      <c r="D3043" t="inlineStr">
        <is>
          <t>The refiner's fire : the making of Mormon cosmology, 1644-1844 / John L. Brooke.</t>
        </is>
      </c>
      <c r="F3043" t="inlineStr">
        <is>
          <t>No</t>
        </is>
      </c>
      <c r="G3043" t="inlineStr">
        <is>
          <t>1</t>
        </is>
      </c>
      <c r="H3043" t="inlineStr">
        <is>
          <t>No</t>
        </is>
      </c>
      <c r="I3043" t="inlineStr">
        <is>
          <t>No</t>
        </is>
      </c>
      <c r="J3043" t="inlineStr">
        <is>
          <t>0</t>
        </is>
      </c>
      <c r="K3043" t="inlineStr">
        <is>
          <t>Brooke, John L.</t>
        </is>
      </c>
      <c r="L3043" t="inlineStr">
        <is>
          <t>Cambridge ; New York : Cambridge University Press, 1994.</t>
        </is>
      </c>
      <c r="M3043" t="inlineStr">
        <is>
          <t>1994</t>
        </is>
      </c>
      <c r="O3043" t="inlineStr">
        <is>
          <t>eng</t>
        </is>
      </c>
      <c r="P3043" t="inlineStr">
        <is>
          <t>enk</t>
        </is>
      </c>
      <c r="R3043" t="inlineStr">
        <is>
          <t xml:space="preserve">BX </t>
        </is>
      </c>
      <c r="S3043" t="n">
        <v>3</v>
      </c>
      <c r="T3043" t="n">
        <v>3</v>
      </c>
      <c r="U3043" t="inlineStr">
        <is>
          <t>2003-03-23</t>
        </is>
      </c>
      <c r="V3043" t="inlineStr">
        <is>
          <t>2003-03-23</t>
        </is>
      </c>
      <c r="W3043" t="inlineStr">
        <is>
          <t>1995-04-30</t>
        </is>
      </c>
      <c r="X3043" t="inlineStr">
        <is>
          <t>1995-04-30</t>
        </is>
      </c>
      <c r="Y3043" t="n">
        <v>693</v>
      </c>
      <c r="Z3043" t="n">
        <v>607</v>
      </c>
      <c r="AA3043" t="n">
        <v>806</v>
      </c>
      <c r="AB3043" t="n">
        <v>7</v>
      </c>
      <c r="AC3043" t="n">
        <v>9</v>
      </c>
      <c r="AD3043" t="n">
        <v>37</v>
      </c>
      <c r="AE3043" t="n">
        <v>50</v>
      </c>
      <c r="AF3043" t="n">
        <v>15</v>
      </c>
      <c r="AG3043" t="n">
        <v>20</v>
      </c>
      <c r="AH3043" t="n">
        <v>7</v>
      </c>
      <c r="AI3043" t="n">
        <v>11</v>
      </c>
      <c r="AJ3043" t="n">
        <v>18</v>
      </c>
      <c r="AK3043" t="n">
        <v>24</v>
      </c>
      <c r="AL3043" t="n">
        <v>6</v>
      </c>
      <c r="AM3043" t="n">
        <v>8</v>
      </c>
      <c r="AN3043" t="n">
        <v>0</v>
      </c>
      <c r="AO3043" t="n">
        <v>0</v>
      </c>
      <c r="AP3043" t="inlineStr">
        <is>
          <t>No</t>
        </is>
      </c>
      <c r="AQ3043" t="inlineStr">
        <is>
          <t>No</t>
        </is>
      </c>
      <c r="AS3043">
        <f>HYPERLINK("https://creighton-primo.hosted.exlibrisgroup.com/primo-explore/search?tab=default_tab&amp;search_scope=EVERYTHING&amp;vid=01CRU&amp;lang=en_US&amp;offset=0&amp;query=any,contains,991002243019702656","Catalog Record")</f>
        <v/>
      </c>
      <c r="AT3043">
        <f>HYPERLINK("http://www.worldcat.org/oclc/28928183","WorldCat Record")</f>
        <v/>
      </c>
      <c r="AU3043" t="inlineStr">
        <is>
          <t>796466546:eng</t>
        </is>
      </c>
      <c r="AV3043" t="inlineStr">
        <is>
          <t>28928183</t>
        </is>
      </c>
      <c r="AW3043" t="inlineStr">
        <is>
          <t>991002243019702656</t>
        </is>
      </c>
      <c r="AX3043" t="inlineStr">
        <is>
          <t>991002243019702656</t>
        </is>
      </c>
      <c r="AY3043" t="inlineStr">
        <is>
          <t>2270273270002656</t>
        </is>
      </c>
      <c r="AZ3043" t="inlineStr">
        <is>
          <t>BOOK</t>
        </is>
      </c>
      <c r="BB3043" t="inlineStr">
        <is>
          <t>9780521345453</t>
        </is>
      </c>
      <c r="BC3043" t="inlineStr">
        <is>
          <t>32285002036605</t>
        </is>
      </c>
      <c r="BD3043" t="inlineStr">
        <is>
          <t>893226610</t>
        </is>
      </c>
    </row>
    <row r="3044">
      <c r="A3044" t="inlineStr">
        <is>
          <t>No</t>
        </is>
      </c>
      <c r="B3044" t="inlineStr">
        <is>
          <t>BX8643.F3 F36 1997</t>
        </is>
      </c>
      <c r="C3044" t="inlineStr">
        <is>
          <t>0                      BX 8643000F  3                  F  36          1997</t>
        </is>
      </c>
      <c r="D3044" t="inlineStr">
        <is>
          <t>Family home evening resource book.</t>
        </is>
      </c>
      <c r="F3044" t="inlineStr">
        <is>
          <t>No</t>
        </is>
      </c>
      <c r="G3044" t="inlineStr">
        <is>
          <t>1</t>
        </is>
      </c>
      <c r="H3044" t="inlineStr">
        <is>
          <t>No</t>
        </is>
      </c>
      <c r="I3044" t="inlineStr">
        <is>
          <t>No</t>
        </is>
      </c>
      <c r="J3044" t="inlineStr">
        <is>
          <t>0</t>
        </is>
      </c>
      <c r="L3044" t="inlineStr">
        <is>
          <t>Salt Lake City, Utah : Church of Jesus Christ of Latter-day Saints, 1983, c1997.</t>
        </is>
      </c>
      <c r="M3044" t="inlineStr">
        <is>
          <t>1997</t>
        </is>
      </c>
      <c r="O3044" t="inlineStr">
        <is>
          <t>eng</t>
        </is>
      </c>
      <c r="P3044" t="inlineStr">
        <is>
          <t>utu</t>
        </is>
      </c>
      <c r="R3044" t="inlineStr">
        <is>
          <t xml:space="preserve">BX </t>
        </is>
      </c>
      <c r="S3044" t="n">
        <v>4</v>
      </c>
      <c r="T3044" t="n">
        <v>4</v>
      </c>
      <c r="U3044" t="inlineStr">
        <is>
          <t>2004-11-09</t>
        </is>
      </c>
      <c r="V3044" t="inlineStr">
        <is>
          <t>2004-11-09</t>
        </is>
      </c>
      <c r="W3044" t="inlineStr">
        <is>
          <t>2001-06-06</t>
        </is>
      </c>
      <c r="X3044" t="inlineStr">
        <is>
          <t>2001-06-06</t>
        </is>
      </c>
      <c r="Y3044" t="n">
        <v>290</v>
      </c>
      <c r="Z3044" t="n">
        <v>276</v>
      </c>
      <c r="AA3044" t="n">
        <v>596</v>
      </c>
      <c r="AB3044" t="n">
        <v>7</v>
      </c>
      <c r="AC3044" t="n">
        <v>11</v>
      </c>
      <c r="AD3044" t="n">
        <v>6</v>
      </c>
      <c r="AE3044" t="n">
        <v>10</v>
      </c>
      <c r="AF3044" t="n">
        <v>1</v>
      </c>
      <c r="AG3044" t="n">
        <v>2</v>
      </c>
      <c r="AH3044" t="n">
        <v>1</v>
      </c>
      <c r="AI3044" t="n">
        <v>1</v>
      </c>
      <c r="AJ3044" t="n">
        <v>1</v>
      </c>
      <c r="AK3044" t="n">
        <v>2</v>
      </c>
      <c r="AL3044" t="n">
        <v>3</v>
      </c>
      <c r="AM3044" t="n">
        <v>5</v>
      </c>
      <c r="AN3044" t="n">
        <v>0</v>
      </c>
      <c r="AO3044" t="n">
        <v>0</v>
      </c>
      <c r="AP3044" t="inlineStr">
        <is>
          <t>No</t>
        </is>
      </c>
      <c r="AQ3044" t="inlineStr">
        <is>
          <t>Yes</t>
        </is>
      </c>
      <c r="AR3044">
        <f>HYPERLINK("http://catalog.hathitrust.org/Record/012274434","HathiTrust Record")</f>
        <v/>
      </c>
      <c r="AS3044">
        <f>HYPERLINK("https://creighton-primo.hosted.exlibrisgroup.com/primo-explore/search?tab=default_tab&amp;search_scope=EVERYTHING&amp;vid=01CRU&amp;lang=en_US&amp;offset=0&amp;query=any,contains,991003548489702656","Catalog Record")</f>
        <v/>
      </c>
      <c r="AT3044">
        <f>HYPERLINK("http://www.worldcat.org/oclc/45909816","WorldCat Record")</f>
        <v/>
      </c>
      <c r="AU3044" t="inlineStr">
        <is>
          <t>3768472420:eng</t>
        </is>
      </c>
      <c r="AV3044" t="inlineStr">
        <is>
          <t>45909816</t>
        </is>
      </c>
      <c r="AW3044" t="inlineStr">
        <is>
          <t>991003548489702656</t>
        </is>
      </c>
      <c r="AX3044" t="inlineStr">
        <is>
          <t>991003548489702656</t>
        </is>
      </c>
      <c r="AY3044" t="inlineStr">
        <is>
          <t>2268058120002656</t>
        </is>
      </c>
      <c r="AZ3044" t="inlineStr">
        <is>
          <t>BOOK</t>
        </is>
      </c>
      <c r="BC3044" t="inlineStr">
        <is>
          <t>32285004325410</t>
        </is>
      </c>
      <c r="BD3044" t="inlineStr">
        <is>
          <t>893598693</t>
        </is>
      </c>
    </row>
    <row r="3045">
      <c r="A3045" t="inlineStr">
        <is>
          <t>No</t>
        </is>
      </c>
      <c r="B3045" t="inlineStr">
        <is>
          <t>BX8643.T4 B84 1994</t>
        </is>
      </c>
      <c r="C3045" t="inlineStr">
        <is>
          <t>0                      BX 8643000T  4                  B  84          1994</t>
        </is>
      </c>
      <c r="D3045" t="inlineStr">
        <is>
          <t>The mysteries of Godliness : a history of Mormon temple worship / by David John Buerger.</t>
        </is>
      </c>
      <c r="F3045" t="inlineStr">
        <is>
          <t>No</t>
        </is>
      </c>
      <c r="G3045" t="inlineStr">
        <is>
          <t>1</t>
        </is>
      </c>
      <c r="H3045" t="inlineStr">
        <is>
          <t>No</t>
        </is>
      </c>
      <c r="I3045" t="inlineStr">
        <is>
          <t>No</t>
        </is>
      </c>
      <c r="J3045" t="inlineStr">
        <is>
          <t>0</t>
        </is>
      </c>
      <c r="K3045" t="inlineStr">
        <is>
          <t>Buerger, David John, 1955-</t>
        </is>
      </c>
      <c r="L3045" t="inlineStr">
        <is>
          <t>San Francisco : Smith Research Associates ; Salt Lake City, Utah : Distributed by Signature Books, 1994.</t>
        </is>
      </c>
      <c r="M3045" t="inlineStr">
        <is>
          <t>1994</t>
        </is>
      </c>
      <c r="O3045" t="inlineStr">
        <is>
          <t>eng</t>
        </is>
      </c>
      <c r="P3045" t="inlineStr">
        <is>
          <t>cau</t>
        </is>
      </c>
      <c r="R3045" t="inlineStr">
        <is>
          <t xml:space="preserve">BX </t>
        </is>
      </c>
      <c r="S3045" t="n">
        <v>5</v>
      </c>
      <c r="T3045" t="n">
        <v>5</v>
      </c>
      <c r="U3045" t="inlineStr">
        <is>
          <t>2000-11-17</t>
        </is>
      </c>
      <c r="V3045" t="inlineStr">
        <is>
          <t>2000-11-17</t>
        </is>
      </c>
      <c r="W3045" t="inlineStr">
        <is>
          <t>1999-09-01</t>
        </is>
      </c>
      <c r="X3045" t="inlineStr">
        <is>
          <t>1999-09-01</t>
        </is>
      </c>
      <c r="Y3045" t="n">
        <v>105</v>
      </c>
      <c r="Z3045" t="n">
        <v>99</v>
      </c>
      <c r="AA3045" t="n">
        <v>239</v>
      </c>
      <c r="AB3045" t="n">
        <v>1</v>
      </c>
      <c r="AC3045" t="n">
        <v>2</v>
      </c>
      <c r="AD3045" t="n">
        <v>9</v>
      </c>
      <c r="AE3045" t="n">
        <v>14</v>
      </c>
      <c r="AF3045" t="n">
        <v>5</v>
      </c>
      <c r="AG3045" t="n">
        <v>7</v>
      </c>
      <c r="AH3045" t="n">
        <v>2</v>
      </c>
      <c r="AI3045" t="n">
        <v>4</v>
      </c>
      <c r="AJ3045" t="n">
        <v>5</v>
      </c>
      <c r="AK3045" t="n">
        <v>6</v>
      </c>
      <c r="AL3045" t="n">
        <v>0</v>
      </c>
      <c r="AM3045" t="n">
        <v>1</v>
      </c>
      <c r="AN3045" t="n">
        <v>0</v>
      </c>
      <c r="AO3045" t="n">
        <v>0</v>
      </c>
      <c r="AP3045" t="inlineStr">
        <is>
          <t>No</t>
        </is>
      </c>
      <c r="AQ3045" t="inlineStr">
        <is>
          <t>No</t>
        </is>
      </c>
      <c r="AS3045">
        <f>HYPERLINK("https://creighton-primo.hosted.exlibrisgroup.com/primo-explore/search?tab=default_tab&amp;search_scope=EVERYTHING&amp;vid=01CRU&amp;lang=en_US&amp;offset=0&amp;query=any,contains,991002412369702656","Catalog Record")</f>
        <v/>
      </c>
      <c r="AT3045">
        <f>HYPERLINK("http://www.worldcat.org/oclc/31408260","WorldCat Record")</f>
        <v/>
      </c>
      <c r="AU3045" t="inlineStr">
        <is>
          <t>1048569:eng</t>
        </is>
      </c>
      <c r="AV3045" t="inlineStr">
        <is>
          <t>31408260</t>
        </is>
      </c>
      <c r="AW3045" t="inlineStr">
        <is>
          <t>991002412369702656</t>
        </is>
      </c>
      <c r="AX3045" t="inlineStr">
        <is>
          <t>991002412369702656</t>
        </is>
      </c>
      <c r="AY3045" t="inlineStr">
        <is>
          <t>2267536830002656</t>
        </is>
      </c>
      <c r="AZ3045" t="inlineStr">
        <is>
          <t>BOOK</t>
        </is>
      </c>
      <c r="BB3045" t="inlineStr">
        <is>
          <t>9781560850427</t>
        </is>
      </c>
      <c r="BC3045" t="inlineStr">
        <is>
          <t>32285003585899</t>
        </is>
      </c>
      <c r="BD3045" t="inlineStr">
        <is>
          <t>893510698</t>
        </is>
      </c>
    </row>
    <row r="3046">
      <c r="A3046" t="inlineStr">
        <is>
          <t>No</t>
        </is>
      </c>
      <c r="B3046" t="inlineStr">
        <is>
          <t>BX8645 .T36</t>
        </is>
      </c>
      <c r="C3046" t="inlineStr">
        <is>
          <t>0                      BX 8645000T  36</t>
        </is>
      </c>
      <c r="D3046" t="inlineStr">
        <is>
          <t>Mormonism-shadow or reality? / by Jerald and Sandra Tanner.</t>
        </is>
      </c>
      <c r="F3046" t="inlineStr">
        <is>
          <t>No</t>
        </is>
      </c>
      <c r="G3046" t="inlineStr">
        <is>
          <t>1</t>
        </is>
      </c>
      <c r="H3046" t="inlineStr">
        <is>
          <t>No</t>
        </is>
      </c>
      <c r="I3046" t="inlineStr">
        <is>
          <t>No</t>
        </is>
      </c>
      <c r="J3046" t="inlineStr">
        <is>
          <t>0</t>
        </is>
      </c>
      <c r="K3046" t="inlineStr">
        <is>
          <t>Tanner, Jerald, 1938-2006.</t>
        </is>
      </c>
      <c r="L3046" t="inlineStr">
        <is>
          <t>Salt Lake City : Modern Microfilm Company, 1972.</t>
        </is>
      </c>
      <c r="M3046" t="inlineStr">
        <is>
          <t>1972</t>
        </is>
      </c>
      <c r="N3046" t="inlineStr">
        <is>
          <t>Enlarged edition.</t>
        </is>
      </c>
      <c r="O3046" t="inlineStr">
        <is>
          <t>eng</t>
        </is>
      </c>
      <c r="P3046" t="inlineStr">
        <is>
          <t xml:space="preserve">xx </t>
        </is>
      </c>
      <c r="R3046" t="inlineStr">
        <is>
          <t xml:space="preserve">BX </t>
        </is>
      </c>
      <c r="S3046" t="n">
        <v>5</v>
      </c>
      <c r="T3046" t="n">
        <v>5</v>
      </c>
      <c r="U3046" t="inlineStr">
        <is>
          <t>2001-04-24</t>
        </is>
      </c>
      <c r="V3046" t="inlineStr">
        <is>
          <t>2001-04-24</t>
        </is>
      </c>
      <c r="W3046" t="inlineStr">
        <is>
          <t>1992-03-09</t>
        </is>
      </c>
      <c r="X3046" t="inlineStr">
        <is>
          <t>1992-03-09</t>
        </is>
      </c>
      <c r="Y3046" t="n">
        <v>152</v>
      </c>
      <c r="Z3046" t="n">
        <v>142</v>
      </c>
      <c r="AA3046" t="n">
        <v>251</v>
      </c>
      <c r="AB3046" t="n">
        <v>3</v>
      </c>
      <c r="AC3046" t="n">
        <v>4</v>
      </c>
      <c r="AD3046" t="n">
        <v>4</v>
      </c>
      <c r="AE3046" t="n">
        <v>8</v>
      </c>
      <c r="AF3046" t="n">
        <v>2</v>
      </c>
      <c r="AG3046" t="n">
        <v>3</v>
      </c>
      <c r="AH3046" t="n">
        <v>0</v>
      </c>
      <c r="AI3046" t="n">
        <v>1</v>
      </c>
      <c r="AJ3046" t="n">
        <v>0</v>
      </c>
      <c r="AK3046" t="n">
        <v>2</v>
      </c>
      <c r="AL3046" t="n">
        <v>2</v>
      </c>
      <c r="AM3046" t="n">
        <v>2</v>
      </c>
      <c r="AN3046" t="n">
        <v>0</v>
      </c>
      <c r="AO3046" t="n">
        <v>0</v>
      </c>
      <c r="AP3046" t="inlineStr">
        <is>
          <t>No</t>
        </is>
      </c>
      <c r="AQ3046" t="inlineStr">
        <is>
          <t>No</t>
        </is>
      </c>
      <c r="AS3046">
        <f>HYPERLINK("https://creighton-primo.hosted.exlibrisgroup.com/primo-explore/search?tab=default_tab&amp;search_scope=EVERYTHING&amp;vid=01CRU&amp;lang=en_US&amp;offset=0&amp;query=any,contains,991005178919702656","Catalog Record")</f>
        <v/>
      </c>
      <c r="AT3046">
        <f>HYPERLINK("http://www.worldcat.org/oclc/1006461","WorldCat Record")</f>
        <v/>
      </c>
      <c r="AU3046" t="inlineStr">
        <is>
          <t>1923756:eng</t>
        </is>
      </c>
      <c r="AV3046" t="inlineStr">
        <is>
          <t>1006461</t>
        </is>
      </c>
      <c r="AW3046" t="inlineStr">
        <is>
          <t>991005178919702656</t>
        </is>
      </c>
      <c r="AX3046" t="inlineStr">
        <is>
          <t>991005178919702656</t>
        </is>
      </c>
      <c r="AY3046" t="inlineStr">
        <is>
          <t>2270600560002656</t>
        </is>
      </c>
      <c r="AZ3046" t="inlineStr">
        <is>
          <t>BOOK</t>
        </is>
      </c>
      <c r="BC3046" t="inlineStr">
        <is>
          <t>32285000994532</t>
        </is>
      </c>
      <c r="BD3046" t="inlineStr">
        <is>
          <t>893533318</t>
        </is>
      </c>
    </row>
    <row r="3047">
      <c r="A3047" t="inlineStr">
        <is>
          <t>No</t>
        </is>
      </c>
      <c r="B3047" t="inlineStr">
        <is>
          <t>BX8680.L48 L422 1981</t>
        </is>
      </c>
      <c r="C3047" t="inlineStr">
        <is>
          <t>0                      BX 8680000L  48                 L  422         1981</t>
        </is>
      </c>
      <c r="D3047" t="inlineStr">
        <is>
          <t>Prophet of blood : the untold story of Ervil LeBaron and the lambs of God / by Ben Bradlee, Jr. and Dale Van Atta.</t>
        </is>
      </c>
      <c r="F3047" t="inlineStr">
        <is>
          <t>No</t>
        </is>
      </c>
      <c r="G3047" t="inlineStr">
        <is>
          <t>1</t>
        </is>
      </c>
      <c r="H3047" t="inlineStr">
        <is>
          <t>No</t>
        </is>
      </c>
      <c r="I3047" t="inlineStr">
        <is>
          <t>No</t>
        </is>
      </c>
      <c r="J3047" t="inlineStr">
        <is>
          <t>0</t>
        </is>
      </c>
      <c r="K3047" t="inlineStr">
        <is>
          <t>Bradlee, Benjamin C.</t>
        </is>
      </c>
      <c r="L3047" t="inlineStr">
        <is>
          <t>New York : Putnam, c1981.</t>
        </is>
      </c>
      <c r="M3047" t="inlineStr">
        <is>
          <t>1981</t>
        </is>
      </c>
      <c r="O3047" t="inlineStr">
        <is>
          <t>eng</t>
        </is>
      </c>
      <c r="P3047" t="inlineStr">
        <is>
          <t>nyu</t>
        </is>
      </c>
      <c r="R3047" t="inlineStr">
        <is>
          <t xml:space="preserve">BX </t>
        </is>
      </c>
      <c r="S3047" t="n">
        <v>6</v>
      </c>
      <c r="T3047" t="n">
        <v>6</v>
      </c>
      <c r="U3047" t="inlineStr">
        <is>
          <t>1996-09-16</t>
        </is>
      </c>
      <c r="V3047" t="inlineStr">
        <is>
          <t>1996-09-16</t>
        </is>
      </c>
      <c r="W3047" t="inlineStr">
        <is>
          <t>1992-05-22</t>
        </is>
      </c>
      <c r="X3047" t="inlineStr">
        <is>
          <t>1992-05-22</t>
        </is>
      </c>
      <c r="Y3047" t="n">
        <v>279</v>
      </c>
      <c r="Z3047" t="n">
        <v>268</v>
      </c>
      <c r="AA3047" t="n">
        <v>269</v>
      </c>
      <c r="AB3047" t="n">
        <v>1</v>
      </c>
      <c r="AC3047" t="n">
        <v>1</v>
      </c>
      <c r="AD3047" t="n">
        <v>3</v>
      </c>
      <c r="AE3047" t="n">
        <v>3</v>
      </c>
      <c r="AF3047" t="n">
        <v>0</v>
      </c>
      <c r="AG3047" t="n">
        <v>0</v>
      </c>
      <c r="AH3047" t="n">
        <v>1</v>
      </c>
      <c r="AI3047" t="n">
        <v>1</v>
      </c>
      <c r="AJ3047" t="n">
        <v>1</v>
      </c>
      <c r="AK3047" t="n">
        <v>1</v>
      </c>
      <c r="AL3047" t="n">
        <v>0</v>
      </c>
      <c r="AM3047" t="n">
        <v>0</v>
      </c>
      <c r="AN3047" t="n">
        <v>1</v>
      </c>
      <c r="AO3047" t="n">
        <v>1</v>
      </c>
      <c r="AP3047" t="inlineStr">
        <is>
          <t>No</t>
        </is>
      </c>
      <c r="AQ3047" t="inlineStr">
        <is>
          <t>Yes</t>
        </is>
      </c>
      <c r="AR3047">
        <f>HYPERLINK("http://catalog.hathitrust.org/Record/007456068","HathiTrust Record")</f>
        <v/>
      </c>
      <c r="AS3047">
        <f>HYPERLINK("https://creighton-primo.hosted.exlibrisgroup.com/primo-explore/search?tab=default_tab&amp;search_scope=EVERYTHING&amp;vid=01CRU&amp;lang=en_US&amp;offset=0&amp;query=any,contains,991005086539702656","Catalog Record")</f>
        <v/>
      </c>
      <c r="AT3047">
        <f>HYPERLINK("http://www.worldcat.org/oclc/7196924","WorldCat Record")</f>
        <v/>
      </c>
      <c r="AU3047" t="inlineStr">
        <is>
          <t>199473237:eng</t>
        </is>
      </c>
      <c r="AV3047" t="inlineStr">
        <is>
          <t>7196924</t>
        </is>
      </c>
      <c r="AW3047" t="inlineStr">
        <is>
          <t>991005086539702656</t>
        </is>
      </c>
      <c r="AX3047" t="inlineStr">
        <is>
          <t>991005086539702656</t>
        </is>
      </c>
      <c r="AY3047" t="inlineStr">
        <is>
          <t>2255901930002656</t>
        </is>
      </c>
      <c r="AZ3047" t="inlineStr">
        <is>
          <t>BOOK</t>
        </is>
      </c>
      <c r="BB3047" t="inlineStr">
        <is>
          <t>9780399123719</t>
        </is>
      </c>
      <c r="BC3047" t="inlineStr">
        <is>
          <t>32285001140275</t>
        </is>
      </c>
      <c r="BD3047" t="inlineStr">
        <is>
          <t>893810841</t>
        </is>
      </c>
    </row>
    <row r="3048">
      <c r="A3048" t="inlineStr">
        <is>
          <t>No</t>
        </is>
      </c>
      <c r="B3048" t="inlineStr">
        <is>
          <t>BX8695.A77 A3 1998</t>
        </is>
      </c>
      <c r="C3048" t="inlineStr">
        <is>
          <t>0                      BX 8695000A  77                 A  3           1998</t>
        </is>
      </c>
      <c r="D3048" t="inlineStr">
        <is>
          <t>Adventures of a church historian / Leonard J. Arrington.</t>
        </is>
      </c>
      <c r="F3048" t="inlineStr">
        <is>
          <t>No</t>
        </is>
      </c>
      <c r="G3048" t="inlineStr">
        <is>
          <t>1</t>
        </is>
      </c>
      <c r="H3048" t="inlineStr">
        <is>
          <t>No</t>
        </is>
      </c>
      <c r="I3048" t="inlineStr">
        <is>
          <t>No</t>
        </is>
      </c>
      <c r="J3048" t="inlineStr">
        <is>
          <t>0</t>
        </is>
      </c>
      <c r="K3048" t="inlineStr">
        <is>
          <t>Arrington, Leonard J.</t>
        </is>
      </c>
      <c r="L3048" t="inlineStr">
        <is>
          <t>Urbana : University of Illinois Press, c1998.</t>
        </is>
      </c>
      <c r="M3048" t="inlineStr">
        <is>
          <t>1998</t>
        </is>
      </c>
      <c r="O3048" t="inlineStr">
        <is>
          <t>eng</t>
        </is>
      </c>
      <c r="P3048" t="inlineStr">
        <is>
          <t>ilu</t>
        </is>
      </c>
      <c r="R3048" t="inlineStr">
        <is>
          <t xml:space="preserve">BX </t>
        </is>
      </c>
      <c r="S3048" t="n">
        <v>1</v>
      </c>
      <c r="T3048" t="n">
        <v>1</v>
      </c>
      <c r="U3048" t="inlineStr">
        <is>
          <t>2003-04-27</t>
        </is>
      </c>
      <c r="V3048" t="inlineStr">
        <is>
          <t>2003-04-27</t>
        </is>
      </c>
      <c r="W3048" t="inlineStr">
        <is>
          <t>1999-09-01</t>
        </is>
      </c>
      <c r="X3048" t="inlineStr">
        <is>
          <t>1999-09-01</t>
        </is>
      </c>
      <c r="Y3048" t="n">
        <v>234</v>
      </c>
      <c r="Z3048" t="n">
        <v>217</v>
      </c>
      <c r="AA3048" t="n">
        <v>217</v>
      </c>
      <c r="AB3048" t="n">
        <v>3</v>
      </c>
      <c r="AC3048" t="n">
        <v>3</v>
      </c>
      <c r="AD3048" t="n">
        <v>17</v>
      </c>
      <c r="AE3048" t="n">
        <v>17</v>
      </c>
      <c r="AF3048" t="n">
        <v>7</v>
      </c>
      <c r="AG3048" t="n">
        <v>7</v>
      </c>
      <c r="AH3048" t="n">
        <v>5</v>
      </c>
      <c r="AI3048" t="n">
        <v>5</v>
      </c>
      <c r="AJ3048" t="n">
        <v>9</v>
      </c>
      <c r="AK3048" t="n">
        <v>9</v>
      </c>
      <c r="AL3048" t="n">
        <v>2</v>
      </c>
      <c r="AM3048" t="n">
        <v>2</v>
      </c>
      <c r="AN3048" t="n">
        <v>0</v>
      </c>
      <c r="AO3048" t="n">
        <v>0</v>
      </c>
      <c r="AP3048" t="inlineStr">
        <is>
          <t>No</t>
        </is>
      </c>
      <c r="AQ3048" t="inlineStr">
        <is>
          <t>No</t>
        </is>
      </c>
      <c r="AS3048">
        <f>HYPERLINK("https://creighton-primo.hosted.exlibrisgroup.com/primo-explore/search?tab=default_tab&amp;search_scope=EVERYTHING&amp;vid=01CRU&amp;lang=en_US&amp;offset=0&amp;query=any,contains,991002859869702656","Catalog Record")</f>
        <v/>
      </c>
      <c r="AT3048">
        <f>HYPERLINK("http://www.worldcat.org/oclc/37693931","WorldCat Record")</f>
        <v/>
      </c>
      <c r="AU3048" t="inlineStr">
        <is>
          <t>602792:eng</t>
        </is>
      </c>
      <c r="AV3048" t="inlineStr">
        <is>
          <t>37693931</t>
        </is>
      </c>
      <c r="AW3048" t="inlineStr">
        <is>
          <t>991002859869702656</t>
        </is>
      </c>
      <c r="AX3048" t="inlineStr">
        <is>
          <t>991002859869702656</t>
        </is>
      </c>
      <c r="AY3048" t="inlineStr">
        <is>
          <t>2255791040002656</t>
        </is>
      </c>
      <c r="AZ3048" t="inlineStr">
        <is>
          <t>BOOK</t>
        </is>
      </c>
      <c r="BB3048" t="inlineStr">
        <is>
          <t>9780252023811</t>
        </is>
      </c>
      <c r="BC3048" t="inlineStr">
        <is>
          <t>32285003585741</t>
        </is>
      </c>
      <c r="BD3048" t="inlineStr">
        <is>
          <t>893774117</t>
        </is>
      </c>
    </row>
    <row r="3049">
      <c r="A3049" t="inlineStr">
        <is>
          <t>No</t>
        </is>
      </c>
      <c r="B3049" t="inlineStr">
        <is>
          <t>BX8695.L53 M6</t>
        </is>
      </c>
      <c r="C3049" t="inlineStr">
        <is>
          <t>0                      BX 8695000L  53                 M  6</t>
        </is>
      </c>
      <c r="D3049" t="inlineStr">
        <is>
          <t>A Mormon chronicle : the diaries of John D. Lee, 1848-1876 / edited and annotated by Robert Glass Cleland and Juanita Brooks.</t>
        </is>
      </c>
      <c r="E3049" t="inlineStr">
        <is>
          <t>V. 1</t>
        </is>
      </c>
      <c r="F3049" t="inlineStr">
        <is>
          <t>Yes</t>
        </is>
      </c>
      <c r="G3049" t="inlineStr">
        <is>
          <t>1</t>
        </is>
      </c>
      <c r="H3049" t="inlineStr">
        <is>
          <t>Yes</t>
        </is>
      </c>
      <c r="I3049" t="inlineStr">
        <is>
          <t>No</t>
        </is>
      </c>
      <c r="J3049" t="inlineStr">
        <is>
          <t>0</t>
        </is>
      </c>
      <c r="K3049" t="inlineStr">
        <is>
          <t>Lee, John D. (John Doyle), 1812-1877.</t>
        </is>
      </c>
      <c r="L3049" t="inlineStr">
        <is>
          <t>San Marino, Calif. : Huntington Library, 1955.</t>
        </is>
      </c>
      <c r="M3049" t="inlineStr">
        <is>
          <t>1955</t>
        </is>
      </c>
      <c r="O3049" t="inlineStr">
        <is>
          <t>eng</t>
        </is>
      </c>
      <c r="P3049" t="inlineStr">
        <is>
          <t>cau</t>
        </is>
      </c>
      <c r="Q3049" t="inlineStr">
        <is>
          <t>Huntington Library publications</t>
        </is>
      </c>
      <c r="R3049" t="inlineStr">
        <is>
          <t xml:space="preserve">BX </t>
        </is>
      </c>
      <c r="S3049" t="n">
        <v>2</v>
      </c>
      <c r="T3049" t="n">
        <v>3</v>
      </c>
      <c r="U3049" t="inlineStr">
        <is>
          <t>1993-09-17</t>
        </is>
      </c>
      <c r="V3049" t="inlineStr">
        <is>
          <t>1993-09-17</t>
        </is>
      </c>
      <c r="W3049" t="inlineStr">
        <is>
          <t>1992-05-22</t>
        </is>
      </c>
      <c r="X3049" t="inlineStr">
        <is>
          <t>2005-07-13</t>
        </is>
      </c>
      <c r="Y3049" t="n">
        <v>347</v>
      </c>
      <c r="Z3049" t="n">
        <v>331</v>
      </c>
      <c r="AA3049" t="n">
        <v>413</v>
      </c>
      <c r="AB3049" t="n">
        <v>3</v>
      </c>
      <c r="AC3049" t="n">
        <v>3</v>
      </c>
      <c r="AD3049" t="n">
        <v>13</v>
      </c>
      <c r="AE3049" t="n">
        <v>16</v>
      </c>
      <c r="AF3049" t="n">
        <v>6</v>
      </c>
      <c r="AG3049" t="n">
        <v>6</v>
      </c>
      <c r="AH3049" t="n">
        <v>2</v>
      </c>
      <c r="AI3049" t="n">
        <v>3</v>
      </c>
      <c r="AJ3049" t="n">
        <v>9</v>
      </c>
      <c r="AK3049" t="n">
        <v>12</v>
      </c>
      <c r="AL3049" t="n">
        <v>1</v>
      </c>
      <c r="AM3049" t="n">
        <v>1</v>
      </c>
      <c r="AN3049" t="n">
        <v>0</v>
      </c>
      <c r="AO3049" t="n">
        <v>0</v>
      </c>
      <c r="AP3049" t="inlineStr">
        <is>
          <t>Yes</t>
        </is>
      </c>
      <c r="AQ3049" t="inlineStr">
        <is>
          <t>No</t>
        </is>
      </c>
      <c r="AR3049">
        <f>HYPERLINK("http://catalog.hathitrust.org/Record/001594170","HathiTrust Record")</f>
        <v/>
      </c>
      <c r="AS3049">
        <f>HYPERLINK("https://creighton-primo.hosted.exlibrisgroup.com/primo-explore/search?tab=default_tab&amp;search_scope=EVERYTHING&amp;vid=01CRU&amp;lang=en_US&amp;offset=0&amp;query=any,contains,991003640669702656","Catalog Record")</f>
        <v/>
      </c>
      <c r="AT3049">
        <f>HYPERLINK("http://www.worldcat.org/oclc/1238216","WorldCat Record")</f>
        <v/>
      </c>
      <c r="AU3049" t="inlineStr">
        <is>
          <t>792306327:eng</t>
        </is>
      </c>
      <c r="AV3049" t="inlineStr">
        <is>
          <t>1238216</t>
        </is>
      </c>
      <c r="AW3049" t="inlineStr">
        <is>
          <t>991003640669702656</t>
        </is>
      </c>
      <c r="AX3049" t="inlineStr">
        <is>
          <t>991003640669702656</t>
        </is>
      </c>
      <c r="AY3049" t="inlineStr">
        <is>
          <t>2264731930002656</t>
        </is>
      </c>
      <c r="AZ3049" t="inlineStr">
        <is>
          <t>BOOK</t>
        </is>
      </c>
      <c r="BC3049" t="inlineStr">
        <is>
          <t>32285001140309</t>
        </is>
      </c>
      <c r="BD3049" t="inlineStr">
        <is>
          <t>893246567</t>
        </is>
      </c>
    </row>
    <row r="3050">
      <c r="A3050" t="inlineStr">
        <is>
          <t>No</t>
        </is>
      </c>
      <c r="B3050" t="inlineStr">
        <is>
          <t>BX8695.L53 M6</t>
        </is>
      </c>
      <c r="C3050" t="inlineStr">
        <is>
          <t>0                      BX 8695000L  53                 M  6</t>
        </is>
      </c>
      <c r="D3050" t="inlineStr">
        <is>
          <t>A Mormon chronicle : the diaries of John D. Lee, 1848-1876 / edited and annotated by Robert Glass Cleland and Juanita Brooks.</t>
        </is>
      </c>
      <c r="E3050" t="inlineStr">
        <is>
          <t>V. 2</t>
        </is>
      </c>
      <c r="F3050" t="inlineStr">
        <is>
          <t>Yes</t>
        </is>
      </c>
      <c r="G3050" t="inlineStr">
        <is>
          <t>1</t>
        </is>
      </c>
      <c r="H3050" t="inlineStr">
        <is>
          <t>Yes</t>
        </is>
      </c>
      <c r="I3050" t="inlineStr">
        <is>
          <t>No</t>
        </is>
      </c>
      <c r="J3050" t="inlineStr">
        <is>
          <t>0</t>
        </is>
      </c>
      <c r="K3050" t="inlineStr">
        <is>
          <t>Lee, John D. (John Doyle), 1812-1877.</t>
        </is>
      </c>
      <c r="L3050" t="inlineStr">
        <is>
          <t>San Marino, Calif. : Huntington Library, 1955.</t>
        </is>
      </c>
      <c r="M3050" t="inlineStr">
        <is>
          <t>1955</t>
        </is>
      </c>
      <c r="O3050" t="inlineStr">
        <is>
          <t>eng</t>
        </is>
      </c>
      <c r="P3050" t="inlineStr">
        <is>
          <t>cau</t>
        </is>
      </c>
      <c r="Q3050" t="inlineStr">
        <is>
          <t>Huntington Library publications</t>
        </is>
      </c>
      <c r="R3050" t="inlineStr">
        <is>
          <t xml:space="preserve">BX </t>
        </is>
      </c>
      <c r="S3050" t="n">
        <v>1</v>
      </c>
      <c r="T3050" t="n">
        <v>3</v>
      </c>
      <c r="U3050" t="inlineStr">
        <is>
          <t>1993-09-17</t>
        </is>
      </c>
      <c r="V3050" t="inlineStr">
        <is>
          <t>1993-09-17</t>
        </is>
      </c>
      <c r="W3050" t="inlineStr">
        <is>
          <t>1992-05-22</t>
        </is>
      </c>
      <c r="X3050" t="inlineStr">
        <is>
          <t>2005-07-13</t>
        </is>
      </c>
      <c r="Y3050" t="n">
        <v>347</v>
      </c>
      <c r="Z3050" t="n">
        <v>331</v>
      </c>
      <c r="AA3050" t="n">
        <v>413</v>
      </c>
      <c r="AB3050" t="n">
        <v>3</v>
      </c>
      <c r="AC3050" t="n">
        <v>3</v>
      </c>
      <c r="AD3050" t="n">
        <v>13</v>
      </c>
      <c r="AE3050" t="n">
        <v>16</v>
      </c>
      <c r="AF3050" t="n">
        <v>6</v>
      </c>
      <c r="AG3050" t="n">
        <v>6</v>
      </c>
      <c r="AH3050" t="n">
        <v>2</v>
      </c>
      <c r="AI3050" t="n">
        <v>3</v>
      </c>
      <c r="AJ3050" t="n">
        <v>9</v>
      </c>
      <c r="AK3050" t="n">
        <v>12</v>
      </c>
      <c r="AL3050" t="n">
        <v>1</v>
      </c>
      <c r="AM3050" t="n">
        <v>1</v>
      </c>
      <c r="AN3050" t="n">
        <v>0</v>
      </c>
      <c r="AO3050" t="n">
        <v>0</v>
      </c>
      <c r="AP3050" t="inlineStr">
        <is>
          <t>Yes</t>
        </is>
      </c>
      <c r="AQ3050" t="inlineStr">
        <is>
          <t>No</t>
        </is>
      </c>
      <c r="AR3050">
        <f>HYPERLINK("http://catalog.hathitrust.org/Record/001594170","HathiTrust Record")</f>
        <v/>
      </c>
      <c r="AS3050">
        <f>HYPERLINK("https://creighton-primo.hosted.exlibrisgroup.com/primo-explore/search?tab=default_tab&amp;search_scope=EVERYTHING&amp;vid=01CRU&amp;lang=en_US&amp;offset=0&amp;query=any,contains,991003640669702656","Catalog Record")</f>
        <v/>
      </c>
      <c r="AT3050">
        <f>HYPERLINK("http://www.worldcat.org/oclc/1238216","WorldCat Record")</f>
        <v/>
      </c>
      <c r="AU3050" t="inlineStr">
        <is>
          <t>792306327:eng</t>
        </is>
      </c>
      <c r="AV3050" t="inlineStr">
        <is>
          <t>1238216</t>
        </is>
      </c>
      <c r="AW3050" t="inlineStr">
        <is>
          <t>991003640669702656</t>
        </is>
      </c>
      <c r="AX3050" t="inlineStr">
        <is>
          <t>991003640669702656</t>
        </is>
      </c>
      <c r="AY3050" t="inlineStr">
        <is>
          <t>2264731930002656</t>
        </is>
      </c>
      <c r="AZ3050" t="inlineStr">
        <is>
          <t>BOOK</t>
        </is>
      </c>
      <c r="BC3050" t="inlineStr">
        <is>
          <t>32285001140317</t>
        </is>
      </c>
      <c r="BD3050" t="inlineStr">
        <is>
          <t>893262848</t>
        </is>
      </c>
    </row>
    <row r="3051">
      <c r="A3051" t="inlineStr">
        <is>
          <t>No</t>
        </is>
      </c>
      <c r="B3051" t="inlineStr">
        <is>
          <t>BX8695.S47 A84 1998</t>
        </is>
      </c>
      <c r="C3051" t="inlineStr">
        <is>
          <t>0                      BX 8695000S  47                 A  84          1998</t>
        </is>
      </c>
      <c r="D3051" t="inlineStr">
        <is>
          <t>From mission to madness : last son of the Mormon prophet / Valeen Tippetts Avery.</t>
        </is>
      </c>
      <c r="F3051" t="inlineStr">
        <is>
          <t>No</t>
        </is>
      </c>
      <c r="G3051" t="inlineStr">
        <is>
          <t>1</t>
        </is>
      </c>
      <c r="H3051" t="inlineStr">
        <is>
          <t>No</t>
        </is>
      </c>
      <c r="I3051" t="inlineStr">
        <is>
          <t>No</t>
        </is>
      </c>
      <c r="J3051" t="inlineStr">
        <is>
          <t>0</t>
        </is>
      </c>
      <c r="K3051" t="inlineStr">
        <is>
          <t>Avery, Valeen Tippetts.</t>
        </is>
      </c>
      <c r="L3051" t="inlineStr">
        <is>
          <t>Urbana : University of Illinois Press, c1998.</t>
        </is>
      </c>
      <c r="M3051" t="inlineStr">
        <is>
          <t>1998</t>
        </is>
      </c>
      <c r="O3051" t="inlineStr">
        <is>
          <t>eng</t>
        </is>
      </c>
      <c r="P3051" t="inlineStr">
        <is>
          <t>ilu</t>
        </is>
      </c>
      <c r="R3051" t="inlineStr">
        <is>
          <t xml:space="preserve">BX </t>
        </is>
      </c>
      <c r="S3051" t="n">
        <v>2</v>
      </c>
      <c r="T3051" t="n">
        <v>2</v>
      </c>
      <c r="U3051" t="inlineStr">
        <is>
          <t>2009-08-19</t>
        </is>
      </c>
      <c r="V3051" t="inlineStr">
        <is>
          <t>2009-08-19</t>
        </is>
      </c>
      <c r="W3051" t="inlineStr">
        <is>
          <t>1999-01-04</t>
        </is>
      </c>
      <c r="X3051" t="inlineStr">
        <is>
          <t>1999-01-04</t>
        </is>
      </c>
      <c r="Y3051" t="n">
        <v>239</v>
      </c>
      <c r="Z3051" t="n">
        <v>220</v>
      </c>
      <c r="AA3051" t="n">
        <v>223</v>
      </c>
      <c r="AB3051" t="n">
        <v>3</v>
      </c>
      <c r="AC3051" t="n">
        <v>3</v>
      </c>
      <c r="AD3051" t="n">
        <v>9</v>
      </c>
      <c r="AE3051" t="n">
        <v>9</v>
      </c>
      <c r="AF3051" t="n">
        <v>1</v>
      </c>
      <c r="AG3051" t="n">
        <v>1</v>
      </c>
      <c r="AH3051" t="n">
        <v>3</v>
      </c>
      <c r="AI3051" t="n">
        <v>3</v>
      </c>
      <c r="AJ3051" t="n">
        <v>5</v>
      </c>
      <c r="AK3051" t="n">
        <v>5</v>
      </c>
      <c r="AL3051" t="n">
        <v>2</v>
      </c>
      <c r="AM3051" t="n">
        <v>2</v>
      </c>
      <c r="AN3051" t="n">
        <v>0</v>
      </c>
      <c r="AO3051" t="n">
        <v>0</v>
      </c>
      <c r="AP3051" t="inlineStr">
        <is>
          <t>No</t>
        </is>
      </c>
      <c r="AQ3051" t="inlineStr">
        <is>
          <t>Yes</t>
        </is>
      </c>
      <c r="AR3051">
        <f>HYPERLINK("http://catalog.hathitrust.org/Record/003999022","HathiTrust Record")</f>
        <v/>
      </c>
      <c r="AS3051">
        <f>HYPERLINK("https://creighton-primo.hosted.exlibrisgroup.com/primo-explore/search?tab=default_tab&amp;search_scope=EVERYTHING&amp;vid=01CRU&amp;lang=en_US&amp;offset=0&amp;query=any,contains,991002870649702656","Catalog Record")</f>
        <v/>
      </c>
      <c r="AT3051">
        <f>HYPERLINK("http://www.worldcat.org/oclc/37843853","WorldCat Record")</f>
        <v/>
      </c>
      <c r="AU3051" t="inlineStr">
        <is>
          <t>140881583:eng</t>
        </is>
      </c>
      <c r="AV3051" t="inlineStr">
        <is>
          <t>37843853</t>
        </is>
      </c>
      <c r="AW3051" t="inlineStr">
        <is>
          <t>991002870649702656</t>
        </is>
      </c>
      <c r="AX3051" t="inlineStr">
        <is>
          <t>991002870649702656</t>
        </is>
      </c>
      <c r="AY3051" t="inlineStr">
        <is>
          <t>2263692150002656</t>
        </is>
      </c>
      <c r="AZ3051" t="inlineStr">
        <is>
          <t>BOOK</t>
        </is>
      </c>
      <c r="BB3051" t="inlineStr">
        <is>
          <t>9780252023996</t>
        </is>
      </c>
      <c r="BC3051" t="inlineStr">
        <is>
          <t>32285003508347</t>
        </is>
      </c>
      <c r="BD3051" t="inlineStr">
        <is>
          <t>893616685</t>
        </is>
      </c>
    </row>
    <row r="3052">
      <c r="A3052" t="inlineStr">
        <is>
          <t>No</t>
        </is>
      </c>
      <c r="B3052" t="inlineStr">
        <is>
          <t>BX8695.S515 N48 1984</t>
        </is>
      </c>
      <c r="C3052" t="inlineStr">
        <is>
          <t>0                      BX 8695000S  515                N  48          1984</t>
        </is>
      </c>
      <c r="D3052" t="inlineStr">
        <is>
          <t>Mormon enigma : Emma Hale Smith, prophet's wife, "Elect lady," polygamy's foe, 1804-1879 / Linda King Newell and Valeen Tippetts Avery.</t>
        </is>
      </c>
      <c r="F3052" t="inlineStr">
        <is>
          <t>No</t>
        </is>
      </c>
      <c r="G3052" t="inlineStr">
        <is>
          <t>1</t>
        </is>
      </c>
      <c r="H3052" t="inlineStr">
        <is>
          <t>No</t>
        </is>
      </c>
      <c r="I3052" t="inlineStr">
        <is>
          <t>No</t>
        </is>
      </c>
      <c r="J3052" t="inlineStr">
        <is>
          <t>0</t>
        </is>
      </c>
      <c r="K3052" t="inlineStr">
        <is>
          <t>Newell, Linda King.</t>
        </is>
      </c>
      <c r="L3052" t="inlineStr">
        <is>
          <t>Garden City, N.Y. : Doubleday, 1984.</t>
        </is>
      </c>
      <c r="M3052" t="inlineStr">
        <is>
          <t>1984</t>
        </is>
      </c>
      <c r="N3052" t="inlineStr">
        <is>
          <t>1st ed.</t>
        </is>
      </c>
      <c r="O3052" t="inlineStr">
        <is>
          <t>eng</t>
        </is>
      </c>
      <c r="P3052" t="inlineStr">
        <is>
          <t>nyu</t>
        </is>
      </c>
      <c r="R3052" t="inlineStr">
        <is>
          <t xml:space="preserve">BX </t>
        </is>
      </c>
      <c r="S3052" t="n">
        <v>4</v>
      </c>
      <c r="T3052" t="n">
        <v>4</v>
      </c>
      <c r="U3052" t="inlineStr">
        <is>
          <t>2007-12-04</t>
        </is>
      </c>
      <c r="V3052" t="inlineStr">
        <is>
          <t>2007-12-04</t>
        </is>
      </c>
      <c r="W3052" t="inlineStr">
        <is>
          <t>1992-05-22</t>
        </is>
      </c>
      <c r="X3052" t="inlineStr">
        <is>
          <t>1992-05-22</t>
        </is>
      </c>
      <c r="Y3052" t="n">
        <v>773</v>
      </c>
      <c r="Z3052" t="n">
        <v>728</v>
      </c>
      <c r="AA3052" t="n">
        <v>735</v>
      </c>
      <c r="AB3052" t="n">
        <v>5</v>
      </c>
      <c r="AC3052" t="n">
        <v>5</v>
      </c>
      <c r="AD3052" t="n">
        <v>11</v>
      </c>
      <c r="AE3052" t="n">
        <v>11</v>
      </c>
      <c r="AF3052" t="n">
        <v>4</v>
      </c>
      <c r="AG3052" t="n">
        <v>4</v>
      </c>
      <c r="AH3052" t="n">
        <v>2</v>
      </c>
      <c r="AI3052" t="n">
        <v>2</v>
      </c>
      <c r="AJ3052" t="n">
        <v>7</v>
      </c>
      <c r="AK3052" t="n">
        <v>7</v>
      </c>
      <c r="AL3052" t="n">
        <v>1</v>
      </c>
      <c r="AM3052" t="n">
        <v>1</v>
      </c>
      <c r="AN3052" t="n">
        <v>0</v>
      </c>
      <c r="AO3052" t="n">
        <v>0</v>
      </c>
      <c r="AP3052" t="inlineStr">
        <is>
          <t>No</t>
        </is>
      </c>
      <c r="AQ3052" t="inlineStr">
        <is>
          <t>Yes</t>
        </is>
      </c>
      <c r="AR3052">
        <f>HYPERLINK("http://catalog.hathitrust.org/Record/000558415","HathiTrust Record")</f>
        <v/>
      </c>
      <c r="AS3052">
        <f>HYPERLINK("https://creighton-primo.hosted.exlibrisgroup.com/primo-explore/search?tab=default_tab&amp;search_scope=EVERYTHING&amp;vid=01CRU&amp;lang=en_US&amp;offset=0&amp;query=any,contains,991000363549702656","Catalog Record")</f>
        <v/>
      </c>
      <c r="AT3052">
        <f>HYPERLINK("http://www.worldcat.org/oclc/10376019","WorldCat Record")</f>
        <v/>
      </c>
      <c r="AU3052" t="inlineStr">
        <is>
          <t>4428168:eng</t>
        </is>
      </c>
      <c r="AV3052" t="inlineStr">
        <is>
          <t>10376019</t>
        </is>
      </c>
      <c r="AW3052" t="inlineStr">
        <is>
          <t>991000363549702656</t>
        </is>
      </c>
      <c r="AX3052" t="inlineStr">
        <is>
          <t>991000363549702656</t>
        </is>
      </c>
      <c r="AY3052" t="inlineStr">
        <is>
          <t>2270049090002656</t>
        </is>
      </c>
      <c r="AZ3052" t="inlineStr">
        <is>
          <t>BOOK</t>
        </is>
      </c>
      <c r="BB3052" t="inlineStr">
        <is>
          <t>9780385171663</t>
        </is>
      </c>
      <c r="BC3052" t="inlineStr">
        <is>
          <t>32285001140358</t>
        </is>
      </c>
      <c r="BD3052" t="inlineStr">
        <is>
          <t>893444278</t>
        </is>
      </c>
    </row>
    <row r="3053">
      <c r="A3053" t="inlineStr">
        <is>
          <t>No</t>
        </is>
      </c>
      <c r="B3053" t="inlineStr">
        <is>
          <t>BX8695.S6 B7</t>
        </is>
      </c>
      <c r="C3053" t="inlineStr">
        <is>
          <t>0                      BX 8695000S  6                  B  7</t>
        </is>
      </c>
      <c r="D3053" t="inlineStr">
        <is>
          <t>No man knows my history : the life of Joseph Smith, The Mormon prophet / by Fawn M. Brodie.</t>
        </is>
      </c>
      <c r="F3053" t="inlineStr">
        <is>
          <t>No</t>
        </is>
      </c>
      <c r="G3053" t="inlineStr">
        <is>
          <t>1</t>
        </is>
      </c>
      <c r="H3053" t="inlineStr">
        <is>
          <t>No</t>
        </is>
      </c>
      <c r="I3053" t="inlineStr">
        <is>
          <t>Yes</t>
        </is>
      </c>
      <c r="J3053" t="inlineStr">
        <is>
          <t>0</t>
        </is>
      </c>
      <c r="K3053" t="inlineStr">
        <is>
          <t>Brodie, Fawn McKay, 1915-1981.</t>
        </is>
      </c>
      <c r="L3053" t="inlineStr">
        <is>
          <t>New York : A.A. Knopf, 1945.</t>
        </is>
      </c>
      <c r="M3053" t="inlineStr">
        <is>
          <t>1945</t>
        </is>
      </c>
      <c r="O3053" t="inlineStr">
        <is>
          <t>eng</t>
        </is>
      </c>
      <c r="P3053" t="inlineStr">
        <is>
          <t>nyu</t>
        </is>
      </c>
      <c r="R3053" t="inlineStr">
        <is>
          <t xml:space="preserve">BX </t>
        </is>
      </c>
      <c r="S3053" t="n">
        <v>1</v>
      </c>
      <c r="T3053" t="n">
        <v>1</v>
      </c>
      <c r="U3053" t="inlineStr">
        <is>
          <t>1999-02-20</t>
        </is>
      </c>
      <c r="V3053" t="inlineStr">
        <is>
          <t>1999-02-20</t>
        </is>
      </c>
      <c r="W3053" t="inlineStr">
        <is>
          <t>1992-05-22</t>
        </is>
      </c>
      <c r="X3053" t="inlineStr">
        <is>
          <t>1992-05-22</t>
        </is>
      </c>
      <c r="Y3053" t="n">
        <v>464</v>
      </c>
      <c r="Z3053" t="n">
        <v>426</v>
      </c>
      <c r="AA3053" t="n">
        <v>1723</v>
      </c>
      <c r="AB3053" t="n">
        <v>4</v>
      </c>
      <c r="AC3053" t="n">
        <v>15</v>
      </c>
      <c r="AD3053" t="n">
        <v>13</v>
      </c>
      <c r="AE3053" t="n">
        <v>42</v>
      </c>
      <c r="AF3053" t="n">
        <v>4</v>
      </c>
      <c r="AG3053" t="n">
        <v>15</v>
      </c>
      <c r="AH3053" t="n">
        <v>3</v>
      </c>
      <c r="AI3053" t="n">
        <v>7</v>
      </c>
      <c r="AJ3053" t="n">
        <v>6</v>
      </c>
      <c r="AK3053" t="n">
        <v>20</v>
      </c>
      <c r="AL3053" t="n">
        <v>2</v>
      </c>
      <c r="AM3053" t="n">
        <v>8</v>
      </c>
      <c r="AN3053" t="n">
        <v>1</v>
      </c>
      <c r="AO3053" t="n">
        <v>1</v>
      </c>
      <c r="AP3053" t="inlineStr">
        <is>
          <t>No</t>
        </is>
      </c>
      <c r="AQ3053" t="inlineStr">
        <is>
          <t>Yes</t>
        </is>
      </c>
      <c r="AR3053">
        <f>HYPERLINK("http://catalog.hathitrust.org/Record/001961047","HathiTrust Record")</f>
        <v/>
      </c>
      <c r="AS3053">
        <f>HYPERLINK("https://creighton-primo.hosted.exlibrisgroup.com/primo-explore/search?tab=default_tab&amp;search_scope=EVERYTHING&amp;vid=01CRU&amp;lang=en_US&amp;offset=0&amp;query=any,contains,991003458929702656","Catalog Record")</f>
        <v/>
      </c>
      <c r="AT3053">
        <f>HYPERLINK("http://www.worldcat.org/oclc/999333","WorldCat Record")</f>
        <v/>
      </c>
      <c r="AU3053" t="inlineStr">
        <is>
          <t>1083442909:eng</t>
        </is>
      </c>
      <c r="AV3053" t="inlineStr">
        <is>
          <t>999333</t>
        </is>
      </c>
      <c r="AW3053" t="inlineStr">
        <is>
          <t>991003458929702656</t>
        </is>
      </c>
      <c r="AX3053" t="inlineStr">
        <is>
          <t>991003458929702656</t>
        </is>
      </c>
      <c r="AY3053" t="inlineStr">
        <is>
          <t>2272228820002656</t>
        </is>
      </c>
      <c r="AZ3053" t="inlineStr">
        <is>
          <t>BOOK</t>
        </is>
      </c>
      <c r="BC3053" t="inlineStr">
        <is>
          <t>32285001140366</t>
        </is>
      </c>
      <c r="BD3053" t="inlineStr">
        <is>
          <t>893717664</t>
        </is>
      </c>
    </row>
    <row r="3054">
      <c r="A3054" t="inlineStr">
        <is>
          <t>No</t>
        </is>
      </c>
      <c r="B3054" t="inlineStr">
        <is>
          <t>BX8695.S6 M5 1995</t>
        </is>
      </c>
      <c r="C3054" t="inlineStr">
        <is>
          <t>0                      BX 8695000S  6                  M  5           1995</t>
        </is>
      </c>
      <c r="D3054" t="inlineStr">
        <is>
          <t>The Mission : inside the Church of Jesus Christ of Latter-day Saints / created and produced by Matthew Naythons ; director of photography, Acey Harper ; introduction by Gordon B. Hinckley ; epilogue by Roger Rosenblatt.</t>
        </is>
      </c>
      <c r="F3054" t="inlineStr">
        <is>
          <t>No</t>
        </is>
      </c>
      <c r="G3054" t="inlineStr">
        <is>
          <t>1</t>
        </is>
      </c>
      <c r="H3054" t="inlineStr">
        <is>
          <t>No</t>
        </is>
      </c>
      <c r="I3054" t="inlineStr">
        <is>
          <t>No</t>
        </is>
      </c>
      <c r="J3054" t="inlineStr">
        <is>
          <t>0</t>
        </is>
      </c>
      <c r="L3054" t="inlineStr">
        <is>
          <t>New York : Warner Books, c1995.</t>
        </is>
      </c>
      <c r="M3054" t="inlineStr">
        <is>
          <t>1995</t>
        </is>
      </c>
      <c r="O3054" t="inlineStr">
        <is>
          <t>eng</t>
        </is>
      </c>
      <c r="P3054" t="inlineStr">
        <is>
          <t>nyu</t>
        </is>
      </c>
      <c r="R3054" t="inlineStr">
        <is>
          <t xml:space="preserve">BX </t>
        </is>
      </c>
      <c r="S3054" t="n">
        <v>5</v>
      </c>
      <c r="T3054" t="n">
        <v>5</v>
      </c>
      <c r="U3054" t="inlineStr">
        <is>
          <t>2004-11-02</t>
        </is>
      </c>
      <c r="V3054" t="inlineStr">
        <is>
          <t>2004-11-02</t>
        </is>
      </c>
      <c r="W3054" t="inlineStr">
        <is>
          <t>2001-06-06</t>
        </is>
      </c>
      <c r="X3054" t="inlineStr">
        <is>
          <t>2001-06-06</t>
        </is>
      </c>
      <c r="Y3054" t="n">
        <v>982</v>
      </c>
      <c r="Z3054" t="n">
        <v>946</v>
      </c>
      <c r="AA3054" t="n">
        <v>1093</v>
      </c>
      <c r="AB3054" t="n">
        <v>8</v>
      </c>
      <c r="AC3054" t="n">
        <v>9</v>
      </c>
      <c r="AD3054" t="n">
        <v>11</v>
      </c>
      <c r="AE3054" t="n">
        <v>12</v>
      </c>
      <c r="AF3054" t="n">
        <v>5</v>
      </c>
      <c r="AG3054" t="n">
        <v>5</v>
      </c>
      <c r="AH3054" t="n">
        <v>1</v>
      </c>
      <c r="AI3054" t="n">
        <v>1</v>
      </c>
      <c r="AJ3054" t="n">
        <v>4</v>
      </c>
      <c r="AK3054" t="n">
        <v>5</v>
      </c>
      <c r="AL3054" t="n">
        <v>2</v>
      </c>
      <c r="AM3054" t="n">
        <v>2</v>
      </c>
      <c r="AN3054" t="n">
        <v>0</v>
      </c>
      <c r="AO3054" t="n">
        <v>0</v>
      </c>
      <c r="AP3054" t="inlineStr">
        <is>
          <t>No</t>
        </is>
      </c>
      <c r="AQ3054" t="inlineStr">
        <is>
          <t>No</t>
        </is>
      </c>
      <c r="AS3054">
        <f>HYPERLINK("https://creighton-primo.hosted.exlibrisgroup.com/primo-explore/search?tab=default_tab&amp;search_scope=EVERYTHING&amp;vid=01CRU&amp;lang=en_US&amp;offset=0&amp;query=any,contains,991003548459702656","Catalog Record")</f>
        <v/>
      </c>
      <c r="AT3054">
        <f>HYPERLINK("http://www.worldcat.org/oclc/33249718","WorldCat Record")</f>
        <v/>
      </c>
      <c r="AU3054" t="inlineStr">
        <is>
          <t>865178283:eng</t>
        </is>
      </c>
      <c r="AV3054" t="inlineStr">
        <is>
          <t>33249718</t>
        </is>
      </c>
      <c r="AW3054" t="inlineStr">
        <is>
          <t>991003548459702656</t>
        </is>
      </c>
      <c r="AX3054" t="inlineStr">
        <is>
          <t>991003548459702656</t>
        </is>
      </c>
      <c r="AY3054" t="inlineStr">
        <is>
          <t>2259429410002656</t>
        </is>
      </c>
      <c r="AZ3054" t="inlineStr">
        <is>
          <t>BOOK</t>
        </is>
      </c>
      <c r="BB3054" t="inlineStr">
        <is>
          <t>9780446518895</t>
        </is>
      </c>
      <c r="BC3054" t="inlineStr">
        <is>
          <t>32285004325402</t>
        </is>
      </c>
      <c r="BD3054" t="inlineStr">
        <is>
          <t>893611158</t>
        </is>
      </c>
    </row>
    <row r="3055">
      <c r="A3055" t="inlineStr">
        <is>
          <t>No</t>
        </is>
      </c>
      <c r="B3055" t="inlineStr">
        <is>
          <t>BX8695.Y7 B7 1986</t>
        </is>
      </c>
      <c r="C3055" t="inlineStr">
        <is>
          <t>0                      BX 8695000Y  7                  B  7           1986</t>
        </is>
      </c>
      <c r="D3055" t="inlineStr">
        <is>
          <t>Brigham Young and the expanding American frontier / Newell G. Bringhurst ; edited by Oscar Handlin.</t>
        </is>
      </c>
      <c r="F3055" t="inlineStr">
        <is>
          <t>No</t>
        </is>
      </c>
      <c r="G3055" t="inlineStr">
        <is>
          <t>1</t>
        </is>
      </c>
      <c r="H3055" t="inlineStr">
        <is>
          <t>No</t>
        </is>
      </c>
      <c r="I3055" t="inlineStr">
        <is>
          <t>No</t>
        </is>
      </c>
      <c r="J3055" t="inlineStr">
        <is>
          <t>0</t>
        </is>
      </c>
      <c r="K3055" t="inlineStr">
        <is>
          <t>Bringhurst, Newell G.</t>
        </is>
      </c>
      <c r="L3055" t="inlineStr">
        <is>
          <t>Boston : Little, Brown, c1986.</t>
        </is>
      </c>
      <c r="M3055" t="inlineStr">
        <is>
          <t>1986</t>
        </is>
      </c>
      <c r="O3055" t="inlineStr">
        <is>
          <t>eng</t>
        </is>
      </c>
      <c r="P3055" t="inlineStr">
        <is>
          <t>mau</t>
        </is>
      </c>
      <c r="Q3055" t="inlineStr">
        <is>
          <t>The Library of American biography</t>
        </is>
      </c>
      <c r="R3055" t="inlineStr">
        <is>
          <t xml:space="preserve">BX </t>
        </is>
      </c>
      <c r="S3055" t="n">
        <v>7</v>
      </c>
      <c r="T3055" t="n">
        <v>7</v>
      </c>
      <c r="U3055" t="inlineStr">
        <is>
          <t>2002-11-11</t>
        </is>
      </c>
      <c r="V3055" t="inlineStr">
        <is>
          <t>2002-11-11</t>
        </is>
      </c>
      <c r="W3055" t="inlineStr">
        <is>
          <t>1992-05-22</t>
        </is>
      </c>
      <c r="X3055" t="inlineStr">
        <is>
          <t>1992-05-22</t>
        </is>
      </c>
      <c r="Y3055" t="n">
        <v>825</v>
      </c>
      <c r="Z3055" t="n">
        <v>787</v>
      </c>
      <c r="AA3055" t="n">
        <v>801</v>
      </c>
      <c r="AB3055" t="n">
        <v>7</v>
      </c>
      <c r="AC3055" t="n">
        <v>8</v>
      </c>
      <c r="AD3055" t="n">
        <v>24</v>
      </c>
      <c r="AE3055" t="n">
        <v>25</v>
      </c>
      <c r="AF3055" t="n">
        <v>9</v>
      </c>
      <c r="AG3055" t="n">
        <v>9</v>
      </c>
      <c r="AH3055" t="n">
        <v>4</v>
      </c>
      <c r="AI3055" t="n">
        <v>4</v>
      </c>
      <c r="AJ3055" t="n">
        <v>14</v>
      </c>
      <c r="AK3055" t="n">
        <v>14</v>
      </c>
      <c r="AL3055" t="n">
        <v>5</v>
      </c>
      <c r="AM3055" t="n">
        <v>6</v>
      </c>
      <c r="AN3055" t="n">
        <v>0</v>
      </c>
      <c r="AO3055" t="n">
        <v>0</v>
      </c>
      <c r="AP3055" t="inlineStr">
        <is>
          <t>No</t>
        </is>
      </c>
      <c r="AQ3055" t="inlineStr">
        <is>
          <t>No</t>
        </is>
      </c>
      <c r="AS3055">
        <f>HYPERLINK("https://creighton-primo.hosted.exlibrisgroup.com/primo-explore/search?tab=default_tab&amp;search_scope=EVERYTHING&amp;vid=01CRU&amp;lang=en_US&amp;offset=0&amp;query=any,contains,991000706929702656","Catalog Record")</f>
        <v/>
      </c>
      <c r="AT3055">
        <f>HYPERLINK("http://www.worldcat.org/oclc/12557781","WorldCat Record")</f>
        <v/>
      </c>
      <c r="AU3055" t="inlineStr">
        <is>
          <t>4938400:eng</t>
        </is>
      </c>
      <c r="AV3055" t="inlineStr">
        <is>
          <t>12557781</t>
        </is>
      </c>
      <c r="AW3055" t="inlineStr">
        <is>
          <t>991000706929702656</t>
        </is>
      </c>
      <c r="AX3055" t="inlineStr">
        <is>
          <t>991000706929702656</t>
        </is>
      </c>
      <c r="AY3055" t="inlineStr">
        <is>
          <t>2255351330002656</t>
        </is>
      </c>
      <c r="AZ3055" t="inlineStr">
        <is>
          <t>BOOK</t>
        </is>
      </c>
      <c r="BB3055" t="inlineStr">
        <is>
          <t>9780316108218</t>
        </is>
      </c>
      <c r="BC3055" t="inlineStr">
        <is>
          <t>32285001140374</t>
        </is>
      </c>
      <c r="BD3055" t="inlineStr">
        <is>
          <t>893225227</t>
        </is>
      </c>
    </row>
    <row r="3056">
      <c r="A3056" t="inlineStr">
        <is>
          <t>No</t>
        </is>
      </c>
      <c r="B3056" t="inlineStr">
        <is>
          <t>BX8695.Y7 H54 1997</t>
        </is>
      </c>
      <c r="C3056" t="inlineStr">
        <is>
          <t>0                      BX 8695000Y  7                  H  54          1997</t>
        </is>
      </c>
      <c r="D3056" t="inlineStr">
        <is>
          <t>Brigham Young, pioneer entrepreneur! / Gordon B. Hinckley.</t>
        </is>
      </c>
      <c r="F3056" t="inlineStr">
        <is>
          <t>No</t>
        </is>
      </c>
      <c r="G3056" t="inlineStr">
        <is>
          <t>1</t>
        </is>
      </c>
      <c r="H3056" t="inlineStr">
        <is>
          <t>No</t>
        </is>
      </c>
      <c r="I3056" t="inlineStr">
        <is>
          <t>No</t>
        </is>
      </c>
      <c r="J3056" t="inlineStr">
        <is>
          <t>0</t>
        </is>
      </c>
      <c r="K3056" t="inlineStr">
        <is>
          <t>Hinckley, Gordon Bitner, 1910-2008.</t>
        </is>
      </c>
      <c r="L3056" t="inlineStr">
        <is>
          <t>New York : Newcomen Society of the United States, 1997.</t>
        </is>
      </c>
      <c r="M3056" t="inlineStr">
        <is>
          <t>1997</t>
        </is>
      </c>
      <c r="O3056" t="inlineStr">
        <is>
          <t>eng</t>
        </is>
      </c>
      <c r="P3056" t="inlineStr">
        <is>
          <t>nyu</t>
        </is>
      </c>
      <c r="Q3056" t="inlineStr">
        <is>
          <t>Newcomen publication ; no. 1503</t>
        </is>
      </c>
      <c r="R3056" t="inlineStr">
        <is>
          <t xml:space="preserve">BX </t>
        </is>
      </c>
      <c r="S3056" t="n">
        <v>1</v>
      </c>
      <c r="T3056" t="n">
        <v>1</v>
      </c>
      <c r="U3056" t="inlineStr">
        <is>
          <t>2002-11-11</t>
        </is>
      </c>
      <c r="V3056" t="inlineStr">
        <is>
          <t>2002-11-11</t>
        </is>
      </c>
      <c r="W3056" t="inlineStr">
        <is>
          <t>1998-11-10</t>
        </is>
      </c>
      <c r="X3056" t="inlineStr">
        <is>
          <t>1998-11-10</t>
        </is>
      </c>
      <c r="Y3056" t="n">
        <v>223</v>
      </c>
      <c r="Z3056" t="n">
        <v>221</v>
      </c>
      <c r="AA3056" t="n">
        <v>221</v>
      </c>
      <c r="AB3056" t="n">
        <v>5</v>
      </c>
      <c r="AC3056" t="n">
        <v>5</v>
      </c>
      <c r="AD3056" t="n">
        <v>12</v>
      </c>
      <c r="AE3056" t="n">
        <v>12</v>
      </c>
      <c r="AF3056" t="n">
        <v>6</v>
      </c>
      <c r="AG3056" t="n">
        <v>6</v>
      </c>
      <c r="AH3056" t="n">
        <v>1</v>
      </c>
      <c r="AI3056" t="n">
        <v>1</v>
      </c>
      <c r="AJ3056" t="n">
        <v>3</v>
      </c>
      <c r="AK3056" t="n">
        <v>3</v>
      </c>
      <c r="AL3056" t="n">
        <v>4</v>
      </c>
      <c r="AM3056" t="n">
        <v>4</v>
      </c>
      <c r="AN3056" t="n">
        <v>0</v>
      </c>
      <c r="AO3056" t="n">
        <v>0</v>
      </c>
      <c r="AP3056" t="inlineStr">
        <is>
          <t>No</t>
        </is>
      </c>
      <c r="AQ3056" t="inlineStr">
        <is>
          <t>No</t>
        </is>
      </c>
      <c r="AS3056">
        <f>HYPERLINK("https://creighton-primo.hosted.exlibrisgroup.com/primo-explore/search?tab=default_tab&amp;search_scope=EVERYTHING&amp;vid=01CRU&amp;lang=en_US&amp;offset=0&amp;query=any,contains,991002961619702656","Catalog Record")</f>
        <v/>
      </c>
      <c r="AT3056">
        <f>HYPERLINK("http://www.worldcat.org/oclc/39622989","WorldCat Record")</f>
        <v/>
      </c>
      <c r="AU3056" t="inlineStr">
        <is>
          <t>41969257:eng</t>
        </is>
      </c>
      <c r="AV3056" t="inlineStr">
        <is>
          <t>39622989</t>
        </is>
      </c>
      <c r="AW3056" t="inlineStr">
        <is>
          <t>991002961619702656</t>
        </is>
      </c>
      <c r="AX3056" t="inlineStr">
        <is>
          <t>991002961619702656</t>
        </is>
      </c>
      <c r="AY3056" t="inlineStr">
        <is>
          <t>2258277950002656</t>
        </is>
      </c>
      <c r="AZ3056" t="inlineStr">
        <is>
          <t>BOOK</t>
        </is>
      </c>
      <c r="BC3056" t="inlineStr">
        <is>
          <t>32285003487542</t>
        </is>
      </c>
      <c r="BD3056" t="inlineStr">
        <is>
          <t>893874257</t>
        </is>
      </c>
    </row>
    <row r="3057">
      <c r="A3057" t="inlineStr">
        <is>
          <t>No</t>
        </is>
      </c>
      <c r="B3057" t="inlineStr">
        <is>
          <t>BX8699.N38 B72 1984</t>
        </is>
      </c>
      <c r="C3057" t="inlineStr">
        <is>
          <t>0                      BX 8699000N  38                 B  72          1984</t>
        </is>
      </c>
      <c r="D3057" t="inlineStr">
        <is>
          <t>Phineas F. Bresee : a prince in Israel / E.A. Girvin.</t>
        </is>
      </c>
      <c r="F3057" t="inlineStr">
        <is>
          <t>No</t>
        </is>
      </c>
      <c r="G3057" t="inlineStr">
        <is>
          <t>1</t>
        </is>
      </c>
      <c r="H3057" t="inlineStr">
        <is>
          <t>No</t>
        </is>
      </c>
      <c r="I3057" t="inlineStr">
        <is>
          <t>No</t>
        </is>
      </c>
      <c r="J3057" t="inlineStr">
        <is>
          <t>0</t>
        </is>
      </c>
      <c r="K3057" t="inlineStr">
        <is>
          <t>Girvin, E. A. (Ernest Alexander), 1857-</t>
        </is>
      </c>
      <c r="L3057" t="inlineStr">
        <is>
          <t>New York : Garland Pub., 1984, c1916.</t>
        </is>
      </c>
      <c r="M3057" t="inlineStr">
        <is>
          <t>1984</t>
        </is>
      </c>
      <c r="O3057" t="inlineStr">
        <is>
          <t>eng</t>
        </is>
      </c>
      <c r="P3057" t="inlineStr">
        <is>
          <t>nyu</t>
        </is>
      </c>
      <c r="Q3057" t="inlineStr">
        <is>
          <t>The Higher Christian life</t>
        </is>
      </c>
      <c r="R3057" t="inlineStr">
        <is>
          <t xml:space="preserve">BX </t>
        </is>
      </c>
      <c r="S3057" t="n">
        <v>2</v>
      </c>
      <c r="T3057" t="n">
        <v>2</v>
      </c>
      <c r="U3057" t="inlineStr">
        <is>
          <t>1995-03-26</t>
        </is>
      </c>
      <c r="V3057" t="inlineStr">
        <is>
          <t>1995-03-26</t>
        </is>
      </c>
      <c r="W3057" t="inlineStr">
        <is>
          <t>1992-03-06</t>
        </is>
      </c>
      <c r="X3057" t="inlineStr">
        <is>
          <t>1992-03-06</t>
        </is>
      </c>
      <c r="Y3057" t="n">
        <v>130</v>
      </c>
      <c r="Z3057" t="n">
        <v>121</v>
      </c>
      <c r="AA3057" t="n">
        <v>226</v>
      </c>
      <c r="AB3057" t="n">
        <v>1</v>
      </c>
      <c r="AC3057" t="n">
        <v>1</v>
      </c>
      <c r="AD3057" t="n">
        <v>4</v>
      </c>
      <c r="AE3057" t="n">
        <v>7</v>
      </c>
      <c r="AF3057" t="n">
        <v>2</v>
      </c>
      <c r="AG3057" t="n">
        <v>5</v>
      </c>
      <c r="AH3057" t="n">
        <v>1</v>
      </c>
      <c r="AI3057" t="n">
        <v>2</v>
      </c>
      <c r="AJ3057" t="n">
        <v>1</v>
      </c>
      <c r="AK3057" t="n">
        <v>1</v>
      </c>
      <c r="AL3057" t="n">
        <v>0</v>
      </c>
      <c r="AM3057" t="n">
        <v>0</v>
      </c>
      <c r="AN3057" t="n">
        <v>0</v>
      </c>
      <c r="AO3057" t="n">
        <v>0</v>
      </c>
      <c r="AP3057" t="inlineStr">
        <is>
          <t>No</t>
        </is>
      </c>
      <c r="AQ3057" t="inlineStr">
        <is>
          <t>Yes</t>
        </is>
      </c>
      <c r="AR3057">
        <f>HYPERLINK("http://catalog.hathitrust.org/Record/007456572","HathiTrust Record")</f>
        <v/>
      </c>
      <c r="AS3057">
        <f>HYPERLINK("https://creighton-primo.hosted.exlibrisgroup.com/primo-explore/search?tab=default_tab&amp;search_scope=EVERYTHING&amp;vid=01CRU&amp;lang=en_US&amp;offset=0&amp;query=any,contains,991000499319702656","Catalog Record")</f>
        <v/>
      </c>
      <c r="AT3057">
        <f>HYPERLINK("http://www.worldcat.org/oclc/11159695","WorldCat Record")</f>
        <v/>
      </c>
      <c r="AU3057" t="inlineStr">
        <is>
          <t>836681257:eng</t>
        </is>
      </c>
      <c r="AV3057" t="inlineStr">
        <is>
          <t>11159695</t>
        </is>
      </c>
      <c r="AW3057" t="inlineStr">
        <is>
          <t>991000499319702656</t>
        </is>
      </c>
      <c r="AX3057" t="inlineStr">
        <is>
          <t>991000499319702656</t>
        </is>
      </c>
      <c r="AY3057" t="inlineStr">
        <is>
          <t>2257841120002656</t>
        </is>
      </c>
      <c r="AZ3057" t="inlineStr">
        <is>
          <t>BOOK</t>
        </is>
      </c>
      <c r="BB3057" t="inlineStr">
        <is>
          <t>9780824064075</t>
        </is>
      </c>
      <c r="BC3057" t="inlineStr">
        <is>
          <t>32285000937762</t>
        </is>
      </c>
      <c r="BD3057" t="inlineStr">
        <is>
          <t>893255480</t>
        </is>
      </c>
    </row>
    <row r="3058">
      <c r="A3058" t="inlineStr">
        <is>
          <t>No</t>
        </is>
      </c>
      <c r="B3058" t="inlineStr">
        <is>
          <t>BX870 1903a</t>
        </is>
      </c>
      <c r="C3058" t="inlineStr">
        <is>
          <t>0                      BX 0870000               1903a</t>
        </is>
      </c>
      <c r="D3058" t="inlineStr">
        <is>
          <t>All things in Christ : encyclicals and selected documents of Saint Pius X / edited by Vincent A. A. Yzermans.</t>
        </is>
      </c>
      <c r="F3058" t="inlineStr">
        <is>
          <t>No</t>
        </is>
      </c>
      <c r="G3058" t="inlineStr">
        <is>
          <t>1</t>
        </is>
      </c>
      <c r="H3058" t="inlineStr">
        <is>
          <t>No</t>
        </is>
      </c>
      <c r="I3058" t="inlineStr">
        <is>
          <t>No</t>
        </is>
      </c>
      <c r="J3058" t="inlineStr">
        <is>
          <t>0</t>
        </is>
      </c>
      <c r="K3058" t="inlineStr">
        <is>
          <t>Catholic Church. Pope (1903-1914 : Pius X)</t>
        </is>
      </c>
      <c r="L3058" t="inlineStr">
        <is>
          <t>Westminster, Md. : Newman Press, 1954.</t>
        </is>
      </c>
      <c r="M3058" t="inlineStr">
        <is>
          <t>1954</t>
        </is>
      </c>
      <c r="O3058" t="inlineStr">
        <is>
          <t>eng</t>
        </is>
      </c>
      <c r="P3058" t="inlineStr">
        <is>
          <t>mdu</t>
        </is>
      </c>
      <c r="R3058" t="inlineStr">
        <is>
          <t xml:space="preserve">BX </t>
        </is>
      </c>
      <c r="S3058" t="n">
        <v>4</v>
      </c>
      <c r="T3058" t="n">
        <v>4</v>
      </c>
      <c r="U3058" t="inlineStr">
        <is>
          <t>2007-08-07</t>
        </is>
      </c>
      <c r="V3058" t="inlineStr">
        <is>
          <t>2007-08-07</t>
        </is>
      </c>
      <c r="W3058" t="inlineStr">
        <is>
          <t>1992-05-01</t>
        </is>
      </c>
      <c r="X3058" t="inlineStr">
        <is>
          <t>1992-05-01</t>
        </is>
      </c>
      <c r="Y3058" t="n">
        <v>188</v>
      </c>
      <c r="Z3058" t="n">
        <v>164</v>
      </c>
      <c r="AA3058" t="n">
        <v>187</v>
      </c>
      <c r="AB3058" t="n">
        <v>2</v>
      </c>
      <c r="AC3058" t="n">
        <v>2</v>
      </c>
      <c r="AD3058" t="n">
        <v>26</v>
      </c>
      <c r="AE3058" t="n">
        <v>27</v>
      </c>
      <c r="AF3058" t="n">
        <v>7</v>
      </c>
      <c r="AG3058" t="n">
        <v>7</v>
      </c>
      <c r="AH3058" t="n">
        <v>7</v>
      </c>
      <c r="AI3058" t="n">
        <v>7</v>
      </c>
      <c r="AJ3058" t="n">
        <v>20</v>
      </c>
      <c r="AK3058" t="n">
        <v>21</v>
      </c>
      <c r="AL3058" t="n">
        <v>0</v>
      </c>
      <c r="AM3058" t="n">
        <v>0</v>
      </c>
      <c r="AN3058" t="n">
        <v>0</v>
      </c>
      <c r="AO3058" t="n">
        <v>0</v>
      </c>
      <c r="AP3058" t="inlineStr">
        <is>
          <t>No</t>
        </is>
      </c>
      <c r="AQ3058" t="inlineStr">
        <is>
          <t>No</t>
        </is>
      </c>
      <c r="AS3058">
        <f>HYPERLINK("https://creighton-primo.hosted.exlibrisgroup.com/primo-explore/search?tab=default_tab&amp;search_scope=EVERYTHING&amp;vid=01CRU&amp;lang=en_US&amp;offset=0&amp;query=any,contains,991004203949702656","Catalog Record")</f>
        <v/>
      </c>
      <c r="AT3058">
        <f>HYPERLINK("http://www.worldcat.org/oclc/2659026","WorldCat Record")</f>
        <v/>
      </c>
      <c r="AU3058" t="inlineStr">
        <is>
          <t>114329406:eng</t>
        </is>
      </c>
      <c r="AV3058" t="inlineStr">
        <is>
          <t>2659026</t>
        </is>
      </c>
      <c r="AW3058" t="inlineStr">
        <is>
          <t>991004203949702656</t>
        </is>
      </c>
      <c r="AX3058" t="inlineStr">
        <is>
          <t>991004203949702656</t>
        </is>
      </c>
      <c r="AY3058" t="inlineStr">
        <is>
          <t>2256653000002656</t>
        </is>
      </c>
      <c r="AZ3058" t="inlineStr">
        <is>
          <t>BOOK</t>
        </is>
      </c>
      <c r="BC3058" t="inlineStr">
        <is>
          <t>32285001080372</t>
        </is>
      </c>
      <c r="BD3058" t="inlineStr">
        <is>
          <t>893442339</t>
        </is>
      </c>
    </row>
    <row r="3059">
      <c r="A3059" t="inlineStr">
        <is>
          <t>No</t>
        </is>
      </c>
      <c r="B3059" t="inlineStr">
        <is>
          <t>BX870 1922</t>
        </is>
      </c>
      <c r="C3059" t="inlineStr">
        <is>
          <t>0                      BX 0870000               1922</t>
        </is>
      </c>
      <c r="D3059" t="inlineStr">
        <is>
          <t>The encyclicals of Pius XI / introduction and translation by James H. Ryan.</t>
        </is>
      </c>
      <c r="F3059" t="inlineStr">
        <is>
          <t>No</t>
        </is>
      </c>
      <c r="G3059" t="inlineStr">
        <is>
          <t>1</t>
        </is>
      </c>
      <c r="H3059" t="inlineStr">
        <is>
          <t>No</t>
        </is>
      </c>
      <c r="I3059" t="inlineStr">
        <is>
          <t>No</t>
        </is>
      </c>
      <c r="J3059" t="inlineStr">
        <is>
          <t>0</t>
        </is>
      </c>
      <c r="K3059" t="inlineStr">
        <is>
          <t>Catholic Church. Pope (1922-1939 : Pius XI)</t>
        </is>
      </c>
      <c r="L3059" t="inlineStr">
        <is>
          <t>St. Louis, Mo. ; London : B. Herder book co., 1927.</t>
        </is>
      </c>
      <c r="M3059" t="inlineStr">
        <is>
          <t>1927</t>
        </is>
      </c>
      <c r="O3059" t="inlineStr">
        <is>
          <t>eng</t>
        </is>
      </c>
      <c r="P3059" t="inlineStr">
        <is>
          <t>mou</t>
        </is>
      </c>
      <c r="R3059" t="inlineStr">
        <is>
          <t xml:space="preserve">BX </t>
        </is>
      </c>
      <c r="S3059" t="n">
        <v>3</v>
      </c>
      <c r="T3059" t="n">
        <v>3</v>
      </c>
      <c r="U3059" t="inlineStr">
        <is>
          <t>1997-07-11</t>
        </is>
      </c>
      <c r="V3059" t="inlineStr">
        <is>
          <t>1997-07-11</t>
        </is>
      </c>
      <c r="W3059" t="inlineStr">
        <is>
          <t>1992-05-01</t>
        </is>
      </c>
      <c r="X3059" t="inlineStr">
        <is>
          <t>1992-05-01</t>
        </is>
      </c>
      <c r="Y3059" t="n">
        <v>128</v>
      </c>
      <c r="Z3059" t="n">
        <v>114</v>
      </c>
      <c r="AA3059" t="n">
        <v>115</v>
      </c>
      <c r="AB3059" t="n">
        <v>2</v>
      </c>
      <c r="AC3059" t="n">
        <v>2</v>
      </c>
      <c r="AD3059" t="n">
        <v>19</v>
      </c>
      <c r="AE3059" t="n">
        <v>19</v>
      </c>
      <c r="AF3059" t="n">
        <v>6</v>
      </c>
      <c r="AG3059" t="n">
        <v>6</v>
      </c>
      <c r="AH3059" t="n">
        <v>6</v>
      </c>
      <c r="AI3059" t="n">
        <v>6</v>
      </c>
      <c r="AJ3059" t="n">
        <v>15</v>
      </c>
      <c r="AK3059" t="n">
        <v>15</v>
      </c>
      <c r="AL3059" t="n">
        <v>0</v>
      </c>
      <c r="AM3059" t="n">
        <v>0</v>
      </c>
      <c r="AN3059" t="n">
        <v>0</v>
      </c>
      <c r="AO3059" t="n">
        <v>0</v>
      </c>
      <c r="AP3059" t="inlineStr">
        <is>
          <t>No</t>
        </is>
      </c>
      <c r="AQ3059" t="inlineStr">
        <is>
          <t>No</t>
        </is>
      </c>
      <c r="AS3059">
        <f>HYPERLINK("https://creighton-primo.hosted.exlibrisgroup.com/primo-explore/search?tab=default_tab&amp;search_scope=EVERYTHING&amp;vid=01CRU&amp;lang=en_US&amp;offset=0&amp;query=any,contains,991004423819702656","Catalog Record")</f>
        <v/>
      </c>
      <c r="AT3059">
        <f>HYPERLINK("http://www.worldcat.org/oclc/3393429","WorldCat Record")</f>
        <v/>
      </c>
      <c r="AU3059" t="inlineStr">
        <is>
          <t>2287209208:eng</t>
        </is>
      </c>
      <c r="AV3059" t="inlineStr">
        <is>
          <t>3393429</t>
        </is>
      </c>
      <c r="AW3059" t="inlineStr">
        <is>
          <t>991004423819702656</t>
        </is>
      </c>
      <c r="AX3059" t="inlineStr">
        <is>
          <t>991004423819702656</t>
        </is>
      </c>
      <c r="AY3059" t="inlineStr">
        <is>
          <t>2272057100002656</t>
        </is>
      </c>
      <c r="AZ3059" t="inlineStr">
        <is>
          <t>BOOK</t>
        </is>
      </c>
      <c r="BC3059" t="inlineStr">
        <is>
          <t>32285001080398</t>
        </is>
      </c>
      <c r="BD3059" t="inlineStr">
        <is>
          <t>893800954</t>
        </is>
      </c>
    </row>
    <row r="3060">
      <c r="A3060" t="inlineStr">
        <is>
          <t>No</t>
        </is>
      </c>
      <c r="B3060" t="inlineStr">
        <is>
          <t>BX870 1939a</t>
        </is>
      </c>
      <c r="C3060" t="inlineStr">
        <is>
          <t>0                      BX 0870000               1939a</t>
        </is>
      </c>
      <c r="D3060" t="inlineStr">
        <is>
          <t>The Pope speaks : the words of Pius XII : with a biography / by Charles Rankin, and a preface by the Most Reverend Edwin V. O'Hara, D. D.</t>
        </is>
      </c>
      <c r="F3060" t="inlineStr">
        <is>
          <t>No</t>
        </is>
      </c>
      <c r="G3060" t="inlineStr">
        <is>
          <t>1</t>
        </is>
      </c>
      <c r="H3060" t="inlineStr">
        <is>
          <t>No</t>
        </is>
      </c>
      <c r="I3060" t="inlineStr">
        <is>
          <t>No</t>
        </is>
      </c>
      <c r="J3060" t="inlineStr">
        <is>
          <t>0</t>
        </is>
      </c>
      <c r="K3060" t="inlineStr">
        <is>
          <t>Catholic Church. Pope (1939-1958 : Pius XII).</t>
        </is>
      </c>
      <c r="L3060" t="inlineStr">
        <is>
          <t>New York : Harcourt, Brace and Company, [c1940]</t>
        </is>
      </c>
      <c r="M3060" t="inlineStr">
        <is>
          <t>1940</t>
        </is>
      </c>
      <c r="O3060" t="inlineStr">
        <is>
          <t>eng</t>
        </is>
      </c>
      <c r="P3060" t="inlineStr">
        <is>
          <t xml:space="preserve">xx </t>
        </is>
      </c>
      <c r="R3060" t="inlineStr">
        <is>
          <t xml:space="preserve">BX </t>
        </is>
      </c>
      <c r="S3060" t="n">
        <v>1</v>
      </c>
      <c r="T3060" t="n">
        <v>1</v>
      </c>
      <c r="U3060" t="inlineStr">
        <is>
          <t>2005-09-16</t>
        </is>
      </c>
      <c r="V3060" t="inlineStr">
        <is>
          <t>2005-09-16</t>
        </is>
      </c>
      <c r="W3060" t="inlineStr">
        <is>
          <t>1992-05-01</t>
        </is>
      </c>
      <c r="X3060" t="inlineStr">
        <is>
          <t>1992-05-01</t>
        </is>
      </c>
      <c r="Y3060" t="n">
        <v>195</v>
      </c>
      <c r="Z3060" t="n">
        <v>186</v>
      </c>
      <c r="AA3060" t="n">
        <v>187</v>
      </c>
      <c r="AB3060" t="n">
        <v>3</v>
      </c>
      <c r="AC3060" t="n">
        <v>3</v>
      </c>
      <c r="AD3060" t="n">
        <v>21</v>
      </c>
      <c r="AE3060" t="n">
        <v>21</v>
      </c>
      <c r="AF3060" t="n">
        <v>7</v>
      </c>
      <c r="AG3060" t="n">
        <v>7</v>
      </c>
      <c r="AH3060" t="n">
        <v>7</v>
      </c>
      <c r="AI3060" t="n">
        <v>7</v>
      </c>
      <c r="AJ3060" t="n">
        <v>16</v>
      </c>
      <c r="AK3060" t="n">
        <v>16</v>
      </c>
      <c r="AL3060" t="n">
        <v>0</v>
      </c>
      <c r="AM3060" t="n">
        <v>0</v>
      </c>
      <c r="AN3060" t="n">
        <v>0</v>
      </c>
      <c r="AO3060" t="n">
        <v>0</v>
      </c>
      <c r="AP3060" t="inlineStr">
        <is>
          <t>No</t>
        </is>
      </c>
      <c r="AQ3060" t="inlineStr">
        <is>
          <t>Yes</t>
        </is>
      </c>
      <c r="AR3060">
        <f>HYPERLINK("http://catalog.hathitrust.org/Record/101653633","HathiTrust Record")</f>
        <v/>
      </c>
      <c r="AS3060">
        <f>HYPERLINK("https://creighton-primo.hosted.exlibrisgroup.com/primo-explore/search?tab=default_tab&amp;search_scope=EVERYTHING&amp;vid=01CRU&amp;lang=en_US&amp;offset=0&amp;query=any,contains,991003440149702656","Catalog Record")</f>
        <v/>
      </c>
      <c r="AT3060">
        <f>HYPERLINK("http://www.worldcat.org/oclc/976374","WorldCat Record")</f>
        <v/>
      </c>
      <c r="AU3060" t="inlineStr">
        <is>
          <t>4203057602:eng</t>
        </is>
      </c>
      <c r="AV3060" t="inlineStr">
        <is>
          <t>976374</t>
        </is>
      </c>
      <c r="AW3060" t="inlineStr">
        <is>
          <t>991003440149702656</t>
        </is>
      </c>
      <c r="AX3060" t="inlineStr">
        <is>
          <t>991003440149702656</t>
        </is>
      </c>
      <c r="AY3060" t="inlineStr">
        <is>
          <t>2261496200002656</t>
        </is>
      </c>
      <c r="AZ3060" t="inlineStr">
        <is>
          <t>BOOK</t>
        </is>
      </c>
      <c r="BC3060" t="inlineStr">
        <is>
          <t>32285001080414</t>
        </is>
      </c>
      <c r="BD3060" t="inlineStr">
        <is>
          <t>893717645</t>
        </is>
      </c>
    </row>
    <row r="3061">
      <c r="A3061" t="inlineStr">
        <is>
          <t>No</t>
        </is>
      </c>
      <c r="B3061" t="inlineStr">
        <is>
          <t>BX870 1939h</t>
        </is>
      </c>
      <c r="C3061" t="inlineStr">
        <is>
          <t>0                      BX 0870000               1939h</t>
        </is>
      </c>
      <c r="D3061" t="inlineStr">
        <is>
          <t>Four great encyclicals of Pope Pius XII : with Christmas message of 1944 : Democracy and peace and the allocution : The world community and religious tolerance / discussion club outlines by Gerald C. Treacy.</t>
        </is>
      </c>
      <c r="F3061" t="inlineStr">
        <is>
          <t>No</t>
        </is>
      </c>
      <c r="G3061" t="inlineStr">
        <is>
          <t>1</t>
        </is>
      </c>
      <c r="H3061" t="inlineStr">
        <is>
          <t>No</t>
        </is>
      </c>
      <c r="I3061" t="inlineStr">
        <is>
          <t>No</t>
        </is>
      </c>
      <c r="J3061" t="inlineStr">
        <is>
          <t>0</t>
        </is>
      </c>
      <c r="K3061" t="inlineStr">
        <is>
          <t>Catholic Church. Pope (1939-1958 : Pius XII).</t>
        </is>
      </c>
      <c r="L3061" t="inlineStr">
        <is>
          <t>New York : Deus Books, Paulist Press, [1961]</t>
        </is>
      </c>
      <c r="M3061" t="inlineStr">
        <is>
          <t>1961</t>
        </is>
      </c>
      <c r="O3061" t="inlineStr">
        <is>
          <t>eng</t>
        </is>
      </c>
      <c r="P3061" t="inlineStr">
        <is>
          <t>nyu</t>
        </is>
      </c>
      <c r="R3061" t="inlineStr">
        <is>
          <t xml:space="preserve">BX </t>
        </is>
      </c>
      <c r="S3061" t="n">
        <v>4</v>
      </c>
      <c r="T3061" t="n">
        <v>4</v>
      </c>
      <c r="U3061" t="inlineStr">
        <is>
          <t>2003-03-14</t>
        </is>
      </c>
      <c r="V3061" t="inlineStr">
        <is>
          <t>2003-03-14</t>
        </is>
      </c>
      <c r="W3061" t="inlineStr">
        <is>
          <t>1992-04-16</t>
        </is>
      </c>
      <c r="X3061" t="inlineStr">
        <is>
          <t>1992-04-16</t>
        </is>
      </c>
      <c r="Y3061" t="n">
        <v>132</v>
      </c>
      <c r="Z3061" t="n">
        <v>118</v>
      </c>
      <c r="AA3061" t="n">
        <v>118</v>
      </c>
      <c r="AB3061" t="n">
        <v>1</v>
      </c>
      <c r="AC3061" t="n">
        <v>1</v>
      </c>
      <c r="AD3061" t="n">
        <v>16</v>
      </c>
      <c r="AE3061" t="n">
        <v>16</v>
      </c>
      <c r="AF3061" t="n">
        <v>8</v>
      </c>
      <c r="AG3061" t="n">
        <v>8</v>
      </c>
      <c r="AH3061" t="n">
        <v>4</v>
      </c>
      <c r="AI3061" t="n">
        <v>4</v>
      </c>
      <c r="AJ3061" t="n">
        <v>11</v>
      </c>
      <c r="AK3061" t="n">
        <v>11</v>
      </c>
      <c r="AL3061" t="n">
        <v>0</v>
      </c>
      <c r="AM3061" t="n">
        <v>0</v>
      </c>
      <c r="AN3061" t="n">
        <v>0</v>
      </c>
      <c r="AO3061" t="n">
        <v>0</v>
      </c>
      <c r="AP3061" t="inlineStr">
        <is>
          <t>No</t>
        </is>
      </c>
      <c r="AQ3061" t="inlineStr">
        <is>
          <t>No</t>
        </is>
      </c>
      <c r="AS3061">
        <f>HYPERLINK("https://creighton-primo.hosted.exlibrisgroup.com/primo-explore/search?tab=default_tab&amp;search_scope=EVERYTHING&amp;vid=01CRU&amp;lang=en_US&amp;offset=0&amp;query=any,contains,991004044979702656","Catalog Record")</f>
        <v/>
      </c>
      <c r="AT3061">
        <f>HYPERLINK("http://www.worldcat.org/oclc/2198400","WorldCat Record")</f>
        <v/>
      </c>
      <c r="AU3061" t="inlineStr">
        <is>
          <t>4417338:eng</t>
        </is>
      </c>
      <c r="AV3061" t="inlineStr">
        <is>
          <t>2198400</t>
        </is>
      </c>
      <c r="AW3061" t="inlineStr">
        <is>
          <t>991004044979702656</t>
        </is>
      </c>
      <c r="AX3061" t="inlineStr">
        <is>
          <t>991004044979702656</t>
        </is>
      </c>
      <c r="AY3061" t="inlineStr">
        <is>
          <t>2260211060002656</t>
        </is>
      </c>
      <c r="AZ3061" t="inlineStr">
        <is>
          <t>BOOK</t>
        </is>
      </c>
      <c r="BC3061" t="inlineStr">
        <is>
          <t>32285001044436</t>
        </is>
      </c>
      <c r="BD3061" t="inlineStr">
        <is>
          <t>893446007</t>
        </is>
      </c>
    </row>
    <row r="3062">
      <c r="A3062" t="inlineStr">
        <is>
          <t>No</t>
        </is>
      </c>
      <c r="B3062" t="inlineStr">
        <is>
          <t>BX873 1932</t>
        </is>
      </c>
      <c r="C3062" t="inlineStr">
        <is>
          <t>0                      BX 0873000               1932</t>
        </is>
      </c>
      <c r="D3062" t="inlineStr">
        <is>
          <t>Encyclical letter of His Holiness Pius XI, by Divine Providence, pope, to the patriarchs, primates, archbishops, bishops and other ordinaries, in peace and communion with the Apostolic see, on offering prayer and expiation to the Sacred Heart of Jesus in the present distress of the human race.</t>
        </is>
      </c>
      <c r="F3062" t="inlineStr">
        <is>
          <t>No</t>
        </is>
      </c>
      <c r="G3062" t="inlineStr">
        <is>
          <t>1</t>
        </is>
      </c>
      <c r="H3062" t="inlineStr">
        <is>
          <t>No</t>
        </is>
      </c>
      <c r="I3062" t="inlineStr">
        <is>
          <t>No</t>
        </is>
      </c>
      <c r="J3062" t="inlineStr">
        <is>
          <t>0</t>
        </is>
      </c>
      <c r="K3062" t="inlineStr">
        <is>
          <t>Catholic Church. Pope (1922-1939 : Pius XI)</t>
        </is>
      </c>
      <c r="L3062" t="inlineStr">
        <is>
          <t>Washington, D. C., National Catholic Welfare Conference, 1932.</t>
        </is>
      </c>
      <c r="M3062" t="inlineStr">
        <is>
          <t>1932</t>
        </is>
      </c>
      <c r="O3062" t="inlineStr">
        <is>
          <t>eng</t>
        </is>
      </c>
      <c r="P3062" t="inlineStr">
        <is>
          <t>dcu</t>
        </is>
      </c>
      <c r="R3062" t="inlineStr">
        <is>
          <t xml:space="preserve">BX </t>
        </is>
      </c>
      <c r="S3062" t="n">
        <v>5</v>
      </c>
      <c r="T3062" t="n">
        <v>5</v>
      </c>
      <c r="U3062" t="inlineStr">
        <is>
          <t>2001-02-14</t>
        </is>
      </c>
      <c r="V3062" t="inlineStr">
        <is>
          <t>2001-02-14</t>
        </is>
      </c>
      <c r="W3062" t="inlineStr">
        <is>
          <t>1992-05-01</t>
        </is>
      </c>
      <c r="X3062" t="inlineStr">
        <is>
          <t>1992-05-01</t>
        </is>
      </c>
      <c r="Y3062" t="n">
        <v>22</v>
      </c>
      <c r="Z3062" t="n">
        <v>22</v>
      </c>
      <c r="AA3062" t="n">
        <v>46</v>
      </c>
      <c r="AB3062" t="n">
        <v>1</v>
      </c>
      <c r="AC3062" t="n">
        <v>2</v>
      </c>
      <c r="AD3062" t="n">
        <v>2</v>
      </c>
      <c r="AE3062" t="n">
        <v>2</v>
      </c>
      <c r="AF3062" t="n">
        <v>0</v>
      </c>
      <c r="AG3062" t="n">
        <v>0</v>
      </c>
      <c r="AH3062" t="n">
        <v>1</v>
      </c>
      <c r="AI3062" t="n">
        <v>1</v>
      </c>
      <c r="AJ3062" t="n">
        <v>2</v>
      </c>
      <c r="AK3062" t="n">
        <v>2</v>
      </c>
      <c r="AL3062" t="n">
        <v>0</v>
      </c>
      <c r="AM3062" t="n">
        <v>0</v>
      </c>
      <c r="AN3062" t="n">
        <v>0</v>
      </c>
      <c r="AO3062" t="n">
        <v>0</v>
      </c>
      <c r="AP3062" t="inlineStr">
        <is>
          <t>No</t>
        </is>
      </c>
      <c r="AQ3062" t="inlineStr">
        <is>
          <t>No</t>
        </is>
      </c>
      <c r="AS3062">
        <f>HYPERLINK("https://creighton-primo.hosted.exlibrisgroup.com/primo-explore/search?tab=default_tab&amp;search_scope=EVERYTHING&amp;vid=01CRU&amp;lang=en_US&amp;offset=0&amp;query=any,contains,991005384319702656","Catalog Record")</f>
        <v/>
      </c>
      <c r="AT3062">
        <f>HYPERLINK("http://www.worldcat.org/oclc/6631264","WorldCat Record")</f>
        <v/>
      </c>
      <c r="AU3062" t="inlineStr">
        <is>
          <t>3858907315:eng</t>
        </is>
      </c>
      <c r="AV3062" t="inlineStr">
        <is>
          <t>6631264</t>
        </is>
      </c>
      <c r="AW3062" t="inlineStr">
        <is>
          <t>991005384319702656</t>
        </is>
      </c>
      <c r="AX3062" t="inlineStr">
        <is>
          <t>991005384319702656</t>
        </is>
      </c>
      <c r="AY3062" t="inlineStr">
        <is>
          <t>2266546780002656</t>
        </is>
      </c>
      <c r="AZ3062" t="inlineStr">
        <is>
          <t>BOOK</t>
        </is>
      </c>
      <c r="BC3062" t="inlineStr">
        <is>
          <t>32285001080463</t>
        </is>
      </c>
      <c r="BD3062" t="inlineStr">
        <is>
          <t>893332877</t>
        </is>
      </c>
    </row>
    <row r="3063">
      <c r="A3063" t="inlineStr">
        <is>
          <t>No</t>
        </is>
      </c>
      <c r="B3063" t="inlineStr">
        <is>
          <t>BX873 1950 .A34</t>
        </is>
      </c>
      <c r="C3063" t="inlineStr">
        <is>
          <t>0                      BX 0873000               1950   A  34</t>
        </is>
      </c>
      <c r="D3063" t="inlineStr">
        <is>
          <t>The encyclical "Humani generis" : with a commentary / A. C. Cotter.</t>
        </is>
      </c>
      <c r="F3063" t="inlineStr">
        <is>
          <t>No</t>
        </is>
      </c>
      <c r="G3063" t="inlineStr">
        <is>
          <t>1</t>
        </is>
      </c>
      <c r="H3063" t="inlineStr">
        <is>
          <t>No</t>
        </is>
      </c>
      <c r="I3063" t="inlineStr">
        <is>
          <t>No</t>
        </is>
      </c>
      <c r="J3063" t="inlineStr">
        <is>
          <t>0</t>
        </is>
      </c>
      <c r="K3063" t="inlineStr">
        <is>
          <t>Catholic Church. Pope (1939-1958 : Pius XII).</t>
        </is>
      </c>
      <c r="L3063" t="inlineStr">
        <is>
          <t>Weston, Mass. : Weston College Press, 1951.</t>
        </is>
      </c>
      <c r="M3063" t="inlineStr">
        <is>
          <t>1951</t>
        </is>
      </c>
      <c r="O3063" t="inlineStr">
        <is>
          <t>eng</t>
        </is>
      </c>
      <c r="P3063" t="inlineStr">
        <is>
          <t>mau</t>
        </is>
      </c>
      <c r="R3063" t="inlineStr">
        <is>
          <t xml:space="preserve">BX </t>
        </is>
      </c>
      <c r="S3063" t="n">
        <v>6</v>
      </c>
      <c r="T3063" t="n">
        <v>6</v>
      </c>
      <c r="U3063" t="inlineStr">
        <is>
          <t>2003-05-09</t>
        </is>
      </c>
      <c r="V3063" t="inlineStr">
        <is>
          <t>2003-05-09</t>
        </is>
      </c>
      <c r="W3063" t="inlineStr">
        <is>
          <t>1992-05-01</t>
        </is>
      </c>
      <c r="X3063" t="inlineStr">
        <is>
          <t>1992-05-01</t>
        </is>
      </c>
      <c r="Y3063" t="n">
        <v>55</v>
      </c>
      <c r="Z3063" t="n">
        <v>48</v>
      </c>
      <c r="AA3063" t="n">
        <v>77</v>
      </c>
      <c r="AB3063" t="n">
        <v>2</v>
      </c>
      <c r="AC3063" t="n">
        <v>2</v>
      </c>
      <c r="AD3063" t="n">
        <v>15</v>
      </c>
      <c r="AE3063" t="n">
        <v>21</v>
      </c>
      <c r="AF3063" t="n">
        <v>6</v>
      </c>
      <c r="AG3063" t="n">
        <v>8</v>
      </c>
      <c r="AH3063" t="n">
        <v>3</v>
      </c>
      <c r="AI3063" t="n">
        <v>6</v>
      </c>
      <c r="AJ3063" t="n">
        <v>13</v>
      </c>
      <c r="AK3063" t="n">
        <v>16</v>
      </c>
      <c r="AL3063" t="n">
        <v>0</v>
      </c>
      <c r="AM3063" t="n">
        <v>0</v>
      </c>
      <c r="AN3063" t="n">
        <v>0</v>
      </c>
      <c r="AO3063" t="n">
        <v>0</v>
      </c>
      <c r="AP3063" t="inlineStr">
        <is>
          <t>No</t>
        </is>
      </c>
      <c r="AQ3063" t="inlineStr">
        <is>
          <t>No</t>
        </is>
      </c>
      <c r="AS3063">
        <f>HYPERLINK("https://creighton-primo.hosted.exlibrisgroup.com/primo-explore/search?tab=default_tab&amp;search_scope=EVERYTHING&amp;vid=01CRU&amp;lang=en_US&amp;offset=0&amp;query=any,contains,991004971289702656","Catalog Record")</f>
        <v/>
      </c>
      <c r="AT3063">
        <f>HYPERLINK("http://www.worldcat.org/oclc/6359070","WorldCat Record")</f>
        <v/>
      </c>
      <c r="AU3063" t="inlineStr">
        <is>
          <t>5534416145:eng</t>
        </is>
      </c>
      <c r="AV3063" t="inlineStr">
        <is>
          <t>6359070</t>
        </is>
      </c>
      <c r="AW3063" t="inlineStr">
        <is>
          <t>991004971289702656</t>
        </is>
      </c>
      <c r="AX3063" t="inlineStr">
        <is>
          <t>991004971289702656</t>
        </is>
      </c>
      <c r="AY3063" t="inlineStr">
        <is>
          <t>2255204710002656</t>
        </is>
      </c>
      <c r="AZ3063" t="inlineStr">
        <is>
          <t>BOOK</t>
        </is>
      </c>
      <c r="BC3063" t="inlineStr">
        <is>
          <t>32285001080489</t>
        </is>
      </c>
      <c r="BD3063" t="inlineStr">
        <is>
          <t>893889493</t>
        </is>
      </c>
    </row>
    <row r="3064">
      <c r="A3064" t="inlineStr">
        <is>
          <t>No</t>
        </is>
      </c>
      <c r="B3064" t="inlineStr">
        <is>
          <t>BX873.5 .B53 1989</t>
        </is>
      </c>
      <c r="C3064" t="inlineStr">
        <is>
          <t>0                      BX 0873500B  53          1989</t>
        </is>
      </c>
      <c r="D3064" t="inlineStr">
        <is>
          <t>The social gospel of Pope John Paul II : a guide to the encyclicals on human work and the authentic development of peoples / Franco Biffi; English translation by Sylvester G. Ekong.</t>
        </is>
      </c>
      <c r="F3064" t="inlineStr">
        <is>
          <t>No</t>
        </is>
      </c>
      <c r="G3064" t="inlineStr">
        <is>
          <t>1</t>
        </is>
      </c>
      <c r="H3064" t="inlineStr">
        <is>
          <t>No</t>
        </is>
      </c>
      <c r="I3064" t="inlineStr">
        <is>
          <t>No</t>
        </is>
      </c>
      <c r="J3064" t="inlineStr">
        <is>
          <t>0</t>
        </is>
      </c>
      <c r="K3064" t="inlineStr">
        <is>
          <t>Biffi, Franco.</t>
        </is>
      </c>
      <c r="L3064" t="inlineStr">
        <is>
          <t>Rome : Pontifical Lateran University, 1989.</t>
        </is>
      </c>
      <c r="M3064" t="inlineStr">
        <is>
          <t>1989</t>
        </is>
      </c>
      <c r="O3064" t="inlineStr">
        <is>
          <t>eng</t>
        </is>
      </c>
      <c r="P3064" t="inlineStr">
        <is>
          <t xml:space="preserve">it </t>
        </is>
      </c>
      <c r="R3064" t="inlineStr">
        <is>
          <t xml:space="preserve">BX </t>
        </is>
      </c>
      <c r="S3064" t="n">
        <v>9</v>
      </c>
      <c r="T3064" t="n">
        <v>9</v>
      </c>
      <c r="U3064" t="inlineStr">
        <is>
          <t>2003-01-10</t>
        </is>
      </c>
      <c r="V3064" t="inlineStr">
        <is>
          <t>2003-01-10</t>
        </is>
      </c>
      <c r="W3064" t="inlineStr">
        <is>
          <t>1991-01-17</t>
        </is>
      </c>
      <c r="X3064" t="inlineStr">
        <is>
          <t>1991-01-17</t>
        </is>
      </c>
      <c r="Y3064" t="n">
        <v>34</v>
      </c>
      <c r="Z3064" t="n">
        <v>22</v>
      </c>
      <c r="AA3064" t="n">
        <v>22</v>
      </c>
      <c r="AB3064" t="n">
        <v>1</v>
      </c>
      <c r="AC3064" t="n">
        <v>1</v>
      </c>
      <c r="AD3064" t="n">
        <v>5</v>
      </c>
      <c r="AE3064" t="n">
        <v>5</v>
      </c>
      <c r="AF3064" t="n">
        <v>1</v>
      </c>
      <c r="AG3064" t="n">
        <v>1</v>
      </c>
      <c r="AH3064" t="n">
        <v>1</v>
      </c>
      <c r="AI3064" t="n">
        <v>1</v>
      </c>
      <c r="AJ3064" t="n">
        <v>5</v>
      </c>
      <c r="AK3064" t="n">
        <v>5</v>
      </c>
      <c r="AL3064" t="n">
        <v>0</v>
      </c>
      <c r="AM3064" t="n">
        <v>0</v>
      </c>
      <c r="AN3064" t="n">
        <v>0</v>
      </c>
      <c r="AO3064" t="n">
        <v>0</v>
      </c>
      <c r="AP3064" t="inlineStr">
        <is>
          <t>No</t>
        </is>
      </c>
      <c r="AQ3064" t="inlineStr">
        <is>
          <t>No</t>
        </is>
      </c>
      <c r="AS3064">
        <f>HYPERLINK("https://creighton-primo.hosted.exlibrisgroup.com/primo-explore/search?tab=default_tab&amp;search_scope=EVERYTHING&amp;vid=01CRU&amp;lang=en_US&amp;offset=0&amp;query=any,contains,991001792799702656","Catalog Record")</f>
        <v/>
      </c>
      <c r="AT3064">
        <f>HYPERLINK("http://www.worldcat.org/oclc/22513421","WorldCat Record")</f>
        <v/>
      </c>
      <c r="AU3064" t="inlineStr">
        <is>
          <t>890116066:eng</t>
        </is>
      </c>
      <c r="AV3064" t="inlineStr">
        <is>
          <t>22513421</t>
        </is>
      </c>
      <c r="AW3064" t="inlineStr">
        <is>
          <t>991001792799702656</t>
        </is>
      </c>
      <c r="AX3064" t="inlineStr">
        <is>
          <t>991001792799702656</t>
        </is>
      </c>
      <c r="AY3064" t="inlineStr">
        <is>
          <t>2262166740002656</t>
        </is>
      </c>
      <c r="AZ3064" t="inlineStr">
        <is>
          <t>BOOK</t>
        </is>
      </c>
      <c r="BC3064" t="inlineStr">
        <is>
          <t>32285000445691</t>
        </is>
      </c>
      <c r="BD3064" t="inlineStr">
        <is>
          <t>893797835</t>
        </is>
      </c>
    </row>
    <row r="3065">
      <c r="A3065" t="inlineStr">
        <is>
          <t>No</t>
        </is>
      </c>
      <c r="B3065" t="inlineStr">
        <is>
          <t>BX8762.A45 B625 1997</t>
        </is>
      </c>
      <c r="C3065" t="inlineStr">
        <is>
          <t>0                      BX 8762000A  45                 B  625         1997</t>
        </is>
      </c>
      <c r="D3065" t="inlineStr">
        <is>
          <t>Born again in Brazil : the Pentecostal boom and the pathogens of poverty / R. Andrew Chesnut.</t>
        </is>
      </c>
      <c r="F3065" t="inlineStr">
        <is>
          <t>No</t>
        </is>
      </c>
      <c r="G3065" t="inlineStr">
        <is>
          <t>1</t>
        </is>
      </c>
      <c r="H3065" t="inlineStr">
        <is>
          <t>No</t>
        </is>
      </c>
      <c r="I3065" t="inlineStr">
        <is>
          <t>No</t>
        </is>
      </c>
      <c r="J3065" t="inlineStr">
        <is>
          <t>0</t>
        </is>
      </c>
      <c r="K3065" t="inlineStr">
        <is>
          <t>Chesnut, R. Andrew.</t>
        </is>
      </c>
      <c r="L3065" t="inlineStr">
        <is>
          <t>New Brunswick, N.J. : Rutgers University Press, c1997.</t>
        </is>
      </c>
      <c r="M3065" t="inlineStr">
        <is>
          <t>1997</t>
        </is>
      </c>
      <c r="O3065" t="inlineStr">
        <is>
          <t>eng</t>
        </is>
      </c>
      <c r="P3065" t="inlineStr">
        <is>
          <t>nju</t>
        </is>
      </c>
      <c r="R3065" t="inlineStr">
        <is>
          <t xml:space="preserve">BX </t>
        </is>
      </c>
      <c r="S3065" t="n">
        <v>3</v>
      </c>
      <c r="T3065" t="n">
        <v>3</v>
      </c>
      <c r="U3065" t="inlineStr">
        <is>
          <t>2003-11-03</t>
        </is>
      </c>
      <c r="V3065" t="inlineStr">
        <is>
          <t>2003-11-03</t>
        </is>
      </c>
      <c r="W3065" t="inlineStr">
        <is>
          <t>1998-12-08</t>
        </is>
      </c>
      <c r="X3065" t="inlineStr">
        <is>
          <t>1998-12-08</t>
        </is>
      </c>
      <c r="Y3065" t="n">
        <v>458</v>
      </c>
      <c r="Z3065" t="n">
        <v>385</v>
      </c>
      <c r="AA3065" t="n">
        <v>386</v>
      </c>
      <c r="AB3065" t="n">
        <v>3</v>
      </c>
      <c r="AC3065" t="n">
        <v>3</v>
      </c>
      <c r="AD3065" t="n">
        <v>27</v>
      </c>
      <c r="AE3065" t="n">
        <v>27</v>
      </c>
      <c r="AF3065" t="n">
        <v>8</v>
      </c>
      <c r="AG3065" t="n">
        <v>8</v>
      </c>
      <c r="AH3065" t="n">
        <v>7</v>
      </c>
      <c r="AI3065" t="n">
        <v>7</v>
      </c>
      <c r="AJ3065" t="n">
        <v>17</v>
      </c>
      <c r="AK3065" t="n">
        <v>17</v>
      </c>
      <c r="AL3065" t="n">
        <v>2</v>
      </c>
      <c r="AM3065" t="n">
        <v>2</v>
      </c>
      <c r="AN3065" t="n">
        <v>0</v>
      </c>
      <c r="AO3065" t="n">
        <v>0</v>
      </c>
      <c r="AP3065" t="inlineStr">
        <is>
          <t>No</t>
        </is>
      </c>
      <c r="AQ3065" t="inlineStr">
        <is>
          <t>No</t>
        </is>
      </c>
      <c r="AS3065">
        <f>HYPERLINK("https://creighton-primo.hosted.exlibrisgroup.com/primo-explore/search?tab=default_tab&amp;search_scope=EVERYTHING&amp;vid=01CRU&amp;lang=en_US&amp;offset=0&amp;query=any,contains,991002775189702656","Catalog Record")</f>
        <v/>
      </c>
      <c r="AT3065">
        <f>HYPERLINK("http://www.worldcat.org/oclc/36438906","WorldCat Record")</f>
        <v/>
      </c>
      <c r="AU3065" t="inlineStr">
        <is>
          <t>372526144:eng</t>
        </is>
      </c>
      <c r="AV3065" t="inlineStr">
        <is>
          <t>36438906</t>
        </is>
      </c>
      <c r="AW3065" t="inlineStr">
        <is>
          <t>991002775189702656</t>
        </is>
      </c>
      <c r="AX3065" t="inlineStr">
        <is>
          <t>991002775189702656</t>
        </is>
      </c>
      <c r="AY3065" t="inlineStr">
        <is>
          <t>2272155910002656</t>
        </is>
      </c>
      <c r="AZ3065" t="inlineStr">
        <is>
          <t>BOOK</t>
        </is>
      </c>
      <c r="BB3065" t="inlineStr">
        <is>
          <t>9780813524054</t>
        </is>
      </c>
      <c r="BC3065" t="inlineStr">
        <is>
          <t>32285003494670</t>
        </is>
      </c>
      <c r="BD3065" t="inlineStr">
        <is>
          <t>893591760</t>
        </is>
      </c>
    </row>
    <row r="3066">
      <c r="A3066" t="inlineStr">
        <is>
          <t>No</t>
        </is>
      </c>
      <c r="B3066" t="inlineStr">
        <is>
          <t>BX8762.U5 F3 1972</t>
        </is>
      </c>
      <c r="C3066" t="inlineStr">
        <is>
          <t>0                      BX 8762000U  5                  F  3           1972</t>
        </is>
      </c>
      <c r="D3066" t="inlineStr">
        <is>
          <t>The American Pentecostal movement : a bibliographical essay / by David W. Faupel.</t>
        </is>
      </c>
      <c r="F3066" t="inlineStr">
        <is>
          <t>No</t>
        </is>
      </c>
      <c r="G3066" t="inlineStr">
        <is>
          <t>1</t>
        </is>
      </c>
      <c r="H3066" t="inlineStr">
        <is>
          <t>No</t>
        </is>
      </c>
      <c r="I3066" t="inlineStr">
        <is>
          <t>No</t>
        </is>
      </c>
      <c r="J3066" t="inlineStr">
        <is>
          <t>0</t>
        </is>
      </c>
      <c r="K3066" t="inlineStr">
        <is>
          <t>Faupel, David W.</t>
        </is>
      </c>
      <c r="L3066" t="inlineStr">
        <is>
          <t>Wilmore, Ky. : B. L. Fisher Library, Asbury Theological Seminary, 1972.</t>
        </is>
      </c>
      <c r="M3066" t="inlineStr">
        <is>
          <t>1972</t>
        </is>
      </c>
      <c r="O3066" t="inlineStr">
        <is>
          <t>eng</t>
        </is>
      </c>
      <c r="P3066" t="inlineStr">
        <is>
          <t>kyu</t>
        </is>
      </c>
      <c r="Q3066" t="inlineStr">
        <is>
          <t>Occasional bibliographic papers of the B. L. Fisher Library ; 2</t>
        </is>
      </c>
      <c r="R3066" t="inlineStr">
        <is>
          <t xml:space="preserve">BX </t>
        </is>
      </c>
      <c r="S3066" t="n">
        <v>3</v>
      </c>
      <c r="T3066" t="n">
        <v>3</v>
      </c>
      <c r="U3066" t="inlineStr">
        <is>
          <t>1994-02-20</t>
        </is>
      </c>
      <c r="V3066" t="inlineStr">
        <is>
          <t>1994-02-20</t>
        </is>
      </c>
      <c r="W3066" t="inlineStr">
        <is>
          <t>1992-05-22</t>
        </is>
      </c>
      <c r="X3066" t="inlineStr">
        <is>
          <t>1992-05-22</t>
        </is>
      </c>
      <c r="Y3066" t="n">
        <v>241</v>
      </c>
      <c r="Z3066" t="n">
        <v>215</v>
      </c>
      <c r="AA3066" t="n">
        <v>240</v>
      </c>
      <c r="AB3066" t="n">
        <v>1</v>
      </c>
      <c r="AC3066" t="n">
        <v>1</v>
      </c>
      <c r="AD3066" t="n">
        <v>10</v>
      </c>
      <c r="AE3066" t="n">
        <v>10</v>
      </c>
      <c r="AF3066" t="n">
        <v>6</v>
      </c>
      <c r="AG3066" t="n">
        <v>6</v>
      </c>
      <c r="AH3066" t="n">
        <v>1</v>
      </c>
      <c r="AI3066" t="n">
        <v>1</v>
      </c>
      <c r="AJ3066" t="n">
        <v>6</v>
      </c>
      <c r="AK3066" t="n">
        <v>6</v>
      </c>
      <c r="AL3066" t="n">
        <v>0</v>
      </c>
      <c r="AM3066" t="n">
        <v>0</v>
      </c>
      <c r="AN3066" t="n">
        <v>0</v>
      </c>
      <c r="AO3066" t="n">
        <v>0</v>
      </c>
      <c r="AP3066" t="inlineStr">
        <is>
          <t>No</t>
        </is>
      </c>
      <c r="AQ3066" t="inlineStr">
        <is>
          <t>Yes</t>
        </is>
      </c>
      <c r="AR3066">
        <f>HYPERLINK("http://catalog.hathitrust.org/Record/009905134","HathiTrust Record")</f>
        <v/>
      </c>
      <c r="AS3066">
        <f>HYPERLINK("https://creighton-primo.hosted.exlibrisgroup.com/primo-explore/search?tab=default_tab&amp;search_scope=EVERYTHING&amp;vid=01CRU&amp;lang=en_US&amp;offset=0&amp;query=any,contains,991003227859702656","Catalog Record")</f>
        <v/>
      </c>
      <c r="AT3066">
        <f>HYPERLINK("http://www.worldcat.org/oclc/752827","WorldCat Record")</f>
        <v/>
      </c>
      <c r="AU3066" t="inlineStr">
        <is>
          <t>1603679:eng</t>
        </is>
      </c>
      <c r="AV3066" t="inlineStr">
        <is>
          <t>752827</t>
        </is>
      </c>
      <c r="AW3066" t="inlineStr">
        <is>
          <t>991003227859702656</t>
        </is>
      </c>
      <c r="AX3066" t="inlineStr">
        <is>
          <t>991003227859702656</t>
        </is>
      </c>
      <c r="AY3066" t="inlineStr">
        <is>
          <t>2270822590002656</t>
        </is>
      </c>
      <c r="AZ3066" t="inlineStr">
        <is>
          <t>BOOK</t>
        </is>
      </c>
      <c r="BC3066" t="inlineStr">
        <is>
          <t>32285001140432</t>
        </is>
      </c>
      <c r="BD3066" t="inlineStr">
        <is>
          <t>893623270</t>
        </is>
      </c>
    </row>
    <row r="3067">
      <c r="A3067" t="inlineStr">
        <is>
          <t>No</t>
        </is>
      </c>
      <c r="B3067" t="inlineStr">
        <is>
          <t>BX8762.Z5 B37 1985</t>
        </is>
      </c>
      <c r="C3067" t="inlineStr">
        <is>
          <t>0                      BX 8762000Z  5                  B  37          1985</t>
        </is>
      </c>
      <c r="D3067" t="inlineStr">
        <is>
          <t>The work of T.B. Barratt.</t>
        </is>
      </c>
      <c r="F3067" t="inlineStr">
        <is>
          <t>No</t>
        </is>
      </c>
      <c r="G3067" t="inlineStr">
        <is>
          <t>1</t>
        </is>
      </c>
      <c r="H3067" t="inlineStr">
        <is>
          <t>No</t>
        </is>
      </c>
      <c r="I3067" t="inlineStr">
        <is>
          <t>No</t>
        </is>
      </c>
      <c r="J3067" t="inlineStr">
        <is>
          <t>0</t>
        </is>
      </c>
      <c r="K3067" t="inlineStr">
        <is>
          <t>Barratt, T. B. (Thomas Ball), 1862-1940.</t>
        </is>
      </c>
      <c r="L3067" t="inlineStr">
        <is>
          <t>New York : Garland Pub., 1985.</t>
        </is>
      </c>
      <c r="M3067" t="inlineStr">
        <is>
          <t>1985</t>
        </is>
      </c>
      <c r="O3067" t="inlineStr">
        <is>
          <t>eng</t>
        </is>
      </c>
      <c r="P3067" t="inlineStr">
        <is>
          <t>nyu</t>
        </is>
      </c>
      <c r="Q3067" t="inlineStr">
        <is>
          <t>The Higher Christian life</t>
        </is>
      </c>
      <c r="R3067" t="inlineStr">
        <is>
          <t xml:space="preserve">BX </t>
        </is>
      </c>
      <c r="S3067" t="n">
        <v>2</v>
      </c>
      <c r="T3067" t="n">
        <v>2</v>
      </c>
      <c r="U3067" t="inlineStr">
        <is>
          <t>1993-03-30</t>
        </is>
      </c>
      <c r="V3067" t="inlineStr">
        <is>
          <t>1993-03-30</t>
        </is>
      </c>
      <c r="W3067" t="inlineStr">
        <is>
          <t>1992-03-06</t>
        </is>
      </c>
      <c r="X3067" t="inlineStr">
        <is>
          <t>1992-03-06</t>
        </is>
      </c>
      <c r="Y3067" t="n">
        <v>131</v>
      </c>
      <c r="Z3067" t="n">
        <v>125</v>
      </c>
      <c r="AA3067" t="n">
        <v>149</v>
      </c>
      <c r="AB3067" t="n">
        <v>1</v>
      </c>
      <c r="AC3067" t="n">
        <v>1</v>
      </c>
      <c r="AD3067" t="n">
        <v>4</v>
      </c>
      <c r="AE3067" t="n">
        <v>4</v>
      </c>
      <c r="AF3067" t="n">
        <v>2</v>
      </c>
      <c r="AG3067" t="n">
        <v>2</v>
      </c>
      <c r="AH3067" t="n">
        <v>1</v>
      </c>
      <c r="AI3067" t="n">
        <v>1</v>
      </c>
      <c r="AJ3067" t="n">
        <v>1</v>
      </c>
      <c r="AK3067" t="n">
        <v>1</v>
      </c>
      <c r="AL3067" t="n">
        <v>0</v>
      </c>
      <c r="AM3067" t="n">
        <v>0</v>
      </c>
      <c r="AN3067" t="n">
        <v>0</v>
      </c>
      <c r="AO3067" t="n">
        <v>0</v>
      </c>
      <c r="AP3067" t="inlineStr">
        <is>
          <t>No</t>
        </is>
      </c>
      <c r="AQ3067" t="inlineStr">
        <is>
          <t>No</t>
        </is>
      </c>
      <c r="AS3067">
        <f>HYPERLINK("https://creighton-primo.hosted.exlibrisgroup.com/primo-explore/search?tab=default_tab&amp;search_scope=EVERYTHING&amp;vid=01CRU&amp;lang=en_US&amp;offset=0&amp;query=any,contains,991000618389702656","Catalog Record")</f>
        <v/>
      </c>
      <c r="AT3067">
        <f>HYPERLINK("http://www.worldcat.org/oclc/11970041","WorldCat Record")</f>
        <v/>
      </c>
      <c r="AU3067" t="inlineStr">
        <is>
          <t>190683856:eng</t>
        </is>
      </c>
      <c r="AV3067" t="inlineStr">
        <is>
          <t>11970041</t>
        </is>
      </c>
      <c r="AW3067" t="inlineStr">
        <is>
          <t>991000618389702656</t>
        </is>
      </c>
      <c r="AX3067" t="inlineStr">
        <is>
          <t>991000618389702656</t>
        </is>
      </c>
      <c r="AY3067" t="inlineStr">
        <is>
          <t>2255384530002656</t>
        </is>
      </c>
      <c r="AZ3067" t="inlineStr">
        <is>
          <t>BOOK</t>
        </is>
      </c>
      <c r="BB3067" t="inlineStr">
        <is>
          <t>9780824064044</t>
        </is>
      </c>
      <c r="BC3067" t="inlineStr">
        <is>
          <t>32285000937770</t>
        </is>
      </c>
      <c r="BD3067" t="inlineStr">
        <is>
          <t>893865532</t>
        </is>
      </c>
    </row>
    <row r="3068">
      <c r="A3068" t="inlineStr">
        <is>
          <t>No</t>
        </is>
      </c>
      <c r="B3068" t="inlineStr">
        <is>
          <t>BX8762.Z8 B35 1984</t>
        </is>
      </c>
      <c r="C3068" t="inlineStr">
        <is>
          <t>0                      BX 8762000Z  8                  B  35          1984</t>
        </is>
      </c>
      <c r="D3068" t="inlineStr">
        <is>
          <t>Chronicles of a faith life / Elizabeth V. Baker and co-workers.</t>
        </is>
      </c>
      <c r="F3068" t="inlineStr">
        <is>
          <t>No</t>
        </is>
      </c>
      <c r="G3068" t="inlineStr">
        <is>
          <t>1</t>
        </is>
      </c>
      <c r="H3068" t="inlineStr">
        <is>
          <t>No</t>
        </is>
      </c>
      <c r="I3068" t="inlineStr">
        <is>
          <t>No</t>
        </is>
      </c>
      <c r="J3068" t="inlineStr">
        <is>
          <t>0</t>
        </is>
      </c>
      <c r="K3068" t="inlineStr">
        <is>
          <t>Baker, Elizabeth V.</t>
        </is>
      </c>
      <c r="L3068" t="inlineStr">
        <is>
          <t>New York : Garland, 1984.</t>
        </is>
      </c>
      <c r="M3068" t="inlineStr">
        <is>
          <t>1984</t>
        </is>
      </c>
      <c r="O3068" t="inlineStr">
        <is>
          <t>eng</t>
        </is>
      </c>
      <c r="P3068" t="inlineStr">
        <is>
          <t>nyu</t>
        </is>
      </c>
      <c r="Q3068" t="inlineStr">
        <is>
          <t>The Higher Christian life</t>
        </is>
      </c>
      <c r="R3068" t="inlineStr">
        <is>
          <t xml:space="preserve">BX </t>
        </is>
      </c>
      <c r="S3068" t="n">
        <v>1</v>
      </c>
      <c r="T3068" t="n">
        <v>1</v>
      </c>
      <c r="U3068" t="inlineStr">
        <is>
          <t>1993-03-29</t>
        </is>
      </c>
      <c r="V3068" t="inlineStr">
        <is>
          <t>1993-03-29</t>
        </is>
      </c>
      <c r="W3068" t="inlineStr">
        <is>
          <t>1992-03-06</t>
        </is>
      </c>
      <c r="X3068" t="inlineStr">
        <is>
          <t>1992-03-06</t>
        </is>
      </c>
      <c r="Y3068" t="n">
        <v>128</v>
      </c>
      <c r="Z3068" t="n">
        <v>119</v>
      </c>
      <c r="AA3068" t="n">
        <v>124</v>
      </c>
      <c r="AB3068" t="n">
        <v>1</v>
      </c>
      <c r="AC3068" t="n">
        <v>1</v>
      </c>
      <c r="AD3068" t="n">
        <v>4</v>
      </c>
      <c r="AE3068" t="n">
        <v>4</v>
      </c>
      <c r="AF3068" t="n">
        <v>2</v>
      </c>
      <c r="AG3068" t="n">
        <v>2</v>
      </c>
      <c r="AH3068" t="n">
        <v>1</v>
      </c>
      <c r="AI3068" t="n">
        <v>1</v>
      </c>
      <c r="AJ3068" t="n">
        <v>1</v>
      </c>
      <c r="AK3068" t="n">
        <v>1</v>
      </c>
      <c r="AL3068" t="n">
        <v>0</v>
      </c>
      <c r="AM3068" t="n">
        <v>0</v>
      </c>
      <c r="AN3068" t="n">
        <v>0</v>
      </c>
      <c r="AO3068" t="n">
        <v>0</v>
      </c>
      <c r="AP3068" t="inlineStr">
        <is>
          <t>No</t>
        </is>
      </c>
      <c r="AQ3068" t="inlineStr">
        <is>
          <t>No</t>
        </is>
      </c>
      <c r="AS3068">
        <f>HYPERLINK("https://creighton-primo.hosted.exlibrisgroup.com/primo-explore/search?tab=default_tab&amp;search_scope=EVERYTHING&amp;vid=01CRU&amp;lang=en_US&amp;offset=0&amp;query=any,contains,991000503589702656","Catalog Record")</f>
        <v/>
      </c>
      <c r="AT3068">
        <f>HYPERLINK("http://www.worldcat.org/oclc/11187852","WorldCat Record")</f>
        <v/>
      </c>
      <c r="AU3068" t="inlineStr">
        <is>
          <t>911853:eng</t>
        </is>
      </c>
      <c r="AV3068" t="inlineStr">
        <is>
          <t>11187852</t>
        </is>
      </c>
      <c r="AW3068" t="inlineStr">
        <is>
          <t>991000503589702656</t>
        </is>
      </c>
      <c r="AX3068" t="inlineStr">
        <is>
          <t>991000503589702656</t>
        </is>
      </c>
      <c r="AY3068" t="inlineStr">
        <is>
          <t>2263157210002656</t>
        </is>
      </c>
      <c r="AZ3068" t="inlineStr">
        <is>
          <t>BOOK</t>
        </is>
      </c>
      <c r="BB3068" t="inlineStr">
        <is>
          <t>9780824064037</t>
        </is>
      </c>
      <c r="BC3068" t="inlineStr">
        <is>
          <t>32285000937754</t>
        </is>
      </c>
      <c r="BD3068" t="inlineStr">
        <is>
          <t>893321096</t>
        </is>
      </c>
    </row>
    <row r="3069">
      <c r="A3069" t="inlineStr">
        <is>
          <t>No</t>
        </is>
      </c>
      <c r="B3069" t="inlineStr">
        <is>
          <t>BX8763 .B68 1976</t>
        </is>
      </c>
      <c r="C3069" t="inlineStr">
        <is>
          <t>0                      BX 8763000B  68          1976</t>
        </is>
      </c>
      <c r="D3069" t="inlineStr">
        <is>
          <t>Can Catholics be charismatic? : Fundamentals of the full christian life / Patrick L. Bourgeois.</t>
        </is>
      </c>
      <c r="F3069" t="inlineStr">
        <is>
          <t>No</t>
        </is>
      </c>
      <c r="G3069" t="inlineStr">
        <is>
          <t>1</t>
        </is>
      </c>
      <c r="H3069" t="inlineStr">
        <is>
          <t>No</t>
        </is>
      </c>
      <c r="I3069" t="inlineStr">
        <is>
          <t>No</t>
        </is>
      </c>
      <c r="J3069" t="inlineStr">
        <is>
          <t>0</t>
        </is>
      </c>
      <c r="K3069" t="inlineStr">
        <is>
          <t>Bourgeois, Patrick L.</t>
        </is>
      </c>
      <c r="L3069" t="inlineStr">
        <is>
          <t>Hicksville, New York : Exposition Press, [1976]</t>
        </is>
      </c>
      <c r="M3069" t="inlineStr">
        <is>
          <t>1976</t>
        </is>
      </c>
      <c r="N3069" t="inlineStr">
        <is>
          <t>[1st ed]</t>
        </is>
      </c>
      <c r="O3069" t="inlineStr">
        <is>
          <t>eng</t>
        </is>
      </c>
      <c r="P3069" t="inlineStr">
        <is>
          <t>nyu</t>
        </is>
      </c>
      <c r="R3069" t="inlineStr">
        <is>
          <t xml:space="preserve">BX </t>
        </is>
      </c>
      <c r="S3069" t="n">
        <v>6</v>
      </c>
      <c r="T3069" t="n">
        <v>6</v>
      </c>
      <c r="U3069" t="inlineStr">
        <is>
          <t>2003-12-02</t>
        </is>
      </c>
      <c r="V3069" t="inlineStr">
        <is>
          <t>2003-12-02</t>
        </is>
      </c>
      <c r="W3069" t="inlineStr">
        <is>
          <t>1992-05-22</t>
        </is>
      </c>
      <c r="X3069" t="inlineStr">
        <is>
          <t>1992-05-22</t>
        </is>
      </c>
      <c r="Y3069" t="n">
        <v>19</v>
      </c>
      <c r="Z3069" t="n">
        <v>19</v>
      </c>
      <c r="AA3069" t="n">
        <v>20</v>
      </c>
      <c r="AB3069" t="n">
        <v>1</v>
      </c>
      <c r="AC3069" t="n">
        <v>1</v>
      </c>
      <c r="AD3069" t="n">
        <v>3</v>
      </c>
      <c r="AE3069" t="n">
        <v>3</v>
      </c>
      <c r="AF3069" t="n">
        <v>1</v>
      </c>
      <c r="AG3069" t="n">
        <v>1</v>
      </c>
      <c r="AH3069" t="n">
        <v>0</v>
      </c>
      <c r="AI3069" t="n">
        <v>0</v>
      </c>
      <c r="AJ3069" t="n">
        <v>2</v>
      </c>
      <c r="AK3069" t="n">
        <v>2</v>
      </c>
      <c r="AL3069" t="n">
        <v>0</v>
      </c>
      <c r="AM3069" t="n">
        <v>0</v>
      </c>
      <c r="AN3069" t="n">
        <v>0</v>
      </c>
      <c r="AO3069" t="n">
        <v>0</v>
      </c>
      <c r="AP3069" t="inlineStr">
        <is>
          <t>No</t>
        </is>
      </c>
      <c r="AQ3069" t="inlineStr">
        <is>
          <t>No</t>
        </is>
      </c>
      <c r="AS3069">
        <f>HYPERLINK("https://creighton-primo.hosted.exlibrisgroup.com/primo-explore/search?tab=default_tab&amp;search_scope=EVERYTHING&amp;vid=01CRU&amp;lang=en_US&amp;offset=0&amp;query=any,contains,991004294779702656","Catalog Record")</f>
        <v/>
      </c>
      <c r="AT3069">
        <f>HYPERLINK("http://www.worldcat.org/oclc/2962425","WorldCat Record")</f>
        <v/>
      </c>
      <c r="AU3069" t="inlineStr">
        <is>
          <t>1120122978:eng</t>
        </is>
      </c>
      <c r="AV3069" t="inlineStr">
        <is>
          <t>2962425</t>
        </is>
      </c>
      <c r="AW3069" t="inlineStr">
        <is>
          <t>991004294779702656</t>
        </is>
      </c>
      <c r="AX3069" t="inlineStr">
        <is>
          <t>991004294779702656</t>
        </is>
      </c>
      <c r="AY3069" t="inlineStr">
        <is>
          <t>2269688560002656</t>
        </is>
      </c>
      <c r="AZ3069" t="inlineStr">
        <is>
          <t>BOOK</t>
        </is>
      </c>
      <c r="BB3069" t="inlineStr">
        <is>
          <t>9780682484381</t>
        </is>
      </c>
      <c r="BC3069" t="inlineStr">
        <is>
          <t>32285001140457</t>
        </is>
      </c>
      <c r="BD3069" t="inlineStr">
        <is>
          <t>893788532</t>
        </is>
      </c>
    </row>
    <row r="3070">
      <c r="A3070" t="inlineStr">
        <is>
          <t>No</t>
        </is>
      </c>
      <c r="B3070" t="inlineStr">
        <is>
          <t>BX8763 .B9 1971</t>
        </is>
      </c>
      <c r="C3070" t="inlineStr">
        <is>
          <t>0                      BX 8763000B  9           1971</t>
        </is>
      </c>
      <c r="D3070" t="inlineStr">
        <is>
          <t>Threshold of God's promise : an introduction to the Catholic pentecostal movement / James Bryne.</t>
        </is>
      </c>
      <c r="F3070" t="inlineStr">
        <is>
          <t>No</t>
        </is>
      </c>
      <c r="G3070" t="inlineStr">
        <is>
          <t>1</t>
        </is>
      </c>
      <c r="H3070" t="inlineStr">
        <is>
          <t>No</t>
        </is>
      </c>
      <c r="I3070" t="inlineStr">
        <is>
          <t>No</t>
        </is>
      </c>
      <c r="J3070" t="inlineStr">
        <is>
          <t>0</t>
        </is>
      </c>
      <c r="K3070" t="inlineStr">
        <is>
          <t>Byrne, James.</t>
        </is>
      </c>
      <c r="L3070" t="inlineStr">
        <is>
          <t>Notre Dame, Ind. : Ave Maria Press, c1971, 1973 printing.</t>
        </is>
      </c>
      <c r="M3070" t="inlineStr">
        <is>
          <t>1971</t>
        </is>
      </c>
      <c r="N3070" t="inlineStr">
        <is>
          <t>[3d ed.]</t>
        </is>
      </c>
      <c r="O3070" t="inlineStr">
        <is>
          <t>eng</t>
        </is>
      </c>
      <c r="P3070" t="inlineStr">
        <is>
          <t>___</t>
        </is>
      </c>
      <c r="Q3070" t="inlineStr">
        <is>
          <t>A charismatic renewal book</t>
        </is>
      </c>
      <c r="R3070" t="inlineStr">
        <is>
          <t xml:space="preserve">BX </t>
        </is>
      </c>
      <c r="S3070" t="n">
        <v>6</v>
      </c>
      <c r="T3070" t="n">
        <v>6</v>
      </c>
      <c r="U3070" t="inlineStr">
        <is>
          <t>2002-04-24</t>
        </is>
      </c>
      <c r="V3070" t="inlineStr">
        <is>
          <t>2002-04-24</t>
        </is>
      </c>
      <c r="W3070" t="inlineStr">
        <is>
          <t>1992-05-22</t>
        </is>
      </c>
      <c r="X3070" t="inlineStr">
        <is>
          <t>1992-05-22</t>
        </is>
      </c>
      <c r="Y3070" t="n">
        <v>92</v>
      </c>
      <c r="Z3070" t="n">
        <v>82</v>
      </c>
      <c r="AA3070" t="n">
        <v>107</v>
      </c>
      <c r="AB3070" t="n">
        <v>1</v>
      </c>
      <c r="AC3070" t="n">
        <v>1</v>
      </c>
      <c r="AD3070" t="n">
        <v>8</v>
      </c>
      <c r="AE3070" t="n">
        <v>9</v>
      </c>
      <c r="AF3070" t="n">
        <v>2</v>
      </c>
      <c r="AG3070" t="n">
        <v>3</v>
      </c>
      <c r="AH3070" t="n">
        <v>3</v>
      </c>
      <c r="AI3070" t="n">
        <v>3</v>
      </c>
      <c r="AJ3070" t="n">
        <v>5</v>
      </c>
      <c r="AK3070" t="n">
        <v>6</v>
      </c>
      <c r="AL3070" t="n">
        <v>0</v>
      </c>
      <c r="AM3070" t="n">
        <v>0</v>
      </c>
      <c r="AN3070" t="n">
        <v>0</v>
      </c>
      <c r="AO3070" t="n">
        <v>0</v>
      </c>
      <c r="AP3070" t="inlineStr">
        <is>
          <t>No</t>
        </is>
      </c>
      <c r="AQ3070" t="inlineStr">
        <is>
          <t>No</t>
        </is>
      </c>
      <c r="AS3070">
        <f>HYPERLINK("https://creighton-primo.hosted.exlibrisgroup.com/primo-explore/search?tab=default_tab&amp;search_scope=EVERYTHING&amp;vid=01CRU&amp;lang=en_US&amp;offset=0&amp;query=any,contains,991003357549702656","Catalog Record")</f>
        <v/>
      </c>
      <c r="AT3070">
        <f>HYPERLINK("http://www.worldcat.org/oclc/891712","WorldCat Record")</f>
        <v/>
      </c>
      <c r="AU3070" t="inlineStr">
        <is>
          <t>1874857:eng</t>
        </is>
      </c>
      <c r="AV3070" t="inlineStr">
        <is>
          <t>891712</t>
        </is>
      </c>
      <c r="AW3070" t="inlineStr">
        <is>
          <t>991003357549702656</t>
        </is>
      </c>
      <c r="AX3070" t="inlineStr">
        <is>
          <t>991003357549702656</t>
        </is>
      </c>
      <c r="AY3070" t="inlineStr">
        <is>
          <t>2263231310002656</t>
        </is>
      </c>
      <c r="AZ3070" t="inlineStr">
        <is>
          <t>BOOK</t>
        </is>
      </c>
      <c r="BC3070" t="inlineStr">
        <is>
          <t>32285001140465</t>
        </is>
      </c>
      <c r="BD3070" t="inlineStr">
        <is>
          <t>893416308</t>
        </is>
      </c>
    </row>
    <row r="3071">
      <c r="A3071" t="inlineStr">
        <is>
          <t>No</t>
        </is>
      </c>
      <c r="B3071" t="inlineStr">
        <is>
          <t>BX8763 .F66 1970</t>
        </is>
      </c>
      <c r="C3071" t="inlineStr">
        <is>
          <t>0                      BX 8763000F  66          1970</t>
        </is>
      </c>
      <c r="D3071" t="inlineStr">
        <is>
          <t>The pentecostal experience / by J. Massingberd Ford.</t>
        </is>
      </c>
      <c r="F3071" t="inlineStr">
        <is>
          <t>No</t>
        </is>
      </c>
      <c r="G3071" t="inlineStr">
        <is>
          <t>1</t>
        </is>
      </c>
      <c r="H3071" t="inlineStr">
        <is>
          <t>No</t>
        </is>
      </c>
      <c r="I3071" t="inlineStr">
        <is>
          <t>No</t>
        </is>
      </c>
      <c r="J3071" t="inlineStr">
        <is>
          <t>0</t>
        </is>
      </c>
      <c r="K3071" t="inlineStr">
        <is>
          <t>Ford, J. Massyngberde (Josephine Massyngberde)</t>
        </is>
      </c>
      <c r="L3071" t="inlineStr">
        <is>
          <t>Paramus, N.J. : Paulist Press, [1970]</t>
        </is>
      </c>
      <c r="M3071" t="inlineStr">
        <is>
          <t>1970</t>
        </is>
      </c>
      <c r="O3071" t="inlineStr">
        <is>
          <t>eng</t>
        </is>
      </c>
      <c r="P3071" t="inlineStr">
        <is>
          <t>nju</t>
        </is>
      </c>
      <c r="R3071" t="inlineStr">
        <is>
          <t xml:space="preserve">BX </t>
        </is>
      </c>
      <c r="S3071" t="n">
        <v>5</v>
      </c>
      <c r="T3071" t="n">
        <v>5</v>
      </c>
      <c r="U3071" t="inlineStr">
        <is>
          <t>2002-04-24</t>
        </is>
      </c>
      <c r="V3071" t="inlineStr">
        <is>
          <t>2002-04-24</t>
        </is>
      </c>
      <c r="W3071" t="inlineStr">
        <is>
          <t>1992-05-22</t>
        </is>
      </c>
      <c r="X3071" t="inlineStr">
        <is>
          <t>1992-05-22</t>
        </is>
      </c>
      <c r="Y3071" t="n">
        <v>232</v>
      </c>
      <c r="Z3071" t="n">
        <v>205</v>
      </c>
      <c r="AA3071" t="n">
        <v>205</v>
      </c>
      <c r="AB3071" t="n">
        <v>3</v>
      </c>
      <c r="AC3071" t="n">
        <v>3</v>
      </c>
      <c r="AD3071" t="n">
        <v>19</v>
      </c>
      <c r="AE3071" t="n">
        <v>19</v>
      </c>
      <c r="AF3071" t="n">
        <v>6</v>
      </c>
      <c r="AG3071" t="n">
        <v>6</v>
      </c>
      <c r="AH3071" t="n">
        <v>3</v>
      </c>
      <c r="AI3071" t="n">
        <v>3</v>
      </c>
      <c r="AJ3071" t="n">
        <v>13</v>
      </c>
      <c r="AK3071" t="n">
        <v>13</v>
      </c>
      <c r="AL3071" t="n">
        <v>2</v>
      </c>
      <c r="AM3071" t="n">
        <v>2</v>
      </c>
      <c r="AN3071" t="n">
        <v>0</v>
      </c>
      <c r="AO3071" t="n">
        <v>0</v>
      </c>
      <c r="AP3071" t="inlineStr">
        <is>
          <t>No</t>
        </is>
      </c>
      <c r="AQ3071" t="inlineStr">
        <is>
          <t>No</t>
        </is>
      </c>
      <c r="AS3071">
        <f>HYPERLINK("https://creighton-primo.hosted.exlibrisgroup.com/primo-explore/search?tab=default_tab&amp;search_scope=EVERYTHING&amp;vid=01CRU&amp;lang=en_US&amp;offset=0&amp;query=any,contains,991000403579702656","Catalog Record")</f>
        <v/>
      </c>
      <c r="AT3071">
        <f>HYPERLINK("http://www.worldcat.org/oclc/73773","WorldCat Record")</f>
        <v/>
      </c>
      <c r="AU3071" t="inlineStr">
        <is>
          <t>1245281:eng</t>
        </is>
      </c>
      <c r="AV3071" t="inlineStr">
        <is>
          <t>73773</t>
        </is>
      </c>
      <c r="AW3071" t="inlineStr">
        <is>
          <t>991000403579702656</t>
        </is>
      </c>
      <c r="AX3071" t="inlineStr">
        <is>
          <t>991000403579702656</t>
        </is>
      </c>
      <c r="AY3071" t="inlineStr">
        <is>
          <t>2269985500002656</t>
        </is>
      </c>
      <c r="AZ3071" t="inlineStr">
        <is>
          <t>BOOK</t>
        </is>
      </c>
      <c r="BC3071" t="inlineStr">
        <is>
          <t>32285001140473</t>
        </is>
      </c>
      <c r="BD3071" t="inlineStr">
        <is>
          <t>893865318</t>
        </is>
      </c>
    </row>
    <row r="3072">
      <c r="A3072" t="inlineStr">
        <is>
          <t>No</t>
        </is>
      </c>
      <c r="B3072" t="inlineStr">
        <is>
          <t>BX8763 .M28</t>
        </is>
      </c>
      <c r="C3072" t="inlineStr">
        <is>
          <t>0                      BX 8763000M  28</t>
        </is>
      </c>
      <c r="D3072" t="inlineStr">
        <is>
          <t>Charismatic renewal and the churches / Kilian McDonnell.</t>
        </is>
      </c>
      <c r="F3072" t="inlineStr">
        <is>
          <t>No</t>
        </is>
      </c>
      <c r="G3072" t="inlineStr">
        <is>
          <t>1</t>
        </is>
      </c>
      <c r="H3072" t="inlineStr">
        <is>
          <t>No</t>
        </is>
      </c>
      <c r="I3072" t="inlineStr">
        <is>
          <t>No</t>
        </is>
      </c>
      <c r="J3072" t="inlineStr">
        <is>
          <t>0</t>
        </is>
      </c>
      <c r="K3072" t="inlineStr">
        <is>
          <t>McDonnell, Kilian.</t>
        </is>
      </c>
      <c r="L3072" t="inlineStr">
        <is>
          <t>New York : Seabury Press, c1976.</t>
        </is>
      </c>
      <c r="M3072" t="inlineStr">
        <is>
          <t>1976</t>
        </is>
      </c>
      <c r="O3072" t="inlineStr">
        <is>
          <t>eng</t>
        </is>
      </c>
      <c r="P3072" t="inlineStr">
        <is>
          <t>nyu</t>
        </is>
      </c>
      <c r="R3072" t="inlineStr">
        <is>
          <t xml:space="preserve">BX </t>
        </is>
      </c>
      <c r="S3072" t="n">
        <v>3</v>
      </c>
      <c r="T3072" t="n">
        <v>3</v>
      </c>
      <c r="U3072" t="inlineStr">
        <is>
          <t>1993-03-26</t>
        </is>
      </c>
      <c r="V3072" t="inlineStr">
        <is>
          <t>1993-03-26</t>
        </is>
      </c>
      <c r="W3072" t="inlineStr">
        <is>
          <t>1992-05-22</t>
        </is>
      </c>
      <c r="X3072" t="inlineStr">
        <is>
          <t>1992-05-22</t>
        </is>
      </c>
      <c r="Y3072" t="n">
        <v>618</v>
      </c>
      <c r="Z3072" t="n">
        <v>545</v>
      </c>
      <c r="AA3072" t="n">
        <v>548</v>
      </c>
      <c r="AB3072" t="n">
        <v>3</v>
      </c>
      <c r="AC3072" t="n">
        <v>3</v>
      </c>
      <c r="AD3072" t="n">
        <v>31</v>
      </c>
      <c r="AE3072" t="n">
        <v>31</v>
      </c>
      <c r="AF3072" t="n">
        <v>11</v>
      </c>
      <c r="AG3072" t="n">
        <v>11</v>
      </c>
      <c r="AH3072" t="n">
        <v>8</v>
      </c>
      <c r="AI3072" t="n">
        <v>8</v>
      </c>
      <c r="AJ3072" t="n">
        <v>21</v>
      </c>
      <c r="AK3072" t="n">
        <v>21</v>
      </c>
      <c r="AL3072" t="n">
        <v>2</v>
      </c>
      <c r="AM3072" t="n">
        <v>2</v>
      </c>
      <c r="AN3072" t="n">
        <v>0</v>
      </c>
      <c r="AO3072" t="n">
        <v>0</v>
      </c>
      <c r="AP3072" t="inlineStr">
        <is>
          <t>No</t>
        </is>
      </c>
      <c r="AQ3072" t="inlineStr">
        <is>
          <t>Yes</t>
        </is>
      </c>
      <c r="AR3072">
        <f>HYPERLINK("http://catalog.hathitrust.org/Record/102013791","HathiTrust Record")</f>
        <v/>
      </c>
      <c r="AS3072">
        <f>HYPERLINK("https://creighton-primo.hosted.exlibrisgroup.com/primo-explore/search?tab=default_tab&amp;search_scope=EVERYTHING&amp;vid=01CRU&amp;lang=en_US&amp;offset=0&amp;query=any,contains,991003976629702656","Catalog Record")</f>
        <v/>
      </c>
      <c r="AT3072">
        <f>HYPERLINK("http://www.worldcat.org/oclc/2005938","WorldCat Record")</f>
        <v/>
      </c>
      <c r="AU3072" t="inlineStr">
        <is>
          <t>2614184:eng</t>
        </is>
      </c>
      <c r="AV3072" t="inlineStr">
        <is>
          <t>2005938</t>
        </is>
      </c>
      <c r="AW3072" t="inlineStr">
        <is>
          <t>991003976629702656</t>
        </is>
      </c>
      <c r="AX3072" t="inlineStr">
        <is>
          <t>991003976629702656</t>
        </is>
      </c>
      <c r="AY3072" t="inlineStr">
        <is>
          <t>2261974040002656</t>
        </is>
      </c>
      <c r="AZ3072" t="inlineStr">
        <is>
          <t>BOOK</t>
        </is>
      </c>
      <c r="BB3072" t="inlineStr">
        <is>
          <t>9780816402939</t>
        </is>
      </c>
      <c r="BC3072" t="inlineStr">
        <is>
          <t>32285001140507</t>
        </is>
      </c>
      <c r="BD3072" t="inlineStr">
        <is>
          <t>893240863</t>
        </is>
      </c>
    </row>
    <row r="3073">
      <c r="A3073" t="inlineStr">
        <is>
          <t>No</t>
        </is>
      </c>
      <c r="B3073" t="inlineStr">
        <is>
          <t>BX8763 .O25 1974</t>
        </is>
      </c>
      <c r="C3073" t="inlineStr">
        <is>
          <t>0                      BX 8763000O  25          1974</t>
        </is>
      </c>
      <c r="D3073" t="inlineStr">
        <is>
          <t>The pentecostal movement in the Catholic Church / by Edward D. O'Connor.</t>
        </is>
      </c>
      <c r="F3073" t="inlineStr">
        <is>
          <t>No</t>
        </is>
      </c>
      <c r="G3073" t="inlineStr">
        <is>
          <t>1</t>
        </is>
      </c>
      <c r="H3073" t="inlineStr">
        <is>
          <t>No</t>
        </is>
      </c>
      <c r="I3073" t="inlineStr">
        <is>
          <t>No</t>
        </is>
      </c>
      <c r="J3073" t="inlineStr">
        <is>
          <t>0</t>
        </is>
      </c>
      <c r="K3073" t="inlineStr">
        <is>
          <t>O'Connor, Edward D. (Edward Dennis)</t>
        </is>
      </c>
      <c r="L3073" t="inlineStr">
        <is>
          <t>Notre Dame, Ind. : Ave Maria Press, 1974, c1971.</t>
        </is>
      </c>
      <c r="M3073" t="inlineStr">
        <is>
          <t>1974</t>
        </is>
      </c>
      <c r="N3073" t="inlineStr">
        <is>
          <t>Rev. ed.</t>
        </is>
      </c>
      <c r="O3073" t="inlineStr">
        <is>
          <t>eng</t>
        </is>
      </c>
      <c r="P3073" t="inlineStr">
        <is>
          <t>inu</t>
        </is>
      </c>
      <c r="R3073" t="inlineStr">
        <is>
          <t xml:space="preserve">BX </t>
        </is>
      </c>
      <c r="S3073" t="n">
        <v>5</v>
      </c>
      <c r="T3073" t="n">
        <v>5</v>
      </c>
      <c r="U3073" t="inlineStr">
        <is>
          <t>2002-04-24</t>
        </is>
      </c>
      <c r="V3073" t="inlineStr">
        <is>
          <t>2002-04-24</t>
        </is>
      </c>
      <c r="W3073" t="inlineStr">
        <is>
          <t>1992-05-22</t>
        </is>
      </c>
      <c r="X3073" t="inlineStr">
        <is>
          <t>1992-05-22</t>
        </is>
      </c>
      <c r="Y3073" t="n">
        <v>31</v>
      </c>
      <c r="Z3073" t="n">
        <v>22</v>
      </c>
      <c r="AA3073" t="n">
        <v>462</v>
      </c>
      <c r="AB3073" t="n">
        <v>1</v>
      </c>
      <c r="AC3073" t="n">
        <v>5</v>
      </c>
      <c r="AD3073" t="n">
        <v>1</v>
      </c>
      <c r="AE3073" t="n">
        <v>33</v>
      </c>
      <c r="AF3073" t="n">
        <v>0</v>
      </c>
      <c r="AG3073" t="n">
        <v>10</v>
      </c>
      <c r="AH3073" t="n">
        <v>1</v>
      </c>
      <c r="AI3073" t="n">
        <v>8</v>
      </c>
      <c r="AJ3073" t="n">
        <v>0</v>
      </c>
      <c r="AK3073" t="n">
        <v>23</v>
      </c>
      <c r="AL3073" t="n">
        <v>0</v>
      </c>
      <c r="AM3073" t="n">
        <v>3</v>
      </c>
      <c r="AN3073" t="n">
        <v>0</v>
      </c>
      <c r="AO3073" t="n">
        <v>0</v>
      </c>
      <c r="AP3073" t="inlineStr">
        <is>
          <t>No</t>
        </is>
      </c>
      <c r="AQ3073" t="inlineStr">
        <is>
          <t>Yes</t>
        </is>
      </c>
      <c r="AR3073">
        <f>HYPERLINK("http://catalog.hathitrust.org/Record/006016910","HathiTrust Record")</f>
        <v/>
      </c>
      <c r="AS3073">
        <f>HYPERLINK("https://creighton-primo.hosted.exlibrisgroup.com/primo-explore/search?tab=default_tab&amp;search_scope=EVERYTHING&amp;vid=01CRU&amp;lang=en_US&amp;offset=0&amp;query=any,contains,991004099059702656","Catalog Record")</f>
        <v/>
      </c>
      <c r="AT3073">
        <f>HYPERLINK("http://www.worldcat.org/oclc/2368204","WorldCat Record")</f>
        <v/>
      </c>
      <c r="AU3073" t="inlineStr">
        <is>
          <t>1303082:eng</t>
        </is>
      </c>
      <c r="AV3073" t="inlineStr">
        <is>
          <t>2368204</t>
        </is>
      </c>
      <c r="AW3073" t="inlineStr">
        <is>
          <t>991004099059702656</t>
        </is>
      </c>
      <c r="AX3073" t="inlineStr">
        <is>
          <t>991004099059702656</t>
        </is>
      </c>
      <c r="AY3073" t="inlineStr">
        <is>
          <t>2266652970002656</t>
        </is>
      </c>
      <c r="AZ3073" t="inlineStr">
        <is>
          <t>BOOK</t>
        </is>
      </c>
      <c r="BB3073" t="inlineStr">
        <is>
          <t>9780087793347</t>
        </is>
      </c>
      <c r="BC3073" t="inlineStr">
        <is>
          <t>32285001140515</t>
        </is>
      </c>
      <c r="BD3073" t="inlineStr">
        <is>
          <t>893900792</t>
        </is>
      </c>
    </row>
    <row r="3074">
      <c r="A3074" t="inlineStr">
        <is>
          <t>No</t>
        </is>
      </c>
      <c r="B3074" t="inlineStr">
        <is>
          <t>BX8763 .R3</t>
        </is>
      </c>
      <c r="C3074" t="inlineStr">
        <is>
          <t>0                      BX 8763000R  3</t>
        </is>
      </c>
      <c r="D3074" t="inlineStr">
        <is>
          <t>Catholic pentecostals / by Kevin and Dorothy Ranaghan.</t>
        </is>
      </c>
      <c r="F3074" t="inlineStr">
        <is>
          <t>No</t>
        </is>
      </c>
      <c r="G3074" t="inlineStr">
        <is>
          <t>1</t>
        </is>
      </c>
      <c r="H3074" t="inlineStr">
        <is>
          <t>No</t>
        </is>
      </c>
      <c r="I3074" t="inlineStr">
        <is>
          <t>No</t>
        </is>
      </c>
      <c r="J3074" t="inlineStr">
        <is>
          <t>0</t>
        </is>
      </c>
      <c r="K3074" t="inlineStr">
        <is>
          <t>Ranaghan, Kevin.</t>
        </is>
      </c>
      <c r="L3074" t="inlineStr">
        <is>
          <t>Paramus, N.J. : Paulist Press, [1969]</t>
        </is>
      </c>
      <c r="M3074" t="inlineStr">
        <is>
          <t>1969</t>
        </is>
      </c>
      <c r="O3074" t="inlineStr">
        <is>
          <t>eng</t>
        </is>
      </c>
      <c r="P3074" t="inlineStr">
        <is>
          <t>nju</t>
        </is>
      </c>
      <c r="Q3074" t="inlineStr">
        <is>
          <t>Deus books</t>
        </is>
      </c>
      <c r="R3074" t="inlineStr">
        <is>
          <t xml:space="preserve">BX </t>
        </is>
      </c>
      <c r="S3074" t="n">
        <v>6</v>
      </c>
      <c r="T3074" t="n">
        <v>6</v>
      </c>
      <c r="U3074" t="inlineStr">
        <is>
          <t>2002-04-24</t>
        </is>
      </c>
      <c r="V3074" t="inlineStr">
        <is>
          <t>2002-04-24</t>
        </is>
      </c>
      <c r="W3074" t="inlineStr">
        <is>
          <t>1992-05-22</t>
        </is>
      </c>
      <c r="X3074" t="inlineStr">
        <is>
          <t>1992-05-22</t>
        </is>
      </c>
      <c r="Y3074" t="n">
        <v>489</v>
      </c>
      <c r="Z3074" t="n">
        <v>407</v>
      </c>
      <c r="AA3074" t="n">
        <v>414</v>
      </c>
      <c r="AB3074" t="n">
        <v>7</v>
      </c>
      <c r="AC3074" t="n">
        <v>7</v>
      </c>
      <c r="AD3074" t="n">
        <v>30</v>
      </c>
      <c r="AE3074" t="n">
        <v>30</v>
      </c>
      <c r="AF3074" t="n">
        <v>7</v>
      </c>
      <c r="AG3074" t="n">
        <v>7</v>
      </c>
      <c r="AH3074" t="n">
        <v>7</v>
      </c>
      <c r="AI3074" t="n">
        <v>7</v>
      </c>
      <c r="AJ3074" t="n">
        <v>20</v>
      </c>
      <c r="AK3074" t="n">
        <v>20</v>
      </c>
      <c r="AL3074" t="n">
        <v>5</v>
      </c>
      <c r="AM3074" t="n">
        <v>5</v>
      </c>
      <c r="AN3074" t="n">
        <v>0</v>
      </c>
      <c r="AO3074" t="n">
        <v>0</v>
      </c>
      <c r="AP3074" t="inlineStr">
        <is>
          <t>No</t>
        </is>
      </c>
      <c r="AQ3074" t="inlineStr">
        <is>
          <t>Yes</t>
        </is>
      </c>
      <c r="AR3074">
        <f>HYPERLINK("http://catalog.hathitrust.org/Record/011808549","HathiTrust Record")</f>
        <v/>
      </c>
      <c r="AS3074">
        <f>HYPERLINK("https://creighton-primo.hosted.exlibrisgroup.com/primo-explore/search?tab=default_tab&amp;search_scope=EVERYTHING&amp;vid=01CRU&amp;lang=en_US&amp;offset=0&amp;query=any,contains,991000013999702656","Catalog Record")</f>
        <v/>
      </c>
      <c r="AT3074">
        <f>HYPERLINK("http://www.worldcat.org/oclc/16162","WorldCat Record")</f>
        <v/>
      </c>
      <c r="AU3074" t="inlineStr">
        <is>
          <t>4494887107:eng</t>
        </is>
      </c>
      <c r="AV3074" t="inlineStr">
        <is>
          <t>16162</t>
        </is>
      </c>
      <c r="AW3074" t="inlineStr">
        <is>
          <t>991000013999702656</t>
        </is>
      </c>
      <c r="AX3074" t="inlineStr">
        <is>
          <t>991000013999702656</t>
        </is>
      </c>
      <c r="AY3074" t="inlineStr">
        <is>
          <t>2271576390002656</t>
        </is>
      </c>
      <c r="AZ3074" t="inlineStr">
        <is>
          <t>BOOK</t>
        </is>
      </c>
      <c r="BC3074" t="inlineStr">
        <is>
          <t>32285001140523</t>
        </is>
      </c>
      <c r="BD3074" t="inlineStr">
        <is>
          <t>893864993</t>
        </is>
      </c>
    </row>
    <row r="3075">
      <c r="A3075" t="inlineStr">
        <is>
          <t>No</t>
        </is>
      </c>
      <c r="B3075" t="inlineStr">
        <is>
          <t>BX8766.Z6 P378 1985</t>
        </is>
      </c>
      <c r="C3075" t="inlineStr">
        <is>
          <t>0                      BX 8766000Z  6                  P  378         1985</t>
        </is>
      </c>
      <c r="D3075" t="inlineStr">
        <is>
          <t>The sermons of Charles F. Parham.</t>
        </is>
      </c>
      <c r="F3075" t="inlineStr">
        <is>
          <t>No</t>
        </is>
      </c>
      <c r="G3075" t="inlineStr">
        <is>
          <t>1</t>
        </is>
      </c>
      <c r="H3075" t="inlineStr">
        <is>
          <t>No</t>
        </is>
      </c>
      <c r="I3075" t="inlineStr">
        <is>
          <t>No</t>
        </is>
      </c>
      <c r="J3075" t="inlineStr">
        <is>
          <t>0</t>
        </is>
      </c>
      <c r="K3075" t="inlineStr">
        <is>
          <t>Parham, Charles F.</t>
        </is>
      </c>
      <c r="L3075" t="inlineStr">
        <is>
          <t>New York : Garland Pub., 1985.</t>
        </is>
      </c>
      <c r="M3075" t="inlineStr">
        <is>
          <t>1985</t>
        </is>
      </c>
      <c r="O3075" t="inlineStr">
        <is>
          <t>eng</t>
        </is>
      </c>
      <c r="P3075" t="inlineStr">
        <is>
          <t>nyu</t>
        </is>
      </c>
      <c r="Q3075" t="inlineStr">
        <is>
          <t>The Higher Christian life</t>
        </is>
      </c>
      <c r="R3075" t="inlineStr">
        <is>
          <t xml:space="preserve">BX </t>
        </is>
      </c>
      <c r="S3075" t="n">
        <v>7</v>
      </c>
      <c r="T3075" t="n">
        <v>7</v>
      </c>
      <c r="U3075" t="inlineStr">
        <is>
          <t>2004-01-22</t>
        </is>
      </c>
      <c r="V3075" t="inlineStr">
        <is>
          <t>2004-01-22</t>
        </is>
      </c>
      <c r="W3075" t="inlineStr">
        <is>
          <t>1992-03-06</t>
        </is>
      </c>
      <c r="X3075" t="inlineStr">
        <is>
          <t>1992-03-06</t>
        </is>
      </c>
      <c r="Y3075" t="n">
        <v>136</v>
      </c>
      <c r="Z3075" t="n">
        <v>126</v>
      </c>
      <c r="AA3075" t="n">
        <v>153</v>
      </c>
      <c r="AB3075" t="n">
        <v>1</v>
      </c>
      <c r="AC3075" t="n">
        <v>1</v>
      </c>
      <c r="AD3075" t="n">
        <v>4</v>
      </c>
      <c r="AE3075" t="n">
        <v>4</v>
      </c>
      <c r="AF3075" t="n">
        <v>2</v>
      </c>
      <c r="AG3075" t="n">
        <v>2</v>
      </c>
      <c r="AH3075" t="n">
        <v>1</v>
      </c>
      <c r="AI3075" t="n">
        <v>1</v>
      </c>
      <c r="AJ3075" t="n">
        <v>1</v>
      </c>
      <c r="AK3075" t="n">
        <v>1</v>
      </c>
      <c r="AL3075" t="n">
        <v>0</v>
      </c>
      <c r="AM3075" t="n">
        <v>0</v>
      </c>
      <c r="AN3075" t="n">
        <v>0</v>
      </c>
      <c r="AO3075" t="n">
        <v>0</v>
      </c>
      <c r="AP3075" t="inlineStr">
        <is>
          <t>No</t>
        </is>
      </c>
      <c r="AQ3075" t="inlineStr">
        <is>
          <t>Yes</t>
        </is>
      </c>
      <c r="AR3075">
        <f>HYPERLINK("http://catalog.hathitrust.org/Record/101667542","HathiTrust Record")</f>
        <v/>
      </c>
      <c r="AS3075">
        <f>HYPERLINK("https://creighton-primo.hosted.exlibrisgroup.com/primo-explore/search?tab=default_tab&amp;search_scope=EVERYTHING&amp;vid=01CRU&amp;lang=en_US&amp;offset=0&amp;query=any,contains,991000559299702656","Catalog Record")</f>
        <v/>
      </c>
      <c r="AT3075">
        <f>HYPERLINK("http://www.worldcat.org/oclc/11574430","WorldCat Record")</f>
        <v/>
      </c>
      <c r="AU3075" t="inlineStr">
        <is>
          <t>372270233:eng</t>
        </is>
      </c>
      <c r="AV3075" t="inlineStr">
        <is>
          <t>11574430</t>
        </is>
      </c>
      <c r="AW3075" t="inlineStr">
        <is>
          <t>991000559299702656</t>
        </is>
      </c>
      <c r="AX3075" t="inlineStr">
        <is>
          <t>991000559299702656</t>
        </is>
      </c>
      <c r="AY3075" t="inlineStr">
        <is>
          <t>2265158510002656</t>
        </is>
      </c>
      <c r="AZ3075" t="inlineStr">
        <is>
          <t>BOOK</t>
        </is>
      </c>
      <c r="BB3075" t="inlineStr">
        <is>
          <t>9780824064136</t>
        </is>
      </c>
      <c r="BC3075" t="inlineStr">
        <is>
          <t>32285000937796</t>
        </is>
      </c>
      <c r="BD3075" t="inlineStr">
        <is>
          <t>893714692</t>
        </is>
      </c>
    </row>
    <row r="3076">
      <c r="A3076" t="inlineStr">
        <is>
          <t>No</t>
        </is>
      </c>
      <c r="B3076" t="inlineStr">
        <is>
          <t>BX880 .C26 1970</t>
        </is>
      </c>
      <c r="C3076" t="inlineStr">
        <is>
          <t>0                      BX 0880000C  26          1970</t>
        </is>
      </c>
      <c r="D3076" t="inlineStr">
        <is>
          <t>Modern Catholic thinkers; an anthology. Edited, with a pref., by Aloysius Robert Caponigri. Introd. by Martin Cyril D'Arcy.</t>
        </is>
      </c>
      <c r="F3076" t="inlineStr">
        <is>
          <t>No</t>
        </is>
      </c>
      <c r="G3076" t="inlineStr">
        <is>
          <t>1</t>
        </is>
      </c>
      <c r="H3076" t="inlineStr">
        <is>
          <t>No</t>
        </is>
      </c>
      <c r="I3076" t="inlineStr">
        <is>
          <t>No</t>
        </is>
      </c>
      <c r="J3076" t="inlineStr">
        <is>
          <t>0</t>
        </is>
      </c>
      <c r="K3076" t="inlineStr">
        <is>
          <t>Caponigri, A. Robert (Aloysius Robert), 1915-1983 editor.</t>
        </is>
      </c>
      <c r="L3076" t="inlineStr">
        <is>
          <t>Freeport, N.Y., Books for Libraries Press [1970, c1960]</t>
        </is>
      </c>
      <c r="M3076" t="inlineStr">
        <is>
          <t>1970</t>
        </is>
      </c>
      <c r="O3076" t="inlineStr">
        <is>
          <t>eng</t>
        </is>
      </c>
      <c r="P3076" t="inlineStr">
        <is>
          <t>nyu</t>
        </is>
      </c>
      <c r="Q3076" t="inlineStr">
        <is>
          <t>Essay index reprint series</t>
        </is>
      </c>
      <c r="R3076" t="inlineStr">
        <is>
          <t xml:space="preserve">BX </t>
        </is>
      </c>
      <c r="S3076" t="n">
        <v>1</v>
      </c>
      <c r="T3076" t="n">
        <v>1</v>
      </c>
      <c r="U3076" t="inlineStr">
        <is>
          <t>1992-09-10</t>
        </is>
      </c>
      <c r="V3076" t="inlineStr">
        <is>
          <t>1992-09-10</t>
        </is>
      </c>
      <c r="W3076" t="inlineStr">
        <is>
          <t>1990-04-12</t>
        </is>
      </c>
      <c r="X3076" t="inlineStr">
        <is>
          <t>1990-04-12</t>
        </is>
      </c>
      <c r="Y3076" t="n">
        <v>152</v>
      </c>
      <c r="Z3076" t="n">
        <v>143</v>
      </c>
      <c r="AA3076" t="n">
        <v>691</v>
      </c>
      <c r="AB3076" t="n">
        <v>2</v>
      </c>
      <c r="AC3076" t="n">
        <v>6</v>
      </c>
      <c r="AD3076" t="n">
        <v>3</v>
      </c>
      <c r="AE3076" t="n">
        <v>44</v>
      </c>
      <c r="AF3076" t="n">
        <v>2</v>
      </c>
      <c r="AG3076" t="n">
        <v>18</v>
      </c>
      <c r="AH3076" t="n">
        <v>0</v>
      </c>
      <c r="AI3076" t="n">
        <v>9</v>
      </c>
      <c r="AJ3076" t="n">
        <v>0</v>
      </c>
      <c r="AK3076" t="n">
        <v>27</v>
      </c>
      <c r="AL3076" t="n">
        <v>1</v>
      </c>
      <c r="AM3076" t="n">
        <v>3</v>
      </c>
      <c r="AN3076" t="n">
        <v>0</v>
      </c>
      <c r="AO3076" t="n">
        <v>0</v>
      </c>
      <c r="AP3076" t="inlineStr">
        <is>
          <t>No</t>
        </is>
      </c>
      <c r="AQ3076" t="inlineStr">
        <is>
          <t>No</t>
        </is>
      </c>
      <c r="AS3076">
        <f>HYPERLINK("https://creighton-primo.hosted.exlibrisgroup.com/primo-explore/search?tab=default_tab&amp;search_scope=EVERYTHING&amp;vid=01CRU&amp;lang=en_US&amp;offset=0&amp;query=any,contains,991000599979702656","Catalog Record")</f>
        <v/>
      </c>
      <c r="AT3076">
        <f>HYPERLINK("http://www.worldcat.org/oclc/98284","WorldCat Record")</f>
        <v/>
      </c>
      <c r="AU3076" t="inlineStr">
        <is>
          <t>2863416262:eng</t>
        </is>
      </c>
      <c r="AV3076" t="inlineStr">
        <is>
          <t>98284</t>
        </is>
      </c>
      <c r="AW3076" t="inlineStr">
        <is>
          <t>991000599979702656</t>
        </is>
      </c>
      <c r="AX3076" t="inlineStr">
        <is>
          <t>991000599979702656</t>
        </is>
      </c>
      <c r="AY3076" t="inlineStr">
        <is>
          <t>2272184480002656</t>
        </is>
      </c>
      <c r="AZ3076" t="inlineStr">
        <is>
          <t>BOOK</t>
        </is>
      </c>
      <c r="BB3076" t="inlineStr">
        <is>
          <t>9780836917871</t>
        </is>
      </c>
      <c r="BC3076" t="inlineStr">
        <is>
          <t>32285000113851</t>
        </is>
      </c>
      <c r="BD3076" t="inlineStr">
        <is>
          <t>893790672</t>
        </is>
      </c>
    </row>
    <row r="3077">
      <c r="A3077" t="inlineStr">
        <is>
          <t>No</t>
        </is>
      </c>
      <c r="B3077" t="inlineStr">
        <is>
          <t>BX880 .C28</t>
        </is>
      </c>
      <c r="C3077" t="inlineStr">
        <is>
          <t>0                      BX 0880000C  28</t>
        </is>
      </c>
      <c r="D3077" t="inlineStr">
        <is>
          <t>Catholic digest reader / selected by the editors.</t>
        </is>
      </c>
      <c r="F3077" t="inlineStr">
        <is>
          <t>No</t>
        </is>
      </c>
      <c r="G3077" t="inlineStr">
        <is>
          <t>1</t>
        </is>
      </c>
      <c r="H3077" t="inlineStr">
        <is>
          <t>No</t>
        </is>
      </c>
      <c r="I3077" t="inlineStr">
        <is>
          <t>No</t>
        </is>
      </c>
      <c r="J3077" t="inlineStr">
        <is>
          <t>0</t>
        </is>
      </c>
      <c r="K3077" t="inlineStr">
        <is>
          <t>Catholic digest.</t>
        </is>
      </c>
      <c r="L3077" t="inlineStr">
        <is>
          <t>Garden City, N.Y. : Doubleday, 1952.</t>
        </is>
      </c>
      <c r="M3077" t="inlineStr">
        <is>
          <t>1952</t>
        </is>
      </c>
      <c r="N3077" t="inlineStr">
        <is>
          <t>[1st ed.]</t>
        </is>
      </c>
      <c r="O3077" t="inlineStr">
        <is>
          <t>eng</t>
        </is>
      </c>
      <c r="P3077" t="inlineStr">
        <is>
          <t>___</t>
        </is>
      </c>
      <c r="R3077" t="inlineStr">
        <is>
          <t xml:space="preserve">BX </t>
        </is>
      </c>
      <c r="S3077" t="n">
        <v>2</v>
      </c>
      <c r="T3077" t="n">
        <v>2</v>
      </c>
      <c r="U3077" t="inlineStr">
        <is>
          <t>1994-09-25</t>
        </is>
      </c>
      <c r="V3077" t="inlineStr">
        <is>
          <t>1994-09-25</t>
        </is>
      </c>
      <c r="W3077" t="inlineStr">
        <is>
          <t>1992-05-01</t>
        </is>
      </c>
      <c r="X3077" t="inlineStr">
        <is>
          <t>1992-05-01</t>
        </is>
      </c>
      <c r="Y3077" t="n">
        <v>123</v>
      </c>
      <c r="Z3077" t="n">
        <v>114</v>
      </c>
      <c r="AA3077" t="n">
        <v>114</v>
      </c>
      <c r="AB3077" t="n">
        <v>2</v>
      </c>
      <c r="AC3077" t="n">
        <v>2</v>
      </c>
      <c r="AD3077" t="n">
        <v>17</v>
      </c>
      <c r="AE3077" t="n">
        <v>17</v>
      </c>
      <c r="AF3077" t="n">
        <v>5</v>
      </c>
      <c r="AG3077" t="n">
        <v>5</v>
      </c>
      <c r="AH3077" t="n">
        <v>4</v>
      </c>
      <c r="AI3077" t="n">
        <v>4</v>
      </c>
      <c r="AJ3077" t="n">
        <v>14</v>
      </c>
      <c r="AK3077" t="n">
        <v>14</v>
      </c>
      <c r="AL3077" t="n">
        <v>0</v>
      </c>
      <c r="AM3077" t="n">
        <v>0</v>
      </c>
      <c r="AN3077" t="n">
        <v>0</v>
      </c>
      <c r="AO3077" t="n">
        <v>0</v>
      </c>
      <c r="AP3077" t="inlineStr">
        <is>
          <t>No</t>
        </is>
      </c>
      <c r="AQ3077" t="inlineStr">
        <is>
          <t>No</t>
        </is>
      </c>
      <c r="AS3077">
        <f>HYPERLINK("https://creighton-primo.hosted.exlibrisgroup.com/primo-explore/search?tab=default_tab&amp;search_scope=EVERYTHING&amp;vid=01CRU&amp;lang=en_US&amp;offset=0&amp;query=any,contains,991002747309702656","Catalog Record")</f>
        <v/>
      </c>
      <c r="AT3077">
        <f>HYPERLINK("http://www.worldcat.org/oclc/423292","WorldCat Record")</f>
        <v/>
      </c>
      <c r="AU3077" t="inlineStr">
        <is>
          <t>1136004860:eng</t>
        </is>
      </c>
      <c r="AV3077" t="inlineStr">
        <is>
          <t>423292</t>
        </is>
      </c>
      <c r="AW3077" t="inlineStr">
        <is>
          <t>991002747309702656</t>
        </is>
      </c>
      <c r="AX3077" t="inlineStr">
        <is>
          <t>991002747309702656</t>
        </is>
      </c>
      <c r="AY3077" t="inlineStr">
        <is>
          <t>2266606380002656</t>
        </is>
      </c>
      <c r="AZ3077" t="inlineStr">
        <is>
          <t>BOOK</t>
        </is>
      </c>
      <c r="BC3077" t="inlineStr">
        <is>
          <t>32285001080570</t>
        </is>
      </c>
      <c r="BD3077" t="inlineStr">
        <is>
          <t>893511142</t>
        </is>
      </c>
    </row>
    <row r="3078">
      <c r="A3078" t="inlineStr">
        <is>
          <t>No</t>
        </is>
      </c>
      <c r="B3078" t="inlineStr">
        <is>
          <t>BX885 .A58 1966</t>
        </is>
      </c>
      <c r="C3078" t="inlineStr">
        <is>
          <t>0                      BX 0885000A  58          1966</t>
        </is>
      </c>
      <c r="D3078" t="inlineStr">
        <is>
          <t>American Catholic horizons, edited by Eugene K. Culhane.</t>
        </is>
      </c>
      <c r="F3078" t="inlineStr">
        <is>
          <t>No</t>
        </is>
      </c>
      <c r="G3078" t="inlineStr">
        <is>
          <t>1</t>
        </is>
      </c>
      <c r="H3078" t="inlineStr">
        <is>
          <t>No</t>
        </is>
      </c>
      <c r="I3078" t="inlineStr">
        <is>
          <t>No</t>
        </is>
      </c>
      <c r="J3078" t="inlineStr">
        <is>
          <t>0</t>
        </is>
      </c>
      <c r="K3078" t="inlineStr">
        <is>
          <t>America (New York, N.Y. : 1909)</t>
        </is>
      </c>
      <c r="L3078" t="inlineStr">
        <is>
          <t>Garden City, N. Y., Doubleday, 1966.</t>
        </is>
      </c>
      <c r="M3078" t="inlineStr">
        <is>
          <t>1966</t>
        </is>
      </c>
      <c r="O3078" t="inlineStr">
        <is>
          <t>eng</t>
        </is>
      </c>
      <c r="P3078" t="inlineStr">
        <is>
          <t>___</t>
        </is>
      </c>
      <c r="R3078" t="inlineStr">
        <is>
          <t xml:space="preserve">BX </t>
        </is>
      </c>
      <c r="S3078" t="n">
        <v>2</v>
      </c>
      <c r="T3078" t="n">
        <v>2</v>
      </c>
      <c r="U3078" t="inlineStr">
        <is>
          <t>1995-01-06</t>
        </is>
      </c>
      <c r="V3078" t="inlineStr">
        <is>
          <t>1995-01-06</t>
        </is>
      </c>
      <c r="W3078" t="inlineStr">
        <is>
          <t>1992-05-06</t>
        </is>
      </c>
      <c r="X3078" t="inlineStr">
        <is>
          <t>1992-05-06</t>
        </is>
      </c>
      <c r="Y3078" t="n">
        <v>206</v>
      </c>
      <c r="Z3078" t="n">
        <v>193</v>
      </c>
      <c r="AA3078" t="n">
        <v>200</v>
      </c>
      <c r="AB3078" t="n">
        <v>3</v>
      </c>
      <c r="AC3078" t="n">
        <v>3</v>
      </c>
      <c r="AD3078" t="n">
        <v>25</v>
      </c>
      <c r="AE3078" t="n">
        <v>25</v>
      </c>
      <c r="AF3078" t="n">
        <v>9</v>
      </c>
      <c r="AG3078" t="n">
        <v>9</v>
      </c>
      <c r="AH3078" t="n">
        <v>5</v>
      </c>
      <c r="AI3078" t="n">
        <v>5</v>
      </c>
      <c r="AJ3078" t="n">
        <v>21</v>
      </c>
      <c r="AK3078" t="n">
        <v>21</v>
      </c>
      <c r="AL3078" t="n">
        <v>0</v>
      </c>
      <c r="AM3078" t="n">
        <v>0</v>
      </c>
      <c r="AN3078" t="n">
        <v>0</v>
      </c>
      <c r="AO3078" t="n">
        <v>0</v>
      </c>
      <c r="AP3078" t="inlineStr">
        <is>
          <t>No</t>
        </is>
      </c>
      <c r="AQ3078" t="inlineStr">
        <is>
          <t>Yes</t>
        </is>
      </c>
      <c r="AR3078">
        <f>HYPERLINK("http://catalog.hathitrust.org/Record/011239150","HathiTrust Record")</f>
        <v/>
      </c>
      <c r="AS3078">
        <f>HYPERLINK("https://creighton-primo.hosted.exlibrisgroup.com/primo-explore/search?tab=default_tab&amp;search_scope=EVERYTHING&amp;vid=01CRU&amp;lang=en_US&amp;offset=0&amp;query=any,contains,991002229189702656","Catalog Record")</f>
        <v/>
      </c>
      <c r="AT3078">
        <f>HYPERLINK("http://www.worldcat.org/oclc/293367","WorldCat Record")</f>
        <v/>
      </c>
      <c r="AU3078" t="inlineStr">
        <is>
          <t>54185101:eng</t>
        </is>
      </c>
      <c r="AV3078" t="inlineStr">
        <is>
          <t>293367</t>
        </is>
      </c>
      <c r="AW3078" t="inlineStr">
        <is>
          <t>991002229189702656</t>
        </is>
      </c>
      <c r="AX3078" t="inlineStr">
        <is>
          <t>991002229189702656</t>
        </is>
      </c>
      <c r="AY3078" t="inlineStr">
        <is>
          <t>2266663090002656</t>
        </is>
      </c>
      <c r="AZ3078" t="inlineStr">
        <is>
          <t>BOOK</t>
        </is>
      </c>
      <c r="BC3078" t="inlineStr">
        <is>
          <t>32285001080810</t>
        </is>
      </c>
      <c r="BD3078" t="inlineStr">
        <is>
          <t>893804374</t>
        </is>
      </c>
    </row>
    <row r="3079">
      <c r="A3079" t="inlineStr">
        <is>
          <t>No</t>
        </is>
      </c>
      <c r="B3079" t="inlineStr">
        <is>
          <t>BX885 .C45 1928b</t>
        </is>
      </c>
      <c r="C3079" t="inlineStr">
        <is>
          <t>0                      BX 0885000C  45          1928b</t>
        </is>
      </c>
      <c r="D3079" t="inlineStr">
        <is>
          <t>The Church : papers from the Summer School of Catholic Studies held at Cambridge, August 6-15, 1927 / edited by the Rev C. Lattey.</t>
        </is>
      </c>
      <c r="F3079" t="inlineStr">
        <is>
          <t>No</t>
        </is>
      </c>
      <c r="G3079" t="inlineStr">
        <is>
          <t>1</t>
        </is>
      </c>
      <c r="H3079" t="inlineStr">
        <is>
          <t>No</t>
        </is>
      </c>
      <c r="I3079" t="inlineStr">
        <is>
          <t>No</t>
        </is>
      </c>
      <c r="J3079" t="inlineStr">
        <is>
          <t>0</t>
        </is>
      </c>
      <c r="K3079" t="inlineStr">
        <is>
          <t>Lattey, C. (Cuthbert), 1877-1954.</t>
        </is>
      </c>
      <c r="L3079" t="inlineStr">
        <is>
          <t>London : Burns, Oates &amp; Washbourne, [1928].</t>
        </is>
      </c>
      <c r="M3079" t="inlineStr">
        <is>
          <t>1928</t>
        </is>
      </c>
      <c r="O3079" t="inlineStr">
        <is>
          <t>eng</t>
        </is>
      </c>
      <c r="P3079" t="inlineStr">
        <is>
          <t>enk</t>
        </is>
      </c>
      <c r="R3079" t="inlineStr">
        <is>
          <t xml:space="preserve">BX </t>
        </is>
      </c>
      <c r="S3079" t="n">
        <v>1</v>
      </c>
      <c r="T3079" t="n">
        <v>1</v>
      </c>
      <c r="U3079" t="inlineStr">
        <is>
          <t>2009-04-08</t>
        </is>
      </c>
      <c r="V3079" t="inlineStr">
        <is>
          <t>2009-04-08</t>
        </is>
      </c>
      <c r="W3079" t="inlineStr">
        <is>
          <t>1992-05-06</t>
        </is>
      </c>
      <c r="X3079" t="inlineStr">
        <is>
          <t>1992-05-06</t>
        </is>
      </c>
      <c r="Y3079" t="n">
        <v>22</v>
      </c>
      <c r="Z3079" t="n">
        <v>16</v>
      </c>
      <c r="AA3079" t="n">
        <v>85</v>
      </c>
      <c r="AB3079" t="n">
        <v>1</v>
      </c>
      <c r="AC3079" t="n">
        <v>3</v>
      </c>
      <c r="AD3079" t="n">
        <v>3</v>
      </c>
      <c r="AE3079" t="n">
        <v>17</v>
      </c>
      <c r="AF3079" t="n">
        <v>1</v>
      </c>
      <c r="AG3079" t="n">
        <v>4</v>
      </c>
      <c r="AH3079" t="n">
        <v>1</v>
      </c>
      <c r="AI3079" t="n">
        <v>5</v>
      </c>
      <c r="AJ3079" t="n">
        <v>2</v>
      </c>
      <c r="AK3079" t="n">
        <v>14</v>
      </c>
      <c r="AL3079" t="n">
        <v>0</v>
      </c>
      <c r="AM3079" t="n">
        <v>0</v>
      </c>
      <c r="AN3079" t="n">
        <v>0</v>
      </c>
      <c r="AO3079" t="n">
        <v>0</v>
      </c>
      <c r="AP3079" t="inlineStr">
        <is>
          <t>No</t>
        </is>
      </c>
      <c r="AQ3079" t="inlineStr">
        <is>
          <t>No</t>
        </is>
      </c>
      <c r="AS3079">
        <f>HYPERLINK("https://creighton-primo.hosted.exlibrisgroup.com/primo-explore/search?tab=default_tab&amp;search_scope=EVERYTHING&amp;vid=01CRU&amp;lang=en_US&amp;offset=0&amp;query=any,contains,991005170579702656","Catalog Record")</f>
        <v/>
      </c>
      <c r="AT3079">
        <f>HYPERLINK("http://www.worldcat.org/oclc/7859810","WorldCat Record")</f>
        <v/>
      </c>
      <c r="AU3079" t="inlineStr">
        <is>
          <t>29395736:eng</t>
        </is>
      </c>
      <c r="AV3079" t="inlineStr">
        <is>
          <t>7859810</t>
        </is>
      </c>
      <c r="AW3079" t="inlineStr">
        <is>
          <t>991005170579702656</t>
        </is>
      </c>
      <c r="AX3079" t="inlineStr">
        <is>
          <t>991005170579702656</t>
        </is>
      </c>
      <c r="AY3079" t="inlineStr">
        <is>
          <t>2254748770002656</t>
        </is>
      </c>
      <c r="AZ3079" t="inlineStr">
        <is>
          <t>BOOK</t>
        </is>
      </c>
      <c r="BC3079" t="inlineStr">
        <is>
          <t>32285001080851</t>
        </is>
      </c>
      <c r="BD3079" t="inlineStr">
        <is>
          <t>893795735</t>
        </is>
      </c>
    </row>
    <row r="3080">
      <c r="A3080" t="inlineStr">
        <is>
          <t>No</t>
        </is>
      </c>
      <c r="B3080" t="inlineStr">
        <is>
          <t>BX885 .H45</t>
        </is>
      </c>
      <c r="C3080" t="inlineStr">
        <is>
          <t>0                      BX 0885000H  45</t>
        </is>
      </c>
      <c r="D3080" t="inlineStr">
        <is>
          <t>Harvest 1960, a selection of the best articles from the Catholic press published in the past year. Edited by Dan Herr and Paul Cuneo.</t>
        </is>
      </c>
      <c r="F3080" t="inlineStr">
        <is>
          <t>No</t>
        </is>
      </c>
      <c r="G3080" t="inlineStr">
        <is>
          <t>1</t>
        </is>
      </c>
      <c r="H3080" t="inlineStr">
        <is>
          <t>No</t>
        </is>
      </c>
      <c r="I3080" t="inlineStr">
        <is>
          <t>No</t>
        </is>
      </c>
      <c r="J3080" t="inlineStr">
        <is>
          <t>0</t>
        </is>
      </c>
      <c r="K3080" t="inlineStr">
        <is>
          <t>Herr, Dan, editor.</t>
        </is>
      </c>
      <c r="L3080" t="inlineStr">
        <is>
          <t>Westminster, Md., Newman Press, 1960.</t>
        </is>
      </c>
      <c r="M3080" t="inlineStr">
        <is>
          <t>1960</t>
        </is>
      </c>
      <c r="O3080" t="inlineStr">
        <is>
          <t>eng</t>
        </is>
      </c>
      <c r="P3080" t="inlineStr">
        <is>
          <t>mdu</t>
        </is>
      </c>
      <c r="R3080" t="inlineStr">
        <is>
          <t xml:space="preserve">BX </t>
        </is>
      </c>
      <c r="S3080" t="n">
        <v>4</v>
      </c>
      <c r="T3080" t="n">
        <v>4</v>
      </c>
      <c r="U3080" t="inlineStr">
        <is>
          <t>1995-01-06</t>
        </is>
      </c>
      <c r="V3080" t="inlineStr">
        <is>
          <t>1995-01-06</t>
        </is>
      </c>
      <c r="W3080" t="inlineStr">
        <is>
          <t>1992-05-06</t>
        </is>
      </c>
      <c r="X3080" t="inlineStr">
        <is>
          <t>1992-05-06</t>
        </is>
      </c>
      <c r="Y3080" t="n">
        <v>108</v>
      </c>
      <c r="Z3080" t="n">
        <v>101</v>
      </c>
      <c r="AA3080" t="n">
        <v>102</v>
      </c>
      <c r="AB3080" t="n">
        <v>1</v>
      </c>
      <c r="AC3080" t="n">
        <v>1</v>
      </c>
      <c r="AD3080" t="n">
        <v>20</v>
      </c>
      <c r="AE3080" t="n">
        <v>20</v>
      </c>
      <c r="AF3080" t="n">
        <v>4</v>
      </c>
      <c r="AG3080" t="n">
        <v>4</v>
      </c>
      <c r="AH3080" t="n">
        <v>6</v>
      </c>
      <c r="AI3080" t="n">
        <v>6</v>
      </c>
      <c r="AJ3080" t="n">
        <v>16</v>
      </c>
      <c r="AK3080" t="n">
        <v>16</v>
      </c>
      <c r="AL3080" t="n">
        <v>0</v>
      </c>
      <c r="AM3080" t="n">
        <v>0</v>
      </c>
      <c r="AN3080" t="n">
        <v>0</v>
      </c>
      <c r="AO3080" t="n">
        <v>0</v>
      </c>
      <c r="AP3080" t="inlineStr">
        <is>
          <t>No</t>
        </is>
      </c>
      <c r="AQ3080" t="inlineStr">
        <is>
          <t>Yes</t>
        </is>
      </c>
      <c r="AR3080">
        <f>HYPERLINK("http://catalog.hathitrust.org/Record/100925722","HathiTrust Record")</f>
        <v/>
      </c>
      <c r="AS3080">
        <f>HYPERLINK("https://creighton-primo.hosted.exlibrisgroup.com/primo-explore/search?tab=default_tab&amp;search_scope=EVERYTHING&amp;vid=01CRU&amp;lang=en_US&amp;offset=0&amp;query=any,contains,991004230099702656","Catalog Record")</f>
        <v/>
      </c>
      <c r="AT3080">
        <f>HYPERLINK("http://www.worldcat.org/oclc/2744732","WorldCat Record")</f>
        <v/>
      </c>
      <c r="AU3080" t="inlineStr">
        <is>
          <t>2971243182:eng</t>
        </is>
      </c>
      <c r="AV3080" t="inlineStr">
        <is>
          <t>2744732</t>
        </is>
      </c>
      <c r="AW3080" t="inlineStr">
        <is>
          <t>991004230099702656</t>
        </is>
      </c>
      <c r="AX3080" t="inlineStr">
        <is>
          <t>991004230099702656</t>
        </is>
      </c>
      <c r="AY3080" t="inlineStr">
        <is>
          <t>2260617000002656</t>
        </is>
      </c>
      <c r="AZ3080" t="inlineStr">
        <is>
          <t>BOOK</t>
        </is>
      </c>
      <c r="BC3080" t="inlineStr">
        <is>
          <t>32285001080844</t>
        </is>
      </c>
      <c r="BD3080" t="inlineStr">
        <is>
          <t>893605781</t>
        </is>
      </c>
    </row>
    <row r="3081">
      <c r="A3081" t="inlineStr">
        <is>
          <t>No</t>
        </is>
      </c>
      <c r="B3081" t="inlineStr">
        <is>
          <t>BX885 .W6 1954</t>
        </is>
      </c>
      <c r="C3081" t="inlineStr">
        <is>
          <t>0                      BX 0885000W  6           1954</t>
        </is>
      </c>
      <c r="D3081" t="inlineStr">
        <is>
          <t>The consolations of Catholicism / Ralph L. Woods.</t>
        </is>
      </c>
      <c r="F3081" t="inlineStr">
        <is>
          <t>No</t>
        </is>
      </c>
      <c r="G3081" t="inlineStr">
        <is>
          <t>1</t>
        </is>
      </c>
      <c r="H3081" t="inlineStr">
        <is>
          <t>No</t>
        </is>
      </c>
      <c r="I3081" t="inlineStr">
        <is>
          <t>No</t>
        </is>
      </c>
      <c r="J3081" t="inlineStr">
        <is>
          <t>0</t>
        </is>
      </c>
      <c r="K3081" t="inlineStr">
        <is>
          <t>Woods, Ralph Louis, 1904-1989 editor.</t>
        </is>
      </c>
      <c r="L3081" t="inlineStr">
        <is>
          <t>New York : Appleton-Century-Crofts, [1954]</t>
        </is>
      </c>
      <c r="M3081" t="inlineStr">
        <is>
          <t>1954</t>
        </is>
      </c>
      <c r="O3081" t="inlineStr">
        <is>
          <t>eng</t>
        </is>
      </c>
      <c r="P3081" t="inlineStr">
        <is>
          <t>___</t>
        </is>
      </c>
      <c r="R3081" t="inlineStr">
        <is>
          <t xml:space="preserve">BX </t>
        </is>
      </c>
      <c r="S3081" t="n">
        <v>2</v>
      </c>
      <c r="T3081" t="n">
        <v>2</v>
      </c>
      <c r="U3081" t="inlineStr">
        <is>
          <t>2001-06-12</t>
        </is>
      </c>
      <c r="V3081" t="inlineStr">
        <is>
          <t>2001-06-12</t>
        </is>
      </c>
      <c r="W3081" t="inlineStr">
        <is>
          <t>1992-05-06</t>
        </is>
      </c>
      <c r="X3081" t="inlineStr">
        <is>
          <t>1992-05-06</t>
        </is>
      </c>
      <c r="Y3081" t="n">
        <v>88</v>
      </c>
      <c r="Z3081" t="n">
        <v>81</v>
      </c>
      <c r="AA3081" t="n">
        <v>96</v>
      </c>
      <c r="AB3081" t="n">
        <v>2</v>
      </c>
      <c r="AC3081" t="n">
        <v>2</v>
      </c>
      <c r="AD3081" t="n">
        <v>13</v>
      </c>
      <c r="AE3081" t="n">
        <v>14</v>
      </c>
      <c r="AF3081" t="n">
        <v>4</v>
      </c>
      <c r="AG3081" t="n">
        <v>4</v>
      </c>
      <c r="AH3081" t="n">
        <v>3</v>
      </c>
      <c r="AI3081" t="n">
        <v>3</v>
      </c>
      <c r="AJ3081" t="n">
        <v>9</v>
      </c>
      <c r="AK3081" t="n">
        <v>10</v>
      </c>
      <c r="AL3081" t="n">
        <v>0</v>
      </c>
      <c r="AM3081" t="n">
        <v>0</v>
      </c>
      <c r="AN3081" t="n">
        <v>0</v>
      </c>
      <c r="AO3081" t="n">
        <v>0</v>
      </c>
      <c r="AP3081" t="inlineStr">
        <is>
          <t>No</t>
        </is>
      </c>
      <c r="AQ3081" t="inlineStr">
        <is>
          <t>No</t>
        </is>
      </c>
      <c r="AS3081">
        <f>HYPERLINK("https://creighton-primo.hosted.exlibrisgroup.com/primo-explore/search?tab=default_tab&amp;search_scope=EVERYTHING&amp;vid=01CRU&amp;lang=en_US&amp;offset=0&amp;query=any,contains,991003313099702656","Catalog Record")</f>
        <v/>
      </c>
      <c r="AT3081">
        <f>HYPERLINK("http://www.worldcat.org/oclc/837036","WorldCat Record")</f>
        <v/>
      </c>
      <c r="AU3081" t="inlineStr">
        <is>
          <t>1769633:eng</t>
        </is>
      </c>
      <c r="AV3081" t="inlineStr">
        <is>
          <t>837036</t>
        </is>
      </c>
      <c r="AW3081" t="inlineStr">
        <is>
          <t>991003313099702656</t>
        </is>
      </c>
      <c r="AX3081" t="inlineStr">
        <is>
          <t>991003313099702656</t>
        </is>
      </c>
      <c r="AY3081" t="inlineStr">
        <is>
          <t>2270560540002656</t>
        </is>
      </c>
      <c r="AZ3081" t="inlineStr">
        <is>
          <t>BOOK</t>
        </is>
      </c>
      <c r="BC3081" t="inlineStr">
        <is>
          <t>32285001080885</t>
        </is>
      </c>
      <c r="BD3081" t="inlineStr">
        <is>
          <t>893780841</t>
        </is>
      </c>
    </row>
    <row r="3082">
      <c r="A3082" t="inlineStr">
        <is>
          <t>No</t>
        </is>
      </c>
      <c r="B3082" t="inlineStr">
        <is>
          <t>BX888.B7 T48</t>
        </is>
      </c>
      <c r="C3082" t="inlineStr">
        <is>
          <t>0                      BX 0888000B  7                  T  48</t>
        </is>
      </c>
      <c r="D3082" t="inlineStr">
        <is>
          <t>The life of St. Charles Borromeo / edited by Edward Healy Thompson.</t>
        </is>
      </c>
      <c r="F3082" t="inlineStr">
        <is>
          <t>No</t>
        </is>
      </c>
      <c r="G3082" t="inlineStr">
        <is>
          <t>1</t>
        </is>
      </c>
      <c r="H3082" t="inlineStr">
        <is>
          <t>No</t>
        </is>
      </c>
      <c r="I3082" t="inlineStr">
        <is>
          <t>No</t>
        </is>
      </c>
      <c r="J3082" t="inlineStr">
        <is>
          <t>0</t>
        </is>
      </c>
      <c r="K3082" t="inlineStr">
        <is>
          <t>Thompson, Edward Healy, 1813-1891.</t>
        </is>
      </c>
      <c r="L3082" t="inlineStr">
        <is>
          <t>New York ; Philadelphia : P.J. Kenedy &amp; Sons, [n.d.]</t>
        </is>
      </c>
      <c r="O3082" t="inlineStr">
        <is>
          <t>eng</t>
        </is>
      </c>
      <c r="P3082" t="inlineStr">
        <is>
          <t xml:space="preserve">xx </t>
        </is>
      </c>
      <c r="R3082" t="inlineStr">
        <is>
          <t xml:space="preserve">BX </t>
        </is>
      </c>
      <c r="S3082" t="n">
        <v>8</v>
      </c>
      <c r="T3082" t="n">
        <v>8</v>
      </c>
      <c r="U3082" t="inlineStr">
        <is>
          <t>2008-04-04</t>
        </is>
      </c>
      <c r="V3082" t="inlineStr">
        <is>
          <t>2008-04-04</t>
        </is>
      </c>
      <c r="W3082" t="inlineStr">
        <is>
          <t>1992-05-06</t>
        </is>
      </c>
      <c r="X3082" t="inlineStr">
        <is>
          <t>1992-05-06</t>
        </is>
      </c>
      <c r="Y3082" t="n">
        <v>37</v>
      </c>
      <c r="Z3082" t="n">
        <v>33</v>
      </c>
      <c r="AA3082" t="n">
        <v>95</v>
      </c>
      <c r="AB3082" t="n">
        <v>2</v>
      </c>
      <c r="AC3082" t="n">
        <v>2</v>
      </c>
      <c r="AD3082" t="n">
        <v>9</v>
      </c>
      <c r="AE3082" t="n">
        <v>17</v>
      </c>
      <c r="AF3082" t="n">
        <v>3</v>
      </c>
      <c r="AG3082" t="n">
        <v>4</v>
      </c>
      <c r="AH3082" t="n">
        <v>2</v>
      </c>
      <c r="AI3082" t="n">
        <v>2</v>
      </c>
      <c r="AJ3082" t="n">
        <v>6</v>
      </c>
      <c r="AK3082" t="n">
        <v>14</v>
      </c>
      <c r="AL3082" t="n">
        <v>0</v>
      </c>
      <c r="AM3082" t="n">
        <v>0</v>
      </c>
      <c r="AN3082" t="n">
        <v>0</v>
      </c>
      <c r="AO3082" t="n">
        <v>0</v>
      </c>
      <c r="AP3082" t="inlineStr">
        <is>
          <t>No</t>
        </is>
      </c>
      <c r="AQ3082" t="inlineStr">
        <is>
          <t>No</t>
        </is>
      </c>
      <c r="AS3082">
        <f>HYPERLINK("https://creighton-primo.hosted.exlibrisgroup.com/primo-explore/search?tab=default_tab&amp;search_scope=EVERYTHING&amp;vid=01CRU&amp;lang=en_US&amp;offset=0&amp;query=any,contains,991004519909702656","Catalog Record")</f>
        <v/>
      </c>
      <c r="AT3082">
        <f>HYPERLINK("http://www.worldcat.org/oclc/3809036","WorldCat Record")</f>
        <v/>
      </c>
      <c r="AU3082" t="inlineStr">
        <is>
          <t>2863932895:eng</t>
        </is>
      </c>
      <c r="AV3082" t="inlineStr">
        <is>
          <t>3809036</t>
        </is>
      </c>
      <c r="AW3082" t="inlineStr">
        <is>
          <t>991004519909702656</t>
        </is>
      </c>
      <c r="AX3082" t="inlineStr">
        <is>
          <t>991004519909702656</t>
        </is>
      </c>
      <c r="AY3082" t="inlineStr">
        <is>
          <t>2265500100002656</t>
        </is>
      </c>
      <c r="AZ3082" t="inlineStr">
        <is>
          <t>BOOK</t>
        </is>
      </c>
      <c r="BC3082" t="inlineStr">
        <is>
          <t>32285001080893</t>
        </is>
      </c>
      <c r="BD3082" t="inlineStr">
        <is>
          <t>893423909</t>
        </is>
      </c>
    </row>
    <row r="3083">
      <c r="A3083" t="inlineStr">
        <is>
          <t>No</t>
        </is>
      </c>
      <c r="B3083" t="inlineStr">
        <is>
          <t>BX890 .C352 1890</t>
        </is>
      </c>
      <c r="C3083" t="inlineStr">
        <is>
          <t>0                      BX 0890000C  352         1890</t>
        </is>
      </c>
      <c r="D3083" t="inlineStr">
        <is>
          <t>Opera / Melchioris Cani.</t>
        </is>
      </c>
      <c r="E3083" t="inlineStr">
        <is>
          <t>V. 2</t>
        </is>
      </c>
      <c r="F3083" t="inlineStr">
        <is>
          <t>Yes</t>
        </is>
      </c>
      <c r="G3083" t="inlineStr">
        <is>
          <t>1</t>
        </is>
      </c>
      <c r="H3083" t="inlineStr">
        <is>
          <t>No</t>
        </is>
      </c>
      <c r="I3083" t="inlineStr">
        <is>
          <t>No</t>
        </is>
      </c>
      <c r="J3083" t="inlineStr">
        <is>
          <t>0</t>
        </is>
      </c>
      <c r="K3083" t="inlineStr">
        <is>
          <t>Cano, Melchor, 1509?-1560.</t>
        </is>
      </c>
      <c r="L3083" t="inlineStr">
        <is>
          <t>Romae : Forzani et soc., 1890.</t>
        </is>
      </c>
      <c r="M3083" t="inlineStr">
        <is>
          <t>1890</t>
        </is>
      </c>
      <c r="O3083" t="inlineStr">
        <is>
          <t>lat</t>
        </is>
      </c>
      <c r="P3083" t="inlineStr">
        <is>
          <t xml:space="preserve">it </t>
        </is>
      </c>
      <c r="R3083" t="inlineStr">
        <is>
          <t xml:space="preserve">BX </t>
        </is>
      </c>
      <c r="S3083" t="n">
        <v>0</v>
      </c>
      <c r="T3083" t="n">
        <v>2</v>
      </c>
      <c r="V3083" t="inlineStr">
        <is>
          <t>1993-01-28</t>
        </is>
      </c>
      <c r="W3083" t="inlineStr">
        <is>
          <t>2012-08-30</t>
        </is>
      </c>
      <c r="X3083" t="inlineStr">
        <is>
          <t>2012-08-30</t>
        </is>
      </c>
      <c r="Y3083" t="n">
        <v>12</v>
      </c>
      <c r="Z3083" t="n">
        <v>11</v>
      </c>
      <c r="AA3083" t="n">
        <v>11</v>
      </c>
      <c r="AB3083" t="n">
        <v>1</v>
      </c>
      <c r="AC3083" t="n">
        <v>1</v>
      </c>
      <c r="AD3083" t="n">
        <v>3</v>
      </c>
      <c r="AE3083" t="n">
        <v>3</v>
      </c>
      <c r="AF3083" t="n">
        <v>1</v>
      </c>
      <c r="AG3083" t="n">
        <v>1</v>
      </c>
      <c r="AH3083" t="n">
        <v>1</v>
      </c>
      <c r="AI3083" t="n">
        <v>1</v>
      </c>
      <c r="AJ3083" t="n">
        <v>2</v>
      </c>
      <c r="AK3083" t="n">
        <v>2</v>
      </c>
      <c r="AL3083" t="n">
        <v>0</v>
      </c>
      <c r="AM3083" t="n">
        <v>0</v>
      </c>
      <c r="AN3083" t="n">
        <v>0</v>
      </c>
      <c r="AO3083" t="n">
        <v>0</v>
      </c>
      <c r="AP3083" t="inlineStr">
        <is>
          <t>No</t>
        </is>
      </c>
      <c r="AQ3083" t="inlineStr">
        <is>
          <t>No</t>
        </is>
      </c>
      <c r="AS3083">
        <f>HYPERLINK("https://creighton-primo.hosted.exlibrisgroup.com/primo-explore/search?tab=default_tab&amp;search_scope=EVERYTHING&amp;vid=01CRU&amp;lang=en_US&amp;offset=0&amp;query=any,contains,991004486379702656","Catalog Record")</f>
        <v/>
      </c>
      <c r="AT3083">
        <f>HYPERLINK("http://www.worldcat.org/oclc/3646935","WorldCat Record")</f>
        <v/>
      </c>
      <c r="AU3083" t="inlineStr">
        <is>
          <t>10596547480:lat</t>
        </is>
      </c>
      <c r="AV3083" t="inlineStr">
        <is>
          <t>3646935</t>
        </is>
      </c>
      <c r="AW3083" t="inlineStr">
        <is>
          <t>991004486379702656</t>
        </is>
      </c>
      <c r="AX3083" t="inlineStr">
        <is>
          <t>991004486379702656</t>
        </is>
      </c>
      <c r="AY3083" t="inlineStr">
        <is>
          <t>2254765940002656</t>
        </is>
      </c>
      <c r="AZ3083" t="inlineStr">
        <is>
          <t>BOOK</t>
        </is>
      </c>
      <c r="BC3083" t="inlineStr">
        <is>
          <t>32285001081784</t>
        </is>
      </c>
      <c r="BD3083" t="inlineStr">
        <is>
          <t>893888773</t>
        </is>
      </c>
    </row>
    <row r="3084">
      <c r="A3084" t="inlineStr">
        <is>
          <t>No</t>
        </is>
      </c>
      <c r="B3084" t="inlineStr">
        <is>
          <t>BX890 .C352 1890</t>
        </is>
      </c>
      <c r="C3084" t="inlineStr">
        <is>
          <t>0                      BX 0890000C  352         1890</t>
        </is>
      </c>
      <c r="D3084" t="inlineStr">
        <is>
          <t>Opera / Melchioris Cani.</t>
        </is>
      </c>
      <c r="E3084" t="inlineStr">
        <is>
          <t>V. 3</t>
        </is>
      </c>
      <c r="F3084" t="inlineStr">
        <is>
          <t>Yes</t>
        </is>
      </c>
      <c r="G3084" t="inlineStr">
        <is>
          <t>1</t>
        </is>
      </c>
      <c r="H3084" t="inlineStr">
        <is>
          <t>No</t>
        </is>
      </c>
      <c r="I3084" t="inlineStr">
        <is>
          <t>No</t>
        </is>
      </c>
      <c r="J3084" t="inlineStr">
        <is>
          <t>0</t>
        </is>
      </c>
      <c r="K3084" t="inlineStr">
        <is>
          <t>Cano, Melchor, 1509?-1560.</t>
        </is>
      </c>
      <c r="L3084" t="inlineStr">
        <is>
          <t>Romae : Forzani et soc., 1890.</t>
        </is>
      </c>
      <c r="M3084" t="inlineStr">
        <is>
          <t>1890</t>
        </is>
      </c>
      <c r="O3084" t="inlineStr">
        <is>
          <t>lat</t>
        </is>
      </c>
      <c r="P3084" t="inlineStr">
        <is>
          <t xml:space="preserve">it </t>
        </is>
      </c>
      <c r="R3084" t="inlineStr">
        <is>
          <t xml:space="preserve">BX </t>
        </is>
      </c>
      <c r="S3084" t="n">
        <v>1</v>
      </c>
      <c r="T3084" t="n">
        <v>2</v>
      </c>
      <c r="U3084" t="inlineStr">
        <is>
          <t>1993-01-28</t>
        </is>
      </c>
      <c r="V3084" t="inlineStr">
        <is>
          <t>1993-01-28</t>
        </is>
      </c>
      <c r="W3084" t="inlineStr">
        <is>
          <t>1992-05-06</t>
        </is>
      </c>
      <c r="X3084" t="inlineStr">
        <is>
          <t>2012-08-30</t>
        </is>
      </c>
      <c r="Y3084" t="n">
        <v>12</v>
      </c>
      <c r="Z3084" t="n">
        <v>11</v>
      </c>
      <c r="AA3084" t="n">
        <v>11</v>
      </c>
      <c r="AB3084" t="n">
        <v>1</v>
      </c>
      <c r="AC3084" t="n">
        <v>1</v>
      </c>
      <c r="AD3084" t="n">
        <v>3</v>
      </c>
      <c r="AE3084" t="n">
        <v>3</v>
      </c>
      <c r="AF3084" t="n">
        <v>1</v>
      </c>
      <c r="AG3084" t="n">
        <v>1</v>
      </c>
      <c r="AH3084" t="n">
        <v>1</v>
      </c>
      <c r="AI3084" t="n">
        <v>1</v>
      </c>
      <c r="AJ3084" t="n">
        <v>2</v>
      </c>
      <c r="AK3084" t="n">
        <v>2</v>
      </c>
      <c r="AL3084" t="n">
        <v>0</v>
      </c>
      <c r="AM3084" t="n">
        <v>0</v>
      </c>
      <c r="AN3084" t="n">
        <v>0</v>
      </c>
      <c r="AO3084" t="n">
        <v>0</v>
      </c>
      <c r="AP3084" t="inlineStr">
        <is>
          <t>No</t>
        </is>
      </c>
      <c r="AQ3084" t="inlineStr">
        <is>
          <t>No</t>
        </is>
      </c>
      <c r="AS3084">
        <f>HYPERLINK("https://creighton-primo.hosted.exlibrisgroup.com/primo-explore/search?tab=default_tab&amp;search_scope=EVERYTHING&amp;vid=01CRU&amp;lang=en_US&amp;offset=0&amp;query=any,contains,991004486379702656","Catalog Record")</f>
        <v/>
      </c>
      <c r="AT3084">
        <f>HYPERLINK("http://www.worldcat.org/oclc/3646935","WorldCat Record")</f>
        <v/>
      </c>
      <c r="AU3084" t="inlineStr">
        <is>
          <t>10596547480:lat</t>
        </is>
      </c>
      <c r="AV3084" t="inlineStr">
        <is>
          <t>3646935</t>
        </is>
      </c>
      <c r="AW3084" t="inlineStr">
        <is>
          <t>991004486379702656</t>
        </is>
      </c>
      <c r="AX3084" t="inlineStr">
        <is>
          <t>991004486379702656</t>
        </is>
      </c>
      <c r="AY3084" t="inlineStr">
        <is>
          <t>2254765940002656</t>
        </is>
      </c>
      <c r="AZ3084" t="inlineStr">
        <is>
          <t>BOOK</t>
        </is>
      </c>
      <c r="BC3084" t="inlineStr">
        <is>
          <t>32285001081792</t>
        </is>
      </c>
      <c r="BD3084" t="inlineStr">
        <is>
          <t>893888774</t>
        </is>
      </c>
    </row>
    <row r="3085">
      <c r="A3085" t="inlineStr">
        <is>
          <t>No</t>
        </is>
      </c>
      <c r="B3085" t="inlineStr">
        <is>
          <t>BX890 .C352 1890</t>
        </is>
      </c>
      <c r="C3085" t="inlineStr">
        <is>
          <t>0                      BX 0890000C  352         1890</t>
        </is>
      </c>
      <c r="D3085" t="inlineStr">
        <is>
          <t>Opera / Melchioris Cani.</t>
        </is>
      </c>
      <c r="E3085" t="inlineStr">
        <is>
          <t>V. 1</t>
        </is>
      </c>
      <c r="F3085" t="inlineStr">
        <is>
          <t>Yes</t>
        </is>
      </c>
      <c r="G3085" t="inlineStr">
        <is>
          <t>1</t>
        </is>
      </c>
      <c r="H3085" t="inlineStr">
        <is>
          <t>No</t>
        </is>
      </c>
      <c r="I3085" t="inlineStr">
        <is>
          <t>No</t>
        </is>
      </c>
      <c r="J3085" t="inlineStr">
        <is>
          <t>0</t>
        </is>
      </c>
      <c r="K3085" t="inlineStr">
        <is>
          <t>Cano, Melchor, 1509?-1560.</t>
        </is>
      </c>
      <c r="L3085" t="inlineStr">
        <is>
          <t>Romae : Forzani et soc., 1890.</t>
        </is>
      </c>
      <c r="M3085" t="inlineStr">
        <is>
          <t>1890</t>
        </is>
      </c>
      <c r="O3085" t="inlineStr">
        <is>
          <t>lat</t>
        </is>
      </c>
      <c r="P3085" t="inlineStr">
        <is>
          <t xml:space="preserve">it </t>
        </is>
      </c>
      <c r="R3085" t="inlineStr">
        <is>
          <t xml:space="preserve">BX </t>
        </is>
      </c>
      <c r="S3085" t="n">
        <v>1</v>
      </c>
      <c r="T3085" t="n">
        <v>2</v>
      </c>
      <c r="U3085" t="inlineStr">
        <is>
          <t>1993-01-28</t>
        </is>
      </c>
      <c r="V3085" t="inlineStr">
        <is>
          <t>1993-01-28</t>
        </is>
      </c>
      <c r="W3085" t="inlineStr">
        <is>
          <t>1992-05-06</t>
        </is>
      </c>
      <c r="X3085" t="inlineStr">
        <is>
          <t>2012-08-30</t>
        </is>
      </c>
      <c r="Y3085" t="n">
        <v>12</v>
      </c>
      <c r="Z3085" t="n">
        <v>11</v>
      </c>
      <c r="AA3085" t="n">
        <v>11</v>
      </c>
      <c r="AB3085" t="n">
        <v>1</v>
      </c>
      <c r="AC3085" t="n">
        <v>1</v>
      </c>
      <c r="AD3085" t="n">
        <v>3</v>
      </c>
      <c r="AE3085" t="n">
        <v>3</v>
      </c>
      <c r="AF3085" t="n">
        <v>1</v>
      </c>
      <c r="AG3085" t="n">
        <v>1</v>
      </c>
      <c r="AH3085" t="n">
        <v>1</v>
      </c>
      <c r="AI3085" t="n">
        <v>1</v>
      </c>
      <c r="AJ3085" t="n">
        <v>2</v>
      </c>
      <c r="AK3085" t="n">
        <v>2</v>
      </c>
      <c r="AL3085" t="n">
        <v>0</v>
      </c>
      <c r="AM3085" t="n">
        <v>0</v>
      </c>
      <c r="AN3085" t="n">
        <v>0</v>
      </c>
      <c r="AO3085" t="n">
        <v>0</v>
      </c>
      <c r="AP3085" t="inlineStr">
        <is>
          <t>No</t>
        </is>
      </c>
      <c r="AQ3085" t="inlineStr">
        <is>
          <t>No</t>
        </is>
      </c>
      <c r="AS3085">
        <f>HYPERLINK("https://creighton-primo.hosted.exlibrisgroup.com/primo-explore/search?tab=default_tab&amp;search_scope=EVERYTHING&amp;vid=01CRU&amp;lang=en_US&amp;offset=0&amp;query=any,contains,991004486379702656","Catalog Record")</f>
        <v/>
      </c>
      <c r="AT3085">
        <f>HYPERLINK("http://www.worldcat.org/oclc/3646935","WorldCat Record")</f>
        <v/>
      </c>
      <c r="AU3085" t="inlineStr">
        <is>
          <t>10596547480:lat</t>
        </is>
      </c>
      <c r="AV3085" t="inlineStr">
        <is>
          <t>3646935</t>
        </is>
      </c>
      <c r="AW3085" t="inlineStr">
        <is>
          <t>991004486379702656</t>
        </is>
      </c>
      <c r="AX3085" t="inlineStr">
        <is>
          <t>991004486379702656</t>
        </is>
      </c>
      <c r="AY3085" t="inlineStr">
        <is>
          <t>2254765940002656</t>
        </is>
      </c>
      <c r="AZ3085" t="inlineStr">
        <is>
          <t>BOOK</t>
        </is>
      </c>
      <c r="BC3085" t="inlineStr">
        <is>
          <t>32285001081776</t>
        </is>
      </c>
      <c r="BD3085" t="inlineStr">
        <is>
          <t>893888775</t>
        </is>
      </c>
    </row>
    <row r="3086">
      <c r="A3086" t="inlineStr">
        <is>
          <t>No</t>
        </is>
      </c>
      <c r="B3086" t="inlineStr">
        <is>
          <t>BX890 .C37 1929</t>
        </is>
      </c>
      <c r="C3086" t="inlineStr">
        <is>
          <t>0                      BX 0890000C  37          1929</t>
        </is>
      </c>
      <c r="D3086" t="inlineStr">
        <is>
          <t>Saint Jane Frances Frémyot de Chantal : her exhortations, conferences and instructions / translated from the French ed. printed at Paris in 1875. Rev.</t>
        </is>
      </c>
      <c r="F3086" t="inlineStr">
        <is>
          <t>No</t>
        </is>
      </c>
      <c r="G3086" t="inlineStr">
        <is>
          <t>1</t>
        </is>
      </c>
      <c r="H3086" t="inlineStr">
        <is>
          <t>No</t>
        </is>
      </c>
      <c r="I3086" t="inlineStr">
        <is>
          <t>No</t>
        </is>
      </c>
      <c r="J3086" t="inlineStr">
        <is>
          <t>0</t>
        </is>
      </c>
      <c r="K3086" t="inlineStr">
        <is>
          <t>Chantal, Jeanne-Françoise de, Saint, 1572-1641.</t>
        </is>
      </c>
      <c r="L3086" t="inlineStr">
        <is>
          <t>Westminster, Maryland : Newman Bookshop, [c1929]</t>
        </is>
      </c>
      <c r="M3086" t="inlineStr">
        <is>
          <t>1929</t>
        </is>
      </c>
      <c r="O3086" t="inlineStr">
        <is>
          <t>eng</t>
        </is>
      </c>
      <c r="P3086" t="inlineStr">
        <is>
          <t xml:space="preserve">xx </t>
        </is>
      </c>
      <c r="R3086" t="inlineStr">
        <is>
          <t xml:space="preserve">BX </t>
        </is>
      </c>
      <c r="S3086" t="n">
        <v>1</v>
      </c>
      <c r="T3086" t="n">
        <v>1</v>
      </c>
      <c r="U3086" t="inlineStr">
        <is>
          <t>2010-06-25</t>
        </is>
      </c>
      <c r="V3086" t="inlineStr">
        <is>
          <t>2010-06-25</t>
        </is>
      </c>
      <c r="W3086" t="inlineStr">
        <is>
          <t>1992-05-06</t>
        </is>
      </c>
      <c r="X3086" t="inlineStr">
        <is>
          <t>1992-05-06</t>
        </is>
      </c>
      <c r="Y3086" t="n">
        <v>16</v>
      </c>
      <c r="Z3086" t="n">
        <v>15</v>
      </c>
      <c r="AA3086" t="n">
        <v>67</v>
      </c>
      <c r="AB3086" t="n">
        <v>1</v>
      </c>
      <c r="AC3086" t="n">
        <v>1</v>
      </c>
      <c r="AD3086" t="n">
        <v>3</v>
      </c>
      <c r="AE3086" t="n">
        <v>14</v>
      </c>
      <c r="AF3086" t="n">
        <v>1</v>
      </c>
      <c r="AG3086" t="n">
        <v>2</v>
      </c>
      <c r="AH3086" t="n">
        <v>0</v>
      </c>
      <c r="AI3086" t="n">
        <v>3</v>
      </c>
      <c r="AJ3086" t="n">
        <v>3</v>
      </c>
      <c r="AK3086" t="n">
        <v>11</v>
      </c>
      <c r="AL3086" t="n">
        <v>0</v>
      </c>
      <c r="AM3086" t="n">
        <v>0</v>
      </c>
      <c r="AN3086" t="n">
        <v>0</v>
      </c>
      <c r="AO3086" t="n">
        <v>0</v>
      </c>
      <c r="AP3086" t="inlineStr">
        <is>
          <t>No</t>
        </is>
      </c>
      <c r="AQ3086" t="inlineStr">
        <is>
          <t>No</t>
        </is>
      </c>
      <c r="AS3086">
        <f>HYPERLINK("https://creighton-primo.hosted.exlibrisgroup.com/primo-explore/search?tab=default_tab&amp;search_scope=EVERYTHING&amp;vid=01CRU&amp;lang=en_US&amp;offset=0&amp;query=any,contains,991002895389702656","Catalog Record")</f>
        <v/>
      </c>
      <c r="AT3086">
        <f>HYPERLINK("http://www.worldcat.org/oclc/513942","WorldCat Record")</f>
        <v/>
      </c>
      <c r="AU3086" t="inlineStr">
        <is>
          <t>9750760:eng</t>
        </is>
      </c>
      <c r="AV3086" t="inlineStr">
        <is>
          <t>513942</t>
        </is>
      </c>
      <c r="AW3086" t="inlineStr">
        <is>
          <t>991002895389702656</t>
        </is>
      </c>
      <c r="AX3086" t="inlineStr">
        <is>
          <t>991002895389702656</t>
        </is>
      </c>
      <c r="AY3086" t="inlineStr">
        <is>
          <t>2262440710002656</t>
        </is>
      </c>
      <c r="AZ3086" t="inlineStr">
        <is>
          <t>BOOK</t>
        </is>
      </c>
      <c r="BC3086" t="inlineStr">
        <is>
          <t>32285001081800</t>
        </is>
      </c>
      <c r="BD3086" t="inlineStr">
        <is>
          <t>893774158</t>
        </is>
      </c>
    </row>
    <row r="3087">
      <c r="A3087" t="inlineStr">
        <is>
          <t>No</t>
        </is>
      </c>
      <c r="B3087" t="inlineStr">
        <is>
          <t>BX890 .C45</t>
        </is>
      </c>
      <c r="C3087" t="inlineStr">
        <is>
          <t>0                      BX 0890000C  45</t>
        </is>
      </c>
      <c r="D3087" t="inlineStr">
        <is>
          <t>Ways and crossways / by Paul Claudel ; translated by John O'Connor, with the collaboration of the author.</t>
        </is>
      </c>
      <c r="F3087" t="inlineStr">
        <is>
          <t>No</t>
        </is>
      </c>
      <c r="G3087" t="inlineStr">
        <is>
          <t>1</t>
        </is>
      </c>
      <c r="H3087" t="inlineStr">
        <is>
          <t>No</t>
        </is>
      </c>
      <c r="I3087" t="inlineStr">
        <is>
          <t>No</t>
        </is>
      </c>
      <c r="J3087" t="inlineStr">
        <is>
          <t>0</t>
        </is>
      </c>
      <c r="K3087" t="inlineStr">
        <is>
          <t>Claudel, Paul, 1868-1955.</t>
        </is>
      </c>
      <c r="L3087" t="inlineStr">
        <is>
          <t>London : Sheed &amp; Ward, 1933.</t>
        </is>
      </c>
      <c r="M3087" t="inlineStr">
        <is>
          <t>1933</t>
        </is>
      </c>
      <c r="O3087" t="inlineStr">
        <is>
          <t>eng</t>
        </is>
      </c>
      <c r="P3087" t="inlineStr">
        <is>
          <t>enk</t>
        </is>
      </c>
      <c r="R3087" t="inlineStr">
        <is>
          <t xml:space="preserve">BX </t>
        </is>
      </c>
      <c r="S3087" t="n">
        <v>1</v>
      </c>
      <c r="T3087" t="n">
        <v>1</v>
      </c>
      <c r="U3087" t="inlineStr">
        <is>
          <t>2004-11-05</t>
        </is>
      </c>
      <c r="V3087" t="inlineStr">
        <is>
          <t>2004-11-05</t>
        </is>
      </c>
      <c r="W3087" t="inlineStr">
        <is>
          <t>1992-05-06</t>
        </is>
      </c>
      <c r="X3087" t="inlineStr">
        <is>
          <t>1992-05-06</t>
        </is>
      </c>
      <c r="Y3087" t="n">
        <v>84</v>
      </c>
      <c r="Z3087" t="n">
        <v>62</v>
      </c>
      <c r="AA3087" t="n">
        <v>584</v>
      </c>
      <c r="AB3087" t="n">
        <v>2</v>
      </c>
      <c r="AC3087" t="n">
        <v>4</v>
      </c>
      <c r="AD3087" t="n">
        <v>8</v>
      </c>
      <c r="AE3087" t="n">
        <v>37</v>
      </c>
      <c r="AF3087" t="n">
        <v>1</v>
      </c>
      <c r="AG3087" t="n">
        <v>15</v>
      </c>
      <c r="AH3087" t="n">
        <v>3</v>
      </c>
      <c r="AI3087" t="n">
        <v>9</v>
      </c>
      <c r="AJ3087" t="n">
        <v>4</v>
      </c>
      <c r="AK3087" t="n">
        <v>22</v>
      </c>
      <c r="AL3087" t="n">
        <v>1</v>
      </c>
      <c r="AM3087" t="n">
        <v>2</v>
      </c>
      <c r="AN3087" t="n">
        <v>0</v>
      </c>
      <c r="AO3087" t="n">
        <v>0</v>
      </c>
      <c r="AP3087" t="inlineStr">
        <is>
          <t>No</t>
        </is>
      </c>
      <c r="AQ3087" t="inlineStr">
        <is>
          <t>No</t>
        </is>
      </c>
      <c r="AS3087">
        <f>HYPERLINK("https://creighton-primo.hosted.exlibrisgroup.com/primo-explore/search?tab=default_tab&amp;search_scope=EVERYTHING&amp;vid=01CRU&amp;lang=en_US&amp;offset=0&amp;query=any,contains,991004442009702656","Catalog Record")</f>
        <v/>
      </c>
      <c r="AT3087">
        <f>HYPERLINK("http://www.worldcat.org/oclc/3468687","WorldCat Record")</f>
        <v/>
      </c>
      <c r="AU3087" t="inlineStr">
        <is>
          <t>197462871:eng</t>
        </is>
      </c>
      <c r="AV3087" t="inlineStr">
        <is>
          <t>3468687</t>
        </is>
      </c>
      <c r="AW3087" t="inlineStr">
        <is>
          <t>991004442009702656</t>
        </is>
      </c>
      <c r="AX3087" t="inlineStr">
        <is>
          <t>991004442009702656</t>
        </is>
      </c>
      <c r="AY3087" t="inlineStr">
        <is>
          <t>2255646780002656</t>
        </is>
      </c>
      <c r="AZ3087" t="inlineStr">
        <is>
          <t>BOOK</t>
        </is>
      </c>
      <c r="BC3087" t="inlineStr">
        <is>
          <t>32285001081826</t>
        </is>
      </c>
      <c r="BD3087" t="inlineStr">
        <is>
          <t>893235501</t>
        </is>
      </c>
    </row>
    <row r="3088">
      <c r="A3088" t="inlineStr">
        <is>
          <t>No</t>
        </is>
      </c>
      <c r="B3088" t="inlineStr">
        <is>
          <t>BX890 .F665 1959</t>
        </is>
      </c>
      <c r="C3088" t="inlineStr">
        <is>
          <t>0                      BX 0890000F  665         1959</t>
        </is>
      </c>
      <c r="D3088" t="inlineStr">
        <is>
          <t>S. Francis of Assisi : his life and writings as recorded by his contemporaries. A new version of The mirror of perfection, together with a complete collection of all the known writings of the Saint.</t>
        </is>
      </c>
      <c r="F3088" t="inlineStr">
        <is>
          <t>No</t>
        </is>
      </c>
      <c r="G3088" t="inlineStr">
        <is>
          <t>1</t>
        </is>
      </c>
      <c r="H3088" t="inlineStr">
        <is>
          <t>No</t>
        </is>
      </c>
      <c r="I3088" t="inlineStr">
        <is>
          <t>No</t>
        </is>
      </c>
      <c r="J3088" t="inlineStr">
        <is>
          <t>0</t>
        </is>
      </c>
      <c r="K3088" t="inlineStr">
        <is>
          <t>Francis, of Assisi, Saint, 1182-1226.</t>
        </is>
      </c>
      <c r="L3088" t="inlineStr">
        <is>
          <t>London : Mowbray, [c1959]</t>
        </is>
      </c>
      <c r="M3088" t="inlineStr">
        <is>
          <t>1959</t>
        </is>
      </c>
      <c r="O3088" t="inlineStr">
        <is>
          <t>eng</t>
        </is>
      </c>
      <c r="P3088" t="inlineStr">
        <is>
          <t>enk</t>
        </is>
      </c>
      <c r="R3088" t="inlineStr">
        <is>
          <t xml:space="preserve">BX </t>
        </is>
      </c>
      <c r="S3088" t="n">
        <v>12</v>
      </c>
      <c r="T3088" t="n">
        <v>12</v>
      </c>
      <c r="U3088" t="inlineStr">
        <is>
          <t>2009-10-11</t>
        </is>
      </c>
      <c r="V3088" t="inlineStr">
        <is>
          <t>2009-10-11</t>
        </is>
      </c>
      <c r="W3088" t="inlineStr">
        <is>
          <t>1992-05-07</t>
        </is>
      </c>
      <c r="X3088" t="inlineStr">
        <is>
          <t>1992-05-07</t>
        </is>
      </c>
      <c r="Y3088" t="n">
        <v>71</v>
      </c>
      <c r="Z3088" t="n">
        <v>40</v>
      </c>
      <c r="AA3088" t="n">
        <v>42</v>
      </c>
      <c r="AB3088" t="n">
        <v>1</v>
      </c>
      <c r="AC3088" t="n">
        <v>1</v>
      </c>
      <c r="AD3088" t="n">
        <v>8</v>
      </c>
      <c r="AE3088" t="n">
        <v>8</v>
      </c>
      <c r="AF3088" t="n">
        <v>3</v>
      </c>
      <c r="AG3088" t="n">
        <v>3</v>
      </c>
      <c r="AH3088" t="n">
        <v>2</v>
      </c>
      <c r="AI3088" t="n">
        <v>2</v>
      </c>
      <c r="AJ3088" t="n">
        <v>6</v>
      </c>
      <c r="AK3088" t="n">
        <v>6</v>
      </c>
      <c r="AL3088" t="n">
        <v>0</v>
      </c>
      <c r="AM3088" t="n">
        <v>0</v>
      </c>
      <c r="AN3088" t="n">
        <v>0</v>
      </c>
      <c r="AO3088" t="n">
        <v>0</v>
      </c>
      <c r="AP3088" t="inlineStr">
        <is>
          <t>No</t>
        </is>
      </c>
      <c r="AQ3088" t="inlineStr">
        <is>
          <t>Yes</t>
        </is>
      </c>
      <c r="AR3088">
        <f>HYPERLINK("http://catalog.hathitrust.org/Record/011239423","HathiTrust Record")</f>
        <v/>
      </c>
      <c r="AS3088">
        <f>HYPERLINK("https://creighton-primo.hosted.exlibrisgroup.com/primo-explore/search?tab=default_tab&amp;search_scope=EVERYTHING&amp;vid=01CRU&amp;lang=en_US&amp;offset=0&amp;query=any,contains,991003870909702656","Catalog Record")</f>
        <v/>
      </c>
      <c r="AT3088">
        <f>HYPERLINK("http://www.worldcat.org/oclc/1693064","WorldCat Record")</f>
        <v/>
      </c>
      <c r="AU3088" t="inlineStr">
        <is>
          <t>8907311464:eng</t>
        </is>
      </c>
      <c r="AV3088" t="inlineStr">
        <is>
          <t>1693064</t>
        </is>
      </c>
      <c r="AW3088" t="inlineStr">
        <is>
          <t>991003870909702656</t>
        </is>
      </c>
      <c r="AX3088" t="inlineStr">
        <is>
          <t>991003870909702656</t>
        </is>
      </c>
      <c r="AY3088" t="inlineStr">
        <is>
          <t>2256760750002656</t>
        </is>
      </c>
      <c r="AZ3088" t="inlineStr">
        <is>
          <t>BOOK</t>
        </is>
      </c>
      <c r="BC3088" t="inlineStr">
        <is>
          <t>32285001082238</t>
        </is>
      </c>
      <c r="BD3088" t="inlineStr">
        <is>
          <t>893617887</t>
        </is>
      </c>
    </row>
    <row r="3089">
      <c r="A3089" t="inlineStr">
        <is>
          <t>No</t>
        </is>
      </c>
      <c r="B3089" t="inlineStr">
        <is>
          <t>BX890 .F669 1952</t>
        </is>
      </c>
      <c r="C3089" t="inlineStr">
        <is>
          <t>0                      BX 0890000F  669         1952</t>
        </is>
      </c>
      <c r="D3089" t="inlineStr">
        <is>
          <t>The words of Saint Francis : an anthology / compiled and arr. by James Meyer.</t>
        </is>
      </c>
      <c r="F3089" t="inlineStr">
        <is>
          <t>No</t>
        </is>
      </c>
      <c r="G3089" t="inlineStr">
        <is>
          <t>1</t>
        </is>
      </c>
      <c r="H3089" t="inlineStr">
        <is>
          <t>No</t>
        </is>
      </c>
      <c r="I3089" t="inlineStr">
        <is>
          <t>No</t>
        </is>
      </c>
      <c r="J3089" t="inlineStr">
        <is>
          <t>0</t>
        </is>
      </c>
      <c r="K3089" t="inlineStr">
        <is>
          <t>Francis, of Assisi, Saint, 1182-1226.</t>
        </is>
      </c>
      <c r="L3089" t="inlineStr">
        <is>
          <t>Chicago : Franciscan Herald Press, [1952]</t>
        </is>
      </c>
      <c r="M3089" t="inlineStr">
        <is>
          <t>1952</t>
        </is>
      </c>
      <c r="O3089" t="inlineStr">
        <is>
          <t>eng</t>
        </is>
      </c>
      <c r="P3089" t="inlineStr">
        <is>
          <t>ilu</t>
        </is>
      </c>
      <c r="R3089" t="inlineStr">
        <is>
          <t xml:space="preserve">BX </t>
        </is>
      </c>
      <c r="S3089" t="n">
        <v>5</v>
      </c>
      <c r="T3089" t="n">
        <v>5</v>
      </c>
      <c r="U3089" t="inlineStr">
        <is>
          <t>1993-11-05</t>
        </is>
      </c>
      <c r="V3089" t="inlineStr">
        <is>
          <t>1993-11-05</t>
        </is>
      </c>
      <c r="W3089" t="inlineStr">
        <is>
          <t>1992-05-07</t>
        </is>
      </c>
      <c r="X3089" t="inlineStr">
        <is>
          <t>1992-05-07</t>
        </is>
      </c>
      <c r="Y3089" t="n">
        <v>94</v>
      </c>
      <c r="Z3089" t="n">
        <v>90</v>
      </c>
      <c r="AA3089" t="n">
        <v>158</v>
      </c>
      <c r="AB3089" t="n">
        <v>3</v>
      </c>
      <c r="AC3089" t="n">
        <v>3</v>
      </c>
      <c r="AD3089" t="n">
        <v>8</v>
      </c>
      <c r="AE3089" t="n">
        <v>11</v>
      </c>
      <c r="AF3089" t="n">
        <v>2</v>
      </c>
      <c r="AG3089" t="n">
        <v>4</v>
      </c>
      <c r="AH3089" t="n">
        <v>3</v>
      </c>
      <c r="AI3089" t="n">
        <v>4</v>
      </c>
      <c r="AJ3089" t="n">
        <v>4</v>
      </c>
      <c r="AK3089" t="n">
        <v>7</v>
      </c>
      <c r="AL3089" t="n">
        <v>0</v>
      </c>
      <c r="AM3089" t="n">
        <v>0</v>
      </c>
      <c r="AN3089" t="n">
        <v>0</v>
      </c>
      <c r="AO3089" t="n">
        <v>0</v>
      </c>
      <c r="AP3089" t="inlineStr">
        <is>
          <t>No</t>
        </is>
      </c>
      <c r="AQ3089" t="inlineStr">
        <is>
          <t>No</t>
        </is>
      </c>
      <c r="AS3089">
        <f>HYPERLINK("https://creighton-primo.hosted.exlibrisgroup.com/primo-explore/search?tab=default_tab&amp;search_scope=EVERYTHING&amp;vid=01CRU&amp;lang=en_US&amp;offset=0&amp;query=any,contains,991004532699702656","Catalog Record")</f>
        <v/>
      </c>
      <c r="AT3089">
        <f>HYPERLINK("http://www.worldcat.org/oclc/3857177","WorldCat Record")</f>
        <v/>
      </c>
      <c r="AU3089" t="inlineStr">
        <is>
          <t>1059117748:eng</t>
        </is>
      </c>
      <c r="AV3089" t="inlineStr">
        <is>
          <t>3857177</t>
        </is>
      </c>
      <c r="AW3089" t="inlineStr">
        <is>
          <t>991004532699702656</t>
        </is>
      </c>
      <c r="AX3089" t="inlineStr">
        <is>
          <t>991004532699702656</t>
        </is>
      </c>
      <c r="AY3089" t="inlineStr">
        <is>
          <t>2262818430002656</t>
        </is>
      </c>
      <c r="AZ3089" t="inlineStr">
        <is>
          <t>BOOK</t>
        </is>
      </c>
      <c r="BC3089" t="inlineStr">
        <is>
          <t>32285001082253</t>
        </is>
      </c>
      <c r="BD3089" t="inlineStr">
        <is>
          <t>893319353</t>
        </is>
      </c>
    </row>
    <row r="3090">
      <c r="A3090" t="inlineStr">
        <is>
          <t>No</t>
        </is>
      </c>
      <c r="B3090" t="inlineStr">
        <is>
          <t>BX890 .G35 1924</t>
        </is>
      </c>
      <c r="C3090" t="inlineStr">
        <is>
          <t>0                      BX 0890000G  35          1924</t>
        </is>
      </c>
      <c r="D3090" t="inlineStr">
        <is>
          <t>The mission of St. Augustine and other addresses / by Cardinal Gasquet.</t>
        </is>
      </c>
      <c r="F3090" t="inlineStr">
        <is>
          <t>No</t>
        </is>
      </c>
      <c r="G3090" t="inlineStr">
        <is>
          <t>1</t>
        </is>
      </c>
      <c r="H3090" t="inlineStr">
        <is>
          <t>No</t>
        </is>
      </c>
      <c r="I3090" t="inlineStr">
        <is>
          <t>No</t>
        </is>
      </c>
      <c r="J3090" t="inlineStr">
        <is>
          <t>0</t>
        </is>
      </c>
      <c r="K3090" t="inlineStr">
        <is>
          <t>Gasquet, Francis Aidan, 1846-1929.</t>
        </is>
      </c>
      <c r="L3090" t="inlineStr">
        <is>
          <t>London : G. Bell and sons, ltd., 1924.</t>
        </is>
      </c>
      <c r="M3090" t="inlineStr">
        <is>
          <t>1924</t>
        </is>
      </c>
      <c r="O3090" t="inlineStr">
        <is>
          <t>eng</t>
        </is>
      </c>
      <c r="P3090" t="inlineStr">
        <is>
          <t xml:space="preserve">xx </t>
        </is>
      </c>
      <c r="R3090" t="inlineStr">
        <is>
          <t xml:space="preserve">BX </t>
        </is>
      </c>
      <c r="S3090" t="n">
        <v>2</v>
      </c>
      <c r="T3090" t="n">
        <v>2</v>
      </c>
      <c r="U3090" t="inlineStr">
        <is>
          <t>2001-09-05</t>
        </is>
      </c>
      <c r="V3090" t="inlineStr">
        <is>
          <t>2001-09-05</t>
        </is>
      </c>
      <c r="W3090" t="inlineStr">
        <is>
          <t>1992-05-07</t>
        </is>
      </c>
      <c r="X3090" t="inlineStr">
        <is>
          <t>1992-05-07</t>
        </is>
      </c>
      <c r="Y3090" t="n">
        <v>158</v>
      </c>
      <c r="Z3090" t="n">
        <v>122</v>
      </c>
      <c r="AA3090" t="n">
        <v>136</v>
      </c>
      <c r="AB3090" t="n">
        <v>2</v>
      </c>
      <c r="AC3090" t="n">
        <v>2</v>
      </c>
      <c r="AD3090" t="n">
        <v>19</v>
      </c>
      <c r="AE3090" t="n">
        <v>19</v>
      </c>
      <c r="AF3090" t="n">
        <v>3</v>
      </c>
      <c r="AG3090" t="n">
        <v>3</v>
      </c>
      <c r="AH3090" t="n">
        <v>8</v>
      </c>
      <c r="AI3090" t="n">
        <v>8</v>
      </c>
      <c r="AJ3090" t="n">
        <v>14</v>
      </c>
      <c r="AK3090" t="n">
        <v>14</v>
      </c>
      <c r="AL3090" t="n">
        <v>0</v>
      </c>
      <c r="AM3090" t="n">
        <v>0</v>
      </c>
      <c r="AN3090" t="n">
        <v>0</v>
      </c>
      <c r="AO3090" t="n">
        <v>0</v>
      </c>
      <c r="AP3090" t="inlineStr">
        <is>
          <t>Yes</t>
        </is>
      </c>
      <c r="AQ3090" t="inlineStr">
        <is>
          <t>No</t>
        </is>
      </c>
      <c r="AR3090">
        <f>HYPERLINK("http://catalog.hathitrust.org/Record/006284259","HathiTrust Record")</f>
        <v/>
      </c>
      <c r="AS3090">
        <f>HYPERLINK("https://creighton-primo.hosted.exlibrisgroup.com/primo-explore/search?tab=default_tab&amp;search_scope=EVERYTHING&amp;vid=01CRU&amp;lang=en_US&amp;offset=0&amp;query=any,contains,991002966729702656","Catalog Record")</f>
        <v/>
      </c>
      <c r="AT3090">
        <f>HYPERLINK("http://www.worldcat.org/oclc/546391","WorldCat Record")</f>
        <v/>
      </c>
      <c r="AU3090" t="inlineStr">
        <is>
          <t>196923764:eng</t>
        </is>
      </c>
      <c r="AV3090" t="inlineStr">
        <is>
          <t>546391</t>
        </is>
      </c>
      <c r="AW3090" t="inlineStr">
        <is>
          <t>991002966729702656</t>
        </is>
      </c>
      <c r="AX3090" t="inlineStr">
        <is>
          <t>991002966729702656</t>
        </is>
      </c>
      <c r="AY3090" t="inlineStr">
        <is>
          <t>2265044030002656</t>
        </is>
      </c>
      <c r="AZ3090" t="inlineStr">
        <is>
          <t>BOOK</t>
        </is>
      </c>
      <c r="BC3090" t="inlineStr">
        <is>
          <t>32285001082261</t>
        </is>
      </c>
      <c r="BD3090" t="inlineStr">
        <is>
          <t>893245878</t>
        </is>
      </c>
    </row>
    <row r="3091">
      <c r="A3091" t="inlineStr">
        <is>
          <t>No</t>
        </is>
      </c>
      <c r="B3091" t="inlineStr">
        <is>
          <t>BX890 .G515</t>
        </is>
      </c>
      <c r="C3091" t="inlineStr">
        <is>
          <t>0                      BX 0890000G  515</t>
        </is>
      </c>
      <c r="D3091" t="inlineStr">
        <is>
          <t>This mysterious human nature / [by] James M. Gillis.</t>
        </is>
      </c>
      <c r="F3091" t="inlineStr">
        <is>
          <t>No</t>
        </is>
      </c>
      <c r="G3091" t="inlineStr">
        <is>
          <t>1</t>
        </is>
      </c>
      <c r="H3091" t="inlineStr">
        <is>
          <t>No</t>
        </is>
      </c>
      <c r="I3091" t="inlineStr">
        <is>
          <t>No</t>
        </is>
      </c>
      <c r="J3091" t="inlineStr">
        <is>
          <t>0</t>
        </is>
      </c>
      <c r="K3091" t="inlineStr">
        <is>
          <t>Gillis, James M. (James Martin), 1876-1957.</t>
        </is>
      </c>
      <c r="L3091" t="inlineStr">
        <is>
          <t>New York : Scribner, 1956.</t>
        </is>
      </c>
      <c r="M3091" t="inlineStr">
        <is>
          <t>1956</t>
        </is>
      </c>
      <c r="O3091" t="inlineStr">
        <is>
          <t>eng</t>
        </is>
      </c>
      <c r="P3091" t="inlineStr">
        <is>
          <t>___</t>
        </is>
      </c>
      <c r="R3091" t="inlineStr">
        <is>
          <t xml:space="preserve">BX </t>
        </is>
      </c>
      <c r="S3091" t="n">
        <v>2</v>
      </c>
      <c r="T3091" t="n">
        <v>2</v>
      </c>
      <c r="U3091" t="inlineStr">
        <is>
          <t>1992-11-01</t>
        </is>
      </c>
      <c r="V3091" t="inlineStr">
        <is>
          <t>1992-11-01</t>
        </is>
      </c>
      <c r="W3091" t="inlineStr">
        <is>
          <t>1992-05-07</t>
        </is>
      </c>
      <c r="X3091" t="inlineStr">
        <is>
          <t>1992-05-07</t>
        </is>
      </c>
      <c r="Y3091" t="n">
        <v>186</v>
      </c>
      <c r="Z3091" t="n">
        <v>176</v>
      </c>
      <c r="AA3091" t="n">
        <v>183</v>
      </c>
      <c r="AB3091" t="n">
        <v>3</v>
      </c>
      <c r="AC3091" t="n">
        <v>3</v>
      </c>
      <c r="AD3091" t="n">
        <v>23</v>
      </c>
      <c r="AE3091" t="n">
        <v>23</v>
      </c>
      <c r="AF3091" t="n">
        <v>6</v>
      </c>
      <c r="AG3091" t="n">
        <v>6</v>
      </c>
      <c r="AH3091" t="n">
        <v>5</v>
      </c>
      <c r="AI3091" t="n">
        <v>5</v>
      </c>
      <c r="AJ3091" t="n">
        <v>17</v>
      </c>
      <c r="AK3091" t="n">
        <v>17</v>
      </c>
      <c r="AL3091" t="n">
        <v>1</v>
      </c>
      <c r="AM3091" t="n">
        <v>1</v>
      </c>
      <c r="AN3091" t="n">
        <v>0</v>
      </c>
      <c r="AO3091" t="n">
        <v>0</v>
      </c>
      <c r="AP3091" t="inlineStr">
        <is>
          <t>No</t>
        </is>
      </c>
      <c r="AQ3091" t="inlineStr">
        <is>
          <t>Yes</t>
        </is>
      </c>
      <c r="AR3091">
        <f>HYPERLINK("http://catalog.hathitrust.org/Record/012271214","HathiTrust Record")</f>
        <v/>
      </c>
      <c r="AS3091">
        <f>HYPERLINK("https://creighton-primo.hosted.exlibrisgroup.com/primo-explore/search?tab=default_tab&amp;search_scope=EVERYTHING&amp;vid=01CRU&amp;lang=en_US&amp;offset=0&amp;query=any,contains,991003754389702656","Catalog Record")</f>
        <v/>
      </c>
      <c r="AT3091">
        <f>HYPERLINK("http://www.worldcat.org/oclc/1433612","WorldCat Record")</f>
        <v/>
      </c>
      <c r="AU3091" t="inlineStr">
        <is>
          <t>2322217:eng</t>
        </is>
      </c>
      <c r="AV3091" t="inlineStr">
        <is>
          <t>1433612</t>
        </is>
      </c>
      <c r="AW3091" t="inlineStr">
        <is>
          <t>991003754389702656</t>
        </is>
      </c>
      <c r="AX3091" t="inlineStr">
        <is>
          <t>991003754389702656</t>
        </is>
      </c>
      <c r="AY3091" t="inlineStr">
        <is>
          <t>2269500310002656</t>
        </is>
      </c>
      <c r="AZ3091" t="inlineStr">
        <is>
          <t>BOOK</t>
        </is>
      </c>
      <c r="BC3091" t="inlineStr">
        <is>
          <t>32285001082295</t>
        </is>
      </c>
      <c r="BD3091" t="inlineStr">
        <is>
          <t>893518834</t>
        </is>
      </c>
    </row>
    <row r="3092">
      <c r="A3092" t="inlineStr">
        <is>
          <t>No</t>
        </is>
      </c>
      <c r="B3092" t="inlineStr">
        <is>
          <t>BX890 .J62 1960</t>
        </is>
      </c>
      <c r="C3092" t="inlineStr">
        <is>
          <t>0                      BX 0890000J  62          1960</t>
        </is>
      </c>
      <c r="D3092" t="inlineStr">
        <is>
          <t>Vida y obras de San Juan de la Cruz : Biografía / de Crisógono de Jesús, O.C.D. ; Revisada y aumentada con notas por Matías del Niño Jesús, O.C.D. Edición crítica ... notas y apéndices por Lucinio Ruano, O.C.D.</t>
        </is>
      </c>
      <c r="F3092" t="inlineStr">
        <is>
          <t>No</t>
        </is>
      </c>
      <c r="G3092" t="inlineStr">
        <is>
          <t>1</t>
        </is>
      </c>
      <c r="H3092" t="inlineStr">
        <is>
          <t>No</t>
        </is>
      </c>
      <c r="I3092" t="inlineStr">
        <is>
          <t>No</t>
        </is>
      </c>
      <c r="J3092" t="inlineStr">
        <is>
          <t>0</t>
        </is>
      </c>
      <c r="K3092" t="inlineStr">
        <is>
          <t>John of the Cross, Saint, 1542-1591.</t>
        </is>
      </c>
      <c r="L3092" t="inlineStr">
        <is>
          <t>Madrid : [La Editorial Catolica], 1960.</t>
        </is>
      </c>
      <c r="M3092" t="inlineStr">
        <is>
          <t>1960</t>
        </is>
      </c>
      <c r="N3092" t="inlineStr">
        <is>
          <t>4. ed.</t>
        </is>
      </c>
      <c r="O3092" t="inlineStr">
        <is>
          <t>spa</t>
        </is>
      </c>
      <c r="P3092" t="inlineStr">
        <is>
          <t xml:space="preserve">sp </t>
        </is>
      </c>
      <c r="Q3092" t="inlineStr">
        <is>
          <t>Biblioteca de autores cristianos ; 15 : Sección 4 ; Ascetica y mistica</t>
        </is>
      </c>
      <c r="R3092" t="inlineStr">
        <is>
          <t xml:space="preserve">BX </t>
        </is>
      </c>
      <c r="S3092" t="n">
        <v>5</v>
      </c>
      <c r="T3092" t="n">
        <v>5</v>
      </c>
      <c r="U3092" t="inlineStr">
        <is>
          <t>2010-10-15</t>
        </is>
      </c>
      <c r="V3092" t="inlineStr">
        <is>
          <t>2010-10-15</t>
        </is>
      </c>
      <c r="W3092" t="inlineStr">
        <is>
          <t>1992-05-07</t>
        </is>
      </c>
      <c r="X3092" t="inlineStr">
        <is>
          <t>1992-05-07</t>
        </is>
      </c>
      <c r="Y3092" t="n">
        <v>33</v>
      </c>
      <c r="Z3092" t="n">
        <v>28</v>
      </c>
      <c r="AA3092" t="n">
        <v>130</v>
      </c>
      <c r="AB3092" t="n">
        <v>1</v>
      </c>
      <c r="AC3092" t="n">
        <v>2</v>
      </c>
      <c r="AD3092" t="n">
        <v>4</v>
      </c>
      <c r="AE3092" t="n">
        <v>9</v>
      </c>
      <c r="AF3092" t="n">
        <v>0</v>
      </c>
      <c r="AG3092" t="n">
        <v>1</v>
      </c>
      <c r="AH3092" t="n">
        <v>0</v>
      </c>
      <c r="AI3092" t="n">
        <v>2</v>
      </c>
      <c r="AJ3092" t="n">
        <v>4</v>
      </c>
      <c r="AK3092" t="n">
        <v>7</v>
      </c>
      <c r="AL3092" t="n">
        <v>0</v>
      </c>
      <c r="AM3092" t="n">
        <v>0</v>
      </c>
      <c r="AN3092" t="n">
        <v>0</v>
      </c>
      <c r="AO3092" t="n">
        <v>0</v>
      </c>
      <c r="AP3092" t="inlineStr">
        <is>
          <t>No</t>
        </is>
      </c>
      <c r="AQ3092" t="inlineStr">
        <is>
          <t>Yes</t>
        </is>
      </c>
      <c r="AR3092">
        <f>HYPERLINK("http://catalog.hathitrust.org/Record/102629372","HathiTrust Record")</f>
        <v/>
      </c>
      <c r="AS3092">
        <f>HYPERLINK("https://creighton-primo.hosted.exlibrisgroup.com/primo-explore/search?tab=default_tab&amp;search_scope=EVERYTHING&amp;vid=01CRU&amp;lang=en_US&amp;offset=0&amp;query=any,contains,991004551859702656","Catalog Record")</f>
        <v/>
      </c>
      <c r="AT3092">
        <f>HYPERLINK("http://www.worldcat.org/oclc/3948578","WorldCat Record")</f>
        <v/>
      </c>
      <c r="AU3092" t="inlineStr">
        <is>
          <t>5534325549:spa</t>
        </is>
      </c>
      <c r="AV3092" t="inlineStr">
        <is>
          <t>3948578</t>
        </is>
      </c>
      <c r="AW3092" t="inlineStr">
        <is>
          <t>991004551859702656</t>
        </is>
      </c>
      <c r="AX3092" t="inlineStr">
        <is>
          <t>991004551859702656</t>
        </is>
      </c>
      <c r="AY3092" t="inlineStr">
        <is>
          <t>2266273360002656</t>
        </is>
      </c>
      <c r="AZ3092" t="inlineStr">
        <is>
          <t>BOOK</t>
        </is>
      </c>
      <c r="BC3092" t="inlineStr">
        <is>
          <t>32285001082378</t>
        </is>
      </c>
      <c r="BD3092" t="inlineStr">
        <is>
          <t>893807215</t>
        </is>
      </c>
    </row>
    <row r="3093">
      <c r="A3093" t="inlineStr">
        <is>
          <t>No</t>
        </is>
      </c>
      <c r="B3093" t="inlineStr">
        <is>
          <t>BX890 .M26 1877</t>
        </is>
      </c>
      <c r="C3093" t="inlineStr">
        <is>
          <t>0                      BX 0890000M  26          1877</t>
        </is>
      </c>
      <c r="D3093" t="inlineStr">
        <is>
          <t>Miscellanies. By Henry Edward, cardinal, archbishop of Westminster.</t>
        </is>
      </c>
      <c r="F3093" t="inlineStr">
        <is>
          <t>No</t>
        </is>
      </c>
      <c r="G3093" t="inlineStr">
        <is>
          <t>1</t>
        </is>
      </c>
      <c r="H3093" t="inlineStr">
        <is>
          <t>No</t>
        </is>
      </c>
      <c r="I3093" t="inlineStr">
        <is>
          <t>No</t>
        </is>
      </c>
      <c r="J3093" t="inlineStr">
        <is>
          <t>0</t>
        </is>
      </c>
      <c r="K3093" t="inlineStr">
        <is>
          <t>Manning, Henry Edward, 1808-1892.</t>
        </is>
      </c>
      <c r="L3093" t="inlineStr">
        <is>
          <t>New York, Catholic Publication Society, 1877.</t>
        </is>
      </c>
      <c r="M3093" t="inlineStr">
        <is>
          <t>1877</t>
        </is>
      </c>
      <c r="N3093" t="inlineStr">
        <is>
          <t>1st American ed.</t>
        </is>
      </c>
      <c r="O3093" t="inlineStr">
        <is>
          <t>eng</t>
        </is>
      </c>
      <c r="P3093" t="inlineStr">
        <is>
          <t>___</t>
        </is>
      </c>
      <c r="R3093" t="inlineStr">
        <is>
          <t xml:space="preserve">BX </t>
        </is>
      </c>
      <c r="S3093" t="n">
        <v>5</v>
      </c>
      <c r="T3093" t="n">
        <v>5</v>
      </c>
      <c r="U3093" t="inlineStr">
        <is>
          <t>1994-10-13</t>
        </is>
      </c>
      <c r="V3093" t="inlineStr">
        <is>
          <t>1994-10-13</t>
        </is>
      </c>
      <c r="W3093" t="inlineStr">
        <is>
          <t>1992-05-07</t>
        </is>
      </c>
      <c r="X3093" t="inlineStr">
        <is>
          <t>1992-05-07</t>
        </is>
      </c>
      <c r="Y3093" t="n">
        <v>52</v>
      </c>
      <c r="Z3093" t="n">
        <v>46</v>
      </c>
      <c r="AA3093" t="n">
        <v>85</v>
      </c>
      <c r="AB3093" t="n">
        <v>1</v>
      </c>
      <c r="AC3093" t="n">
        <v>2</v>
      </c>
      <c r="AD3093" t="n">
        <v>10</v>
      </c>
      <c r="AE3093" t="n">
        <v>17</v>
      </c>
      <c r="AF3093" t="n">
        <v>3</v>
      </c>
      <c r="AG3093" t="n">
        <v>5</v>
      </c>
      <c r="AH3093" t="n">
        <v>3</v>
      </c>
      <c r="AI3093" t="n">
        <v>6</v>
      </c>
      <c r="AJ3093" t="n">
        <v>9</v>
      </c>
      <c r="AK3093" t="n">
        <v>13</v>
      </c>
      <c r="AL3093" t="n">
        <v>0</v>
      </c>
      <c r="AM3093" t="n">
        <v>0</v>
      </c>
      <c r="AN3093" t="n">
        <v>0</v>
      </c>
      <c r="AO3093" t="n">
        <v>0</v>
      </c>
      <c r="AP3093" t="inlineStr">
        <is>
          <t>No</t>
        </is>
      </c>
      <c r="AQ3093" t="inlineStr">
        <is>
          <t>No</t>
        </is>
      </c>
      <c r="AS3093">
        <f>HYPERLINK("https://creighton-primo.hosted.exlibrisgroup.com/primo-explore/search?tab=default_tab&amp;search_scope=EVERYTHING&amp;vid=01CRU&amp;lang=en_US&amp;offset=0&amp;query=any,contains,991003133619702656","Catalog Record")</f>
        <v/>
      </c>
      <c r="AT3093">
        <f>HYPERLINK("http://www.worldcat.org/oclc/676071","WorldCat Record")</f>
        <v/>
      </c>
      <c r="AU3093" t="inlineStr">
        <is>
          <t>1569013:eng</t>
        </is>
      </c>
      <c r="AV3093" t="inlineStr">
        <is>
          <t>676071</t>
        </is>
      </c>
      <c r="AW3093" t="inlineStr">
        <is>
          <t>991003133619702656</t>
        </is>
      </c>
      <c r="AX3093" t="inlineStr">
        <is>
          <t>991003133619702656</t>
        </is>
      </c>
      <c r="AY3093" t="inlineStr">
        <is>
          <t>2270141900002656</t>
        </is>
      </c>
      <c r="AZ3093" t="inlineStr">
        <is>
          <t>BOOK</t>
        </is>
      </c>
      <c r="BC3093" t="inlineStr">
        <is>
          <t>32285001082519</t>
        </is>
      </c>
      <c r="BD3093" t="inlineStr">
        <is>
          <t>893530870</t>
        </is>
      </c>
    </row>
    <row r="3094">
      <c r="A3094" t="inlineStr">
        <is>
          <t>No</t>
        </is>
      </c>
      <c r="B3094" t="inlineStr">
        <is>
          <t>BX890 .N417 1963</t>
        </is>
      </c>
      <c r="C3094" t="inlineStr">
        <is>
          <t>0                      BX 0890000N  417         1963</t>
        </is>
      </c>
      <c r="D3094" t="inlineStr">
        <is>
          <t>The essential Newman / edited by Vincent Ferrer Blehl.</t>
        </is>
      </c>
      <c r="F3094" t="inlineStr">
        <is>
          <t>No</t>
        </is>
      </c>
      <c r="G3094" t="inlineStr">
        <is>
          <t>1</t>
        </is>
      </c>
      <c r="H3094" t="inlineStr">
        <is>
          <t>No</t>
        </is>
      </c>
      <c r="I3094" t="inlineStr">
        <is>
          <t>No</t>
        </is>
      </c>
      <c r="J3094" t="inlineStr">
        <is>
          <t>0</t>
        </is>
      </c>
      <c r="K3094" t="inlineStr">
        <is>
          <t>Newman, John Henry, 1801-1890.</t>
        </is>
      </c>
      <c r="L3094" t="inlineStr">
        <is>
          <t>[New York] : New American Library, [1963]</t>
        </is>
      </c>
      <c r="M3094" t="inlineStr">
        <is>
          <t>1963</t>
        </is>
      </c>
      <c r="O3094" t="inlineStr">
        <is>
          <t>eng</t>
        </is>
      </c>
      <c r="P3094" t="inlineStr">
        <is>
          <t>nyu</t>
        </is>
      </c>
      <c r="Q3094" t="inlineStr">
        <is>
          <t>A Mentor-Omega book, MT488</t>
        </is>
      </c>
      <c r="R3094" t="inlineStr">
        <is>
          <t xml:space="preserve">BX </t>
        </is>
      </c>
      <c r="S3094" t="n">
        <v>8</v>
      </c>
      <c r="T3094" t="n">
        <v>8</v>
      </c>
      <c r="U3094" t="inlineStr">
        <is>
          <t>1998-09-14</t>
        </is>
      </c>
      <c r="V3094" t="inlineStr">
        <is>
          <t>1998-09-14</t>
        </is>
      </c>
      <c r="W3094" t="inlineStr">
        <is>
          <t>1992-03-26</t>
        </is>
      </c>
      <c r="X3094" t="inlineStr">
        <is>
          <t>1992-03-26</t>
        </is>
      </c>
      <c r="Y3094" t="n">
        <v>296</v>
      </c>
      <c r="Z3094" t="n">
        <v>245</v>
      </c>
      <c r="AA3094" t="n">
        <v>252</v>
      </c>
      <c r="AB3094" t="n">
        <v>2</v>
      </c>
      <c r="AC3094" t="n">
        <v>2</v>
      </c>
      <c r="AD3094" t="n">
        <v>20</v>
      </c>
      <c r="AE3094" t="n">
        <v>20</v>
      </c>
      <c r="AF3094" t="n">
        <v>7</v>
      </c>
      <c r="AG3094" t="n">
        <v>7</v>
      </c>
      <c r="AH3094" t="n">
        <v>3</v>
      </c>
      <c r="AI3094" t="n">
        <v>3</v>
      </c>
      <c r="AJ3094" t="n">
        <v>15</v>
      </c>
      <c r="AK3094" t="n">
        <v>15</v>
      </c>
      <c r="AL3094" t="n">
        <v>0</v>
      </c>
      <c r="AM3094" t="n">
        <v>0</v>
      </c>
      <c r="AN3094" t="n">
        <v>0</v>
      </c>
      <c r="AO3094" t="n">
        <v>0</v>
      </c>
      <c r="AP3094" t="inlineStr">
        <is>
          <t>No</t>
        </is>
      </c>
      <c r="AQ3094" t="inlineStr">
        <is>
          <t>Yes</t>
        </is>
      </c>
      <c r="AR3094">
        <f>HYPERLINK("http://catalog.hathitrust.org/Record/102075614","HathiTrust Record")</f>
        <v/>
      </c>
      <c r="AS3094">
        <f>HYPERLINK("https://creighton-primo.hosted.exlibrisgroup.com/primo-explore/search?tab=default_tab&amp;search_scope=EVERYTHING&amp;vid=01CRU&amp;lang=en_US&amp;offset=0&amp;query=any,contains,991003420229702656","Catalog Record")</f>
        <v/>
      </c>
      <c r="AT3094">
        <f>HYPERLINK("http://www.worldcat.org/oclc/960986","WorldCat Record")</f>
        <v/>
      </c>
      <c r="AU3094" t="inlineStr">
        <is>
          <t>1912352:eng</t>
        </is>
      </c>
      <c r="AV3094" t="inlineStr">
        <is>
          <t>960986</t>
        </is>
      </c>
      <c r="AW3094" t="inlineStr">
        <is>
          <t>991003420229702656</t>
        </is>
      </c>
      <c r="AX3094" t="inlineStr">
        <is>
          <t>991003420229702656</t>
        </is>
      </c>
      <c r="AY3094" t="inlineStr">
        <is>
          <t>2258642110002656</t>
        </is>
      </c>
      <c r="AZ3094" t="inlineStr">
        <is>
          <t>BOOK</t>
        </is>
      </c>
      <c r="BC3094" t="inlineStr">
        <is>
          <t>32285001040707</t>
        </is>
      </c>
      <c r="BD3094" t="inlineStr">
        <is>
          <t>893518463</t>
        </is>
      </c>
    </row>
    <row r="3095">
      <c r="A3095" t="inlineStr">
        <is>
          <t>No</t>
        </is>
      </c>
      <c r="B3095" t="inlineStr">
        <is>
          <t>BX890 .N52</t>
        </is>
      </c>
      <c r="C3095" t="inlineStr">
        <is>
          <t>0                      BX 0890000N  52</t>
        </is>
      </c>
      <c r="D3095" t="inlineStr">
        <is>
          <t>Unity and reform; selected writings. Edited by John Patrick Dolan.</t>
        </is>
      </c>
      <c r="F3095" t="inlineStr">
        <is>
          <t>No</t>
        </is>
      </c>
      <c r="G3095" t="inlineStr">
        <is>
          <t>1</t>
        </is>
      </c>
      <c r="H3095" t="inlineStr">
        <is>
          <t>No</t>
        </is>
      </c>
      <c r="I3095" t="inlineStr">
        <is>
          <t>No</t>
        </is>
      </c>
      <c r="J3095" t="inlineStr">
        <is>
          <t>0</t>
        </is>
      </c>
      <c r="K3095" t="inlineStr">
        <is>
          <t>Nicholas, of Cusa, Cardinal, 1401-1464.</t>
        </is>
      </c>
      <c r="L3095" t="inlineStr">
        <is>
          <t>[Notre Dame, Ind.] University of Notre Dame Press [c1962]</t>
        </is>
      </c>
      <c r="M3095" t="inlineStr">
        <is>
          <t>1962</t>
        </is>
      </c>
      <c r="O3095" t="inlineStr">
        <is>
          <t>eng</t>
        </is>
      </c>
      <c r="P3095" t="inlineStr">
        <is>
          <t>___</t>
        </is>
      </c>
      <c r="R3095" t="inlineStr">
        <is>
          <t xml:space="preserve">BX </t>
        </is>
      </c>
      <c r="S3095" t="n">
        <v>1</v>
      </c>
      <c r="T3095" t="n">
        <v>1</v>
      </c>
      <c r="U3095" t="inlineStr">
        <is>
          <t>2002-05-13</t>
        </is>
      </c>
      <c r="V3095" t="inlineStr">
        <is>
          <t>2002-05-13</t>
        </is>
      </c>
      <c r="W3095" t="inlineStr">
        <is>
          <t>1990-05-17</t>
        </is>
      </c>
      <c r="X3095" t="inlineStr">
        <is>
          <t>1990-05-17</t>
        </is>
      </c>
      <c r="Y3095" t="n">
        <v>574</v>
      </c>
      <c r="Z3095" t="n">
        <v>518</v>
      </c>
      <c r="AA3095" t="n">
        <v>535</v>
      </c>
      <c r="AB3095" t="n">
        <v>4</v>
      </c>
      <c r="AC3095" t="n">
        <v>4</v>
      </c>
      <c r="AD3095" t="n">
        <v>38</v>
      </c>
      <c r="AE3095" t="n">
        <v>38</v>
      </c>
      <c r="AF3095" t="n">
        <v>14</v>
      </c>
      <c r="AG3095" t="n">
        <v>14</v>
      </c>
      <c r="AH3095" t="n">
        <v>10</v>
      </c>
      <c r="AI3095" t="n">
        <v>10</v>
      </c>
      <c r="AJ3095" t="n">
        <v>25</v>
      </c>
      <c r="AK3095" t="n">
        <v>25</v>
      </c>
      <c r="AL3095" t="n">
        <v>2</v>
      </c>
      <c r="AM3095" t="n">
        <v>2</v>
      </c>
      <c r="AN3095" t="n">
        <v>0</v>
      </c>
      <c r="AO3095" t="n">
        <v>0</v>
      </c>
      <c r="AP3095" t="inlineStr">
        <is>
          <t>No</t>
        </is>
      </c>
      <c r="AQ3095" t="inlineStr">
        <is>
          <t>Yes</t>
        </is>
      </c>
      <c r="AR3095">
        <f>HYPERLINK("http://catalog.hathitrust.org/Record/001381667","HathiTrust Record")</f>
        <v/>
      </c>
      <c r="AS3095">
        <f>HYPERLINK("https://creighton-primo.hosted.exlibrisgroup.com/primo-explore/search?tab=default_tab&amp;search_scope=EVERYTHING&amp;vid=01CRU&amp;lang=en_US&amp;offset=0&amp;query=any,contains,991003257369702656","Catalog Record")</f>
        <v/>
      </c>
      <c r="AT3095">
        <f>HYPERLINK("http://www.worldcat.org/oclc/386640","WorldCat Record")</f>
        <v/>
      </c>
      <c r="AU3095" t="inlineStr">
        <is>
          <t>52467957:eng</t>
        </is>
      </c>
      <c r="AV3095" t="inlineStr">
        <is>
          <t>386640</t>
        </is>
      </c>
      <c r="AW3095" t="inlineStr">
        <is>
          <t>991003257369702656</t>
        </is>
      </c>
      <c r="AX3095" t="inlineStr">
        <is>
          <t>991003257369702656</t>
        </is>
      </c>
      <c r="AY3095" t="inlineStr">
        <is>
          <t>2263935870002656</t>
        </is>
      </c>
      <c r="AZ3095" t="inlineStr">
        <is>
          <t>BOOK</t>
        </is>
      </c>
      <c r="BC3095" t="inlineStr">
        <is>
          <t>32285000152354</t>
        </is>
      </c>
      <c r="BD3095" t="inlineStr">
        <is>
          <t>893352749</t>
        </is>
      </c>
    </row>
    <row r="3096">
      <c r="A3096" t="inlineStr">
        <is>
          <t>No</t>
        </is>
      </c>
      <c r="B3096" t="inlineStr">
        <is>
          <t>BX890 .O3413 1998</t>
        </is>
      </c>
      <c r="C3096" t="inlineStr">
        <is>
          <t>0                      BX 0890000O  3413        1998</t>
        </is>
      </c>
      <c r="D3096" t="inlineStr">
        <is>
          <t>Quodlibetal questions / William of Ockham ; translated by Alfred J. Freddoso and Francis E. Kelley.</t>
        </is>
      </c>
      <c r="F3096" t="inlineStr">
        <is>
          <t>No</t>
        </is>
      </c>
      <c r="G3096" t="inlineStr">
        <is>
          <t>1</t>
        </is>
      </c>
      <c r="H3096" t="inlineStr">
        <is>
          <t>No</t>
        </is>
      </c>
      <c r="I3096" t="inlineStr">
        <is>
          <t>Yes</t>
        </is>
      </c>
      <c r="J3096" t="inlineStr">
        <is>
          <t>0</t>
        </is>
      </c>
      <c r="K3096" t="inlineStr">
        <is>
          <t>William, of Ockham, approximately 1285-approximately 1349.</t>
        </is>
      </c>
      <c r="L3096" t="inlineStr">
        <is>
          <t>New Haven : Yale University Press, [1998].</t>
        </is>
      </c>
      <c r="M3096" t="inlineStr">
        <is>
          <t>1998</t>
        </is>
      </c>
      <c r="N3096" t="inlineStr">
        <is>
          <t>[Pbk. ed.]</t>
        </is>
      </c>
      <c r="O3096" t="inlineStr">
        <is>
          <t>eng</t>
        </is>
      </c>
      <c r="P3096" t="inlineStr">
        <is>
          <t>ctu</t>
        </is>
      </c>
      <c r="Q3096" t="inlineStr">
        <is>
          <t>Yale library of medieval philosophy</t>
        </is>
      </c>
      <c r="R3096" t="inlineStr">
        <is>
          <t xml:space="preserve">BX </t>
        </is>
      </c>
      <c r="S3096" t="n">
        <v>2</v>
      </c>
      <c r="T3096" t="n">
        <v>2</v>
      </c>
      <c r="U3096" t="inlineStr">
        <is>
          <t>2002-07-28</t>
        </is>
      </c>
      <c r="V3096" t="inlineStr">
        <is>
          <t>2002-07-28</t>
        </is>
      </c>
      <c r="W3096" t="inlineStr">
        <is>
          <t>1998-10-26</t>
        </is>
      </c>
      <c r="X3096" t="inlineStr">
        <is>
          <t>1998-10-26</t>
        </is>
      </c>
      <c r="Y3096" t="n">
        <v>65</v>
      </c>
      <c r="Z3096" t="n">
        <v>58</v>
      </c>
      <c r="AA3096" t="n">
        <v>328</v>
      </c>
      <c r="AB3096" t="n">
        <v>1</v>
      </c>
      <c r="AC3096" t="n">
        <v>4</v>
      </c>
      <c r="AD3096" t="n">
        <v>7</v>
      </c>
      <c r="AE3096" t="n">
        <v>30</v>
      </c>
      <c r="AF3096" t="n">
        <v>3</v>
      </c>
      <c r="AG3096" t="n">
        <v>10</v>
      </c>
      <c r="AH3096" t="n">
        <v>1</v>
      </c>
      <c r="AI3096" t="n">
        <v>6</v>
      </c>
      <c r="AJ3096" t="n">
        <v>5</v>
      </c>
      <c r="AK3096" t="n">
        <v>18</v>
      </c>
      <c r="AL3096" t="n">
        <v>0</v>
      </c>
      <c r="AM3096" t="n">
        <v>3</v>
      </c>
      <c r="AN3096" t="n">
        <v>0</v>
      </c>
      <c r="AO3096" t="n">
        <v>0</v>
      </c>
      <c r="AP3096" t="inlineStr">
        <is>
          <t>No</t>
        </is>
      </c>
      <c r="AQ3096" t="inlineStr">
        <is>
          <t>No</t>
        </is>
      </c>
      <c r="AS3096">
        <f>HYPERLINK("https://creighton-primo.hosted.exlibrisgroup.com/primo-explore/search?tab=default_tab&amp;search_scope=EVERYTHING&amp;vid=01CRU&amp;lang=en_US&amp;offset=0&amp;query=any,contains,991002961409702656","Catalog Record")</f>
        <v/>
      </c>
      <c r="AT3096">
        <f>HYPERLINK("http://www.worldcat.org/oclc/39617339","WorldCat Record")</f>
        <v/>
      </c>
      <c r="AU3096" t="inlineStr">
        <is>
          <t>8946615224:eng</t>
        </is>
      </c>
      <c r="AV3096" t="inlineStr">
        <is>
          <t>39617339</t>
        </is>
      </c>
      <c r="AW3096" t="inlineStr">
        <is>
          <t>991002961409702656</t>
        </is>
      </c>
      <c r="AX3096" t="inlineStr">
        <is>
          <t>991002961409702656</t>
        </is>
      </c>
      <c r="AY3096" t="inlineStr">
        <is>
          <t>2262195990002656</t>
        </is>
      </c>
      <c r="AZ3096" t="inlineStr">
        <is>
          <t>BOOK</t>
        </is>
      </c>
      <c r="BB3096" t="inlineStr">
        <is>
          <t>9780300075069</t>
        </is>
      </c>
      <c r="BC3096" t="inlineStr">
        <is>
          <t>32285003477279</t>
        </is>
      </c>
      <c r="BD3096" t="inlineStr">
        <is>
          <t>893329770</t>
        </is>
      </c>
    </row>
    <row r="3097">
      <c r="A3097" t="inlineStr">
        <is>
          <t>No</t>
        </is>
      </c>
      <c r="B3097" t="inlineStr">
        <is>
          <t>BX890 .O4 1920</t>
        </is>
      </c>
      <c r="C3097" t="inlineStr">
        <is>
          <t>0                      BX 0890000O  4           1920</t>
        </is>
      </c>
      <c r="D3097" t="inlineStr">
        <is>
          <t>Thoughts and memories / by Rev. Henry E. O'Keeffe.</t>
        </is>
      </c>
      <c r="F3097" t="inlineStr">
        <is>
          <t>No</t>
        </is>
      </c>
      <c r="G3097" t="inlineStr">
        <is>
          <t>1</t>
        </is>
      </c>
      <c r="H3097" t="inlineStr">
        <is>
          <t>No</t>
        </is>
      </c>
      <c r="I3097" t="inlineStr">
        <is>
          <t>No</t>
        </is>
      </c>
      <c r="J3097" t="inlineStr">
        <is>
          <t>0</t>
        </is>
      </c>
      <c r="K3097" t="inlineStr">
        <is>
          <t>O'Keeffe, Henry E., -1935.</t>
        </is>
      </c>
      <c r="L3097" t="inlineStr">
        <is>
          <t>New York : The Paulist press, 1920.</t>
        </is>
      </c>
      <c r="M3097" t="inlineStr">
        <is>
          <t>1920</t>
        </is>
      </c>
      <c r="O3097" t="inlineStr">
        <is>
          <t>eng</t>
        </is>
      </c>
      <c r="P3097" t="inlineStr">
        <is>
          <t>nyu</t>
        </is>
      </c>
      <c r="R3097" t="inlineStr">
        <is>
          <t xml:space="preserve">BX </t>
        </is>
      </c>
      <c r="S3097" t="n">
        <v>2</v>
      </c>
      <c r="T3097" t="n">
        <v>2</v>
      </c>
      <c r="U3097" t="inlineStr">
        <is>
          <t>2004-04-01</t>
        </is>
      </c>
      <c r="V3097" t="inlineStr">
        <is>
          <t>2004-04-01</t>
        </is>
      </c>
      <c r="W3097" t="inlineStr">
        <is>
          <t>1992-05-07</t>
        </is>
      </c>
      <c r="X3097" t="inlineStr">
        <is>
          <t>1992-05-07</t>
        </is>
      </c>
      <c r="Y3097" t="n">
        <v>39</v>
      </c>
      <c r="Z3097" t="n">
        <v>35</v>
      </c>
      <c r="AA3097" t="n">
        <v>45</v>
      </c>
      <c r="AB3097" t="n">
        <v>1</v>
      </c>
      <c r="AC3097" t="n">
        <v>1</v>
      </c>
      <c r="AD3097" t="n">
        <v>6</v>
      </c>
      <c r="AE3097" t="n">
        <v>6</v>
      </c>
      <c r="AF3097" t="n">
        <v>0</v>
      </c>
      <c r="AG3097" t="n">
        <v>0</v>
      </c>
      <c r="AH3097" t="n">
        <v>2</v>
      </c>
      <c r="AI3097" t="n">
        <v>2</v>
      </c>
      <c r="AJ3097" t="n">
        <v>4</v>
      </c>
      <c r="AK3097" t="n">
        <v>4</v>
      </c>
      <c r="AL3097" t="n">
        <v>0</v>
      </c>
      <c r="AM3097" t="n">
        <v>0</v>
      </c>
      <c r="AN3097" t="n">
        <v>0</v>
      </c>
      <c r="AO3097" t="n">
        <v>0</v>
      </c>
      <c r="AP3097" t="inlineStr">
        <is>
          <t>No</t>
        </is>
      </c>
      <c r="AQ3097" t="inlineStr">
        <is>
          <t>No</t>
        </is>
      </c>
      <c r="AS3097">
        <f>HYPERLINK("https://creighton-primo.hosted.exlibrisgroup.com/primo-explore/search?tab=default_tab&amp;search_scope=EVERYTHING&amp;vid=01CRU&amp;lang=en_US&amp;offset=0&amp;query=any,contains,991004697839702656","Catalog Record")</f>
        <v/>
      </c>
      <c r="AT3097">
        <f>HYPERLINK("http://www.worldcat.org/oclc/4648567","WorldCat Record")</f>
        <v/>
      </c>
      <c r="AU3097" t="inlineStr">
        <is>
          <t>14946121:eng</t>
        </is>
      </c>
      <c r="AV3097" t="inlineStr">
        <is>
          <t>4648567</t>
        </is>
      </c>
      <c r="AW3097" t="inlineStr">
        <is>
          <t>991004697839702656</t>
        </is>
      </c>
      <c r="AX3097" t="inlineStr">
        <is>
          <t>991004697839702656</t>
        </is>
      </c>
      <c r="AY3097" t="inlineStr">
        <is>
          <t>2261210970002656</t>
        </is>
      </c>
      <c r="AZ3097" t="inlineStr">
        <is>
          <t>BOOK</t>
        </is>
      </c>
      <c r="BC3097" t="inlineStr">
        <is>
          <t>32285001082675</t>
        </is>
      </c>
      <c r="BD3097" t="inlineStr">
        <is>
          <t>893536163</t>
        </is>
      </c>
    </row>
    <row r="3098">
      <c r="A3098" t="inlineStr">
        <is>
          <t>No</t>
        </is>
      </c>
      <c r="B3098" t="inlineStr">
        <is>
          <t>BX890 .P567 1954</t>
        </is>
      </c>
      <c r="C3098" t="inlineStr">
        <is>
          <t>0                      BX 0890000P  567         1954</t>
        </is>
      </c>
      <c r="D3098" t="inlineStr">
        <is>
          <t>The unwearied advocate : public addresses of His Holiness Pope Pius XII / edited by Vincent A. Yzermans.</t>
        </is>
      </c>
      <c r="E3098" t="inlineStr">
        <is>
          <t>V. 3</t>
        </is>
      </c>
      <c r="F3098" t="inlineStr">
        <is>
          <t>Yes</t>
        </is>
      </c>
      <c r="G3098" t="inlineStr">
        <is>
          <t>1</t>
        </is>
      </c>
      <c r="H3098" t="inlineStr">
        <is>
          <t>No</t>
        </is>
      </c>
      <c r="I3098" t="inlineStr">
        <is>
          <t>No</t>
        </is>
      </c>
      <c r="J3098" t="inlineStr">
        <is>
          <t>0</t>
        </is>
      </c>
      <c r="K3098" t="inlineStr">
        <is>
          <t>Pius XII, Pope, 1876-1958.</t>
        </is>
      </c>
      <c r="M3098" t="inlineStr">
        <is>
          <t>1954</t>
        </is>
      </c>
      <c r="O3098" t="inlineStr">
        <is>
          <t>eng</t>
        </is>
      </c>
      <c r="P3098" t="inlineStr">
        <is>
          <t>mnu</t>
        </is>
      </c>
      <c r="R3098" t="inlineStr">
        <is>
          <t xml:space="preserve">BX </t>
        </is>
      </c>
      <c r="S3098" t="n">
        <v>1</v>
      </c>
      <c r="T3098" t="n">
        <v>4</v>
      </c>
      <c r="U3098" t="inlineStr">
        <is>
          <t>2008-06-11</t>
        </is>
      </c>
      <c r="V3098" t="inlineStr">
        <is>
          <t>2008-06-11</t>
        </is>
      </c>
      <c r="W3098" t="inlineStr">
        <is>
          <t>1992-05-07</t>
        </is>
      </c>
      <c r="X3098" t="inlineStr">
        <is>
          <t>1992-05-07</t>
        </is>
      </c>
      <c r="Y3098" t="n">
        <v>67</v>
      </c>
      <c r="Z3098" t="n">
        <v>66</v>
      </c>
      <c r="AA3098" t="n">
        <v>125</v>
      </c>
      <c r="AB3098" t="n">
        <v>1</v>
      </c>
      <c r="AC3098" t="n">
        <v>2</v>
      </c>
      <c r="AD3098" t="n">
        <v>16</v>
      </c>
      <c r="AE3098" t="n">
        <v>29</v>
      </c>
      <c r="AF3098" t="n">
        <v>4</v>
      </c>
      <c r="AG3098" t="n">
        <v>7</v>
      </c>
      <c r="AH3098" t="n">
        <v>6</v>
      </c>
      <c r="AI3098" t="n">
        <v>8</v>
      </c>
      <c r="AJ3098" t="n">
        <v>12</v>
      </c>
      <c r="AK3098" t="n">
        <v>21</v>
      </c>
      <c r="AL3098" t="n">
        <v>0</v>
      </c>
      <c r="AM3098" t="n">
        <v>1</v>
      </c>
      <c r="AN3098" t="n">
        <v>0</v>
      </c>
      <c r="AO3098" t="n">
        <v>1</v>
      </c>
      <c r="AP3098" t="inlineStr">
        <is>
          <t>No</t>
        </is>
      </c>
      <c r="AQ3098" t="inlineStr">
        <is>
          <t>No</t>
        </is>
      </c>
      <c r="AS3098">
        <f>HYPERLINK("https://creighton-primo.hosted.exlibrisgroup.com/primo-explore/search?tab=default_tab&amp;search_scope=EVERYTHING&amp;vid=01CRU&amp;lang=en_US&amp;offset=0&amp;query=any,contains,991004977169702656","Catalog Record")</f>
        <v/>
      </c>
      <c r="AT3098">
        <f>HYPERLINK("http://www.worldcat.org/oclc/6401955","WorldCat Record")</f>
        <v/>
      </c>
      <c r="AU3098" t="inlineStr">
        <is>
          <t>2231098741:eng</t>
        </is>
      </c>
      <c r="AV3098" t="inlineStr">
        <is>
          <t>6401955</t>
        </is>
      </c>
      <c r="AW3098" t="inlineStr">
        <is>
          <t>991004977169702656</t>
        </is>
      </c>
      <c r="AX3098" t="inlineStr">
        <is>
          <t>991004977169702656</t>
        </is>
      </c>
      <c r="AY3098" t="inlineStr">
        <is>
          <t>2264827300002656</t>
        </is>
      </c>
      <c r="AZ3098" t="inlineStr">
        <is>
          <t>BOOK</t>
        </is>
      </c>
      <c r="BC3098" t="inlineStr">
        <is>
          <t>32285001082725</t>
        </is>
      </c>
      <c r="BD3098" t="inlineStr">
        <is>
          <t>893418222</t>
        </is>
      </c>
    </row>
    <row r="3099">
      <c r="A3099" t="inlineStr">
        <is>
          <t>No</t>
        </is>
      </c>
      <c r="B3099" t="inlineStr">
        <is>
          <t>BX890 .P567 1954</t>
        </is>
      </c>
      <c r="C3099" t="inlineStr">
        <is>
          <t>0                      BX 0890000P  567         1954</t>
        </is>
      </c>
      <c r="D3099" t="inlineStr">
        <is>
          <t>The unwearied advocate : public addresses of His Holiness Pope Pius XII / edited by Vincent A. Yzermans.</t>
        </is>
      </c>
      <c r="E3099" t="inlineStr">
        <is>
          <t>V. 1</t>
        </is>
      </c>
      <c r="F3099" t="inlineStr">
        <is>
          <t>Yes</t>
        </is>
      </c>
      <c r="G3099" t="inlineStr">
        <is>
          <t>1</t>
        </is>
      </c>
      <c r="H3099" t="inlineStr">
        <is>
          <t>No</t>
        </is>
      </c>
      <c r="I3099" t="inlineStr">
        <is>
          <t>No</t>
        </is>
      </c>
      <c r="J3099" t="inlineStr">
        <is>
          <t>0</t>
        </is>
      </c>
      <c r="K3099" t="inlineStr">
        <is>
          <t>Pius XII, Pope, 1876-1958.</t>
        </is>
      </c>
      <c r="M3099" t="inlineStr">
        <is>
          <t>1954</t>
        </is>
      </c>
      <c r="O3099" t="inlineStr">
        <is>
          <t>eng</t>
        </is>
      </c>
      <c r="P3099" t="inlineStr">
        <is>
          <t>mnu</t>
        </is>
      </c>
      <c r="R3099" t="inlineStr">
        <is>
          <t xml:space="preserve">BX </t>
        </is>
      </c>
      <c r="S3099" t="n">
        <v>1</v>
      </c>
      <c r="T3099" t="n">
        <v>4</v>
      </c>
      <c r="U3099" t="inlineStr">
        <is>
          <t>2008-06-11</t>
        </is>
      </c>
      <c r="V3099" t="inlineStr">
        <is>
          <t>2008-06-11</t>
        </is>
      </c>
      <c r="W3099" t="inlineStr">
        <is>
          <t>1992-05-07</t>
        </is>
      </c>
      <c r="X3099" t="inlineStr">
        <is>
          <t>1992-05-07</t>
        </is>
      </c>
      <c r="Y3099" t="n">
        <v>67</v>
      </c>
      <c r="Z3099" t="n">
        <v>66</v>
      </c>
      <c r="AA3099" t="n">
        <v>125</v>
      </c>
      <c r="AB3099" t="n">
        <v>1</v>
      </c>
      <c r="AC3099" t="n">
        <v>2</v>
      </c>
      <c r="AD3099" t="n">
        <v>16</v>
      </c>
      <c r="AE3099" t="n">
        <v>29</v>
      </c>
      <c r="AF3099" t="n">
        <v>4</v>
      </c>
      <c r="AG3099" t="n">
        <v>7</v>
      </c>
      <c r="AH3099" t="n">
        <v>6</v>
      </c>
      <c r="AI3099" t="n">
        <v>8</v>
      </c>
      <c r="AJ3099" t="n">
        <v>12</v>
      </c>
      <c r="AK3099" t="n">
        <v>21</v>
      </c>
      <c r="AL3099" t="n">
        <v>0</v>
      </c>
      <c r="AM3099" t="n">
        <v>1</v>
      </c>
      <c r="AN3099" t="n">
        <v>0</v>
      </c>
      <c r="AO3099" t="n">
        <v>1</v>
      </c>
      <c r="AP3099" t="inlineStr">
        <is>
          <t>No</t>
        </is>
      </c>
      <c r="AQ3099" t="inlineStr">
        <is>
          <t>No</t>
        </is>
      </c>
      <c r="AS3099">
        <f>HYPERLINK("https://creighton-primo.hosted.exlibrisgroup.com/primo-explore/search?tab=default_tab&amp;search_scope=EVERYTHING&amp;vid=01CRU&amp;lang=en_US&amp;offset=0&amp;query=any,contains,991004977169702656","Catalog Record")</f>
        <v/>
      </c>
      <c r="AT3099">
        <f>HYPERLINK("http://www.worldcat.org/oclc/6401955","WorldCat Record")</f>
        <v/>
      </c>
      <c r="AU3099" t="inlineStr">
        <is>
          <t>2231098741:eng</t>
        </is>
      </c>
      <c r="AV3099" t="inlineStr">
        <is>
          <t>6401955</t>
        </is>
      </c>
      <c r="AW3099" t="inlineStr">
        <is>
          <t>991004977169702656</t>
        </is>
      </c>
      <c r="AX3099" t="inlineStr">
        <is>
          <t>991004977169702656</t>
        </is>
      </c>
      <c r="AY3099" t="inlineStr">
        <is>
          <t>2264827300002656</t>
        </is>
      </c>
      <c r="AZ3099" t="inlineStr">
        <is>
          <t>BOOK</t>
        </is>
      </c>
      <c r="BC3099" t="inlineStr">
        <is>
          <t>32285001082709</t>
        </is>
      </c>
      <c r="BD3099" t="inlineStr">
        <is>
          <t>893443245</t>
        </is>
      </c>
    </row>
    <row r="3100">
      <c r="A3100" t="inlineStr">
        <is>
          <t>No</t>
        </is>
      </c>
      <c r="B3100" t="inlineStr">
        <is>
          <t>BX890 .P567 1954</t>
        </is>
      </c>
      <c r="C3100" t="inlineStr">
        <is>
          <t>0                      BX 0890000P  567         1954</t>
        </is>
      </c>
      <c r="D3100" t="inlineStr">
        <is>
          <t>The unwearied advocate : public addresses of His Holiness Pope Pius XII / edited by Vincent A. Yzermans.</t>
        </is>
      </c>
      <c r="E3100" t="inlineStr">
        <is>
          <t>V. 2</t>
        </is>
      </c>
      <c r="F3100" t="inlineStr">
        <is>
          <t>Yes</t>
        </is>
      </c>
      <c r="G3100" t="inlineStr">
        <is>
          <t>1</t>
        </is>
      </c>
      <c r="H3100" t="inlineStr">
        <is>
          <t>No</t>
        </is>
      </c>
      <c r="I3100" t="inlineStr">
        <is>
          <t>No</t>
        </is>
      </c>
      <c r="J3100" t="inlineStr">
        <is>
          <t>0</t>
        </is>
      </c>
      <c r="K3100" t="inlineStr">
        <is>
          <t>Pius XII, Pope, 1876-1958.</t>
        </is>
      </c>
      <c r="M3100" t="inlineStr">
        <is>
          <t>1954</t>
        </is>
      </c>
      <c r="O3100" t="inlineStr">
        <is>
          <t>eng</t>
        </is>
      </c>
      <c r="P3100" t="inlineStr">
        <is>
          <t>mnu</t>
        </is>
      </c>
      <c r="R3100" t="inlineStr">
        <is>
          <t xml:space="preserve">BX </t>
        </is>
      </c>
      <c r="S3100" t="n">
        <v>2</v>
      </c>
      <c r="T3100" t="n">
        <v>4</v>
      </c>
      <c r="U3100" t="inlineStr">
        <is>
          <t>2008-06-11</t>
        </is>
      </c>
      <c r="V3100" t="inlineStr">
        <is>
          <t>2008-06-11</t>
        </is>
      </c>
      <c r="W3100" t="inlineStr">
        <is>
          <t>1992-05-07</t>
        </is>
      </c>
      <c r="X3100" t="inlineStr">
        <is>
          <t>1992-05-07</t>
        </is>
      </c>
      <c r="Y3100" t="n">
        <v>67</v>
      </c>
      <c r="Z3100" t="n">
        <v>66</v>
      </c>
      <c r="AA3100" t="n">
        <v>125</v>
      </c>
      <c r="AB3100" t="n">
        <v>1</v>
      </c>
      <c r="AC3100" t="n">
        <v>2</v>
      </c>
      <c r="AD3100" t="n">
        <v>16</v>
      </c>
      <c r="AE3100" t="n">
        <v>29</v>
      </c>
      <c r="AF3100" t="n">
        <v>4</v>
      </c>
      <c r="AG3100" t="n">
        <v>7</v>
      </c>
      <c r="AH3100" t="n">
        <v>6</v>
      </c>
      <c r="AI3100" t="n">
        <v>8</v>
      </c>
      <c r="AJ3100" t="n">
        <v>12</v>
      </c>
      <c r="AK3100" t="n">
        <v>21</v>
      </c>
      <c r="AL3100" t="n">
        <v>0</v>
      </c>
      <c r="AM3100" t="n">
        <v>1</v>
      </c>
      <c r="AN3100" t="n">
        <v>0</v>
      </c>
      <c r="AO3100" t="n">
        <v>1</v>
      </c>
      <c r="AP3100" t="inlineStr">
        <is>
          <t>No</t>
        </is>
      </c>
      <c r="AQ3100" t="inlineStr">
        <is>
          <t>No</t>
        </is>
      </c>
      <c r="AS3100">
        <f>HYPERLINK("https://creighton-primo.hosted.exlibrisgroup.com/primo-explore/search?tab=default_tab&amp;search_scope=EVERYTHING&amp;vid=01CRU&amp;lang=en_US&amp;offset=0&amp;query=any,contains,991004977169702656","Catalog Record")</f>
        <v/>
      </c>
      <c r="AT3100">
        <f>HYPERLINK("http://www.worldcat.org/oclc/6401955","WorldCat Record")</f>
        <v/>
      </c>
      <c r="AU3100" t="inlineStr">
        <is>
          <t>2231098741:eng</t>
        </is>
      </c>
      <c r="AV3100" t="inlineStr">
        <is>
          <t>6401955</t>
        </is>
      </c>
      <c r="AW3100" t="inlineStr">
        <is>
          <t>991004977169702656</t>
        </is>
      </c>
      <c r="AX3100" t="inlineStr">
        <is>
          <t>991004977169702656</t>
        </is>
      </c>
      <c r="AY3100" t="inlineStr">
        <is>
          <t>2264827300002656</t>
        </is>
      </c>
      <c r="AZ3100" t="inlineStr">
        <is>
          <t>BOOK</t>
        </is>
      </c>
      <c r="BC3100" t="inlineStr">
        <is>
          <t>32285001082717</t>
        </is>
      </c>
      <c r="BD3100" t="inlineStr">
        <is>
          <t>893436981</t>
        </is>
      </c>
    </row>
    <row r="3101">
      <c r="A3101" t="inlineStr">
        <is>
          <t>No</t>
        </is>
      </c>
      <c r="B3101" t="inlineStr">
        <is>
          <t>BX890 .P5818 1955</t>
        </is>
      </c>
      <c r="C3101" t="inlineStr">
        <is>
          <t>0                      BX 0890000P  5818        1955</t>
        </is>
      </c>
      <c r="D3101" t="inlineStr">
        <is>
          <t>The mind of Pius XII / edited by Robert C. Pollock.</t>
        </is>
      </c>
      <c r="F3101" t="inlineStr">
        <is>
          <t>No</t>
        </is>
      </c>
      <c r="G3101" t="inlineStr">
        <is>
          <t>1</t>
        </is>
      </c>
      <c r="H3101" t="inlineStr">
        <is>
          <t>No</t>
        </is>
      </c>
      <c r="I3101" t="inlineStr">
        <is>
          <t>No</t>
        </is>
      </c>
      <c r="J3101" t="inlineStr">
        <is>
          <t>0</t>
        </is>
      </c>
      <c r="K3101" t="inlineStr">
        <is>
          <t>Pius XII, Pope, 1876-1958.</t>
        </is>
      </c>
      <c r="L3101" t="inlineStr">
        <is>
          <t>New York : Crown Publishers, [1955]</t>
        </is>
      </c>
      <c r="M3101" t="inlineStr">
        <is>
          <t>1955</t>
        </is>
      </c>
      <c r="O3101" t="inlineStr">
        <is>
          <t>eng</t>
        </is>
      </c>
      <c r="P3101" t="inlineStr">
        <is>
          <t>nyu</t>
        </is>
      </c>
      <c r="R3101" t="inlineStr">
        <is>
          <t xml:space="preserve">BX </t>
        </is>
      </c>
      <c r="S3101" t="n">
        <v>6</v>
      </c>
      <c r="T3101" t="n">
        <v>6</v>
      </c>
      <c r="U3101" t="inlineStr">
        <is>
          <t>2000-03-28</t>
        </is>
      </c>
      <c r="V3101" t="inlineStr">
        <is>
          <t>2000-03-28</t>
        </is>
      </c>
      <c r="W3101" t="inlineStr">
        <is>
          <t>1992-05-07</t>
        </is>
      </c>
      <c r="X3101" t="inlineStr">
        <is>
          <t>1992-05-07</t>
        </is>
      </c>
      <c r="Y3101" t="n">
        <v>311</v>
      </c>
      <c r="Z3101" t="n">
        <v>291</v>
      </c>
      <c r="AA3101" t="n">
        <v>307</v>
      </c>
      <c r="AB3101" t="n">
        <v>4</v>
      </c>
      <c r="AC3101" t="n">
        <v>4</v>
      </c>
      <c r="AD3101" t="n">
        <v>31</v>
      </c>
      <c r="AE3101" t="n">
        <v>31</v>
      </c>
      <c r="AF3101" t="n">
        <v>9</v>
      </c>
      <c r="AG3101" t="n">
        <v>9</v>
      </c>
      <c r="AH3101" t="n">
        <v>8</v>
      </c>
      <c r="AI3101" t="n">
        <v>8</v>
      </c>
      <c r="AJ3101" t="n">
        <v>24</v>
      </c>
      <c r="AK3101" t="n">
        <v>24</v>
      </c>
      <c r="AL3101" t="n">
        <v>1</v>
      </c>
      <c r="AM3101" t="n">
        <v>1</v>
      </c>
      <c r="AN3101" t="n">
        <v>0</v>
      </c>
      <c r="AO3101" t="n">
        <v>0</v>
      </c>
      <c r="AP3101" t="inlineStr">
        <is>
          <t>No</t>
        </is>
      </c>
      <c r="AQ3101" t="inlineStr">
        <is>
          <t>No</t>
        </is>
      </c>
      <c r="AS3101">
        <f>HYPERLINK("https://creighton-primo.hosted.exlibrisgroup.com/primo-explore/search?tab=default_tab&amp;search_scope=EVERYTHING&amp;vid=01CRU&amp;lang=en_US&amp;offset=0&amp;query=any,contains,991003209259702656","Catalog Record")</f>
        <v/>
      </c>
      <c r="AT3101">
        <f>HYPERLINK("http://www.worldcat.org/oclc/735065","WorldCat Record")</f>
        <v/>
      </c>
      <c r="AU3101" t="inlineStr">
        <is>
          <t>1775443:eng</t>
        </is>
      </c>
      <c r="AV3101" t="inlineStr">
        <is>
          <t>735065</t>
        </is>
      </c>
      <c r="AW3101" t="inlineStr">
        <is>
          <t>991003209259702656</t>
        </is>
      </c>
      <c r="AX3101" t="inlineStr">
        <is>
          <t>991003209259702656</t>
        </is>
      </c>
      <c r="AY3101" t="inlineStr">
        <is>
          <t>2258190610002656</t>
        </is>
      </c>
      <c r="AZ3101" t="inlineStr">
        <is>
          <t>BOOK</t>
        </is>
      </c>
      <c r="BC3101" t="inlineStr">
        <is>
          <t>32285001082733</t>
        </is>
      </c>
      <c r="BD3101" t="inlineStr">
        <is>
          <t>893893478</t>
        </is>
      </c>
    </row>
    <row r="3102">
      <c r="A3102" t="inlineStr">
        <is>
          <t>No</t>
        </is>
      </c>
      <c r="B3102" t="inlineStr">
        <is>
          <t>BX890 .P58193 1957</t>
        </is>
      </c>
      <c r="C3102" t="inlineStr">
        <is>
          <t>0                      BX 0890000P  58193       1957</t>
        </is>
      </c>
      <c r="D3102" t="inlineStr">
        <is>
          <t>The Pope speaks : the teachings of Pope Pius XII / compiled and edited with the assistance of the Vatican archives by Michael Chinigo.</t>
        </is>
      </c>
      <c r="F3102" t="inlineStr">
        <is>
          <t>No</t>
        </is>
      </c>
      <c r="G3102" t="inlineStr">
        <is>
          <t>1</t>
        </is>
      </c>
      <c r="H3102" t="inlineStr">
        <is>
          <t>No</t>
        </is>
      </c>
      <c r="I3102" t="inlineStr">
        <is>
          <t>No</t>
        </is>
      </c>
      <c r="J3102" t="inlineStr">
        <is>
          <t>0</t>
        </is>
      </c>
      <c r="K3102" t="inlineStr">
        <is>
          <t>Pius XII, Pope, 1876-1958.</t>
        </is>
      </c>
      <c r="L3102" t="inlineStr">
        <is>
          <t>[New York] : Pantheon, [1957]</t>
        </is>
      </c>
      <c r="M3102" t="inlineStr">
        <is>
          <t>1957</t>
        </is>
      </c>
      <c r="O3102" t="inlineStr">
        <is>
          <t>eng</t>
        </is>
      </c>
      <c r="P3102" t="inlineStr">
        <is>
          <t xml:space="preserve">xx </t>
        </is>
      </c>
      <c r="R3102" t="inlineStr">
        <is>
          <t xml:space="preserve">BX </t>
        </is>
      </c>
      <c r="S3102" t="n">
        <v>6</v>
      </c>
      <c r="T3102" t="n">
        <v>6</v>
      </c>
      <c r="U3102" t="inlineStr">
        <is>
          <t>2010-04-07</t>
        </is>
      </c>
      <c r="V3102" t="inlineStr">
        <is>
          <t>2010-04-07</t>
        </is>
      </c>
      <c r="W3102" t="inlineStr">
        <is>
          <t>1992-05-07</t>
        </is>
      </c>
      <c r="X3102" t="inlineStr">
        <is>
          <t>1992-05-07</t>
        </is>
      </c>
      <c r="Y3102" t="n">
        <v>340</v>
      </c>
      <c r="Z3102" t="n">
        <v>316</v>
      </c>
      <c r="AA3102" t="n">
        <v>317</v>
      </c>
      <c r="AB3102" t="n">
        <v>3</v>
      </c>
      <c r="AC3102" t="n">
        <v>3</v>
      </c>
      <c r="AD3102" t="n">
        <v>34</v>
      </c>
      <c r="AE3102" t="n">
        <v>34</v>
      </c>
      <c r="AF3102" t="n">
        <v>11</v>
      </c>
      <c r="AG3102" t="n">
        <v>11</v>
      </c>
      <c r="AH3102" t="n">
        <v>9</v>
      </c>
      <c r="AI3102" t="n">
        <v>9</v>
      </c>
      <c r="AJ3102" t="n">
        <v>26</v>
      </c>
      <c r="AK3102" t="n">
        <v>26</v>
      </c>
      <c r="AL3102" t="n">
        <v>1</v>
      </c>
      <c r="AM3102" t="n">
        <v>1</v>
      </c>
      <c r="AN3102" t="n">
        <v>0</v>
      </c>
      <c r="AO3102" t="n">
        <v>0</v>
      </c>
      <c r="AP3102" t="inlineStr">
        <is>
          <t>No</t>
        </is>
      </c>
      <c r="AQ3102" t="inlineStr">
        <is>
          <t>No</t>
        </is>
      </c>
      <c r="AR3102">
        <f>HYPERLINK("http://catalog.hathitrust.org/Record/001415685","HathiTrust Record")</f>
        <v/>
      </c>
      <c r="AS3102">
        <f>HYPERLINK("https://creighton-primo.hosted.exlibrisgroup.com/primo-explore/search?tab=default_tab&amp;search_scope=EVERYTHING&amp;vid=01CRU&amp;lang=en_US&amp;offset=0&amp;query=any,contains,991003000289702656","Catalog Record")</f>
        <v/>
      </c>
      <c r="AT3102">
        <f>HYPERLINK("http://www.worldcat.org/oclc/568235","WorldCat Record")</f>
        <v/>
      </c>
      <c r="AU3102" t="inlineStr">
        <is>
          <t>3944288958:eng</t>
        </is>
      </c>
      <c r="AV3102" t="inlineStr">
        <is>
          <t>568235</t>
        </is>
      </c>
      <c r="AW3102" t="inlineStr">
        <is>
          <t>991003000289702656</t>
        </is>
      </c>
      <c r="AX3102" t="inlineStr">
        <is>
          <t>991003000289702656</t>
        </is>
      </c>
      <c r="AY3102" t="inlineStr">
        <is>
          <t>2257548360002656</t>
        </is>
      </c>
      <c r="AZ3102" t="inlineStr">
        <is>
          <t>BOOK</t>
        </is>
      </c>
      <c r="BC3102" t="inlineStr">
        <is>
          <t>32285001082741</t>
        </is>
      </c>
      <c r="BD3102" t="inlineStr">
        <is>
          <t>893524309</t>
        </is>
      </c>
    </row>
    <row r="3103">
      <c r="A3103" t="inlineStr">
        <is>
          <t>No</t>
        </is>
      </c>
      <c r="B3103" t="inlineStr">
        <is>
          <t>BX890 .R9</t>
        </is>
      </c>
      <c r="C3103" t="inlineStr">
        <is>
          <t>0                      BX 0890000R  9</t>
        </is>
      </c>
      <c r="D3103" t="inlineStr">
        <is>
          <t>Essays / by Rev. Henry Ignatius Dudley Ryder, edited by Francis Bacchus.</t>
        </is>
      </c>
      <c r="F3103" t="inlineStr">
        <is>
          <t>No</t>
        </is>
      </c>
      <c r="G3103" t="inlineStr">
        <is>
          <t>1</t>
        </is>
      </c>
      <c r="H3103" t="inlineStr">
        <is>
          <t>No</t>
        </is>
      </c>
      <c r="I3103" t="inlineStr">
        <is>
          <t>No</t>
        </is>
      </c>
      <c r="J3103" t="inlineStr">
        <is>
          <t>0</t>
        </is>
      </c>
      <c r="K3103" t="inlineStr">
        <is>
          <t>Ryder, H. I. D. (Henry Ignatius Dudley), 1837-1907.</t>
        </is>
      </c>
      <c r="L3103" t="inlineStr">
        <is>
          <t>London, New York [etc.] Longmans, Green and co., 1911.</t>
        </is>
      </c>
      <c r="M3103" t="inlineStr">
        <is>
          <t>1911</t>
        </is>
      </c>
      <c r="O3103" t="inlineStr">
        <is>
          <t>eng</t>
        </is>
      </c>
      <c r="P3103" t="inlineStr">
        <is>
          <t>enk</t>
        </is>
      </c>
      <c r="R3103" t="inlineStr">
        <is>
          <t xml:space="preserve">BX </t>
        </is>
      </c>
      <c r="S3103" t="n">
        <v>8</v>
      </c>
      <c r="T3103" t="n">
        <v>8</v>
      </c>
      <c r="U3103" t="inlineStr">
        <is>
          <t>1999-12-23</t>
        </is>
      </c>
      <c r="V3103" t="inlineStr">
        <is>
          <t>1999-12-23</t>
        </is>
      </c>
      <c r="W3103" t="inlineStr">
        <is>
          <t>1992-05-07</t>
        </is>
      </c>
      <c r="X3103" t="inlineStr">
        <is>
          <t>1992-05-07</t>
        </is>
      </c>
      <c r="Y3103" t="n">
        <v>91</v>
      </c>
      <c r="Z3103" t="n">
        <v>70</v>
      </c>
      <c r="AA3103" t="n">
        <v>146</v>
      </c>
      <c r="AB3103" t="n">
        <v>1</v>
      </c>
      <c r="AC3103" t="n">
        <v>2</v>
      </c>
      <c r="AD3103" t="n">
        <v>17</v>
      </c>
      <c r="AE3103" t="n">
        <v>19</v>
      </c>
      <c r="AF3103" t="n">
        <v>4</v>
      </c>
      <c r="AG3103" t="n">
        <v>5</v>
      </c>
      <c r="AH3103" t="n">
        <v>5</v>
      </c>
      <c r="AI3103" t="n">
        <v>5</v>
      </c>
      <c r="AJ3103" t="n">
        <v>14</v>
      </c>
      <c r="AK3103" t="n">
        <v>14</v>
      </c>
      <c r="AL3103" t="n">
        <v>0</v>
      </c>
      <c r="AM3103" t="n">
        <v>1</v>
      </c>
      <c r="AN3103" t="n">
        <v>0</v>
      </c>
      <c r="AO3103" t="n">
        <v>0</v>
      </c>
      <c r="AP3103" t="inlineStr">
        <is>
          <t>Yes</t>
        </is>
      </c>
      <c r="AQ3103" t="inlineStr">
        <is>
          <t>No</t>
        </is>
      </c>
      <c r="AR3103">
        <f>HYPERLINK("http://catalog.hathitrust.org/Record/007919023","HathiTrust Record")</f>
        <v/>
      </c>
      <c r="AS3103">
        <f>HYPERLINK("https://creighton-primo.hosted.exlibrisgroup.com/primo-explore/search?tab=default_tab&amp;search_scope=EVERYTHING&amp;vid=01CRU&amp;lang=en_US&amp;offset=0&amp;query=any,contains,991004538969702656","Catalog Record")</f>
        <v/>
      </c>
      <c r="AT3103">
        <f>HYPERLINK("http://www.worldcat.org/oclc/3887739","WorldCat Record")</f>
        <v/>
      </c>
      <c r="AU3103" t="inlineStr">
        <is>
          <t>13219469:eng</t>
        </is>
      </c>
      <c r="AV3103" t="inlineStr">
        <is>
          <t>3887739</t>
        </is>
      </c>
      <c r="AW3103" t="inlineStr">
        <is>
          <t>991004538969702656</t>
        </is>
      </c>
      <c r="AX3103" t="inlineStr">
        <is>
          <t>991004538969702656</t>
        </is>
      </c>
      <c r="AY3103" t="inlineStr">
        <is>
          <t>2256396300002656</t>
        </is>
      </c>
      <c r="AZ3103" t="inlineStr">
        <is>
          <t>BOOK</t>
        </is>
      </c>
      <c r="BC3103" t="inlineStr">
        <is>
          <t>32285001082808</t>
        </is>
      </c>
      <c r="BD3103" t="inlineStr">
        <is>
          <t>893319360</t>
        </is>
      </c>
    </row>
    <row r="3104">
      <c r="A3104" t="inlineStr">
        <is>
          <t>No</t>
        </is>
      </c>
      <c r="B3104" t="inlineStr">
        <is>
          <t>BX890 .S656</t>
        </is>
      </c>
      <c r="C3104" t="inlineStr">
        <is>
          <t>0                      BX 0890000S  656</t>
        </is>
      </c>
      <c r="D3104" t="inlineStr">
        <is>
          <t>Writings of Edith Stein / selected, translated and introduced by Hilda Graef.</t>
        </is>
      </c>
      <c r="F3104" t="inlineStr">
        <is>
          <t>No</t>
        </is>
      </c>
      <c r="G3104" t="inlineStr">
        <is>
          <t>1</t>
        </is>
      </c>
      <c r="H3104" t="inlineStr">
        <is>
          <t>No</t>
        </is>
      </c>
      <c r="I3104" t="inlineStr">
        <is>
          <t>No</t>
        </is>
      </c>
      <c r="J3104" t="inlineStr">
        <is>
          <t>0</t>
        </is>
      </c>
      <c r="K3104" t="inlineStr">
        <is>
          <t>Stein, Edith, Saint, 1891-1942.</t>
        </is>
      </c>
      <c r="L3104" t="inlineStr">
        <is>
          <t>Westminster, Md. : Newman Press, 1956.</t>
        </is>
      </c>
      <c r="M3104" t="inlineStr">
        <is>
          <t>1956</t>
        </is>
      </c>
      <c r="O3104" t="inlineStr">
        <is>
          <t>eng</t>
        </is>
      </c>
      <c r="P3104" t="inlineStr">
        <is>
          <t>___</t>
        </is>
      </c>
      <c r="R3104" t="inlineStr">
        <is>
          <t xml:space="preserve">BX </t>
        </is>
      </c>
      <c r="S3104" t="n">
        <v>6</v>
      </c>
      <c r="T3104" t="n">
        <v>6</v>
      </c>
      <c r="U3104" t="inlineStr">
        <is>
          <t>2009-05-30</t>
        </is>
      </c>
      <c r="V3104" t="inlineStr">
        <is>
          <t>2009-05-30</t>
        </is>
      </c>
      <c r="W3104" t="inlineStr">
        <is>
          <t>1992-05-07</t>
        </is>
      </c>
      <c r="X3104" t="inlineStr">
        <is>
          <t>1992-05-07</t>
        </is>
      </c>
      <c r="Y3104" t="n">
        <v>163</v>
      </c>
      <c r="Z3104" t="n">
        <v>154</v>
      </c>
      <c r="AA3104" t="n">
        <v>156</v>
      </c>
      <c r="AB3104" t="n">
        <v>3</v>
      </c>
      <c r="AC3104" t="n">
        <v>3</v>
      </c>
      <c r="AD3104" t="n">
        <v>19</v>
      </c>
      <c r="AE3104" t="n">
        <v>19</v>
      </c>
      <c r="AF3104" t="n">
        <v>5</v>
      </c>
      <c r="AG3104" t="n">
        <v>5</v>
      </c>
      <c r="AH3104" t="n">
        <v>3</v>
      </c>
      <c r="AI3104" t="n">
        <v>3</v>
      </c>
      <c r="AJ3104" t="n">
        <v>14</v>
      </c>
      <c r="AK3104" t="n">
        <v>14</v>
      </c>
      <c r="AL3104" t="n">
        <v>1</v>
      </c>
      <c r="AM3104" t="n">
        <v>1</v>
      </c>
      <c r="AN3104" t="n">
        <v>0</v>
      </c>
      <c r="AO3104" t="n">
        <v>0</v>
      </c>
      <c r="AP3104" t="inlineStr">
        <is>
          <t>No</t>
        </is>
      </c>
      <c r="AQ3104" t="inlineStr">
        <is>
          <t>No</t>
        </is>
      </c>
      <c r="AR3104">
        <f>HYPERLINK("http://catalog.hathitrust.org/Record/101873668","HathiTrust Record")</f>
        <v/>
      </c>
      <c r="AS3104">
        <f>HYPERLINK("https://creighton-primo.hosted.exlibrisgroup.com/primo-explore/search?tab=default_tab&amp;search_scope=EVERYTHING&amp;vid=01CRU&amp;lang=en_US&amp;offset=0&amp;query=any,contains,991003543939702656","Catalog Record")</f>
        <v/>
      </c>
      <c r="AT3104">
        <f>HYPERLINK("http://www.worldcat.org/oclc/1109946","WorldCat Record")</f>
        <v/>
      </c>
      <c r="AU3104" t="inlineStr">
        <is>
          <t>1806161922:eng</t>
        </is>
      </c>
      <c r="AV3104" t="inlineStr">
        <is>
          <t>1109946</t>
        </is>
      </c>
      <c r="AW3104" t="inlineStr">
        <is>
          <t>991003543939702656</t>
        </is>
      </c>
      <c r="AX3104" t="inlineStr">
        <is>
          <t>991003543939702656</t>
        </is>
      </c>
      <c r="AY3104" t="inlineStr">
        <is>
          <t>2255275220002656</t>
        </is>
      </c>
      <c r="AZ3104" t="inlineStr">
        <is>
          <t>BOOK</t>
        </is>
      </c>
      <c r="BC3104" t="inlineStr">
        <is>
          <t>32285001082873</t>
        </is>
      </c>
      <c r="BD3104" t="inlineStr">
        <is>
          <t>893881286</t>
        </is>
      </c>
    </row>
    <row r="3105">
      <c r="A3105" t="inlineStr">
        <is>
          <t>No</t>
        </is>
      </c>
      <c r="B3105" t="inlineStr">
        <is>
          <t>BX890 .T35</t>
        </is>
      </c>
      <c r="C3105" t="inlineStr">
        <is>
          <t>0                      BX 0890000T  35</t>
        </is>
      </c>
      <c r="D3105" t="inlineStr">
        <is>
          <t>Obras completas : nueva revisión del texto original con notas criticas / edición preparada por los Padres Fr. Efrén de la Madre de Dios, Fr. Otilio de Niño Jesus [y Fr. Otger Steggink]</t>
        </is>
      </c>
      <c r="E3105" t="inlineStr">
        <is>
          <t>V. 1</t>
        </is>
      </c>
      <c r="F3105" t="inlineStr">
        <is>
          <t>Yes</t>
        </is>
      </c>
      <c r="G3105" t="inlineStr">
        <is>
          <t>1</t>
        </is>
      </c>
      <c r="H3105" t="inlineStr">
        <is>
          <t>No</t>
        </is>
      </c>
      <c r="I3105" t="inlineStr">
        <is>
          <t>No</t>
        </is>
      </c>
      <c r="J3105" t="inlineStr">
        <is>
          <t>0</t>
        </is>
      </c>
      <c r="K3105" t="inlineStr">
        <is>
          <t>Teresa, of Avila, Saint, 1515-1582.</t>
        </is>
      </c>
      <c r="L3105" t="inlineStr">
        <is>
          <t>Madrid : [s.n.], 1951-59.</t>
        </is>
      </c>
      <c r="M3105" t="inlineStr">
        <is>
          <t>1951</t>
        </is>
      </c>
      <c r="O3105" t="inlineStr">
        <is>
          <t>spa</t>
        </is>
      </c>
      <c r="P3105" t="inlineStr">
        <is>
          <t xml:space="preserve">sp </t>
        </is>
      </c>
      <c r="Q3105" t="inlineStr">
        <is>
          <t>Biblioteca de autores cristianos ; 74, 120, 189</t>
        </is>
      </c>
      <c r="R3105" t="inlineStr">
        <is>
          <t xml:space="preserve">BX </t>
        </is>
      </c>
      <c r="S3105" t="n">
        <v>5</v>
      </c>
      <c r="T3105" t="n">
        <v>11</v>
      </c>
      <c r="U3105" t="inlineStr">
        <is>
          <t>2010-11-29</t>
        </is>
      </c>
      <c r="V3105" t="inlineStr">
        <is>
          <t>2010-11-29</t>
        </is>
      </c>
      <c r="W3105" t="inlineStr">
        <is>
          <t>1992-05-07</t>
        </is>
      </c>
      <c r="X3105" t="inlineStr">
        <is>
          <t>1992-05-07</t>
        </is>
      </c>
      <c r="Y3105" t="n">
        <v>55</v>
      </c>
      <c r="Z3105" t="n">
        <v>51</v>
      </c>
      <c r="AA3105" t="n">
        <v>71</v>
      </c>
      <c r="AB3105" t="n">
        <v>1</v>
      </c>
      <c r="AC3105" t="n">
        <v>2</v>
      </c>
      <c r="AD3105" t="n">
        <v>9</v>
      </c>
      <c r="AE3105" t="n">
        <v>12</v>
      </c>
      <c r="AF3105" t="n">
        <v>3</v>
      </c>
      <c r="AG3105" t="n">
        <v>3</v>
      </c>
      <c r="AH3105" t="n">
        <v>3</v>
      </c>
      <c r="AI3105" t="n">
        <v>3</v>
      </c>
      <c r="AJ3105" t="n">
        <v>7</v>
      </c>
      <c r="AK3105" t="n">
        <v>9</v>
      </c>
      <c r="AL3105" t="n">
        <v>0</v>
      </c>
      <c r="AM3105" t="n">
        <v>1</v>
      </c>
      <c r="AN3105" t="n">
        <v>0</v>
      </c>
      <c r="AO3105" t="n">
        <v>0</v>
      </c>
      <c r="AP3105" t="inlineStr">
        <is>
          <t>No</t>
        </is>
      </c>
      <c r="AQ3105" t="inlineStr">
        <is>
          <t>Yes</t>
        </is>
      </c>
      <c r="AR3105">
        <f>HYPERLINK("http://catalog.hathitrust.org/Record/102034884","HathiTrust Record")</f>
        <v/>
      </c>
      <c r="AS3105">
        <f>HYPERLINK("https://creighton-primo.hosted.exlibrisgroup.com/primo-explore/search?tab=default_tab&amp;search_scope=EVERYTHING&amp;vid=01CRU&amp;lang=en_US&amp;offset=0&amp;query=any,contains,991004183439702656","Catalog Record")</f>
        <v/>
      </c>
      <c r="AT3105">
        <f>HYPERLINK("http://www.worldcat.org/oclc/2611710","WorldCat Record")</f>
        <v/>
      </c>
      <c r="AU3105" t="inlineStr">
        <is>
          <t>4927031347:spa</t>
        </is>
      </c>
      <c r="AV3105" t="inlineStr">
        <is>
          <t>2611710</t>
        </is>
      </c>
      <c r="AW3105" t="inlineStr">
        <is>
          <t>991004183439702656</t>
        </is>
      </c>
      <c r="AX3105" t="inlineStr">
        <is>
          <t>991004183439702656</t>
        </is>
      </c>
      <c r="AY3105" t="inlineStr">
        <is>
          <t>2272713830002656</t>
        </is>
      </c>
      <c r="AZ3105" t="inlineStr">
        <is>
          <t>BOOK</t>
        </is>
      </c>
      <c r="BC3105" t="inlineStr">
        <is>
          <t>32285001082899</t>
        </is>
      </c>
      <c r="BD3105" t="inlineStr">
        <is>
          <t>893235155</t>
        </is>
      </c>
    </row>
    <row r="3106">
      <c r="A3106" t="inlineStr">
        <is>
          <t>No</t>
        </is>
      </c>
      <c r="B3106" t="inlineStr">
        <is>
          <t>BX890 .T35</t>
        </is>
      </c>
      <c r="C3106" t="inlineStr">
        <is>
          <t>0                      BX 0890000T  35</t>
        </is>
      </c>
      <c r="D3106" t="inlineStr">
        <is>
          <t>Obras completas : nueva revisión del texto original con notas criticas / edición preparada por los Padres Fr. Efrén de la Madre de Dios, Fr. Otilio de Niño Jesus [y Fr. Otger Steggink]</t>
        </is>
      </c>
      <c r="E3106" t="inlineStr">
        <is>
          <t>V. 2</t>
        </is>
      </c>
      <c r="F3106" t="inlineStr">
        <is>
          <t>Yes</t>
        </is>
      </c>
      <c r="G3106" t="inlineStr">
        <is>
          <t>1</t>
        </is>
      </c>
      <c r="H3106" t="inlineStr">
        <is>
          <t>No</t>
        </is>
      </c>
      <c r="I3106" t="inlineStr">
        <is>
          <t>No</t>
        </is>
      </c>
      <c r="J3106" t="inlineStr">
        <is>
          <t>0</t>
        </is>
      </c>
      <c r="K3106" t="inlineStr">
        <is>
          <t>Teresa, of Avila, Saint, 1515-1582.</t>
        </is>
      </c>
      <c r="L3106" t="inlineStr">
        <is>
          <t>Madrid : [s.n.], 1951-59.</t>
        </is>
      </c>
      <c r="M3106" t="inlineStr">
        <is>
          <t>1951</t>
        </is>
      </c>
      <c r="O3106" t="inlineStr">
        <is>
          <t>spa</t>
        </is>
      </c>
      <c r="P3106" t="inlineStr">
        <is>
          <t xml:space="preserve">sp </t>
        </is>
      </c>
      <c r="Q3106" t="inlineStr">
        <is>
          <t>Biblioteca de autores cristianos ; 74, 120, 189</t>
        </is>
      </c>
      <c r="R3106" t="inlineStr">
        <is>
          <t xml:space="preserve">BX </t>
        </is>
      </c>
      <c r="S3106" t="n">
        <v>6</v>
      </c>
      <c r="T3106" t="n">
        <v>11</v>
      </c>
      <c r="U3106" t="inlineStr">
        <is>
          <t>2010-11-29</t>
        </is>
      </c>
      <c r="V3106" t="inlineStr">
        <is>
          <t>2010-11-29</t>
        </is>
      </c>
      <c r="W3106" t="inlineStr">
        <is>
          <t>1992-05-07</t>
        </is>
      </c>
      <c r="X3106" t="inlineStr">
        <is>
          <t>1992-05-07</t>
        </is>
      </c>
      <c r="Y3106" t="n">
        <v>55</v>
      </c>
      <c r="Z3106" t="n">
        <v>51</v>
      </c>
      <c r="AA3106" t="n">
        <v>71</v>
      </c>
      <c r="AB3106" t="n">
        <v>1</v>
      </c>
      <c r="AC3106" t="n">
        <v>2</v>
      </c>
      <c r="AD3106" t="n">
        <v>9</v>
      </c>
      <c r="AE3106" t="n">
        <v>12</v>
      </c>
      <c r="AF3106" t="n">
        <v>3</v>
      </c>
      <c r="AG3106" t="n">
        <v>3</v>
      </c>
      <c r="AH3106" t="n">
        <v>3</v>
      </c>
      <c r="AI3106" t="n">
        <v>3</v>
      </c>
      <c r="AJ3106" t="n">
        <v>7</v>
      </c>
      <c r="AK3106" t="n">
        <v>9</v>
      </c>
      <c r="AL3106" t="n">
        <v>0</v>
      </c>
      <c r="AM3106" t="n">
        <v>1</v>
      </c>
      <c r="AN3106" t="n">
        <v>0</v>
      </c>
      <c r="AO3106" t="n">
        <v>0</v>
      </c>
      <c r="AP3106" t="inlineStr">
        <is>
          <t>No</t>
        </is>
      </c>
      <c r="AQ3106" t="inlineStr">
        <is>
          <t>Yes</t>
        </is>
      </c>
      <c r="AR3106">
        <f>HYPERLINK("http://catalog.hathitrust.org/Record/102034884","HathiTrust Record")</f>
        <v/>
      </c>
      <c r="AS3106">
        <f>HYPERLINK("https://creighton-primo.hosted.exlibrisgroup.com/primo-explore/search?tab=default_tab&amp;search_scope=EVERYTHING&amp;vid=01CRU&amp;lang=en_US&amp;offset=0&amp;query=any,contains,991004183439702656","Catalog Record")</f>
        <v/>
      </c>
      <c r="AT3106">
        <f>HYPERLINK("http://www.worldcat.org/oclc/2611710","WorldCat Record")</f>
        <v/>
      </c>
      <c r="AU3106" t="inlineStr">
        <is>
          <t>4927031347:spa</t>
        </is>
      </c>
      <c r="AV3106" t="inlineStr">
        <is>
          <t>2611710</t>
        </is>
      </c>
      <c r="AW3106" t="inlineStr">
        <is>
          <t>991004183439702656</t>
        </is>
      </c>
      <c r="AX3106" t="inlineStr">
        <is>
          <t>991004183439702656</t>
        </is>
      </c>
      <c r="AY3106" t="inlineStr">
        <is>
          <t>2272713830002656</t>
        </is>
      </c>
      <c r="AZ3106" t="inlineStr">
        <is>
          <t>BOOK</t>
        </is>
      </c>
      <c r="BC3106" t="inlineStr">
        <is>
          <t>32285001082907</t>
        </is>
      </c>
      <c r="BD3106" t="inlineStr">
        <is>
          <t>893259431</t>
        </is>
      </c>
    </row>
    <row r="3107">
      <c r="A3107" t="inlineStr">
        <is>
          <t>No</t>
        </is>
      </c>
      <c r="B3107" t="inlineStr">
        <is>
          <t>BX890 .T351 1940</t>
        </is>
      </c>
      <c r="C3107" t="inlineStr">
        <is>
          <t>0                      BX 0890000T  351         1940</t>
        </is>
      </c>
      <c r="D3107" t="inlineStr">
        <is>
          <t>Obras completas ... con un estudio preliminar por Luis Santullano.</t>
        </is>
      </c>
      <c r="F3107" t="inlineStr">
        <is>
          <t>No</t>
        </is>
      </c>
      <c r="G3107" t="inlineStr">
        <is>
          <t>1</t>
        </is>
      </c>
      <c r="H3107" t="inlineStr">
        <is>
          <t>No</t>
        </is>
      </c>
      <c r="I3107" t="inlineStr">
        <is>
          <t>No</t>
        </is>
      </c>
      <c r="J3107" t="inlineStr">
        <is>
          <t>0</t>
        </is>
      </c>
      <c r="K3107" t="inlineStr">
        <is>
          <t>Teresa, of Avila, Saint, 1515-1582.</t>
        </is>
      </c>
      <c r="L3107" t="inlineStr">
        <is>
          <t>Madrid, M. Aguilar, 1940.</t>
        </is>
      </c>
      <c r="M3107" t="inlineStr">
        <is>
          <t>1942</t>
        </is>
      </c>
      <c r="O3107" t="inlineStr">
        <is>
          <t>spa</t>
        </is>
      </c>
      <c r="P3107" t="inlineStr">
        <is>
          <t xml:space="preserve">sp </t>
        </is>
      </c>
      <c r="R3107" t="inlineStr">
        <is>
          <t xml:space="preserve">BX </t>
        </is>
      </c>
      <c r="S3107" t="n">
        <v>4</v>
      </c>
      <c r="T3107" t="n">
        <v>4</v>
      </c>
      <c r="U3107" t="inlineStr">
        <is>
          <t>1998-08-01</t>
        </is>
      </c>
      <c r="V3107" t="inlineStr">
        <is>
          <t>1998-08-01</t>
        </is>
      </c>
      <c r="W3107" t="inlineStr">
        <is>
          <t>1992-05-07</t>
        </is>
      </c>
      <c r="X3107" t="inlineStr">
        <is>
          <t>1992-05-07</t>
        </is>
      </c>
      <c r="Y3107" t="n">
        <v>29</v>
      </c>
      <c r="Z3107" t="n">
        <v>27</v>
      </c>
      <c r="AA3107" t="n">
        <v>27</v>
      </c>
      <c r="AB3107" t="n">
        <v>1</v>
      </c>
      <c r="AC3107" t="n">
        <v>1</v>
      </c>
      <c r="AD3107" t="n">
        <v>0</v>
      </c>
      <c r="AE3107" t="n">
        <v>0</v>
      </c>
      <c r="AF3107" t="n">
        <v>0</v>
      </c>
      <c r="AG3107" t="n">
        <v>0</v>
      </c>
      <c r="AH3107" t="n">
        <v>0</v>
      </c>
      <c r="AI3107" t="n">
        <v>0</v>
      </c>
      <c r="AJ3107" t="n">
        <v>0</v>
      </c>
      <c r="AK3107" t="n">
        <v>0</v>
      </c>
      <c r="AL3107" t="n">
        <v>0</v>
      </c>
      <c r="AM3107" t="n">
        <v>0</v>
      </c>
      <c r="AN3107" t="n">
        <v>0</v>
      </c>
      <c r="AO3107" t="n">
        <v>0</v>
      </c>
      <c r="AP3107" t="inlineStr">
        <is>
          <t>No</t>
        </is>
      </c>
      <c r="AQ3107" t="inlineStr">
        <is>
          <t>No</t>
        </is>
      </c>
      <c r="AS3107">
        <f>HYPERLINK("https://creighton-primo.hosted.exlibrisgroup.com/primo-explore/search?tab=default_tab&amp;search_scope=EVERYTHING&amp;vid=01CRU&amp;lang=en_US&amp;offset=0&amp;query=any,contains,991004257139702656","Catalog Record")</f>
        <v/>
      </c>
      <c r="AT3107">
        <f>HYPERLINK("http://www.worldcat.org/oclc/2829086","WorldCat Record")</f>
        <v/>
      </c>
      <c r="AU3107" t="inlineStr">
        <is>
          <t>3145434732:spa</t>
        </is>
      </c>
      <c r="AV3107" t="inlineStr">
        <is>
          <t>2829086</t>
        </is>
      </c>
      <c r="AW3107" t="inlineStr">
        <is>
          <t>991004257139702656</t>
        </is>
      </c>
      <c r="AX3107" t="inlineStr">
        <is>
          <t>991004257139702656</t>
        </is>
      </c>
      <c r="AY3107" t="inlineStr">
        <is>
          <t>2257701710002656</t>
        </is>
      </c>
      <c r="AZ3107" t="inlineStr">
        <is>
          <t>BOOK</t>
        </is>
      </c>
      <c r="BC3107" t="inlineStr">
        <is>
          <t>32285001082915</t>
        </is>
      </c>
      <c r="BD3107" t="inlineStr">
        <is>
          <t>893535884</t>
        </is>
      </c>
    </row>
    <row r="3108">
      <c r="A3108" t="inlineStr">
        <is>
          <t>No</t>
        </is>
      </c>
      <c r="B3108" t="inlineStr">
        <is>
          <t>BX890 .T353 1946</t>
        </is>
      </c>
      <c r="C3108" t="inlineStr">
        <is>
          <t>0                      BX 0890000T  353         1946</t>
        </is>
      </c>
      <c r="D3108" t="inlineStr">
        <is>
          <t>The complete works of Saint Teresa of Jesus. Translated and edited by E. Allison Peers from the critical ed. of Silverio de Santa Teresa.</t>
        </is>
      </c>
      <c r="E3108" t="inlineStr">
        <is>
          <t>V. 2</t>
        </is>
      </c>
      <c r="F3108" t="inlineStr">
        <is>
          <t>Yes</t>
        </is>
      </c>
      <c r="G3108" t="inlineStr">
        <is>
          <t>1</t>
        </is>
      </c>
      <c r="H3108" t="inlineStr">
        <is>
          <t>No</t>
        </is>
      </c>
      <c r="I3108" t="inlineStr">
        <is>
          <t>No</t>
        </is>
      </c>
      <c r="J3108" t="inlineStr">
        <is>
          <t>0</t>
        </is>
      </c>
      <c r="K3108" t="inlineStr">
        <is>
          <t>Teresa, of Avila, Saint, 1515-1582.</t>
        </is>
      </c>
      <c r="L3108" t="inlineStr">
        <is>
          <t>London, New York, Sheed &amp; Ward, 1950 [c1946]</t>
        </is>
      </c>
      <c r="M3108" t="inlineStr">
        <is>
          <t>1946</t>
        </is>
      </c>
      <c r="O3108" t="inlineStr">
        <is>
          <t>eng</t>
        </is>
      </c>
      <c r="P3108" t="inlineStr">
        <is>
          <t xml:space="preserve">xx </t>
        </is>
      </c>
      <c r="R3108" t="inlineStr">
        <is>
          <t xml:space="preserve">BX </t>
        </is>
      </c>
      <c r="S3108" t="n">
        <v>10</v>
      </c>
      <c r="T3108" t="n">
        <v>25</v>
      </c>
      <c r="U3108" t="inlineStr">
        <is>
          <t>2008-01-26</t>
        </is>
      </c>
      <c r="V3108" t="inlineStr">
        <is>
          <t>2008-01-26</t>
        </is>
      </c>
      <c r="W3108" t="inlineStr">
        <is>
          <t>1992-05-07</t>
        </is>
      </c>
      <c r="X3108" t="inlineStr">
        <is>
          <t>1992-05-07</t>
        </is>
      </c>
      <c r="Y3108" t="n">
        <v>54</v>
      </c>
      <c r="Z3108" t="n">
        <v>54</v>
      </c>
      <c r="AA3108" t="n">
        <v>450</v>
      </c>
      <c r="AB3108" t="n">
        <v>2</v>
      </c>
      <c r="AC3108" t="n">
        <v>3</v>
      </c>
      <c r="AD3108" t="n">
        <v>6</v>
      </c>
      <c r="AE3108" t="n">
        <v>37</v>
      </c>
      <c r="AF3108" t="n">
        <v>1</v>
      </c>
      <c r="AG3108" t="n">
        <v>13</v>
      </c>
      <c r="AH3108" t="n">
        <v>3</v>
      </c>
      <c r="AI3108" t="n">
        <v>9</v>
      </c>
      <c r="AJ3108" t="n">
        <v>5</v>
      </c>
      <c r="AK3108" t="n">
        <v>27</v>
      </c>
      <c r="AL3108" t="n">
        <v>0</v>
      </c>
      <c r="AM3108" t="n">
        <v>0</v>
      </c>
      <c r="AN3108" t="n">
        <v>0</v>
      </c>
      <c r="AO3108" t="n">
        <v>0</v>
      </c>
      <c r="AP3108" t="inlineStr">
        <is>
          <t>No</t>
        </is>
      </c>
      <c r="AQ3108" t="inlineStr">
        <is>
          <t>No</t>
        </is>
      </c>
      <c r="AS3108">
        <f>HYPERLINK("https://creighton-primo.hosted.exlibrisgroup.com/primo-explore/search?tab=default_tab&amp;search_scope=EVERYTHING&amp;vid=01CRU&amp;lang=en_US&amp;offset=0&amp;query=any,contains,991003887299702656","Catalog Record")</f>
        <v/>
      </c>
      <c r="AT3108">
        <f>HYPERLINK("http://www.worldcat.org/oclc/1741571","WorldCat Record")</f>
        <v/>
      </c>
      <c r="AU3108" t="inlineStr">
        <is>
          <t>2999811833:eng</t>
        </is>
      </c>
      <c r="AV3108" t="inlineStr">
        <is>
          <t>1741571</t>
        </is>
      </c>
      <c r="AW3108" t="inlineStr">
        <is>
          <t>991003887299702656</t>
        </is>
      </c>
      <c r="AX3108" t="inlineStr">
        <is>
          <t>991003887299702656</t>
        </is>
      </c>
      <c r="AY3108" t="inlineStr">
        <is>
          <t>2260220510002656</t>
        </is>
      </c>
      <c r="AZ3108" t="inlineStr">
        <is>
          <t>BOOK</t>
        </is>
      </c>
      <c r="BC3108" t="inlineStr">
        <is>
          <t>32285001082931</t>
        </is>
      </c>
      <c r="BD3108" t="inlineStr">
        <is>
          <t>893349325</t>
        </is>
      </c>
    </row>
    <row r="3109">
      <c r="A3109" t="inlineStr">
        <is>
          <t>No</t>
        </is>
      </c>
      <c r="B3109" t="inlineStr">
        <is>
          <t>BX890 .T353 1946</t>
        </is>
      </c>
      <c r="C3109" t="inlineStr">
        <is>
          <t>0                      BX 0890000T  353         1946</t>
        </is>
      </c>
      <c r="D3109" t="inlineStr">
        <is>
          <t>The complete works of Saint Teresa of Jesus. Translated and edited by E. Allison Peers from the critical ed. of Silverio de Santa Teresa.</t>
        </is>
      </c>
      <c r="E3109" t="inlineStr">
        <is>
          <t>V. 1</t>
        </is>
      </c>
      <c r="F3109" t="inlineStr">
        <is>
          <t>Yes</t>
        </is>
      </c>
      <c r="G3109" t="inlineStr">
        <is>
          <t>1</t>
        </is>
      </c>
      <c r="H3109" t="inlineStr">
        <is>
          <t>No</t>
        </is>
      </c>
      <c r="I3109" t="inlineStr">
        <is>
          <t>No</t>
        </is>
      </c>
      <c r="J3109" t="inlineStr">
        <is>
          <t>0</t>
        </is>
      </c>
      <c r="K3109" t="inlineStr">
        <is>
          <t>Teresa, of Avila, Saint, 1515-1582.</t>
        </is>
      </c>
      <c r="L3109" t="inlineStr">
        <is>
          <t>London, New York, Sheed &amp; Ward, 1950 [c1946]</t>
        </is>
      </c>
      <c r="M3109" t="inlineStr">
        <is>
          <t>1946</t>
        </is>
      </c>
      <c r="O3109" t="inlineStr">
        <is>
          <t>eng</t>
        </is>
      </c>
      <c r="P3109" t="inlineStr">
        <is>
          <t xml:space="preserve">xx </t>
        </is>
      </c>
      <c r="R3109" t="inlineStr">
        <is>
          <t xml:space="preserve">BX </t>
        </is>
      </c>
      <c r="S3109" t="n">
        <v>12</v>
      </c>
      <c r="T3109" t="n">
        <v>25</v>
      </c>
      <c r="U3109" t="inlineStr">
        <is>
          <t>2008-01-26</t>
        </is>
      </c>
      <c r="V3109" t="inlineStr">
        <is>
          <t>2008-01-26</t>
        </is>
      </c>
      <c r="W3109" t="inlineStr">
        <is>
          <t>1992-05-07</t>
        </is>
      </c>
      <c r="X3109" t="inlineStr">
        <is>
          <t>1992-05-07</t>
        </is>
      </c>
      <c r="Y3109" t="n">
        <v>54</v>
      </c>
      <c r="Z3109" t="n">
        <v>54</v>
      </c>
      <c r="AA3109" t="n">
        <v>450</v>
      </c>
      <c r="AB3109" t="n">
        <v>2</v>
      </c>
      <c r="AC3109" t="n">
        <v>3</v>
      </c>
      <c r="AD3109" t="n">
        <v>6</v>
      </c>
      <c r="AE3109" t="n">
        <v>37</v>
      </c>
      <c r="AF3109" t="n">
        <v>1</v>
      </c>
      <c r="AG3109" t="n">
        <v>13</v>
      </c>
      <c r="AH3109" t="n">
        <v>3</v>
      </c>
      <c r="AI3109" t="n">
        <v>9</v>
      </c>
      <c r="AJ3109" t="n">
        <v>5</v>
      </c>
      <c r="AK3109" t="n">
        <v>27</v>
      </c>
      <c r="AL3109" t="n">
        <v>0</v>
      </c>
      <c r="AM3109" t="n">
        <v>0</v>
      </c>
      <c r="AN3109" t="n">
        <v>0</v>
      </c>
      <c r="AO3109" t="n">
        <v>0</v>
      </c>
      <c r="AP3109" t="inlineStr">
        <is>
          <t>No</t>
        </is>
      </c>
      <c r="AQ3109" t="inlineStr">
        <is>
          <t>No</t>
        </is>
      </c>
      <c r="AS3109">
        <f>HYPERLINK("https://creighton-primo.hosted.exlibrisgroup.com/primo-explore/search?tab=default_tab&amp;search_scope=EVERYTHING&amp;vid=01CRU&amp;lang=en_US&amp;offset=0&amp;query=any,contains,991003887299702656","Catalog Record")</f>
        <v/>
      </c>
      <c r="AT3109">
        <f>HYPERLINK("http://www.worldcat.org/oclc/1741571","WorldCat Record")</f>
        <v/>
      </c>
      <c r="AU3109" t="inlineStr">
        <is>
          <t>2999811833:eng</t>
        </is>
      </c>
      <c r="AV3109" t="inlineStr">
        <is>
          <t>1741571</t>
        </is>
      </c>
      <c r="AW3109" t="inlineStr">
        <is>
          <t>991003887299702656</t>
        </is>
      </c>
      <c r="AX3109" t="inlineStr">
        <is>
          <t>991003887299702656</t>
        </is>
      </c>
      <c r="AY3109" t="inlineStr">
        <is>
          <t>2260220510002656</t>
        </is>
      </c>
      <c r="AZ3109" t="inlineStr">
        <is>
          <t>BOOK</t>
        </is>
      </c>
      <c r="BC3109" t="inlineStr">
        <is>
          <t>32285001082923</t>
        </is>
      </c>
      <c r="BD3109" t="inlineStr">
        <is>
          <t>893343172</t>
        </is>
      </c>
    </row>
    <row r="3110">
      <c r="A3110" t="inlineStr">
        <is>
          <t>No</t>
        </is>
      </c>
      <c r="B3110" t="inlineStr">
        <is>
          <t>BX890 .T353 1946</t>
        </is>
      </c>
      <c r="C3110" t="inlineStr">
        <is>
          <t>0                      BX 0890000T  353         1946</t>
        </is>
      </c>
      <c r="D3110" t="inlineStr">
        <is>
          <t>The complete works of Saint Teresa of Jesus. Translated and edited by E. Allison Peers from the critical ed. of Silverio de Santa Teresa.</t>
        </is>
      </c>
      <c r="E3110" t="inlineStr">
        <is>
          <t>V. 3</t>
        </is>
      </c>
      <c r="F3110" t="inlineStr">
        <is>
          <t>Yes</t>
        </is>
      </c>
      <c r="G3110" t="inlineStr">
        <is>
          <t>1</t>
        </is>
      </c>
      <c r="H3110" t="inlineStr">
        <is>
          <t>No</t>
        </is>
      </c>
      <c r="I3110" t="inlineStr">
        <is>
          <t>No</t>
        </is>
      </c>
      <c r="J3110" t="inlineStr">
        <is>
          <t>0</t>
        </is>
      </c>
      <c r="K3110" t="inlineStr">
        <is>
          <t>Teresa, of Avila, Saint, 1515-1582.</t>
        </is>
      </c>
      <c r="L3110" t="inlineStr">
        <is>
          <t>London, New York, Sheed &amp; Ward, 1950 [c1946]</t>
        </is>
      </c>
      <c r="M3110" t="inlineStr">
        <is>
          <t>1946</t>
        </is>
      </c>
      <c r="O3110" t="inlineStr">
        <is>
          <t>eng</t>
        </is>
      </c>
      <c r="P3110" t="inlineStr">
        <is>
          <t xml:space="preserve">xx </t>
        </is>
      </c>
      <c r="R3110" t="inlineStr">
        <is>
          <t xml:space="preserve">BX </t>
        </is>
      </c>
      <c r="S3110" t="n">
        <v>3</v>
      </c>
      <c r="T3110" t="n">
        <v>25</v>
      </c>
      <c r="U3110" t="inlineStr">
        <is>
          <t>2008-01-26</t>
        </is>
      </c>
      <c r="V3110" t="inlineStr">
        <is>
          <t>2008-01-26</t>
        </is>
      </c>
      <c r="W3110" t="inlineStr">
        <is>
          <t>1992-05-07</t>
        </is>
      </c>
      <c r="X3110" t="inlineStr">
        <is>
          <t>1992-05-07</t>
        </is>
      </c>
      <c r="Y3110" t="n">
        <v>54</v>
      </c>
      <c r="Z3110" t="n">
        <v>54</v>
      </c>
      <c r="AA3110" t="n">
        <v>450</v>
      </c>
      <c r="AB3110" t="n">
        <v>2</v>
      </c>
      <c r="AC3110" t="n">
        <v>3</v>
      </c>
      <c r="AD3110" t="n">
        <v>6</v>
      </c>
      <c r="AE3110" t="n">
        <v>37</v>
      </c>
      <c r="AF3110" t="n">
        <v>1</v>
      </c>
      <c r="AG3110" t="n">
        <v>13</v>
      </c>
      <c r="AH3110" t="n">
        <v>3</v>
      </c>
      <c r="AI3110" t="n">
        <v>9</v>
      </c>
      <c r="AJ3110" t="n">
        <v>5</v>
      </c>
      <c r="AK3110" t="n">
        <v>27</v>
      </c>
      <c r="AL3110" t="n">
        <v>0</v>
      </c>
      <c r="AM3110" t="n">
        <v>0</v>
      </c>
      <c r="AN3110" t="n">
        <v>0</v>
      </c>
      <c r="AO3110" t="n">
        <v>0</v>
      </c>
      <c r="AP3110" t="inlineStr">
        <is>
          <t>No</t>
        </is>
      </c>
      <c r="AQ3110" t="inlineStr">
        <is>
          <t>No</t>
        </is>
      </c>
      <c r="AS3110">
        <f>HYPERLINK("https://creighton-primo.hosted.exlibrisgroup.com/primo-explore/search?tab=default_tab&amp;search_scope=EVERYTHING&amp;vid=01CRU&amp;lang=en_US&amp;offset=0&amp;query=any,contains,991003887299702656","Catalog Record")</f>
        <v/>
      </c>
      <c r="AT3110">
        <f>HYPERLINK("http://www.worldcat.org/oclc/1741571","WorldCat Record")</f>
        <v/>
      </c>
      <c r="AU3110" t="inlineStr">
        <is>
          <t>2999811833:eng</t>
        </is>
      </c>
      <c r="AV3110" t="inlineStr">
        <is>
          <t>1741571</t>
        </is>
      </c>
      <c r="AW3110" t="inlineStr">
        <is>
          <t>991003887299702656</t>
        </is>
      </c>
      <c r="AX3110" t="inlineStr">
        <is>
          <t>991003887299702656</t>
        </is>
      </c>
      <c r="AY3110" t="inlineStr">
        <is>
          <t>2260220510002656</t>
        </is>
      </c>
      <c r="AZ3110" t="inlineStr">
        <is>
          <t>BOOK</t>
        </is>
      </c>
      <c r="BC3110" t="inlineStr">
        <is>
          <t>32285001082949</t>
        </is>
      </c>
      <c r="BD3110" t="inlineStr">
        <is>
          <t>893353094</t>
        </is>
      </c>
    </row>
    <row r="3111">
      <c r="A3111" t="inlineStr">
        <is>
          <t>No</t>
        </is>
      </c>
      <c r="B3111" t="inlineStr">
        <is>
          <t>BX890 .T6 1871</t>
        </is>
      </c>
      <c r="C3111" t="inlineStr">
        <is>
          <t>0                      BX 0890000T  6           1871</t>
        </is>
      </c>
      <c r="D3111" t="inlineStr">
        <is>
          <t>Opera omnia / studio ac labore Stanislai Eduardi Fretté et Pauli Maré.</t>
        </is>
      </c>
      <c r="E3111" t="inlineStr">
        <is>
          <t>V. 27</t>
        </is>
      </c>
      <c r="F3111" t="inlineStr">
        <is>
          <t>Yes</t>
        </is>
      </c>
      <c r="G3111" t="inlineStr">
        <is>
          <t>1</t>
        </is>
      </c>
      <c r="H3111" t="inlineStr">
        <is>
          <t>No</t>
        </is>
      </c>
      <c r="I3111" t="inlineStr">
        <is>
          <t>No</t>
        </is>
      </c>
      <c r="J3111" t="inlineStr">
        <is>
          <t>0</t>
        </is>
      </c>
      <c r="K3111" t="inlineStr">
        <is>
          <t>Thomas, Aquinas, Saint, 1225?-1274.</t>
        </is>
      </c>
      <c r="L3111" t="inlineStr">
        <is>
          <t>Parisiis : Apud Ludovicum Vivès, 1871-1880.</t>
        </is>
      </c>
      <c r="M3111" t="inlineStr">
        <is>
          <t>1871</t>
        </is>
      </c>
      <c r="O3111" t="inlineStr">
        <is>
          <t>lat</t>
        </is>
      </c>
      <c r="P3111" t="inlineStr">
        <is>
          <t xml:space="preserve">fr </t>
        </is>
      </c>
      <c r="R3111" t="inlineStr">
        <is>
          <t xml:space="preserve">BX </t>
        </is>
      </c>
      <c r="S3111" t="n">
        <v>0</v>
      </c>
      <c r="T3111" t="n">
        <v>21</v>
      </c>
      <c r="V3111" t="inlineStr">
        <is>
          <t>2008-11-11</t>
        </is>
      </c>
      <c r="W3111" t="inlineStr">
        <is>
          <t>1992-05-15</t>
        </is>
      </c>
      <c r="X3111" t="inlineStr">
        <is>
          <t>1993-03-04</t>
        </is>
      </c>
      <c r="Y3111" t="n">
        <v>33</v>
      </c>
      <c r="Z3111" t="n">
        <v>24</v>
      </c>
      <c r="AA3111" t="n">
        <v>42</v>
      </c>
      <c r="AB3111" t="n">
        <v>1</v>
      </c>
      <c r="AC3111" t="n">
        <v>1</v>
      </c>
      <c r="AD3111" t="n">
        <v>6</v>
      </c>
      <c r="AE3111" t="n">
        <v>6</v>
      </c>
      <c r="AF3111" t="n">
        <v>3</v>
      </c>
      <c r="AG3111" t="n">
        <v>3</v>
      </c>
      <c r="AH3111" t="n">
        <v>1</v>
      </c>
      <c r="AI3111" t="n">
        <v>1</v>
      </c>
      <c r="AJ3111" t="n">
        <v>4</v>
      </c>
      <c r="AK3111" t="n">
        <v>4</v>
      </c>
      <c r="AL3111" t="n">
        <v>0</v>
      </c>
      <c r="AM3111" t="n">
        <v>0</v>
      </c>
      <c r="AN3111" t="n">
        <v>0</v>
      </c>
      <c r="AO3111" t="n">
        <v>0</v>
      </c>
      <c r="AP3111" t="inlineStr">
        <is>
          <t>Yes</t>
        </is>
      </c>
      <c r="AQ3111" t="inlineStr">
        <is>
          <t>No</t>
        </is>
      </c>
      <c r="AR3111">
        <f>HYPERLINK("http://catalog.hathitrust.org/Record/008394308","HathiTrust Record")</f>
        <v/>
      </c>
      <c r="AS3111">
        <f>HYPERLINK("https://creighton-primo.hosted.exlibrisgroup.com/primo-explore/search?tab=default_tab&amp;search_scope=EVERYTHING&amp;vid=01CRU&amp;lang=en_US&amp;offset=0&amp;query=any,contains,991004035139702656","Catalog Record")</f>
        <v/>
      </c>
      <c r="AT3111">
        <f>HYPERLINK("http://www.worldcat.org/oclc/2167761","WorldCat Record")</f>
        <v/>
      </c>
      <c r="AU3111" t="inlineStr">
        <is>
          <t>2908660729:lat</t>
        </is>
      </c>
      <c r="AV3111" t="inlineStr">
        <is>
          <t>2167761</t>
        </is>
      </c>
      <c r="AW3111" t="inlineStr">
        <is>
          <t>991004035139702656</t>
        </is>
      </c>
      <c r="AX3111" t="inlineStr">
        <is>
          <t>991004035139702656</t>
        </is>
      </c>
      <c r="AY3111" t="inlineStr">
        <is>
          <t>2270666460002656</t>
        </is>
      </c>
      <c r="AZ3111" t="inlineStr">
        <is>
          <t>BOOK</t>
        </is>
      </c>
      <c r="BC3111" t="inlineStr">
        <is>
          <t>32285001083400</t>
        </is>
      </c>
      <c r="BD3111" t="inlineStr">
        <is>
          <t>893435806</t>
        </is>
      </c>
    </row>
    <row r="3112">
      <c r="A3112" t="inlineStr">
        <is>
          <t>No</t>
        </is>
      </c>
      <c r="B3112" t="inlineStr">
        <is>
          <t>BX890 .T6 1871</t>
        </is>
      </c>
      <c r="C3112" t="inlineStr">
        <is>
          <t>0                      BX 0890000T  6           1871</t>
        </is>
      </c>
      <c r="D3112" t="inlineStr">
        <is>
          <t>Opera omnia / studio ac labore Stanislai Eduardi Fretté et Pauli Maré.</t>
        </is>
      </c>
      <c r="E3112" t="inlineStr">
        <is>
          <t>V. 2</t>
        </is>
      </c>
      <c r="F3112" t="inlineStr">
        <is>
          <t>Yes</t>
        </is>
      </c>
      <c r="G3112" t="inlineStr">
        <is>
          <t>1</t>
        </is>
      </c>
      <c r="H3112" t="inlineStr">
        <is>
          <t>No</t>
        </is>
      </c>
      <c r="I3112" t="inlineStr">
        <is>
          <t>No</t>
        </is>
      </c>
      <c r="J3112" t="inlineStr">
        <is>
          <t>0</t>
        </is>
      </c>
      <c r="K3112" t="inlineStr">
        <is>
          <t>Thomas, Aquinas, Saint, 1225?-1274.</t>
        </is>
      </c>
      <c r="L3112" t="inlineStr">
        <is>
          <t>Parisiis : Apud Ludovicum Vivès, 1871-1880.</t>
        </is>
      </c>
      <c r="M3112" t="inlineStr">
        <is>
          <t>1871</t>
        </is>
      </c>
      <c r="O3112" t="inlineStr">
        <is>
          <t>lat</t>
        </is>
      </c>
      <c r="P3112" t="inlineStr">
        <is>
          <t xml:space="preserve">fr </t>
        </is>
      </c>
      <c r="R3112" t="inlineStr">
        <is>
          <t xml:space="preserve">BX </t>
        </is>
      </c>
      <c r="S3112" t="n">
        <v>2</v>
      </c>
      <c r="T3112" t="n">
        <v>21</v>
      </c>
      <c r="U3112" t="inlineStr">
        <is>
          <t>1992-03-17</t>
        </is>
      </c>
      <c r="V3112" t="inlineStr">
        <is>
          <t>2008-11-11</t>
        </is>
      </c>
      <c r="W3112" t="inlineStr">
        <is>
          <t>1992-03-17</t>
        </is>
      </c>
      <c r="X3112" t="inlineStr">
        <is>
          <t>1993-03-04</t>
        </is>
      </c>
      <c r="Y3112" t="n">
        <v>33</v>
      </c>
      <c r="Z3112" t="n">
        <v>24</v>
      </c>
      <c r="AA3112" t="n">
        <v>42</v>
      </c>
      <c r="AB3112" t="n">
        <v>1</v>
      </c>
      <c r="AC3112" t="n">
        <v>1</v>
      </c>
      <c r="AD3112" t="n">
        <v>6</v>
      </c>
      <c r="AE3112" t="n">
        <v>6</v>
      </c>
      <c r="AF3112" t="n">
        <v>3</v>
      </c>
      <c r="AG3112" t="n">
        <v>3</v>
      </c>
      <c r="AH3112" t="n">
        <v>1</v>
      </c>
      <c r="AI3112" t="n">
        <v>1</v>
      </c>
      <c r="AJ3112" t="n">
        <v>4</v>
      </c>
      <c r="AK3112" t="n">
        <v>4</v>
      </c>
      <c r="AL3112" t="n">
        <v>0</v>
      </c>
      <c r="AM3112" t="n">
        <v>0</v>
      </c>
      <c r="AN3112" t="n">
        <v>0</v>
      </c>
      <c r="AO3112" t="n">
        <v>0</v>
      </c>
      <c r="AP3112" t="inlineStr">
        <is>
          <t>Yes</t>
        </is>
      </c>
      <c r="AQ3112" t="inlineStr">
        <is>
          <t>No</t>
        </is>
      </c>
      <c r="AR3112">
        <f>HYPERLINK("http://catalog.hathitrust.org/Record/008394308","HathiTrust Record")</f>
        <v/>
      </c>
      <c r="AS3112">
        <f>HYPERLINK("https://creighton-primo.hosted.exlibrisgroup.com/primo-explore/search?tab=default_tab&amp;search_scope=EVERYTHING&amp;vid=01CRU&amp;lang=en_US&amp;offset=0&amp;query=any,contains,991004035139702656","Catalog Record")</f>
        <v/>
      </c>
      <c r="AT3112">
        <f>HYPERLINK("http://www.worldcat.org/oclc/2167761","WorldCat Record")</f>
        <v/>
      </c>
      <c r="AU3112" t="inlineStr">
        <is>
          <t>2908660729:lat</t>
        </is>
      </c>
      <c r="AV3112" t="inlineStr">
        <is>
          <t>2167761</t>
        </is>
      </c>
      <c r="AW3112" t="inlineStr">
        <is>
          <t>991004035139702656</t>
        </is>
      </c>
      <c r="AX3112" t="inlineStr">
        <is>
          <t>991004035139702656</t>
        </is>
      </c>
      <c r="AY3112" t="inlineStr">
        <is>
          <t>2270666460002656</t>
        </is>
      </c>
      <c r="AZ3112" t="inlineStr">
        <is>
          <t>BOOK</t>
        </is>
      </c>
      <c r="BC3112" t="inlineStr">
        <is>
          <t>32285001023158</t>
        </is>
      </c>
      <c r="BD3112" t="inlineStr">
        <is>
          <t>893435812</t>
        </is>
      </c>
    </row>
    <row r="3113">
      <c r="A3113" t="inlineStr">
        <is>
          <t>No</t>
        </is>
      </c>
      <c r="B3113" t="inlineStr">
        <is>
          <t>BX890 .T6 1871</t>
        </is>
      </c>
      <c r="C3113" t="inlineStr">
        <is>
          <t>0                      BX 0890000T  6           1871</t>
        </is>
      </c>
      <c r="D3113" t="inlineStr">
        <is>
          <t>Opera omnia / studio ac labore Stanislai Eduardi Fretté et Pauli Maré.</t>
        </is>
      </c>
      <c r="E3113" t="inlineStr">
        <is>
          <t>V. 1</t>
        </is>
      </c>
      <c r="F3113" t="inlineStr">
        <is>
          <t>Yes</t>
        </is>
      </c>
      <c r="G3113" t="inlineStr">
        <is>
          <t>1</t>
        </is>
      </c>
      <c r="H3113" t="inlineStr">
        <is>
          <t>No</t>
        </is>
      </c>
      <c r="I3113" t="inlineStr">
        <is>
          <t>No</t>
        </is>
      </c>
      <c r="J3113" t="inlineStr">
        <is>
          <t>0</t>
        </is>
      </c>
      <c r="K3113" t="inlineStr">
        <is>
          <t>Thomas, Aquinas, Saint, 1225?-1274.</t>
        </is>
      </c>
      <c r="L3113" t="inlineStr">
        <is>
          <t>Parisiis : Apud Ludovicum Vivès, 1871-1880.</t>
        </is>
      </c>
      <c r="M3113" t="inlineStr">
        <is>
          <t>1871</t>
        </is>
      </c>
      <c r="O3113" t="inlineStr">
        <is>
          <t>lat</t>
        </is>
      </c>
      <c r="P3113" t="inlineStr">
        <is>
          <t xml:space="preserve">fr </t>
        </is>
      </c>
      <c r="R3113" t="inlineStr">
        <is>
          <t xml:space="preserve">BX </t>
        </is>
      </c>
      <c r="S3113" t="n">
        <v>2</v>
      </c>
      <c r="T3113" t="n">
        <v>21</v>
      </c>
      <c r="U3113" t="inlineStr">
        <is>
          <t>1992-03-17</t>
        </is>
      </c>
      <c r="V3113" t="inlineStr">
        <is>
          <t>2008-11-11</t>
        </is>
      </c>
      <c r="W3113" t="inlineStr">
        <is>
          <t>1992-03-17</t>
        </is>
      </c>
      <c r="X3113" t="inlineStr">
        <is>
          <t>1993-03-04</t>
        </is>
      </c>
      <c r="Y3113" t="n">
        <v>33</v>
      </c>
      <c r="Z3113" t="n">
        <v>24</v>
      </c>
      <c r="AA3113" t="n">
        <v>42</v>
      </c>
      <c r="AB3113" t="n">
        <v>1</v>
      </c>
      <c r="AC3113" t="n">
        <v>1</v>
      </c>
      <c r="AD3113" t="n">
        <v>6</v>
      </c>
      <c r="AE3113" t="n">
        <v>6</v>
      </c>
      <c r="AF3113" t="n">
        <v>3</v>
      </c>
      <c r="AG3113" t="n">
        <v>3</v>
      </c>
      <c r="AH3113" t="n">
        <v>1</v>
      </c>
      <c r="AI3113" t="n">
        <v>1</v>
      </c>
      <c r="AJ3113" t="n">
        <v>4</v>
      </c>
      <c r="AK3113" t="n">
        <v>4</v>
      </c>
      <c r="AL3113" t="n">
        <v>0</v>
      </c>
      <c r="AM3113" t="n">
        <v>0</v>
      </c>
      <c r="AN3113" t="n">
        <v>0</v>
      </c>
      <c r="AO3113" t="n">
        <v>0</v>
      </c>
      <c r="AP3113" t="inlineStr">
        <is>
          <t>Yes</t>
        </is>
      </c>
      <c r="AQ3113" t="inlineStr">
        <is>
          <t>No</t>
        </is>
      </c>
      <c r="AR3113">
        <f>HYPERLINK("http://catalog.hathitrust.org/Record/008394308","HathiTrust Record")</f>
        <v/>
      </c>
      <c r="AS3113">
        <f>HYPERLINK("https://creighton-primo.hosted.exlibrisgroup.com/primo-explore/search?tab=default_tab&amp;search_scope=EVERYTHING&amp;vid=01CRU&amp;lang=en_US&amp;offset=0&amp;query=any,contains,991004035139702656","Catalog Record")</f>
        <v/>
      </c>
      <c r="AT3113">
        <f>HYPERLINK("http://www.worldcat.org/oclc/2167761","WorldCat Record")</f>
        <v/>
      </c>
      <c r="AU3113" t="inlineStr">
        <is>
          <t>2908660729:lat</t>
        </is>
      </c>
      <c r="AV3113" t="inlineStr">
        <is>
          <t>2167761</t>
        </is>
      </c>
      <c r="AW3113" t="inlineStr">
        <is>
          <t>991004035139702656</t>
        </is>
      </c>
      <c r="AX3113" t="inlineStr">
        <is>
          <t>991004035139702656</t>
        </is>
      </c>
      <c r="AY3113" t="inlineStr">
        <is>
          <t>2270666460002656</t>
        </is>
      </c>
      <c r="AZ3113" t="inlineStr">
        <is>
          <t>BOOK</t>
        </is>
      </c>
      <c r="BC3113" t="inlineStr">
        <is>
          <t>32285001023141</t>
        </is>
      </c>
      <c r="BD3113" t="inlineStr">
        <is>
          <t>893435814</t>
        </is>
      </c>
    </row>
    <row r="3114">
      <c r="A3114" t="inlineStr">
        <is>
          <t>No</t>
        </is>
      </c>
      <c r="B3114" t="inlineStr">
        <is>
          <t>BX890 .T6 1871</t>
        </is>
      </c>
      <c r="C3114" t="inlineStr">
        <is>
          <t>0                      BX 0890000T  6           1871</t>
        </is>
      </c>
      <c r="D3114" t="inlineStr">
        <is>
          <t>Opera omnia / studio ac labore Stanislai Eduardi Fretté et Pauli Maré.</t>
        </is>
      </c>
      <c r="E3114" t="inlineStr">
        <is>
          <t>V. 6</t>
        </is>
      </c>
      <c r="F3114" t="inlineStr">
        <is>
          <t>Yes</t>
        </is>
      </c>
      <c r="G3114" t="inlineStr">
        <is>
          <t>1</t>
        </is>
      </c>
      <c r="H3114" t="inlineStr">
        <is>
          <t>No</t>
        </is>
      </c>
      <c r="I3114" t="inlineStr">
        <is>
          <t>No</t>
        </is>
      </c>
      <c r="J3114" t="inlineStr">
        <is>
          <t>0</t>
        </is>
      </c>
      <c r="K3114" t="inlineStr">
        <is>
          <t>Thomas, Aquinas, Saint, 1225?-1274.</t>
        </is>
      </c>
      <c r="L3114" t="inlineStr">
        <is>
          <t>Parisiis : Apud Ludovicum Vivès, 1871-1880.</t>
        </is>
      </c>
      <c r="M3114" t="inlineStr">
        <is>
          <t>1871</t>
        </is>
      </c>
      <c r="O3114" t="inlineStr">
        <is>
          <t>lat</t>
        </is>
      </c>
      <c r="P3114" t="inlineStr">
        <is>
          <t xml:space="preserve">fr </t>
        </is>
      </c>
      <c r="R3114" t="inlineStr">
        <is>
          <t xml:space="preserve">BX </t>
        </is>
      </c>
      <c r="S3114" t="n">
        <v>1</v>
      </c>
      <c r="T3114" t="n">
        <v>21</v>
      </c>
      <c r="U3114" t="inlineStr">
        <is>
          <t>1992-03-17</t>
        </is>
      </c>
      <c r="V3114" t="inlineStr">
        <is>
          <t>2008-11-11</t>
        </is>
      </c>
      <c r="W3114" t="inlineStr">
        <is>
          <t>1992-03-17</t>
        </is>
      </c>
      <c r="X3114" t="inlineStr">
        <is>
          <t>1993-03-04</t>
        </is>
      </c>
      <c r="Y3114" t="n">
        <v>33</v>
      </c>
      <c r="Z3114" t="n">
        <v>24</v>
      </c>
      <c r="AA3114" t="n">
        <v>42</v>
      </c>
      <c r="AB3114" t="n">
        <v>1</v>
      </c>
      <c r="AC3114" t="n">
        <v>1</v>
      </c>
      <c r="AD3114" t="n">
        <v>6</v>
      </c>
      <c r="AE3114" t="n">
        <v>6</v>
      </c>
      <c r="AF3114" t="n">
        <v>3</v>
      </c>
      <c r="AG3114" t="n">
        <v>3</v>
      </c>
      <c r="AH3114" t="n">
        <v>1</v>
      </c>
      <c r="AI3114" t="n">
        <v>1</v>
      </c>
      <c r="AJ3114" t="n">
        <v>4</v>
      </c>
      <c r="AK3114" t="n">
        <v>4</v>
      </c>
      <c r="AL3114" t="n">
        <v>0</v>
      </c>
      <c r="AM3114" t="n">
        <v>0</v>
      </c>
      <c r="AN3114" t="n">
        <v>0</v>
      </c>
      <c r="AO3114" t="n">
        <v>0</v>
      </c>
      <c r="AP3114" t="inlineStr">
        <is>
          <t>Yes</t>
        </is>
      </c>
      <c r="AQ3114" t="inlineStr">
        <is>
          <t>No</t>
        </is>
      </c>
      <c r="AR3114">
        <f>HYPERLINK("http://catalog.hathitrust.org/Record/008394308","HathiTrust Record")</f>
        <v/>
      </c>
      <c r="AS3114">
        <f>HYPERLINK("https://creighton-primo.hosted.exlibrisgroup.com/primo-explore/search?tab=default_tab&amp;search_scope=EVERYTHING&amp;vid=01CRU&amp;lang=en_US&amp;offset=0&amp;query=any,contains,991004035139702656","Catalog Record")</f>
        <v/>
      </c>
      <c r="AT3114">
        <f>HYPERLINK("http://www.worldcat.org/oclc/2167761","WorldCat Record")</f>
        <v/>
      </c>
      <c r="AU3114" t="inlineStr">
        <is>
          <t>2908660729:lat</t>
        </is>
      </c>
      <c r="AV3114" t="inlineStr">
        <is>
          <t>2167761</t>
        </is>
      </c>
      <c r="AW3114" t="inlineStr">
        <is>
          <t>991004035139702656</t>
        </is>
      </c>
      <c r="AX3114" t="inlineStr">
        <is>
          <t>991004035139702656</t>
        </is>
      </c>
      <c r="AY3114" t="inlineStr">
        <is>
          <t>2270666460002656</t>
        </is>
      </c>
      <c r="AZ3114" t="inlineStr">
        <is>
          <t>BOOK</t>
        </is>
      </c>
      <c r="BC3114" t="inlineStr">
        <is>
          <t>32285001023190</t>
        </is>
      </c>
      <c r="BD3114" t="inlineStr">
        <is>
          <t>893435803</t>
        </is>
      </c>
    </row>
    <row r="3115">
      <c r="A3115" t="inlineStr">
        <is>
          <t>No</t>
        </is>
      </c>
      <c r="B3115" t="inlineStr">
        <is>
          <t>BX890 .T6 1871</t>
        </is>
      </c>
      <c r="C3115" t="inlineStr">
        <is>
          <t>0                      BX 0890000T  6           1871</t>
        </is>
      </c>
      <c r="D3115" t="inlineStr">
        <is>
          <t>Opera omnia / studio ac labore Stanislai Eduardi Fretté et Pauli Maré.</t>
        </is>
      </c>
      <c r="E3115" t="inlineStr">
        <is>
          <t>V. 18</t>
        </is>
      </c>
      <c r="F3115" t="inlineStr">
        <is>
          <t>Yes</t>
        </is>
      </c>
      <c r="G3115" t="inlineStr">
        <is>
          <t>1</t>
        </is>
      </c>
      <c r="H3115" t="inlineStr">
        <is>
          <t>No</t>
        </is>
      </c>
      <c r="I3115" t="inlineStr">
        <is>
          <t>No</t>
        </is>
      </c>
      <c r="J3115" t="inlineStr">
        <is>
          <t>0</t>
        </is>
      </c>
      <c r="K3115" t="inlineStr">
        <is>
          <t>Thomas, Aquinas, Saint, 1225?-1274.</t>
        </is>
      </c>
      <c r="L3115" t="inlineStr">
        <is>
          <t>Parisiis : Apud Ludovicum Vivès, 1871-1880.</t>
        </is>
      </c>
      <c r="M3115" t="inlineStr">
        <is>
          <t>1871</t>
        </is>
      </c>
      <c r="O3115" t="inlineStr">
        <is>
          <t>lat</t>
        </is>
      </c>
      <c r="P3115" t="inlineStr">
        <is>
          <t xml:space="preserve">fr </t>
        </is>
      </c>
      <c r="R3115" t="inlineStr">
        <is>
          <t xml:space="preserve">BX </t>
        </is>
      </c>
      <c r="S3115" t="n">
        <v>1</v>
      </c>
      <c r="T3115" t="n">
        <v>21</v>
      </c>
      <c r="U3115" t="inlineStr">
        <is>
          <t>2008-11-11</t>
        </is>
      </c>
      <c r="V3115" t="inlineStr">
        <is>
          <t>2008-11-11</t>
        </is>
      </c>
      <c r="W3115" t="inlineStr">
        <is>
          <t>1992-05-15</t>
        </is>
      </c>
      <c r="X3115" t="inlineStr">
        <is>
          <t>1993-03-04</t>
        </is>
      </c>
      <c r="Y3115" t="n">
        <v>33</v>
      </c>
      <c r="Z3115" t="n">
        <v>24</v>
      </c>
      <c r="AA3115" t="n">
        <v>42</v>
      </c>
      <c r="AB3115" t="n">
        <v>1</v>
      </c>
      <c r="AC3115" t="n">
        <v>1</v>
      </c>
      <c r="AD3115" t="n">
        <v>6</v>
      </c>
      <c r="AE3115" t="n">
        <v>6</v>
      </c>
      <c r="AF3115" t="n">
        <v>3</v>
      </c>
      <c r="AG3115" t="n">
        <v>3</v>
      </c>
      <c r="AH3115" t="n">
        <v>1</v>
      </c>
      <c r="AI3115" t="n">
        <v>1</v>
      </c>
      <c r="AJ3115" t="n">
        <v>4</v>
      </c>
      <c r="AK3115" t="n">
        <v>4</v>
      </c>
      <c r="AL3115" t="n">
        <v>0</v>
      </c>
      <c r="AM3115" t="n">
        <v>0</v>
      </c>
      <c r="AN3115" t="n">
        <v>0</v>
      </c>
      <c r="AO3115" t="n">
        <v>0</v>
      </c>
      <c r="AP3115" t="inlineStr">
        <is>
          <t>Yes</t>
        </is>
      </c>
      <c r="AQ3115" t="inlineStr">
        <is>
          <t>No</t>
        </is>
      </c>
      <c r="AR3115">
        <f>HYPERLINK("http://catalog.hathitrust.org/Record/008394308","HathiTrust Record")</f>
        <v/>
      </c>
      <c r="AS3115">
        <f>HYPERLINK("https://creighton-primo.hosted.exlibrisgroup.com/primo-explore/search?tab=default_tab&amp;search_scope=EVERYTHING&amp;vid=01CRU&amp;lang=en_US&amp;offset=0&amp;query=any,contains,991004035139702656","Catalog Record")</f>
        <v/>
      </c>
      <c r="AT3115">
        <f>HYPERLINK("http://www.worldcat.org/oclc/2167761","WorldCat Record")</f>
        <v/>
      </c>
      <c r="AU3115" t="inlineStr">
        <is>
          <t>2908660729:lat</t>
        </is>
      </c>
      <c r="AV3115" t="inlineStr">
        <is>
          <t>2167761</t>
        </is>
      </c>
      <c r="AW3115" t="inlineStr">
        <is>
          <t>991004035139702656</t>
        </is>
      </c>
      <c r="AX3115" t="inlineStr">
        <is>
          <t>991004035139702656</t>
        </is>
      </c>
      <c r="AY3115" t="inlineStr">
        <is>
          <t>2270666460002656</t>
        </is>
      </c>
      <c r="AZ3115" t="inlineStr">
        <is>
          <t>BOOK</t>
        </is>
      </c>
      <c r="BC3115" t="inlineStr">
        <is>
          <t>32285001083327</t>
        </is>
      </c>
      <c r="BD3115" t="inlineStr">
        <is>
          <t>893435801</t>
        </is>
      </c>
    </row>
    <row r="3116">
      <c r="A3116" t="inlineStr">
        <is>
          <t>No</t>
        </is>
      </c>
      <c r="B3116" t="inlineStr">
        <is>
          <t>BX890 .T6 1871</t>
        </is>
      </c>
      <c r="C3116" t="inlineStr">
        <is>
          <t>0                      BX 0890000T  6           1871</t>
        </is>
      </c>
      <c r="D3116" t="inlineStr">
        <is>
          <t>Opera omnia / studio ac labore Stanislai Eduardi Fretté et Pauli Maré.</t>
        </is>
      </c>
      <c r="E3116" t="inlineStr">
        <is>
          <t>V. 23</t>
        </is>
      </c>
      <c r="F3116" t="inlineStr">
        <is>
          <t>Yes</t>
        </is>
      </c>
      <c r="G3116" t="inlineStr">
        <is>
          <t>1</t>
        </is>
      </c>
      <c r="H3116" t="inlineStr">
        <is>
          <t>No</t>
        </is>
      </c>
      <c r="I3116" t="inlineStr">
        <is>
          <t>No</t>
        </is>
      </c>
      <c r="J3116" t="inlineStr">
        <is>
          <t>0</t>
        </is>
      </c>
      <c r="K3116" t="inlineStr">
        <is>
          <t>Thomas, Aquinas, Saint, 1225?-1274.</t>
        </is>
      </c>
      <c r="L3116" t="inlineStr">
        <is>
          <t>Parisiis : Apud Ludovicum Vivès, 1871-1880.</t>
        </is>
      </c>
      <c r="M3116" t="inlineStr">
        <is>
          <t>1871</t>
        </is>
      </c>
      <c r="O3116" t="inlineStr">
        <is>
          <t>lat</t>
        </is>
      </c>
      <c r="P3116" t="inlineStr">
        <is>
          <t xml:space="preserve">fr </t>
        </is>
      </c>
      <c r="R3116" t="inlineStr">
        <is>
          <t xml:space="preserve">BX </t>
        </is>
      </c>
      <c r="S3116" t="n">
        <v>0</v>
      </c>
      <c r="T3116" t="n">
        <v>21</v>
      </c>
      <c r="V3116" t="inlineStr">
        <is>
          <t>2008-11-11</t>
        </is>
      </c>
      <c r="W3116" t="inlineStr">
        <is>
          <t>1992-05-15</t>
        </is>
      </c>
      <c r="X3116" t="inlineStr">
        <is>
          <t>1993-03-04</t>
        </is>
      </c>
      <c r="Y3116" t="n">
        <v>33</v>
      </c>
      <c r="Z3116" t="n">
        <v>24</v>
      </c>
      <c r="AA3116" t="n">
        <v>42</v>
      </c>
      <c r="AB3116" t="n">
        <v>1</v>
      </c>
      <c r="AC3116" t="n">
        <v>1</v>
      </c>
      <c r="AD3116" t="n">
        <v>6</v>
      </c>
      <c r="AE3116" t="n">
        <v>6</v>
      </c>
      <c r="AF3116" t="n">
        <v>3</v>
      </c>
      <c r="AG3116" t="n">
        <v>3</v>
      </c>
      <c r="AH3116" t="n">
        <v>1</v>
      </c>
      <c r="AI3116" t="n">
        <v>1</v>
      </c>
      <c r="AJ3116" t="n">
        <v>4</v>
      </c>
      <c r="AK3116" t="n">
        <v>4</v>
      </c>
      <c r="AL3116" t="n">
        <v>0</v>
      </c>
      <c r="AM3116" t="n">
        <v>0</v>
      </c>
      <c r="AN3116" t="n">
        <v>0</v>
      </c>
      <c r="AO3116" t="n">
        <v>0</v>
      </c>
      <c r="AP3116" t="inlineStr">
        <is>
          <t>Yes</t>
        </is>
      </c>
      <c r="AQ3116" t="inlineStr">
        <is>
          <t>No</t>
        </is>
      </c>
      <c r="AR3116">
        <f>HYPERLINK("http://catalog.hathitrust.org/Record/008394308","HathiTrust Record")</f>
        <v/>
      </c>
      <c r="AS3116">
        <f>HYPERLINK("https://creighton-primo.hosted.exlibrisgroup.com/primo-explore/search?tab=default_tab&amp;search_scope=EVERYTHING&amp;vid=01CRU&amp;lang=en_US&amp;offset=0&amp;query=any,contains,991004035139702656","Catalog Record")</f>
        <v/>
      </c>
      <c r="AT3116">
        <f>HYPERLINK("http://www.worldcat.org/oclc/2167761","WorldCat Record")</f>
        <v/>
      </c>
      <c r="AU3116" t="inlineStr">
        <is>
          <t>2908660729:lat</t>
        </is>
      </c>
      <c r="AV3116" t="inlineStr">
        <is>
          <t>2167761</t>
        </is>
      </c>
      <c r="AW3116" t="inlineStr">
        <is>
          <t>991004035139702656</t>
        </is>
      </c>
      <c r="AX3116" t="inlineStr">
        <is>
          <t>991004035139702656</t>
        </is>
      </c>
      <c r="AY3116" t="inlineStr">
        <is>
          <t>2270666460002656</t>
        </is>
      </c>
      <c r="AZ3116" t="inlineStr">
        <is>
          <t>BOOK</t>
        </is>
      </c>
      <c r="BC3116" t="inlineStr">
        <is>
          <t>32285001083368</t>
        </is>
      </c>
      <c r="BD3116" t="inlineStr">
        <is>
          <t>893435807</t>
        </is>
      </c>
    </row>
    <row r="3117">
      <c r="A3117" t="inlineStr">
        <is>
          <t>No</t>
        </is>
      </c>
      <c r="B3117" t="inlineStr">
        <is>
          <t>BX890 .T6 1871</t>
        </is>
      </c>
      <c r="C3117" t="inlineStr">
        <is>
          <t>0                      BX 0890000T  6           1871</t>
        </is>
      </c>
      <c r="D3117" t="inlineStr">
        <is>
          <t>Opera omnia / studio ac labore Stanislai Eduardi Fretté et Pauli Maré.</t>
        </is>
      </c>
      <c r="E3117" t="inlineStr">
        <is>
          <t>V. 16</t>
        </is>
      </c>
      <c r="F3117" t="inlineStr">
        <is>
          <t>Yes</t>
        </is>
      </c>
      <c r="G3117" t="inlineStr">
        <is>
          <t>1</t>
        </is>
      </c>
      <c r="H3117" t="inlineStr">
        <is>
          <t>No</t>
        </is>
      </c>
      <c r="I3117" t="inlineStr">
        <is>
          <t>No</t>
        </is>
      </c>
      <c r="J3117" t="inlineStr">
        <is>
          <t>0</t>
        </is>
      </c>
      <c r="K3117" t="inlineStr">
        <is>
          <t>Thomas, Aquinas, Saint, 1225?-1274.</t>
        </is>
      </c>
      <c r="L3117" t="inlineStr">
        <is>
          <t>Parisiis : Apud Ludovicum Vivès, 1871-1880.</t>
        </is>
      </c>
      <c r="M3117" t="inlineStr">
        <is>
          <t>1871</t>
        </is>
      </c>
      <c r="O3117" t="inlineStr">
        <is>
          <t>lat</t>
        </is>
      </c>
      <c r="P3117" t="inlineStr">
        <is>
          <t xml:space="preserve">fr </t>
        </is>
      </c>
      <c r="R3117" t="inlineStr">
        <is>
          <t xml:space="preserve">BX </t>
        </is>
      </c>
      <c r="S3117" t="n">
        <v>0</v>
      </c>
      <c r="T3117" t="n">
        <v>21</v>
      </c>
      <c r="V3117" t="inlineStr">
        <is>
          <t>2008-11-11</t>
        </is>
      </c>
      <c r="W3117" t="inlineStr">
        <is>
          <t>1992-05-15</t>
        </is>
      </c>
      <c r="X3117" t="inlineStr">
        <is>
          <t>1993-03-04</t>
        </is>
      </c>
      <c r="Y3117" t="n">
        <v>33</v>
      </c>
      <c r="Z3117" t="n">
        <v>24</v>
      </c>
      <c r="AA3117" t="n">
        <v>42</v>
      </c>
      <c r="AB3117" t="n">
        <v>1</v>
      </c>
      <c r="AC3117" t="n">
        <v>1</v>
      </c>
      <c r="AD3117" t="n">
        <v>6</v>
      </c>
      <c r="AE3117" t="n">
        <v>6</v>
      </c>
      <c r="AF3117" t="n">
        <v>3</v>
      </c>
      <c r="AG3117" t="n">
        <v>3</v>
      </c>
      <c r="AH3117" t="n">
        <v>1</v>
      </c>
      <c r="AI3117" t="n">
        <v>1</v>
      </c>
      <c r="AJ3117" t="n">
        <v>4</v>
      </c>
      <c r="AK3117" t="n">
        <v>4</v>
      </c>
      <c r="AL3117" t="n">
        <v>0</v>
      </c>
      <c r="AM3117" t="n">
        <v>0</v>
      </c>
      <c r="AN3117" t="n">
        <v>0</v>
      </c>
      <c r="AO3117" t="n">
        <v>0</v>
      </c>
      <c r="AP3117" t="inlineStr">
        <is>
          <t>Yes</t>
        </is>
      </c>
      <c r="AQ3117" t="inlineStr">
        <is>
          <t>No</t>
        </is>
      </c>
      <c r="AR3117">
        <f>HYPERLINK("http://catalog.hathitrust.org/Record/008394308","HathiTrust Record")</f>
        <v/>
      </c>
      <c r="AS3117">
        <f>HYPERLINK("https://creighton-primo.hosted.exlibrisgroup.com/primo-explore/search?tab=default_tab&amp;search_scope=EVERYTHING&amp;vid=01CRU&amp;lang=en_US&amp;offset=0&amp;query=any,contains,991004035139702656","Catalog Record")</f>
        <v/>
      </c>
      <c r="AT3117">
        <f>HYPERLINK("http://www.worldcat.org/oclc/2167761","WorldCat Record")</f>
        <v/>
      </c>
      <c r="AU3117" t="inlineStr">
        <is>
          <t>2908660729:lat</t>
        </is>
      </c>
      <c r="AV3117" t="inlineStr">
        <is>
          <t>2167761</t>
        </is>
      </c>
      <c r="AW3117" t="inlineStr">
        <is>
          <t>991004035139702656</t>
        </is>
      </c>
      <c r="AX3117" t="inlineStr">
        <is>
          <t>991004035139702656</t>
        </is>
      </c>
      <c r="AY3117" t="inlineStr">
        <is>
          <t>2270666460002656</t>
        </is>
      </c>
      <c r="AZ3117" t="inlineStr">
        <is>
          <t>BOOK</t>
        </is>
      </c>
      <c r="BC3117" t="inlineStr">
        <is>
          <t>32285001083301</t>
        </is>
      </c>
      <c r="BD3117" t="inlineStr">
        <is>
          <t>893429584</t>
        </is>
      </c>
    </row>
    <row r="3118">
      <c r="A3118" t="inlineStr">
        <is>
          <t>No</t>
        </is>
      </c>
      <c r="B3118" t="inlineStr">
        <is>
          <t>BX890 .T6 1871</t>
        </is>
      </c>
      <c r="C3118" t="inlineStr">
        <is>
          <t>0                      BX 0890000T  6           1871</t>
        </is>
      </c>
      <c r="D3118" t="inlineStr">
        <is>
          <t>Opera omnia / studio ac labore Stanislai Eduardi Fretté et Pauli Maré.</t>
        </is>
      </c>
      <c r="E3118" t="inlineStr">
        <is>
          <t>V. 7</t>
        </is>
      </c>
      <c r="F3118" t="inlineStr">
        <is>
          <t>Yes</t>
        </is>
      </c>
      <c r="G3118" t="inlineStr">
        <is>
          <t>1</t>
        </is>
      </c>
      <c r="H3118" t="inlineStr">
        <is>
          <t>No</t>
        </is>
      </c>
      <c r="I3118" t="inlineStr">
        <is>
          <t>No</t>
        </is>
      </c>
      <c r="J3118" t="inlineStr">
        <is>
          <t>0</t>
        </is>
      </c>
      <c r="K3118" t="inlineStr">
        <is>
          <t>Thomas, Aquinas, Saint, 1225?-1274.</t>
        </is>
      </c>
      <c r="L3118" t="inlineStr">
        <is>
          <t>Parisiis : Apud Ludovicum Vivès, 1871-1880.</t>
        </is>
      </c>
      <c r="M3118" t="inlineStr">
        <is>
          <t>1871</t>
        </is>
      </c>
      <c r="O3118" t="inlineStr">
        <is>
          <t>lat</t>
        </is>
      </c>
      <c r="P3118" t="inlineStr">
        <is>
          <t xml:space="preserve">fr </t>
        </is>
      </c>
      <c r="R3118" t="inlineStr">
        <is>
          <t xml:space="preserve">BX </t>
        </is>
      </c>
      <c r="S3118" t="n">
        <v>1</v>
      </c>
      <c r="T3118" t="n">
        <v>21</v>
      </c>
      <c r="U3118" t="inlineStr">
        <is>
          <t>1992-03-17</t>
        </is>
      </c>
      <c r="V3118" t="inlineStr">
        <is>
          <t>2008-11-11</t>
        </is>
      </c>
      <c r="W3118" t="inlineStr">
        <is>
          <t>1992-03-17</t>
        </is>
      </c>
      <c r="X3118" t="inlineStr">
        <is>
          <t>1993-03-04</t>
        </is>
      </c>
      <c r="Y3118" t="n">
        <v>33</v>
      </c>
      <c r="Z3118" t="n">
        <v>24</v>
      </c>
      <c r="AA3118" t="n">
        <v>42</v>
      </c>
      <c r="AB3118" t="n">
        <v>1</v>
      </c>
      <c r="AC3118" t="n">
        <v>1</v>
      </c>
      <c r="AD3118" t="n">
        <v>6</v>
      </c>
      <c r="AE3118" t="n">
        <v>6</v>
      </c>
      <c r="AF3118" t="n">
        <v>3</v>
      </c>
      <c r="AG3118" t="n">
        <v>3</v>
      </c>
      <c r="AH3118" t="n">
        <v>1</v>
      </c>
      <c r="AI3118" t="n">
        <v>1</v>
      </c>
      <c r="AJ3118" t="n">
        <v>4</v>
      </c>
      <c r="AK3118" t="n">
        <v>4</v>
      </c>
      <c r="AL3118" t="n">
        <v>0</v>
      </c>
      <c r="AM3118" t="n">
        <v>0</v>
      </c>
      <c r="AN3118" t="n">
        <v>0</v>
      </c>
      <c r="AO3118" t="n">
        <v>0</v>
      </c>
      <c r="AP3118" t="inlineStr">
        <is>
          <t>Yes</t>
        </is>
      </c>
      <c r="AQ3118" t="inlineStr">
        <is>
          <t>No</t>
        </is>
      </c>
      <c r="AR3118">
        <f>HYPERLINK("http://catalog.hathitrust.org/Record/008394308","HathiTrust Record")</f>
        <v/>
      </c>
      <c r="AS3118">
        <f>HYPERLINK("https://creighton-primo.hosted.exlibrisgroup.com/primo-explore/search?tab=default_tab&amp;search_scope=EVERYTHING&amp;vid=01CRU&amp;lang=en_US&amp;offset=0&amp;query=any,contains,991004035139702656","Catalog Record")</f>
        <v/>
      </c>
      <c r="AT3118">
        <f>HYPERLINK("http://www.worldcat.org/oclc/2167761","WorldCat Record")</f>
        <v/>
      </c>
      <c r="AU3118" t="inlineStr">
        <is>
          <t>2908660729:lat</t>
        </is>
      </c>
      <c r="AV3118" t="inlineStr">
        <is>
          <t>2167761</t>
        </is>
      </c>
      <c r="AW3118" t="inlineStr">
        <is>
          <t>991004035139702656</t>
        </is>
      </c>
      <c r="AX3118" t="inlineStr">
        <is>
          <t>991004035139702656</t>
        </is>
      </c>
      <c r="AY3118" t="inlineStr">
        <is>
          <t>2270666460002656</t>
        </is>
      </c>
      <c r="AZ3118" t="inlineStr">
        <is>
          <t>BOOK</t>
        </is>
      </c>
      <c r="BC3118" t="inlineStr">
        <is>
          <t>32285001023208</t>
        </is>
      </c>
      <c r="BD3118" t="inlineStr">
        <is>
          <t>893435809</t>
        </is>
      </c>
    </row>
    <row r="3119">
      <c r="A3119" t="inlineStr">
        <is>
          <t>No</t>
        </is>
      </c>
      <c r="B3119" t="inlineStr">
        <is>
          <t>BX890 .T6 1871</t>
        </is>
      </c>
      <c r="C3119" t="inlineStr">
        <is>
          <t>0                      BX 0890000T  6           1871</t>
        </is>
      </c>
      <c r="D3119" t="inlineStr">
        <is>
          <t>Opera omnia / studio ac labore Stanislai Eduardi Fretté et Pauli Maré.</t>
        </is>
      </c>
      <c r="E3119" t="inlineStr">
        <is>
          <t>V. 5</t>
        </is>
      </c>
      <c r="F3119" t="inlineStr">
        <is>
          <t>Yes</t>
        </is>
      </c>
      <c r="G3119" t="inlineStr">
        <is>
          <t>1</t>
        </is>
      </c>
      <c r="H3119" t="inlineStr">
        <is>
          <t>No</t>
        </is>
      </c>
      <c r="I3119" t="inlineStr">
        <is>
          <t>No</t>
        </is>
      </c>
      <c r="J3119" t="inlineStr">
        <is>
          <t>0</t>
        </is>
      </c>
      <c r="K3119" t="inlineStr">
        <is>
          <t>Thomas, Aquinas, Saint, 1225?-1274.</t>
        </is>
      </c>
      <c r="L3119" t="inlineStr">
        <is>
          <t>Parisiis : Apud Ludovicum Vivès, 1871-1880.</t>
        </is>
      </c>
      <c r="M3119" t="inlineStr">
        <is>
          <t>1871</t>
        </is>
      </c>
      <c r="O3119" t="inlineStr">
        <is>
          <t>lat</t>
        </is>
      </c>
      <c r="P3119" t="inlineStr">
        <is>
          <t xml:space="preserve">fr </t>
        </is>
      </c>
      <c r="R3119" t="inlineStr">
        <is>
          <t xml:space="preserve">BX </t>
        </is>
      </c>
      <c r="S3119" t="n">
        <v>2</v>
      </c>
      <c r="T3119" t="n">
        <v>21</v>
      </c>
      <c r="U3119" t="inlineStr">
        <is>
          <t>1995-04-18</t>
        </is>
      </c>
      <c r="V3119" t="inlineStr">
        <is>
          <t>2008-11-11</t>
        </is>
      </c>
      <c r="W3119" t="inlineStr">
        <is>
          <t>1992-03-17</t>
        </is>
      </c>
      <c r="X3119" t="inlineStr">
        <is>
          <t>1993-03-04</t>
        </is>
      </c>
      <c r="Y3119" t="n">
        <v>33</v>
      </c>
      <c r="Z3119" t="n">
        <v>24</v>
      </c>
      <c r="AA3119" t="n">
        <v>42</v>
      </c>
      <c r="AB3119" t="n">
        <v>1</v>
      </c>
      <c r="AC3119" t="n">
        <v>1</v>
      </c>
      <c r="AD3119" t="n">
        <v>6</v>
      </c>
      <c r="AE3119" t="n">
        <v>6</v>
      </c>
      <c r="AF3119" t="n">
        <v>3</v>
      </c>
      <c r="AG3119" t="n">
        <v>3</v>
      </c>
      <c r="AH3119" t="n">
        <v>1</v>
      </c>
      <c r="AI3119" t="n">
        <v>1</v>
      </c>
      <c r="AJ3119" t="n">
        <v>4</v>
      </c>
      <c r="AK3119" t="n">
        <v>4</v>
      </c>
      <c r="AL3119" t="n">
        <v>0</v>
      </c>
      <c r="AM3119" t="n">
        <v>0</v>
      </c>
      <c r="AN3119" t="n">
        <v>0</v>
      </c>
      <c r="AO3119" t="n">
        <v>0</v>
      </c>
      <c r="AP3119" t="inlineStr">
        <is>
          <t>Yes</t>
        </is>
      </c>
      <c r="AQ3119" t="inlineStr">
        <is>
          <t>No</t>
        </is>
      </c>
      <c r="AR3119">
        <f>HYPERLINK("http://catalog.hathitrust.org/Record/008394308","HathiTrust Record")</f>
        <v/>
      </c>
      <c r="AS3119">
        <f>HYPERLINK("https://creighton-primo.hosted.exlibrisgroup.com/primo-explore/search?tab=default_tab&amp;search_scope=EVERYTHING&amp;vid=01CRU&amp;lang=en_US&amp;offset=0&amp;query=any,contains,991004035139702656","Catalog Record")</f>
        <v/>
      </c>
      <c r="AT3119">
        <f>HYPERLINK("http://www.worldcat.org/oclc/2167761","WorldCat Record")</f>
        <v/>
      </c>
      <c r="AU3119" t="inlineStr">
        <is>
          <t>2908660729:lat</t>
        </is>
      </c>
      <c r="AV3119" t="inlineStr">
        <is>
          <t>2167761</t>
        </is>
      </c>
      <c r="AW3119" t="inlineStr">
        <is>
          <t>991004035139702656</t>
        </is>
      </c>
      <c r="AX3119" t="inlineStr">
        <is>
          <t>991004035139702656</t>
        </is>
      </c>
      <c r="AY3119" t="inlineStr">
        <is>
          <t>2270666460002656</t>
        </is>
      </c>
      <c r="AZ3119" t="inlineStr">
        <is>
          <t>BOOK</t>
        </is>
      </c>
      <c r="BC3119" t="inlineStr">
        <is>
          <t>32285001023182</t>
        </is>
      </c>
      <c r="BD3119" t="inlineStr">
        <is>
          <t>893411030</t>
        </is>
      </c>
    </row>
    <row r="3120">
      <c r="A3120" t="inlineStr">
        <is>
          <t>No</t>
        </is>
      </c>
      <c r="B3120" t="inlineStr">
        <is>
          <t>BX890 .T6 1871</t>
        </is>
      </c>
      <c r="C3120" t="inlineStr">
        <is>
          <t>0                      BX 0890000T  6           1871</t>
        </is>
      </c>
      <c r="D3120" t="inlineStr">
        <is>
          <t>Opera omnia / studio ac labore Stanislai Eduardi Fretté et Pauli Maré.</t>
        </is>
      </c>
      <c r="E3120" t="inlineStr">
        <is>
          <t>V. 17</t>
        </is>
      </c>
      <c r="F3120" t="inlineStr">
        <is>
          <t>Yes</t>
        </is>
      </c>
      <c r="G3120" t="inlineStr">
        <is>
          <t>1</t>
        </is>
      </c>
      <c r="H3120" t="inlineStr">
        <is>
          <t>No</t>
        </is>
      </c>
      <c r="I3120" t="inlineStr">
        <is>
          <t>No</t>
        </is>
      </c>
      <c r="J3120" t="inlineStr">
        <is>
          <t>0</t>
        </is>
      </c>
      <c r="K3120" t="inlineStr">
        <is>
          <t>Thomas, Aquinas, Saint, 1225?-1274.</t>
        </is>
      </c>
      <c r="L3120" t="inlineStr">
        <is>
          <t>Parisiis : Apud Ludovicum Vivès, 1871-1880.</t>
        </is>
      </c>
      <c r="M3120" t="inlineStr">
        <is>
          <t>1871</t>
        </is>
      </c>
      <c r="O3120" t="inlineStr">
        <is>
          <t>lat</t>
        </is>
      </c>
      <c r="P3120" t="inlineStr">
        <is>
          <t xml:space="preserve">fr </t>
        </is>
      </c>
      <c r="R3120" t="inlineStr">
        <is>
          <t xml:space="preserve">BX </t>
        </is>
      </c>
      <c r="S3120" t="n">
        <v>0</v>
      </c>
      <c r="T3120" t="n">
        <v>21</v>
      </c>
      <c r="V3120" t="inlineStr">
        <is>
          <t>2008-11-11</t>
        </is>
      </c>
      <c r="W3120" t="inlineStr">
        <is>
          <t>1992-05-15</t>
        </is>
      </c>
      <c r="X3120" t="inlineStr">
        <is>
          <t>1993-03-04</t>
        </is>
      </c>
      <c r="Y3120" t="n">
        <v>33</v>
      </c>
      <c r="Z3120" t="n">
        <v>24</v>
      </c>
      <c r="AA3120" t="n">
        <v>42</v>
      </c>
      <c r="AB3120" t="n">
        <v>1</v>
      </c>
      <c r="AC3120" t="n">
        <v>1</v>
      </c>
      <c r="AD3120" t="n">
        <v>6</v>
      </c>
      <c r="AE3120" t="n">
        <v>6</v>
      </c>
      <c r="AF3120" t="n">
        <v>3</v>
      </c>
      <c r="AG3120" t="n">
        <v>3</v>
      </c>
      <c r="AH3120" t="n">
        <v>1</v>
      </c>
      <c r="AI3120" t="n">
        <v>1</v>
      </c>
      <c r="AJ3120" t="n">
        <v>4</v>
      </c>
      <c r="AK3120" t="n">
        <v>4</v>
      </c>
      <c r="AL3120" t="n">
        <v>0</v>
      </c>
      <c r="AM3120" t="n">
        <v>0</v>
      </c>
      <c r="AN3120" t="n">
        <v>0</v>
      </c>
      <c r="AO3120" t="n">
        <v>0</v>
      </c>
      <c r="AP3120" t="inlineStr">
        <is>
          <t>Yes</t>
        </is>
      </c>
      <c r="AQ3120" t="inlineStr">
        <is>
          <t>No</t>
        </is>
      </c>
      <c r="AR3120">
        <f>HYPERLINK("http://catalog.hathitrust.org/Record/008394308","HathiTrust Record")</f>
        <v/>
      </c>
      <c r="AS3120">
        <f>HYPERLINK("https://creighton-primo.hosted.exlibrisgroup.com/primo-explore/search?tab=default_tab&amp;search_scope=EVERYTHING&amp;vid=01CRU&amp;lang=en_US&amp;offset=0&amp;query=any,contains,991004035139702656","Catalog Record")</f>
        <v/>
      </c>
      <c r="AT3120">
        <f>HYPERLINK("http://www.worldcat.org/oclc/2167761","WorldCat Record")</f>
        <v/>
      </c>
      <c r="AU3120" t="inlineStr">
        <is>
          <t>2908660729:lat</t>
        </is>
      </c>
      <c r="AV3120" t="inlineStr">
        <is>
          <t>2167761</t>
        </is>
      </c>
      <c r="AW3120" t="inlineStr">
        <is>
          <t>991004035139702656</t>
        </is>
      </c>
      <c r="AX3120" t="inlineStr">
        <is>
          <t>991004035139702656</t>
        </is>
      </c>
      <c r="AY3120" t="inlineStr">
        <is>
          <t>2270666460002656</t>
        </is>
      </c>
      <c r="AZ3120" t="inlineStr">
        <is>
          <t>BOOK</t>
        </is>
      </c>
      <c r="BC3120" t="inlineStr">
        <is>
          <t>32285001083319</t>
        </is>
      </c>
      <c r="BD3120" t="inlineStr">
        <is>
          <t>893435816</t>
        </is>
      </c>
    </row>
    <row r="3121">
      <c r="A3121" t="inlineStr">
        <is>
          <t>No</t>
        </is>
      </c>
      <c r="B3121" t="inlineStr">
        <is>
          <t>BX890 .T6 1871</t>
        </is>
      </c>
      <c r="C3121" t="inlineStr">
        <is>
          <t>0                      BX 0890000T  6           1871</t>
        </is>
      </c>
      <c r="D3121" t="inlineStr">
        <is>
          <t>Opera omnia / studio ac labore Stanislai Eduardi Fretté et Pauli Maré.</t>
        </is>
      </c>
      <c r="E3121" t="inlineStr">
        <is>
          <t>V. 25</t>
        </is>
      </c>
      <c r="F3121" t="inlineStr">
        <is>
          <t>Yes</t>
        </is>
      </c>
      <c r="G3121" t="inlineStr">
        <is>
          <t>1</t>
        </is>
      </c>
      <c r="H3121" t="inlineStr">
        <is>
          <t>No</t>
        </is>
      </c>
      <c r="I3121" t="inlineStr">
        <is>
          <t>No</t>
        </is>
      </c>
      <c r="J3121" t="inlineStr">
        <is>
          <t>0</t>
        </is>
      </c>
      <c r="K3121" t="inlineStr">
        <is>
          <t>Thomas, Aquinas, Saint, 1225?-1274.</t>
        </is>
      </c>
      <c r="L3121" t="inlineStr">
        <is>
          <t>Parisiis : Apud Ludovicum Vivès, 1871-1880.</t>
        </is>
      </c>
      <c r="M3121" t="inlineStr">
        <is>
          <t>1871</t>
        </is>
      </c>
      <c r="O3121" t="inlineStr">
        <is>
          <t>lat</t>
        </is>
      </c>
      <c r="P3121" t="inlineStr">
        <is>
          <t xml:space="preserve">fr </t>
        </is>
      </c>
      <c r="R3121" t="inlineStr">
        <is>
          <t xml:space="preserve">BX </t>
        </is>
      </c>
      <c r="S3121" t="n">
        <v>0</v>
      </c>
      <c r="T3121" t="n">
        <v>21</v>
      </c>
      <c r="V3121" t="inlineStr">
        <is>
          <t>2008-11-11</t>
        </is>
      </c>
      <c r="W3121" t="inlineStr">
        <is>
          <t>1992-05-15</t>
        </is>
      </c>
      <c r="X3121" t="inlineStr">
        <is>
          <t>1993-03-04</t>
        </is>
      </c>
      <c r="Y3121" t="n">
        <v>33</v>
      </c>
      <c r="Z3121" t="n">
        <v>24</v>
      </c>
      <c r="AA3121" t="n">
        <v>42</v>
      </c>
      <c r="AB3121" t="n">
        <v>1</v>
      </c>
      <c r="AC3121" t="n">
        <v>1</v>
      </c>
      <c r="AD3121" t="n">
        <v>6</v>
      </c>
      <c r="AE3121" t="n">
        <v>6</v>
      </c>
      <c r="AF3121" t="n">
        <v>3</v>
      </c>
      <c r="AG3121" t="n">
        <v>3</v>
      </c>
      <c r="AH3121" t="n">
        <v>1</v>
      </c>
      <c r="AI3121" t="n">
        <v>1</v>
      </c>
      <c r="AJ3121" t="n">
        <v>4</v>
      </c>
      <c r="AK3121" t="n">
        <v>4</v>
      </c>
      <c r="AL3121" t="n">
        <v>0</v>
      </c>
      <c r="AM3121" t="n">
        <v>0</v>
      </c>
      <c r="AN3121" t="n">
        <v>0</v>
      </c>
      <c r="AO3121" t="n">
        <v>0</v>
      </c>
      <c r="AP3121" t="inlineStr">
        <is>
          <t>Yes</t>
        </is>
      </c>
      <c r="AQ3121" t="inlineStr">
        <is>
          <t>No</t>
        </is>
      </c>
      <c r="AR3121">
        <f>HYPERLINK("http://catalog.hathitrust.org/Record/008394308","HathiTrust Record")</f>
        <v/>
      </c>
      <c r="AS3121">
        <f>HYPERLINK("https://creighton-primo.hosted.exlibrisgroup.com/primo-explore/search?tab=default_tab&amp;search_scope=EVERYTHING&amp;vid=01CRU&amp;lang=en_US&amp;offset=0&amp;query=any,contains,991004035139702656","Catalog Record")</f>
        <v/>
      </c>
      <c r="AT3121">
        <f>HYPERLINK("http://www.worldcat.org/oclc/2167761","WorldCat Record")</f>
        <v/>
      </c>
      <c r="AU3121" t="inlineStr">
        <is>
          <t>2908660729:lat</t>
        </is>
      </c>
      <c r="AV3121" t="inlineStr">
        <is>
          <t>2167761</t>
        </is>
      </c>
      <c r="AW3121" t="inlineStr">
        <is>
          <t>991004035139702656</t>
        </is>
      </c>
      <c r="AX3121" t="inlineStr">
        <is>
          <t>991004035139702656</t>
        </is>
      </c>
      <c r="AY3121" t="inlineStr">
        <is>
          <t>2270666460002656</t>
        </is>
      </c>
      <c r="AZ3121" t="inlineStr">
        <is>
          <t>BOOK</t>
        </is>
      </c>
      <c r="BC3121" t="inlineStr">
        <is>
          <t>32285001083384</t>
        </is>
      </c>
      <c r="BD3121" t="inlineStr">
        <is>
          <t>893435811</t>
        </is>
      </c>
    </row>
    <row r="3122">
      <c r="A3122" t="inlineStr">
        <is>
          <t>No</t>
        </is>
      </c>
      <c r="B3122" t="inlineStr">
        <is>
          <t>BX890 .T6 1871</t>
        </is>
      </c>
      <c r="C3122" t="inlineStr">
        <is>
          <t>0                      BX 0890000T  6           1871</t>
        </is>
      </c>
      <c r="D3122" t="inlineStr">
        <is>
          <t>Opera omnia / studio ac labore Stanislai Eduardi Fretté et Pauli Maré.</t>
        </is>
      </c>
      <c r="E3122" t="inlineStr">
        <is>
          <t>V. 4</t>
        </is>
      </c>
      <c r="F3122" t="inlineStr">
        <is>
          <t>Yes</t>
        </is>
      </c>
      <c r="G3122" t="inlineStr">
        <is>
          <t>1</t>
        </is>
      </c>
      <c r="H3122" t="inlineStr">
        <is>
          <t>No</t>
        </is>
      </c>
      <c r="I3122" t="inlineStr">
        <is>
          <t>No</t>
        </is>
      </c>
      <c r="J3122" t="inlineStr">
        <is>
          <t>0</t>
        </is>
      </c>
      <c r="K3122" t="inlineStr">
        <is>
          <t>Thomas, Aquinas, Saint, 1225?-1274.</t>
        </is>
      </c>
      <c r="L3122" t="inlineStr">
        <is>
          <t>Parisiis : Apud Ludovicum Vivès, 1871-1880.</t>
        </is>
      </c>
      <c r="M3122" t="inlineStr">
        <is>
          <t>1871</t>
        </is>
      </c>
      <c r="O3122" t="inlineStr">
        <is>
          <t>lat</t>
        </is>
      </c>
      <c r="P3122" t="inlineStr">
        <is>
          <t xml:space="preserve">fr </t>
        </is>
      </c>
      <c r="R3122" t="inlineStr">
        <is>
          <t xml:space="preserve">BX </t>
        </is>
      </c>
      <c r="S3122" t="n">
        <v>1</v>
      </c>
      <c r="T3122" t="n">
        <v>21</v>
      </c>
      <c r="U3122" t="inlineStr">
        <is>
          <t>1992-03-17</t>
        </is>
      </c>
      <c r="V3122" t="inlineStr">
        <is>
          <t>2008-11-11</t>
        </is>
      </c>
      <c r="W3122" t="inlineStr">
        <is>
          <t>1992-03-17</t>
        </is>
      </c>
      <c r="X3122" t="inlineStr">
        <is>
          <t>1993-03-04</t>
        </is>
      </c>
      <c r="Y3122" t="n">
        <v>33</v>
      </c>
      <c r="Z3122" t="n">
        <v>24</v>
      </c>
      <c r="AA3122" t="n">
        <v>42</v>
      </c>
      <c r="AB3122" t="n">
        <v>1</v>
      </c>
      <c r="AC3122" t="n">
        <v>1</v>
      </c>
      <c r="AD3122" t="n">
        <v>6</v>
      </c>
      <c r="AE3122" t="n">
        <v>6</v>
      </c>
      <c r="AF3122" t="n">
        <v>3</v>
      </c>
      <c r="AG3122" t="n">
        <v>3</v>
      </c>
      <c r="AH3122" t="n">
        <v>1</v>
      </c>
      <c r="AI3122" t="n">
        <v>1</v>
      </c>
      <c r="AJ3122" t="n">
        <v>4</v>
      </c>
      <c r="AK3122" t="n">
        <v>4</v>
      </c>
      <c r="AL3122" t="n">
        <v>0</v>
      </c>
      <c r="AM3122" t="n">
        <v>0</v>
      </c>
      <c r="AN3122" t="n">
        <v>0</v>
      </c>
      <c r="AO3122" t="n">
        <v>0</v>
      </c>
      <c r="AP3122" t="inlineStr">
        <is>
          <t>Yes</t>
        </is>
      </c>
      <c r="AQ3122" t="inlineStr">
        <is>
          <t>No</t>
        </is>
      </c>
      <c r="AR3122">
        <f>HYPERLINK("http://catalog.hathitrust.org/Record/008394308","HathiTrust Record")</f>
        <v/>
      </c>
      <c r="AS3122">
        <f>HYPERLINK("https://creighton-primo.hosted.exlibrisgroup.com/primo-explore/search?tab=default_tab&amp;search_scope=EVERYTHING&amp;vid=01CRU&amp;lang=en_US&amp;offset=0&amp;query=any,contains,991004035139702656","Catalog Record")</f>
        <v/>
      </c>
      <c r="AT3122">
        <f>HYPERLINK("http://www.worldcat.org/oclc/2167761","WorldCat Record")</f>
        <v/>
      </c>
      <c r="AU3122" t="inlineStr">
        <is>
          <t>2908660729:lat</t>
        </is>
      </c>
      <c r="AV3122" t="inlineStr">
        <is>
          <t>2167761</t>
        </is>
      </c>
      <c r="AW3122" t="inlineStr">
        <is>
          <t>991004035139702656</t>
        </is>
      </c>
      <c r="AX3122" t="inlineStr">
        <is>
          <t>991004035139702656</t>
        </is>
      </c>
      <c r="AY3122" t="inlineStr">
        <is>
          <t>2270666460002656</t>
        </is>
      </c>
      <c r="AZ3122" t="inlineStr">
        <is>
          <t>BOOK</t>
        </is>
      </c>
      <c r="BC3122" t="inlineStr">
        <is>
          <t>32285001023174</t>
        </is>
      </c>
      <c r="BD3122" t="inlineStr">
        <is>
          <t>893423296</t>
        </is>
      </c>
    </row>
    <row r="3123">
      <c r="A3123" t="inlineStr">
        <is>
          <t>No</t>
        </is>
      </c>
      <c r="B3123" t="inlineStr">
        <is>
          <t>BX890 .T6 1871</t>
        </is>
      </c>
      <c r="C3123" t="inlineStr">
        <is>
          <t>0                      BX 0890000T  6           1871</t>
        </is>
      </c>
      <c r="D3123" t="inlineStr">
        <is>
          <t>Opera omnia / studio ac labore Stanislai Eduardi Fretté et Pauli Maré.</t>
        </is>
      </c>
      <c r="E3123" t="inlineStr">
        <is>
          <t>V. 13</t>
        </is>
      </c>
      <c r="F3123" t="inlineStr">
        <is>
          <t>Yes</t>
        </is>
      </c>
      <c r="G3123" t="inlineStr">
        <is>
          <t>1</t>
        </is>
      </c>
      <c r="H3123" t="inlineStr">
        <is>
          <t>No</t>
        </is>
      </c>
      <c r="I3123" t="inlineStr">
        <is>
          <t>No</t>
        </is>
      </c>
      <c r="J3123" t="inlineStr">
        <is>
          <t>0</t>
        </is>
      </c>
      <c r="K3123" t="inlineStr">
        <is>
          <t>Thomas, Aquinas, Saint, 1225?-1274.</t>
        </is>
      </c>
      <c r="L3123" t="inlineStr">
        <is>
          <t>Parisiis : Apud Ludovicum Vivès, 1871-1880.</t>
        </is>
      </c>
      <c r="M3123" t="inlineStr">
        <is>
          <t>1871</t>
        </is>
      </c>
      <c r="O3123" t="inlineStr">
        <is>
          <t>lat</t>
        </is>
      </c>
      <c r="P3123" t="inlineStr">
        <is>
          <t xml:space="preserve">fr </t>
        </is>
      </c>
      <c r="R3123" t="inlineStr">
        <is>
          <t xml:space="preserve">BX </t>
        </is>
      </c>
      <c r="S3123" t="n">
        <v>0</v>
      </c>
      <c r="T3123" t="n">
        <v>21</v>
      </c>
      <c r="V3123" t="inlineStr">
        <is>
          <t>2008-11-11</t>
        </is>
      </c>
      <c r="W3123" t="inlineStr">
        <is>
          <t>1992-05-15</t>
        </is>
      </c>
      <c r="X3123" t="inlineStr">
        <is>
          <t>1993-03-04</t>
        </is>
      </c>
      <c r="Y3123" t="n">
        <v>33</v>
      </c>
      <c r="Z3123" t="n">
        <v>24</v>
      </c>
      <c r="AA3123" t="n">
        <v>42</v>
      </c>
      <c r="AB3123" t="n">
        <v>1</v>
      </c>
      <c r="AC3123" t="n">
        <v>1</v>
      </c>
      <c r="AD3123" t="n">
        <v>6</v>
      </c>
      <c r="AE3123" t="n">
        <v>6</v>
      </c>
      <c r="AF3123" t="n">
        <v>3</v>
      </c>
      <c r="AG3123" t="n">
        <v>3</v>
      </c>
      <c r="AH3123" t="n">
        <v>1</v>
      </c>
      <c r="AI3123" t="n">
        <v>1</v>
      </c>
      <c r="AJ3123" t="n">
        <v>4</v>
      </c>
      <c r="AK3123" t="n">
        <v>4</v>
      </c>
      <c r="AL3123" t="n">
        <v>0</v>
      </c>
      <c r="AM3123" t="n">
        <v>0</v>
      </c>
      <c r="AN3123" t="n">
        <v>0</v>
      </c>
      <c r="AO3123" t="n">
        <v>0</v>
      </c>
      <c r="AP3123" t="inlineStr">
        <is>
          <t>Yes</t>
        </is>
      </c>
      <c r="AQ3123" t="inlineStr">
        <is>
          <t>No</t>
        </is>
      </c>
      <c r="AR3123">
        <f>HYPERLINK("http://catalog.hathitrust.org/Record/008394308","HathiTrust Record")</f>
        <v/>
      </c>
      <c r="AS3123">
        <f>HYPERLINK("https://creighton-primo.hosted.exlibrisgroup.com/primo-explore/search?tab=default_tab&amp;search_scope=EVERYTHING&amp;vid=01CRU&amp;lang=en_US&amp;offset=0&amp;query=any,contains,991004035139702656","Catalog Record")</f>
        <v/>
      </c>
      <c r="AT3123">
        <f>HYPERLINK("http://www.worldcat.org/oclc/2167761","WorldCat Record")</f>
        <v/>
      </c>
      <c r="AU3123" t="inlineStr">
        <is>
          <t>2908660729:lat</t>
        </is>
      </c>
      <c r="AV3123" t="inlineStr">
        <is>
          <t>2167761</t>
        </is>
      </c>
      <c r="AW3123" t="inlineStr">
        <is>
          <t>991004035139702656</t>
        </is>
      </c>
      <c r="AX3123" t="inlineStr">
        <is>
          <t>991004035139702656</t>
        </is>
      </c>
      <c r="AY3123" t="inlineStr">
        <is>
          <t>2270666460002656</t>
        </is>
      </c>
      <c r="AZ3123" t="inlineStr">
        <is>
          <t>BOOK</t>
        </is>
      </c>
      <c r="BC3123" t="inlineStr">
        <is>
          <t>32285001083277</t>
        </is>
      </c>
      <c r="BD3123" t="inlineStr">
        <is>
          <t>893435818</t>
        </is>
      </c>
    </row>
    <row r="3124">
      <c r="A3124" t="inlineStr">
        <is>
          <t>No</t>
        </is>
      </c>
      <c r="B3124" t="inlineStr">
        <is>
          <t>BX890 .T6 1871</t>
        </is>
      </c>
      <c r="C3124" t="inlineStr">
        <is>
          <t>0                      BX 0890000T  6           1871</t>
        </is>
      </c>
      <c r="D3124" t="inlineStr">
        <is>
          <t>Opera omnia / studio ac labore Stanislai Eduardi Fretté et Pauli Maré.</t>
        </is>
      </c>
      <c r="E3124" t="inlineStr">
        <is>
          <t>V. 14</t>
        </is>
      </c>
      <c r="F3124" t="inlineStr">
        <is>
          <t>Yes</t>
        </is>
      </c>
      <c r="G3124" t="inlineStr">
        <is>
          <t>1</t>
        </is>
      </c>
      <c r="H3124" t="inlineStr">
        <is>
          <t>No</t>
        </is>
      </c>
      <c r="I3124" t="inlineStr">
        <is>
          <t>No</t>
        </is>
      </c>
      <c r="J3124" t="inlineStr">
        <is>
          <t>0</t>
        </is>
      </c>
      <c r="K3124" t="inlineStr">
        <is>
          <t>Thomas, Aquinas, Saint, 1225?-1274.</t>
        </is>
      </c>
      <c r="L3124" t="inlineStr">
        <is>
          <t>Parisiis : Apud Ludovicum Vivès, 1871-1880.</t>
        </is>
      </c>
      <c r="M3124" t="inlineStr">
        <is>
          <t>1871</t>
        </is>
      </c>
      <c r="O3124" t="inlineStr">
        <is>
          <t>lat</t>
        </is>
      </c>
      <c r="P3124" t="inlineStr">
        <is>
          <t xml:space="preserve">fr </t>
        </is>
      </c>
      <c r="R3124" t="inlineStr">
        <is>
          <t xml:space="preserve">BX </t>
        </is>
      </c>
      <c r="S3124" t="n">
        <v>0</v>
      </c>
      <c r="T3124" t="n">
        <v>21</v>
      </c>
      <c r="V3124" t="inlineStr">
        <is>
          <t>2008-11-11</t>
        </is>
      </c>
      <c r="W3124" t="inlineStr">
        <is>
          <t>1992-05-15</t>
        </is>
      </c>
      <c r="X3124" t="inlineStr">
        <is>
          <t>1993-03-04</t>
        </is>
      </c>
      <c r="Y3124" t="n">
        <v>33</v>
      </c>
      <c r="Z3124" t="n">
        <v>24</v>
      </c>
      <c r="AA3124" t="n">
        <v>42</v>
      </c>
      <c r="AB3124" t="n">
        <v>1</v>
      </c>
      <c r="AC3124" t="n">
        <v>1</v>
      </c>
      <c r="AD3124" t="n">
        <v>6</v>
      </c>
      <c r="AE3124" t="n">
        <v>6</v>
      </c>
      <c r="AF3124" t="n">
        <v>3</v>
      </c>
      <c r="AG3124" t="n">
        <v>3</v>
      </c>
      <c r="AH3124" t="n">
        <v>1</v>
      </c>
      <c r="AI3124" t="n">
        <v>1</v>
      </c>
      <c r="AJ3124" t="n">
        <v>4</v>
      </c>
      <c r="AK3124" t="n">
        <v>4</v>
      </c>
      <c r="AL3124" t="n">
        <v>0</v>
      </c>
      <c r="AM3124" t="n">
        <v>0</v>
      </c>
      <c r="AN3124" t="n">
        <v>0</v>
      </c>
      <c r="AO3124" t="n">
        <v>0</v>
      </c>
      <c r="AP3124" t="inlineStr">
        <is>
          <t>Yes</t>
        </is>
      </c>
      <c r="AQ3124" t="inlineStr">
        <is>
          <t>No</t>
        </is>
      </c>
      <c r="AR3124">
        <f>HYPERLINK("http://catalog.hathitrust.org/Record/008394308","HathiTrust Record")</f>
        <v/>
      </c>
      <c r="AS3124">
        <f>HYPERLINK("https://creighton-primo.hosted.exlibrisgroup.com/primo-explore/search?tab=default_tab&amp;search_scope=EVERYTHING&amp;vid=01CRU&amp;lang=en_US&amp;offset=0&amp;query=any,contains,991004035139702656","Catalog Record")</f>
        <v/>
      </c>
      <c r="AT3124">
        <f>HYPERLINK("http://www.worldcat.org/oclc/2167761","WorldCat Record")</f>
        <v/>
      </c>
      <c r="AU3124" t="inlineStr">
        <is>
          <t>2908660729:lat</t>
        </is>
      </c>
      <c r="AV3124" t="inlineStr">
        <is>
          <t>2167761</t>
        </is>
      </c>
      <c r="AW3124" t="inlineStr">
        <is>
          <t>991004035139702656</t>
        </is>
      </c>
      <c r="AX3124" t="inlineStr">
        <is>
          <t>991004035139702656</t>
        </is>
      </c>
      <c r="AY3124" t="inlineStr">
        <is>
          <t>2270666460002656</t>
        </is>
      </c>
      <c r="AZ3124" t="inlineStr">
        <is>
          <t>BOOK</t>
        </is>
      </c>
      <c r="BC3124" t="inlineStr">
        <is>
          <t>32285001083285</t>
        </is>
      </c>
      <c r="BD3124" t="inlineStr">
        <is>
          <t>893435817</t>
        </is>
      </c>
    </row>
    <row r="3125">
      <c r="A3125" t="inlineStr">
        <is>
          <t>No</t>
        </is>
      </c>
      <c r="B3125" t="inlineStr">
        <is>
          <t>BX890 .T6 1871</t>
        </is>
      </c>
      <c r="C3125" t="inlineStr">
        <is>
          <t>0                      BX 0890000T  6           1871</t>
        </is>
      </c>
      <c r="D3125" t="inlineStr">
        <is>
          <t>Opera omnia / studio ac labore Stanislai Eduardi Fretté et Pauli Maré.</t>
        </is>
      </c>
      <c r="E3125" t="inlineStr">
        <is>
          <t>V. 22</t>
        </is>
      </c>
      <c r="F3125" t="inlineStr">
        <is>
          <t>Yes</t>
        </is>
      </c>
      <c r="G3125" t="inlineStr">
        <is>
          <t>1</t>
        </is>
      </c>
      <c r="H3125" t="inlineStr">
        <is>
          <t>No</t>
        </is>
      </c>
      <c r="I3125" t="inlineStr">
        <is>
          <t>No</t>
        </is>
      </c>
      <c r="J3125" t="inlineStr">
        <is>
          <t>0</t>
        </is>
      </c>
      <c r="K3125" t="inlineStr">
        <is>
          <t>Thomas, Aquinas, Saint, 1225?-1274.</t>
        </is>
      </c>
      <c r="L3125" t="inlineStr">
        <is>
          <t>Parisiis : Apud Ludovicum Vivès, 1871-1880.</t>
        </is>
      </c>
      <c r="M3125" t="inlineStr">
        <is>
          <t>1871</t>
        </is>
      </c>
      <c r="O3125" t="inlineStr">
        <is>
          <t>lat</t>
        </is>
      </c>
      <c r="P3125" t="inlineStr">
        <is>
          <t xml:space="preserve">fr </t>
        </is>
      </c>
      <c r="R3125" t="inlineStr">
        <is>
          <t xml:space="preserve">BX </t>
        </is>
      </c>
      <c r="S3125" t="n">
        <v>1</v>
      </c>
      <c r="T3125" t="n">
        <v>21</v>
      </c>
      <c r="U3125" t="inlineStr">
        <is>
          <t>1992-06-12</t>
        </is>
      </c>
      <c r="V3125" t="inlineStr">
        <is>
          <t>2008-11-11</t>
        </is>
      </c>
      <c r="W3125" t="inlineStr">
        <is>
          <t>1992-05-15</t>
        </is>
      </c>
      <c r="X3125" t="inlineStr">
        <is>
          <t>1993-03-04</t>
        </is>
      </c>
      <c r="Y3125" t="n">
        <v>33</v>
      </c>
      <c r="Z3125" t="n">
        <v>24</v>
      </c>
      <c r="AA3125" t="n">
        <v>42</v>
      </c>
      <c r="AB3125" t="n">
        <v>1</v>
      </c>
      <c r="AC3125" t="n">
        <v>1</v>
      </c>
      <c r="AD3125" t="n">
        <v>6</v>
      </c>
      <c r="AE3125" t="n">
        <v>6</v>
      </c>
      <c r="AF3125" t="n">
        <v>3</v>
      </c>
      <c r="AG3125" t="n">
        <v>3</v>
      </c>
      <c r="AH3125" t="n">
        <v>1</v>
      </c>
      <c r="AI3125" t="n">
        <v>1</v>
      </c>
      <c r="AJ3125" t="n">
        <v>4</v>
      </c>
      <c r="AK3125" t="n">
        <v>4</v>
      </c>
      <c r="AL3125" t="n">
        <v>0</v>
      </c>
      <c r="AM3125" t="n">
        <v>0</v>
      </c>
      <c r="AN3125" t="n">
        <v>0</v>
      </c>
      <c r="AO3125" t="n">
        <v>0</v>
      </c>
      <c r="AP3125" t="inlineStr">
        <is>
          <t>Yes</t>
        </is>
      </c>
      <c r="AQ3125" t="inlineStr">
        <is>
          <t>No</t>
        </is>
      </c>
      <c r="AR3125">
        <f>HYPERLINK("http://catalog.hathitrust.org/Record/008394308","HathiTrust Record")</f>
        <v/>
      </c>
      <c r="AS3125">
        <f>HYPERLINK("https://creighton-primo.hosted.exlibrisgroup.com/primo-explore/search?tab=default_tab&amp;search_scope=EVERYTHING&amp;vid=01CRU&amp;lang=en_US&amp;offset=0&amp;query=any,contains,991004035139702656","Catalog Record")</f>
        <v/>
      </c>
      <c r="AT3125">
        <f>HYPERLINK("http://www.worldcat.org/oclc/2167761","WorldCat Record")</f>
        <v/>
      </c>
      <c r="AU3125" t="inlineStr">
        <is>
          <t>2908660729:lat</t>
        </is>
      </c>
      <c r="AV3125" t="inlineStr">
        <is>
          <t>2167761</t>
        </is>
      </c>
      <c r="AW3125" t="inlineStr">
        <is>
          <t>991004035139702656</t>
        </is>
      </c>
      <c r="AX3125" t="inlineStr">
        <is>
          <t>991004035139702656</t>
        </is>
      </c>
      <c r="AY3125" t="inlineStr">
        <is>
          <t>2270666460002656</t>
        </is>
      </c>
      <c r="AZ3125" t="inlineStr">
        <is>
          <t>BOOK</t>
        </is>
      </c>
      <c r="BC3125" t="inlineStr">
        <is>
          <t>32285001083350</t>
        </is>
      </c>
      <c r="BD3125" t="inlineStr">
        <is>
          <t>893429583</t>
        </is>
      </c>
    </row>
    <row r="3126">
      <c r="A3126" t="inlineStr">
        <is>
          <t>No</t>
        </is>
      </c>
      <c r="B3126" t="inlineStr">
        <is>
          <t>BX890 .T6 1871</t>
        </is>
      </c>
      <c r="C3126" t="inlineStr">
        <is>
          <t>0                      BX 0890000T  6           1871</t>
        </is>
      </c>
      <c r="D3126" t="inlineStr">
        <is>
          <t>Opera omnia / studio ac labore Stanislai Eduardi Fretté et Pauli Maré.</t>
        </is>
      </c>
      <c r="E3126" t="inlineStr">
        <is>
          <t>V. 8</t>
        </is>
      </c>
      <c r="F3126" t="inlineStr">
        <is>
          <t>Yes</t>
        </is>
      </c>
      <c r="G3126" t="inlineStr">
        <is>
          <t>1</t>
        </is>
      </c>
      <c r="H3126" t="inlineStr">
        <is>
          <t>No</t>
        </is>
      </c>
      <c r="I3126" t="inlineStr">
        <is>
          <t>No</t>
        </is>
      </c>
      <c r="J3126" t="inlineStr">
        <is>
          <t>0</t>
        </is>
      </c>
      <c r="K3126" t="inlineStr">
        <is>
          <t>Thomas, Aquinas, Saint, 1225?-1274.</t>
        </is>
      </c>
      <c r="L3126" t="inlineStr">
        <is>
          <t>Parisiis : Apud Ludovicum Vivès, 1871-1880.</t>
        </is>
      </c>
      <c r="M3126" t="inlineStr">
        <is>
          <t>1871</t>
        </is>
      </c>
      <c r="O3126" t="inlineStr">
        <is>
          <t>lat</t>
        </is>
      </c>
      <c r="P3126" t="inlineStr">
        <is>
          <t xml:space="preserve">fr </t>
        </is>
      </c>
      <c r="R3126" t="inlineStr">
        <is>
          <t xml:space="preserve">BX </t>
        </is>
      </c>
      <c r="S3126" t="n">
        <v>0</v>
      </c>
      <c r="T3126" t="n">
        <v>21</v>
      </c>
      <c r="V3126" t="inlineStr">
        <is>
          <t>2008-11-11</t>
        </is>
      </c>
      <c r="W3126" t="inlineStr">
        <is>
          <t>1992-05-15</t>
        </is>
      </c>
      <c r="X3126" t="inlineStr">
        <is>
          <t>1993-03-04</t>
        </is>
      </c>
      <c r="Y3126" t="n">
        <v>33</v>
      </c>
      <c r="Z3126" t="n">
        <v>24</v>
      </c>
      <c r="AA3126" t="n">
        <v>42</v>
      </c>
      <c r="AB3126" t="n">
        <v>1</v>
      </c>
      <c r="AC3126" t="n">
        <v>1</v>
      </c>
      <c r="AD3126" t="n">
        <v>6</v>
      </c>
      <c r="AE3126" t="n">
        <v>6</v>
      </c>
      <c r="AF3126" t="n">
        <v>3</v>
      </c>
      <c r="AG3126" t="n">
        <v>3</v>
      </c>
      <c r="AH3126" t="n">
        <v>1</v>
      </c>
      <c r="AI3126" t="n">
        <v>1</v>
      </c>
      <c r="AJ3126" t="n">
        <v>4</v>
      </c>
      <c r="AK3126" t="n">
        <v>4</v>
      </c>
      <c r="AL3126" t="n">
        <v>0</v>
      </c>
      <c r="AM3126" t="n">
        <v>0</v>
      </c>
      <c r="AN3126" t="n">
        <v>0</v>
      </c>
      <c r="AO3126" t="n">
        <v>0</v>
      </c>
      <c r="AP3126" t="inlineStr">
        <is>
          <t>Yes</t>
        </is>
      </c>
      <c r="AQ3126" t="inlineStr">
        <is>
          <t>No</t>
        </is>
      </c>
      <c r="AR3126">
        <f>HYPERLINK("http://catalog.hathitrust.org/Record/008394308","HathiTrust Record")</f>
        <v/>
      </c>
      <c r="AS3126">
        <f>HYPERLINK("https://creighton-primo.hosted.exlibrisgroup.com/primo-explore/search?tab=default_tab&amp;search_scope=EVERYTHING&amp;vid=01CRU&amp;lang=en_US&amp;offset=0&amp;query=any,contains,991004035139702656","Catalog Record")</f>
        <v/>
      </c>
      <c r="AT3126">
        <f>HYPERLINK("http://www.worldcat.org/oclc/2167761","WorldCat Record")</f>
        <v/>
      </c>
      <c r="AU3126" t="inlineStr">
        <is>
          <t>2908660729:lat</t>
        </is>
      </c>
      <c r="AV3126" t="inlineStr">
        <is>
          <t>2167761</t>
        </is>
      </c>
      <c r="AW3126" t="inlineStr">
        <is>
          <t>991004035139702656</t>
        </is>
      </c>
      <c r="AX3126" t="inlineStr">
        <is>
          <t>991004035139702656</t>
        </is>
      </c>
      <c r="AY3126" t="inlineStr">
        <is>
          <t>2270666460002656</t>
        </is>
      </c>
      <c r="AZ3126" t="inlineStr">
        <is>
          <t>BOOK</t>
        </is>
      </c>
      <c r="BC3126" t="inlineStr">
        <is>
          <t>32285001083236</t>
        </is>
      </c>
      <c r="BD3126" t="inlineStr">
        <is>
          <t>893435808</t>
        </is>
      </c>
    </row>
    <row r="3127">
      <c r="A3127" t="inlineStr">
        <is>
          <t>No</t>
        </is>
      </c>
      <c r="B3127" t="inlineStr">
        <is>
          <t>BX890 .T6 1871</t>
        </is>
      </c>
      <c r="C3127" t="inlineStr">
        <is>
          <t>0                      BX 0890000T  6           1871</t>
        </is>
      </c>
      <c r="D3127" t="inlineStr">
        <is>
          <t>Opera omnia / studio ac labore Stanislai Eduardi Fretté et Pauli Maré.</t>
        </is>
      </c>
      <c r="E3127" t="inlineStr">
        <is>
          <t>V. 21</t>
        </is>
      </c>
      <c r="F3127" t="inlineStr">
        <is>
          <t>Yes</t>
        </is>
      </c>
      <c r="G3127" t="inlineStr">
        <is>
          <t>1</t>
        </is>
      </c>
      <c r="H3127" t="inlineStr">
        <is>
          <t>No</t>
        </is>
      </c>
      <c r="I3127" t="inlineStr">
        <is>
          <t>No</t>
        </is>
      </c>
      <c r="J3127" t="inlineStr">
        <is>
          <t>0</t>
        </is>
      </c>
      <c r="K3127" t="inlineStr">
        <is>
          <t>Thomas, Aquinas, Saint, 1225?-1274.</t>
        </is>
      </c>
      <c r="L3127" t="inlineStr">
        <is>
          <t>Parisiis : Apud Ludovicum Vivès, 1871-1880.</t>
        </is>
      </c>
      <c r="M3127" t="inlineStr">
        <is>
          <t>1871</t>
        </is>
      </c>
      <c r="O3127" t="inlineStr">
        <is>
          <t>lat</t>
        </is>
      </c>
      <c r="P3127" t="inlineStr">
        <is>
          <t xml:space="preserve">fr </t>
        </is>
      </c>
      <c r="R3127" t="inlineStr">
        <is>
          <t xml:space="preserve">BX </t>
        </is>
      </c>
      <c r="S3127" t="n">
        <v>1</v>
      </c>
      <c r="T3127" t="n">
        <v>21</v>
      </c>
      <c r="U3127" t="inlineStr">
        <is>
          <t>1992-06-12</t>
        </is>
      </c>
      <c r="V3127" t="inlineStr">
        <is>
          <t>2008-11-11</t>
        </is>
      </c>
      <c r="W3127" t="inlineStr">
        <is>
          <t>1993-03-04</t>
        </is>
      </c>
      <c r="X3127" t="inlineStr">
        <is>
          <t>1993-03-04</t>
        </is>
      </c>
      <c r="Y3127" t="n">
        <v>33</v>
      </c>
      <c r="Z3127" t="n">
        <v>24</v>
      </c>
      <c r="AA3127" t="n">
        <v>42</v>
      </c>
      <c r="AB3127" t="n">
        <v>1</v>
      </c>
      <c r="AC3127" t="n">
        <v>1</v>
      </c>
      <c r="AD3127" t="n">
        <v>6</v>
      </c>
      <c r="AE3127" t="n">
        <v>6</v>
      </c>
      <c r="AF3127" t="n">
        <v>3</v>
      </c>
      <c r="AG3127" t="n">
        <v>3</v>
      </c>
      <c r="AH3127" t="n">
        <v>1</v>
      </c>
      <c r="AI3127" t="n">
        <v>1</v>
      </c>
      <c r="AJ3127" t="n">
        <v>4</v>
      </c>
      <c r="AK3127" t="n">
        <v>4</v>
      </c>
      <c r="AL3127" t="n">
        <v>0</v>
      </c>
      <c r="AM3127" t="n">
        <v>0</v>
      </c>
      <c r="AN3127" t="n">
        <v>0</v>
      </c>
      <c r="AO3127" t="n">
        <v>0</v>
      </c>
      <c r="AP3127" t="inlineStr">
        <is>
          <t>Yes</t>
        </is>
      </c>
      <c r="AQ3127" t="inlineStr">
        <is>
          <t>No</t>
        </is>
      </c>
      <c r="AR3127">
        <f>HYPERLINK("http://catalog.hathitrust.org/Record/008394308","HathiTrust Record")</f>
        <v/>
      </c>
      <c r="AS3127">
        <f>HYPERLINK("https://creighton-primo.hosted.exlibrisgroup.com/primo-explore/search?tab=default_tab&amp;search_scope=EVERYTHING&amp;vid=01CRU&amp;lang=en_US&amp;offset=0&amp;query=any,contains,991004035139702656","Catalog Record")</f>
        <v/>
      </c>
      <c r="AT3127">
        <f>HYPERLINK("http://www.worldcat.org/oclc/2167761","WorldCat Record")</f>
        <v/>
      </c>
      <c r="AU3127" t="inlineStr">
        <is>
          <t>2908660729:lat</t>
        </is>
      </c>
      <c r="AV3127" t="inlineStr">
        <is>
          <t>2167761</t>
        </is>
      </c>
      <c r="AW3127" t="inlineStr">
        <is>
          <t>991004035139702656</t>
        </is>
      </c>
      <c r="AX3127" t="inlineStr">
        <is>
          <t>991004035139702656</t>
        </is>
      </c>
      <c r="AY3127" t="inlineStr">
        <is>
          <t>2270666460002656</t>
        </is>
      </c>
      <c r="AZ3127" t="inlineStr">
        <is>
          <t>BOOK</t>
        </is>
      </c>
      <c r="BC3127" t="inlineStr">
        <is>
          <t>32285001565216</t>
        </is>
      </c>
      <c r="BD3127" t="inlineStr">
        <is>
          <t>893423300</t>
        </is>
      </c>
    </row>
    <row r="3128">
      <c r="A3128" t="inlineStr">
        <is>
          <t>No</t>
        </is>
      </c>
      <c r="B3128" t="inlineStr">
        <is>
          <t>BX890 .T6 1871</t>
        </is>
      </c>
      <c r="C3128" t="inlineStr">
        <is>
          <t>0                      BX 0890000T  6           1871</t>
        </is>
      </c>
      <c r="D3128" t="inlineStr">
        <is>
          <t>Opera omnia / studio ac labore Stanislai Eduardi Fretté et Pauli Maré.</t>
        </is>
      </c>
      <c r="E3128" t="inlineStr">
        <is>
          <t>V. 31</t>
        </is>
      </c>
      <c r="F3128" t="inlineStr">
        <is>
          <t>Yes</t>
        </is>
      </c>
      <c r="G3128" t="inlineStr">
        <is>
          <t>1</t>
        </is>
      </c>
      <c r="H3128" t="inlineStr">
        <is>
          <t>No</t>
        </is>
      </c>
      <c r="I3128" t="inlineStr">
        <is>
          <t>No</t>
        </is>
      </c>
      <c r="J3128" t="inlineStr">
        <is>
          <t>0</t>
        </is>
      </c>
      <c r="K3128" t="inlineStr">
        <is>
          <t>Thomas, Aquinas, Saint, 1225?-1274.</t>
        </is>
      </c>
      <c r="L3128" t="inlineStr">
        <is>
          <t>Parisiis : Apud Ludovicum Vivès, 1871-1880.</t>
        </is>
      </c>
      <c r="M3128" t="inlineStr">
        <is>
          <t>1871</t>
        </is>
      </c>
      <c r="O3128" t="inlineStr">
        <is>
          <t>lat</t>
        </is>
      </c>
      <c r="P3128" t="inlineStr">
        <is>
          <t xml:space="preserve">fr </t>
        </is>
      </c>
      <c r="R3128" t="inlineStr">
        <is>
          <t xml:space="preserve">BX </t>
        </is>
      </c>
      <c r="S3128" t="n">
        <v>3</v>
      </c>
      <c r="T3128" t="n">
        <v>21</v>
      </c>
      <c r="U3128" t="inlineStr">
        <is>
          <t>2002-10-17</t>
        </is>
      </c>
      <c r="V3128" t="inlineStr">
        <is>
          <t>2008-11-11</t>
        </is>
      </c>
      <c r="W3128" t="inlineStr">
        <is>
          <t>1992-03-17</t>
        </is>
      </c>
      <c r="X3128" t="inlineStr">
        <is>
          <t>1993-03-04</t>
        </is>
      </c>
      <c r="Y3128" t="n">
        <v>33</v>
      </c>
      <c r="Z3128" t="n">
        <v>24</v>
      </c>
      <c r="AA3128" t="n">
        <v>42</v>
      </c>
      <c r="AB3128" t="n">
        <v>1</v>
      </c>
      <c r="AC3128" t="n">
        <v>1</v>
      </c>
      <c r="AD3128" t="n">
        <v>6</v>
      </c>
      <c r="AE3128" t="n">
        <v>6</v>
      </c>
      <c r="AF3128" t="n">
        <v>3</v>
      </c>
      <c r="AG3128" t="n">
        <v>3</v>
      </c>
      <c r="AH3128" t="n">
        <v>1</v>
      </c>
      <c r="AI3128" t="n">
        <v>1</v>
      </c>
      <c r="AJ3128" t="n">
        <v>4</v>
      </c>
      <c r="AK3128" t="n">
        <v>4</v>
      </c>
      <c r="AL3128" t="n">
        <v>0</v>
      </c>
      <c r="AM3128" t="n">
        <v>0</v>
      </c>
      <c r="AN3128" t="n">
        <v>0</v>
      </c>
      <c r="AO3128" t="n">
        <v>0</v>
      </c>
      <c r="AP3128" t="inlineStr">
        <is>
          <t>Yes</t>
        </is>
      </c>
      <c r="AQ3128" t="inlineStr">
        <is>
          <t>No</t>
        </is>
      </c>
      <c r="AR3128">
        <f>HYPERLINK("http://catalog.hathitrust.org/Record/008394308","HathiTrust Record")</f>
        <v/>
      </c>
      <c r="AS3128">
        <f>HYPERLINK("https://creighton-primo.hosted.exlibrisgroup.com/primo-explore/search?tab=default_tab&amp;search_scope=EVERYTHING&amp;vid=01CRU&amp;lang=en_US&amp;offset=0&amp;query=any,contains,991004035139702656","Catalog Record")</f>
        <v/>
      </c>
      <c r="AT3128">
        <f>HYPERLINK("http://www.worldcat.org/oclc/2167761","WorldCat Record")</f>
        <v/>
      </c>
      <c r="AU3128" t="inlineStr">
        <is>
          <t>2908660729:lat</t>
        </is>
      </c>
      <c r="AV3128" t="inlineStr">
        <is>
          <t>2167761</t>
        </is>
      </c>
      <c r="AW3128" t="inlineStr">
        <is>
          <t>991004035139702656</t>
        </is>
      </c>
      <c r="AX3128" t="inlineStr">
        <is>
          <t>991004035139702656</t>
        </is>
      </c>
      <c r="AY3128" t="inlineStr">
        <is>
          <t>2270666460002656</t>
        </is>
      </c>
      <c r="AZ3128" t="inlineStr">
        <is>
          <t>BOOK</t>
        </is>
      </c>
      <c r="BC3128" t="inlineStr">
        <is>
          <t>32285001023232</t>
        </is>
      </c>
      <c r="BD3128" t="inlineStr">
        <is>
          <t>893435810</t>
        </is>
      </c>
    </row>
    <row r="3129">
      <c r="A3129" t="inlineStr">
        <is>
          <t>No</t>
        </is>
      </c>
      <c r="B3129" t="inlineStr">
        <is>
          <t>BX890 .T6 1871</t>
        </is>
      </c>
      <c r="C3129" t="inlineStr">
        <is>
          <t>0                      BX 0890000T  6           1871</t>
        </is>
      </c>
      <c r="D3129" t="inlineStr">
        <is>
          <t>Opera omnia / studio ac labore Stanislai Eduardi Fretté et Pauli Maré.</t>
        </is>
      </c>
      <c r="E3129" t="inlineStr">
        <is>
          <t>V. 3</t>
        </is>
      </c>
      <c r="F3129" t="inlineStr">
        <is>
          <t>Yes</t>
        </is>
      </c>
      <c r="G3129" t="inlineStr">
        <is>
          <t>1</t>
        </is>
      </c>
      <c r="H3129" t="inlineStr">
        <is>
          <t>No</t>
        </is>
      </c>
      <c r="I3129" t="inlineStr">
        <is>
          <t>No</t>
        </is>
      </c>
      <c r="J3129" t="inlineStr">
        <is>
          <t>0</t>
        </is>
      </c>
      <c r="K3129" t="inlineStr">
        <is>
          <t>Thomas, Aquinas, Saint, 1225?-1274.</t>
        </is>
      </c>
      <c r="L3129" t="inlineStr">
        <is>
          <t>Parisiis : Apud Ludovicum Vivès, 1871-1880.</t>
        </is>
      </c>
      <c r="M3129" t="inlineStr">
        <is>
          <t>1871</t>
        </is>
      </c>
      <c r="O3129" t="inlineStr">
        <is>
          <t>lat</t>
        </is>
      </c>
      <c r="P3129" t="inlineStr">
        <is>
          <t xml:space="preserve">fr </t>
        </is>
      </c>
      <c r="R3129" t="inlineStr">
        <is>
          <t xml:space="preserve">BX </t>
        </is>
      </c>
      <c r="S3129" t="n">
        <v>2</v>
      </c>
      <c r="T3129" t="n">
        <v>21</v>
      </c>
      <c r="U3129" t="inlineStr">
        <is>
          <t>1992-03-17</t>
        </is>
      </c>
      <c r="V3129" t="inlineStr">
        <is>
          <t>2008-11-11</t>
        </is>
      </c>
      <c r="W3129" t="inlineStr">
        <is>
          <t>1992-03-17</t>
        </is>
      </c>
      <c r="X3129" t="inlineStr">
        <is>
          <t>1993-03-04</t>
        </is>
      </c>
      <c r="Y3129" t="n">
        <v>33</v>
      </c>
      <c r="Z3129" t="n">
        <v>24</v>
      </c>
      <c r="AA3129" t="n">
        <v>42</v>
      </c>
      <c r="AB3129" t="n">
        <v>1</v>
      </c>
      <c r="AC3129" t="n">
        <v>1</v>
      </c>
      <c r="AD3129" t="n">
        <v>6</v>
      </c>
      <c r="AE3129" t="n">
        <v>6</v>
      </c>
      <c r="AF3129" t="n">
        <v>3</v>
      </c>
      <c r="AG3129" t="n">
        <v>3</v>
      </c>
      <c r="AH3129" t="n">
        <v>1</v>
      </c>
      <c r="AI3129" t="n">
        <v>1</v>
      </c>
      <c r="AJ3129" t="n">
        <v>4</v>
      </c>
      <c r="AK3129" t="n">
        <v>4</v>
      </c>
      <c r="AL3129" t="n">
        <v>0</v>
      </c>
      <c r="AM3129" t="n">
        <v>0</v>
      </c>
      <c r="AN3129" t="n">
        <v>0</v>
      </c>
      <c r="AO3129" t="n">
        <v>0</v>
      </c>
      <c r="AP3129" t="inlineStr">
        <is>
          <t>Yes</t>
        </is>
      </c>
      <c r="AQ3129" t="inlineStr">
        <is>
          <t>No</t>
        </is>
      </c>
      <c r="AR3129">
        <f>HYPERLINK("http://catalog.hathitrust.org/Record/008394308","HathiTrust Record")</f>
        <v/>
      </c>
      <c r="AS3129">
        <f>HYPERLINK("https://creighton-primo.hosted.exlibrisgroup.com/primo-explore/search?tab=default_tab&amp;search_scope=EVERYTHING&amp;vid=01CRU&amp;lang=en_US&amp;offset=0&amp;query=any,contains,991004035139702656","Catalog Record")</f>
        <v/>
      </c>
      <c r="AT3129">
        <f>HYPERLINK("http://www.worldcat.org/oclc/2167761","WorldCat Record")</f>
        <v/>
      </c>
      <c r="AU3129" t="inlineStr">
        <is>
          <t>2908660729:lat</t>
        </is>
      </c>
      <c r="AV3129" t="inlineStr">
        <is>
          <t>2167761</t>
        </is>
      </c>
      <c r="AW3129" t="inlineStr">
        <is>
          <t>991004035139702656</t>
        </is>
      </c>
      <c r="AX3129" t="inlineStr">
        <is>
          <t>991004035139702656</t>
        </is>
      </c>
      <c r="AY3129" t="inlineStr">
        <is>
          <t>2270666460002656</t>
        </is>
      </c>
      <c r="AZ3129" t="inlineStr">
        <is>
          <t>BOOK</t>
        </is>
      </c>
      <c r="BC3129" t="inlineStr">
        <is>
          <t>32285001023166</t>
        </is>
      </c>
      <c r="BD3129" t="inlineStr">
        <is>
          <t>893435805</t>
        </is>
      </c>
    </row>
    <row r="3130">
      <c r="A3130" t="inlineStr">
        <is>
          <t>No</t>
        </is>
      </c>
      <c r="B3130" t="inlineStr">
        <is>
          <t>BX890 .T6 1871</t>
        </is>
      </c>
      <c r="C3130" t="inlineStr">
        <is>
          <t>0                      BX 0890000T  6           1871</t>
        </is>
      </c>
      <c r="D3130" t="inlineStr">
        <is>
          <t>Opera omnia / studio ac labore Stanislai Eduardi Fretté et Pauli Maré.</t>
        </is>
      </c>
      <c r="E3130" t="inlineStr">
        <is>
          <t>V. 29</t>
        </is>
      </c>
      <c r="F3130" t="inlineStr">
        <is>
          <t>Yes</t>
        </is>
      </c>
      <c r="G3130" t="inlineStr">
        <is>
          <t>1</t>
        </is>
      </c>
      <c r="H3130" t="inlineStr">
        <is>
          <t>No</t>
        </is>
      </c>
      <c r="I3130" t="inlineStr">
        <is>
          <t>No</t>
        </is>
      </c>
      <c r="J3130" t="inlineStr">
        <is>
          <t>0</t>
        </is>
      </c>
      <c r="K3130" t="inlineStr">
        <is>
          <t>Thomas, Aquinas, Saint, 1225?-1274.</t>
        </is>
      </c>
      <c r="L3130" t="inlineStr">
        <is>
          <t>Parisiis : Apud Ludovicum Vivès, 1871-1880.</t>
        </is>
      </c>
      <c r="M3130" t="inlineStr">
        <is>
          <t>1871</t>
        </is>
      </c>
      <c r="O3130" t="inlineStr">
        <is>
          <t>lat</t>
        </is>
      </c>
      <c r="P3130" t="inlineStr">
        <is>
          <t xml:space="preserve">fr </t>
        </is>
      </c>
      <c r="R3130" t="inlineStr">
        <is>
          <t xml:space="preserve">BX </t>
        </is>
      </c>
      <c r="S3130" t="n">
        <v>1</v>
      </c>
      <c r="T3130" t="n">
        <v>21</v>
      </c>
      <c r="U3130" t="inlineStr">
        <is>
          <t>1992-03-17</t>
        </is>
      </c>
      <c r="V3130" t="inlineStr">
        <is>
          <t>2008-11-11</t>
        </is>
      </c>
      <c r="W3130" t="inlineStr">
        <is>
          <t>1992-03-17</t>
        </is>
      </c>
      <c r="X3130" t="inlineStr">
        <is>
          <t>1993-03-04</t>
        </is>
      </c>
      <c r="Y3130" t="n">
        <v>33</v>
      </c>
      <c r="Z3130" t="n">
        <v>24</v>
      </c>
      <c r="AA3130" t="n">
        <v>42</v>
      </c>
      <c r="AB3130" t="n">
        <v>1</v>
      </c>
      <c r="AC3130" t="n">
        <v>1</v>
      </c>
      <c r="AD3130" t="n">
        <v>6</v>
      </c>
      <c r="AE3130" t="n">
        <v>6</v>
      </c>
      <c r="AF3130" t="n">
        <v>3</v>
      </c>
      <c r="AG3130" t="n">
        <v>3</v>
      </c>
      <c r="AH3130" t="n">
        <v>1</v>
      </c>
      <c r="AI3130" t="n">
        <v>1</v>
      </c>
      <c r="AJ3130" t="n">
        <v>4</v>
      </c>
      <c r="AK3130" t="n">
        <v>4</v>
      </c>
      <c r="AL3130" t="n">
        <v>0</v>
      </c>
      <c r="AM3130" t="n">
        <v>0</v>
      </c>
      <c r="AN3130" t="n">
        <v>0</v>
      </c>
      <c r="AO3130" t="n">
        <v>0</v>
      </c>
      <c r="AP3130" t="inlineStr">
        <is>
          <t>Yes</t>
        </is>
      </c>
      <c r="AQ3130" t="inlineStr">
        <is>
          <t>No</t>
        </is>
      </c>
      <c r="AR3130">
        <f>HYPERLINK("http://catalog.hathitrust.org/Record/008394308","HathiTrust Record")</f>
        <v/>
      </c>
      <c r="AS3130">
        <f>HYPERLINK("https://creighton-primo.hosted.exlibrisgroup.com/primo-explore/search?tab=default_tab&amp;search_scope=EVERYTHING&amp;vid=01CRU&amp;lang=en_US&amp;offset=0&amp;query=any,contains,991004035139702656","Catalog Record")</f>
        <v/>
      </c>
      <c r="AT3130">
        <f>HYPERLINK("http://www.worldcat.org/oclc/2167761","WorldCat Record")</f>
        <v/>
      </c>
      <c r="AU3130" t="inlineStr">
        <is>
          <t>2908660729:lat</t>
        </is>
      </c>
      <c r="AV3130" t="inlineStr">
        <is>
          <t>2167761</t>
        </is>
      </c>
      <c r="AW3130" t="inlineStr">
        <is>
          <t>991004035139702656</t>
        </is>
      </c>
      <c r="AX3130" t="inlineStr">
        <is>
          <t>991004035139702656</t>
        </is>
      </c>
      <c r="AY3130" t="inlineStr">
        <is>
          <t>2270666460002656</t>
        </is>
      </c>
      <c r="AZ3130" t="inlineStr">
        <is>
          <t>BOOK</t>
        </is>
      </c>
      <c r="BC3130" t="inlineStr">
        <is>
          <t>32285001023216</t>
        </is>
      </c>
      <c r="BD3130" t="inlineStr">
        <is>
          <t>893429582</t>
        </is>
      </c>
    </row>
    <row r="3131">
      <c r="A3131" t="inlineStr">
        <is>
          <t>No</t>
        </is>
      </c>
      <c r="B3131" t="inlineStr">
        <is>
          <t>BX890 .T6 1871</t>
        </is>
      </c>
      <c r="C3131" t="inlineStr">
        <is>
          <t>0                      BX 0890000T  6           1871</t>
        </is>
      </c>
      <c r="D3131" t="inlineStr">
        <is>
          <t>Opera omnia / studio ac labore Stanislai Eduardi Fretté et Pauli Maré.</t>
        </is>
      </c>
      <c r="E3131" t="inlineStr">
        <is>
          <t>V. 15</t>
        </is>
      </c>
      <c r="F3131" t="inlineStr">
        <is>
          <t>Yes</t>
        </is>
      </c>
      <c r="G3131" t="inlineStr">
        <is>
          <t>1</t>
        </is>
      </c>
      <c r="H3131" t="inlineStr">
        <is>
          <t>No</t>
        </is>
      </c>
      <c r="I3131" t="inlineStr">
        <is>
          <t>No</t>
        </is>
      </c>
      <c r="J3131" t="inlineStr">
        <is>
          <t>0</t>
        </is>
      </c>
      <c r="K3131" t="inlineStr">
        <is>
          <t>Thomas, Aquinas, Saint, 1225?-1274.</t>
        </is>
      </c>
      <c r="L3131" t="inlineStr">
        <is>
          <t>Parisiis : Apud Ludovicum Vivès, 1871-1880.</t>
        </is>
      </c>
      <c r="M3131" t="inlineStr">
        <is>
          <t>1871</t>
        </is>
      </c>
      <c r="O3131" t="inlineStr">
        <is>
          <t>lat</t>
        </is>
      </c>
      <c r="P3131" t="inlineStr">
        <is>
          <t xml:space="preserve">fr </t>
        </is>
      </c>
      <c r="R3131" t="inlineStr">
        <is>
          <t xml:space="preserve">BX </t>
        </is>
      </c>
      <c r="S3131" t="n">
        <v>0</v>
      </c>
      <c r="T3131" t="n">
        <v>21</v>
      </c>
      <c r="V3131" t="inlineStr">
        <is>
          <t>2008-11-11</t>
        </is>
      </c>
      <c r="W3131" t="inlineStr">
        <is>
          <t>1992-05-15</t>
        </is>
      </c>
      <c r="X3131" t="inlineStr">
        <is>
          <t>1993-03-04</t>
        </is>
      </c>
      <c r="Y3131" t="n">
        <v>33</v>
      </c>
      <c r="Z3131" t="n">
        <v>24</v>
      </c>
      <c r="AA3131" t="n">
        <v>42</v>
      </c>
      <c r="AB3131" t="n">
        <v>1</v>
      </c>
      <c r="AC3131" t="n">
        <v>1</v>
      </c>
      <c r="AD3131" t="n">
        <v>6</v>
      </c>
      <c r="AE3131" t="n">
        <v>6</v>
      </c>
      <c r="AF3131" t="n">
        <v>3</v>
      </c>
      <c r="AG3131" t="n">
        <v>3</v>
      </c>
      <c r="AH3131" t="n">
        <v>1</v>
      </c>
      <c r="AI3131" t="n">
        <v>1</v>
      </c>
      <c r="AJ3131" t="n">
        <v>4</v>
      </c>
      <c r="AK3131" t="n">
        <v>4</v>
      </c>
      <c r="AL3131" t="n">
        <v>0</v>
      </c>
      <c r="AM3131" t="n">
        <v>0</v>
      </c>
      <c r="AN3131" t="n">
        <v>0</v>
      </c>
      <c r="AO3131" t="n">
        <v>0</v>
      </c>
      <c r="AP3131" t="inlineStr">
        <is>
          <t>Yes</t>
        </is>
      </c>
      <c r="AQ3131" t="inlineStr">
        <is>
          <t>No</t>
        </is>
      </c>
      <c r="AR3131">
        <f>HYPERLINK("http://catalog.hathitrust.org/Record/008394308","HathiTrust Record")</f>
        <v/>
      </c>
      <c r="AS3131">
        <f>HYPERLINK("https://creighton-primo.hosted.exlibrisgroup.com/primo-explore/search?tab=default_tab&amp;search_scope=EVERYTHING&amp;vid=01CRU&amp;lang=en_US&amp;offset=0&amp;query=any,contains,991004035139702656","Catalog Record")</f>
        <v/>
      </c>
      <c r="AT3131">
        <f>HYPERLINK("http://www.worldcat.org/oclc/2167761","WorldCat Record")</f>
        <v/>
      </c>
      <c r="AU3131" t="inlineStr">
        <is>
          <t>2908660729:lat</t>
        </is>
      </c>
      <c r="AV3131" t="inlineStr">
        <is>
          <t>2167761</t>
        </is>
      </c>
      <c r="AW3131" t="inlineStr">
        <is>
          <t>991004035139702656</t>
        </is>
      </c>
      <c r="AX3131" t="inlineStr">
        <is>
          <t>991004035139702656</t>
        </is>
      </c>
      <c r="AY3131" t="inlineStr">
        <is>
          <t>2270666460002656</t>
        </is>
      </c>
      <c r="AZ3131" t="inlineStr">
        <is>
          <t>BOOK</t>
        </is>
      </c>
      <c r="BC3131" t="inlineStr">
        <is>
          <t>32285001083293</t>
        </is>
      </c>
      <c r="BD3131" t="inlineStr">
        <is>
          <t>893435813</t>
        </is>
      </c>
    </row>
    <row r="3132">
      <c r="A3132" t="inlineStr">
        <is>
          <t>No</t>
        </is>
      </c>
      <c r="B3132" t="inlineStr">
        <is>
          <t>BX890 .T6 1871</t>
        </is>
      </c>
      <c r="C3132" t="inlineStr">
        <is>
          <t>0                      BX 0890000T  6           1871</t>
        </is>
      </c>
      <c r="D3132" t="inlineStr">
        <is>
          <t>Opera omnia / studio ac labore Stanislai Eduardi Fretté et Pauli Maré.</t>
        </is>
      </c>
      <c r="E3132" t="inlineStr">
        <is>
          <t>V. 26</t>
        </is>
      </c>
      <c r="F3132" t="inlineStr">
        <is>
          <t>Yes</t>
        </is>
      </c>
      <c r="G3132" t="inlineStr">
        <is>
          <t>1</t>
        </is>
      </c>
      <c r="H3132" t="inlineStr">
        <is>
          <t>No</t>
        </is>
      </c>
      <c r="I3132" t="inlineStr">
        <is>
          <t>No</t>
        </is>
      </c>
      <c r="J3132" t="inlineStr">
        <is>
          <t>0</t>
        </is>
      </c>
      <c r="K3132" t="inlineStr">
        <is>
          <t>Thomas, Aquinas, Saint, 1225?-1274.</t>
        </is>
      </c>
      <c r="L3132" t="inlineStr">
        <is>
          <t>Parisiis : Apud Ludovicum Vivès, 1871-1880.</t>
        </is>
      </c>
      <c r="M3132" t="inlineStr">
        <is>
          <t>1871</t>
        </is>
      </c>
      <c r="O3132" t="inlineStr">
        <is>
          <t>lat</t>
        </is>
      </c>
      <c r="P3132" t="inlineStr">
        <is>
          <t xml:space="preserve">fr </t>
        </is>
      </c>
      <c r="R3132" t="inlineStr">
        <is>
          <t xml:space="preserve">BX </t>
        </is>
      </c>
      <c r="S3132" t="n">
        <v>0</v>
      </c>
      <c r="T3132" t="n">
        <v>21</v>
      </c>
      <c r="V3132" t="inlineStr">
        <is>
          <t>2008-11-11</t>
        </is>
      </c>
      <c r="W3132" t="inlineStr">
        <is>
          <t>1992-05-15</t>
        </is>
      </c>
      <c r="X3132" t="inlineStr">
        <is>
          <t>1993-03-04</t>
        </is>
      </c>
      <c r="Y3132" t="n">
        <v>33</v>
      </c>
      <c r="Z3132" t="n">
        <v>24</v>
      </c>
      <c r="AA3132" t="n">
        <v>42</v>
      </c>
      <c r="AB3132" t="n">
        <v>1</v>
      </c>
      <c r="AC3132" t="n">
        <v>1</v>
      </c>
      <c r="AD3132" t="n">
        <v>6</v>
      </c>
      <c r="AE3132" t="n">
        <v>6</v>
      </c>
      <c r="AF3132" t="n">
        <v>3</v>
      </c>
      <c r="AG3132" t="n">
        <v>3</v>
      </c>
      <c r="AH3132" t="n">
        <v>1</v>
      </c>
      <c r="AI3132" t="n">
        <v>1</v>
      </c>
      <c r="AJ3132" t="n">
        <v>4</v>
      </c>
      <c r="AK3132" t="n">
        <v>4</v>
      </c>
      <c r="AL3132" t="n">
        <v>0</v>
      </c>
      <c r="AM3132" t="n">
        <v>0</v>
      </c>
      <c r="AN3132" t="n">
        <v>0</v>
      </c>
      <c r="AO3132" t="n">
        <v>0</v>
      </c>
      <c r="AP3132" t="inlineStr">
        <is>
          <t>Yes</t>
        </is>
      </c>
      <c r="AQ3132" t="inlineStr">
        <is>
          <t>No</t>
        </is>
      </c>
      <c r="AR3132">
        <f>HYPERLINK("http://catalog.hathitrust.org/Record/008394308","HathiTrust Record")</f>
        <v/>
      </c>
      <c r="AS3132">
        <f>HYPERLINK("https://creighton-primo.hosted.exlibrisgroup.com/primo-explore/search?tab=default_tab&amp;search_scope=EVERYTHING&amp;vid=01CRU&amp;lang=en_US&amp;offset=0&amp;query=any,contains,991004035139702656","Catalog Record")</f>
        <v/>
      </c>
      <c r="AT3132">
        <f>HYPERLINK("http://www.worldcat.org/oclc/2167761","WorldCat Record")</f>
        <v/>
      </c>
      <c r="AU3132" t="inlineStr">
        <is>
          <t>2908660729:lat</t>
        </is>
      </c>
      <c r="AV3132" t="inlineStr">
        <is>
          <t>2167761</t>
        </is>
      </c>
      <c r="AW3132" t="inlineStr">
        <is>
          <t>991004035139702656</t>
        </is>
      </c>
      <c r="AX3132" t="inlineStr">
        <is>
          <t>991004035139702656</t>
        </is>
      </c>
      <c r="AY3132" t="inlineStr">
        <is>
          <t>2270666460002656</t>
        </is>
      </c>
      <c r="AZ3132" t="inlineStr">
        <is>
          <t>BOOK</t>
        </is>
      </c>
      <c r="BC3132" t="inlineStr">
        <is>
          <t>32285001083392</t>
        </is>
      </c>
      <c r="BD3132" t="inlineStr">
        <is>
          <t>893435815</t>
        </is>
      </c>
    </row>
    <row r="3133">
      <c r="A3133" t="inlineStr">
        <is>
          <t>No</t>
        </is>
      </c>
      <c r="B3133" t="inlineStr">
        <is>
          <t>BX890 .T6 1871</t>
        </is>
      </c>
      <c r="C3133" t="inlineStr">
        <is>
          <t>0                      BX 0890000T  6           1871</t>
        </is>
      </c>
      <c r="D3133" t="inlineStr">
        <is>
          <t>Opera omnia / studio ac labore Stanislai Eduardi Fretté et Pauli Maré.</t>
        </is>
      </c>
      <c r="E3133" t="inlineStr">
        <is>
          <t>V. 19</t>
        </is>
      </c>
      <c r="F3133" t="inlineStr">
        <is>
          <t>Yes</t>
        </is>
      </c>
      <c r="G3133" t="inlineStr">
        <is>
          <t>1</t>
        </is>
      </c>
      <c r="H3133" t="inlineStr">
        <is>
          <t>No</t>
        </is>
      </c>
      <c r="I3133" t="inlineStr">
        <is>
          <t>No</t>
        </is>
      </c>
      <c r="J3133" t="inlineStr">
        <is>
          <t>0</t>
        </is>
      </c>
      <c r="K3133" t="inlineStr">
        <is>
          <t>Thomas, Aquinas, Saint, 1225?-1274.</t>
        </is>
      </c>
      <c r="L3133" t="inlineStr">
        <is>
          <t>Parisiis : Apud Ludovicum Vivès, 1871-1880.</t>
        </is>
      </c>
      <c r="M3133" t="inlineStr">
        <is>
          <t>1871</t>
        </is>
      </c>
      <c r="O3133" t="inlineStr">
        <is>
          <t>lat</t>
        </is>
      </c>
      <c r="P3133" t="inlineStr">
        <is>
          <t xml:space="preserve">fr </t>
        </is>
      </c>
      <c r="R3133" t="inlineStr">
        <is>
          <t xml:space="preserve">BX </t>
        </is>
      </c>
      <c r="S3133" t="n">
        <v>0</v>
      </c>
      <c r="T3133" t="n">
        <v>21</v>
      </c>
      <c r="V3133" t="inlineStr">
        <is>
          <t>2008-11-11</t>
        </is>
      </c>
      <c r="W3133" t="inlineStr">
        <is>
          <t>1992-05-15</t>
        </is>
      </c>
      <c r="X3133" t="inlineStr">
        <is>
          <t>1993-03-04</t>
        </is>
      </c>
      <c r="Y3133" t="n">
        <v>33</v>
      </c>
      <c r="Z3133" t="n">
        <v>24</v>
      </c>
      <c r="AA3133" t="n">
        <v>42</v>
      </c>
      <c r="AB3133" t="n">
        <v>1</v>
      </c>
      <c r="AC3133" t="n">
        <v>1</v>
      </c>
      <c r="AD3133" t="n">
        <v>6</v>
      </c>
      <c r="AE3133" t="n">
        <v>6</v>
      </c>
      <c r="AF3133" t="n">
        <v>3</v>
      </c>
      <c r="AG3133" t="n">
        <v>3</v>
      </c>
      <c r="AH3133" t="n">
        <v>1</v>
      </c>
      <c r="AI3133" t="n">
        <v>1</v>
      </c>
      <c r="AJ3133" t="n">
        <v>4</v>
      </c>
      <c r="AK3133" t="n">
        <v>4</v>
      </c>
      <c r="AL3133" t="n">
        <v>0</v>
      </c>
      <c r="AM3133" t="n">
        <v>0</v>
      </c>
      <c r="AN3133" t="n">
        <v>0</v>
      </c>
      <c r="AO3133" t="n">
        <v>0</v>
      </c>
      <c r="AP3133" t="inlineStr">
        <is>
          <t>Yes</t>
        </is>
      </c>
      <c r="AQ3133" t="inlineStr">
        <is>
          <t>No</t>
        </is>
      </c>
      <c r="AR3133">
        <f>HYPERLINK("http://catalog.hathitrust.org/Record/008394308","HathiTrust Record")</f>
        <v/>
      </c>
      <c r="AS3133">
        <f>HYPERLINK("https://creighton-primo.hosted.exlibrisgroup.com/primo-explore/search?tab=default_tab&amp;search_scope=EVERYTHING&amp;vid=01CRU&amp;lang=en_US&amp;offset=0&amp;query=any,contains,991004035139702656","Catalog Record")</f>
        <v/>
      </c>
      <c r="AT3133">
        <f>HYPERLINK("http://www.worldcat.org/oclc/2167761","WorldCat Record")</f>
        <v/>
      </c>
      <c r="AU3133" t="inlineStr">
        <is>
          <t>2908660729:lat</t>
        </is>
      </c>
      <c r="AV3133" t="inlineStr">
        <is>
          <t>2167761</t>
        </is>
      </c>
      <c r="AW3133" t="inlineStr">
        <is>
          <t>991004035139702656</t>
        </is>
      </c>
      <c r="AX3133" t="inlineStr">
        <is>
          <t>991004035139702656</t>
        </is>
      </c>
      <c r="AY3133" t="inlineStr">
        <is>
          <t>2270666460002656</t>
        </is>
      </c>
      <c r="AZ3133" t="inlineStr">
        <is>
          <t>BOOK</t>
        </is>
      </c>
      <c r="BC3133" t="inlineStr">
        <is>
          <t>32285001083335</t>
        </is>
      </c>
      <c r="BD3133" t="inlineStr">
        <is>
          <t>893417143</t>
        </is>
      </c>
    </row>
    <row r="3134">
      <c r="A3134" t="inlineStr">
        <is>
          <t>No</t>
        </is>
      </c>
      <c r="B3134" t="inlineStr">
        <is>
          <t>BX890 .T6 1871</t>
        </is>
      </c>
      <c r="C3134" t="inlineStr">
        <is>
          <t>0                      BX 0890000T  6           1871</t>
        </is>
      </c>
      <c r="D3134" t="inlineStr">
        <is>
          <t>Opera omnia / studio ac labore Stanislai Eduardi Fretté et Pauli Maré.</t>
        </is>
      </c>
      <c r="E3134" t="inlineStr">
        <is>
          <t>V. 30</t>
        </is>
      </c>
      <c r="F3134" t="inlineStr">
        <is>
          <t>Yes</t>
        </is>
      </c>
      <c r="G3134" t="inlineStr">
        <is>
          <t>1</t>
        </is>
      </c>
      <c r="H3134" t="inlineStr">
        <is>
          <t>No</t>
        </is>
      </c>
      <c r="I3134" t="inlineStr">
        <is>
          <t>No</t>
        </is>
      </c>
      <c r="J3134" t="inlineStr">
        <is>
          <t>0</t>
        </is>
      </c>
      <c r="K3134" t="inlineStr">
        <is>
          <t>Thomas, Aquinas, Saint, 1225?-1274.</t>
        </is>
      </c>
      <c r="L3134" t="inlineStr">
        <is>
          <t>Parisiis : Apud Ludovicum Vivès, 1871-1880.</t>
        </is>
      </c>
      <c r="M3134" t="inlineStr">
        <is>
          <t>1871</t>
        </is>
      </c>
      <c r="O3134" t="inlineStr">
        <is>
          <t>lat</t>
        </is>
      </c>
      <c r="P3134" t="inlineStr">
        <is>
          <t xml:space="preserve">fr </t>
        </is>
      </c>
      <c r="R3134" t="inlineStr">
        <is>
          <t xml:space="preserve">BX </t>
        </is>
      </c>
      <c r="S3134" t="n">
        <v>1</v>
      </c>
      <c r="T3134" t="n">
        <v>21</v>
      </c>
      <c r="U3134" t="inlineStr">
        <is>
          <t>1992-03-17</t>
        </is>
      </c>
      <c r="V3134" t="inlineStr">
        <is>
          <t>2008-11-11</t>
        </is>
      </c>
      <c r="W3134" t="inlineStr">
        <is>
          <t>1993-03-04</t>
        </is>
      </c>
      <c r="X3134" t="inlineStr">
        <is>
          <t>1993-03-04</t>
        </is>
      </c>
      <c r="Y3134" t="n">
        <v>33</v>
      </c>
      <c r="Z3134" t="n">
        <v>24</v>
      </c>
      <c r="AA3134" t="n">
        <v>42</v>
      </c>
      <c r="AB3134" t="n">
        <v>1</v>
      </c>
      <c r="AC3134" t="n">
        <v>1</v>
      </c>
      <c r="AD3134" t="n">
        <v>6</v>
      </c>
      <c r="AE3134" t="n">
        <v>6</v>
      </c>
      <c r="AF3134" t="n">
        <v>3</v>
      </c>
      <c r="AG3134" t="n">
        <v>3</v>
      </c>
      <c r="AH3134" t="n">
        <v>1</v>
      </c>
      <c r="AI3134" t="n">
        <v>1</v>
      </c>
      <c r="AJ3134" t="n">
        <v>4</v>
      </c>
      <c r="AK3134" t="n">
        <v>4</v>
      </c>
      <c r="AL3134" t="n">
        <v>0</v>
      </c>
      <c r="AM3134" t="n">
        <v>0</v>
      </c>
      <c r="AN3134" t="n">
        <v>0</v>
      </c>
      <c r="AO3134" t="n">
        <v>0</v>
      </c>
      <c r="AP3134" t="inlineStr">
        <is>
          <t>Yes</t>
        </is>
      </c>
      <c r="AQ3134" t="inlineStr">
        <is>
          <t>No</t>
        </is>
      </c>
      <c r="AR3134">
        <f>HYPERLINK("http://catalog.hathitrust.org/Record/008394308","HathiTrust Record")</f>
        <v/>
      </c>
      <c r="AS3134">
        <f>HYPERLINK("https://creighton-primo.hosted.exlibrisgroup.com/primo-explore/search?tab=default_tab&amp;search_scope=EVERYTHING&amp;vid=01CRU&amp;lang=en_US&amp;offset=0&amp;query=any,contains,991004035139702656","Catalog Record")</f>
        <v/>
      </c>
      <c r="AT3134">
        <f>HYPERLINK("http://www.worldcat.org/oclc/2167761","WorldCat Record")</f>
        <v/>
      </c>
      <c r="AU3134" t="inlineStr">
        <is>
          <t>2908660729:lat</t>
        </is>
      </c>
      <c r="AV3134" t="inlineStr">
        <is>
          <t>2167761</t>
        </is>
      </c>
      <c r="AW3134" t="inlineStr">
        <is>
          <t>991004035139702656</t>
        </is>
      </c>
      <c r="AX3134" t="inlineStr">
        <is>
          <t>991004035139702656</t>
        </is>
      </c>
      <c r="AY3134" t="inlineStr">
        <is>
          <t>2270666460002656</t>
        </is>
      </c>
      <c r="AZ3134" t="inlineStr">
        <is>
          <t>BOOK</t>
        </is>
      </c>
      <c r="BC3134" t="inlineStr">
        <is>
          <t>32285001565224</t>
        </is>
      </c>
      <c r="BD3134" t="inlineStr">
        <is>
          <t>893435804</t>
        </is>
      </c>
    </row>
    <row r="3135">
      <c r="A3135" t="inlineStr">
        <is>
          <t>No</t>
        </is>
      </c>
      <c r="B3135" t="inlineStr">
        <is>
          <t>BX890 .T6 1871</t>
        </is>
      </c>
      <c r="C3135" t="inlineStr">
        <is>
          <t>0                      BX 0890000T  6           1871</t>
        </is>
      </c>
      <c r="D3135" t="inlineStr">
        <is>
          <t>Opera omnia / studio ac labore Stanislai Eduardi Fretté et Pauli Maré.</t>
        </is>
      </c>
      <c r="E3135" t="inlineStr">
        <is>
          <t>V. 32</t>
        </is>
      </c>
      <c r="F3135" t="inlineStr">
        <is>
          <t>Yes</t>
        </is>
      </c>
      <c r="G3135" t="inlineStr">
        <is>
          <t>1</t>
        </is>
      </c>
      <c r="H3135" t="inlineStr">
        <is>
          <t>No</t>
        </is>
      </c>
      <c r="I3135" t="inlineStr">
        <is>
          <t>No</t>
        </is>
      </c>
      <c r="J3135" t="inlineStr">
        <is>
          <t>0</t>
        </is>
      </c>
      <c r="K3135" t="inlineStr">
        <is>
          <t>Thomas, Aquinas, Saint, 1225?-1274.</t>
        </is>
      </c>
      <c r="L3135" t="inlineStr">
        <is>
          <t>Parisiis : Apud Ludovicum Vivès, 1871-1880.</t>
        </is>
      </c>
      <c r="M3135" t="inlineStr">
        <is>
          <t>1871</t>
        </is>
      </c>
      <c r="O3135" t="inlineStr">
        <is>
          <t>lat</t>
        </is>
      </c>
      <c r="P3135" t="inlineStr">
        <is>
          <t xml:space="preserve">fr </t>
        </is>
      </c>
      <c r="R3135" t="inlineStr">
        <is>
          <t xml:space="preserve">BX </t>
        </is>
      </c>
      <c r="S3135" t="n">
        <v>1</v>
      </c>
      <c r="T3135" t="n">
        <v>21</v>
      </c>
      <c r="U3135" t="inlineStr">
        <is>
          <t>1992-03-17</t>
        </is>
      </c>
      <c r="V3135" t="inlineStr">
        <is>
          <t>2008-11-11</t>
        </is>
      </c>
      <c r="W3135" t="inlineStr">
        <is>
          <t>1993-03-04</t>
        </is>
      </c>
      <c r="X3135" t="inlineStr">
        <is>
          <t>1993-03-04</t>
        </is>
      </c>
      <c r="Y3135" t="n">
        <v>33</v>
      </c>
      <c r="Z3135" t="n">
        <v>24</v>
      </c>
      <c r="AA3135" t="n">
        <v>42</v>
      </c>
      <c r="AB3135" t="n">
        <v>1</v>
      </c>
      <c r="AC3135" t="n">
        <v>1</v>
      </c>
      <c r="AD3135" t="n">
        <v>6</v>
      </c>
      <c r="AE3135" t="n">
        <v>6</v>
      </c>
      <c r="AF3135" t="n">
        <v>3</v>
      </c>
      <c r="AG3135" t="n">
        <v>3</v>
      </c>
      <c r="AH3135" t="n">
        <v>1</v>
      </c>
      <c r="AI3135" t="n">
        <v>1</v>
      </c>
      <c r="AJ3135" t="n">
        <v>4</v>
      </c>
      <c r="AK3135" t="n">
        <v>4</v>
      </c>
      <c r="AL3135" t="n">
        <v>0</v>
      </c>
      <c r="AM3135" t="n">
        <v>0</v>
      </c>
      <c r="AN3135" t="n">
        <v>0</v>
      </c>
      <c r="AO3135" t="n">
        <v>0</v>
      </c>
      <c r="AP3135" t="inlineStr">
        <is>
          <t>Yes</t>
        </is>
      </c>
      <c r="AQ3135" t="inlineStr">
        <is>
          <t>No</t>
        </is>
      </c>
      <c r="AR3135">
        <f>HYPERLINK("http://catalog.hathitrust.org/Record/008394308","HathiTrust Record")</f>
        <v/>
      </c>
      <c r="AS3135">
        <f>HYPERLINK("https://creighton-primo.hosted.exlibrisgroup.com/primo-explore/search?tab=default_tab&amp;search_scope=EVERYTHING&amp;vid=01CRU&amp;lang=en_US&amp;offset=0&amp;query=any,contains,991004035139702656","Catalog Record")</f>
        <v/>
      </c>
      <c r="AT3135">
        <f>HYPERLINK("http://www.worldcat.org/oclc/2167761","WorldCat Record")</f>
        <v/>
      </c>
      <c r="AU3135" t="inlineStr">
        <is>
          <t>2908660729:lat</t>
        </is>
      </c>
      <c r="AV3135" t="inlineStr">
        <is>
          <t>2167761</t>
        </is>
      </c>
      <c r="AW3135" t="inlineStr">
        <is>
          <t>991004035139702656</t>
        </is>
      </c>
      <c r="AX3135" t="inlineStr">
        <is>
          <t>991004035139702656</t>
        </is>
      </c>
      <c r="AY3135" t="inlineStr">
        <is>
          <t>2270666460002656</t>
        </is>
      </c>
      <c r="AZ3135" t="inlineStr">
        <is>
          <t>BOOK</t>
        </is>
      </c>
      <c r="BC3135" t="inlineStr">
        <is>
          <t>32285001565232</t>
        </is>
      </c>
      <c r="BD3135" t="inlineStr">
        <is>
          <t>893423297</t>
        </is>
      </c>
    </row>
    <row r="3136">
      <c r="A3136" t="inlineStr">
        <is>
          <t>No</t>
        </is>
      </c>
      <c r="B3136" t="inlineStr">
        <is>
          <t>BX890 .T6 1871</t>
        </is>
      </c>
      <c r="C3136" t="inlineStr">
        <is>
          <t>0                      BX 0890000T  6           1871</t>
        </is>
      </c>
      <c r="D3136" t="inlineStr">
        <is>
          <t>Opera omnia / studio ac labore Stanislai Eduardi Fretté et Pauli Maré.</t>
        </is>
      </c>
      <c r="E3136" t="inlineStr">
        <is>
          <t>V. 10</t>
        </is>
      </c>
      <c r="F3136" t="inlineStr">
        <is>
          <t>Yes</t>
        </is>
      </c>
      <c r="G3136" t="inlineStr">
        <is>
          <t>1</t>
        </is>
      </c>
      <c r="H3136" t="inlineStr">
        <is>
          <t>No</t>
        </is>
      </c>
      <c r="I3136" t="inlineStr">
        <is>
          <t>No</t>
        </is>
      </c>
      <c r="J3136" t="inlineStr">
        <is>
          <t>0</t>
        </is>
      </c>
      <c r="K3136" t="inlineStr">
        <is>
          <t>Thomas, Aquinas, Saint, 1225?-1274.</t>
        </is>
      </c>
      <c r="L3136" t="inlineStr">
        <is>
          <t>Parisiis : Apud Ludovicum Vivès, 1871-1880.</t>
        </is>
      </c>
      <c r="M3136" t="inlineStr">
        <is>
          <t>1871</t>
        </is>
      </c>
      <c r="O3136" t="inlineStr">
        <is>
          <t>lat</t>
        </is>
      </c>
      <c r="P3136" t="inlineStr">
        <is>
          <t xml:space="preserve">fr </t>
        </is>
      </c>
      <c r="R3136" t="inlineStr">
        <is>
          <t xml:space="preserve">BX </t>
        </is>
      </c>
      <c r="S3136" t="n">
        <v>0</v>
      </c>
      <c r="T3136" t="n">
        <v>21</v>
      </c>
      <c r="V3136" t="inlineStr">
        <is>
          <t>2008-11-11</t>
        </is>
      </c>
      <c r="W3136" t="inlineStr">
        <is>
          <t>1992-05-15</t>
        </is>
      </c>
      <c r="X3136" t="inlineStr">
        <is>
          <t>1993-03-04</t>
        </is>
      </c>
      <c r="Y3136" t="n">
        <v>33</v>
      </c>
      <c r="Z3136" t="n">
        <v>24</v>
      </c>
      <c r="AA3136" t="n">
        <v>42</v>
      </c>
      <c r="AB3136" t="n">
        <v>1</v>
      </c>
      <c r="AC3136" t="n">
        <v>1</v>
      </c>
      <c r="AD3136" t="n">
        <v>6</v>
      </c>
      <c r="AE3136" t="n">
        <v>6</v>
      </c>
      <c r="AF3136" t="n">
        <v>3</v>
      </c>
      <c r="AG3136" t="n">
        <v>3</v>
      </c>
      <c r="AH3136" t="n">
        <v>1</v>
      </c>
      <c r="AI3136" t="n">
        <v>1</v>
      </c>
      <c r="AJ3136" t="n">
        <v>4</v>
      </c>
      <c r="AK3136" t="n">
        <v>4</v>
      </c>
      <c r="AL3136" t="n">
        <v>0</v>
      </c>
      <c r="AM3136" t="n">
        <v>0</v>
      </c>
      <c r="AN3136" t="n">
        <v>0</v>
      </c>
      <c r="AO3136" t="n">
        <v>0</v>
      </c>
      <c r="AP3136" t="inlineStr">
        <is>
          <t>Yes</t>
        </is>
      </c>
      <c r="AQ3136" t="inlineStr">
        <is>
          <t>No</t>
        </is>
      </c>
      <c r="AR3136">
        <f>HYPERLINK("http://catalog.hathitrust.org/Record/008394308","HathiTrust Record")</f>
        <v/>
      </c>
      <c r="AS3136">
        <f>HYPERLINK("https://creighton-primo.hosted.exlibrisgroup.com/primo-explore/search?tab=default_tab&amp;search_scope=EVERYTHING&amp;vid=01CRU&amp;lang=en_US&amp;offset=0&amp;query=any,contains,991004035139702656","Catalog Record")</f>
        <v/>
      </c>
      <c r="AT3136">
        <f>HYPERLINK("http://www.worldcat.org/oclc/2167761","WorldCat Record")</f>
        <v/>
      </c>
      <c r="AU3136" t="inlineStr">
        <is>
          <t>2908660729:lat</t>
        </is>
      </c>
      <c r="AV3136" t="inlineStr">
        <is>
          <t>2167761</t>
        </is>
      </c>
      <c r="AW3136" t="inlineStr">
        <is>
          <t>991004035139702656</t>
        </is>
      </c>
      <c r="AX3136" t="inlineStr">
        <is>
          <t>991004035139702656</t>
        </is>
      </c>
      <c r="AY3136" t="inlineStr">
        <is>
          <t>2270666460002656</t>
        </is>
      </c>
      <c r="AZ3136" t="inlineStr">
        <is>
          <t>BOOK</t>
        </is>
      </c>
      <c r="BC3136" t="inlineStr">
        <is>
          <t>32285001083251</t>
        </is>
      </c>
      <c r="BD3136" t="inlineStr">
        <is>
          <t>893435802</t>
        </is>
      </c>
    </row>
    <row r="3137">
      <c r="A3137" t="inlineStr">
        <is>
          <t>No</t>
        </is>
      </c>
      <c r="B3137" t="inlineStr">
        <is>
          <t>BX890 .T6 1871</t>
        </is>
      </c>
      <c r="C3137" t="inlineStr">
        <is>
          <t>0                      BX 0890000T  6           1871</t>
        </is>
      </c>
      <c r="D3137" t="inlineStr">
        <is>
          <t>Opera omnia / studio ac labore Stanislai Eduardi Fretté et Pauli Maré.</t>
        </is>
      </c>
      <c r="E3137" t="inlineStr">
        <is>
          <t>V. 28</t>
        </is>
      </c>
      <c r="F3137" t="inlineStr">
        <is>
          <t>Yes</t>
        </is>
      </c>
      <c r="G3137" t="inlineStr">
        <is>
          <t>1</t>
        </is>
      </c>
      <c r="H3137" t="inlineStr">
        <is>
          <t>No</t>
        </is>
      </c>
      <c r="I3137" t="inlineStr">
        <is>
          <t>No</t>
        </is>
      </c>
      <c r="J3137" t="inlineStr">
        <is>
          <t>0</t>
        </is>
      </c>
      <c r="K3137" t="inlineStr">
        <is>
          <t>Thomas, Aquinas, Saint, 1225?-1274.</t>
        </is>
      </c>
      <c r="L3137" t="inlineStr">
        <is>
          <t>Parisiis : Apud Ludovicum Vivès, 1871-1880.</t>
        </is>
      </c>
      <c r="M3137" t="inlineStr">
        <is>
          <t>1871</t>
        </is>
      </c>
      <c r="O3137" t="inlineStr">
        <is>
          <t>lat</t>
        </is>
      </c>
      <c r="P3137" t="inlineStr">
        <is>
          <t xml:space="preserve">fr </t>
        </is>
      </c>
      <c r="R3137" t="inlineStr">
        <is>
          <t xml:space="preserve">BX </t>
        </is>
      </c>
      <c r="S3137" t="n">
        <v>0</v>
      </c>
      <c r="T3137" t="n">
        <v>21</v>
      </c>
      <c r="V3137" t="inlineStr">
        <is>
          <t>2008-11-11</t>
        </is>
      </c>
      <c r="W3137" t="inlineStr">
        <is>
          <t>1992-05-15</t>
        </is>
      </c>
      <c r="X3137" t="inlineStr">
        <is>
          <t>1993-03-04</t>
        </is>
      </c>
      <c r="Y3137" t="n">
        <v>33</v>
      </c>
      <c r="Z3137" t="n">
        <v>24</v>
      </c>
      <c r="AA3137" t="n">
        <v>42</v>
      </c>
      <c r="AB3137" t="n">
        <v>1</v>
      </c>
      <c r="AC3137" t="n">
        <v>1</v>
      </c>
      <c r="AD3137" t="n">
        <v>6</v>
      </c>
      <c r="AE3137" t="n">
        <v>6</v>
      </c>
      <c r="AF3137" t="n">
        <v>3</v>
      </c>
      <c r="AG3137" t="n">
        <v>3</v>
      </c>
      <c r="AH3137" t="n">
        <v>1</v>
      </c>
      <c r="AI3137" t="n">
        <v>1</v>
      </c>
      <c r="AJ3137" t="n">
        <v>4</v>
      </c>
      <c r="AK3137" t="n">
        <v>4</v>
      </c>
      <c r="AL3137" t="n">
        <v>0</v>
      </c>
      <c r="AM3137" t="n">
        <v>0</v>
      </c>
      <c r="AN3137" t="n">
        <v>0</v>
      </c>
      <c r="AO3137" t="n">
        <v>0</v>
      </c>
      <c r="AP3137" t="inlineStr">
        <is>
          <t>Yes</t>
        </is>
      </c>
      <c r="AQ3137" t="inlineStr">
        <is>
          <t>No</t>
        </is>
      </c>
      <c r="AR3137">
        <f>HYPERLINK("http://catalog.hathitrust.org/Record/008394308","HathiTrust Record")</f>
        <v/>
      </c>
      <c r="AS3137">
        <f>HYPERLINK("https://creighton-primo.hosted.exlibrisgroup.com/primo-explore/search?tab=default_tab&amp;search_scope=EVERYTHING&amp;vid=01CRU&amp;lang=en_US&amp;offset=0&amp;query=any,contains,991004035139702656","Catalog Record")</f>
        <v/>
      </c>
      <c r="AT3137">
        <f>HYPERLINK("http://www.worldcat.org/oclc/2167761","WorldCat Record")</f>
        <v/>
      </c>
      <c r="AU3137" t="inlineStr">
        <is>
          <t>2908660729:lat</t>
        </is>
      </c>
      <c r="AV3137" t="inlineStr">
        <is>
          <t>2167761</t>
        </is>
      </c>
      <c r="AW3137" t="inlineStr">
        <is>
          <t>991004035139702656</t>
        </is>
      </c>
      <c r="AX3137" t="inlineStr">
        <is>
          <t>991004035139702656</t>
        </is>
      </c>
      <c r="AY3137" t="inlineStr">
        <is>
          <t>2270666460002656</t>
        </is>
      </c>
      <c r="AZ3137" t="inlineStr">
        <is>
          <t>BOOK</t>
        </is>
      </c>
      <c r="BC3137" t="inlineStr">
        <is>
          <t>32285001083418</t>
        </is>
      </c>
      <c r="BD3137" t="inlineStr">
        <is>
          <t>893423298</t>
        </is>
      </c>
    </row>
    <row r="3138">
      <c r="A3138" t="inlineStr">
        <is>
          <t>No</t>
        </is>
      </c>
      <c r="B3138" t="inlineStr">
        <is>
          <t>BX890 .T6 1871</t>
        </is>
      </c>
      <c r="C3138" t="inlineStr">
        <is>
          <t>0                      BX 0890000T  6           1871</t>
        </is>
      </c>
      <c r="D3138" t="inlineStr">
        <is>
          <t>Opera omnia / studio ac labore Stanislai Eduardi Fretté et Pauli Maré.</t>
        </is>
      </c>
      <c r="E3138" t="inlineStr">
        <is>
          <t>V. 11</t>
        </is>
      </c>
      <c r="F3138" t="inlineStr">
        <is>
          <t>Yes</t>
        </is>
      </c>
      <c r="G3138" t="inlineStr">
        <is>
          <t>1</t>
        </is>
      </c>
      <c r="H3138" t="inlineStr">
        <is>
          <t>No</t>
        </is>
      </c>
      <c r="I3138" t="inlineStr">
        <is>
          <t>No</t>
        </is>
      </c>
      <c r="J3138" t="inlineStr">
        <is>
          <t>0</t>
        </is>
      </c>
      <c r="K3138" t="inlineStr">
        <is>
          <t>Thomas, Aquinas, Saint, 1225?-1274.</t>
        </is>
      </c>
      <c r="L3138" t="inlineStr">
        <is>
          <t>Parisiis : Apud Ludovicum Vivès, 1871-1880.</t>
        </is>
      </c>
      <c r="M3138" t="inlineStr">
        <is>
          <t>1871</t>
        </is>
      </c>
      <c r="O3138" t="inlineStr">
        <is>
          <t>lat</t>
        </is>
      </c>
      <c r="P3138" t="inlineStr">
        <is>
          <t xml:space="preserve">fr </t>
        </is>
      </c>
      <c r="R3138" t="inlineStr">
        <is>
          <t xml:space="preserve">BX </t>
        </is>
      </c>
      <c r="S3138" t="n">
        <v>1</v>
      </c>
      <c r="T3138" t="n">
        <v>21</v>
      </c>
      <c r="U3138" t="inlineStr">
        <is>
          <t>2007-06-20</t>
        </is>
      </c>
      <c r="V3138" t="inlineStr">
        <is>
          <t>2008-11-11</t>
        </is>
      </c>
      <c r="W3138" t="inlineStr">
        <is>
          <t>1992-05-15</t>
        </is>
      </c>
      <c r="X3138" t="inlineStr">
        <is>
          <t>1993-03-04</t>
        </is>
      </c>
      <c r="Y3138" t="n">
        <v>33</v>
      </c>
      <c r="Z3138" t="n">
        <v>24</v>
      </c>
      <c r="AA3138" t="n">
        <v>42</v>
      </c>
      <c r="AB3138" t="n">
        <v>1</v>
      </c>
      <c r="AC3138" t="n">
        <v>1</v>
      </c>
      <c r="AD3138" t="n">
        <v>6</v>
      </c>
      <c r="AE3138" t="n">
        <v>6</v>
      </c>
      <c r="AF3138" t="n">
        <v>3</v>
      </c>
      <c r="AG3138" t="n">
        <v>3</v>
      </c>
      <c r="AH3138" t="n">
        <v>1</v>
      </c>
      <c r="AI3138" t="n">
        <v>1</v>
      </c>
      <c r="AJ3138" t="n">
        <v>4</v>
      </c>
      <c r="AK3138" t="n">
        <v>4</v>
      </c>
      <c r="AL3138" t="n">
        <v>0</v>
      </c>
      <c r="AM3138" t="n">
        <v>0</v>
      </c>
      <c r="AN3138" t="n">
        <v>0</v>
      </c>
      <c r="AO3138" t="n">
        <v>0</v>
      </c>
      <c r="AP3138" t="inlineStr">
        <is>
          <t>Yes</t>
        </is>
      </c>
      <c r="AQ3138" t="inlineStr">
        <is>
          <t>No</t>
        </is>
      </c>
      <c r="AR3138">
        <f>HYPERLINK("http://catalog.hathitrust.org/Record/008394308","HathiTrust Record")</f>
        <v/>
      </c>
      <c r="AS3138">
        <f>HYPERLINK("https://creighton-primo.hosted.exlibrisgroup.com/primo-explore/search?tab=default_tab&amp;search_scope=EVERYTHING&amp;vid=01CRU&amp;lang=en_US&amp;offset=0&amp;query=any,contains,991004035139702656","Catalog Record")</f>
        <v/>
      </c>
      <c r="AT3138">
        <f>HYPERLINK("http://www.worldcat.org/oclc/2167761","WorldCat Record")</f>
        <v/>
      </c>
      <c r="AU3138" t="inlineStr">
        <is>
          <t>2908660729:lat</t>
        </is>
      </c>
      <c r="AV3138" t="inlineStr">
        <is>
          <t>2167761</t>
        </is>
      </c>
      <c r="AW3138" t="inlineStr">
        <is>
          <t>991004035139702656</t>
        </is>
      </c>
      <c r="AX3138" t="inlineStr">
        <is>
          <t>991004035139702656</t>
        </is>
      </c>
      <c r="AY3138" t="inlineStr">
        <is>
          <t>2270666460002656</t>
        </is>
      </c>
      <c r="AZ3138" t="inlineStr">
        <is>
          <t>BOOK</t>
        </is>
      </c>
      <c r="BC3138" t="inlineStr">
        <is>
          <t>32285001083269</t>
        </is>
      </c>
      <c r="BD3138" t="inlineStr">
        <is>
          <t>893435819</t>
        </is>
      </c>
    </row>
    <row r="3139">
      <c r="A3139" t="inlineStr">
        <is>
          <t>No</t>
        </is>
      </c>
      <c r="B3139" t="inlineStr">
        <is>
          <t>BX890 .T6 1871</t>
        </is>
      </c>
      <c r="C3139" t="inlineStr">
        <is>
          <t>0                      BX 0890000T  6           1871</t>
        </is>
      </c>
      <c r="D3139" t="inlineStr">
        <is>
          <t>Opera omnia / studio ac labore Stanislai Eduardi Fretté et Pauli Maré.</t>
        </is>
      </c>
      <c r="E3139" t="inlineStr">
        <is>
          <t>V. 24</t>
        </is>
      </c>
      <c r="F3139" t="inlineStr">
        <is>
          <t>Yes</t>
        </is>
      </c>
      <c r="G3139" t="inlineStr">
        <is>
          <t>1</t>
        </is>
      </c>
      <c r="H3139" t="inlineStr">
        <is>
          <t>No</t>
        </is>
      </c>
      <c r="I3139" t="inlineStr">
        <is>
          <t>No</t>
        </is>
      </c>
      <c r="J3139" t="inlineStr">
        <is>
          <t>0</t>
        </is>
      </c>
      <c r="K3139" t="inlineStr">
        <is>
          <t>Thomas, Aquinas, Saint, 1225?-1274.</t>
        </is>
      </c>
      <c r="L3139" t="inlineStr">
        <is>
          <t>Parisiis : Apud Ludovicum Vivès, 1871-1880.</t>
        </is>
      </c>
      <c r="M3139" t="inlineStr">
        <is>
          <t>1871</t>
        </is>
      </c>
      <c r="O3139" t="inlineStr">
        <is>
          <t>lat</t>
        </is>
      </c>
      <c r="P3139" t="inlineStr">
        <is>
          <t xml:space="preserve">fr </t>
        </is>
      </c>
      <c r="R3139" t="inlineStr">
        <is>
          <t xml:space="preserve">BX </t>
        </is>
      </c>
      <c r="S3139" t="n">
        <v>0</v>
      </c>
      <c r="T3139" t="n">
        <v>21</v>
      </c>
      <c r="V3139" t="inlineStr">
        <is>
          <t>2008-11-11</t>
        </is>
      </c>
      <c r="W3139" t="inlineStr">
        <is>
          <t>1992-05-15</t>
        </is>
      </c>
      <c r="X3139" t="inlineStr">
        <is>
          <t>1993-03-04</t>
        </is>
      </c>
      <c r="Y3139" t="n">
        <v>33</v>
      </c>
      <c r="Z3139" t="n">
        <v>24</v>
      </c>
      <c r="AA3139" t="n">
        <v>42</v>
      </c>
      <c r="AB3139" t="n">
        <v>1</v>
      </c>
      <c r="AC3139" t="n">
        <v>1</v>
      </c>
      <c r="AD3139" t="n">
        <v>6</v>
      </c>
      <c r="AE3139" t="n">
        <v>6</v>
      </c>
      <c r="AF3139" t="n">
        <v>3</v>
      </c>
      <c r="AG3139" t="n">
        <v>3</v>
      </c>
      <c r="AH3139" t="n">
        <v>1</v>
      </c>
      <c r="AI3139" t="n">
        <v>1</v>
      </c>
      <c r="AJ3139" t="n">
        <v>4</v>
      </c>
      <c r="AK3139" t="n">
        <v>4</v>
      </c>
      <c r="AL3139" t="n">
        <v>0</v>
      </c>
      <c r="AM3139" t="n">
        <v>0</v>
      </c>
      <c r="AN3139" t="n">
        <v>0</v>
      </c>
      <c r="AO3139" t="n">
        <v>0</v>
      </c>
      <c r="AP3139" t="inlineStr">
        <is>
          <t>Yes</t>
        </is>
      </c>
      <c r="AQ3139" t="inlineStr">
        <is>
          <t>No</t>
        </is>
      </c>
      <c r="AR3139">
        <f>HYPERLINK("http://catalog.hathitrust.org/Record/008394308","HathiTrust Record")</f>
        <v/>
      </c>
      <c r="AS3139">
        <f>HYPERLINK("https://creighton-primo.hosted.exlibrisgroup.com/primo-explore/search?tab=default_tab&amp;search_scope=EVERYTHING&amp;vid=01CRU&amp;lang=en_US&amp;offset=0&amp;query=any,contains,991004035139702656","Catalog Record")</f>
        <v/>
      </c>
      <c r="AT3139">
        <f>HYPERLINK("http://www.worldcat.org/oclc/2167761","WorldCat Record")</f>
        <v/>
      </c>
      <c r="AU3139" t="inlineStr">
        <is>
          <t>2908660729:lat</t>
        </is>
      </c>
      <c r="AV3139" t="inlineStr">
        <is>
          <t>2167761</t>
        </is>
      </c>
      <c r="AW3139" t="inlineStr">
        <is>
          <t>991004035139702656</t>
        </is>
      </c>
      <c r="AX3139" t="inlineStr">
        <is>
          <t>991004035139702656</t>
        </is>
      </c>
      <c r="AY3139" t="inlineStr">
        <is>
          <t>2270666460002656</t>
        </is>
      </c>
      <c r="AZ3139" t="inlineStr">
        <is>
          <t>BOOK</t>
        </is>
      </c>
      <c r="BC3139" t="inlineStr">
        <is>
          <t>32285001083376</t>
        </is>
      </c>
      <c r="BD3139" t="inlineStr">
        <is>
          <t>893423299</t>
        </is>
      </c>
    </row>
    <row r="3140">
      <c r="A3140" t="inlineStr">
        <is>
          <t>No</t>
        </is>
      </c>
      <c r="B3140" t="inlineStr">
        <is>
          <t>BX890 .T6 1871</t>
        </is>
      </c>
      <c r="C3140" t="inlineStr">
        <is>
          <t>0                      BX 0890000T  6           1871</t>
        </is>
      </c>
      <c r="D3140" t="inlineStr">
        <is>
          <t>Opera omnia / studio ac labore Stanislai Eduardi Fretté et Pauli Maré.</t>
        </is>
      </c>
      <c r="E3140" t="inlineStr">
        <is>
          <t>V. 9</t>
        </is>
      </c>
      <c r="F3140" t="inlineStr">
        <is>
          <t>Yes</t>
        </is>
      </c>
      <c r="G3140" t="inlineStr">
        <is>
          <t>1</t>
        </is>
      </c>
      <c r="H3140" t="inlineStr">
        <is>
          <t>No</t>
        </is>
      </c>
      <c r="I3140" t="inlineStr">
        <is>
          <t>No</t>
        </is>
      </c>
      <c r="J3140" t="inlineStr">
        <is>
          <t>0</t>
        </is>
      </c>
      <c r="K3140" t="inlineStr">
        <is>
          <t>Thomas, Aquinas, Saint, 1225?-1274.</t>
        </is>
      </c>
      <c r="L3140" t="inlineStr">
        <is>
          <t>Parisiis : Apud Ludovicum Vivès, 1871-1880.</t>
        </is>
      </c>
      <c r="M3140" t="inlineStr">
        <is>
          <t>1871</t>
        </is>
      </c>
      <c r="O3140" t="inlineStr">
        <is>
          <t>lat</t>
        </is>
      </c>
      <c r="P3140" t="inlineStr">
        <is>
          <t xml:space="preserve">fr </t>
        </is>
      </c>
      <c r="R3140" t="inlineStr">
        <is>
          <t xml:space="preserve">BX </t>
        </is>
      </c>
      <c r="S3140" t="n">
        <v>0</v>
      </c>
      <c r="T3140" t="n">
        <v>21</v>
      </c>
      <c r="V3140" t="inlineStr">
        <is>
          <t>2008-11-11</t>
        </is>
      </c>
      <c r="W3140" t="inlineStr">
        <is>
          <t>1992-05-15</t>
        </is>
      </c>
      <c r="X3140" t="inlineStr">
        <is>
          <t>1993-03-04</t>
        </is>
      </c>
      <c r="Y3140" t="n">
        <v>33</v>
      </c>
      <c r="Z3140" t="n">
        <v>24</v>
      </c>
      <c r="AA3140" t="n">
        <v>42</v>
      </c>
      <c r="AB3140" t="n">
        <v>1</v>
      </c>
      <c r="AC3140" t="n">
        <v>1</v>
      </c>
      <c r="AD3140" t="n">
        <v>6</v>
      </c>
      <c r="AE3140" t="n">
        <v>6</v>
      </c>
      <c r="AF3140" t="n">
        <v>3</v>
      </c>
      <c r="AG3140" t="n">
        <v>3</v>
      </c>
      <c r="AH3140" t="n">
        <v>1</v>
      </c>
      <c r="AI3140" t="n">
        <v>1</v>
      </c>
      <c r="AJ3140" t="n">
        <v>4</v>
      </c>
      <c r="AK3140" t="n">
        <v>4</v>
      </c>
      <c r="AL3140" t="n">
        <v>0</v>
      </c>
      <c r="AM3140" t="n">
        <v>0</v>
      </c>
      <c r="AN3140" t="n">
        <v>0</v>
      </c>
      <c r="AO3140" t="n">
        <v>0</v>
      </c>
      <c r="AP3140" t="inlineStr">
        <is>
          <t>Yes</t>
        </is>
      </c>
      <c r="AQ3140" t="inlineStr">
        <is>
          <t>No</t>
        </is>
      </c>
      <c r="AR3140">
        <f>HYPERLINK("http://catalog.hathitrust.org/Record/008394308","HathiTrust Record")</f>
        <v/>
      </c>
      <c r="AS3140">
        <f>HYPERLINK("https://creighton-primo.hosted.exlibrisgroup.com/primo-explore/search?tab=default_tab&amp;search_scope=EVERYTHING&amp;vid=01CRU&amp;lang=en_US&amp;offset=0&amp;query=any,contains,991004035139702656","Catalog Record")</f>
        <v/>
      </c>
      <c r="AT3140">
        <f>HYPERLINK("http://www.worldcat.org/oclc/2167761","WorldCat Record")</f>
        <v/>
      </c>
      <c r="AU3140" t="inlineStr">
        <is>
          <t>2908660729:lat</t>
        </is>
      </c>
      <c r="AV3140" t="inlineStr">
        <is>
          <t>2167761</t>
        </is>
      </c>
      <c r="AW3140" t="inlineStr">
        <is>
          <t>991004035139702656</t>
        </is>
      </c>
      <c r="AX3140" t="inlineStr">
        <is>
          <t>991004035139702656</t>
        </is>
      </c>
      <c r="AY3140" t="inlineStr">
        <is>
          <t>2270666460002656</t>
        </is>
      </c>
      <c r="AZ3140" t="inlineStr">
        <is>
          <t>BOOK</t>
        </is>
      </c>
      <c r="BC3140" t="inlineStr">
        <is>
          <t>32285001083244</t>
        </is>
      </c>
      <c r="BD3140" t="inlineStr">
        <is>
          <t>893417142</t>
        </is>
      </c>
    </row>
    <row r="3141">
      <c r="A3141" t="inlineStr">
        <is>
          <t>No</t>
        </is>
      </c>
      <c r="B3141" t="inlineStr">
        <is>
          <t>BX890 .T93</t>
        </is>
      </c>
      <c r="C3141" t="inlineStr">
        <is>
          <t>0                      BX 0890000T  93</t>
        </is>
      </c>
      <c r="D3141" t="inlineStr">
        <is>
          <t>The faith of the millions : a selection of past essays / by George Tyrrell, S. J.</t>
        </is>
      </c>
      <c r="E3141" t="inlineStr">
        <is>
          <t>V.2</t>
        </is>
      </c>
      <c r="F3141" t="inlineStr">
        <is>
          <t>Yes</t>
        </is>
      </c>
      <c r="G3141" t="inlineStr">
        <is>
          <t>1</t>
        </is>
      </c>
      <c r="H3141" t="inlineStr">
        <is>
          <t>No</t>
        </is>
      </c>
      <c r="I3141" t="inlineStr">
        <is>
          <t>No</t>
        </is>
      </c>
      <c r="J3141" t="inlineStr">
        <is>
          <t>0</t>
        </is>
      </c>
      <c r="K3141" t="inlineStr">
        <is>
          <t>Tyrrell, George, 1861-1909.</t>
        </is>
      </c>
      <c r="L3141" t="inlineStr">
        <is>
          <t>London, New York [etc.] Longmans, Green, and co., 1902.</t>
        </is>
      </c>
      <c r="M3141" t="inlineStr">
        <is>
          <t>1902</t>
        </is>
      </c>
      <c r="N3141" t="inlineStr">
        <is>
          <t>First [and second] series, 2d ed.</t>
        </is>
      </c>
      <c r="O3141" t="inlineStr">
        <is>
          <t>eng</t>
        </is>
      </c>
      <c r="P3141" t="inlineStr">
        <is>
          <t>___</t>
        </is>
      </c>
      <c r="R3141" t="inlineStr">
        <is>
          <t xml:space="preserve">BX </t>
        </is>
      </c>
      <c r="S3141" t="n">
        <v>2</v>
      </c>
      <c r="T3141" t="n">
        <v>5</v>
      </c>
      <c r="U3141" t="inlineStr">
        <is>
          <t>1999-08-01</t>
        </is>
      </c>
      <c r="V3141" t="inlineStr">
        <is>
          <t>1999-08-01</t>
        </is>
      </c>
      <c r="W3141" t="inlineStr">
        <is>
          <t>1992-05-15</t>
        </is>
      </c>
      <c r="X3141" t="inlineStr">
        <is>
          <t>1992-05-15</t>
        </is>
      </c>
      <c r="Y3141" t="n">
        <v>69</v>
      </c>
      <c r="Z3141" t="n">
        <v>61</v>
      </c>
      <c r="AA3141" t="n">
        <v>415</v>
      </c>
      <c r="AB3141" t="n">
        <v>1</v>
      </c>
      <c r="AC3141" t="n">
        <v>4</v>
      </c>
      <c r="AD3141" t="n">
        <v>13</v>
      </c>
      <c r="AE3141" t="n">
        <v>33</v>
      </c>
      <c r="AF3141" t="n">
        <v>1</v>
      </c>
      <c r="AG3141" t="n">
        <v>13</v>
      </c>
      <c r="AH3141" t="n">
        <v>3</v>
      </c>
      <c r="AI3141" t="n">
        <v>7</v>
      </c>
      <c r="AJ3141" t="n">
        <v>11</v>
      </c>
      <c r="AK3141" t="n">
        <v>18</v>
      </c>
      <c r="AL3141" t="n">
        <v>0</v>
      </c>
      <c r="AM3141" t="n">
        <v>3</v>
      </c>
      <c r="AN3141" t="n">
        <v>0</v>
      </c>
      <c r="AO3141" t="n">
        <v>0</v>
      </c>
      <c r="AP3141" t="inlineStr">
        <is>
          <t>Yes</t>
        </is>
      </c>
      <c r="AQ3141" t="inlineStr">
        <is>
          <t>No</t>
        </is>
      </c>
      <c r="AR3141">
        <f>HYPERLINK("http://catalog.hathitrust.org/Record/005786231","HathiTrust Record")</f>
        <v/>
      </c>
      <c r="AS3141">
        <f>HYPERLINK("https://creighton-primo.hosted.exlibrisgroup.com/primo-explore/search?tab=default_tab&amp;search_scope=EVERYTHING&amp;vid=01CRU&amp;lang=en_US&amp;offset=0&amp;query=any,contains,991002691619702656","Catalog Record")</f>
        <v/>
      </c>
      <c r="AT3141">
        <f>HYPERLINK("http://www.worldcat.org/oclc/401781","WorldCat Record")</f>
        <v/>
      </c>
      <c r="AU3141" t="inlineStr">
        <is>
          <t>3768493980:eng</t>
        </is>
      </c>
      <c r="AV3141" t="inlineStr">
        <is>
          <t>401781</t>
        </is>
      </c>
      <c r="AW3141" t="inlineStr">
        <is>
          <t>991002691619702656</t>
        </is>
      </c>
      <c r="AX3141" t="inlineStr">
        <is>
          <t>991002691619702656</t>
        </is>
      </c>
      <c r="AY3141" t="inlineStr">
        <is>
          <t>2268299510002656</t>
        </is>
      </c>
      <c r="AZ3141" t="inlineStr">
        <is>
          <t>BOOK</t>
        </is>
      </c>
      <c r="BC3141" t="inlineStr">
        <is>
          <t>32285001083632</t>
        </is>
      </c>
      <c r="BD3141" t="inlineStr">
        <is>
          <t>893233289</t>
        </is>
      </c>
    </row>
    <row r="3142">
      <c r="A3142" t="inlineStr">
        <is>
          <t>No</t>
        </is>
      </c>
      <c r="B3142" t="inlineStr">
        <is>
          <t>BX890 .T93</t>
        </is>
      </c>
      <c r="C3142" t="inlineStr">
        <is>
          <t>0                      BX 0890000T  93</t>
        </is>
      </c>
      <c r="D3142" t="inlineStr">
        <is>
          <t>The faith of the millions : a selection of past essays / by George Tyrrell, S. J.</t>
        </is>
      </c>
      <c r="E3142" t="inlineStr">
        <is>
          <t>V.1</t>
        </is>
      </c>
      <c r="F3142" t="inlineStr">
        <is>
          <t>Yes</t>
        </is>
      </c>
      <c r="G3142" t="inlineStr">
        <is>
          <t>1</t>
        </is>
      </c>
      <c r="H3142" t="inlineStr">
        <is>
          <t>No</t>
        </is>
      </c>
      <c r="I3142" t="inlineStr">
        <is>
          <t>No</t>
        </is>
      </c>
      <c r="J3142" t="inlineStr">
        <is>
          <t>0</t>
        </is>
      </c>
      <c r="K3142" t="inlineStr">
        <is>
          <t>Tyrrell, George, 1861-1909.</t>
        </is>
      </c>
      <c r="L3142" t="inlineStr">
        <is>
          <t>London, New York [etc.] Longmans, Green, and co., 1902.</t>
        </is>
      </c>
      <c r="M3142" t="inlineStr">
        <is>
          <t>1902</t>
        </is>
      </c>
      <c r="N3142" t="inlineStr">
        <is>
          <t>First [and second] series, 2d ed.</t>
        </is>
      </c>
      <c r="O3142" t="inlineStr">
        <is>
          <t>eng</t>
        </is>
      </c>
      <c r="P3142" t="inlineStr">
        <is>
          <t>___</t>
        </is>
      </c>
      <c r="R3142" t="inlineStr">
        <is>
          <t xml:space="preserve">BX </t>
        </is>
      </c>
      <c r="S3142" t="n">
        <v>3</v>
      </c>
      <c r="T3142" t="n">
        <v>5</v>
      </c>
      <c r="U3142" t="inlineStr">
        <is>
          <t>1999-08-01</t>
        </is>
      </c>
      <c r="V3142" t="inlineStr">
        <is>
          <t>1999-08-01</t>
        </is>
      </c>
      <c r="W3142" t="inlineStr">
        <is>
          <t>1992-05-15</t>
        </is>
      </c>
      <c r="X3142" t="inlineStr">
        <is>
          <t>1992-05-15</t>
        </is>
      </c>
      <c r="Y3142" t="n">
        <v>69</v>
      </c>
      <c r="Z3142" t="n">
        <v>61</v>
      </c>
      <c r="AA3142" t="n">
        <v>415</v>
      </c>
      <c r="AB3142" t="n">
        <v>1</v>
      </c>
      <c r="AC3142" t="n">
        <v>4</v>
      </c>
      <c r="AD3142" t="n">
        <v>13</v>
      </c>
      <c r="AE3142" t="n">
        <v>33</v>
      </c>
      <c r="AF3142" t="n">
        <v>1</v>
      </c>
      <c r="AG3142" t="n">
        <v>13</v>
      </c>
      <c r="AH3142" t="n">
        <v>3</v>
      </c>
      <c r="AI3142" t="n">
        <v>7</v>
      </c>
      <c r="AJ3142" t="n">
        <v>11</v>
      </c>
      <c r="AK3142" t="n">
        <v>18</v>
      </c>
      <c r="AL3142" t="n">
        <v>0</v>
      </c>
      <c r="AM3142" t="n">
        <v>3</v>
      </c>
      <c r="AN3142" t="n">
        <v>0</v>
      </c>
      <c r="AO3142" t="n">
        <v>0</v>
      </c>
      <c r="AP3142" t="inlineStr">
        <is>
          <t>Yes</t>
        </is>
      </c>
      <c r="AQ3142" t="inlineStr">
        <is>
          <t>No</t>
        </is>
      </c>
      <c r="AR3142">
        <f>HYPERLINK("http://catalog.hathitrust.org/Record/005786231","HathiTrust Record")</f>
        <v/>
      </c>
      <c r="AS3142">
        <f>HYPERLINK("https://creighton-primo.hosted.exlibrisgroup.com/primo-explore/search?tab=default_tab&amp;search_scope=EVERYTHING&amp;vid=01CRU&amp;lang=en_US&amp;offset=0&amp;query=any,contains,991002691619702656","Catalog Record")</f>
        <v/>
      </c>
      <c r="AT3142">
        <f>HYPERLINK("http://www.worldcat.org/oclc/401781","WorldCat Record")</f>
        <v/>
      </c>
      <c r="AU3142" t="inlineStr">
        <is>
          <t>3768493980:eng</t>
        </is>
      </c>
      <c r="AV3142" t="inlineStr">
        <is>
          <t>401781</t>
        </is>
      </c>
      <c r="AW3142" t="inlineStr">
        <is>
          <t>991002691619702656</t>
        </is>
      </c>
      <c r="AX3142" t="inlineStr">
        <is>
          <t>991002691619702656</t>
        </is>
      </c>
      <c r="AY3142" t="inlineStr">
        <is>
          <t>2268299510002656</t>
        </is>
      </c>
      <c r="AZ3142" t="inlineStr">
        <is>
          <t>BOOK</t>
        </is>
      </c>
      <c r="BC3142" t="inlineStr">
        <is>
          <t>32285001083624</t>
        </is>
      </c>
      <c r="BD3142" t="inlineStr">
        <is>
          <t>893251525</t>
        </is>
      </c>
    </row>
    <row r="3143">
      <c r="A3143" t="inlineStr">
        <is>
          <t>No</t>
        </is>
      </c>
      <c r="B3143" t="inlineStr">
        <is>
          <t>BX890 .W35</t>
        </is>
      </c>
      <c r="C3143" t="inlineStr">
        <is>
          <t>0                      BX 0890000W  35</t>
        </is>
      </c>
      <c r="D3143" t="inlineStr">
        <is>
          <t>Men and tendencies, by E. I. Watkin.</t>
        </is>
      </c>
      <c r="F3143" t="inlineStr">
        <is>
          <t>No</t>
        </is>
      </c>
      <c r="G3143" t="inlineStr">
        <is>
          <t>1</t>
        </is>
      </c>
      <c r="H3143" t="inlineStr">
        <is>
          <t>No</t>
        </is>
      </c>
      <c r="I3143" t="inlineStr">
        <is>
          <t>No</t>
        </is>
      </c>
      <c r="J3143" t="inlineStr">
        <is>
          <t>0</t>
        </is>
      </c>
      <c r="K3143" t="inlineStr">
        <is>
          <t>Watkin, E. I. (Edward Ingram), 1888-1981.</t>
        </is>
      </c>
      <c r="L3143" t="inlineStr">
        <is>
          <t>London, Sheed &amp; Ward, 1937.</t>
        </is>
      </c>
      <c r="M3143" t="inlineStr">
        <is>
          <t>1937</t>
        </is>
      </c>
      <c r="O3143" t="inlineStr">
        <is>
          <t>eng</t>
        </is>
      </c>
      <c r="P3143" t="inlineStr">
        <is>
          <t>enk</t>
        </is>
      </c>
      <c r="R3143" t="inlineStr">
        <is>
          <t xml:space="preserve">BX </t>
        </is>
      </c>
      <c r="S3143" t="n">
        <v>4</v>
      </c>
      <c r="T3143" t="n">
        <v>4</v>
      </c>
      <c r="U3143" t="inlineStr">
        <is>
          <t>1993-11-13</t>
        </is>
      </c>
      <c r="V3143" t="inlineStr">
        <is>
          <t>1993-11-13</t>
        </is>
      </c>
      <c r="W3143" t="inlineStr">
        <is>
          <t>1992-05-15</t>
        </is>
      </c>
      <c r="X3143" t="inlineStr">
        <is>
          <t>1992-05-15</t>
        </is>
      </c>
      <c r="Y3143" t="n">
        <v>154</v>
      </c>
      <c r="Z3143" t="n">
        <v>114</v>
      </c>
      <c r="AA3143" t="n">
        <v>350</v>
      </c>
      <c r="AB3143" t="n">
        <v>1</v>
      </c>
      <c r="AC3143" t="n">
        <v>3</v>
      </c>
      <c r="AD3143" t="n">
        <v>13</v>
      </c>
      <c r="AE3143" t="n">
        <v>25</v>
      </c>
      <c r="AF3143" t="n">
        <v>3</v>
      </c>
      <c r="AG3143" t="n">
        <v>9</v>
      </c>
      <c r="AH3143" t="n">
        <v>2</v>
      </c>
      <c r="AI3143" t="n">
        <v>4</v>
      </c>
      <c r="AJ3143" t="n">
        <v>13</v>
      </c>
      <c r="AK3143" t="n">
        <v>19</v>
      </c>
      <c r="AL3143" t="n">
        <v>0</v>
      </c>
      <c r="AM3143" t="n">
        <v>2</v>
      </c>
      <c r="AN3143" t="n">
        <v>0</v>
      </c>
      <c r="AO3143" t="n">
        <v>0</v>
      </c>
      <c r="AP3143" t="inlineStr">
        <is>
          <t>No</t>
        </is>
      </c>
      <c r="AQ3143" t="inlineStr">
        <is>
          <t>No</t>
        </is>
      </c>
      <c r="AR3143">
        <f>HYPERLINK("http://catalog.hathitrust.org/Record/000408984","HathiTrust Record")</f>
        <v/>
      </c>
      <c r="AS3143">
        <f>HYPERLINK("https://creighton-primo.hosted.exlibrisgroup.com/primo-explore/search?tab=default_tab&amp;search_scope=EVERYTHING&amp;vid=01CRU&amp;lang=en_US&amp;offset=0&amp;query=any,contains,991002335269702656","Catalog Record")</f>
        <v/>
      </c>
      <c r="AT3143">
        <f>HYPERLINK("http://www.worldcat.org/oclc/322963","WorldCat Record")</f>
        <v/>
      </c>
      <c r="AU3143" t="inlineStr">
        <is>
          <t>141190931:eng</t>
        </is>
      </c>
      <c r="AV3143" t="inlineStr">
        <is>
          <t>322963</t>
        </is>
      </c>
      <c r="AW3143" t="inlineStr">
        <is>
          <t>991002335269702656</t>
        </is>
      </c>
      <c r="AX3143" t="inlineStr">
        <is>
          <t>991002335269702656</t>
        </is>
      </c>
      <c r="AY3143" t="inlineStr">
        <is>
          <t>2257104870002656</t>
        </is>
      </c>
      <c r="AZ3143" t="inlineStr">
        <is>
          <t>BOOK</t>
        </is>
      </c>
      <c r="BC3143" t="inlineStr">
        <is>
          <t>32285001083681</t>
        </is>
      </c>
      <c r="BD3143" t="inlineStr">
        <is>
          <t>893408985</t>
        </is>
      </c>
    </row>
    <row r="3144">
      <c r="A3144" t="inlineStr">
        <is>
          <t>No</t>
        </is>
      </c>
      <c r="B3144" t="inlineStr">
        <is>
          <t>BX890.B678 B63</t>
        </is>
      </c>
      <c r="C3144" t="inlineStr">
        <is>
          <t>0                      BX 0890000B  678                B  63</t>
        </is>
      </c>
      <c r="D3144" t="inlineStr">
        <is>
          <t>Introduction to the works of Bonaventure.</t>
        </is>
      </c>
      <c r="F3144" t="inlineStr">
        <is>
          <t>No</t>
        </is>
      </c>
      <c r="G3144" t="inlineStr">
        <is>
          <t>1</t>
        </is>
      </c>
      <c r="H3144" t="inlineStr">
        <is>
          <t>No</t>
        </is>
      </c>
      <c r="I3144" t="inlineStr">
        <is>
          <t>No</t>
        </is>
      </c>
      <c r="J3144" t="inlineStr">
        <is>
          <t>0</t>
        </is>
      </c>
      <c r="K3144" t="inlineStr">
        <is>
          <t>Bougerol, Jacques Guy.</t>
        </is>
      </c>
      <c r="L3144" t="inlineStr">
        <is>
          <t>Paterson, N.J., St. Anthony Guild Press; distributor: Desclée, Paris, New York, [1964]</t>
        </is>
      </c>
      <c r="M3144" t="inlineStr">
        <is>
          <t>1964</t>
        </is>
      </c>
      <c r="N3144" t="inlineStr">
        <is>
          <t>[1st American ed.]</t>
        </is>
      </c>
      <c r="O3144" t="inlineStr">
        <is>
          <t>eng</t>
        </is>
      </c>
      <c r="P3144" t="inlineStr">
        <is>
          <t>___</t>
        </is>
      </c>
      <c r="R3144" t="inlineStr">
        <is>
          <t xml:space="preserve">BX </t>
        </is>
      </c>
      <c r="S3144" t="n">
        <v>7</v>
      </c>
      <c r="T3144" t="n">
        <v>7</v>
      </c>
      <c r="U3144" t="inlineStr">
        <is>
          <t>2008-05-17</t>
        </is>
      </c>
      <c r="V3144" t="inlineStr">
        <is>
          <t>2008-05-17</t>
        </is>
      </c>
      <c r="W3144" t="inlineStr">
        <is>
          <t>1992-05-06</t>
        </is>
      </c>
      <c r="X3144" t="inlineStr">
        <is>
          <t>1992-05-06</t>
        </is>
      </c>
      <c r="Y3144" t="n">
        <v>471</v>
      </c>
      <c r="Z3144" t="n">
        <v>415</v>
      </c>
      <c r="AA3144" t="n">
        <v>423</v>
      </c>
      <c r="AB3144" t="n">
        <v>4</v>
      </c>
      <c r="AC3144" t="n">
        <v>4</v>
      </c>
      <c r="AD3144" t="n">
        <v>35</v>
      </c>
      <c r="AE3144" t="n">
        <v>35</v>
      </c>
      <c r="AF3144" t="n">
        <v>12</v>
      </c>
      <c r="AG3144" t="n">
        <v>12</v>
      </c>
      <c r="AH3144" t="n">
        <v>9</v>
      </c>
      <c r="AI3144" t="n">
        <v>9</v>
      </c>
      <c r="AJ3144" t="n">
        <v>24</v>
      </c>
      <c r="AK3144" t="n">
        <v>24</v>
      </c>
      <c r="AL3144" t="n">
        <v>1</v>
      </c>
      <c r="AM3144" t="n">
        <v>1</v>
      </c>
      <c r="AN3144" t="n">
        <v>0</v>
      </c>
      <c r="AO3144" t="n">
        <v>0</v>
      </c>
      <c r="AP3144" t="inlineStr">
        <is>
          <t>No</t>
        </is>
      </c>
      <c r="AQ3144" t="inlineStr">
        <is>
          <t>No</t>
        </is>
      </c>
      <c r="AS3144">
        <f>HYPERLINK("https://creighton-primo.hosted.exlibrisgroup.com/primo-explore/search?tab=default_tab&amp;search_scope=EVERYTHING&amp;vid=01CRU&amp;lang=en_US&amp;offset=0&amp;query=any,contains,991002647739702656","Catalog Record")</f>
        <v/>
      </c>
      <c r="AT3144">
        <f>HYPERLINK("http://www.worldcat.org/oclc/386259","WorldCat Record")</f>
        <v/>
      </c>
      <c r="AU3144" t="inlineStr">
        <is>
          <t>8909044751:eng</t>
        </is>
      </c>
      <c r="AV3144" t="inlineStr">
        <is>
          <t>386259</t>
        </is>
      </c>
      <c r="AW3144" t="inlineStr">
        <is>
          <t>991002647739702656</t>
        </is>
      </c>
      <c r="AX3144" t="inlineStr">
        <is>
          <t>991002647739702656</t>
        </is>
      </c>
      <c r="AY3144" t="inlineStr">
        <is>
          <t>2259383940002656</t>
        </is>
      </c>
      <c r="AZ3144" t="inlineStr">
        <is>
          <t>BOOK</t>
        </is>
      </c>
      <c r="BC3144" t="inlineStr">
        <is>
          <t>32285001081768</t>
        </is>
      </c>
      <c r="BD3144" t="inlineStr">
        <is>
          <t>893323181</t>
        </is>
      </c>
    </row>
    <row r="3145">
      <c r="A3145" t="inlineStr">
        <is>
          <t>No</t>
        </is>
      </c>
      <c r="B3145" t="inlineStr">
        <is>
          <t>BX890.T6 O6</t>
        </is>
      </c>
      <c r="C3145" t="inlineStr">
        <is>
          <t>0                      BX 0890000T  6                  O  6</t>
        </is>
      </c>
      <c r="D3145" t="inlineStr">
        <is>
          <t>Opuscula theologica.</t>
        </is>
      </c>
      <c r="E3145" t="inlineStr">
        <is>
          <t>V. 1</t>
        </is>
      </c>
      <c r="F3145" t="inlineStr">
        <is>
          <t>Yes</t>
        </is>
      </c>
      <c r="G3145" t="inlineStr">
        <is>
          <t>1</t>
        </is>
      </c>
      <c r="H3145" t="inlineStr">
        <is>
          <t>No</t>
        </is>
      </c>
      <c r="I3145" t="inlineStr">
        <is>
          <t>No</t>
        </is>
      </c>
      <c r="J3145" t="inlineStr">
        <is>
          <t>0</t>
        </is>
      </c>
      <c r="K3145" t="inlineStr">
        <is>
          <t>Thomas, Aquinas, Saint, 1225?-1274.</t>
        </is>
      </c>
      <c r="L3145" t="inlineStr">
        <is>
          <t>Taurini, Marietti, 1954.</t>
        </is>
      </c>
      <c r="M3145" t="inlineStr">
        <is>
          <t>1954</t>
        </is>
      </c>
      <c r="O3145" t="inlineStr">
        <is>
          <t>lat</t>
        </is>
      </c>
      <c r="P3145" t="inlineStr">
        <is>
          <t xml:space="preserve">it </t>
        </is>
      </c>
      <c r="R3145" t="inlineStr">
        <is>
          <t xml:space="preserve">BX </t>
        </is>
      </c>
      <c r="S3145" t="n">
        <v>2</v>
      </c>
      <c r="T3145" t="n">
        <v>2</v>
      </c>
      <c r="U3145" t="inlineStr">
        <is>
          <t>1996-05-09</t>
        </is>
      </c>
      <c r="V3145" t="inlineStr">
        <is>
          <t>1996-05-09</t>
        </is>
      </c>
      <c r="W3145" t="inlineStr">
        <is>
          <t>1992-05-14</t>
        </is>
      </c>
      <c r="X3145" t="inlineStr">
        <is>
          <t>1992-05-14</t>
        </is>
      </c>
      <c r="Y3145" t="n">
        <v>122</v>
      </c>
      <c r="Z3145" t="n">
        <v>94</v>
      </c>
      <c r="AA3145" t="n">
        <v>97</v>
      </c>
      <c r="AB3145" t="n">
        <v>2</v>
      </c>
      <c r="AC3145" t="n">
        <v>2</v>
      </c>
      <c r="AD3145" t="n">
        <v>23</v>
      </c>
      <c r="AE3145" t="n">
        <v>23</v>
      </c>
      <c r="AF3145" t="n">
        <v>6</v>
      </c>
      <c r="AG3145" t="n">
        <v>6</v>
      </c>
      <c r="AH3145" t="n">
        <v>8</v>
      </c>
      <c r="AI3145" t="n">
        <v>8</v>
      </c>
      <c r="AJ3145" t="n">
        <v>16</v>
      </c>
      <c r="AK3145" t="n">
        <v>16</v>
      </c>
      <c r="AL3145" t="n">
        <v>0</v>
      </c>
      <c r="AM3145" t="n">
        <v>0</v>
      </c>
      <c r="AN3145" t="n">
        <v>0</v>
      </c>
      <c r="AO3145" t="n">
        <v>0</v>
      </c>
      <c r="AP3145" t="inlineStr">
        <is>
          <t>No</t>
        </is>
      </c>
      <c r="AQ3145" t="inlineStr">
        <is>
          <t>No</t>
        </is>
      </c>
      <c r="AS3145">
        <f>HYPERLINK("https://creighton-primo.hosted.exlibrisgroup.com/primo-explore/search?tab=default_tab&amp;search_scope=EVERYTHING&amp;vid=01CRU&amp;lang=en_US&amp;offset=0&amp;query=any,contains,991003997289702656","Catalog Record")</f>
        <v/>
      </c>
      <c r="AT3145">
        <f>HYPERLINK("http://www.worldcat.org/oclc/2064683","WorldCat Record")</f>
        <v/>
      </c>
      <c r="AU3145" t="inlineStr">
        <is>
          <t>3768582168:lat</t>
        </is>
      </c>
      <c r="AV3145" t="inlineStr">
        <is>
          <t>2064683</t>
        </is>
      </c>
      <c r="AW3145" t="inlineStr">
        <is>
          <t>991003997289702656</t>
        </is>
      </c>
      <c r="AX3145" t="inlineStr">
        <is>
          <t>991003997289702656</t>
        </is>
      </c>
      <c r="AY3145" t="inlineStr">
        <is>
          <t>2263153720002656</t>
        </is>
      </c>
      <c r="AZ3145" t="inlineStr">
        <is>
          <t>BOOK</t>
        </is>
      </c>
      <c r="BC3145" t="inlineStr">
        <is>
          <t>32285001083426</t>
        </is>
      </c>
      <c r="BD3145" t="inlineStr">
        <is>
          <t>893900662</t>
        </is>
      </c>
    </row>
    <row r="3146">
      <c r="A3146" t="inlineStr">
        <is>
          <t>No</t>
        </is>
      </c>
      <c r="B3146" t="inlineStr">
        <is>
          <t>BX890.T6 O6</t>
        </is>
      </c>
      <c r="C3146" t="inlineStr">
        <is>
          <t>0                      BX 0890000T  6                  O  6</t>
        </is>
      </c>
      <c r="D3146" t="inlineStr">
        <is>
          <t>Opuscula theologica.</t>
        </is>
      </c>
      <c r="E3146" t="inlineStr">
        <is>
          <t>V. 2</t>
        </is>
      </c>
      <c r="F3146" t="inlineStr">
        <is>
          <t>Yes</t>
        </is>
      </c>
      <c r="G3146" t="inlineStr">
        <is>
          <t>1</t>
        </is>
      </c>
      <c r="H3146" t="inlineStr">
        <is>
          <t>No</t>
        </is>
      </c>
      <c r="I3146" t="inlineStr">
        <is>
          <t>No</t>
        </is>
      </c>
      <c r="J3146" t="inlineStr">
        <is>
          <t>0</t>
        </is>
      </c>
      <c r="K3146" t="inlineStr">
        <is>
          <t>Thomas, Aquinas, Saint, 1225?-1274.</t>
        </is>
      </c>
      <c r="L3146" t="inlineStr">
        <is>
          <t>Taurini, Marietti, 1954.</t>
        </is>
      </c>
      <c r="M3146" t="inlineStr">
        <is>
          <t>1954</t>
        </is>
      </c>
      <c r="O3146" t="inlineStr">
        <is>
          <t>lat</t>
        </is>
      </c>
      <c r="P3146" t="inlineStr">
        <is>
          <t xml:space="preserve">it </t>
        </is>
      </c>
      <c r="R3146" t="inlineStr">
        <is>
          <t xml:space="preserve">BX </t>
        </is>
      </c>
      <c r="S3146" t="n">
        <v>0</v>
      </c>
      <c r="T3146" t="n">
        <v>2</v>
      </c>
      <c r="V3146" t="inlineStr">
        <is>
          <t>1996-05-09</t>
        </is>
      </c>
      <c r="W3146" t="inlineStr">
        <is>
          <t>1992-05-14</t>
        </is>
      </c>
      <c r="X3146" t="inlineStr">
        <is>
          <t>1992-05-14</t>
        </is>
      </c>
      <c r="Y3146" t="n">
        <v>122</v>
      </c>
      <c r="Z3146" t="n">
        <v>94</v>
      </c>
      <c r="AA3146" t="n">
        <v>97</v>
      </c>
      <c r="AB3146" t="n">
        <v>2</v>
      </c>
      <c r="AC3146" t="n">
        <v>2</v>
      </c>
      <c r="AD3146" t="n">
        <v>23</v>
      </c>
      <c r="AE3146" t="n">
        <v>23</v>
      </c>
      <c r="AF3146" t="n">
        <v>6</v>
      </c>
      <c r="AG3146" t="n">
        <v>6</v>
      </c>
      <c r="AH3146" t="n">
        <v>8</v>
      </c>
      <c r="AI3146" t="n">
        <v>8</v>
      </c>
      <c r="AJ3146" t="n">
        <v>16</v>
      </c>
      <c r="AK3146" t="n">
        <v>16</v>
      </c>
      <c r="AL3146" t="n">
        <v>0</v>
      </c>
      <c r="AM3146" t="n">
        <v>0</v>
      </c>
      <c r="AN3146" t="n">
        <v>0</v>
      </c>
      <c r="AO3146" t="n">
        <v>0</v>
      </c>
      <c r="AP3146" t="inlineStr">
        <is>
          <t>No</t>
        </is>
      </c>
      <c r="AQ3146" t="inlineStr">
        <is>
          <t>No</t>
        </is>
      </c>
      <c r="AS3146">
        <f>HYPERLINK("https://creighton-primo.hosted.exlibrisgroup.com/primo-explore/search?tab=default_tab&amp;search_scope=EVERYTHING&amp;vid=01CRU&amp;lang=en_US&amp;offset=0&amp;query=any,contains,991003997289702656","Catalog Record")</f>
        <v/>
      </c>
      <c r="AT3146">
        <f>HYPERLINK("http://www.worldcat.org/oclc/2064683","WorldCat Record")</f>
        <v/>
      </c>
      <c r="AU3146" t="inlineStr">
        <is>
          <t>3768582168:lat</t>
        </is>
      </c>
      <c r="AV3146" t="inlineStr">
        <is>
          <t>2064683</t>
        </is>
      </c>
      <c r="AW3146" t="inlineStr">
        <is>
          <t>991003997289702656</t>
        </is>
      </c>
      <c r="AX3146" t="inlineStr">
        <is>
          <t>991003997289702656</t>
        </is>
      </c>
      <c r="AY3146" t="inlineStr">
        <is>
          <t>2263153720002656</t>
        </is>
      </c>
      <c r="AZ3146" t="inlineStr">
        <is>
          <t>BOOK</t>
        </is>
      </c>
      <c r="BC3146" t="inlineStr">
        <is>
          <t>32285001083434</t>
        </is>
      </c>
      <c r="BD3146" t="inlineStr">
        <is>
          <t>893875568</t>
        </is>
      </c>
    </row>
    <row r="3147">
      <c r="A3147" t="inlineStr">
        <is>
          <t>No</t>
        </is>
      </c>
      <c r="B3147" t="inlineStr">
        <is>
          <t>BX890.T62 E6 1945</t>
        </is>
      </c>
      <c r="C3147" t="inlineStr">
        <is>
          <t>0                      BX 0890000T  62                 E  6           1945</t>
        </is>
      </c>
      <c r="D3147" t="inlineStr">
        <is>
          <t>Basic writings of Saint Thomas Aquinas ... Edited and annotated, with an introduction, by Anton C. Pegis.</t>
        </is>
      </c>
      <c r="E3147" t="inlineStr">
        <is>
          <t>V. 1</t>
        </is>
      </c>
      <c r="F3147" t="inlineStr">
        <is>
          <t>Yes</t>
        </is>
      </c>
      <c r="G3147" t="inlineStr">
        <is>
          <t>1</t>
        </is>
      </c>
      <c r="H3147" t="inlineStr">
        <is>
          <t>Yes</t>
        </is>
      </c>
      <c r="I3147" t="inlineStr">
        <is>
          <t>No</t>
        </is>
      </c>
      <c r="J3147" t="inlineStr">
        <is>
          <t>0</t>
        </is>
      </c>
      <c r="K3147" t="inlineStr">
        <is>
          <t>Thomas, Aquinas, Saint, 1225?-1274.</t>
        </is>
      </c>
      <c r="L3147" t="inlineStr">
        <is>
          <t>New York, Random House [1945]</t>
        </is>
      </c>
      <c r="M3147" t="inlineStr">
        <is>
          <t>1945</t>
        </is>
      </c>
      <c r="O3147" t="inlineStr">
        <is>
          <t>eng</t>
        </is>
      </c>
      <c r="P3147" t="inlineStr">
        <is>
          <t>nyu</t>
        </is>
      </c>
      <c r="R3147" t="inlineStr">
        <is>
          <t xml:space="preserve">BX </t>
        </is>
      </c>
      <c r="S3147" t="n">
        <v>5</v>
      </c>
      <c r="T3147" t="n">
        <v>7</v>
      </c>
      <c r="U3147" t="inlineStr">
        <is>
          <t>1999-09-30</t>
        </is>
      </c>
      <c r="V3147" t="inlineStr">
        <is>
          <t>2010-04-15</t>
        </is>
      </c>
      <c r="W3147" t="inlineStr">
        <is>
          <t>1992-05-15</t>
        </is>
      </c>
      <c r="X3147" t="inlineStr">
        <is>
          <t>1992-05-15</t>
        </is>
      </c>
      <c r="Y3147" t="n">
        <v>1948</v>
      </c>
      <c r="Z3147" t="n">
        <v>1773</v>
      </c>
      <c r="AA3147" t="n">
        <v>1846</v>
      </c>
      <c r="AB3147" t="n">
        <v>17</v>
      </c>
      <c r="AC3147" t="n">
        <v>17</v>
      </c>
      <c r="AD3147" t="n">
        <v>66</v>
      </c>
      <c r="AE3147" t="n">
        <v>66</v>
      </c>
      <c r="AF3147" t="n">
        <v>26</v>
      </c>
      <c r="AG3147" t="n">
        <v>26</v>
      </c>
      <c r="AH3147" t="n">
        <v>11</v>
      </c>
      <c r="AI3147" t="n">
        <v>11</v>
      </c>
      <c r="AJ3147" t="n">
        <v>27</v>
      </c>
      <c r="AK3147" t="n">
        <v>27</v>
      </c>
      <c r="AL3147" t="n">
        <v>12</v>
      </c>
      <c r="AM3147" t="n">
        <v>12</v>
      </c>
      <c r="AN3147" t="n">
        <v>4</v>
      </c>
      <c r="AO3147" t="n">
        <v>4</v>
      </c>
      <c r="AP3147" t="inlineStr">
        <is>
          <t>No</t>
        </is>
      </c>
      <c r="AQ3147" t="inlineStr">
        <is>
          <t>Yes</t>
        </is>
      </c>
      <c r="AR3147">
        <f>HYPERLINK("http://catalog.hathitrust.org/Record/001381689","HathiTrust Record")</f>
        <v/>
      </c>
      <c r="AS3147">
        <f>HYPERLINK("https://creighton-primo.hosted.exlibrisgroup.com/primo-explore/search?tab=default_tab&amp;search_scope=EVERYTHING&amp;vid=01CRU&amp;lang=en_US&amp;offset=0&amp;query=any,contains,991001626739702656","Catalog Record")</f>
        <v/>
      </c>
      <c r="AT3147">
        <f>HYPERLINK("http://www.worldcat.org/oclc/312777","WorldCat Record")</f>
        <v/>
      </c>
      <c r="AU3147" t="inlineStr">
        <is>
          <t>640422:eng</t>
        </is>
      </c>
      <c r="AV3147" t="inlineStr">
        <is>
          <t>312777</t>
        </is>
      </c>
      <c r="AW3147" t="inlineStr">
        <is>
          <t>991001626739702656</t>
        </is>
      </c>
      <c r="AX3147" t="inlineStr">
        <is>
          <t>991001626739702656</t>
        </is>
      </c>
      <c r="AY3147" t="inlineStr">
        <is>
          <t>2271215170002656</t>
        </is>
      </c>
      <c r="AZ3147" t="inlineStr">
        <is>
          <t>BOOK</t>
        </is>
      </c>
      <c r="BC3147" t="inlineStr">
        <is>
          <t>32285001083517</t>
        </is>
      </c>
      <c r="BD3147" t="inlineStr">
        <is>
          <t>893878996</t>
        </is>
      </c>
    </row>
    <row r="3148">
      <c r="A3148" t="inlineStr">
        <is>
          <t>No</t>
        </is>
      </c>
      <c r="B3148" t="inlineStr">
        <is>
          <t>BX890.T62 E6 1945</t>
        </is>
      </c>
      <c r="C3148" t="inlineStr">
        <is>
          <t>0                      BX 0890000T  62                 E  6           1945</t>
        </is>
      </c>
      <c r="D3148" t="inlineStr">
        <is>
          <t>Basic writings of Saint Thomas Aquinas ... Edited and annotated, with an introduction, by Anton C. Pegis.</t>
        </is>
      </c>
      <c r="E3148" t="inlineStr">
        <is>
          <t>V. 2</t>
        </is>
      </c>
      <c r="F3148" t="inlineStr">
        <is>
          <t>Yes</t>
        </is>
      </c>
      <c r="G3148" t="inlineStr">
        <is>
          <t>1</t>
        </is>
      </c>
      <c r="H3148" t="inlineStr">
        <is>
          <t>Yes</t>
        </is>
      </c>
      <c r="I3148" t="inlineStr">
        <is>
          <t>No</t>
        </is>
      </c>
      <c r="J3148" t="inlineStr">
        <is>
          <t>0</t>
        </is>
      </c>
      <c r="K3148" t="inlineStr">
        <is>
          <t>Thomas, Aquinas, Saint, 1225?-1274.</t>
        </is>
      </c>
      <c r="L3148" t="inlineStr">
        <is>
          <t>New York, Random House [1945]</t>
        </is>
      </c>
      <c r="M3148" t="inlineStr">
        <is>
          <t>1945</t>
        </is>
      </c>
      <c r="O3148" t="inlineStr">
        <is>
          <t>eng</t>
        </is>
      </c>
      <c r="P3148" t="inlineStr">
        <is>
          <t>nyu</t>
        </is>
      </c>
      <c r="R3148" t="inlineStr">
        <is>
          <t xml:space="preserve">BX </t>
        </is>
      </c>
      <c r="S3148" t="n">
        <v>2</v>
      </c>
      <c r="T3148" t="n">
        <v>7</v>
      </c>
      <c r="U3148" t="inlineStr">
        <is>
          <t>2010-04-15</t>
        </is>
      </c>
      <c r="V3148" t="inlineStr">
        <is>
          <t>2010-04-15</t>
        </is>
      </c>
      <c r="W3148" t="inlineStr">
        <is>
          <t>1992-05-15</t>
        </is>
      </c>
      <c r="X3148" t="inlineStr">
        <is>
          <t>1992-05-15</t>
        </is>
      </c>
      <c r="Y3148" t="n">
        <v>1948</v>
      </c>
      <c r="Z3148" t="n">
        <v>1773</v>
      </c>
      <c r="AA3148" t="n">
        <v>1846</v>
      </c>
      <c r="AB3148" t="n">
        <v>17</v>
      </c>
      <c r="AC3148" t="n">
        <v>17</v>
      </c>
      <c r="AD3148" t="n">
        <v>66</v>
      </c>
      <c r="AE3148" t="n">
        <v>66</v>
      </c>
      <c r="AF3148" t="n">
        <v>26</v>
      </c>
      <c r="AG3148" t="n">
        <v>26</v>
      </c>
      <c r="AH3148" t="n">
        <v>11</v>
      </c>
      <c r="AI3148" t="n">
        <v>11</v>
      </c>
      <c r="AJ3148" t="n">
        <v>27</v>
      </c>
      <c r="AK3148" t="n">
        <v>27</v>
      </c>
      <c r="AL3148" t="n">
        <v>12</v>
      </c>
      <c r="AM3148" t="n">
        <v>12</v>
      </c>
      <c r="AN3148" t="n">
        <v>4</v>
      </c>
      <c r="AO3148" t="n">
        <v>4</v>
      </c>
      <c r="AP3148" t="inlineStr">
        <is>
          <t>No</t>
        </is>
      </c>
      <c r="AQ3148" t="inlineStr">
        <is>
          <t>Yes</t>
        </is>
      </c>
      <c r="AR3148">
        <f>HYPERLINK("http://catalog.hathitrust.org/Record/001381689","HathiTrust Record")</f>
        <v/>
      </c>
      <c r="AS3148">
        <f>HYPERLINK("https://creighton-primo.hosted.exlibrisgroup.com/primo-explore/search?tab=default_tab&amp;search_scope=EVERYTHING&amp;vid=01CRU&amp;lang=en_US&amp;offset=0&amp;query=any,contains,991001626739702656","Catalog Record")</f>
        <v/>
      </c>
      <c r="AT3148">
        <f>HYPERLINK("http://www.worldcat.org/oclc/312777","WorldCat Record")</f>
        <v/>
      </c>
      <c r="AU3148" t="inlineStr">
        <is>
          <t>640422:eng</t>
        </is>
      </c>
      <c r="AV3148" t="inlineStr">
        <is>
          <t>312777</t>
        </is>
      </c>
      <c r="AW3148" t="inlineStr">
        <is>
          <t>991001626739702656</t>
        </is>
      </c>
      <c r="AX3148" t="inlineStr">
        <is>
          <t>991001626739702656</t>
        </is>
      </c>
      <c r="AY3148" t="inlineStr">
        <is>
          <t>2271215170002656</t>
        </is>
      </c>
      <c r="AZ3148" t="inlineStr">
        <is>
          <t>BOOK</t>
        </is>
      </c>
      <c r="BC3148" t="inlineStr">
        <is>
          <t>32285001083541</t>
        </is>
      </c>
      <c r="BD3148" t="inlineStr">
        <is>
          <t>893872640</t>
        </is>
      </c>
    </row>
    <row r="3149">
      <c r="A3149" t="inlineStr">
        <is>
          <t>No</t>
        </is>
      </c>
      <c r="B3149" t="inlineStr">
        <is>
          <t>BX890.T62 E6 1955</t>
        </is>
      </c>
      <c r="C3149" t="inlineStr">
        <is>
          <t>0                      BX 0890000T  62                 E  6           1955</t>
        </is>
      </c>
      <c r="D3149" t="inlineStr">
        <is>
          <t>Theological texts / selected and translated with notes and an introduction by Thomas Gilby.</t>
        </is>
      </c>
      <c r="F3149" t="inlineStr">
        <is>
          <t>No</t>
        </is>
      </c>
      <c r="G3149" t="inlineStr">
        <is>
          <t>1</t>
        </is>
      </c>
      <c r="H3149" t="inlineStr">
        <is>
          <t>No</t>
        </is>
      </c>
      <c r="I3149" t="inlineStr">
        <is>
          <t>No</t>
        </is>
      </c>
      <c r="J3149" t="inlineStr">
        <is>
          <t>0</t>
        </is>
      </c>
      <c r="K3149" t="inlineStr">
        <is>
          <t>Thomas, Aquinas, Saint, 1225?-1274.</t>
        </is>
      </c>
      <c r="L3149" t="inlineStr">
        <is>
          <t>London ; New York : Oxford University Press, 1955.</t>
        </is>
      </c>
      <c r="M3149" t="inlineStr">
        <is>
          <t>1955</t>
        </is>
      </c>
      <c r="O3149" t="inlineStr">
        <is>
          <t>eng</t>
        </is>
      </c>
      <c r="P3149" t="inlineStr">
        <is>
          <t>|||</t>
        </is>
      </c>
      <c r="R3149" t="inlineStr">
        <is>
          <t xml:space="preserve">BX </t>
        </is>
      </c>
      <c r="S3149" t="n">
        <v>7</v>
      </c>
      <c r="T3149" t="n">
        <v>7</v>
      </c>
      <c r="U3149" t="inlineStr">
        <is>
          <t>1998-10-11</t>
        </is>
      </c>
      <c r="V3149" t="inlineStr">
        <is>
          <t>1998-10-11</t>
        </is>
      </c>
      <c r="W3149" t="inlineStr">
        <is>
          <t>1992-03-16</t>
        </is>
      </c>
      <c r="X3149" t="inlineStr">
        <is>
          <t>1992-03-16</t>
        </is>
      </c>
      <c r="Y3149" t="n">
        <v>381</v>
      </c>
      <c r="Z3149" t="n">
        <v>314</v>
      </c>
      <c r="AA3149" t="n">
        <v>322</v>
      </c>
      <c r="AB3149" t="n">
        <v>2</v>
      </c>
      <c r="AC3149" t="n">
        <v>2</v>
      </c>
      <c r="AD3149" t="n">
        <v>25</v>
      </c>
      <c r="AE3149" t="n">
        <v>25</v>
      </c>
      <c r="AF3149" t="n">
        <v>11</v>
      </c>
      <c r="AG3149" t="n">
        <v>11</v>
      </c>
      <c r="AH3149" t="n">
        <v>5</v>
      </c>
      <c r="AI3149" t="n">
        <v>5</v>
      </c>
      <c r="AJ3149" t="n">
        <v>17</v>
      </c>
      <c r="AK3149" t="n">
        <v>17</v>
      </c>
      <c r="AL3149" t="n">
        <v>1</v>
      </c>
      <c r="AM3149" t="n">
        <v>1</v>
      </c>
      <c r="AN3149" t="n">
        <v>0</v>
      </c>
      <c r="AO3149" t="n">
        <v>0</v>
      </c>
      <c r="AP3149" t="inlineStr">
        <is>
          <t>No</t>
        </is>
      </c>
      <c r="AQ3149" t="inlineStr">
        <is>
          <t>Yes</t>
        </is>
      </c>
      <c r="AR3149">
        <f>HYPERLINK("http://catalog.hathitrust.org/Record/001381692","HathiTrust Record")</f>
        <v/>
      </c>
      <c r="AS3149">
        <f>HYPERLINK("https://creighton-primo.hosted.exlibrisgroup.com/primo-explore/search?tab=default_tab&amp;search_scope=EVERYTHING&amp;vid=01CRU&amp;lang=en_US&amp;offset=0&amp;query=any,contains,991002649289702656","Catalog Record")</f>
        <v/>
      </c>
      <c r="AT3149">
        <f>HYPERLINK("http://www.worldcat.org/oclc/386648","WorldCat Record")</f>
        <v/>
      </c>
      <c r="AU3149" t="inlineStr">
        <is>
          <t>1512116:eng</t>
        </is>
      </c>
      <c r="AV3149" t="inlineStr">
        <is>
          <t>386648</t>
        </is>
      </c>
      <c r="AW3149" t="inlineStr">
        <is>
          <t>991002649289702656</t>
        </is>
      </c>
      <c r="AX3149" t="inlineStr">
        <is>
          <t>991002649289702656</t>
        </is>
      </c>
      <c r="AY3149" t="inlineStr">
        <is>
          <t>2259563920002656</t>
        </is>
      </c>
      <c r="AZ3149" t="inlineStr">
        <is>
          <t>BOOK</t>
        </is>
      </c>
      <c r="BC3149" t="inlineStr">
        <is>
          <t>32285001021103</t>
        </is>
      </c>
      <c r="BD3149" t="inlineStr">
        <is>
          <t>893892808</t>
        </is>
      </c>
    </row>
    <row r="3150">
      <c r="A3150" t="inlineStr">
        <is>
          <t>No</t>
        </is>
      </c>
      <c r="B3150" t="inlineStr">
        <is>
          <t>BX890.T62 E6 1983</t>
        </is>
      </c>
      <c r="C3150" t="inlineStr">
        <is>
          <t>0                      BX 0890000T  62                 E  6           1983</t>
        </is>
      </c>
      <c r="D3150" t="inlineStr">
        <is>
          <t>Quodlibetal questions 1 and 2 / St. Thomas Aquinas ; translated with an introduction and notes by Sandra Edwards.</t>
        </is>
      </c>
      <c r="F3150" t="inlineStr">
        <is>
          <t>No</t>
        </is>
      </c>
      <c r="G3150" t="inlineStr">
        <is>
          <t>1</t>
        </is>
      </c>
      <c r="H3150" t="inlineStr">
        <is>
          <t>No</t>
        </is>
      </c>
      <c r="I3150" t="inlineStr">
        <is>
          <t>No</t>
        </is>
      </c>
      <c r="J3150" t="inlineStr">
        <is>
          <t>0</t>
        </is>
      </c>
      <c r="K3150" t="inlineStr">
        <is>
          <t>Thomas, Aquinas, Saint, 1225?-1274.</t>
        </is>
      </c>
      <c r="L3150" t="inlineStr">
        <is>
          <t>Toronto, Ont., Canada : Pontifical Institute of Mediaeval Studies, c1983.</t>
        </is>
      </c>
      <c r="M3150" t="inlineStr">
        <is>
          <t>1983</t>
        </is>
      </c>
      <c r="O3150" t="inlineStr">
        <is>
          <t>eng</t>
        </is>
      </c>
      <c r="P3150" t="inlineStr">
        <is>
          <t>onc</t>
        </is>
      </c>
      <c r="Q3150" t="inlineStr">
        <is>
          <t>Mediaeval sources in translation, 0316-0874 ; 27</t>
        </is>
      </c>
      <c r="R3150" t="inlineStr">
        <is>
          <t xml:space="preserve">BX </t>
        </is>
      </c>
      <c r="S3150" t="n">
        <v>4</v>
      </c>
      <c r="T3150" t="n">
        <v>4</v>
      </c>
      <c r="U3150" t="inlineStr">
        <is>
          <t>1994-02-19</t>
        </is>
      </c>
      <c r="V3150" t="inlineStr">
        <is>
          <t>1994-02-19</t>
        </is>
      </c>
      <c r="W3150" t="inlineStr">
        <is>
          <t>1992-05-15</t>
        </is>
      </c>
      <c r="X3150" t="inlineStr">
        <is>
          <t>1992-05-15</t>
        </is>
      </c>
      <c r="Y3150" t="n">
        <v>328</v>
      </c>
      <c r="Z3150" t="n">
        <v>244</v>
      </c>
      <c r="AA3150" t="n">
        <v>250</v>
      </c>
      <c r="AB3150" t="n">
        <v>3</v>
      </c>
      <c r="AC3150" t="n">
        <v>3</v>
      </c>
      <c r="AD3150" t="n">
        <v>27</v>
      </c>
      <c r="AE3150" t="n">
        <v>27</v>
      </c>
      <c r="AF3150" t="n">
        <v>9</v>
      </c>
      <c r="AG3150" t="n">
        <v>9</v>
      </c>
      <c r="AH3150" t="n">
        <v>7</v>
      </c>
      <c r="AI3150" t="n">
        <v>7</v>
      </c>
      <c r="AJ3150" t="n">
        <v>21</v>
      </c>
      <c r="AK3150" t="n">
        <v>21</v>
      </c>
      <c r="AL3150" t="n">
        <v>1</v>
      </c>
      <c r="AM3150" t="n">
        <v>1</v>
      </c>
      <c r="AN3150" t="n">
        <v>0</v>
      </c>
      <c r="AO3150" t="n">
        <v>0</v>
      </c>
      <c r="AP3150" t="inlineStr">
        <is>
          <t>No</t>
        </is>
      </c>
      <c r="AQ3150" t="inlineStr">
        <is>
          <t>No</t>
        </is>
      </c>
      <c r="AS3150">
        <f>HYPERLINK("https://creighton-primo.hosted.exlibrisgroup.com/primo-explore/search?tab=default_tab&amp;search_scope=EVERYTHING&amp;vid=01CRU&amp;lang=en_US&amp;offset=0&amp;query=any,contains,991000247399702656","Catalog Record")</f>
        <v/>
      </c>
      <c r="AT3150">
        <f>HYPERLINK("http://www.worldcat.org/oclc/9728281","WorldCat Record")</f>
        <v/>
      </c>
      <c r="AU3150" t="inlineStr">
        <is>
          <t>47360691:eng</t>
        </is>
      </c>
      <c r="AV3150" t="inlineStr">
        <is>
          <t>9728281</t>
        </is>
      </c>
      <c r="AW3150" t="inlineStr">
        <is>
          <t>991000247399702656</t>
        </is>
      </c>
      <c r="AX3150" t="inlineStr">
        <is>
          <t>991000247399702656</t>
        </is>
      </c>
      <c r="AY3150" t="inlineStr">
        <is>
          <t>2266422870002656</t>
        </is>
      </c>
      <c r="AZ3150" t="inlineStr">
        <is>
          <t>BOOK</t>
        </is>
      </c>
      <c r="BB3150" t="inlineStr">
        <is>
          <t>9780888442765</t>
        </is>
      </c>
      <c r="BC3150" t="inlineStr">
        <is>
          <t>32285001083608</t>
        </is>
      </c>
      <c r="BD3150" t="inlineStr">
        <is>
          <t>893620329</t>
        </is>
      </c>
    </row>
    <row r="3151">
      <c r="A3151" t="inlineStr">
        <is>
          <t>No</t>
        </is>
      </c>
      <c r="B3151" t="inlineStr">
        <is>
          <t>BX890.T62 E6 1990</t>
        </is>
      </c>
      <c r="C3151" t="inlineStr">
        <is>
          <t>0                      BX 0890000T  62                 E  6           1990</t>
        </is>
      </c>
      <c r="D3151" t="inlineStr">
        <is>
          <t>The three greatest prayers : commentaries on the Lord's prayer, the Hail Mary, and the Apostles' Creed / St. Thomas Aquinas ; foreword by Ralph McInerny.</t>
        </is>
      </c>
      <c r="F3151" t="inlineStr">
        <is>
          <t>No</t>
        </is>
      </c>
      <c r="G3151" t="inlineStr">
        <is>
          <t>1</t>
        </is>
      </c>
      <c r="H3151" t="inlineStr">
        <is>
          <t>No</t>
        </is>
      </c>
      <c r="I3151" t="inlineStr">
        <is>
          <t>No</t>
        </is>
      </c>
      <c r="J3151" t="inlineStr">
        <is>
          <t>0</t>
        </is>
      </c>
      <c r="K3151" t="inlineStr">
        <is>
          <t>Thomas, Aquinas, Saint, 1225?-1274.</t>
        </is>
      </c>
      <c r="L3151" t="inlineStr">
        <is>
          <t>Manchester, N.H. : Sophia Institute Press, c1990.</t>
        </is>
      </c>
      <c r="M3151" t="inlineStr">
        <is>
          <t>1990</t>
        </is>
      </c>
      <c r="O3151" t="inlineStr">
        <is>
          <t>eng</t>
        </is>
      </c>
      <c r="P3151" t="inlineStr">
        <is>
          <t>nhu</t>
        </is>
      </c>
      <c r="R3151" t="inlineStr">
        <is>
          <t xml:space="preserve">BX </t>
        </is>
      </c>
      <c r="S3151" t="n">
        <v>9</v>
      </c>
      <c r="T3151" t="n">
        <v>9</v>
      </c>
      <c r="U3151" t="inlineStr">
        <is>
          <t>2007-04-25</t>
        </is>
      </c>
      <c r="V3151" t="inlineStr">
        <is>
          <t>2007-04-25</t>
        </is>
      </c>
      <c r="W3151" t="inlineStr">
        <is>
          <t>1993-08-20</t>
        </is>
      </c>
      <c r="X3151" t="inlineStr">
        <is>
          <t>1993-08-20</t>
        </is>
      </c>
      <c r="Y3151" t="n">
        <v>195</v>
      </c>
      <c r="Z3151" t="n">
        <v>170</v>
      </c>
      <c r="AA3151" t="n">
        <v>262</v>
      </c>
      <c r="AB3151" t="n">
        <v>2</v>
      </c>
      <c r="AC3151" t="n">
        <v>2</v>
      </c>
      <c r="AD3151" t="n">
        <v>18</v>
      </c>
      <c r="AE3151" t="n">
        <v>30</v>
      </c>
      <c r="AF3151" t="n">
        <v>9</v>
      </c>
      <c r="AG3151" t="n">
        <v>12</v>
      </c>
      <c r="AH3151" t="n">
        <v>2</v>
      </c>
      <c r="AI3151" t="n">
        <v>5</v>
      </c>
      <c r="AJ3151" t="n">
        <v>12</v>
      </c>
      <c r="AK3151" t="n">
        <v>22</v>
      </c>
      <c r="AL3151" t="n">
        <v>0</v>
      </c>
      <c r="AM3151" t="n">
        <v>0</v>
      </c>
      <c r="AN3151" t="n">
        <v>0</v>
      </c>
      <c r="AO3151" t="n">
        <v>0</v>
      </c>
      <c r="AP3151" t="inlineStr">
        <is>
          <t>No</t>
        </is>
      </c>
      <c r="AQ3151" t="inlineStr">
        <is>
          <t>Yes</t>
        </is>
      </c>
      <c r="AR3151">
        <f>HYPERLINK("http://catalog.hathitrust.org/Record/002955543","HathiTrust Record")</f>
        <v/>
      </c>
      <c r="AS3151">
        <f>HYPERLINK("https://creighton-primo.hosted.exlibrisgroup.com/primo-explore/search?tab=default_tab&amp;search_scope=EVERYTHING&amp;vid=01CRU&amp;lang=en_US&amp;offset=0&amp;query=any,contains,991001053419702656","Catalog Record")</f>
        <v/>
      </c>
      <c r="AT3151">
        <f>HYPERLINK("http://www.worldcat.org/oclc/15662165","WorldCat Record")</f>
        <v/>
      </c>
      <c r="AU3151" t="inlineStr">
        <is>
          <t>1474806:eng</t>
        </is>
      </c>
      <c r="AV3151" t="inlineStr">
        <is>
          <t>15662165</t>
        </is>
      </c>
      <c r="AW3151" t="inlineStr">
        <is>
          <t>991001053419702656</t>
        </is>
      </c>
      <c r="AX3151" t="inlineStr">
        <is>
          <t>991001053419702656</t>
        </is>
      </c>
      <c r="AY3151" t="inlineStr">
        <is>
          <t>2263538930002656</t>
        </is>
      </c>
      <c r="AZ3151" t="inlineStr">
        <is>
          <t>BOOK</t>
        </is>
      </c>
      <c r="BB3151" t="inlineStr">
        <is>
          <t>9780918477057</t>
        </is>
      </c>
      <c r="BC3151" t="inlineStr">
        <is>
          <t>32285001727758</t>
        </is>
      </c>
      <c r="BD3151" t="inlineStr">
        <is>
          <t>893683978</t>
        </is>
      </c>
    </row>
    <row r="3152">
      <c r="A3152" t="inlineStr">
        <is>
          <t>No</t>
        </is>
      </c>
      <c r="B3152" t="inlineStr">
        <is>
          <t>BX891 .A213 1966a</t>
        </is>
      </c>
      <c r="C3152" t="inlineStr">
        <is>
          <t>0                      BX 0891000A  213         1966a</t>
        </is>
      </c>
      <c r="D3152" t="inlineStr">
        <is>
          <t>The church is different / by Robert Adolfs. Translated by Hubert Hoskins.</t>
        </is>
      </c>
      <c r="F3152" t="inlineStr">
        <is>
          <t>No</t>
        </is>
      </c>
      <c r="G3152" t="inlineStr">
        <is>
          <t>1</t>
        </is>
      </c>
      <c r="H3152" t="inlineStr">
        <is>
          <t>No</t>
        </is>
      </c>
      <c r="I3152" t="inlineStr">
        <is>
          <t>No</t>
        </is>
      </c>
      <c r="J3152" t="inlineStr">
        <is>
          <t>0</t>
        </is>
      </c>
      <c r="K3152" t="inlineStr">
        <is>
          <t>Adolfs, Robert, 1922-</t>
        </is>
      </c>
      <c r="L3152" t="inlineStr">
        <is>
          <t>New York, Harper &amp; Row [1966]</t>
        </is>
      </c>
      <c r="M3152" t="inlineStr">
        <is>
          <t>1966</t>
        </is>
      </c>
      <c r="N3152" t="inlineStr">
        <is>
          <t>[1st ed.]</t>
        </is>
      </c>
      <c r="O3152" t="inlineStr">
        <is>
          <t>eng</t>
        </is>
      </c>
      <c r="P3152" t="inlineStr">
        <is>
          <t>nyu</t>
        </is>
      </c>
      <c r="R3152" t="inlineStr">
        <is>
          <t xml:space="preserve">BX </t>
        </is>
      </c>
      <c r="S3152" t="n">
        <v>2</v>
      </c>
      <c r="T3152" t="n">
        <v>2</v>
      </c>
      <c r="U3152" t="inlineStr">
        <is>
          <t>1995-02-23</t>
        </is>
      </c>
      <c r="V3152" t="inlineStr">
        <is>
          <t>1995-02-23</t>
        </is>
      </c>
      <c r="W3152" t="inlineStr">
        <is>
          <t>1992-05-15</t>
        </is>
      </c>
      <c r="X3152" t="inlineStr">
        <is>
          <t>1992-05-15</t>
        </is>
      </c>
      <c r="Y3152" t="n">
        <v>238</v>
      </c>
      <c r="Z3152" t="n">
        <v>222</v>
      </c>
      <c r="AA3152" t="n">
        <v>245</v>
      </c>
      <c r="AB3152" t="n">
        <v>2</v>
      </c>
      <c r="AC3152" t="n">
        <v>2</v>
      </c>
      <c r="AD3152" t="n">
        <v>28</v>
      </c>
      <c r="AE3152" t="n">
        <v>30</v>
      </c>
      <c r="AF3152" t="n">
        <v>7</v>
      </c>
      <c r="AG3152" t="n">
        <v>8</v>
      </c>
      <c r="AH3152" t="n">
        <v>7</v>
      </c>
      <c r="AI3152" t="n">
        <v>7</v>
      </c>
      <c r="AJ3152" t="n">
        <v>21</v>
      </c>
      <c r="AK3152" t="n">
        <v>23</v>
      </c>
      <c r="AL3152" t="n">
        <v>1</v>
      </c>
      <c r="AM3152" t="n">
        <v>1</v>
      </c>
      <c r="AN3152" t="n">
        <v>0</v>
      </c>
      <c r="AO3152" t="n">
        <v>0</v>
      </c>
      <c r="AP3152" t="inlineStr">
        <is>
          <t>No</t>
        </is>
      </c>
      <c r="AQ3152" t="inlineStr">
        <is>
          <t>No</t>
        </is>
      </c>
      <c r="AS3152">
        <f>HYPERLINK("https://creighton-primo.hosted.exlibrisgroup.com/primo-explore/search?tab=default_tab&amp;search_scope=EVERYTHING&amp;vid=01CRU&amp;lang=en_US&amp;offset=0&amp;query=any,contains,991003190329702656","Catalog Record")</f>
        <v/>
      </c>
      <c r="AT3152">
        <f>HYPERLINK("http://www.worldcat.org/oclc/665316","WorldCat Record")</f>
        <v/>
      </c>
      <c r="AU3152" t="inlineStr">
        <is>
          <t>4917505842:eng</t>
        </is>
      </c>
      <c r="AV3152" t="inlineStr">
        <is>
          <t>665316</t>
        </is>
      </c>
      <c r="AW3152" t="inlineStr">
        <is>
          <t>991003190329702656</t>
        </is>
      </c>
      <c r="AX3152" t="inlineStr">
        <is>
          <t>991003190329702656</t>
        </is>
      </c>
      <c r="AY3152" t="inlineStr">
        <is>
          <t>2256913920002656</t>
        </is>
      </c>
      <c r="AZ3152" t="inlineStr">
        <is>
          <t>BOOK</t>
        </is>
      </c>
      <c r="BC3152" t="inlineStr">
        <is>
          <t>32285001083731</t>
        </is>
      </c>
      <c r="BD3152" t="inlineStr">
        <is>
          <t>893511645</t>
        </is>
      </c>
    </row>
    <row r="3153">
      <c r="A3153" t="inlineStr">
        <is>
          <t>No</t>
        </is>
      </c>
      <c r="B3153" t="inlineStr">
        <is>
          <t>BX891 .A7 1966</t>
        </is>
      </c>
      <c r="C3153" t="inlineStr">
        <is>
          <t>0                      BX 0891000A  7           1966</t>
        </is>
      </c>
      <c r="D3153" t="inlineStr">
        <is>
          <t>What's happening to the Catholic Church? / [by] April Armstrong.</t>
        </is>
      </c>
      <c r="F3153" t="inlineStr">
        <is>
          <t>No</t>
        </is>
      </c>
      <c r="G3153" t="inlineStr">
        <is>
          <t>1</t>
        </is>
      </c>
      <c r="H3153" t="inlineStr">
        <is>
          <t>No</t>
        </is>
      </c>
      <c r="I3153" t="inlineStr">
        <is>
          <t>No</t>
        </is>
      </c>
      <c r="J3153" t="inlineStr">
        <is>
          <t>0</t>
        </is>
      </c>
      <c r="K3153" t="inlineStr">
        <is>
          <t>Armstrong, April Oursler.</t>
        </is>
      </c>
      <c r="L3153" t="inlineStr">
        <is>
          <t>Garden City, N.Y. : Doubleday, 1966.</t>
        </is>
      </c>
      <c r="M3153" t="inlineStr">
        <is>
          <t>1966</t>
        </is>
      </c>
      <c r="N3153" t="inlineStr">
        <is>
          <t>[1st ed.]</t>
        </is>
      </c>
      <c r="O3153" t="inlineStr">
        <is>
          <t>eng</t>
        </is>
      </c>
      <c r="P3153" t="inlineStr">
        <is>
          <t>nyu</t>
        </is>
      </c>
      <c r="R3153" t="inlineStr">
        <is>
          <t xml:space="preserve">BX </t>
        </is>
      </c>
      <c r="S3153" t="n">
        <v>3</v>
      </c>
      <c r="T3153" t="n">
        <v>3</v>
      </c>
      <c r="U3153" t="inlineStr">
        <is>
          <t>1995-02-23</t>
        </is>
      </c>
      <c r="V3153" t="inlineStr">
        <is>
          <t>1995-02-23</t>
        </is>
      </c>
      <c r="W3153" t="inlineStr">
        <is>
          <t>1990-04-20</t>
        </is>
      </c>
      <c r="X3153" t="inlineStr">
        <is>
          <t>1990-04-20</t>
        </is>
      </c>
      <c r="Y3153" t="n">
        <v>297</v>
      </c>
      <c r="Z3153" t="n">
        <v>287</v>
      </c>
      <c r="AA3153" t="n">
        <v>311</v>
      </c>
      <c r="AB3153" t="n">
        <v>2</v>
      </c>
      <c r="AC3153" t="n">
        <v>2</v>
      </c>
      <c r="AD3153" t="n">
        <v>19</v>
      </c>
      <c r="AE3153" t="n">
        <v>20</v>
      </c>
      <c r="AF3153" t="n">
        <v>2</v>
      </c>
      <c r="AG3153" t="n">
        <v>3</v>
      </c>
      <c r="AH3153" t="n">
        <v>7</v>
      </c>
      <c r="AI3153" t="n">
        <v>7</v>
      </c>
      <c r="AJ3153" t="n">
        <v>13</v>
      </c>
      <c r="AK3153" t="n">
        <v>14</v>
      </c>
      <c r="AL3153" t="n">
        <v>1</v>
      </c>
      <c r="AM3153" t="n">
        <v>1</v>
      </c>
      <c r="AN3153" t="n">
        <v>0</v>
      </c>
      <c r="AO3153" t="n">
        <v>0</v>
      </c>
      <c r="AP3153" t="inlineStr">
        <is>
          <t>No</t>
        </is>
      </c>
      <c r="AQ3153" t="inlineStr">
        <is>
          <t>Yes</t>
        </is>
      </c>
      <c r="AR3153">
        <f>HYPERLINK("http://catalog.hathitrust.org/Record/012264138","HathiTrust Record")</f>
        <v/>
      </c>
      <c r="AS3153">
        <f>HYPERLINK("https://creighton-primo.hosted.exlibrisgroup.com/primo-explore/search?tab=default_tab&amp;search_scope=EVERYTHING&amp;vid=01CRU&amp;lang=en_US&amp;offset=0&amp;query=any,contains,991004322719702656","Catalog Record")</f>
        <v/>
      </c>
      <c r="AT3153">
        <f>HYPERLINK("http://www.worldcat.org/oclc/3022915","WorldCat Record")</f>
        <v/>
      </c>
      <c r="AU3153" t="inlineStr">
        <is>
          <t>2178845:eng</t>
        </is>
      </c>
      <c r="AV3153" t="inlineStr">
        <is>
          <t>3022915</t>
        </is>
      </c>
      <c r="AW3153" t="inlineStr">
        <is>
          <t>991004322719702656</t>
        </is>
      </c>
      <c r="AX3153" t="inlineStr">
        <is>
          <t>991004322719702656</t>
        </is>
      </c>
      <c r="AY3153" t="inlineStr">
        <is>
          <t>2261277220002656</t>
        </is>
      </c>
      <c r="AZ3153" t="inlineStr">
        <is>
          <t>BOOK</t>
        </is>
      </c>
      <c r="BC3153" t="inlineStr">
        <is>
          <t>32285000123926</t>
        </is>
      </c>
      <c r="BD3153" t="inlineStr">
        <is>
          <t>893229210</t>
        </is>
      </c>
    </row>
    <row r="3154">
      <c r="A3154" t="inlineStr">
        <is>
          <t>No</t>
        </is>
      </c>
      <c r="B3154" t="inlineStr">
        <is>
          <t>BX891 .B33</t>
        </is>
      </c>
      <c r="C3154" t="inlineStr">
        <is>
          <t>0                      BX 0891000B  33</t>
        </is>
      </c>
      <c r="D3154" t="inlineStr">
        <is>
          <t>Hans Urs von Balthasar [compiled by Martin Redfern]</t>
        </is>
      </c>
      <c r="F3154" t="inlineStr">
        <is>
          <t>No</t>
        </is>
      </c>
      <c r="G3154" t="inlineStr">
        <is>
          <t>1</t>
        </is>
      </c>
      <c r="H3154" t="inlineStr">
        <is>
          <t>No</t>
        </is>
      </c>
      <c r="I3154" t="inlineStr">
        <is>
          <t>No</t>
        </is>
      </c>
      <c r="J3154" t="inlineStr">
        <is>
          <t>0</t>
        </is>
      </c>
      <c r="K3154" t="inlineStr">
        <is>
          <t>Balthasar, Hans Urs von, 1905-1988.</t>
        </is>
      </c>
      <c r="L3154" t="inlineStr">
        <is>
          <t>London, New York, Sheed &amp; Ward, 1972.</t>
        </is>
      </c>
      <c r="M3154" t="inlineStr">
        <is>
          <t>1972</t>
        </is>
      </c>
      <c r="O3154" t="inlineStr">
        <is>
          <t>eng</t>
        </is>
      </c>
      <c r="P3154" t="inlineStr">
        <is>
          <t>enk</t>
        </is>
      </c>
      <c r="Q3154" t="inlineStr">
        <is>
          <t>Theologians today: a series selected and edited by Martin Redfern</t>
        </is>
      </c>
      <c r="R3154" t="inlineStr">
        <is>
          <t xml:space="preserve">BX </t>
        </is>
      </c>
      <c r="S3154" t="n">
        <v>4</v>
      </c>
      <c r="T3154" t="n">
        <v>4</v>
      </c>
      <c r="U3154" t="inlineStr">
        <is>
          <t>2005-08-17</t>
        </is>
      </c>
      <c r="V3154" t="inlineStr">
        <is>
          <t>2005-08-17</t>
        </is>
      </c>
      <c r="W3154" t="inlineStr">
        <is>
          <t>1992-05-15</t>
        </is>
      </c>
      <c r="X3154" t="inlineStr">
        <is>
          <t>1992-05-15</t>
        </is>
      </c>
      <c r="Y3154" t="n">
        <v>294</v>
      </c>
      <c r="Z3154" t="n">
        <v>236</v>
      </c>
      <c r="AA3154" t="n">
        <v>238</v>
      </c>
      <c r="AB3154" t="n">
        <v>4</v>
      </c>
      <c r="AC3154" t="n">
        <v>4</v>
      </c>
      <c r="AD3154" t="n">
        <v>20</v>
      </c>
      <c r="AE3154" t="n">
        <v>20</v>
      </c>
      <c r="AF3154" t="n">
        <v>6</v>
      </c>
      <c r="AG3154" t="n">
        <v>6</v>
      </c>
      <c r="AH3154" t="n">
        <v>4</v>
      </c>
      <c r="AI3154" t="n">
        <v>4</v>
      </c>
      <c r="AJ3154" t="n">
        <v>16</v>
      </c>
      <c r="AK3154" t="n">
        <v>16</v>
      </c>
      <c r="AL3154" t="n">
        <v>1</v>
      </c>
      <c r="AM3154" t="n">
        <v>1</v>
      </c>
      <c r="AN3154" t="n">
        <v>0</v>
      </c>
      <c r="AO3154" t="n">
        <v>0</v>
      </c>
      <c r="AP3154" t="inlineStr">
        <is>
          <t>No</t>
        </is>
      </c>
      <c r="AQ3154" t="inlineStr">
        <is>
          <t>Yes</t>
        </is>
      </c>
      <c r="AR3154">
        <f>HYPERLINK("http://catalog.hathitrust.org/Record/001415691","HathiTrust Record")</f>
        <v/>
      </c>
      <c r="AS3154">
        <f>HYPERLINK("https://creighton-primo.hosted.exlibrisgroup.com/primo-explore/search?tab=default_tab&amp;search_scope=EVERYTHING&amp;vid=01CRU&amp;lang=en_US&amp;offset=0&amp;query=any,contains,991003266639702656","Catalog Record")</f>
        <v/>
      </c>
      <c r="AT3154">
        <f>HYPERLINK("http://www.worldcat.org/oclc/734096","WorldCat Record")</f>
        <v/>
      </c>
      <c r="AU3154" t="inlineStr">
        <is>
          <t>3901575064:eng</t>
        </is>
      </c>
      <c r="AV3154" t="inlineStr">
        <is>
          <t>734096</t>
        </is>
      </c>
      <c r="AW3154" t="inlineStr">
        <is>
          <t>991003266639702656</t>
        </is>
      </c>
      <c r="AX3154" t="inlineStr">
        <is>
          <t>991003266639702656</t>
        </is>
      </c>
      <c r="AY3154" t="inlineStr">
        <is>
          <t>2263116280002656</t>
        </is>
      </c>
      <c r="AZ3154" t="inlineStr">
        <is>
          <t>BOOK</t>
        </is>
      </c>
      <c r="BB3154" t="inlineStr">
        <is>
          <t>9780722072400</t>
        </is>
      </c>
      <c r="BC3154" t="inlineStr">
        <is>
          <t>32285001083749</t>
        </is>
      </c>
      <c r="BD3154" t="inlineStr">
        <is>
          <t>893623323</t>
        </is>
      </c>
    </row>
    <row r="3155">
      <c r="A3155" t="inlineStr">
        <is>
          <t>No</t>
        </is>
      </c>
      <c r="B3155" t="inlineStr">
        <is>
          <t>BX891 .C5813</t>
        </is>
      </c>
      <c r="C3155" t="inlineStr">
        <is>
          <t>0                      BX 0891000C  5813</t>
        </is>
      </c>
      <c r="D3155" t="inlineStr">
        <is>
          <t>Priest and layman / [by] Yves Congar; translated [from the French] by P. J. Hepburne-Scott.</t>
        </is>
      </c>
      <c r="F3155" t="inlineStr">
        <is>
          <t>No</t>
        </is>
      </c>
      <c r="G3155" t="inlineStr">
        <is>
          <t>1</t>
        </is>
      </c>
      <c r="H3155" t="inlineStr">
        <is>
          <t>No</t>
        </is>
      </c>
      <c r="I3155" t="inlineStr">
        <is>
          <t>No</t>
        </is>
      </c>
      <c r="J3155" t="inlineStr">
        <is>
          <t>0</t>
        </is>
      </c>
      <c r="K3155" t="inlineStr">
        <is>
          <t>Congar, Yves, 1904-1995.</t>
        </is>
      </c>
      <c r="L3155" t="inlineStr">
        <is>
          <t>London, Darton, Longman &amp; Todd, 1967.</t>
        </is>
      </c>
      <c r="M3155" t="inlineStr">
        <is>
          <t>1967</t>
        </is>
      </c>
      <c r="O3155" t="inlineStr">
        <is>
          <t>eng</t>
        </is>
      </c>
      <c r="P3155" t="inlineStr">
        <is>
          <t>enk</t>
        </is>
      </c>
      <c r="R3155" t="inlineStr">
        <is>
          <t xml:space="preserve">BX </t>
        </is>
      </c>
      <c r="S3155" t="n">
        <v>4</v>
      </c>
      <c r="T3155" t="n">
        <v>4</v>
      </c>
      <c r="U3155" t="inlineStr">
        <is>
          <t>2010-07-27</t>
        </is>
      </c>
      <c r="V3155" t="inlineStr">
        <is>
          <t>2010-07-27</t>
        </is>
      </c>
      <c r="W3155" t="inlineStr">
        <is>
          <t>1992-03-30</t>
        </is>
      </c>
      <c r="X3155" t="inlineStr">
        <is>
          <t>1992-03-30</t>
        </is>
      </c>
      <c r="Y3155" t="n">
        <v>123</v>
      </c>
      <c r="Z3155" t="n">
        <v>65</v>
      </c>
      <c r="AA3155" t="n">
        <v>65</v>
      </c>
      <c r="AB3155" t="n">
        <v>1</v>
      </c>
      <c r="AC3155" t="n">
        <v>1</v>
      </c>
      <c r="AD3155" t="n">
        <v>10</v>
      </c>
      <c r="AE3155" t="n">
        <v>10</v>
      </c>
      <c r="AF3155" t="n">
        <v>0</v>
      </c>
      <c r="AG3155" t="n">
        <v>0</v>
      </c>
      <c r="AH3155" t="n">
        <v>2</v>
      </c>
      <c r="AI3155" t="n">
        <v>2</v>
      </c>
      <c r="AJ3155" t="n">
        <v>9</v>
      </c>
      <c r="AK3155" t="n">
        <v>9</v>
      </c>
      <c r="AL3155" t="n">
        <v>0</v>
      </c>
      <c r="AM3155" t="n">
        <v>0</v>
      </c>
      <c r="AN3155" t="n">
        <v>0</v>
      </c>
      <c r="AO3155" t="n">
        <v>0</v>
      </c>
      <c r="AP3155" t="inlineStr">
        <is>
          <t>No</t>
        </is>
      </c>
      <c r="AQ3155" t="inlineStr">
        <is>
          <t>No</t>
        </is>
      </c>
      <c r="AS3155">
        <f>HYPERLINK("https://creighton-primo.hosted.exlibrisgroup.com/primo-explore/search?tab=default_tab&amp;search_scope=EVERYTHING&amp;vid=01CRU&amp;lang=en_US&amp;offset=0&amp;query=any,contains,991003750919702656","Catalog Record")</f>
        <v/>
      </c>
      <c r="AT3155">
        <f>HYPERLINK("http://www.worldcat.org/oclc/1426876","WorldCat Record")</f>
        <v/>
      </c>
      <c r="AU3155" t="inlineStr">
        <is>
          <t>2286683594:eng</t>
        </is>
      </c>
      <c r="AV3155" t="inlineStr">
        <is>
          <t>1426876</t>
        </is>
      </c>
      <c r="AW3155" t="inlineStr">
        <is>
          <t>991003750919702656</t>
        </is>
      </c>
      <c r="AX3155" t="inlineStr">
        <is>
          <t>991003750919702656</t>
        </is>
      </c>
      <c r="AY3155" t="inlineStr">
        <is>
          <t>2271277830002656</t>
        </is>
      </c>
      <c r="AZ3155" t="inlineStr">
        <is>
          <t>BOOK</t>
        </is>
      </c>
      <c r="BC3155" t="inlineStr">
        <is>
          <t>32285001040962</t>
        </is>
      </c>
      <c r="BD3155" t="inlineStr">
        <is>
          <t>893868804</t>
        </is>
      </c>
    </row>
    <row r="3156">
      <c r="A3156" t="inlineStr">
        <is>
          <t>No</t>
        </is>
      </c>
      <c r="B3156" t="inlineStr">
        <is>
          <t>BX891 .C5813 1968</t>
        </is>
      </c>
      <c r="C3156" t="inlineStr">
        <is>
          <t>0                      BX 0891000C  5813        1968</t>
        </is>
      </c>
      <c r="D3156" t="inlineStr">
        <is>
          <t>Christians active in the world / [by] Yves Congar. Translated by P. J. Hepburne-Scott.</t>
        </is>
      </c>
      <c r="F3156" t="inlineStr">
        <is>
          <t>No</t>
        </is>
      </c>
      <c r="G3156" t="inlineStr">
        <is>
          <t>1</t>
        </is>
      </c>
      <c r="H3156" t="inlineStr">
        <is>
          <t>No</t>
        </is>
      </c>
      <c r="I3156" t="inlineStr">
        <is>
          <t>No</t>
        </is>
      </c>
      <c r="J3156" t="inlineStr">
        <is>
          <t>0</t>
        </is>
      </c>
      <c r="K3156" t="inlineStr">
        <is>
          <t>Congar, Yves, 1904-1995.</t>
        </is>
      </c>
      <c r="L3156" t="inlineStr">
        <is>
          <t>[New York] : Herder and Herder, [1968]</t>
        </is>
      </c>
      <c r="M3156" t="inlineStr">
        <is>
          <t>1968</t>
        </is>
      </c>
      <c r="O3156" t="inlineStr">
        <is>
          <t>eng</t>
        </is>
      </c>
      <c r="P3156" t="inlineStr">
        <is>
          <t>nyu</t>
        </is>
      </c>
      <c r="R3156" t="inlineStr">
        <is>
          <t xml:space="preserve">BX </t>
        </is>
      </c>
      <c r="S3156" t="n">
        <v>2</v>
      </c>
      <c r="T3156" t="n">
        <v>2</v>
      </c>
      <c r="U3156" t="inlineStr">
        <is>
          <t>1992-08-27</t>
        </is>
      </c>
      <c r="V3156" t="inlineStr">
        <is>
          <t>1992-08-27</t>
        </is>
      </c>
      <c r="W3156" t="inlineStr">
        <is>
          <t>1992-05-15</t>
        </is>
      </c>
      <c r="X3156" t="inlineStr">
        <is>
          <t>1992-05-15</t>
        </is>
      </c>
      <c r="Y3156" t="n">
        <v>250</v>
      </c>
      <c r="Z3156" t="n">
        <v>228</v>
      </c>
      <c r="AA3156" t="n">
        <v>229</v>
      </c>
      <c r="AB3156" t="n">
        <v>3</v>
      </c>
      <c r="AC3156" t="n">
        <v>3</v>
      </c>
      <c r="AD3156" t="n">
        <v>30</v>
      </c>
      <c r="AE3156" t="n">
        <v>30</v>
      </c>
      <c r="AF3156" t="n">
        <v>10</v>
      </c>
      <c r="AG3156" t="n">
        <v>10</v>
      </c>
      <c r="AH3156" t="n">
        <v>9</v>
      </c>
      <c r="AI3156" t="n">
        <v>9</v>
      </c>
      <c r="AJ3156" t="n">
        <v>20</v>
      </c>
      <c r="AK3156" t="n">
        <v>20</v>
      </c>
      <c r="AL3156" t="n">
        <v>1</v>
      </c>
      <c r="AM3156" t="n">
        <v>1</v>
      </c>
      <c r="AN3156" t="n">
        <v>0</v>
      </c>
      <c r="AO3156" t="n">
        <v>0</v>
      </c>
      <c r="AP3156" t="inlineStr">
        <is>
          <t>No</t>
        </is>
      </c>
      <c r="AQ3156" t="inlineStr">
        <is>
          <t>No</t>
        </is>
      </c>
      <c r="AS3156">
        <f>HYPERLINK("https://creighton-primo.hosted.exlibrisgroup.com/primo-explore/search?tab=default_tab&amp;search_scope=EVERYTHING&amp;vid=01CRU&amp;lang=en_US&amp;offset=0&amp;query=any,contains,991005431039702656","Catalog Record")</f>
        <v/>
      </c>
      <c r="AT3156">
        <f>HYPERLINK("http://www.worldcat.org/oclc/171","WorldCat Record")</f>
        <v/>
      </c>
      <c r="AU3156" t="inlineStr">
        <is>
          <t>2908580090:eng</t>
        </is>
      </c>
      <c r="AV3156" t="inlineStr">
        <is>
          <t>171</t>
        </is>
      </c>
      <c r="AW3156" t="inlineStr">
        <is>
          <t>991005431039702656</t>
        </is>
      </c>
      <c r="AX3156" t="inlineStr">
        <is>
          <t>991005431039702656</t>
        </is>
      </c>
      <c r="AY3156" t="inlineStr">
        <is>
          <t>2272800530002656</t>
        </is>
      </c>
      <c r="AZ3156" t="inlineStr">
        <is>
          <t>BOOK</t>
        </is>
      </c>
      <c r="BC3156" t="inlineStr">
        <is>
          <t>32285001083764</t>
        </is>
      </c>
      <c r="BD3156" t="inlineStr">
        <is>
          <t>893533855</t>
        </is>
      </c>
    </row>
    <row r="3157">
      <c r="A3157" t="inlineStr">
        <is>
          <t>No</t>
        </is>
      </c>
      <c r="B3157" t="inlineStr">
        <is>
          <t>BX891 .L8</t>
        </is>
      </c>
      <c r="C3157" t="inlineStr">
        <is>
          <t>0                      BX 0891000L  8</t>
        </is>
      </c>
      <c r="D3157" t="inlineStr">
        <is>
          <t>Henri de Lubac, S.J. [compiled by Martin Redfern]</t>
        </is>
      </c>
      <c r="F3157" t="inlineStr">
        <is>
          <t>No</t>
        </is>
      </c>
      <c r="G3157" t="inlineStr">
        <is>
          <t>1</t>
        </is>
      </c>
      <c r="H3157" t="inlineStr">
        <is>
          <t>No</t>
        </is>
      </c>
      <c r="I3157" t="inlineStr">
        <is>
          <t>No</t>
        </is>
      </c>
      <c r="J3157" t="inlineStr">
        <is>
          <t>0</t>
        </is>
      </c>
      <c r="K3157" t="inlineStr">
        <is>
          <t>Lubac, Henri de, 1896-1991.</t>
        </is>
      </c>
      <c r="L3157" t="inlineStr">
        <is>
          <t>London, New York, Sheed &amp; Ward, 1972.</t>
        </is>
      </c>
      <c r="M3157" t="inlineStr">
        <is>
          <t>1972</t>
        </is>
      </c>
      <c r="O3157" t="inlineStr">
        <is>
          <t>eng</t>
        </is>
      </c>
      <c r="P3157" t="inlineStr">
        <is>
          <t>enk</t>
        </is>
      </c>
      <c r="Q3157" t="inlineStr">
        <is>
          <t>Theologians today: a series selected and edited by Martin Redfern</t>
        </is>
      </c>
      <c r="R3157" t="inlineStr">
        <is>
          <t xml:space="preserve">BX </t>
        </is>
      </c>
      <c r="S3157" t="n">
        <v>7</v>
      </c>
      <c r="T3157" t="n">
        <v>7</v>
      </c>
      <c r="U3157" t="inlineStr">
        <is>
          <t>1997-09-18</t>
        </is>
      </c>
      <c r="V3157" t="inlineStr">
        <is>
          <t>1997-09-18</t>
        </is>
      </c>
      <c r="W3157" t="inlineStr">
        <is>
          <t>1992-05-15</t>
        </is>
      </c>
      <c r="X3157" t="inlineStr">
        <is>
          <t>1992-05-15</t>
        </is>
      </c>
      <c r="Y3157" t="n">
        <v>279</v>
      </c>
      <c r="Z3157" t="n">
        <v>222</v>
      </c>
      <c r="AA3157" t="n">
        <v>223</v>
      </c>
      <c r="AB3157" t="n">
        <v>2</v>
      </c>
      <c r="AC3157" t="n">
        <v>2</v>
      </c>
      <c r="AD3157" t="n">
        <v>19</v>
      </c>
      <c r="AE3157" t="n">
        <v>19</v>
      </c>
      <c r="AF3157" t="n">
        <v>4</v>
      </c>
      <c r="AG3157" t="n">
        <v>4</v>
      </c>
      <c r="AH3157" t="n">
        <v>5</v>
      </c>
      <c r="AI3157" t="n">
        <v>5</v>
      </c>
      <c r="AJ3157" t="n">
        <v>15</v>
      </c>
      <c r="AK3157" t="n">
        <v>15</v>
      </c>
      <c r="AL3157" t="n">
        <v>1</v>
      </c>
      <c r="AM3157" t="n">
        <v>1</v>
      </c>
      <c r="AN3157" t="n">
        <v>0</v>
      </c>
      <c r="AO3157" t="n">
        <v>0</v>
      </c>
      <c r="AP3157" t="inlineStr">
        <is>
          <t>No</t>
        </is>
      </c>
      <c r="AQ3157" t="inlineStr">
        <is>
          <t>Yes</t>
        </is>
      </c>
      <c r="AR3157">
        <f>HYPERLINK("http://catalog.hathitrust.org/Record/001415700","HathiTrust Record")</f>
        <v/>
      </c>
      <c r="AS3157">
        <f>HYPERLINK("https://creighton-primo.hosted.exlibrisgroup.com/primo-explore/search?tab=default_tab&amp;search_scope=EVERYTHING&amp;vid=01CRU&amp;lang=en_US&amp;offset=0&amp;query=any,contains,991003333869702656","Catalog Record")</f>
        <v/>
      </c>
      <c r="AT3157">
        <f>HYPERLINK("http://www.worldcat.org/oclc/758588","WorldCat Record")</f>
        <v/>
      </c>
      <c r="AU3157" t="inlineStr">
        <is>
          <t>3858960031:eng</t>
        </is>
      </c>
      <c r="AV3157" t="inlineStr">
        <is>
          <t>758588</t>
        </is>
      </c>
      <c r="AW3157" t="inlineStr">
        <is>
          <t>991003333869702656</t>
        </is>
      </c>
      <c r="AX3157" t="inlineStr">
        <is>
          <t>991003333869702656</t>
        </is>
      </c>
      <c r="AY3157" t="inlineStr">
        <is>
          <t>2264584190002656</t>
        </is>
      </c>
      <c r="AZ3157" t="inlineStr">
        <is>
          <t>BOOK</t>
        </is>
      </c>
      <c r="BB3157" t="inlineStr">
        <is>
          <t>9780722072448</t>
        </is>
      </c>
      <c r="BC3157" t="inlineStr">
        <is>
          <t>32285001083814</t>
        </is>
      </c>
      <c r="BD3157" t="inlineStr">
        <is>
          <t>893240105</t>
        </is>
      </c>
    </row>
    <row r="3158">
      <c r="A3158" t="inlineStr">
        <is>
          <t>No</t>
        </is>
      </c>
      <c r="B3158" t="inlineStr">
        <is>
          <t>BX891 .M45</t>
        </is>
      </c>
      <c r="C3158" t="inlineStr">
        <is>
          <t>0                      BX 0891000M  45</t>
        </is>
      </c>
      <c r="D3158" t="inlineStr">
        <is>
          <t>Disputed questions.</t>
        </is>
      </c>
      <c r="F3158" t="inlineStr">
        <is>
          <t>No</t>
        </is>
      </c>
      <c r="G3158" t="inlineStr">
        <is>
          <t>1</t>
        </is>
      </c>
      <c r="H3158" t="inlineStr">
        <is>
          <t>No</t>
        </is>
      </c>
      <c r="I3158" t="inlineStr">
        <is>
          <t>No</t>
        </is>
      </c>
      <c r="J3158" t="inlineStr">
        <is>
          <t>0</t>
        </is>
      </c>
      <c r="K3158" t="inlineStr">
        <is>
          <t>Merton, Thomas, 1915-1968.</t>
        </is>
      </c>
      <c r="L3158" t="inlineStr">
        <is>
          <t>New York, Farrar, Strauss and Cudahy [1960]</t>
        </is>
      </c>
      <c r="M3158" t="inlineStr">
        <is>
          <t>1960</t>
        </is>
      </c>
      <c r="O3158" t="inlineStr">
        <is>
          <t>eng</t>
        </is>
      </c>
      <c r="P3158" t="inlineStr">
        <is>
          <t>nyu</t>
        </is>
      </c>
      <c r="R3158" t="inlineStr">
        <is>
          <t xml:space="preserve">BX </t>
        </is>
      </c>
      <c r="S3158" t="n">
        <v>4</v>
      </c>
      <c r="T3158" t="n">
        <v>4</v>
      </c>
      <c r="U3158" t="inlineStr">
        <is>
          <t>2008-07-26</t>
        </is>
      </c>
      <c r="V3158" t="inlineStr">
        <is>
          <t>2008-07-26</t>
        </is>
      </c>
      <c r="W3158" t="inlineStr">
        <is>
          <t>1992-05-15</t>
        </is>
      </c>
      <c r="X3158" t="inlineStr">
        <is>
          <t>1992-05-15</t>
        </is>
      </c>
      <c r="Y3158" t="n">
        <v>861</v>
      </c>
      <c r="Z3158" t="n">
        <v>797</v>
      </c>
      <c r="AA3158" t="n">
        <v>992</v>
      </c>
      <c r="AB3158" t="n">
        <v>7</v>
      </c>
      <c r="AC3158" t="n">
        <v>8</v>
      </c>
      <c r="AD3158" t="n">
        <v>40</v>
      </c>
      <c r="AE3158" t="n">
        <v>47</v>
      </c>
      <c r="AF3158" t="n">
        <v>14</v>
      </c>
      <c r="AG3158" t="n">
        <v>18</v>
      </c>
      <c r="AH3158" t="n">
        <v>10</v>
      </c>
      <c r="AI3158" t="n">
        <v>11</v>
      </c>
      <c r="AJ3158" t="n">
        <v>24</v>
      </c>
      <c r="AK3158" t="n">
        <v>27</v>
      </c>
      <c r="AL3158" t="n">
        <v>4</v>
      </c>
      <c r="AM3158" t="n">
        <v>5</v>
      </c>
      <c r="AN3158" t="n">
        <v>0</v>
      </c>
      <c r="AO3158" t="n">
        <v>0</v>
      </c>
      <c r="AP3158" t="inlineStr">
        <is>
          <t>No</t>
        </is>
      </c>
      <c r="AQ3158" t="inlineStr">
        <is>
          <t>Yes</t>
        </is>
      </c>
      <c r="AR3158">
        <f>HYPERLINK("http://catalog.hathitrust.org/Record/001415701","HathiTrust Record")</f>
        <v/>
      </c>
      <c r="AS3158">
        <f>HYPERLINK("https://creighton-primo.hosted.exlibrisgroup.com/primo-explore/search?tab=default_tab&amp;search_scope=EVERYTHING&amp;vid=01CRU&amp;lang=en_US&amp;offset=0&amp;query=any,contains,991002649329702656","Catalog Record")</f>
        <v/>
      </c>
      <c r="AT3158">
        <f>HYPERLINK("http://www.worldcat.org/oclc/386651","WorldCat Record")</f>
        <v/>
      </c>
      <c r="AU3158" t="inlineStr">
        <is>
          <t>450287:eng</t>
        </is>
      </c>
      <c r="AV3158" t="inlineStr">
        <is>
          <t>386651</t>
        </is>
      </c>
      <c r="AW3158" t="inlineStr">
        <is>
          <t>991002649329702656</t>
        </is>
      </c>
      <c r="AX3158" t="inlineStr">
        <is>
          <t>991002649329702656</t>
        </is>
      </c>
      <c r="AY3158" t="inlineStr">
        <is>
          <t>2259563670002656</t>
        </is>
      </c>
      <c r="AZ3158" t="inlineStr">
        <is>
          <t>BOOK</t>
        </is>
      </c>
      <c r="BC3158" t="inlineStr">
        <is>
          <t>32285001083848</t>
        </is>
      </c>
      <c r="BD3158" t="inlineStr">
        <is>
          <t>893873787</t>
        </is>
      </c>
    </row>
    <row r="3159">
      <c r="A3159" t="inlineStr">
        <is>
          <t>No</t>
        </is>
      </c>
      <c r="B3159" t="inlineStr">
        <is>
          <t>BX891 .N4</t>
        </is>
      </c>
      <c r="C3159" t="inlineStr">
        <is>
          <t>0                      BX 0891000N  4</t>
        </is>
      </c>
      <c r="D3159" t="inlineStr">
        <is>
          <t>Change and the Catholic Church : an essay in sociological ecclesiology / by Jeremiah Newman.</t>
        </is>
      </c>
      <c r="F3159" t="inlineStr">
        <is>
          <t>No</t>
        </is>
      </c>
      <c r="G3159" t="inlineStr">
        <is>
          <t>1</t>
        </is>
      </c>
      <c r="H3159" t="inlineStr">
        <is>
          <t>No</t>
        </is>
      </c>
      <c r="I3159" t="inlineStr">
        <is>
          <t>No</t>
        </is>
      </c>
      <c r="J3159" t="inlineStr">
        <is>
          <t>0</t>
        </is>
      </c>
      <c r="K3159" t="inlineStr">
        <is>
          <t>Newman, Jeremiah.</t>
        </is>
      </c>
      <c r="L3159" t="inlineStr">
        <is>
          <t>Baltimore, Helicon [1966, c1965]</t>
        </is>
      </c>
      <c r="M3159" t="inlineStr">
        <is>
          <t>1966</t>
        </is>
      </c>
      <c r="O3159" t="inlineStr">
        <is>
          <t>eng</t>
        </is>
      </c>
      <c r="P3159" t="inlineStr">
        <is>
          <t>___</t>
        </is>
      </c>
      <c r="R3159" t="inlineStr">
        <is>
          <t xml:space="preserve">BX </t>
        </is>
      </c>
      <c r="S3159" t="n">
        <v>1</v>
      </c>
      <c r="T3159" t="n">
        <v>1</v>
      </c>
      <c r="U3159" t="inlineStr">
        <is>
          <t>2010-11-10</t>
        </is>
      </c>
      <c r="V3159" t="inlineStr">
        <is>
          <t>2010-11-10</t>
        </is>
      </c>
      <c r="W3159" t="inlineStr">
        <is>
          <t>1992-05-15</t>
        </is>
      </c>
      <c r="X3159" t="inlineStr">
        <is>
          <t>1992-05-15</t>
        </is>
      </c>
      <c r="Y3159" t="n">
        <v>295</v>
      </c>
      <c r="Z3159" t="n">
        <v>273</v>
      </c>
      <c r="AA3159" t="n">
        <v>278</v>
      </c>
      <c r="AB3159" t="n">
        <v>2</v>
      </c>
      <c r="AC3159" t="n">
        <v>2</v>
      </c>
      <c r="AD3159" t="n">
        <v>22</v>
      </c>
      <c r="AE3159" t="n">
        <v>22</v>
      </c>
      <c r="AF3159" t="n">
        <v>10</v>
      </c>
      <c r="AG3159" t="n">
        <v>10</v>
      </c>
      <c r="AH3159" t="n">
        <v>3</v>
      </c>
      <c r="AI3159" t="n">
        <v>3</v>
      </c>
      <c r="AJ3159" t="n">
        <v>16</v>
      </c>
      <c r="AK3159" t="n">
        <v>16</v>
      </c>
      <c r="AL3159" t="n">
        <v>1</v>
      </c>
      <c r="AM3159" t="n">
        <v>1</v>
      </c>
      <c r="AN3159" t="n">
        <v>0</v>
      </c>
      <c r="AO3159" t="n">
        <v>0</v>
      </c>
      <c r="AP3159" t="inlineStr">
        <is>
          <t>No</t>
        </is>
      </c>
      <c r="AQ3159" t="inlineStr">
        <is>
          <t>No</t>
        </is>
      </c>
      <c r="AS3159">
        <f>HYPERLINK("https://creighton-primo.hosted.exlibrisgroup.com/primo-explore/search?tab=default_tab&amp;search_scope=EVERYTHING&amp;vid=01CRU&amp;lang=en_US&amp;offset=0&amp;query=any,contains,991002649349702656","Catalog Record")</f>
        <v/>
      </c>
      <c r="AT3159">
        <f>HYPERLINK("http://www.worldcat.org/oclc/386654","WorldCat Record")</f>
        <v/>
      </c>
      <c r="AU3159" t="inlineStr">
        <is>
          <t>8909092174:eng</t>
        </is>
      </c>
      <c r="AV3159" t="inlineStr">
        <is>
          <t>386654</t>
        </is>
      </c>
      <c r="AW3159" t="inlineStr">
        <is>
          <t>991002649349702656</t>
        </is>
      </c>
      <c r="AX3159" t="inlineStr">
        <is>
          <t>991002649349702656</t>
        </is>
      </c>
      <c r="AY3159" t="inlineStr">
        <is>
          <t>2259563260002656</t>
        </is>
      </c>
      <c r="AZ3159" t="inlineStr">
        <is>
          <t>BOOK</t>
        </is>
      </c>
      <c r="BC3159" t="inlineStr">
        <is>
          <t>32285001083855</t>
        </is>
      </c>
      <c r="BD3159" t="inlineStr">
        <is>
          <t>893710510</t>
        </is>
      </c>
    </row>
    <row r="3160">
      <c r="A3160" t="inlineStr">
        <is>
          <t>No</t>
        </is>
      </c>
      <c r="B3160" t="inlineStr">
        <is>
          <t>BX891 .P343</t>
        </is>
      </c>
      <c r="C3160" t="inlineStr">
        <is>
          <t>0                      BX 0891000P  343</t>
        </is>
      </c>
      <c r="D3160" t="inlineStr">
        <is>
          <t>The mind of Paul VI on the church and the world / Introduction by Augustin, Cardinal Bea; edited from the works of Cardinal Montini by James Walsh; translated by Archibald Colquhoun.</t>
        </is>
      </c>
      <c r="F3160" t="inlineStr">
        <is>
          <t>No</t>
        </is>
      </c>
      <c r="G3160" t="inlineStr">
        <is>
          <t>1</t>
        </is>
      </c>
      <c r="H3160" t="inlineStr">
        <is>
          <t>No</t>
        </is>
      </c>
      <c r="I3160" t="inlineStr">
        <is>
          <t>No</t>
        </is>
      </c>
      <c r="J3160" t="inlineStr">
        <is>
          <t>0</t>
        </is>
      </c>
      <c r="K3160" t="inlineStr">
        <is>
          <t>Paul VI, Pope, 1897-1978.</t>
        </is>
      </c>
      <c r="L3160" t="inlineStr">
        <is>
          <t>Milwaukee, Bruce [1964]</t>
        </is>
      </c>
      <c r="M3160" t="inlineStr">
        <is>
          <t>1964</t>
        </is>
      </c>
      <c r="O3160" t="inlineStr">
        <is>
          <t>eng</t>
        </is>
      </c>
      <c r="P3160" t="inlineStr">
        <is>
          <t>___</t>
        </is>
      </c>
      <c r="R3160" t="inlineStr">
        <is>
          <t xml:space="preserve">BX </t>
        </is>
      </c>
      <c r="S3160" t="n">
        <v>2</v>
      </c>
      <c r="T3160" t="n">
        <v>2</v>
      </c>
      <c r="U3160" t="inlineStr">
        <is>
          <t>2010-11-10</t>
        </is>
      </c>
      <c r="V3160" t="inlineStr">
        <is>
          <t>2010-11-10</t>
        </is>
      </c>
      <c r="W3160" t="inlineStr">
        <is>
          <t>1992-05-15</t>
        </is>
      </c>
      <c r="X3160" t="inlineStr">
        <is>
          <t>1992-05-15</t>
        </is>
      </c>
      <c r="Y3160" t="n">
        <v>281</v>
      </c>
      <c r="Z3160" t="n">
        <v>258</v>
      </c>
      <c r="AA3160" t="n">
        <v>288</v>
      </c>
      <c r="AB3160" t="n">
        <v>3</v>
      </c>
      <c r="AC3160" t="n">
        <v>3</v>
      </c>
      <c r="AD3160" t="n">
        <v>27</v>
      </c>
      <c r="AE3160" t="n">
        <v>30</v>
      </c>
      <c r="AF3160" t="n">
        <v>10</v>
      </c>
      <c r="AG3160" t="n">
        <v>11</v>
      </c>
      <c r="AH3160" t="n">
        <v>7</v>
      </c>
      <c r="AI3160" t="n">
        <v>8</v>
      </c>
      <c r="AJ3160" t="n">
        <v>21</v>
      </c>
      <c r="AK3160" t="n">
        <v>23</v>
      </c>
      <c r="AL3160" t="n">
        <v>0</v>
      </c>
      <c r="AM3160" t="n">
        <v>0</v>
      </c>
      <c r="AN3160" t="n">
        <v>0</v>
      </c>
      <c r="AO3160" t="n">
        <v>0</v>
      </c>
      <c r="AP3160" t="inlineStr">
        <is>
          <t>No</t>
        </is>
      </c>
      <c r="AQ3160" t="inlineStr">
        <is>
          <t>No</t>
        </is>
      </c>
      <c r="AS3160">
        <f>HYPERLINK("https://creighton-primo.hosted.exlibrisgroup.com/primo-explore/search?tab=default_tab&amp;search_scope=EVERYTHING&amp;vid=01CRU&amp;lang=en_US&amp;offset=0&amp;query=any,contains,991003191379702656","Catalog Record")</f>
        <v/>
      </c>
      <c r="AT3160">
        <f>HYPERLINK("http://www.worldcat.org/oclc/716581","WorldCat Record")</f>
        <v/>
      </c>
      <c r="AU3160" t="inlineStr">
        <is>
          <t>1688146:eng</t>
        </is>
      </c>
      <c r="AV3160" t="inlineStr">
        <is>
          <t>716581</t>
        </is>
      </c>
      <c r="AW3160" t="inlineStr">
        <is>
          <t>991003191379702656</t>
        </is>
      </c>
      <c r="AX3160" t="inlineStr">
        <is>
          <t>991003191379702656</t>
        </is>
      </c>
      <c r="AY3160" t="inlineStr">
        <is>
          <t>2259402500002656</t>
        </is>
      </c>
      <c r="AZ3160" t="inlineStr">
        <is>
          <t>BOOK</t>
        </is>
      </c>
      <c r="BC3160" t="inlineStr">
        <is>
          <t>32285001083863</t>
        </is>
      </c>
      <c r="BD3160" t="inlineStr">
        <is>
          <t>893323849</t>
        </is>
      </c>
    </row>
    <row r="3161">
      <c r="A3161" t="inlineStr">
        <is>
          <t>No</t>
        </is>
      </c>
      <c r="B3161" t="inlineStr">
        <is>
          <t>BX891 .P354 1969</t>
        </is>
      </c>
      <c r="C3161" t="inlineStr">
        <is>
          <t>0                      BX 0891000P  354         1969</t>
        </is>
      </c>
      <c r="D3161" t="inlineStr">
        <is>
          <t>The teachings of Pope Paul VI.</t>
        </is>
      </c>
      <c r="E3161" t="inlineStr">
        <is>
          <t>V. 1</t>
        </is>
      </c>
      <c r="F3161" t="inlineStr">
        <is>
          <t>Yes</t>
        </is>
      </c>
      <c r="G3161" t="inlineStr">
        <is>
          <t>2</t>
        </is>
      </c>
      <c r="H3161" t="inlineStr">
        <is>
          <t>No</t>
        </is>
      </c>
      <c r="I3161" t="inlineStr">
        <is>
          <t>Yes</t>
        </is>
      </c>
      <c r="J3161" t="inlineStr">
        <is>
          <t>0</t>
        </is>
      </c>
      <c r="K3161" t="inlineStr">
        <is>
          <t>Paul VI, Pope, 1897-1978.</t>
        </is>
      </c>
      <c r="L3161" t="inlineStr">
        <is>
          <t>Città del Vaticano : Libreria editrice vaticana, [1969?]-</t>
        </is>
      </c>
      <c r="M3161" t="inlineStr">
        <is>
          <t>1969</t>
        </is>
      </c>
      <c r="O3161" t="inlineStr">
        <is>
          <t>eng</t>
        </is>
      </c>
      <c r="P3161" t="inlineStr">
        <is>
          <t xml:space="preserve">vc </t>
        </is>
      </c>
      <c r="R3161" t="inlineStr">
        <is>
          <t xml:space="preserve">BX </t>
        </is>
      </c>
      <c r="S3161" t="n">
        <v>1</v>
      </c>
      <c r="T3161" t="n">
        <v>9</v>
      </c>
      <c r="V3161" t="inlineStr">
        <is>
          <t>2004-08-25</t>
        </is>
      </c>
      <c r="W3161" t="inlineStr">
        <is>
          <t>1992-05-15</t>
        </is>
      </c>
      <c r="X3161" t="inlineStr">
        <is>
          <t>1992-05-15</t>
        </is>
      </c>
      <c r="Y3161" t="n">
        <v>145</v>
      </c>
      <c r="Z3161" t="n">
        <v>120</v>
      </c>
      <c r="AA3161" t="n">
        <v>181</v>
      </c>
      <c r="AB3161" t="n">
        <v>3</v>
      </c>
      <c r="AC3161" t="n">
        <v>3</v>
      </c>
      <c r="AD3161" t="n">
        <v>16</v>
      </c>
      <c r="AE3161" t="n">
        <v>23</v>
      </c>
      <c r="AF3161" t="n">
        <v>4</v>
      </c>
      <c r="AG3161" t="n">
        <v>6</v>
      </c>
      <c r="AH3161" t="n">
        <v>7</v>
      </c>
      <c r="AI3161" t="n">
        <v>8</v>
      </c>
      <c r="AJ3161" t="n">
        <v>10</v>
      </c>
      <c r="AK3161" t="n">
        <v>17</v>
      </c>
      <c r="AL3161" t="n">
        <v>1</v>
      </c>
      <c r="AM3161" t="n">
        <v>1</v>
      </c>
      <c r="AN3161" t="n">
        <v>0</v>
      </c>
      <c r="AO3161" t="n">
        <v>0</v>
      </c>
      <c r="AP3161" t="inlineStr">
        <is>
          <t>No</t>
        </is>
      </c>
      <c r="AQ3161" t="inlineStr">
        <is>
          <t>No</t>
        </is>
      </c>
      <c r="AS3161">
        <f>HYPERLINK("https://creighton-primo.hosted.exlibrisgroup.com/primo-explore/search?tab=default_tab&amp;search_scope=EVERYTHING&amp;vid=01CRU&amp;lang=en_US&amp;offset=0&amp;query=any,contains,991000625479702656","Catalog Record")</f>
        <v/>
      </c>
      <c r="AT3161">
        <f>HYPERLINK("http://www.worldcat.org/oclc/104105","WorldCat Record")</f>
        <v/>
      </c>
      <c r="AU3161" t="inlineStr">
        <is>
          <t>1181221:eng</t>
        </is>
      </c>
      <c r="AV3161" t="inlineStr">
        <is>
          <t>104105</t>
        </is>
      </c>
      <c r="AW3161" t="inlineStr">
        <is>
          <t>991000625479702656</t>
        </is>
      </c>
      <c r="AX3161" t="inlineStr">
        <is>
          <t>991000625479702656</t>
        </is>
      </c>
      <c r="AY3161" t="inlineStr">
        <is>
          <t>2260715800002656</t>
        </is>
      </c>
      <c r="AZ3161" t="inlineStr">
        <is>
          <t>BOOK</t>
        </is>
      </c>
      <c r="BC3161" t="inlineStr">
        <is>
          <t>32285001083871</t>
        </is>
      </c>
      <c r="BD3161" t="inlineStr">
        <is>
          <t>893351594</t>
        </is>
      </c>
    </row>
    <row r="3162">
      <c r="A3162" t="inlineStr">
        <is>
          <t>No</t>
        </is>
      </c>
      <c r="B3162" t="inlineStr">
        <is>
          <t>BX891 .P354 1969 V.2</t>
        </is>
      </c>
      <c r="C3162" t="inlineStr">
        <is>
          <t>0                      BX 0891000P  354         1969                                        V.2</t>
        </is>
      </c>
      <c r="D3162" t="inlineStr">
        <is>
          <t>The teachings of Pope Paul VI.</t>
        </is>
      </c>
      <c r="E3162" t="inlineStr">
        <is>
          <t>V. 2</t>
        </is>
      </c>
      <c r="F3162" t="inlineStr">
        <is>
          <t>Yes</t>
        </is>
      </c>
      <c r="G3162" t="inlineStr">
        <is>
          <t>1</t>
        </is>
      </c>
      <c r="H3162" t="inlineStr">
        <is>
          <t>No</t>
        </is>
      </c>
      <c r="I3162" t="inlineStr">
        <is>
          <t>Yes</t>
        </is>
      </c>
      <c r="J3162" t="inlineStr">
        <is>
          <t>0</t>
        </is>
      </c>
      <c r="K3162" t="inlineStr">
        <is>
          <t>Paul VI, Pope, 1897-1978.</t>
        </is>
      </c>
      <c r="L3162" t="inlineStr">
        <is>
          <t>Città del Vaticano : Libreria editrice vaticana, [1969?]-</t>
        </is>
      </c>
      <c r="M3162" t="inlineStr">
        <is>
          <t>1969</t>
        </is>
      </c>
      <c r="O3162" t="inlineStr">
        <is>
          <t>eng</t>
        </is>
      </c>
      <c r="P3162" t="inlineStr">
        <is>
          <t xml:space="preserve">vc </t>
        </is>
      </c>
      <c r="R3162" t="inlineStr">
        <is>
          <t xml:space="preserve">BX </t>
        </is>
      </c>
      <c r="S3162" t="n">
        <v>8</v>
      </c>
      <c r="T3162" t="n">
        <v>9</v>
      </c>
      <c r="U3162" t="inlineStr">
        <is>
          <t>2004-08-25</t>
        </is>
      </c>
      <c r="V3162" t="inlineStr">
        <is>
          <t>2004-08-25</t>
        </is>
      </c>
      <c r="W3162" t="inlineStr">
        <is>
          <t>1992-05-15</t>
        </is>
      </c>
      <c r="X3162" t="inlineStr">
        <is>
          <t>1992-05-15</t>
        </is>
      </c>
      <c r="Y3162" t="n">
        <v>145</v>
      </c>
      <c r="Z3162" t="n">
        <v>120</v>
      </c>
      <c r="AA3162" t="n">
        <v>181</v>
      </c>
      <c r="AB3162" t="n">
        <v>3</v>
      </c>
      <c r="AC3162" t="n">
        <v>3</v>
      </c>
      <c r="AD3162" t="n">
        <v>16</v>
      </c>
      <c r="AE3162" t="n">
        <v>23</v>
      </c>
      <c r="AF3162" t="n">
        <v>4</v>
      </c>
      <c r="AG3162" t="n">
        <v>6</v>
      </c>
      <c r="AH3162" t="n">
        <v>7</v>
      </c>
      <c r="AI3162" t="n">
        <v>8</v>
      </c>
      <c r="AJ3162" t="n">
        <v>10</v>
      </c>
      <c r="AK3162" t="n">
        <v>17</v>
      </c>
      <c r="AL3162" t="n">
        <v>1</v>
      </c>
      <c r="AM3162" t="n">
        <v>1</v>
      </c>
      <c r="AN3162" t="n">
        <v>0</v>
      </c>
      <c r="AO3162" t="n">
        <v>0</v>
      </c>
      <c r="AP3162" t="inlineStr">
        <is>
          <t>No</t>
        </is>
      </c>
      <c r="AQ3162" t="inlineStr">
        <is>
          <t>No</t>
        </is>
      </c>
      <c r="AS3162">
        <f>HYPERLINK("https://creighton-primo.hosted.exlibrisgroup.com/primo-explore/search?tab=default_tab&amp;search_scope=EVERYTHING&amp;vid=01CRU&amp;lang=en_US&amp;offset=0&amp;query=any,contains,991000625479702656","Catalog Record")</f>
        <v/>
      </c>
      <c r="AT3162">
        <f>HYPERLINK("http://www.worldcat.org/oclc/104105","WorldCat Record")</f>
        <v/>
      </c>
      <c r="AU3162" t="inlineStr">
        <is>
          <t>1181221:eng</t>
        </is>
      </c>
      <c r="AV3162" t="inlineStr">
        <is>
          <t>104105</t>
        </is>
      </c>
      <c r="AW3162" t="inlineStr">
        <is>
          <t>991000625479702656</t>
        </is>
      </c>
      <c r="AX3162" t="inlineStr">
        <is>
          <t>991000625479702656</t>
        </is>
      </c>
      <c r="AY3162" t="inlineStr">
        <is>
          <t>2260715800002656</t>
        </is>
      </c>
      <c r="AZ3162" t="inlineStr">
        <is>
          <t>BOOK</t>
        </is>
      </c>
      <c r="BC3162" t="inlineStr">
        <is>
          <t>32285001083897</t>
        </is>
      </c>
      <c r="BD3162" t="inlineStr">
        <is>
          <t>893351593</t>
        </is>
      </c>
    </row>
    <row r="3163">
      <c r="A3163" t="inlineStr">
        <is>
          <t>No</t>
        </is>
      </c>
      <c r="B3163" t="inlineStr">
        <is>
          <t>BX891 .R27</t>
        </is>
      </c>
      <c r="C3163" t="inlineStr">
        <is>
          <t>0                      BX 0891000R  27</t>
        </is>
      </c>
      <c r="D3163" t="inlineStr">
        <is>
          <t>The Christian of the future / Karl Rahner. [Translated by W. J. O'Hara.</t>
        </is>
      </c>
      <c r="F3163" t="inlineStr">
        <is>
          <t>No</t>
        </is>
      </c>
      <c r="G3163" t="inlineStr">
        <is>
          <t>1</t>
        </is>
      </c>
      <c r="H3163" t="inlineStr">
        <is>
          <t>No</t>
        </is>
      </c>
      <c r="I3163" t="inlineStr">
        <is>
          <t>No</t>
        </is>
      </c>
      <c r="J3163" t="inlineStr">
        <is>
          <t>0</t>
        </is>
      </c>
      <c r="K3163" t="inlineStr">
        <is>
          <t>Rahner, Karl, 1904-1984.</t>
        </is>
      </c>
      <c r="L3163" t="inlineStr">
        <is>
          <t>New York] Herder and Herder [1967]</t>
        </is>
      </c>
      <c r="M3163" t="inlineStr">
        <is>
          <t>1967</t>
        </is>
      </c>
      <c r="O3163" t="inlineStr">
        <is>
          <t>eng</t>
        </is>
      </c>
      <c r="P3163" t="inlineStr">
        <is>
          <t>nyu</t>
        </is>
      </c>
      <c r="Q3163" t="inlineStr">
        <is>
          <t>Quaestiones disputatae ; 18</t>
        </is>
      </c>
      <c r="R3163" t="inlineStr">
        <is>
          <t xml:space="preserve">BX </t>
        </is>
      </c>
      <c r="S3163" t="n">
        <v>7</v>
      </c>
      <c r="T3163" t="n">
        <v>7</v>
      </c>
      <c r="U3163" t="inlineStr">
        <is>
          <t>1997-11-05</t>
        </is>
      </c>
      <c r="V3163" t="inlineStr">
        <is>
          <t>1997-11-05</t>
        </is>
      </c>
      <c r="W3163" t="inlineStr">
        <is>
          <t>1992-05-15</t>
        </is>
      </c>
      <c r="X3163" t="inlineStr">
        <is>
          <t>1992-05-15</t>
        </is>
      </c>
      <c r="Y3163" t="n">
        <v>393</v>
      </c>
      <c r="Z3163" t="n">
        <v>356</v>
      </c>
      <c r="AA3163" t="n">
        <v>411</v>
      </c>
      <c r="AB3163" t="n">
        <v>6</v>
      </c>
      <c r="AC3163" t="n">
        <v>6</v>
      </c>
      <c r="AD3163" t="n">
        <v>42</v>
      </c>
      <c r="AE3163" t="n">
        <v>44</v>
      </c>
      <c r="AF3163" t="n">
        <v>17</v>
      </c>
      <c r="AG3163" t="n">
        <v>18</v>
      </c>
      <c r="AH3163" t="n">
        <v>9</v>
      </c>
      <c r="AI3163" t="n">
        <v>9</v>
      </c>
      <c r="AJ3163" t="n">
        <v>25</v>
      </c>
      <c r="AK3163" t="n">
        <v>26</v>
      </c>
      <c r="AL3163" t="n">
        <v>3</v>
      </c>
      <c r="AM3163" t="n">
        <v>3</v>
      </c>
      <c r="AN3163" t="n">
        <v>0</v>
      </c>
      <c r="AO3163" t="n">
        <v>0</v>
      </c>
      <c r="AP3163" t="inlineStr">
        <is>
          <t>No</t>
        </is>
      </c>
      <c r="AQ3163" t="inlineStr">
        <is>
          <t>No</t>
        </is>
      </c>
      <c r="AS3163">
        <f>HYPERLINK("https://creighton-primo.hosted.exlibrisgroup.com/primo-explore/search?tab=default_tab&amp;search_scope=EVERYTHING&amp;vid=01CRU&amp;lang=en_US&amp;offset=0&amp;query=any,contains,991004010109702656","Catalog Record")</f>
        <v/>
      </c>
      <c r="AT3163">
        <f>HYPERLINK("http://www.worldcat.org/oclc/2090689","WorldCat Record")</f>
        <v/>
      </c>
      <c r="AU3163" t="inlineStr">
        <is>
          <t>52124336:eng</t>
        </is>
      </c>
      <c r="AV3163" t="inlineStr">
        <is>
          <t>2090689</t>
        </is>
      </c>
      <c r="AW3163" t="inlineStr">
        <is>
          <t>991004010109702656</t>
        </is>
      </c>
      <c r="AX3163" t="inlineStr">
        <is>
          <t>991004010109702656</t>
        </is>
      </c>
      <c r="AY3163" t="inlineStr">
        <is>
          <t>2267359740002656</t>
        </is>
      </c>
      <c r="AZ3163" t="inlineStr">
        <is>
          <t>BOOK</t>
        </is>
      </c>
      <c r="BC3163" t="inlineStr">
        <is>
          <t>32285001083988</t>
        </is>
      </c>
      <c r="BD3163" t="inlineStr">
        <is>
          <t>893331100</t>
        </is>
      </c>
    </row>
    <row r="3164">
      <c r="A3164" t="inlineStr">
        <is>
          <t>No</t>
        </is>
      </c>
      <c r="B3164" t="inlineStr">
        <is>
          <t>BX891 .R32</t>
        </is>
      </c>
      <c r="C3164" t="inlineStr">
        <is>
          <t>0                      BX 0891000R  32</t>
        </is>
      </c>
      <c r="D3164" t="inlineStr">
        <is>
          <t>Karl Rahner, S.J. [compiled by Martin Redfern]</t>
        </is>
      </c>
      <c r="F3164" t="inlineStr">
        <is>
          <t>No</t>
        </is>
      </c>
      <c r="G3164" t="inlineStr">
        <is>
          <t>1</t>
        </is>
      </c>
      <c r="H3164" t="inlineStr">
        <is>
          <t>No</t>
        </is>
      </c>
      <c r="I3164" t="inlineStr">
        <is>
          <t>No</t>
        </is>
      </c>
      <c r="J3164" t="inlineStr">
        <is>
          <t>0</t>
        </is>
      </c>
      <c r="K3164" t="inlineStr">
        <is>
          <t>Rahner, Karl, 1904-1984.</t>
        </is>
      </c>
      <c r="L3164" t="inlineStr">
        <is>
          <t>London, New York, Sheed &amp; Ward, 1972.</t>
        </is>
      </c>
      <c r="M3164" t="inlineStr">
        <is>
          <t>1972</t>
        </is>
      </c>
      <c r="O3164" t="inlineStr">
        <is>
          <t>eng</t>
        </is>
      </c>
      <c r="P3164" t="inlineStr">
        <is>
          <t>enk</t>
        </is>
      </c>
      <c r="Q3164" t="inlineStr">
        <is>
          <t>Theologians today: a series selected and edited by Martin Redfern</t>
        </is>
      </c>
      <c r="R3164" t="inlineStr">
        <is>
          <t xml:space="preserve">BX </t>
        </is>
      </c>
      <c r="S3164" t="n">
        <v>8</v>
      </c>
      <c r="T3164" t="n">
        <v>8</v>
      </c>
      <c r="U3164" t="inlineStr">
        <is>
          <t>2010-03-20</t>
        </is>
      </c>
      <c r="V3164" t="inlineStr">
        <is>
          <t>2010-03-20</t>
        </is>
      </c>
      <c r="W3164" t="inlineStr">
        <is>
          <t>1992-05-15</t>
        </is>
      </c>
      <c r="X3164" t="inlineStr">
        <is>
          <t>1992-05-15</t>
        </is>
      </c>
      <c r="Y3164" t="n">
        <v>268</v>
      </c>
      <c r="Z3164" t="n">
        <v>218</v>
      </c>
      <c r="AA3164" t="n">
        <v>222</v>
      </c>
      <c r="AB3164" t="n">
        <v>2</v>
      </c>
      <c r="AC3164" t="n">
        <v>2</v>
      </c>
      <c r="AD3164" t="n">
        <v>20</v>
      </c>
      <c r="AE3164" t="n">
        <v>20</v>
      </c>
      <c r="AF3164" t="n">
        <v>6</v>
      </c>
      <c r="AG3164" t="n">
        <v>6</v>
      </c>
      <c r="AH3164" t="n">
        <v>6</v>
      </c>
      <c r="AI3164" t="n">
        <v>6</v>
      </c>
      <c r="AJ3164" t="n">
        <v>14</v>
      </c>
      <c r="AK3164" t="n">
        <v>14</v>
      </c>
      <c r="AL3164" t="n">
        <v>1</v>
      </c>
      <c r="AM3164" t="n">
        <v>1</v>
      </c>
      <c r="AN3164" t="n">
        <v>0</v>
      </c>
      <c r="AO3164" t="n">
        <v>0</v>
      </c>
      <c r="AP3164" t="inlineStr">
        <is>
          <t>No</t>
        </is>
      </c>
      <c r="AQ3164" t="inlineStr">
        <is>
          <t>Yes</t>
        </is>
      </c>
      <c r="AR3164">
        <f>HYPERLINK("http://catalog.hathitrust.org/Record/001415703","HathiTrust Record")</f>
        <v/>
      </c>
      <c r="AS3164">
        <f>HYPERLINK("https://creighton-primo.hosted.exlibrisgroup.com/primo-explore/search?tab=default_tab&amp;search_scope=EVERYTHING&amp;vid=01CRU&amp;lang=en_US&amp;offset=0&amp;query=any,contains,991003266679702656","Catalog Record")</f>
        <v/>
      </c>
      <c r="AT3164">
        <f>HYPERLINK("http://www.worldcat.org/oclc/793131","WorldCat Record")</f>
        <v/>
      </c>
      <c r="AU3164" t="inlineStr">
        <is>
          <t>1059149697:eng</t>
        </is>
      </c>
      <c r="AV3164" t="inlineStr">
        <is>
          <t>793131</t>
        </is>
      </c>
      <c r="AW3164" t="inlineStr">
        <is>
          <t>991003266679702656</t>
        </is>
      </c>
      <c r="AX3164" t="inlineStr">
        <is>
          <t>991003266679702656</t>
        </is>
      </c>
      <c r="AY3164" t="inlineStr">
        <is>
          <t>2263127040002656</t>
        </is>
      </c>
      <c r="AZ3164" t="inlineStr">
        <is>
          <t>BOOK</t>
        </is>
      </c>
      <c r="BB3164" t="inlineStr">
        <is>
          <t>9780722072455</t>
        </is>
      </c>
      <c r="BC3164" t="inlineStr">
        <is>
          <t>32285001084002</t>
        </is>
      </c>
      <c r="BD3164" t="inlineStr">
        <is>
          <t>893904310</t>
        </is>
      </c>
    </row>
    <row r="3165">
      <c r="A3165" t="inlineStr">
        <is>
          <t>No</t>
        </is>
      </c>
      <c r="B3165" t="inlineStr">
        <is>
          <t>BX891 .S354</t>
        </is>
      </c>
      <c r="C3165" t="inlineStr">
        <is>
          <t>0                      BX 0891000S  354</t>
        </is>
      </c>
      <c r="D3165" t="inlineStr">
        <is>
          <t>Edward Schillebeeckx, O.P. [compiled by Martin Redfern]</t>
        </is>
      </c>
      <c r="F3165" t="inlineStr">
        <is>
          <t>No</t>
        </is>
      </c>
      <c r="G3165" t="inlineStr">
        <is>
          <t>1</t>
        </is>
      </c>
      <c r="H3165" t="inlineStr">
        <is>
          <t>No</t>
        </is>
      </c>
      <c r="I3165" t="inlineStr">
        <is>
          <t>No</t>
        </is>
      </c>
      <c r="J3165" t="inlineStr">
        <is>
          <t>0</t>
        </is>
      </c>
      <c r="K3165" t="inlineStr">
        <is>
          <t>Schillebeeckx, Edward, 1914-2009.</t>
        </is>
      </c>
      <c r="L3165" t="inlineStr">
        <is>
          <t>London, New York, Sheed and Ward, 1972.</t>
        </is>
      </c>
      <c r="M3165" t="inlineStr">
        <is>
          <t>1972</t>
        </is>
      </c>
      <c r="O3165" t="inlineStr">
        <is>
          <t>eng</t>
        </is>
      </c>
      <c r="P3165" t="inlineStr">
        <is>
          <t>enk</t>
        </is>
      </c>
      <c r="Q3165" t="inlineStr">
        <is>
          <t>Theologians today: a series selected and edited by Martin Redfern</t>
        </is>
      </c>
      <c r="R3165" t="inlineStr">
        <is>
          <t xml:space="preserve">BX </t>
        </is>
      </c>
      <c r="S3165" t="n">
        <v>6</v>
      </c>
      <c r="T3165" t="n">
        <v>6</v>
      </c>
      <c r="U3165" t="inlineStr">
        <is>
          <t>1999-07-29</t>
        </is>
      </c>
      <c r="V3165" t="inlineStr">
        <is>
          <t>1999-07-29</t>
        </is>
      </c>
      <c r="W3165" t="inlineStr">
        <is>
          <t>1992-05-15</t>
        </is>
      </c>
      <c r="X3165" t="inlineStr">
        <is>
          <t>1992-05-15</t>
        </is>
      </c>
      <c r="Y3165" t="n">
        <v>223</v>
      </c>
      <c r="Z3165" t="n">
        <v>191</v>
      </c>
      <c r="AA3165" t="n">
        <v>226</v>
      </c>
      <c r="AB3165" t="n">
        <v>2</v>
      </c>
      <c r="AC3165" t="n">
        <v>2</v>
      </c>
      <c r="AD3165" t="n">
        <v>18</v>
      </c>
      <c r="AE3165" t="n">
        <v>21</v>
      </c>
      <c r="AF3165" t="n">
        <v>6</v>
      </c>
      <c r="AG3165" t="n">
        <v>7</v>
      </c>
      <c r="AH3165" t="n">
        <v>6</v>
      </c>
      <c r="AI3165" t="n">
        <v>6</v>
      </c>
      <c r="AJ3165" t="n">
        <v>12</v>
      </c>
      <c r="AK3165" t="n">
        <v>15</v>
      </c>
      <c r="AL3165" t="n">
        <v>1</v>
      </c>
      <c r="AM3165" t="n">
        <v>1</v>
      </c>
      <c r="AN3165" t="n">
        <v>0</v>
      </c>
      <c r="AO3165" t="n">
        <v>0</v>
      </c>
      <c r="AP3165" t="inlineStr">
        <is>
          <t>No</t>
        </is>
      </c>
      <c r="AQ3165" t="inlineStr">
        <is>
          <t>Yes</t>
        </is>
      </c>
      <c r="AR3165">
        <f>HYPERLINK("http://catalog.hathitrust.org/Record/001415704","HathiTrust Record")</f>
        <v/>
      </c>
      <c r="AS3165">
        <f>HYPERLINK("https://creighton-primo.hosted.exlibrisgroup.com/primo-explore/search?tab=default_tab&amp;search_scope=EVERYTHING&amp;vid=01CRU&amp;lang=en_US&amp;offset=0&amp;query=any,contains,991003287279702656","Catalog Record")</f>
        <v/>
      </c>
      <c r="AT3165">
        <f>HYPERLINK("http://www.worldcat.org/oclc/809450","WorldCat Record")</f>
        <v/>
      </c>
      <c r="AU3165" t="inlineStr">
        <is>
          <t>369181779:eng</t>
        </is>
      </c>
      <c r="AV3165" t="inlineStr">
        <is>
          <t>809450</t>
        </is>
      </c>
      <c r="AW3165" t="inlineStr">
        <is>
          <t>991003287279702656</t>
        </is>
      </c>
      <c r="AX3165" t="inlineStr">
        <is>
          <t>991003287279702656</t>
        </is>
      </c>
      <c r="AY3165" t="inlineStr">
        <is>
          <t>2265565810002656</t>
        </is>
      </c>
      <c r="AZ3165" t="inlineStr">
        <is>
          <t>BOOK</t>
        </is>
      </c>
      <c r="BB3165" t="inlineStr">
        <is>
          <t>9780722072462</t>
        </is>
      </c>
      <c r="BC3165" t="inlineStr">
        <is>
          <t>32285001083996</t>
        </is>
      </c>
      <c r="BD3165" t="inlineStr">
        <is>
          <t>893227902</t>
        </is>
      </c>
    </row>
    <row r="3166">
      <c r="A3166" t="inlineStr">
        <is>
          <t>No</t>
        </is>
      </c>
      <c r="B3166" t="inlineStr">
        <is>
          <t>BX891 .S35513</t>
        </is>
      </c>
      <c r="C3166" t="inlineStr">
        <is>
          <t>0                      BX 0891000S  35513</t>
        </is>
      </c>
      <c r="D3166" t="inlineStr">
        <is>
          <t>The mission of the church / [by] Edward Schillebeeckx. Translated by N. D. Smith.</t>
        </is>
      </c>
      <c r="F3166" t="inlineStr">
        <is>
          <t>No</t>
        </is>
      </c>
      <c r="G3166" t="inlineStr">
        <is>
          <t>1</t>
        </is>
      </c>
      <c r="H3166" t="inlineStr">
        <is>
          <t>No</t>
        </is>
      </c>
      <c r="I3166" t="inlineStr">
        <is>
          <t>No</t>
        </is>
      </c>
      <c r="J3166" t="inlineStr">
        <is>
          <t>0</t>
        </is>
      </c>
      <c r="K3166" t="inlineStr">
        <is>
          <t>Schillebeeckx, Edward, 1914-2009.</t>
        </is>
      </c>
      <c r="L3166" t="inlineStr">
        <is>
          <t>New York, Seabury Press [1973]</t>
        </is>
      </c>
      <c r="M3166" t="inlineStr">
        <is>
          <t>1973</t>
        </is>
      </c>
      <c r="O3166" t="inlineStr">
        <is>
          <t>eng</t>
        </is>
      </c>
      <c r="P3166" t="inlineStr">
        <is>
          <t>nyu</t>
        </is>
      </c>
      <c r="R3166" t="inlineStr">
        <is>
          <t xml:space="preserve">BX </t>
        </is>
      </c>
      <c r="S3166" t="n">
        <v>6</v>
      </c>
      <c r="T3166" t="n">
        <v>6</v>
      </c>
      <c r="U3166" t="inlineStr">
        <is>
          <t>2004-03-31</t>
        </is>
      </c>
      <c r="V3166" t="inlineStr">
        <is>
          <t>2004-03-31</t>
        </is>
      </c>
      <c r="W3166" t="inlineStr">
        <is>
          <t>1992-05-15</t>
        </is>
      </c>
      <c r="X3166" t="inlineStr">
        <is>
          <t>1992-05-15</t>
        </is>
      </c>
      <c r="Y3166" t="n">
        <v>452</v>
      </c>
      <c r="Z3166" t="n">
        <v>402</v>
      </c>
      <c r="AA3166" t="n">
        <v>432</v>
      </c>
      <c r="AB3166" t="n">
        <v>5</v>
      </c>
      <c r="AC3166" t="n">
        <v>5</v>
      </c>
      <c r="AD3166" t="n">
        <v>31</v>
      </c>
      <c r="AE3166" t="n">
        <v>35</v>
      </c>
      <c r="AF3166" t="n">
        <v>10</v>
      </c>
      <c r="AG3166" t="n">
        <v>13</v>
      </c>
      <c r="AH3166" t="n">
        <v>9</v>
      </c>
      <c r="AI3166" t="n">
        <v>9</v>
      </c>
      <c r="AJ3166" t="n">
        <v>19</v>
      </c>
      <c r="AK3166" t="n">
        <v>21</v>
      </c>
      <c r="AL3166" t="n">
        <v>3</v>
      </c>
      <c r="AM3166" t="n">
        <v>3</v>
      </c>
      <c r="AN3166" t="n">
        <v>0</v>
      </c>
      <c r="AO3166" t="n">
        <v>0</v>
      </c>
      <c r="AP3166" t="inlineStr">
        <is>
          <t>No</t>
        </is>
      </c>
      <c r="AQ3166" t="inlineStr">
        <is>
          <t>Yes</t>
        </is>
      </c>
      <c r="AR3166">
        <f>HYPERLINK("http://catalog.hathitrust.org/Record/001401205","HathiTrust Record")</f>
        <v/>
      </c>
      <c r="AS3166">
        <f>HYPERLINK("https://creighton-primo.hosted.exlibrisgroup.com/primo-explore/search?tab=default_tab&amp;search_scope=EVERYTHING&amp;vid=01CRU&amp;lang=en_US&amp;offset=0&amp;query=any,contains,991003265659702656","Catalog Record")</f>
        <v/>
      </c>
      <c r="AT3166">
        <f>HYPERLINK("http://www.worldcat.org/oclc/791926","WorldCat Record")</f>
        <v/>
      </c>
      <c r="AU3166" t="inlineStr">
        <is>
          <t>2790483634:eng</t>
        </is>
      </c>
      <c r="AV3166" t="inlineStr">
        <is>
          <t>791926</t>
        </is>
      </c>
      <c r="AW3166" t="inlineStr">
        <is>
          <t>991003265659702656</t>
        </is>
      </c>
      <c r="AX3166" t="inlineStr">
        <is>
          <t>991003265659702656</t>
        </is>
      </c>
      <c r="AY3166" t="inlineStr">
        <is>
          <t>2262080370002656</t>
        </is>
      </c>
      <c r="AZ3166" t="inlineStr">
        <is>
          <t>BOOK</t>
        </is>
      </c>
      <c r="BB3166" t="inlineStr">
        <is>
          <t>9780816411443</t>
        </is>
      </c>
      <c r="BC3166" t="inlineStr">
        <is>
          <t>32285001084028</t>
        </is>
      </c>
      <c r="BD3166" t="inlineStr">
        <is>
          <t>893623322</t>
        </is>
      </c>
    </row>
    <row r="3167">
      <c r="A3167" t="inlineStr">
        <is>
          <t>No</t>
        </is>
      </c>
      <c r="B3167" t="inlineStr">
        <is>
          <t>BX891 .S53</t>
        </is>
      </c>
      <c r="C3167" t="inlineStr">
        <is>
          <t>0                      BX 0891000S  53</t>
        </is>
      </c>
      <c r="D3167" t="inlineStr">
        <is>
          <t>F. J. Sheed [compiled by Martin Redfern.]</t>
        </is>
      </c>
      <c r="F3167" t="inlineStr">
        <is>
          <t>No</t>
        </is>
      </c>
      <c r="G3167" t="inlineStr">
        <is>
          <t>1</t>
        </is>
      </c>
      <c r="H3167" t="inlineStr">
        <is>
          <t>No</t>
        </is>
      </c>
      <c r="I3167" t="inlineStr">
        <is>
          <t>No</t>
        </is>
      </c>
      <c r="J3167" t="inlineStr">
        <is>
          <t>0</t>
        </is>
      </c>
      <c r="K3167" t="inlineStr">
        <is>
          <t>Sheed, F. J. (Francis Joseph), 1897-1981.</t>
        </is>
      </c>
      <c r="L3167" t="inlineStr">
        <is>
          <t>London, New York, Sheed and Ward, 1972.</t>
        </is>
      </c>
      <c r="M3167" t="inlineStr">
        <is>
          <t>1972</t>
        </is>
      </c>
      <c r="O3167" t="inlineStr">
        <is>
          <t>eng</t>
        </is>
      </c>
      <c r="P3167" t="inlineStr">
        <is>
          <t>enk</t>
        </is>
      </c>
      <c r="Q3167" t="inlineStr">
        <is>
          <t>Theologians today: a series selected and edited by Martin Redfern</t>
        </is>
      </c>
      <c r="R3167" t="inlineStr">
        <is>
          <t xml:space="preserve">BX </t>
        </is>
      </c>
      <c r="S3167" t="n">
        <v>1</v>
      </c>
      <c r="T3167" t="n">
        <v>1</v>
      </c>
      <c r="U3167" t="inlineStr">
        <is>
          <t>1992-09-05</t>
        </is>
      </c>
      <c r="V3167" t="inlineStr">
        <is>
          <t>1992-09-05</t>
        </is>
      </c>
      <c r="W3167" t="inlineStr">
        <is>
          <t>1992-05-15</t>
        </is>
      </c>
      <c r="X3167" t="inlineStr">
        <is>
          <t>1992-05-15</t>
        </is>
      </c>
      <c r="Y3167" t="n">
        <v>250</v>
      </c>
      <c r="Z3167" t="n">
        <v>205</v>
      </c>
      <c r="AA3167" t="n">
        <v>207</v>
      </c>
      <c r="AB3167" t="n">
        <v>2</v>
      </c>
      <c r="AC3167" t="n">
        <v>2</v>
      </c>
      <c r="AD3167" t="n">
        <v>20</v>
      </c>
      <c r="AE3167" t="n">
        <v>20</v>
      </c>
      <c r="AF3167" t="n">
        <v>6</v>
      </c>
      <c r="AG3167" t="n">
        <v>6</v>
      </c>
      <c r="AH3167" t="n">
        <v>5</v>
      </c>
      <c r="AI3167" t="n">
        <v>5</v>
      </c>
      <c r="AJ3167" t="n">
        <v>15</v>
      </c>
      <c r="AK3167" t="n">
        <v>15</v>
      </c>
      <c r="AL3167" t="n">
        <v>1</v>
      </c>
      <c r="AM3167" t="n">
        <v>1</v>
      </c>
      <c r="AN3167" t="n">
        <v>0</v>
      </c>
      <c r="AO3167" t="n">
        <v>0</v>
      </c>
      <c r="AP3167" t="inlineStr">
        <is>
          <t>No</t>
        </is>
      </c>
      <c r="AQ3167" t="inlineStr">
        <is>
          <t>Yes</t>
        </is>
      </c>
      <c r="AR3167">
        <f>HYPERLINK("http://catalog.hathitrust.org/Record/001415705","HathiTrust Record")</f>
        <v/>
      </c>
      <c r="AS3167">
        <f>HYPERLINK("https://creighton-primo.hosted.exlibrisgroup.com/primo-explore/search?tab=default_tab&amp;search_scope=EVERYTHING&amp;vid=01CRU&amp;lang=en_US&amp;offset=0&amp;query=any,contains,991003266769702656","Catalog Record")</f>
        <v/>
      </c>
      <c r="AT3167">
        <f>HYPERLINK("http://www.worldcat.org/oclc/758582","WorldCat Record")</f>
        <v/>
      </c>
      <c r="AU3167" t="inlineStr">
        <is>
          <t>50133620:eng</t>
        </is>
      </c>
      <c r="AV3167" t="inlineStr">
        <is>
          <t>758582</t>
        </is>
      </c>
      <c r="AW3167" t="inlineStr">
        <is>
          <t>991003266769702656</t>
        </is>
      </c>
      <c r="AX3167" t="inlineStr">
        <is>
          <t>991003266769702656</t>
        </is>
      </c>
      <c r="AY3167" t="inlineStr">
        <is>
          <t>2263129970002656</t>
        </is>
      </c>
      <c r="AZ3167" t="inlineStr">
        <is>
          <t>BOOK</t>
        </is>
      </c>
      <c r="BB3167" t="inlineStr">
        <is>
          <t>9780722072479</t>
        </is>
      </c>
      <c r="BC3167" t="inlineStr">
        <is>
          <t>32285001084036</t>
        </is>
      </c>
      <c r="BD3167" t="inlineStr">
        <is>
          <t>893233983</t>
        </is>
      </c>
    </row>
    <row r="3168">
      <c r="A3168" t="inlineStr">
        <is>
          <t>No</t>
        </is>
      </c>
      <c r="B3168" t="inlineStr">
        <is>
          <t>BX8935 .S75 1964</t>
        </is>
      </c>
      <c r="C3168" t="inlineStr">
        <is>
          <t>0                      BX 8935000S  75          1964</t>
        </is>
      </c>
      <c r="D3168" t="inlineStr">
        <is>
          <t>The Presbyterians : a collection of source materials / by William Warren Sweet.</t>
        </is>
      </c>
      <c r="F3168" t="inlineStr">
        <is>
          <t>No</t>
        </is>
      </c>
      <c r="G3168" t="inlineStr">
        <is>
          <t>1</t>
        </is>
      </c>
      <c r="H3168" t="inlineStr">
        <is>
          <t>No</t>
        </is>
      </c>
      <c r="I3168" t="inlineStr">
        <is>
          <t>No</t>
        </is>
      </c>
      <c r="J3168" t="inlineStr">
        <is>
          <t>0</t>
        </is>
      </c>
      <c r="K3168" t="inlineStr">
        <is>
          <t>Sweet, William Warren, 1881-1959 editor.</t>
        </is>
      </c>
      <c r="L3168" t="inlineStr">
        <is>
          <t>New York : Cooper Square Publishers, 1964 [c1936]</t>
        </is>
      </c>
      <c r="M3168" t="inlineStr">
        <is>
          <t>1964</t>
        </is>
      </c>
      <c r="O3168" t="inlineStr">
        <is>
          <t>eng</t>
        </is>
      </c>
      <c r="P3168" t="inlineStr">
        <is>
          <t>nyu</t>
        </is>
      </c>
      <c r="Q3168" t="inlineStr">
        <is>
          <t>His Religions on the American frontier, 1783-1840, v. 2</t>
        </is>
      </c>
      <c r="R3168" t="inlineStr">
        <is>
          <t xml:space="preserve">BX </t>
        </is>
      </c>
      <c r="S3168" t="n">
        <v>5</v>
      </c>
      <c r="T3168" t="n">
        <v>5</v>
      </c>
      <c r="U3168" t="inlineStr">
        <is>
          <t>1998-11-08</t>
        </is>
      </c>
      <c r="V3168" t="inlineStr">
        <is>
          <t>1998-11-08</t>
        </is>
      </c>
      <c r="W3168" t="inlineStr">
        <is>
          <t>1992-05-22</t>
        </is>
      </c>
      <c r="X3168" t="inlineStr">
        <is>
          <t>1992-05-22</t>
        </is>
      </c>
      <c r="Y3168" t="n">
        <v>467</v>
      </c>
      <c r="Z3168" t="n">
        <v>449</v>
      </c>
      <c r="AA3168" t="n">
        <v>725</v>
      </c>
      <c r="AB3168" t="n">
        <v>6</v>
      </c>
      <c r="AC3168" t="n">
        <v>8</v>
      </c>
      <c r="AD3168" t="n">
        <v>22</v>
      </c>
      <c r="AE3168" t="n">
        <v>33</v>
      </c>
      <c r="AF3168" t="n">
        <v>7</v>
      </c>
      <c r="AG3168" t="n">
        <v>13</v>
      </c>
      <c r="AH3168" t="n">
        <v>2</v>
      </c>
      <c r="AI3168" t="n">
        <v>5</v>
      </c>
      <c r="AJ3168" t="n">
        <v>11</v>
      </c>
      <c r="AK3168" t="n">
        <v>15</v>
      </c>
      <c r="AL3168" t="n">
        <v>4</v>
      </c>
      <c r="AM3168" t="n">
        <v>6</v>
      </c>
      <c r="AN3168" t="n">
        <v>0</v>
      </c>
      <c r="AO3168" t="n">
        <v>0</v>
      </c>
      <c r="AP3168" t="inlineStr">
        <is>
          <t>No</t>
        </is>
      </c>
      <c r="AQ3168" t="inlineStr">
        <is>
          <t>Yes</t>
        </is>
      </c>
      <c r="AR3168">
        <f>HYPERLINK("http://catalog.hathitrust.org/Record/001961164","HathiTrust Record")</f>
        <v/>
      </c>
      <c r="AS3168">
        <f>HYPERLINK("https://creighton-primo.hosted.exlibrisgroup.com/primo-explore/search?tab=default_tab&amp;search_scope=EVERYTHING&amp;vid=01CRU&amp;lang=en_US&amp;offset=0&amp;query=any,contains,991002143679702656","Catalog Record")</f>
        <v/>
      </c>
      <c r="AT3168">
        <f>HYPERLINK("http://www.worldcat.org/oclc/271055","WorldCat Record")</f>
        <v/>
      </c>
      <c r="AU3168" t="inlineStr">
        <is>
          <t>7654207:eng</t>
        </is>
      </c>
      <c r="AV3168" t="inlineStr">
        <is>
          <t>271055</t>
        </is>
      </c>
      <c r="AW3168" t="inlineStr">
        <is>
          <t>991002143679702656</t>
        </is>
      </c>
      <c r="AX3168" t="inlineStr">
        <is>
          <t>991002143679702656</t>
        </is>
      </c>
      <c r="AY3168" t="inlineStr">
        <is>
          <t>2261875600002656</t>
        </is>
      </c>
      <c r="AZ3168" t="inlineStr">
        <is>
          <t>BOOK</t>
        </is>
      </c>
      <c r="BC3168" t="inlineStr">
        <is>
          <t>32285001140580</t>
        </is>
      </c>
      <c r="BD3168" t="inlineStr">
        <is>
          <t>893516937</t>
        </is>
      </c>
    </row>
    <row r="3169">
      <c r="A3169" t="inlineStr">
        <is>
          <t>No</t>
        </is>
      </c>
      <c r="B3169" t="inlineStr">
        <is>
          <t>BX8936 .T7 1970</t>
        </is>
      </c>
      <c r="C3169" t="inlineStr">
        <is>
          <t>0                      BX 8936000T  7           1970</t>
        </is>
      </c>
      <c r="D3169" t="inlineStr">
        <is>
          <t>The forming of an American tradition : a re-examination of colonial Presbyterianism / [by] Leonard J. Trinterud.</t>
        </is>
      </c>
      <c r="F3169" t="inlineStr">
        <is>
          <t>No</t>
        </is>
      </c>
      <c r="G3169" t="inlineStr">
        <is>
          <t>1</t>
        </is>
      </c>
      <c r="H3169" t="inlineStr">
        <is>
          <t>No</t>
        </is>
      </c>
      <c r="I3169" t="inlineStr">
        <is>
          <t>No</t>
        </is>
      </c>
      <c r="J3169" t="inlineStr">
        <is>
          <t>0</t>
        </is>
      </c>
      <c r="K3169" t="inlineStr">
        <is>
          <t>Trinterud, Leonard J., 1904-</t>
        </is>
      </c>
      <c r="L3169" t="inlineStr">
        <is>
          <t>Freeport, N.Y. : Books for Libraries Press, [1970, c1949]</t>
        </is>
      </c>
      <c r="M3169" t="inlineStr">
        <is>
          <t>1970</t>
        </is>
      </c>
      <c r="O3169" t="inlineStr">
        <is>
          <t>eng</t>
        </is>
      </c>
      <c r="P3169" t="inlineStr">
        <is>
          <t>nyu</t>
        </is>
      </c>
      <c r="R3169" t="inlineStr">
        <is>
          <t xml:space="preserve">BX </t>
        </is>
      </c>
      <c r="S3169" t="n">
        <v>5</v>
      </c>
      <c r="T3169" t="n">
        <v>5</v>
      </c>
      <c r="U3169" t="inlineStr">
        <is>
          <t>2003-02-07</t>
        </is>
      </c>
      <c r="V3169" t="inlineStr">
        <is>
          <t>2003-02-07</t>
        </is>
      </c>
      <c r="W3169" t="inlineStr">
        <is>
          <t>1992-05-21</t>
        </is>
      </c>
      <c r="X3169" t="inlineStr">
        <is>
          <t>1992-05-21</t>
        </is>
      </c>
      <c r="Y3169" t="n">
        <v>210</v>
      </c>
      <c r="Z3169" t="n">
        <v>191</v>
      </c>
      <c r="AA3169" t="n">
        <v>192</v>
      </c>
      <c r="AB3169" t="n">
        <v>2</v>
      </c>
      <c r="AC3169" t="n">
        <v>2</v>
      </c>
      <c r="AD3169" t="n">
        <v>14</v>
      </c>
      <c r="AE3169" t="n">
        <v>14</v>
      </c>
      <c r="AF3169" t="n">
        <v>6</v>
      </c>
      <c r="AG3169" t="n">
        <v>6</v>
      </c>
      <c r="AH3169" t="n">
        <v>2</v>
      </c>
      <c r="AI3169" t="n">
        <v>2</v>
      </c>
      <c r="AJ3169" t="n">
        <v>8</v>
      </c>
      <c r="AK3169" t="n">
        <v>8</v>
      </c>
      <c r="AL3169" t="n">
        <v>1</v>
      </c>
      <c r="AM3169" t="n">
        <v>1</v>
      </c>
      <c r="AN3169" t="n">
        <v>0</v>
      </c>
      <c r="AO3169" t="n">
        <v>0</v>
      </c>
      <c r="AP3169" t="inlineStr">
        <is>
          <t>No</t>
        </is>
      </c>
      <c r="AQ3169" t="inlineStr">
        <is>
          <t>Yes</t>
        </is>
      </c>
      <c r="AR3169">
        <f>HYPERLINK("http://catalog.hathitrust.org/Record/012271212","HathiTrust Record")</f>
        <v/>
      </c>
      <c r="AS3169">
        <f>HYPERLINK("https://creighton-primo.hosted.exlibrisgroup.com/primo-explore/search?tab=default_tab&amp;search_scope=EVERYTHING&amp;vid=01CRU&amp;lang=en_US&amp;offset=0&amp;query=any,contains,991000551159702656","Catalog Record")</f>
        <v/>
      </c>
      <c r="AT3169">
        <f>HYPERLINK("http://www.worldcat.org/oclc/92778","WorldCat Record")</f>
        <v/>
      </c>
      <c r="AU3169" t="inlineStr">
        <is>
          <t>8913825453:eng</t>
        </is>
      </c>
      <c r="AV3169" t="inlineStr">
        <is>
          <t>92778</t>
        </is>
      </c>
      <c r="AW3169" t="inlineStr">
        <is>
          <t>991000551159702656</t>
        </is>
      </c>
      <c r="AX3169" t="inlineStr">
        <is>
          <t>991000551159702656</t>
        </is>
      </c>
      <c r="AY3169" t="inlineStr">
        <is>
          <t>2262471330002656</t>
        </is>
      </c>
      <c r="AZ3169" t="inlineStr">
        <is>
          <t>BOOK</t>
        </is>
      </c>
      <c r="BB3169" t="inlineStr">
        <is>
          <t>9780836954500</t>
        </is>
      </c>
      <c r="BC3169" t="inlineStr">
        <is>
          <t>32285001098184</t>
        </is>
      </c>
      <c r="BD3169" t="inlineStr">
        <is>
          <t>893315043</t>
        </is>
      </c>
    </row>
    <row r="3170">
      <c r="A3170" t="inlineStr">
        <is>
          <t>No</t>
        </is>
      </c>
      <c r="B3170" t="inlineStr">
        <is>
          <t>BX8937 .V3</t>
        </is>
      </c>
      <c r="C3170" t="inlineStr">
        <is>
          <t>0                      BX 8937000V  3</t>
        </is>
      </c>
      <c r="D3170" t="inlineStr">
        <is>
          <t>The Presbyterian churches and the federal Union, 1861-1869 / by Lewis G. Vander Velde.</t>
        </is>
      </c>
      <c r="F3170" t="inlineStr">
        <is>
          <t>No</t>
        </is>
      </c>
      <c r="G3170" t="inlineStr">
        <is>
          <t>1</t>
        </is>
      </c>
      <c r="H3170" t="inlineStr">
        <is>
          <t>No</t>
        </is>
      </c>
      <c r="I3170" t="inlineStr">
        <is>
          <t>No</t>
        </is>
      </c>
      <c r="J3170" t="inlineStr">
        <is>
          <t>0</t>
        </is>
      </c>
      <c r="K3170" t="inlineStr">
        <is>
          <t>Vander Velde, Lewis G. (Lewis George), 1890-1975.</t>
        </is>
      </c>
      <c r="L3170" t="inlineStr">
        <is>
          <t>Cambridge : Harvard University Press ; London : H. Milford, Oxford University Press, 1932.</t>
        </is>
      </c>
      <c r="M3170" t="inlineStr">
        <is>
          <t>1932</t>
        </is>
      </c>
      <c r="O3170" t="inlineStr">
        <is>
          <t>eng</t>
        </is>
      </c>
      <c r="P3170" t="inlineStr">
        <is>
          <t>___</t>
        </is>
      </c>
      <c r="Q3170" t="inlineStr">
        <is>
          <t>Harvard historical studies ; v. 33</t>
        </is>
      </c>
      <c r="R3170" t="inlineStr">
        <is>
          <t xml:space="preserve">BX </t>
        </is>
      </c>
      <c r="S3170" t="n">
        <v>5</v>
      </c>
      <c r="T3170" t="n">
        <v>5</v>
      </c>
      <c r="U3170" t="inlineStr">
        <is>
          <t>2004-04-13</t>
        </is>
      </c>
      <c r="V3170" t="inlineStr">
        <is>
          <t>2004-04-13</t>
        </is>
      </c>
      <c r="W3170" t="inlineStr">
        <is>
          <t>1992-05-22</t>
        </is>
      </c>
      <c r="X3170" t="inlineStr">
        <is>
          <t>1992-05-22</t>
        </is>
      </c>
      <c r="Y3170" t="n">
        <v>415</v>
      </c>
      <c r="Z3170" t="n">
        <v>373</v>
      </c>
      <c r="AA3170" t="n">
        <v>382</v>
      </c>
      <c r="AB3170" t="n">
        <v>3</v>
      </c>
      <c r="AC3170" t="n">
        <v>3</v>
      </c>
      <c r="AD3170" t="n">
        <v>13</v>
      </c>
      <c r="AE3170" t="n">
        <v>13</v>
      </c>
      <c r="AF3170" t="n">
        <v>4</v>
      </c>
      <c r="AG3170" t="n">
        <v>4</v>
      </c>
      <c r="AH3170" t="n">
        <v>3</v>
      </c>
      <c r="AI3170" t="n">
        <v>3</v>
      </c>
      <c r="AJ3170" t="n">
        <v>8</v>
      </c>
      <c r="AK3170" t="n">
        <v>8</v>
      </c>
      <c r="AL3170" t="n">
        <v>2</v>
      </c>
      <c r="AM3170" t="n">
        <v>2</v>
      </c>
      <c r="AN3170" t="n">
        <v>0</v>
      </c>
      <c r="AO3170" t="n">
        <v>0</v>
      </c>
      <c r="AP3170" t="inlineStr">
        <is>
          <t>No</t>
        </is>
      </c>
      <c r="AQ3170" t="inlineStr">
        <is>
          <t>Yes</t>
        </is>
      </c>
      <c r="AR3170">
        <f>HYPERLINK("http://catalog.hathitrust.org/Record/001594258","HathiTrust Record")</f>
        <v/>
      </c>
      <c r="AS3170">
        <f>HYPERLINK("https://creighton-primo.hosted.exlibrisgroup.com/primo-explore/search?tab=default_tab&amp;search_scope=EVERYTHING&amp;vid=01CRU&amp;lang=en_US&amp;offset=0&amp;query=any,contains,991003491689702656","Catalog Record")</f>
        <v/>
      </c>
      <c r="AT3170">
        <f>HYPERLINK("http://www.worldcat.org/oclc/1040969","WorldCat Record")</f>
        <v/>
      </c>
      <c r="AU3170" t="inlineStr">
        <is>
          <t>2007349:eng</t>
        </is>
      </c>
      <c r="AV3170" t="inlineStr">
        <is>
          <t>1040969</t>
        </is>
      </c>
      <c r="AW3170" t="inlineStr">
        <is>
          <t>991003491689702656</t>
        </is>
      </c>
      <c r="AX3170" t="inlineStr">
        <is>
          <t>991003491689702656</t>
        </is>
      </c>
      <c r="AY3170" t="inlineStr">
        <is>
          <t>2272324410002656</t>
        </is>
      </c>
      <c r="AZ3170" t="inlineStr">
        <is>
          <t>BOOK</t>
        </is>
      </c>
      <c r="BC3170" t="inlineStr">
        <is>
          <t>32285001140598</t>
        </is>
      </c>
      <c r="BD3170" t="inlineStr">
        <is>
          <t>893711412</t>
        </is>
      </c>
    </row>
    <row r="3171">
      <c r="A3171" t="inlineStr">
        <is>
          <t>No</t>
        </is>
      </c>
      <c r="B3171" t="inlineStr">
        <is>
          <t>BX8937 .W47 1997</t>
        </is>
      </c>
      <c r="C3171" t="inlineStr">
        <is>
          <t>0                      BX 8937000W  47          1997</t>
        </is>
      </c>
      <c r="D3171" t="inlineStr">
        <is>
          <t>Presbyterian pluralism : competition in a Protestant house / William J. Weston.</t>
        </is>
      </c>
      <c r="F3171" t="inlineStr">
        <is>
          <t>No</t>
        </is>
      </c>
      <c r="G3171" t="inlineStr">
        <is>
          <t>1</t>
        </is>
      </c>
      <c r="H3171" t="inlineStr">
        <is>
          <t>No</t>
        </is>
      </c>
      <c r="I3171" t="inlineStr">
        <is>
          <t>No</t>
        </is>
      </c>
      <c r="J3171" t="inlineStr">
        <is>
          <t>0</t>
        </is>
      </c>
      <c r="K3171" t="inlineStr">
        <is>
          <t>Weston, William J., 1960-</t>
        </is>
      </c>
      <c r="L3171" t="inlineStr">
        <is>
          <t>Knoxville : University of Tennessee Press, c1997.</t>
        </is>
      </c>
      <c r="M3171" t="inlineStr">
        <is>
          <t>1997</t>
        </is>
      </c>
      <c r="N3171" t="inlineStr">
        <is>
          <t>1st ed.</t>
        </is>
      </c>
      <c r="O3171" t="inlineStr">
        <is>
          <t>eng</t>
        </is>
      </c>
      <c r="P3171" t="inlineStr">
        <is>
          <t>tnu</t>
        </is>
      </c>
      <c r="R3171" t="inlineStr">
        <is>
          <t xml:space="preserve">BX </t>
        </is>
      </c>
      <c r="S3171" t="n">
        <v>6</v>
      </c>
      <c r="T3171" t="n">
        <v>6</v>
      </c>
      <c r="U3171" t="inlineStr">
        <is>
          <t>2005-04-10</t>
        </is>
      </c>
      <c r="V3171" t="inlineStr">
        <is>
          <t>2005-04-10</t>
        </is>
      </c>
      <c r="W3171" t="inlineStr">
        <is>
          <t>1999-03-16</t>
        </is>
      </c>
      <c r="X3171" t="inlineStr">
        <is>
          <t>1999-03-16</t>
        </is>
      </c>
      <c r="Y3171" t="n">
        <v>278</v>
      </c>
      <c r="Z3171" t="n">
        <v>259</v>
      </c>
      <c r="AA3171" t="n">
        <v>259</v>
      </c>
      <c r="AB3171" t="n">
        <v>3</v>
      </c>
      <c r="AC3171" t="n">
        <v>3</v>
      </c>
      <c r="AD3171" t="n">
        <v>17</v>
      </c>
      <c r="AE3171" t="n">
        <v>17</v>
      </c>
      <c r="AF3171" t="n">
        <v>3</v>
      </c>
      <c r="AG3171" t="n">
        <v>3</v>
      </c>
      <c r="AH3171" t="n">
        <v>6</v>
      </c>
      <c r="AI3171" t="n">
        <v>6</v>
      </c>
      <c r="AJ3171" t="n">
        <v>11</v>
      </c>
      <c r="AK3171" t="n">
        <v>11</v>
      </c>
      <c r="AL3171" t="n">
        <v>2</v>
      </c>
      <c r="AM3171" t="n">
        <v>2</v>
      </c>
      <c r="AN3171" t="n">
        <v>0</v>
      </c>
      <c r="AO3171" t="n">
        <v>0</v>
      </c>
      <c r="AP3171" t="inlineStr">
        <is>
          <t>No</t>
        </is>
      </c>
      <c r="AQ3171" t="inlineStr">
        <is>
          <t>No</t>
        </is>
      </c>
      <c r="AS3171">
        <f>HYPERLINK("https://creighton-primo.hosted.exlibrisgroup.com/primo-explore/search?tab=default_tab&amp;search_scope=EVERYTHING&amp;vid=01CRU&amp;lang=en_US&amp;offset=0&amp;query=any,contains,991002741689702656","Catalog Record")</f>
        <v/>
      </c>
      <c r="AT3171">
        <f>HYPERLINK("http://www.worldcat.org/oclc/36001404","WorldCat Record")</f>
        <v/>
      </c>
      <c r="AU3171" t="inlineStr">
        <is>
          <t>364709348:eng</t>
        </is>
      </c>
      <c r="AV3171" t="inlineStr">
        <is>
          <t>36001404</t>
        </is>
      </c>
      <c r="AW3171" t="inlineStr">
        <is>
          <t>991002741689702656</t>
        </is>
      </c>
      <c r="AX3171" t="inlineStr">
        <is>
          <t>991002741689702656</t>
        </is>
      </c>
      <c r="AY3171" t="inlineStr">
        <is>
          <t>2256226320002656</t>
        </is>
      </c>
      <c r="AZ3171" t="inlineStr">
        <is>
          <t>BOOK</t>
        </is>
      </c>
      <c r="BB3171" t="inlineStr">
        <is>
          <t>9780870499821</t>
        </is>
      </c>
      <c r="BC3171" t="inlineStr">
        <is>
          <t>32285003532966</t>
        </is>
      </c>
      <c r="BD3171" t="inlineStr">
        <is>
          <t>893511128</t>
        </is>
      </c>
    </row>
    <row r="3172">
      <c r="A3172" t="inlineStr">
        <is>
          <t>No</t>
        </is>
      </c>
      <c r="B3172" t="inlineStr">
        <is>
          <t>BX8946.I53 L49 2003</t>
        </is>
      </c>
      <c r="C3172" t="inlineStr">
        <is>
          <t>0                      BX 8946000I  53                 L  49          2003</t>
        </is>
      </c>
      <c r="D3172" t="inlineStr">
        <is>
          <t>Creating Christian Indians : native clergy in the Presbyterian Church / Bonnie Sue Lewis.</t>
        </is>
      </c>
      <c r="F3172" t="inlineStr">
        <is>
          <t>No</t>
        </is>
      </c>
      <c r="G3172" t="inlineStr">
        <is>
          <t>1</t>
        </is>
      </c>
      <c r="H3172" t="inlineStr">
        <is>
          <t>No</t>
        </is>
      </c>
      <c r="I3172" t="inlineStr">
        <is>
          <t>No</t>
        </is>
      </c>
      <c r="J3172" t="inlineStr">
        <is>
          <t>0</t>
        </is>
      </c>
      <c r="K3172" t="inlineStr">
        <is>
          <t>Lewis, Bonnie Sue.</t>
        </is>
      </c>
      <c r="L3172" t="inlineStr">
        <is>
          <t>Norman, Okla. : University of Oklahoma Press, 2003.</t>
        </is>
      </c>
      <c r="M3172" t="inlineStr">
        <is>
          <t>2003</t>
        </is>
      </c>
      <c r="O3172" t="inlineStr">
        <is>
          <t>eng</t>
        </is>
      </c>
      <c r="P3172" t="inlineStr">
        <is>
          <t>oku</t>
        </is>
      </c>
      <c r="R3172" t="inlineStr">
        <is>
          <t xml:space="preserve">BX </t>
        </is>
      </c>
      <c r="S3172" t="n">
        <v>4</v>
      </c>
      <c r="T3172" t="n">
        <v>4</v>
      </c>
      <c r="U3172" t="inlineStr">
        <is>
          <t>2006-04-17</t>
        </is>
      </c>
      <c r="V3172" t="inlineStr">
        <is>
          <t>2006-04-17</t>
        </is>
      </c>
      <c r="W3172" t="inlineStr">
        <is>
          <t>2004-05-10</t>
        </is>
      </c>
      <c r="X3172" t="inlineStr">
        <is>
          <t>2004-05-10</t>
        </is>
      </c>
      <c r="Y3172" t="n">
        <v>327</v>
      </c>
      <c r="Z3172" t="n">
        <v>303</v>
      </c>
      <c r="AA3172" t="n">
        <v>378</v>
      </c>
      <c r="AB3172" t="n">
        <v>5</v>
      </c>
      <c r="AC3172" t="n">
        <v>5</v>
      </c>
      <c r="AD3172" t="n">
        <v>19</v>
      </c>
      <c r="AE3172" t="n">
        <v>21</v>
      </c>
      <c r="AF3172" t="n">
        <v>10</v>
      </c>
      <c r="AG3172" t="n">
        <v>10</v>
      </c>
      <c r="AH3172" t="n">
        <v>2</v>
      </c>
      <c r="AI3172" t="n">
        <v>3</v>
      </c>
      <c r="AJ3172" t="n">
        <v>8</v>
      </c>
      <c r="AK3172" t="n">
        <v>10</v>
      </c>
      <c r="AL3172" t="n">
        <v>3</v>
      </c>
      <c r="AM3172" t="n">
        <v>3</v>
      </c>
      <c r="AN3172" t="n">
        <v>1</v>
      </c>
      <c r="AO3172" t="n">
        <v>1</v>
      </c>
      <c r="AP3172" t="inlineStr">
        <is>
          <t>No</t>
        </is>
      </c>
      <c r="AQ3172" t="inlineStr">
        <is>
          <t>No</t>
        </is>
      </c>
      <c r="AS3172">
        <f>HYPERLINK("https://creighton-primo.hosted.exlibrisgroup.com/primo-explore/search?tab=default_tab&amp;search_scope=EVERYTHING&amp;vid=01CRU&amp;lang=en_US&amp;offset=0&amp;query=any,contains,991004259729702656","Catalog Record")</f>
        <v/>
      </c>
      <c r="AT3172">
        <f>HYPERLINK("http://www.worldcat.org/oclc/52281736","WorldCat Record")</f>
        <v/>
      </c>
      <c r="AU3172" t="inlineStr">
        <is>
          <t>785074:eng</t>
        </is>
      </c>
      <c r="AV3172" t="inlineStr">
        <is>
          <t>52281736</t>
        </is>
      </c>
      <c r="AW3172" t="inlineStr">
        <is>
          <t>991004259729702656</t>
        </is>
      </c>
      <c r="AX3172" t="inlineStr">
        <is>
          <t>991004259729702656</t>
        </is>
      </c>
      <c r="AY3172" t="inlineStr">
        <is>
          <t>2268252500002656</t>
        </is>
      </c>
      <c r="AZ3172" t="inlineStr">
        <is>
          <t>BOOK</t>
        </is>
      </c>
      <c r="BB3172" t="inlineStr">
        <is>
          <t>9780806135168</t>
        </is>
      </c>
      <c r="BC3172" t="inlineStr">
        <is>
          <t>32285004904859</t>
        </is>
      </c>
      <c r="BD3172" t="inlineStr">
        <is>
          <t>893325137</t>
        </is>
      </c>
    </row>
    <row r="3173">
      <c r="A3173" t="inlineStr">
        <is>
          <t>No</t>
        </is>
      </c>
      <c r="B3173" t="inlineStr">
        <is>
          <t>BX895 .D7413 1994</t>
        </is>
      </c>
      <c r="C3173" t="inlineStr">
        <is>
          <t>0                      BX 0895000D  7413        1994</t>
        </is>
      </c>
      <c r="D3173" t="inlineStr">
        <is>
          <t>Brief introduction to the study of theology : with reference to the scientific standpoint and the Catholic system / Johann Sebastian Drey ; translated with an introduction and annotation by Michael J. Himes.</t>
        </is>
      </c>
      <c r="F3173" t="inlineStr">
        <is>
          <t>No</t>
        </is>
      </c>
      <c r="G3173" t="inlineStr">
        <is>
          <t>1</t>
        </is>
      </c>
      <c r="H3173" t="inlineStr">
        <is>
          <t>No</t>
        </is>
      </c>
      <c r="I3173" t="inlineStr">
        <is>
          <t>No</t>
        </is>
      </c>
      <c r="J3173" t="inlineStr">
        <is>
          <t>0</t>
        </is>
      </c>
      <c r="K3173" t="inlineStr">
        <is>
          <t>Drey, Johann Sebastian von, 1777-1853.</t>
        </is>
      </c>
      <c r="L3173" t="inlineStr">
        <is>
          <t>Notre Dame, Ind. : University of Notre Dame Press, c1994.</t>
        </is>
      </c>
      <c r="M3173" t="inlineStr">
        <is>
          <t>1994</t>
        </is>
      </c>
      <c r="O3173" t="inlineStr">
        <is>
          <t>eng</t>
        </is>
      </c>
      <c r="P3173" t="inlineStr">
        <is>
          <t>inu</t>
        </is>
      </c>
      <c r="Q3173" t="inlineStr">
        <is>
          <t>Notre Dame studies in theology ; v. 1</t>
        </is>
      </c>
      <c r="R3173" t="inlineStr">
        <is>
          <t xml:space="preserve">BX </t>
        </is>
      </c>
      <c r="S3173" t="n">
        <v>1</v>
      </c>
      <c r="T3173" t="n">
        <v>1</v>
      </c>
      <c r="U3173" t="inlineStr">
        <is>
          <t>2007-04-05</t>
        </is>
      </c>
      <c r="V3173" t="inlineStr">
        <is>
          <t>2007-04-05</t>
        </is>
      </c>
      <c r="W3173" t="inlineStr">
        <is>
          <t>1998-02-09</t>
        </is>
      </c>
      <c r="X3173" t="inlineStr">
        <is>
          <t>1998-02-09</t>
        </is>
      </c>
      <c r="Y3173" t="n">
        <v>191</v>
      </c>
      <c r="Z3173" t="n">
        <v>160</v>
      </c>
      <c r="AA3173" t="n">
        <v>160</v>
      </c>
      <c r="AB3173" t="n">
        <v>1</v>
      </c>
      <c r="AC3173" t="n">
        <v>1</v>
      </c>
      <c r="AD3173" t="n">
        <v>18</v>
      </c>
      <c r="AE3173" t="n">
        <v>18</v>
      </c>
      <c r="AF3173" t="n">
        <v>5</v>
      </c>
      <c r="AG3173" t="n">
        <v>5</v>
      </c>
      <c r="AH3173" t="n">
        <v>4</v>
      </c>
      <c r="AI3173" t="n">
        <v>4</v>
      </c>
      <c r="AJ3173" t="n">
        <v>14</v>
      </c>
      <c r="AK3173" t="n">
        <v>14</v>
      </c>
      <c r="AL3173" t="n">
        <v>0</v>
      </c>
      <c r="AM3173" t="n">
        <v>0</v>
      </c>
      <c r="AN3173" t="n">
        <v>0</v>
      </c>
      <c r="AO3173" t="n">
        <v>0</v>
      </c>
      <c r="AP3173" t="inlineStr">
        <is>
          <t>No</t>
        </is>
      </c>
      <c r="AQ3173" t="inlineStr">
        <is>
          <t>No</t>
        </is>
      </c>
      <c r="AS3173">
        <f>HYPERLINK("https://creighton-primo.hosted.exlibrisgroup.com/primo-explore/search?tab=default_tab&amp;search_scope=EVERYTHING&amp;vid=01CRU&amp;lang=en_US&amp;offset=0&amp;query=any,contains,991002263759702656","Catalog Record")</f>
        <v/>
      </c>
      <c r="AT3173">
        <f>HYPERLINK("http://www.worldcat.org/oclc/29359649","WorldCat Record")</f>
        <v/>
      </c>
      <c r="AU3173" t="inlineStr">
        <is>
          <t>8908338891:eng</t>
        </is>
      </c>
      <c r="AV3173" t="inlineStr">
        <is>
          <t>29359649</t>
        </is>
      </c>
      <c r="AW3173" t="inlineStr">
        <is>
          <t>991002263759702656</t>
        </is>
      </c>
      <c r="AX3173" t="inlineStr">
        <is>
          <t>991002263759702656</t>
        </is>
      </c>
      <c r="AY3173" t="inlineStr">
        <is>
          <t>2266646270002656</t>
        </is>
      </c>
      <c r="AZ3173" t="inlineStr">
        <is>
          <t>BOOK</t>
        </is>
      </c>
      <c r="BB3173" t="inlineStr">
        <is>
          <t>9780268011710</t>
        </is>
      </c>
      <c r="BC3173" t="inlineStr">
        <is>
          <t>32285003313136</t>
        </is>
      </c>
      <c r="BD3173" t="inlineStr">
        <is>
          <t>893497897</t>
        </is>
      </c>
    </row>
    <row r="3174">
      <c r="A3174" t="inlineStr">
        <is>
          <t>No</t>
        </is>
      </c>
      <c r="B3174" t="inlineStr">
        <is>
          <t>BX8969.5 .P74 1984</t>
        </is>
      </c>
      <c r="C3174" t="inlineStr">
        <is>
          <t>0                      BX 8969500P  74          1984</t>
        </is>
      </c>
      <c r="D3174" t="inlineStr">
        <is>
          <t>The service for the Lord's Day : the worship of God / prepared by the Joint Office of Worship for the Presbyterian Church (U.S.A.) and the Cumberland Presbyterian Church.</t>
        </is>
      </c>
      <c r="F3174" t="inlineStr">
        <is>
          <t>No</t>
        </is>
      </c>
      <c r="G3174" t="inlineStr">
        <is>
          <t>1</t>
        </is>
      </c>
      <c r="H3174" t="inlineStr">
        <is>
          <t>No</t>
        </is>
      </c>
      <c r="I3174" t="inlineStr">
        <is>
          <t>No</t>
        </is>
      </c>
      <c r="J3174" t="inlineStr">
        <is>
          <t>0</t>
        </is>
      </c>
      <c r="K3174" t="inlineStr">
        <is>
          <t>Presbyterian Church (U.S.A.)</t>
        </is>
      </c>
      <c r="L3174" t="inlineStr">
        <is>
          <t>Philadelphia : Westminster, c1984.</t>
        </is>
      </c>
      <c r="M3174" t="inlineStr">
        <is>
          <t>1984</t>
        </is>
      </c>
      <c r="N3174" t="inlineStr">
        <is>
          <t>Complete text ed.</t>
        </is>
      </c>
      <c r="O3174" t="inlineStr">
        <is>
          <t>eng</t>
        </is>
      </c>
      <c r="P3174" t="inlineStr">
        <is>
          <t>pau</t>
        </is>
      </c>
      <c r="Q3174" t="inlineStr">
        <is>
          <t>Supplemental liturgical resource ; 1</t>
        </is>
      </c>
      <c r="R3174" t="inlineStr">
        <is>
          <t xml:space="preserve">BX </t>
        </is>
      </c>
      <c r="S3174" t="n">
        <v>4</v>
      </c>
      <c r="T3174" t="n">
        <v>4</v>
      </c>
      <c r="U3174" t="inlineStr">
        <is>
          <t>2002-10-25</t>
        </is>
      </c>
      <c r="V3174" t="inlineStr">
        <is>
          <t>2002-10-25</t>
        </is>
      </c>
      <c r="W3174" t="inlineStr">
        <is>
          <t>1992-05-22</t>
        </is>
      </c>
      <c r="X3174" t="inlineStr">
        <is>
          <t>1992-05-22</t>
        </is>
      </c>
      <c r="Y3174" t="n">
        <v>143</v>
      </c>
      <c r="Z3174" t="n">
        <v>122</v>
      </c>
      <c r="AA3174" t="n">
        <v>136</v>
      </c>
      <c r="AB3174" t="n">
        <v>1</v>
      </c>
      <c r="AC3174" t="n">
        <v>1</v>
      </c>
      <c r="AD3174" t="n">
        <v>7</v>
      </c>
      <c r="AE3174" t="n">
        <v>7</v>
      </c>
      <c r="AF3174" t="n">
        <v>3</v>
      </c>
      <c r="AG3174" t="n">
        <v>3</v>
      </c>
      <c r="AH3174" t="n">
        <v>1</v>
      </c>
      <c r="AI3174" t="n">
        <v>1</v>
      </c>
      <c r="AJ3174" t="n">
        <v>4</v>
      </c>
      <c r="AK3174" t="n">
        <v>4</v>
      </c>
      <c r="AL3174" t="n">
        <v>0</v>
      </c>
      <c r="AM3174" t="n">
        <v>0</v>
      </c>
      <c r="AN3174" t="n">
        <v>0</v>
      </c>
      <c r="AO3174" t="n">
        <v>0</v>
      </c>
      <c r="AP3174" t="inlineStr">
        <is>
          <t>No</t>
        </is>
      </c>
      <c r="AQ3174" t="inlineStr">
        <is>
          <t>No</t>
        </is>
      </c>
      <c r="AS3174">
        <f>HYPERLINK("https://creighton-primo.hosted.exlibrisgroup.com/primo-explore/search?tab=default_tab&amp;search_scope=EVERYTHING&amp;vid=01CRU&amp;lang=en_US&amp;offset=0&amp;query=any,contains,991000399259702656","Catalog Record")</f>
        <v/>
      </c>
      <c r="AT3174">
        <f>HYPERLINK("http://www.worldcat.org/oclc/10605595","WorldCat Record")</f>
        <v/>
      </c>
      <c r="AU3174" t="inlineStr">
        <is>
          <t>2672940:eng</t>
        </is>
      </c>
      <c r="AV3174" t="inlineStr">
        <is>
          <t>10605595</t>
        </is>
      </c>
      <c r="AW3174" t="inlineStr">
        <is>
          <t>991000399259702656</t>
        </is>
      </c>
      <c r="AX3174" t="inlineStr">
        <is>
          <t>991000399259702656</t>
        </is>
      </c>
      <c r="AY3174" t="inlineStr">
        <is>
          <t>2258716610002656</t>
        </is>
      </c>
      <c r="AZ3174" t="inlineStr">
        <is>
          <t>BOOK</t>
        </is>
      </c>
      <c r="BB3174" t="inlineStr">
        <is>
          <t>9780664246433</t>
        </is>
      </c>
      <c r="BC3174" t="inlineStr">
        <is>
          <t>32285001140606</t>
        </is>
      </c>
      <c r="BD3174" t="inlineStr">
        <is>
          <t>893802741</t>
        </is>
      </c>
    </row>
    <row r="3175">
      <c r="A3175" t="inlineStr">
        <is>
          <t>No</t>
        </is>
      </c>
      <c r="B3175" t="inlineStr">
        <is>
          <t>BX9 .B32513 1988</t>
        </is>
      </c>
      <c r="C3175" t="inlineStr">
        <is>
          <t>0                      BX 0009000B  32513       1988</t>
        </is>
      </c>
      <c r="D3175" t="inlineStr">
        <is>
          <t>In the fullness of faith : on the centrality of the distinctively Catholic / Hans Urs von Balthasar ; translated by Graham Harrison.</t>
        </is>
      </c>
      <c r="F3175" t="inlineStr">
        <is>
          <t>No</t>
        </is>
      </c>
      <c r="G3175" t="inlineStr">
        <is>
          <t>1</t>
        </is>
      </c>
      <c r="H3175" t="inlineStr">
        <is>
          <t>No</t>
        </is>
      </c>
      <c r="I3175" t="inlineStr">
        <is>
          <t>No</t>
        </is>
      </c>
      <c r="J3175" t="inlineStr">
        <is>
          <t>0</t>
        </is>
      </c>
      <c r="K3175" t="inlineStr">
        <is>
          <t>Balthasar, Hans Urs von, 1905-1988.</t>
        </is>
      </c>
      <c r="L3175" t="inlineStr">
        <is>
          <t>San Francisco : Ignatius Press, c1988.</t>
        </is>
      </c>
      <c r="M3175" t="inlineStr">
        <is>
          <t>1988</t>
        </is>
      </c>
      <c r="O3175" t="inlineStr">
        <is>
          <t>eng</t>
        </is>
      </c>
      <c r="P3175" t="inlineStr">
        <is>
          <t>cau</t>
        </is>
      </c>
      <c r="R3175" t="inlineStr">
        <is>
          <t xml:space="preserve">BX </t>
        </is>
      </c>
      <c r="S3175" t="n">
        <v>6</v>
      </c>
      <c r="T3175" t="n">
        <v>6</v>
      </c>
      <c r="U3175" t="inlineStr">
        <is>
          <t>2001-11-15</t>
        </is>
      </c>
      <c r="V3175" t="inlineStr">
        <is>
          <t>2001-11-15</t>
        </is>
      </c>
      <c r="W3175" t="inlineStr">
        <is>
          <t>1992-03-24</t>
        </is>
      </c>
      <c r="X3175" t="inlineStr">
        <is>
          <t>1992-03-24</t>
        </is>
      </c>
      <c r="Y3175" t="n">
        <v>189</v>
      </c>
      <c r="Z3175" t="n">
        <v>154</v>
      </c>
      <c r="AA3175" t="n">
        <v>165</v>
      </c>
      <c r="AB3175" t="n">
        <v>2</v>
      </c>
      <c r="AC3175" t="n">
        <v>2</v>
      </c>
      <c r="AD3175" t="n">
        <v>15</v>
      </c>
      <c r="AE3175" t="n">
        <v>16</v>
      </c>
      <c r="AF3175" t="n">
        <v>5</v>
      </c>
      <c r="AG3175" t="n">
        <v>5</v>
      </c>
      <c r="AH3175" t="n">
        <v>4</v>
      </c>
      <c r="AI3175" t="n">
        <v>5</v>
      </c>
      <c r="AJ3175" t="n">
        <v>13</v>
      </c>
      <c r="AK3175" t="n">
        <v>13</v>
      </c>
      <c r="AL3175" t="n">
        <v>0</v>
      </c>
      <c r="AM3175" t="n">
        <v>0</v>
      </c>
      <c r="AN3175" t="n">
        <v>0</v>
      </c>
      <c r="AO3175" t="n">
        <v>0</v>
      </c>
      <c r="AP3175" t="inlineStr">
        <is>
          <t>No</t>
        </is>
      </c>
      <c r="AQ3175" t="inlineStr">
        <is>
          <t>No</t>
        </is>
      </c>
      <c r="AS3175">
        <f>HYPERLINK("https://creighton-primo.hosted.exlibrisgroup.com/primo-explore/search?tab=default_tab&amp;search_scope=EVERYTHING&amp;vid=01CRU&amp;lang=en_US&amp;offset=0&amp;query=any,contains,991001420339702656","Catalog Record")</f>
        <v/>
      </c>
      <c r="AT3175">
        <f>HYPERLINK("http://www.worldcat.org/oclc/18965366","WorldCat Record")</f>
        <v/>
      </c>
      <c r="AU3175" t="inlineStr">
        <is>
          <t>4160180658:eng</t>
        </is>
      </c>
      <c r="AV3175" t="inlineStr">
        <is>
          <t>18965366</t>
        </is>
      </c>
      <c r="AW3175" t="inlineStr">
        <is>
          <t>991001420339702656</t>
        </is>
      </c>
      <c r="AX3175" t="inlineStr">
        <is>
          <t>991001420339702656</t>
        </is>
      </c>
      <c r="AY3175" t="inlineStr">
        <is>
          <t>2264945580002656</t>
        </is>
      </c>
      <c r="AZ3175" t="inlineStr">
        <is>
          <t>BOOK</t>
        </is>
      </c>
      <c r="BB3175" t="inlineStr">
        <is>
          <t>9780898701661</t>
        </is>
      </c>
      <c r="BC3175" t="inlineStr">
        <is>
          <t>32285001017275</t>
        </is>
      </c>
      <c r="BD3175" t="inlineStr">
        <is>
          <t>893497083</t>
        </is>
      </c>
    </row>
    <row r="3176">
      <c r="A3176" t="inlineStr">
        <is>
          <t>No</t>
        </is>
      </c>
      <c r="B3176" t="inlineStr">
        <is>
          <t>BX9 .T67 1975a</t>
        </is>
      </c>
      <c r="C3176" t="inlineStr">
        <is>
          <t>0                      BX 0009000T  67          1975a</t>
        </is>
      </c>
      <c r="D3176" t="inlineStr">
        <is>
          <t>Theology in reconciliation : essays towards evangelical and catholic unity in east and west / [by] Thomas F. Torrance.</t>
        </is>
      </c>
      <c r="F3176" t="inlineStr">
        <is>
          <t>No</t>
        </is>
      </c>
      <c r="G3176" t="inlineStr">
        <is>
          <t>1</t>
        </is>
      </c>
      <c r="H3176" t="inlineStr">
        <is>
          <t>No</t>
        </is>
      </c>
      <c r="I3176" t="inlineStr">
        <is>
          <t>No</t>
        </is>
      </c>
      <c r="J3176" t="inlineStr">
        <is>
          <t>0</t>
        </is>
      </c>
      <c r="K3176" t="inlineStr">
        <is>
          <t>Torrance, Thomas F. (Thomas Forsyth), 1913-2007.</t>
        </is>
      </c>
      <c r="L3176" t="inlineStr">
        <is>
          <t>London : G. Chapman, 1975.</t>
        </is>
      </c>
      <c r="M3176" t="inlineStr">
        <is>
          <t>1975</t>
        </is>
      </c>
      <c r="O3176" t="inlineStr">
        <is>
          <t>eng</t>
        </is>
      </c>
      <c r="P3176" t="inlineStr">
        <is>
          <t>enk</t>
        </is>
      </c>
      <c r="R3176" t="inlineStr">
        <is>
          <t xml:space="preserve">BX </t>
        </is>
      </c>
      <c r="S3176" t="n">
        <v>1</v>
      </c>
      <c r="T3176" t="n">
        <v>1</v>
      </c>
      <c r="U3176" t="inlineStr">
        <is>
          <t>1997-07-19</t>
        </is>
      </c>
      <c r="V3176" t="inlineStr">
        <is>
          <t>1997-07-19</t>
        </is>
      </c>
      <c r="W3176" t="inlineStr">
        <is>
          <t>1992-03-24</t>
        </is>
      </c>
      <c r="X3176" t="inlineStr">
        <is>
          <t>1992-03-24</t>
        </is>
      </c>
      <c r="Y3176" t="n">
        <v>142</v>
      </c>
      <c r="Z3176" t="n">
        <v>56</v>
      </c>
      <c r="AA3176" t="n">
        <v>317</v>
      </c>
      <c r="AB3176" t="n">
        <v>3</v>
      </c>
      <c r="AC3176" t="n">
        <v>3</v>
      </c>
      <c r="AD3176" t="n">
        <v>8</v>
      </c>
      <c r="AE3176" t="n">
        <v>22</v>
      </c>
      <c r="AF3176" t="n">
        <v>2</v>
      </c>
      <c r="AG3176" t="n">
        <v>8</v>
      </c>
      <c r="AH3176" t="n">
        <v>1</v>
      </c>
      <c r="AI3176" t="n">
        <v>6</v>
      </c>
      <c r="AJ3176" t="n">
        <v>4</v>
      </c>
      <c r="AK3176" t="n">
        <v>11</v>
      </c>
      <c r="AL3176" t="n">
        <v>2</v>
      </c>
      <c r="AM3176" t="n">
        <v>2</v>
      </c>
      <c r="AN3176" t="n">
        <v>0</v>
      </c>
      <c r="AO3176" t="n">
        <v>0</v>
      </c>
      <c r="AP3176" t="inlineStr">
        <is>
          <t>No</t>
        </is>
      </c>
      <c r="AQ3176" t="inlineStr">
        <is>
          <t>No</t>
        </is>
      </c>
      <c r="AS3176">
        <f>HYPERLINK("https://creighton-primo.hosted.exlibrisgroup.com/primo-explore/search?tab=default_tab&amp;search_scope=EVERYTHING&amp;vid=01CRU&amp;lang=en_US&amp;offset=0&amp;query=any,contains,991004287549702656","Catalog Record")</f>
        <v/>
      </c>
      <c r="AT3176">
        <f>HYPERLINK("http://www.worldcat.org/oclc/2930465","WorldCat Record")</f>
        <v/>
      </c>
      <c r="AU3176" t="inlineStr">
        <is>
          <t>900352192:eng</t>
        </is>
      </c>
      <c r="AV3176" t="inlineStr">
        <is>
          <t>2930465</t>
        </is>
      </c>
      <c r="AW3176" t="inlineStr">
        <is>
          <t>991004287549702656</t>
        </is>
      </c>
      <c r="AX3176" t="inlineStr">
        <is>
          <t>991004287549702656</t>
        </is>
      </c>
      <c r="AY3176" t="inlineStr">
        <is>
          <t>2262921770002656</t>
        </is>
      </c>
      <c r="AZ3176" t="inlineStr">
        <is>
          <t>BOOK</t>
        </is>
      </c>
      <c r="BB3176" t="inlineStr">
        <is>
          <t>9780225661187</t>
        </is>
      </c>
      <c r="BC3176" t="inlineStr">
        <is>
          <t>32285001017291</t>
        </is>
      </c>
      <c r="BD3176" t="inlineStr">
        <is>
          <t>893605839</t>
        </is>
      </c>
    </row>
    <row r="3177">
      <c r="A3177" t="inlineStr">
        <is>
          <t>No</t>
        </is>
      </c>
      <c r="B3177" t="inlineStr">
        <is>
          <t>BX9.5.E3 R4 2000</t>
        </is>
      </c>
      <c r="C3177" t="inlineStr">
        <is>
          <t>0                      BX 0009500E  3                  R  4           2000</t>
        </is>
      </c>
      <c r="D3177" t="inlineStr">
        <is>
          <t>Faith and law : juridical perspectives for the ecumenical movement / Marc Reuver.</t>
        </is>
      </c>
      <c r="F3177" t="inlineStr">
        <is>
          <t>No</t>
        </is>
      </c>
      <c r="G3177" t="inlineStr">
        <is>
          <t>1</t>
        </is>
      </c>
      <c r="H3177" t="inlineStr">
        <is>
          <t>No</t>
        </is>
      </c>
      <c r="I3177" t="inlineStr">
        <is>
          <t>No</t>
        </is>
      </c>
      <c r="J3177" t="inlineStr">
        <is>
          <t>0</t>
        </is>
      </c>
      <c r="K3177" t="inlineStr">
        <is>
          <t>Reuver, Marc.</t>
        </is>
      </c>
      <c r="L3177" t="inlineStr">
        <is>
          <t>Geneva, Switzerland : WCC Publications, c2000.</t>
        </is>
      </c>
      <c r="M3177" t="inlineStr">
        <is>
          <t>2000</t>
        </is>
      </c>
      <c r="O3177" t="inlineStr">
        <is>
          <t>eng</t>
        </is>
      </c>
      <c r="P3177" t="inlineStr">
        <is>
          <t xml:space="preserve">sz </t>
        </is>
      </c>
      <c r="R3177" t="inlineStr">
        <is>
          <t xml:space="preserve">BX </t>
        </is>
      </c>
      <c r="S3177" t="n">
        <v>2</v>
      </c>
      <c r="T3177" t="n">
        <v>2</v>
      </c>
      <c r="U3177" t="inlineStr">
        <is>
          <t>2008-02-05</t>
        </is>
      </c>
      <c r="V3177" t="inlineStr">
        <is>
          <t>2008-02-05</t>
        </is>
      </c>
      <c r="W3177" t="inlineStr">
        <is>
          <t>2001-05-29</t>
        </is>
      </c>
      <c r="X3177" t="inlineStr">
        <is>
          <t>2001-05-29</t>
        </is>
      </c>
      <c r="Y3177" t="n">
        <v>118</v>
      </c>
      <c r="Z3177" t="n">
        <v>81</v>
      </c>
      <c r="AA3177" t="n">
        <v>81</v>
      </c>
      <c r="AB3177" t="n">
        <v>1</v>
      </c>
      <c r="AC3177" t="n">
        <v>1</v>
      </c>
      <c r="AD3177" t="n">
        <v>4</v>
      </c>
      <c r="AE3177" t="n">
        <v>4</v>
      </c>
      <c r="AF3177" t="n">
        <v>1</v>
      </c>
      <c r="AG3177" t="n">
        <v>1</v>
      </c>
      <c r="AH3177" t="n">
        <v>1</v>
      </c>
      <c r="AI3177" t="n">
        <v>1</v>
      </c>
      <c r="AJ3177" t="n">
        <v>2</v>
      </c>
      <c r="AK3177" t="n">
        <v>2</v>
      </c>
      <c r="AL3177" t="n">
        <v>0</v>
      </c>
      <c r="AM3177" t="n">
        <v>0</v>
      </c>
      <c r="AN3177" t="n">
        <v>0</v>
      </c>
      <c r="AO3177" t="n">
        <v>0</v>
      </c>
      <c r="AP3177" t="inlineStr">
        <is>
          <t>No</t>
        </is>
      </c>
      <c r="AQ3177" t="inlineStr">
        <is>
          <t>No</t>
        </is>
      </c>
      <c r="AS3177">
        <f>HYPERLINK("https://creighton-primo.hosted.exlibrisgroup.com/primo-explore/search?tab=default_tab&amp;search_scope=EVERYTHING&amp;vid=01CRU&amp;lang=en_US&amp;offset=0&amp;query=any,contains,991003536339702656","Catalog Record")</f>
        <v/>
      </c>
      <c r="AT3177">
        <f>HYPERLINK("http://www.worldcat.org/oclc/45139792","WorldCat Record")</f>
        <v/>
      </c>
      <c r="AU3177" t="inlineStr">
        <is>
          <t>837080453:eng</t>
        </is>
      </c>
      <c r="AV3177" t="inlineStr">
        <is>
          <t>45139792</t>
        </is>
      </c>
      <c r="AW3177" t="inlineStr">
        <is>
          <t>991003536339702656</t>
        </is>
      </c>
      <c r="AX3177" t="inlineStr">
        <is>
          <t>991003536339702656</t>
        </is>
      </c>
      <c r="AY3177" t="inlineStr">
        <is>
          <t>2258961410002656</t>
        </is>
      </c>
      <c r="AZ3177" t="inlineStr">
        <is>
          <t>BOOK</t>
        </is>
      </c>
      <c r="BB3177" t="inlineStr">
        <is>
          <t>9782825413258</t>
        </is>
      </c>
      <c r="BC3177" t="inlineStr">
        <is>
          <t>32285004319009</t>
        </is>
      </c>
      <c r="BD3177" t="inlineStr">
        <is>
          <t>893868526</t>
        </is>
      </c>
    </row>
    <row r="3178">
      <c r="A3178" t="inlineStr">
        <is>
          <t>No</t>
        </is>
      </c>
      <c r="B3178" t="inlineStr">
        <is>
          <t>BX9.5.P29 F37 1990</t>
        </is>
      </c>
      <c r="C3178" t="inlineStr">
        <is>
          <t>0                      BX 0009500P  29                 F  37          1990</t>
        </is>
      </c>
      <c r="D3178" t="inlineStr">
        <is>
          <t>Peter and Paul in the church of Rome : the ecumenical potential of a forgotten perspective / William R. Farmer, Roch Kereszty.</t>
        </is>
      </c>
      <c r="F3178" t="inlineStr">
        <is>
          <t>No</t>
        </is>
      </c>
      <c r="G3178" t="inlineStr">
        <is>
          <t>1</t>
        </is>
      </c>
      <c r="H3178" t="inlineStr">
        <is>
          <t>No</t>
        </is>
      </c>
      <c r="I3178" t="inlineStr">
        <is>
          <t>No</t>
        </is>
      </c>
      <c r="J3178" t="inlineStr">
        <is>
          <t>0</t>
        </is>
      </c>
      <c r="K3178" t="inlineStr">
        <is>
          <t>Farmer, William R. (William Reuben), 1921-2000.</t>
        </is>
      </c>
      <c r="L3178" t="inlineStr">
        <is>
          <t>New York : Paulist Press, c1990.</t>
        </is>
      </c>
      <c r="M3178" t="inlineStr">
        <is>
          <t>1990</t>
        </is>
      </c>
      <c r="O3178" t="inlineStr">
        <is>
          <t>eng</t>
        </is>
      </c>
      <c r="P3178" t="inlineStr">
        <is>
          <t>nyu</t>
        </is>
      </c>
      <c r="Q3178" t="inlineStr">
        <is>
          <t>Theological inquiries</t>
        </is>
      </c>
      <c r="R3178" t="inlineStr">
        <is>
          <t xml:space="preserve">BX </t>
        </is>
      </c>
      <c r="S3178" t="n">
        <v>5</v>
      </c>
      <c r="T3178" t="n">
        <v>5</v>
      </c>
      <c r="U3178" t="inlineStr">
        <is>
          <t>2005-03-30</t>
        </is>
      </c>
      <c r="V3178" t="inlineStr">
        <is>
          <t>2005-03-30</t>
        </is>
      </c>
      <c r="W3178" t="inlineStr">
        <is>
          <t>1990-09-04</t>
        </is>
      </c>
      <c r="X3178" t="inlineStr">
        <is>
          <t>1990-09-04</t>
        </is>
      </c>
      <c r="Y3178" t="n">
        <v>289</v>
      </c>
      <c r="Z3178" t="n">
        <v>244</v>
      </c>
      <c r="AA3178" t="n">
        <v>252</v>
      </c>
      <c r="AB3178" t="n">
        <v>2</v>
      </c>
      <c r="AC3178" t="n">
        <v>2</v>
      </c>
      <c r="AD3178" t="n">
        <v>25</v>
      </c>
      <c r="AE3178" t="n">
        <v>25</v>
      </c>
      <c r="AF3178" t="n">
        <v>10</v>
      </c>
      <c r="AG3178" t="n">
        <v>10</v>
      </c>
      <c r="AH3178" t="n">
        <v>7</v>
      </c>
      <c r="AI3178" t="n">
        <v>7</v>
      </c>
      <c r="AJ3178" t="n">
        <v>17</v>
      </c>
      <c r="AK3178" t="n">
        <v>17</v>
      </c>
      <c r="AL3178" t="n">
        <v>1</v>
      </c>
      <c r="AM3178" t="n">
        <v>1</v>
      </c>
      <c r="AN3178" t="n">
        <v>0</v>
      </c>
      <c r="AO3178" t="n">
        <v>0</v>
      </c>
      <c r="AP3178" t="inlineStr">
        <is>
          <t>No</t>
        </is>
      </c>
      <c r="AQ3178" t="inlineStr">
        <is>
          <t>Yes</t>
        </is>
      </c>
      <c r="AR3178">
        <f>HYPERLINK("http://catalog.hathitrust.org/Record/001944976","HathiTrust Record")</f>
        <v/>
      </c>
      <c r="AS3178">
        <f>HYPERLINK("https://creighton-primo.hosted.exlibrisgroup.com/primo-explore/search?tab=default_tab&amp;search_scope=EVERYTHING&amp;vid=01CRU&amp;lang=en_US&amp;offset=0&amp;query=any,contains,991001541519702656","Catalog Record")</f>
        <v/>
      </c>
      <c r="AT3178">
        <f>HYPERLINK("http://www.worldcat.org/oclc/20131136","WorldCat Record")</f>
        <v/>
      </c>
      <c r="AU3178" t="inlineStr">
        <is>
          <t>138664518:eng</t>
        </is>
      </c>
      <c r="AV3178" t="inlineStr">
        <is>
          <t>20131136</t>
        </is>
      </c>
      <c r="AW3178" t="inlineStr">
        <is>
          <t>991001541519702656</t>
        </is>
      </c>
      <c r="AX3178" t="inlineStr">
        <is>
          <t>991001541519702656</t>
        </is>
      </c>
      <c r="AY3178" t="inlineStr">
        <is>
          <t>2264123110002656</t>
        </is>
      </c>
      <c r="AZ3178" t="inlineStr">
        <is>
          <t>BOOK</t>
        </is>
      </c>
      <c r="BB3178" t="inlineStr">
        <is>
          <t>9780809131020</t>
        </is>
      </c>
      <c r="BC3178" t="inlineStr">
        <is>
          <t>32285000275759</t>
        </is>
      </c>
      <c r="BD3178" t="inlineStr">
        <is>
          <t>893328194</t>
        </is>
      </c>
    </row>
    <row r="3179">
      <c r="A3179" t="inlineStr">
        <is>
          <t>No</t>
        </is>
      </c>
      <c r="B3179" t="inlineStr">
        <is>
          <t>BX9.5.R4 C38 1997</t>
        </is>
      </c>
      <c r="C3179" t="inlineStr">
        <is>
          <t>0                      BX 0009500R  4                  C  38          1997</t>
        </is>
      </c>
      <c r="D3179" t="inlineStr">
        <is>
          <t>The ecumenical dimension in the formation of those engaged in pastoral work = La dimension oecuménique dans la formation de ceux qui travaillent dans le ministère pastoral = La dimensión ecuménica en la formación de quienes trabajan en el ministerio pastoral = La dimensione ecumenica nella formazione de chi si dedica al ministerio pastorale / Pontificium Consilium ad Christianorum Unitatem Fovendam.</t>
        </is>
      </c>
      <c r="F3179" t="inlineStr">
        <is>
          <t>No</t>
        </is>
      </c>
      <c r="G3179" t="inlineStr">
        <is>
          <t>1</t>
        </is>
      </c>
      <c r="H3179" t="inlineStr">
        <is>
          <t>No</t>
        </is>
      </c>
      <c r="I3179" t="inlineStr">
        <is>
          <t>No</t>
        </is>
      </c>
      <c r="J3179" t="inlineStr">
        <is>
          <t>0</t>
        </is>
      </c>
      <c r="K3179" t="inlineStr">
        <is>
          <t>Catholic Church. Pontificium Consilium ad Christianorum Unitatem Fovendam.</t>
        </is>
      </c>
      <c r="L3179" t="inlineStr">
        <is>
          <t>[Civitas Vaticana] : Typis Vaticanis, 1997.</t>
        </is>
      </c>
      <c r="M3179" t="inlineStr">
        <is>
          <t>1997</t>
        </is>
      </c>
      <c r="O3179" t="inlineStr">
        <is>
          <t>eng</t>
        </is>
      </c>
      <c r="P3179" t="inlineStr">
        <is>
          <t xml:space="preserve">vc </t>
        </is>
      </c>
      <c r="R3179" t="inlineStr">
        <is>
          <t xml:space="preserve">BX </t>
        </is>
      </c>
      <c r="S3179" t="n">
        <v>1</v>
      </c>
      <c r="T3179" t="n">
        <v>1</v>
      </c>
      <c r="U3179" t="inlineStr">
        <is>
          <t>2005-04-13</t>
        </is>
      </c>
      <c r="V3179" t="inlineStr">
        <is>
          <t>2005-04-13</t>
        </is>
      </c>
      <c r="W3179" t="inlineStr">
        <is>
          <t>2005-04-13</t>
        </is>
      </c>
      <c r="X3179" t="inlineStr">
        <is>
          <t>2005-04-13</t>
        </is>
      </c>
      <c r="Y3179" t="n">
        <v>22</v>
      </c>
      <c r="Z3179" t="n">
        <v>14</v>
      </c>
      <c r="AA3179" t="n">
        <v>17</v>
      </c>
      <c r="AB3179" t="n">
        <v>1</v>
      </c>
      <c r="AC3179" t="n">
        <v>1</v>
      </c>
      <c r="AD3179" t="n">
        <v>4</v>
      </c>
      <c r="AE3179" t="n">
        <v>5</v>
      </c>
      <c r="AF3179" t="n">
        <v>0</v>
      </c>
      <c r="AG3179" t="n">
        <v>0</v>
      </c>
      <c r="AH3179" t="n">
        <v>2</v>
      </c>
      <c r="AI3179" t="n">
        <v>3</v>
      </c>
      <c r="AJ3179" t="n">
        <v>4</v>
      </c>
      <c r="AK3179" t="n">
        <v>4</v>
      </c>
      <c r="AL3179" t="n">
        <v>0</v>
      </c>
      <c r="AM3179" t="n">
        <v>0</v>
      </c>
      <c r="AN3179" t="n">
        <v>0</v>
      </c>
      <c r="AO3179" t="n">
        <v>0</v>
      </c>
      <c r="AP3179" t="inlineStr">
        <is>
          <t>No</t>
        </is>
      </c>
      <c r="AQ3179" t="inlineStr">
        <is>
          <t>No</t>
        </is>
      </c>
      <c r="AS3179">
        <f>HYPERLINK("https://creighton-primo.hosted.exlibrisgroup.com/primo-explore/search?tab=default_tab&amp;search_scope=EVERYTHING&amp;vid=01CRU&amp;lang=en_US&amp;offset=0&amp;query=any,contains,991004528659702656","Catalog Record")</f>
        <v/>
      </c>
      <c r="AT3179">
        <f>HYPERLINK("http://www.worldcat.org/oclc/39473929","WorldCat Record")</f>
        <v/>
      </c>
      <c r="AU3179" t="inlineStr">
        <is>
          <t>2754332582:eng</t>
        </is>
      </c>
      <c r="AV3179" t="inlineStr">
        <is>
          <t>39473929</t>
        </is>
      </c>
      <c r="AW3179" t="inlineStr">
        <is>
          <t>991004528659702656</t>
        </is>
      </c>
      <c r="AX3179" t="inlineStr">
        <is>
          <t>991004528659702656</t>
        </is>
      </c>
      <c r="AY3179" t="inlineStr">
        <is>
          <t>2255147290002656</t>
        </is>
      </c>
      <c r="AZ3179" t="inlineStr">
        <is>
          <t>BOOK</t>
        </is>
      </c>
      <c r="BC3179" t="inlineStr">
        <is>
          <t>32285005030688</t>
        </is>
      </c>
      <c r="BD3179" t="inlineStr">
        <is>
          <t>893423921</t>
        </is>
      </c>
    </row>
    <row r="3180">
      <c r="A3180" t="inlineStr">
        <is>
          <t>No</t>
        </is>
      </c>
      <c r="B3180" t="inlineStr">
        <is>
          <t>BX900 .C37 1989</t>
        </is>
      </c>
      <c r="C3180" t="inlineStr">
        <is>
          <t>0                      BX 0900000C  37          1989</t>
        </is>
      </c>
      <c r="D3180" t="inlineStr">
        <is>
          <t>Guidelines for the study and teaching of the Church's social doctrine in the formation of priests / Congregation for Catholic Education.</t>
        </is>
      </c>
      <c r="F3180" t="inlineStr">
        <is>
          <t>No</t>
        </is>
      </c>
      <c r="G3180" t="inlineStr">
        <is>
          <t>1</t>
        </is>
      </c>
      <c r="H3180" t="inlineStr">
        <is>
          <t>No</t>
        </is>
      </c>
      <c r="I3180" t="inlineStr">
        <is>
          <t>No</t>
        </is>
      </c>
      <c r="J3180" t="inlineStr">
        <is>
          <t>0</t>
        </is>
      </c>
      <c r="K3180" t="inlineStr">
        <is>
          <t>Catholic Church. Congregatio pro Institutione Catholica.</t>
        </is>
      </c>
      <c r="L3180" t="inlineStr">
        <is>
          <t>Washington, D.C. : Office for Publishing and Promotion Services, United States Catholic Conference, [1989]</t>
        </is>
      </c>
      <c r="M3180" t="inlineStr">
        <is>
          <t>1989</t>
        </is>
      </c>
      <c r="O3180" t="inlineStr">
        <is>
          <t>eng</t>
        </is>
      </c>
      <c r="P3180" t="inlineStr">
        <is>
          <t>dcu</t>
        </is>
      </c>
      <c r="Q3180" t="inlineStr">
        <is>
          <t>Publication / Office for Publishing and Promotion Services, United States Catholic Conference ; no. 321-3</t>
        </is>
      </c>
      <c r="R3180" t="inlineStr">
        <is>
          <t xml:space="preserve">BX </t>
        </is>
      </c>
      <c r="S3180" t="n">
        <v>2</v>
      </c>
      <c r="T3180" t="n">
        <v>2</v>
      </c>
      <c r="U3180" t="inlineStr">
        <is>
          <t>1994-07-20</t>
        </is>
      </c>
      <c r="V3180" t="inlineStr">
        <is>
          <t>1994-07-20</t>
        </is>
      </c>
      <c r="W3180" t="inlineStr">
        <is>
          <t>1992-05-15</t>
        </is>
      </c>
      <c r="X3180" t="inlineStr">
        <is>
          <t>1992-05-15</t>
        </is>
      </c>
      <c r="Y3180" t="n">
        <v>98</v>
      </c>
      <c r="Z3180" t="n">
        <v>96</v>
      </c>
      <c r="AA3180" t="n">
        <v>103</v>
      </c>
      <c r="AB3180" t="n">
        <v>1</v>
      </c>
      <c r="AC3180" t="n">
        <v>1</v>
      </c>
      <c r="AD3180" t="n">
        <v>17</v>
      </c>
      <c r="AE3180" t="n">
        <v>17</v>
      </c>
      <c r="AF3180" t="n">
        <v>4</v>
      </c>
      <c r="AG3180" t="n">
        <v>4</v>
      </c>
      <c r="AH3180" t="n">
        <v>5</v>
      </c>
      <c r="AI3180" t="n">
        <v>5</v>
      </c>
      <c r="AJ3180" t="n">
        <v>13</v>
      </c>
      <c r="AK3180" t="n">
        <v>13</v>
      </c>
      <c r="AL3180" t="n">
        <v>0</v>
      </c>
      <c r="AM3180" t="n">
        <v>0</v>
      </c>
      <c r="AN3180" t="n">
        <v>0</v>
      </c>
      <c r="AO3180" t="n">
        <v>0</v>
      </c>
      <c r="AP3180" t="inlineStr">
        <is>
          <t>No</t>
        </is>
      </c>
      <c r="AQ3180" t="inlineStr">
        <is>
          <t>No</t>
        </is>
      </c>
      <c r="AS3180">
        <f>HYPERLINK("https://creighton-primo.hosted.exlibrisgroup.com/primo-explore/search?tab=default_tab&amp;search_scope=EVERYTHING&amp;vid=01CRU&amp;lang=en_US&amp;offset=0&amp;query=any,contains,991001570019702656","Catalog Record")</f>
        <v/>
      </c>
      <c r="AT3180">
        <f>HYPERLINK("http://www.worldcat.org/oclc/20381698","WorldCat Record")</f>
        <v/>
      </c>
      <c r="AU3180" t="inlineStr">
        <is>
          <t>22485463:eng</t>
        </is>
      </c>
      <c r="AV3180" t="inlineStr">
        <is>
          <t>20381698</t>
        </is>
      </c>
      <c r="AW3180" t="inlineStr">
        <is>
          <t>991001570019702656</t>
        </is>
      </c>
      <c r="AX3180" t="inlineStr">
        <is>
          <t>991001570019702656</t>
        </is>
      </c>
      <c r="AY3180" t="inlineStr">
        <is>
          <t>2267683460002656</t>
        </is>
      </c>
      <c r="AZ3180" t="inlineStr">
        <is>
          <t>BOOK</t>
        </is>
      </c>
      <c r="BB3180" t="inlineStr">
        <is>
          <t>9781555863210</t>
        </is>
      </c>
      <c r="BC3180" t="inlineStr">
        <is>
          <t>32285001084101</t>
        </is>
      </c>
      <c r="BD3180" t="inlineStr">
        <is>
          <t>893414325</t>
        </is>
      </c>
    </row>
    <row r="3181">
      <c r="A3181" t="inlineStr">
        <is>
          <t>No</t>
        </is>
      </c>
      <c r="B3181" t="inlineStr">
        <is>
          <t>BX900 .D7 1960</t>
        </is>
      </c>
      <c r="C3181" t="inlineStr">
        <is>
          <t>0                      BX 0900000D  7           1960</t>
        </is>
      </c>
      <c r="D3181" t="inlineStr">
        <is>
          <t>Telling the good news : reflections on religion and education.</t>
        </is>
      </c>
      <c r="F3181" t="inlineStr">
        <is>
          <t>No</t>
        </is>
      </c>
      <c r="G3181" t="inlineStr">
        <is>
          <t>1</t>
        </is>
      </c>
      <c r="H3181" t="inlineStr">
        <is>
          <t>No</t>
        </is>
      </c>
      <c r="I3181" t="inlineStr">
        <is>
          <t>No</t>
        </is>
      </c>
      <c r="J3181" t="inlineStr">
        <is>
          <t>0</t>
        </is>
      </c>
      <c r="K3181" t="inlineStr">
        <is>
          <t>Drinkwater, F. H. (Francis Harold), 1886-1982.</t>
        </is>
      </c>
      <c r="L3181" t="inlineStr">
        <is>
          <t>London : Macmillan, 1960.</t>
        </is>
      </c>
      <c r="M3181" t="inlineStr">
        <is>
          <t>1960</t>
        </is>
      </c>
      <c r="O3181" t="inlineStr">
        <is>
          <t>eng</t>
        </is>
      </c>
      <c r="P3181" t="inlineStr">
        <is>
          <t xml:space="preserve">xx </t>
        </is>
      </c>
      <c r="R3181" t="inlineStr">
        <is>
          <t xml:space="preserve">BX </t>
        </is>
      </c>
      <c r="S3181" t="n">
        <v>1</v>
      </c>
      <c r="T3181" t="n">
        <v>1</v>
      </c>
      <c r="U3181" t="inlineStr">
        <is>
          <t>2007-11-06</t>
        </is>
      </c>
      <c r="V3181" t="inlineStr">
        <is>
          <t>2007-11-06</t>
        </is>
      </c>
      <c r="W3181" t="inlineStr">
        <is>
          <t>1992-05-15</t>
        </is>
      </c>
      <c r="X3181" t="inlineStr">
        <is>
          <t>1992-05-15</t>
        </is>
      </c>
      <c r="Y3181" t="n">
        <v>107</v>
      </c>
      <c r="Z3181" t="n">
        <v>76</v>
      </c>
      <c r="AA3181" t="n">
        <v>78</v>
      </c>
      <c r="AB3181" t="n">
        <v>1</v>
      </c>
      <c r="AC3181" t="n">
        <v>1</v>
      </c>
      <c r="AD3181" t="n">
        <v>12</v>
      </c>
      <c r="AE3181" t="n">
        <v>12</v>
      </c>
      <c r="AF3181" t="n">
        <v>2</v>
      </c>
      <c r="AG3181" t="n">
        <v>2</v>
      </c>
      <c r="AH3181" t="n">
        <v>2</v>
      </c>
      <c r="AI3181" t="n">
        <v>2</v>
      </c>
      <c r="AJ3181" t="n">
        <v>10</v>
      </c>
      <c r="AK3181" t="n">
        <v>10</v>
      </c>
      <c r="AL3181" t="n">
        <v>0</v>
      </c>
      <c r="AM3181" t="n">
        <v>0</v>
      </c>
      <c r="AN3181" t="n">
        <v>0</v>
      </c>
      <c r="AO3181" t="n">
        <v>0</v>
      </c>
      <c r="AP3181" t="inlineStr">
        <is>
          <t>No</t>
        </is>
      </c>
      <c r="AQ3181" t="inlineStr">
        <is>
          <t>No</t>
        </is>
      </c>
      <c r="AS3181">
        <f>HYPERLINK("https://creighton-primo.hosted.exlibrisgroup.com/primo-explore/search?tab=default_tab&amp;search_scope=EVERYTHING&amp;vid=01CRU&amp;lang=en_US&amp;offset=0&amp;query=any,contains,991003380589702656","Catalog Record")</f>
        <v/>
      </c>
      <c r="AT3181">
        <f>HYPERLINK("http://www.worldcat.org/oclc/917040","WorldCat Record")</f>
        <v/>
      </c>
      <c r="AU3181" t="inlineStr">
        <is>
          <t>430864777:eng</t>
        </is>
      </c>
      <c r="AV3181" t="inlineStr">
        <is>
          <t>917040</t>
        </is>
      </c>
      <c r="AW3181" t="inlineStr">
        <is>
          <t>991003380589702656</t>
        </is>
      </c>
      <c r="AX3181" t="inlineStr">
        <is>
          <t>991003380589702656</t>
        </is>
      </c>
      <c r="AY3181" t="inlineStr">
        <is>
          <t>2260191610002656</t>
        </is>
      </c>
      <c r="AZ3181" t="inlineStr">
        <is>
          <t>BOOK</t>
        </is>
      </c>
      <c r="BC3181" t="inlineStr">
        <is>
          <t>32285001084127</t>
        </is>
      </c>
      <c r="BD3181" t="inlineStr">
        <is>
          <t>893531138</t>
        </is>
      </c>
    </row>
    <row r="3182">
      <c r="A3182" t="inlineStr">
        <is>
          <t>No</t>
        </is>
      </c>
      <c r="B3182" t="inlineStr">
        <is>
          <t>BX903 .C347 1994</t>
        </is>
      </c>
      <c r="C3182" t="inlineStr">
        <is>
          <t>0                      BX 0903000C  347         1994</t>
        </is>
      </c>
      <c r="D3182" t="inlineStr">
        <is>
          <t>Directives concerning the preparation of seminary educators / Congregation for Catholic Education.</t>
        </is>
      </c>
      <c r="F3182" t="inlineStr">
        <is>
          <t>No</t>
        </is>
      </c>
      <c r="G3182" t="inlineStr">
        <is>
          <t>1</t>
        </is>
      </c>
      <c r="H3182" t="inlineStr">
        <is>
          <t>No</t>
        </is>
      </c>
      <c r="I3182" t="inlineStr">
        <is>
          <t>No</t>
        </is>
      </c>
      <c r="J3182" t="inlineStr">
        <is>
          <t>0</t>
        </is>
      </c>
      <c r="K3182" t="inlineStr">
        <is>
          <t>Catholic Church. Congregatio pro Institutione Catholica.</t>
        </is>
      </c>
      <c r="L3182" t="inlineStr">
        <is>
          <t>Vatican City : [s.n.] ; Washington, D.C. : United States Catholic Conference, 1994.</t>
        </is>
      </c>
      <c r="M3182" t="inlineStr">
        <is>
          <t>1994</t>
        </is>
      </c>
      <c r="O3182" t="inlineStr">
        <is>
          <t>eng</t>
        </is>
      </c>
      <c r="P3182" t="inlineStr">
        <is>
          <t xml:space="preserve">vc </t>
        </is>
      </c>
      <c r="Q3182" t="inlineStr">
        <is>
          <t>Publication / Office for Publishing and Promotion Services, United States Catholic Conference ; no. 815-0</t>
        </is>
      </c>
      <c r="R3182" t="inlineStr">
        <is>
          <t xml:space="preserve">BX </t>
        </is>
      </c>
      <c r="S3182" t="n">
        <v>2</v>
      </c>
      <c r="T3182" t="n">
        <v>2</v>
      </c>
      <c r="U3182" t="inlineStr">
        <is>
          <t>1998-07-07</t>
        </is>
      </c>
      <c r="V3182" t="inlineStr">
        <is>
          <t>1998-07-07</t>
        </is>
      </c>
      <c r="W3182" t="inlineStr">
        <is>
          <t>1994-07-27</t>
        </is>
      </c>
      <c r="X3182" t="inlineStr">
        <is>
          <t>1994-07-27</t>
        </is>
      </c>
      <c r="Y3182" t="n">
        <v>53</v>
      </c>
      <c r="Z3182" t="n">
        <v>50</v>
      </c>
      <c r="AA3182" t="n">
        <v>63</v>
      </c>
      <c r="AB3182" t="n">
        <v>1</v>
      </c>
      <c r="AC3182" t="n">
        <v>1</v>
      </c>
      <c r="AD3182" t="n">
        <v>6</v>
      </c>
      <c r="AE3182" t="n">
        <v>8</v>
      </c>
      <c r="AF3182" t="n">
        <v>2</v>
      </c>
      <c r="AG3182" t="n">
        <v>2</v>
      </c>
      <c r="AH3182" t="n">
        <v>3</v>
      </c>
      <c r="AI3182" t="n">
        <v>3</v>
      </c>
      <c r="AJ3182" t="n">
        <v>4</v>
      </c>
      <c r="AK3182" t="n">
        <v>6</v>
      </c>
      <c r="AL3182" t="n">
        <v>0</v>
      </c>
      <c r="AM3182" t="n">
        <v>0</v>
      </c>
      <c r="AN3182" t="n">
        <v>0</v>
      </c>
      <c r="AO3182" t="n">
        <v>0</v>
      </c>
      <c r="AP3182" t="inlineStr">
        <is>
          <t>No</t>
        </is>
      </c>
      <c r="AQ3182" t="inlineStr">
        <is>
          <t>No</t>
        </is>
      </c>
      <c r="AS3182">
        <f>HYPERLINK("https://creighton-primo.hosted.exlibrisgroup.com/primo-explore/search?tab=default_tab&amp;search_scope=EVERYTHING&amp;vid=01CRU&amp;lang=en_US&amp;offset=0&amp;query=any,contains,991002358909702656","Catalog Record")</f>
        <v/>
      </c>
      <c r="AT3182">
        <f>HYPERLINK("http://www.worldcat.org/oclc/30675485","WorldCat Record")</f>
        <v/>
      </c>
      <c r="AU3182" t="inlineStr">
        <is>
          <t>5977556:eng</t>
        </is>
      </c>
      <c r="AV3182" t="inlineStr">
        <is>
          <t>30675485</t>
        </is>
      </c>
      <c r="AW3182" t="inlineStr">
        <is>
          <t>991002358909702656</t>
        </is>
      </c>
      <c r="AX3182" t="inlineStr">
        <is>
          <t>991002358909702656</t>
        </is>
      </c>
      <c r="AY3182" t="inlineStr">
        <is>
          <t>2265724800002656</t>
        </is>
      </c>
      <c r="AZ3182" t="inlineStr">
        <is>
          <t>BOOK</t>
        </is>
      </c>
      <c r="BB3182" t="inlineStr">
        <is>
          <t>9781555868154</t>
        </is>
      </c>
      <c r="BC3182" t="inlineStr">
        <is>
          <t>32285001918936</t>
        </is>
      </c>
      <c r="BD3182" t="inlineStr">
        <is>
          <t>893716346</t>
        </is>
      </c>
    </row>
    <row r="3183">
      <c r="A3183" t="inlineStr">
        <is>
          <t>No</t>
        </is>
      </c>
      <c r="B3183" t="inlineStr">
        <is>
          <t>BX904 .F4</t>
        </is>
      </c>
      <c r="C3183" t="inlineStr">
        <is>
          <t>0                      BX 0904000F  4</t>
        </is>
      </c>
      <c r="D3183" t="inlineStr">
        <is>
          <t>Theology, a course for college students / John J. Fernan.</t>
        </is>
      </c>
      <c r="E3183" t="inlineStr">
        <is>
          <t>V.1</t>
        </is>
      </c>
      <c r="F3183" t="inlineStr">
        <is>
          <t>Yes</t>
        </is>
      </c>
      <c r="G3183" t="inlineStr">
        <is>
          <t>1</t>
        </is>
      </c>
      <c r="H3183" t="inlineStr">
        <is>
          <t>No</t>
        </is>
      </c>
      <c r="I3183" t="inlineStr">
        <is>
          <t>No</t>
        </is>
      </c>
      <c r="J3183" t="inlineStr">
        <is>
          <t>0</t>
        </is>
      </c>
      <c r="K3183" t="inlineStr">
        <is>
          <t>Fernan, John J. (John Joseph), 1908-</t>
        </is>
      </c>
      <c r="M3183" t="inlineStr">
        <is>
          <t>1952</t>
        </is>
      </c>
      <c r="O3183" t="inlineStr">
        <is>
          <t>eng</t>
        </is>
      </c>
      <c r="P3183" t="inlineStr">
        <is>
          <t xml:space="preserve">xx </t>
        </is>
      </c>
      <c r="R3183" t="inlineStr">
        <is>
          <t xml:space="preserve">BX </t>
        </is>
      </c>
      <c r="S3183" t="n">
        <v>0</v>
      </c>
      <c r="T3183" t="n">
        <v>0</v>
      </c>
      <c r="U3183" t="inlineStr">
        <is>
          <t>2003-05-28</t>
        </is>
      </c>
      <c r="V3183" t="inlineStr">
        <is>
          <t>2003-05-28</t>
        </is>
      </c>
      <c r="W3183" t="inlineStr">
        <is>
          <t>1992-05-15</t>
        </is>
      </c>
      <c r="X3183" t="inlineStr">
        <is>
          <t>1992-05-15</t>
        </is>
      </c>
      <c r="Y3183" t="n">
        <v>113</v>
      </c>
      <c r="Z3183" t="n">
        <v>94</v>
      </c>
      <c r="AA3183" t="n">
        <v>100</v>
      </c>
      <c r="AB3183" t="n">
        <v>2</v>
      </c>
      <c r="AC3183" t="n">
        <v>2</v>
      </c>
      <c r="AD3183" t="n">
        <v>25</v>
      </c>
      <c r="AE3183" t="n">
        <v>26</v>
      </c>
      <c r="AF3183" t="n">
        <v>9</v>
      </c>
      <c r="AG3183" t="n">
        <v>10</v>
      </c>
      <c r="AH3183" t="n">
        <v>7</v>
      </c>
      <c r="AI3183" t="n">
        <v>7</v>
      </c>
      <c r="AJ3183" t="n">
        <v>19</v>
      </c>
      <c r="AK3183" t="n">
        <v>20</v>
      </c>
      <c r="AL3183" t="n">
        <v>0</v>
      </c>
      <c r="AM3183" t="n">
        <v>0</v>
      </c>
      <c r="AN3183" t="n">
        <v>0</v>
      </c>
      <c r="AO3183" t="n">
        <v>0</v>
      </c>
      <c r="AP3183" t="inlineStr">
        <is>
          <t>No</t>
        </is>
      </c>
      <c r="AQ3183" t="inlineStr">
        <is>
          <t>No</t>
        </is>
      </c>
      <c r="AS3183">
        <f>HYPERLINK("https://creighton-primo.hosted.exlibrisgroup.com/primo-explore/search?tab=default_tab&amp;search_scope=EVERYTHING&amp;vid=01CRU&amp;lang=en_US&amp;offset=0&amp;query=any,contains,991003124269702656","Catalog Record")</f>
        <v/>
      </c>
      <c r="AT3183">
        <f>HYPERLINK("http://www.worldcat.org/oclc/669362","WorldCat Record")</f>
        <v/>
      </c>
      <c r="AU3183" t="inlineStr">
        <is>
          <t>4202617345:eng</t>
        </is>
      </c>
      <c r="AV3183" t="inlineStr">
        <is>
          <t>669362</t>
        </is>
      </c>
      <c r="AW3183" t="inlineStr">
        <is>
          <t>991003124269702656</t>
        </is>
      </c>
      <c r="AX3183" t="inlineStr">
        <is>
          <t>991003124269702656</t>
        </is>
      </c>
      <c r="AY3183" t="inlineStr">
        <is>
          <t>2254752500002656</t>
        </is>
      </c>
      <c r="AZ3183" t="inlineStr">
        <is>
          <t>BOOK</t>
        </is>
      </c>
      <c r="BC3183" t="inlineStr">
        <is>
          <t>32285001084200</t>
        </is>
      </c>
      <c r="BD3183" t="inlineStr">
        <is>
          <t>893793342</t>
        </is>
      </c>
    </row>
    <row r="3184">
      <c r="A3184" t="inlineStr">
        <is>
          <t>No</t>
        </is>
      </c>
      <c r="B3184" t="inlineStr">
        <is>
          <t>BX904 .F4</t>
        </is>
      </c>
      <c r="C3184" t="inlineStr">
        <is>
          <t>0                      BX 0904000F  4</t>
        </is>
      </c>
      <c r="D3184" t="inlineStr">
        <is>
          <t>Theology, a course for college students / John J. Fernan.</t>
        </is>
      </c>
      <c r="E3184" t="inlineStr">
        <is>
          <t>V.2</t>
        </is>
      </c>
      <c r="F3184" t="inlineStr">
        <is>
          <t>Yes</t>
        </is>
      </c>
      <c r="G3184" t="inlineStr">
        <is>
          <t>1</t>
        </is>
      </c>
      <c r="H3184" t="inlineStr">
        <is>
          <t>No</t>
        </is>
      </c>
      <c r="I3184" t="inlineStr">
        <is>
          <t>No</t>
        </is>
      </c>
      <c r="J3184" t="inlineStr">
        <is>
          <t>0</t>
        </is>
      </c>
      <c r="K3184" t="inlineStr">
        <is>
          <t>Fernan, John J. (John Joseph), 1908-</t>
        </is>
      </c>
      <c r="M3184" t="inlineStr">
        <is>
          <t>1952</t>
        </is>
      </c>
      <c r="O3184" t="inlineStr">
        <is>
          <t>eng</t>
        </is>
      </c>
      <c r="P3184" t="inlineStr">
        <is>
          <t xml:space="preserve">xx </t>
        </is>
      </c>
      <c r="R3184" t="inlineStr">
        <is>
          <t xml:space="preserve">BX </t>
        </is>
      </c>
      <c r="S3184" t="n">
        <v>0</v>
      </c>
      <c r="T3184" t="n">
        <v>0</v>
      </c>
      <c r="U3184" t="inlineStr">
        <is>
          <t>2003-05-28</t>
        </is>
      </c>
      <c r="V3184" t="inlineStr">
        <is>
          <t>2003-05-28</t>
        </is>
      </c>
      <c r="W3184" t="inlineStr">
        <is>
          <t>1992-05-15</t>
        </is>
      </c>
      <c r="X3184" t="inlineStr">
        <is>
          <t>1992-05-15</t>
        </is>
      </c>
      <c r="Y3184" t="n">
        <v>113</v>
      </c>
      <c r="Z3184" t="n">
        <v>94</v>
      </c>
      <c r="AA3184" t="n">
        <v>100</v>
      </c>
      <c r="AB3184" t="n">
        <v>2</v>
      </c>
      <c r="AC3184" t="n">
        <v>2</v>
      </c>
      <c r="AD3184" t="n">
        <v>25</v>
      </c>
      <c r="AE3184" t="n">
        <v>26</v>
      </c>
      <c r="AF3184" t="n">
        <v>9</v>
      </c>
      <c r="AG3184" t="n">
        <v>10</v>
      </c>
      <c r="AH3184" t="n">
        <v>7</v>
      </c>
      <c r="AI3184" t="n">
        <v>7</v>
      </c>
      <c r="AJ3184" t="n">
        <v>19</v>
      </c>
      <c r="AK3184" t="n">
        <v>20</v>
      </c>
      <c r="AL3184" t="n">
        <v>0</v>
      </c>
      <c r="AM3184" t="n">
        <v>0</v>
      </c>
      <c r="AN3184" t="n">
        <v>0</v>
      </c>
      <c r="AO3184" t="n">
        <v>0</v>
      </c>
      <c r="AP3184" t="inlineStr">
        <is>
          <t>No</t>
        </is>
      </c>
      <c r="AQ3184" t="inlineStr">
        <is>
          <t>No</t>
        </is>
      </c>
      <c r="AS3184">
        <f>HYPERLINK("https://creighton-primo.hosted.exlibrisgroup.com/primo-explore/search?tab=default_tab&amp;search_scope=EVERYTHING&amp;vid=01CRU&amp;lang=en_US&amp;offset=0&amp;query=any,contains,991003124269702656","Catalog Record")</f>
        <v/>
      </c>
      <c r="AT3184">
        <f>HYPERLINK("http://www.worldcat.org/oclc/669362","WorldCat Record")</f>
        <v/>
      </c>
      <c r="AU3184" t="inlineStr">
        <is>
          <t>4202617345:eng</t>
        </is>
      </c>
      <c r="AV3184" t="inlineStr">
        <is>
          <t>669362</t>
        </is>
      </c>
      <c r="AW3184" t="inlineStr">
        <is>
          <t>991003124269702656</t>
        </is>
      </c>
      <c r="AX3184" t="inlineStr">
        <is>
          <t>991003124269702656</t>
        </is>
      </c>
      <c r="AY3184" t="inlineStr">
        <is>
          <t>2254752500002656</t>
        </is>
      </c>
      <c r="AZ3184" t="inlineStr">
        <is>
          <t>BOOK</t>
        </is>
      </c>
      <c r="BC3184" t="inlineStr">
        <is>
          <t>32285001084218</t>
        </is>
      </c>
      <c r="BD3184" t="inlineStr">
        <is>
          <t>893774417</t>
        </is>
      </c>
    </row>
    <row r="3185">
      <c r="A3185" t="inlineStr">
        <is>
          <t>No</t>
        </is>
      </c>
      <c r="B3185" t="inlineStr">
        <is>
          <t>BX904 .F4</t>
        </is>
      </c>
      <c r="C3185" t="inlineStr">
        <is>
          <t>0                      BX 0904000F  4</t>
        </is>
      </c>
      <c r="D3185" t="inlineStr">
        <is>
          <t>Theology, a course for college students / John J. Fernan.</t>
        </is>
      </c>
      <c r="E3185" t="inlineStr">
        <is>
          <t>V.3</t>
        </is>
      </c>
      <c r="F3185" t="inlineStr">
        <is>
          <t>Yes</t>
        </is>
      </c>
      <c r="G3185" t="inlineStr">
        <is>
          <t>1</t>
        </is>
      </c>
      <c r="H3185" t="inlineStr">
        <is>
          <t>No</t>
        </is>
      </c>
      <c r="I3185" t="inlineStr">
        <is>
          <t>No</t>
        </is>
      </c>
      <c r="J3185" t="inlineStr">
        <is>
          <t>0</t>
        </is>
      </c>
      <c r="K3185" t="inlineStr">
        <is>
          <t>Fernan, John J. (John Joseph), 1908-</t>
        </is>
      </c>
      <c r="M3185" t="inlineStr">
        <is>
          <t>1952</t>
        </is>
      </c>
      <c r="O3185" t="inlineStr">
        <is>
          <t>eng</t>
        </is>
      </c>
      <c r="P3185" t="inlineStr">
        <is>
          <t xml:space="preserve">xx </t>
        </is>
      </c>
      <c r="R3185" t="inlineStr">
        <is>
          <t xml:space="preserve">BX </t>
        </is>
      </c>
      <c r="S3185" t="n">
        <v>0</v>
      </c>
      <c r="T3185" t="n">
        <v>0</v>
      </c>
      <c r="U3185" t="inlineStr">
        <is>
          <t>2003-05-28</t>
        </is>
      </c>
      <c r="V3185" t="inlineStr">
        <is>
          <t>2003-05-28</t>
        </is>
      </c>
      <c r="W3185" t="inlineStr">
        <is>
          <t>1992-05-15</t>
        </is>
      </c>
      <c r="X3185" t="inlineStr">
        <is>
          <t>1992-05-15</t>
        </is>
      </c>
      <c r="Y3185" t="n">
        <v>113</v>
      </c>
      <c r="Z3185" t="n">
        <v>94</v>
      </c>
      <c r="AA3185" t="n">
        <v>100</v>
      </c>
      <c r="AB3185" t="n">
        <v>2</v>
      </c>
      <c r="AC3185" t="n">
        <v>2</v>
      </c>
      <c r="AD3185" t="n">
        <v>25</v>
      </c>
      <c r="AE3185" t="n">
        <v>26</v>
      </c>
      <c r="AF3185" t="n">
        <v>9</v>
      </c>
      <c r="AG3185" t="n">
        <v>10</v>
      </c>
      <c r="AH3185" t="n">
        <v>7</v>
      </c>
      <c r="AI3185" t="n">
        <v>7</v>
      </c>
      <c r="AJ3185" t="n">
        <v>19</v>
      </c>
      <c r="AK3185" t="n">
        <v>20</v>
      </c>
      <c r="AL3185" t="n">
        <v>0</v>
      </c>
      <c r="AM3185" t="n">
        <v>0</v>
      </c>
      <c r="AN3185" t="n">
        <v>0</v>
      </c>
      <c r="AO3185" t="n">
        <v>0</v>
      </c>
      <c r="AP3185" t="inlineStr">
        <is>
          <t>No</t>
        </is>
      </c>
      <c r="AQ3185" t="inlineStr">
        <is>
          <t>No</t>
        </is>
      </c>
      <c r="AS3185">
        <f>HYPERLINK("https://creighton-primo.hosted.exlibrisgroup.com/primo-explore/search?tab=default_tab&amp;search_scope=EVERYTHING&amp;vid=01CRU&amp;lang=en_US&amp;offset=0&amp;query=any,contains,991003124269702656","Catalog Record")</f>
        <v/>
      </c>
      <c r="AT3185">
        <f>HYPERLINK("http://www.worldcat.org/oclc/669362","WorldCat Record")</f>
        <v/>
      </c>
      <c r="AU3185" t="inlineStr">
        <is>
          <t>4202617345:eng</t>
        </is>
      </c>
      <c r="AV3185" t="inlineStr">
        <is>
          <t>669362</t>
        </is>
      </c>
      <c r="AW3185" t="inlineStr">
        <is>
          <t>991003124269702656</t>
        </is>
      </c>
      <c r="AX3185" t="inlineStr">
        <is>
          <t>991003124269702656</t>
        </is>
      </c>
      <c r="AY3185" t="inlineStr">
        <is>
          <t>2254752500002656</t>
        </is>
      </c>
      <c r="AZ3185" t="inlineStr">
        <is>
          <t>BOOK</t>
        </is>
      </c>
      <c r="BC3185" t="inlineStr">
        <is>
          <t>32285001084226</t>
        </is>
      </c>
      <c r="BD3185" t="inlineStr">
        <is>
          <t>893793341</t>
        </is>
      </c>
    </row>
    <row r="3186">
      <c r="A3186" t="inlineStr">
        <is>
          <t>No</t>
        </is>
      </c>
      <c r="B3186" t="inlineStr">
        <is>
          <t>BX904 .L6 1933</t>
        </is>
      </c>
      <c r="C3186" t="inlineStr">
        <is>
          <t>0                      BX 0904000L  6           1933</t>
        </is>
      </c>
      <c r="D3186" t="inlineStr">
        <is>
          <t>Religion and leadership / by Daniel A. Lord.</t>
        </is>
      </c>
      <c r="F3186" t="inlineStr">
        <is>
          <t>No</t>
        </is>
      </c>
      <c r="G3186" t="inlineStr">
        <is>
          <t>1</t>
        </is>
      </c>
      <c r="H3186" t="inlineStr">
        <is>
          <t>No</t>
        </is>
      </c>
      <c r="I3186" t="inlineStr">
        <is>
          <t>No</t>
        </is>
      </c>
      <c r="J3186" t="inlineStr">
        <is>
          <t>0</t>
        </is>
      </c>
      <c r="K3186" t="inlineStr">
        <is>
          <t>Lord, Daniel A. (Daniel Aloysius), 1888-1955.</t>
        </is>
      </c>
      <c r="L3186" t="inlineStr">
        <is>
          <t>Chicago ; Milwaukee [etc.] : The Bruce publishing company, [c1933]</t>
        </is>
      </c>
      <c r="M3186" t="inlineStr">
        <is>
          <t>1933</t>
        </is>
      </c>
      <c r="O3186" t="inlineStr">
        <is>
          <t>eng</t>
        </is>
      </c>
      <c r="P3186" t="inlineStr">
        <is>
          <t>ilu</t>
        </is>
      </c>
      <c r="Q3186" t="inlineStr">
        <is>
          <t>Science and culture texts</t>
        </is>
      </c>
      <c r="R3186" t="inlineStr">
        <is>
          <t xml:space="preserve">BX </t>
        </is>
      </c>
      <c r="S3186" t="n">
        <v>2</v>
      </c>
      <c r="T3186" t="n">
        <v>2</v>
      </c>
      <c r="U3186" t="inlineStr">
        <is>
          <t>1993-04-16</t>
        </is>
      </c>
      <c r="V3186" t="inlineStr">
        <is>
          <t>1993-04-16</t>
        </is>
      </c>
      <c r="W3186" t="inlineStr">
        <is>
          <t>1992-02-25</t>
        </is>
      </c>
      <c r="X3186" t="inlineStr">
        <is>
          <t>1992-02-25</t>
        </is>
      </c>
      <c r="Y3186" t="n">
        <v>98</v>
      </c>
      <c r="Z3186" t="n">
        <v>89</v>
      </c>
      <c r="AA3186" t="n">
        <v>91</v>
      </c>
      <c r="AB3186" t="n">
        <v>3</v>
      </c>
      <c r="AC3186" t="n">
        <v>3</v>
      </c>
      <c r="AD3186" t="n">
        <v>23</v>
      </c>
      <c r="AE3186" t="n">
        <v>24</v>
      </c>
      <c r="AF3186" t="n">
        <v>7</v>
      </c>
      <c r="AG3186" t="n">
        <v>7</v>
      </c>
      <c r="AH3186" t="n">
        <v>6</v>
      </c>
      <c r="AI3186" t="n">
        <v>7</v>
      </c>
      <c r="AJ3186" t="n">
        <v>18</v>
      </c>
      <c r="AK3186" t="n">
        <v>19</v>
      </c>
      <c r="AL3186" t="n">
        <v>0</v>
      </c>
      <c r="AM3186" t="n">
        <v>0</v>
      </c>
      <c r="AN3186" t="n">
        <v>0</v>
      </c>
      <c r="AO3186" t="n">
        <v>0</v>
      </c>
      <c r="AP3186" t="inlineStr">
        <is>
          <t>No</t>
        </is>
      </c>
      <c r="AQ3186" t="inlineStr">
        <is>
          <t>No</t>
        </is>
      </c>
      <c r="AS3186">
        <f>HYPERLINK("https://creighton-primo.hosted.exlibrisgroup.com/primo-explore/search?tab=default_tab&amp;search_scope=EVERYTHING&amp;vid=01CRU&amp;lang=en_US&amp;offset=0&amp;query=any,contains,991004221819702656","Catalog Record")</f>
        <v/>
      </c>
      <c r="AT3186">
        <f>HYPERLINK("http://www.worldcat.org/oclc/2714900","WorldCat Record")</f>
        <v/>
      </c>
      <c r="AU3186" t="inlineStr">
        <is>
          <t>5895770:eng</t>
        </is>
      </c>
      <c r="AV3186" t="inlineStr">
        <is>
          <t>2714900</t>
        </is>
      </c>
      <c r="AW3186" t="inlineStr">
        <is>
          <t>991004221819702656</t>
        </is>
      </c>
      <c r="AX3186" t="inlineStr">
        <is>
          <t>991004221819702656</t>
        </is>
      </c>
      <c r="AY3186" t="inlineStr">
        <is>
          <t>2268849100002656</t>
        </is>
      </c>
      <c r="AZ3186" t="inlineStr">
        <is>
          <t>BOOK</t>
        </is>
      </c>
      <c r="BC3186" t="inlineStr">
        <is>
          <t>32285000982404</t>
        </is>
      </c>
      <c r="BD3186" t="inlineStr">
        <is>
          <t>893343591</t>
        </is>
      </c>
    </row>
    <row r="3187">
      <c r="A3187" t="inlineStr">
        <is>
          <t>No</t>
        </is>
      </c>
      <c r="B3187" t="inlineStr">
        <is>
          <t>BX904 .W3 1939</t>
        </is>
      </c>
      <c r="C3187" t="inlineStr">
        <is>
          <t>0                      BX 0904000W  3           1939</t>
        </is>
      </c>
      <c r="D3187" t="inlineStr">
        <is>
          <t>Catholic evidence training outlines, compiled by Maisie Ward and F. J. Sheed.</t>
        </is>
      </c>
      <c r="F3187" t="inlineStr">
        <is>
          <t>No</t>
        </is>
      </c>
      <c r="G3187" t="inlineStr">
        <is>
          <t>1</t>
        </is>
      </c>
      <c r="H3187" t="inlineStr">
        <is>
          <t>No</t>
        </is>
      </c>
      <c r="I3187" t="inlineStr">
        <is>
          <t>No</t>
        </is>
      </c>
      <c r="J3187" t="inlineStr">
        <is>
          <t>0</t>
        </is>
      </c>
      <c r="K3187" t="inlineStr">
        <is>
          <t>Ward, Maisie, 1889-1975, compiler.</t>
        </is>
      </c>
      <c r="L3187" t="inlineStr">
        <is>
          <t>New York : Sheed &amp; Ward, 1939, 1943 printing.</t>
        </is>
      </c>
      <c r="M3187" t="inlineStr">
        <is>
          <t>1939</t>
        </is>
      </c>
      <c r="N3187" t="inlineStr">
        <is>
          <t>4th ed. rev. and enl.</t>
        </is>
      </c>
      <c r="O3187" t="inlineStr">
        <is>
          <t>eng</t>
        </is>
      </c>
      <c r="P3187" t="inlineStr">
        <is>
          <t>nyu</t>
        </is>
      </c>
      <c r="R3187" t="inlineStr">
        <is>
          <t xml:space="preserve">BX </t>
        </is>
      </c>
      <c r="S3187" t="n">
        <v>1</v>
      </c>
      <c r="T3187" t="n">
        <v>1</v>
      </c>
      <c r="U3187" t="inlineStr">
        <is>
          <t>1994-06-02</t>
        </is>
      </c>
      <c r="V3187" t="inlineStr">
        <is>
          <t>1994-06-02</t>
        </is>
      </c>
      <c r="W3187" t="inlineStr">
        <is>
          <t>1992-05-15</t>
        </is>
      </c>
      <c r="X3187" t="inlineStr">
        <is>
          <t>1992-05-15</t>
        </is>
      </c>
      <c r="Y3187" t="n">
        <v>65</v>
      </c>
      <c r="Z3187" t="n">
        <v>52</v>
      </c>
      <c r="AA3187" t="n">
        <v>139</v>
      </c>
      <c r="AB3187" t="n">
        <v>1</v>
      </c>
      <c r="AC3187" t="n">
        <v>3</v>
      </c>
      <c r="AD3187" t="n">
        <v>13</v>
      </c>
      <c r="AE3187" t="n">
        <v>26</v>
      </c>
      <c r="AF3187" t="n">
        <v>4</v>
      </c>
      <c r="AG3187" t="n">
        <v>8</v>
      </c>
      <c r="AH3187" t="n">
        <v>5</v>
      </c>
      <c r="AI3187" t="n">
        <v>8</v>
      </c>
      <c r="AJ3187" t="n">
        <v>8</v>
      </c>
      <c r="AK3187" t="n">
        <v>20</v>
      </c>
      <c r="AL3187" t="n">
        <v>0</v>
      </c>
      <c r="AM3187" t="n">
        <v>0</v>
      </c>
      <c r="AN3187" t="n">
        <v>0</v>
      </c>
      <c r="AO3187" t="n">
        <v>0</v>
      </c>
      <c r="AP3187" t="inlineStr">
        <is>
          <t>No</t>
        </is>
      </c>
      <c r="AQ3187" t="inlineStr">
        <is>
          <t>No</t>
        </is>
      </c>
      <c r="AS3187">
        <f>HYPERLINK("https://creighton-primo.hosted.exlibrisgroup.com/primo-explore/search?tab=default_tab&amp;search_scope=EVERYTHING&amp;vid=01CRU&amp;lang=en_US&amp;offset=0&amp;query=any,contains,991004248859702656","Catalog Record")</f>
        <v/>
      </c>
      <c r="AT3187">
        <f>HYPERLINK("http://www.worldcat.org/oclc/2802731","WorldCat Record")</f>
        <v/>
      </c>
      <c r="AU3187" t="inlineStr">
        <is>
          <t>398686715:eng</t>
        </is>
      </c>
      <c r="AV3187" t="inlineStr">
        <is>
          <t>2802731</t>
        </is>
      </c>
      <c r="AW3187" t="inlineStr">
        <is>
          <t>991004248859702656</t>
        </is>
      </c>
      <c r="AX3187" t="inlineStr">
        <is>
          <t>991004248859702656</t>
        </is>
      </c>
      <c r="AY3187" t="inlineStr">
        <is>
          <t>2261237020002656</t>
        </is>
      </c>
      <c r="AZ3187" t="inlineStr">
        <is>
          <t>BOOK</t>
        </is>
      </c>
      <c r="BC3187" t="inlineStr">
        <is>
          <t>32285001084242</t>
        </is>
      </c>
      <c r="BD3187" t="inlineStr">
        <is>
          <t>893247347</t>
        </is>
      </c>
    </row>
    <row r="3188">
      <c r="A3188" t="inlineStr">
        <is>
          <t>No</t>
        </is>
      </c>
      <c r="B3188" t="inlineStr">
        <is>
          <t>BX905 .C37 2001</t>
        </is>
      </c>
      <c r="C3188" t="inlineStr">
        <is>
          <t>0                      BX 0905000C  37          2001</t>
        </is>
      </c>
      <c r="D3188" t="inlineStr">
        <is>
          <t>The basic plan for the ongoing formation of priests / [prepared by the Bishops' Committee for Priestly Life and Ministry].</t>
        </is>
      </c>
      <c r="F3188" t="inlineStr">
        <is>
          <t>No</t>
        </is>
      </c>
      <c r="G3188" t="inlineStr">
        <is>
          <t>1</t>
        </is>
      </c>
      <c r="H3188" t="inlineStr">
        <is>
          <t>No</t>
        </is>
      </c>
      <c r="I3188" t="inlineStr">
        <is>
          <t>No</t>
        </is>
      </c>
      <c r="J3188" t="inlineStr">
        <is>
          <t>0</t>
        </is>
      </c>
      <c r="K3188" t="inlineStr">
        <is>
          <t>Catholic Church. National Conference of Catholic Bishops. Bishops' Committee on Priestly Life and Ministry.</t>
        </is>
      </c>
      <c r="L3188" t="inlineStr">
        <is>
          <t>Washington, D.C. : United States Catholic Conference, c2001.</t>
        </is>
      </c>
      <c r="M3188" t="inlineStr">
        <is>
          <t>2001</t>
        </is>
      </c>
      <c r="O3188" t="inlineStr">
        <is>
          <t>eng</t>
        </is>
      </c>
      <c r="P3188" t="inlineStr">
        <is>
          <t>dcu</t>
        </is>
      </c>
      <c r="Q3188" t="inlineStr">
        <is>
          <t>Publication (United States Catholic Conference) ; no. 5-383</t>
        </is>
      </c>
      <c r="R3188" t="inlineStr">
        <is>
          <t xml:space="preserve">BX </t>
        </is>
      </c>
      <c r="S3188" t="n">
        <v>1</v>
      </c>
      <c r="T3188" t="n">
        <v>1</v>
      </c>
      <c r="U3188" t="inlineStr">
        <is>
          <t>2001-08-30</t>
        </is>
      </c>
      <c r="V3188" t="inlineStr">
        <is>
          <t>2001-08-30</t>
        </is>
      </c>
      <c r="W3188" t="inlineStr">
        <is>
          <t>2001-08-30</t>
        </is>
      </c>
      <c r="X3188" t="inlineStr">
        <is>
          <t>2001-08-30</t>
        </is>
      </c>
      <c r="Y3188" t="n">
        <v>119</v>
      </c>
      <c r="Z3188" t="n">
        <v>114</v>
      </c>
      <c r="AA3188" t="n">
        <v>119</v>
      </c>
      <c r="AB3188" t="n">
        <v>2</v>
      </c>
      <c r="AC3188" t="n">
        <v>2</v>
      </c>
      <c r="AD3188" t="n">
        <v>15</v>
      </c>
      <c r="AE3188" t="n">
        <v>15</v>
      </c>
      <c r="AF3188" t="n">
        <v>4</v>
      </c>
      <c r="AG3188" t="n">
        <v>4</v>
      </c>
      <c r="AH3188" t="n">
        <v>6</v>
      </c>
      <c r="AI3188" t="n">
        <v>6</v>
      </c>
      <c r="AJ3188" t="n">
        <v>10</v>
      </c>
      <c r="AK3188" t="n">
        <v>10</v>
      </c>
      <c r="AL3188" t="n">
        <v>0</v>
      </c>
      <c r="AM3188" t="n">
        <v>0</v>
      </c>
      <c r="AN3188" t="n">
        <v>0</v>
      </c>
      <c r="AO3188" t="n">
        <v>0</v>
      </c>
      <c r="AP3188" t="inlineStr">
        <is>
          <t>No</t>
        </is>
      </c>
      <c r="AQ3188" t="inlineStr">
        <is>
          <t>No</t>
        </is>
      </c>
      <c r="AS3188">
        <f>HYPERLINK("https://creighton-primo.hosted.exlibrisgroup.com/primo-explore/search?tab=default_tab&amp;search_scope=EVERYTHING&amp;vid=01CRU&amp;lang=en_US&amp;offset=0&amp;query=any,contains,991003615259702656","Catalog Record")</f>
        <v/>
      </c>
      <c r="AT3188">
        <f>HYPERLINK("http://www.worldcat.org/oclc/47702908","WorldCat Record")</f>
        <v/>
      </c>
      <c r="AU3188" t="inlineStr">
        <is>
          <t>36399942:eng</t>
        </is>
      </c>
      <c r="AV3188" t="inlineStr">
        <is>
          <t>47702908</t>
        </is>
      </c>
      <c r="AW3188" t="inlineStr">
        <is>
          <t>991003615259702656</t>
        </is>
      </c>
      <c r="AX3188" t="inlineStr">
        <is>
          <t>991003615259702656</t>
        </is>
      </c>
      <c r="AY3188" t="inlineStr">
        <is>
          <t>2257054050002656</t>
        </is>
      </c>
      <c r="AZ3188" t="inlineStr">
        <is>
          <t>BOOK</t>
        </is>
      </c>
      <c r="BB3188" t="inlineStr">
        <is>
          <t>9781574553833</t>
        </is>
      </c>
      <c r="BC3188" t="inlineStr">
        <is>
          <t>32285004383443</t>
        </is>
      </c>
      <c r="BD3188" t="inlineStr">
        <is>
          <t>893336716</t>
        </is>
      </c>
    </row>
    <row r="3189">
      <c r="A3189" t="inlineStr">
        <is>
          <t>No</t>
        </is>
      </c>
      <c r="B3189" t="inlineStr">
        <is>
          <t>BX905 .S38 1989</t>
        </is>
      </c>
      <c r="C3189" t="inlineStr">
        <is>
          <t>0                      BX 0905000S  38          1989</t>
        </is>
      </c>
      <c r="D3189" t="inlineStr">
        <is>
          <t>Reason for the hope : the futures of Roman Catholic theologates / by Katarina Schuth ; historical introductions by Joseph M. White and John W. O'Malley.</t>
        </is>
      </c>
      <c r="F3189" t="inlineStr">
        <is>
          <t>No</t>
        </is>
      </c>
      <c r="G3189" t="inlineStr">
        <is>
          <t>1</t>
        </is>
      </c>
      <c r="H3189" t="inlineStr">
        <is>
          <t>No</t>
        </is>
      </c>
      <c r="I3189" t="inlineStr">
        <is>
          <t>No</t>
        </is>
      </c>
      <c r="J3189" t="inlineStr">
        <is>
          <t>0</t>
        </is>
      </c>
      <c r="K3189" t="inlineStr">
        <is>
          <t>Schuth, Katarina.</t>
        </is>
      </c>
      <c r="L3189" t="inlineStr">
        <is>
          <t>Wilmington, Del. : M. Glazier, 1989.</t>
        </is>
      </c>
      <c r="M3189" t="inlineStr">
        <is>
          <t>1989</t>
        </is>
      </c>
      <c r="O3189" t="inlineStr">
        <is>
          <t>eng</t>
        </is>
      </c>
      <c r="P3189" t="inlineStr">
        <is>
          <t>deu</t>
        </is>
      </c>
      <c r="R3189" t="inlineStr">
        <is>
          <t xml:space="preserve">BX </t>
        </is>
      </c>
      <c r="S3189" t="n">
        <v>3</v>
      </c>
      <c r="T3189" t="n">
        <v>3</v>
      </c>
      <c r="U3189" t="inlineStr">
        <is>
          <t>1997-06-12</t>
        </is>
      </c>
      <c r="V3189" t="inlineStr">
        <is>
          <t>1997-06-12</t>
        </is>
      </c>
      <c r="W3189" t="inlineStr">
        <is>
          <t>1990-03-08</t>
        </is>
      </c>
      <c r="X3189" t="inlineStr">
        <is>
          <t>1990-03-08</t>
        </is>
      </c>
      <c r="Y3189" t="n">
        <v>123</v>
      </c>
      <c r="Z3189" t="n">
        <v>108</v>
      </c>
      <c r="AA3189" t="n">
        <v>108</v>
      </c>
      <c r="AB3189" t="n">
        <v>1</v>
      </c>
      <c r="AC3189" t="n">
        <v>1</v>
      </c>
      <c r="AD3189" t="n">
        <v>13</v>
      </c>
      <c r="AE3189" t="n">
        <v>13</v>
      </c>
      <c r="AF3189" t="n">
        <v>2</v>
      </c>
      <c r="AG3189" t="n">
        <v>2</v>
      </c>
      <c r="AH3189" t="n">
        <v>6</v>
      </c>
      <c r="AI3189" t="n">
        <v>6</v>
      </c>
      <c r="AJ3189" t="n">
        <v>8</v>
      </c>
      <c r="AK3189" t="n">
        <v>8</v>
      </c>
      <c r="AL3189" t="n">
        <v>0</v>
      </c>
      <c r="AM3189" t="n">
        <v>0</v>
      </c>
      <c r="AN3189" t="n">
        <v>0</v>
      </c>
      <c r="AO3189" t="n">
        <v>0</v>
      </c>
      <c r="AP3189" t="inlineStr">
        <is>
          <t>No</t>
        </is>
      </c>
      <c r="AQ3189" t="inlineStr">
        <is>
          <t>No</t>
        </is>
      </c>
      <c r="AS3189">
        <f>HYPERLINK("https://creighton-primo.hosted.exlibrisgroup.com/primo-explore/search?tab=default_tab&amp;search_scope=EVERYTHING&amp;vid=01CRU&amp;lang=en_US&amp;offset=0&amp;query=any,contains,991001450029702656","Catalog Record")</f>
        <v/>
      </c>
      <c r="AT3189">
        <f>HYPERLINK("http://www.worldcat.org/oclc/19323825","WorldCat Record")</f>
        <v/>
      </c>
      <c r="AU3189" t="inlineStr">
        <is>
          <t>365313911:eng</t>
        </is>
      </c>
      <c r="AV3189" t="inlineStr">
        <is>
          <t>19323825</t>
        </is>
      </c>
      <c r="AW3189" t="inlineStr">
        <is>
          <t>991001450029702656</t>
        </is>
      </c>
      <c r="AX3189" t="inlineStr">
        <is>
          <t>991001450029702656</t>
        </is>
      </c>
      <c r="AY3189" t="inlineStr">
        <is>
          <t>2268805930002656</t>
        </is>
      </c>
      <c r="AZ3189" t="inlineStr">
        <is>
          <t>BOOK</t>
        </is>
      </c>
      <c r="BB3189" t="inlineStr">
        <is>
          <t>9780894537721</t>
        </is>
      </c>
      <c r="BC3189" t="inlineStr">
        <is>
          <t>32285000043173</t>
        </is>
      </c>
      <c r="BD3189" t="inlineStr">
        <is>
          <t>893503426</t>
        </is>
      </c>
    </row>
    <row r="3190">
      <c r="A3190" t="inlineStr">
        <is>
          <t>No</t>
        </is>
      </c>
      <c r="B3190" t="inlineStr">
        <is>
          <t>BX9055 .E5 1968b</t>
        </is>
      </c>
      <c r="C3190" t="inlineStr">
        <is>
          <t>0                      BX 9055000E  5           1968b</t>
        </is>
      </c>
      <c r="D3190" t="inlineStr">
        <is>
          <t>The English Presbyterians : from Elizabeth Puritanism to modern Unitarianism / by C. Gordon Bolam [and others]</t>
        </is>
      </c>
      <c r="F3190" t="inlineStr">
        <is>
          <t>No</t>
        </is>
      </c>
      <c r="G3190" t="inlineStr">
        <is>
          <t>1</t>
        </is>
      </c>
      <c r="H3190" t="inlineStr">
        <is>
          <t>No</t>
        </is>
      </c>
      <c r="I3190" t="inlineStr">
        <is>
          <t>No</t>
        </is>
      </c>
      <c r="J3190" t="inlineStr">
        <is>
          <t>0</t>
        </is>
      </c>
      <c r="L3190" t="inlineStr">
        <is>
          <t>Boston : Beacon Press, [1968]</t>
        </is>
      </c>
      <c r="M3190" t="inlineStr">
        <is>
          <t>1968</t>
        </is>
      </c>
      <c r="O3190" t="inlineStr">
        <is>
          <t>eng</t>
        </is>
      </c>
      <c r="P3190" t="inlineStr">
        <is>
          <t>mau</t>
        </is>
      </c>
      <c r="R3190" t="inlineStr">
        <is>
          <t xml:space="preserve">BX </t>
        </is>
      </c>
      <c r="S3190" t="n">
        <v>2</v>
      </c>
      <c r="T3190" t="n">
        <v>2</v>
      </c>
      <c r="U3190" t="inlineStr">
        <is>
          <t>1995-03-24</t>
        </is>
      </c>
      <c r="V3190" t="inlineStr">
        <is>
          <t>1995-03-24</t>
        </is>
      </c>
      <c r="W3190" t="inlineStr">
        <is>
          <t>1992-05-22</t>
        </is>
      </c>
      <c r="X3190" t="inlineStr">
        <is>
          <t>1992-05-22</t>
        </is>
      </c>
      <c r="Y3190" t="n">
        <v>247</v>
      </c>
      <c r="Z3190" t="n">
        <v>238</v>
      </c>
      <c r="AA3190" t="n">
        <v>239</v>
      </c>
      <c r="AB3190" t="n">
        <v>2</v>
      </c>
      <c r="AC3190" t="n">
        <v>2</v>
      </c>
      <c r="AD3190" t="n">
        <v>15</v>
      </c>
      <c r="AE3190" t="n">
        <v>15</v>
      </c>
      <c r="AF3190" t="n">
        <v>3</v>
      </c>
      <c r="AG3190" t="n">
        <v>3</v>
      </c>
      <c r="AH3190" t="n">
        <v>5</v>
      </c>
      <c r="AI3190" t="n">
        <v>5</v>
      </c>
      <c r="AJ3190" t="n">
        <v>11</v>
      </c>
      <c r="AK3190" t="n">
        <v>11</v>
      </c>
      <c r="AL3190" t="n">
        <v>1</v>
      </c>
      <c r="AM3190" t="n">
        <v>1</v>
      </c>
      <c r="AN3190" t="n">
        <v>0</v>
      </c>
      <c r="AO3190" t="n">
        <v>0</v>
      </c>
      <c r="AP3190" t="inlineStr">
        <is>
          <t>No</t>
        </is>
      </c>
      <c r="AQ3190" t="inlineStr">
        <is>
          <t>Yes</t>
        </is>
      </c>
      <c r="AR3190">
        <f>HYPERLINK("http://catalog.hathitrust.org/Record/007951253","HathiTrust Record")</f>
        <v/>
      </c>
      <c r="AS3190">
        <f>HYPERLINK("https://creighton-primo.hosted.exlibrisgroup.com/primo-explore/search?tab=default_tab&amp;search_scope=EVERYTHING&amp;vid=01CRU&amp;lang=en_US&amp;offset=0&amp;query=any,contains,991003184409702656","Catalog Record")</f>
        <v/>
      </c>
      <c r="AT3190">
        <f>HYPERLINK("http://www.worldcat.org/oclc/712479","WorldCat Record")</f>
        <v/>
      </c>
      <c r="AU3190" t="inlineStr">
        <is>
          <t>3902323096:eng</t>
        </is>
      </c>
      <c r="AV3190" t="inlineStr">
        <is>
          <t>712479</t>
        </is>
      </c>
      <c r="AW3190" t="inlineStr">
        <is>
          <t>991003184409702656</t>
        </is>
      </c>
      <c r="AX3190" t="inlineStr">
        <is>
          <t>991003184409702656</t>
        </is>
      </c>
      <c r="AY3190" t="inlineStr">
        <is>
          <t>2256741200002656</t>
        </is>
      </c>
      <c r="AZ3190" t="inlineStr">
        <is>
          <t>BOOK</t>
        </is>
      </c>
      <c r="BC3190" t="inlineStr">
        <is>
          <t>32285001140614</t>
        </is>
      </c>
      <c r="BD3190" t="inlineStr">
        <is>
          <t>893530918</t>
        </is>
      </c>
    </row>
    <row r="3191">
      <c r="A3191" t="inlineStr">
        <is>
          <t>No</t>
        </is>
      </c>
      <c r="B3191" t="inlineStr">
        <is>
          <t>BX9061.U47 U47 2006</t>
        </is>
      </c>
      <c r="C3191" t="inlineStr">
        <is>
          <t>0                      BX 9061000U  47                 U  47          2006</t>
        </is>
      </c>
      <c r="D3191" t="inlineStr">
        <is>
          <t>Ulster Presbyterians in the Atlantic world : religion, politics and identity / David A. Wilson and Mark G. Spencer, editors.</t>
        </is>
      </c>
      <c r="F3191" t="inlineStr">
        <is>
          <t>No</t>
        </is>
      </c>
      <c r="G3191" t="inlineStr">
        <is>
          <t>1</t>
        </is>
      </c>
      <c r="H3191" t="inlineStr">
        <is>
          <t>No</t>
        </is>
      </c>
      <c r="I3191" t="inlineStr">
        <is>
          <t>No</t>
        </is>
      </c>
      <c r="J3191" t="inlineStr">
        <is>
          <t>0</t>
        </is>
      </c>
      <c r="L3191" t="inlineStr">
        <is>
          <t>Dublin ; Portland, OR : Four Courts Press, c2006.</t>
        </is>
      </c>
      <c r="M3191" t="inlineStr">
        <is>
          <t>2006</t>
        </is>
      </c>
      <c r="O3191" t="inlineStr">
        <is>
          <t>eng</t>
        </is>
      </c>
      <c r="P3191" t="inlineStr">
        <is>
          <t xml:space="preserve">ie </t>
        </is>
      </c>
      <c r="Q3191" t="inlineStr">
        <is>
          <t>Ulster and Scotland ; 4</t>
        </is>
      </c>
      <c r="R3191" t="inlineStr">
        <is>
          <t xml:space="preserve">BX </t>
        </is>
      </c>
      <c r="S3191" t="n">
        <v>3</v>
      </c>
      <c r="T3191" t="n">
        <v>3</v>
      </c>
      <c r="U3191" t="inlineStr">
        <is>
          <t>2009-01-02</t>
        </is>
      </c>
      <c r="V3191" t="inlineStr">
        <is>
          <t>2009-01-02</t>
        </is>
      </c>
      <c r="W3191" t="inlineStr">
        <is>
          <t>2009-01-02</t>
        </is>
      </c>
      <c r="X3191" t="inlineStr">
        <is>
          <t>2009-01-02</t>
        </is>
      </c>
      <c r="Y3191" t="n">
        <v>97</v>
      </c>
      <c r="Z3191" t="n">
        <v>69</v>
      </c>
      <c r="AA3191" t="n">
        <v>71</v>
      </c>
      <c r="AB3191" t="n">
        <v>2</v>
      </c>
      <c r="AC3191" t="n">
        <v>2</v>
      </c>
      <c r="AD3191" t="n">
        <v>10</v>
      </c>
      <c r="AE3191" t="n">
        <v>10</v>
      </c>
      <c r="AF3191" t="n">
        <v>3</v>
      </c>
      <c r="AG3191" t="n">
        <v>3</v>
      </c>
      <c r="AH3191" t="n">
        <v>4</v>
      </c>
      <c r="AI3191" t="n">
        <v>4</v>
      </c>
      <c r="AJ3191" t="n">
        <v>5</v>
      </c>
      <c r="AK3191" t="n">
        <v>5</v>
      </c>
      <c r="AL3191" t="n">
        <v>1</v>
      </c>
      <c r="AM3191" t="n">
        <v>1</v>
      </c>
      <c r="AN3191" t="n">
        <v>0</v>
      </c>
      <c r="AO3191" t="n">
        <v>0</v>
      </c>
      <c r="AP3191" t="inlineStr">
        <is>
          <t>No</t>
        </is>
      </c>
      <c r="AQ3191" t="inlineStr">
        <is>
          <t>Yes</t>
        </is>
      </c>
      <c r="AR3191">
        <f>HYPERLINK("http://catalog.hathitrust.org/Record/005638084","HathiTrust Record")</f>
        <v/>
      </c>
      <c r="AS3191">
        <f>HYPERLINK("https://creighton-primo.hosted.exlibrisgroup.com/primo-explore/search?tab=default_tab&amp;search_scope=EVERYTHING&amp;vid=01CRU&amp;lang=en_US&amp;offset=0&amp;query=any,contains,991005282589702656","Catalog Record")</f>
        <v/>
      </c>
      <c r="AT3191">
        <f>HYPERLINK("http://www.worldcat.org/oclc/60611612","WorldCat Record")</f>
        <v/>
      </c>
      <c r="AU3191" t="inlineStr">
        <is>
          <t>369386966:eng</t>
        </is>
      </c>
      <c r="AV3191" t="inlineStr">
        <is>
          <t>60611612</t>
        </is>
      </c>
      <c r="AW3191" t="inlineStr">
        <is>
          <t>991005282589702656</t>
        </is>
      </c>
      <c r="AX3191" t="inlineStr">
        <is>
          <t>991005282589702656</t>
        </is>
      </c>
      <c r="AY3191" t="inlineStr">
        <is>
          <t>2270022600002656</t>
        </is>
      </c>
      <c r="AZ3191" t="inlineStr">
        <is>
          <t>BOOK</t>
        </is>
      </c>
      <c r="BB3191" t="inlineStr">
        <is>
          <t>9781851829491</t>
        </is>
      </c>
      <c r="BC3191" t="inlineStr">
        <is>
          <t>32285005475073</t>
        </is>
      </c>
      <c r="BD3191" t="inlineStr">
        <is>
          <t>893443697</t>
        </is>
      </c>
    </row>
    <row r="3192">
      <c r="A3192" t="inlineStr">
        <is>
          <t>No</t>
        </is>
      </c>
      <c r="B3192" t="inlineStr">
        <is>
          <t>BX910.F8 E4 1944</t>
        </is>
      </c>
      <c r="C3192" t="inlineStr">
        <is>
          <t>0                      BX 0910000F  8                  E  4           1944</t>
        </is>
      </c>
      <c r="D3192" t="inlineStr">
        <is>
          <t>The influence of the enlightenment on the Catholic theory of religious education in France, 1750-1850 / by Clarence Edward Elwell.</t>
        </is>
      </c>
      <c r="F3192" t="inlineStr">
        <is>
          <t>No</t>
        </is>
      </c>
      <c r="G3192" t="inlineStr">
        <is>
          <t>1</t>
        </is>
      </c>
      <c r="H3192" t="inlineStr">
        <is>
          <t>No</t>
        </is>
      </c>
      <c r="I3192" t="inlineStr">
        <is>
          <t>No</t>
        </is>
      </c>
      <c r="J3192" t="inlineStr">
        <is>
          <t>0</t>
        </is>
      </c>
      <c r="K3192" t="inlineStr">
        <is>
          <t>Elwell, Clarence Edward, 1904-</t>
        </is>
      </c>
      <c r="L3192" t="inlineStr">
        <is>
          <t>Cambridge : Harvard university press, 1944.</t>
        </is>
      </c>
      <c r="M3192" t="inlineStr">
        <is>
          <t>1944</t>
        </is>
      </c>
      <c r="O3192" t="inlineStr">
        <is>
          <t>eng</t>
        </is>
      </c>
      <c r="P3192" t="inlineStr">
        <is>
          <t>mau</t>
        </is>
      </c>
      <c r="Q3192" t="inlineStr">
        <is>
          <t>(Half-title: Harvard studies in education, pub. under the direction of the Graduate school of education, vol. 20).</t>
        </is>
      </c>
      <c r="R3192" t="inlineStr">
        <is>
          <t xml:space="preserve">BX </t>
        </is>
      </c>
      <c r="S3192" t="n">
        <v>1</v>
      </c>
      <c r="T3192" t="n">
        <v>1</v>
      </c>
      <c r="U3192" t="inlineStr">
        <is>
          <t>2009-04-21</t>
        </is>
      </c>
      <c r="V3192" t="inlineStr">
        <is>
          <t>2009-04-21</t>
        </is>
      </c>
      <c r="W3192" t="inlineStr">
        <is>
          <t>1992-05-15</t>
        </is>
      </c>
      <c r="X3192" t="inlineStr">
        <is>
          <t>1992-05-15</t>
        </is>
      </c>
      <c r="Y3192" t="n">
        <v>179</v>
      </c>
      <c r="Z3192" t="n">
        <v>154</v>
      </c>
      <c r="AA3192" t="n">
        <v>272</v>
      </c>
      <c r="AB3192" t="n">
        <v>2</v>
      </c>
      <c r="AC3192" t="n">
        <v>3</v>
      </c>
      <c r="AD3192" t="n">
        <v>24</v>
      </c>
      <c r="AE3192" t="n">
        <v>29</v>
      </c>
      <c r="AF3192" t="n">
        <v>6</v>
      </c>
      <c r="AG3192" t="n">
        <v>8</v>
      </c>
      <c r="AH3192" t="n">
        <v>6</v>
      </c>
      <c r="AI3192" t="n">
        <v>7</v>
      </c>
      <c r="AJ3192" t="n">
        <v>19</v>
      </c>
      <c r="AK3192" t="n">
        <v>22</v>
      </c>
      <c r="AL3192" t="n">
        <v>1</v>
      </c>
      <c r="AM3192" t="n">
        <v>2</v>
      </c>
      <c r="AN3192" t="n">
        <v>0</v>
      </c>
      <c r="AO3192" t="n">
        <v>0</v>
      </c>
      <c r="AP3192" t="inlineStr">
        <is>
          <t>No</t>
        </is>
      </c>
      <c r="AQ3192" t="inlineStr">
        <is>
          <t>Yes</t>
        </is>
      </c>
      <c r="AR3192">
        <f>HYPERLINK("http://catalog.hathitrust.org/Record/001449916","HathiTrust Record")</f>
        <v/>
      </c>
      <c r="AS3192">
        <f>HYPERLINK("https://creighton-primo.hosted.exlibrisgroup.com/primo-explore/search?tab=default_tab&amp;search_scope=EVERYTHING&amp;vid=01CRU&amp;lang=en_US&amp;offset=0&amp;query=any,contains,991003928259702656","Catalog Record")</f>
        <v/>
      </c>
      <c r="AT3192">
        <f>HYPERLINK("http://www.worldcat.org/oclc/1889519","WorldCat Record")</f>
        <v/>
      </c>
      <c r="AU3192" t="inlineStr">
        <is>
          <t>3317372:eng</t>
        </is>
      </c>
      <c r="AV3192" t="inlineStr">
        <is>
          <t>1889519</t>
        </is>
      </c>
      <c r="AW3192" t="inlineStr">
        <is>
          <t>991003928259702656</t>
        </is>
      </c>
      <c r="AX3192" t="inlineStr">
        <is>
          <t>991003928259702656</t>
        </is>
      </c>
      <c r="AY3192" t="inlineStr">
        <is>
          <t>2263968920002656</t>
        </is>
      </c>
      <c r="AZ3192" t="inlineStr">
        <is>
          <t>BOOK</t>
        </is>
      </c>
      <c r="BC3192" t="inlineStr">
        <is>
          <t>32285001084382</t>
        </is>
      </c>
      <c r="BD3192" t="inlineStr">
        <is>
          <t>893605413</t>
        </is>
      </c>
    </row>
    <row r="3193">
      <c r="A3193" t="inlineStr">
        <is>
          <t>No</t>
        </is>
      </c>
      <c r="B3193" t="inlineStr">
        <is>
          <t>BX9189.C5 S36 1989</t>
        </is>
      </c>
      <c r="C3193" t="inlineStr">
        <is>
          <t>0                      BX 9189000C  5                  S  36          1989</t>
        </is>
      </c>
      <c r="D3193" t="inlineStr">
        <is>
          <t>Holy fairs : Scottish communions and American revivals in the early modern period / Leigh Eric Schmidt.</t>
        </is>
      </c>
      <c r="F3193" t="inlineStr">
        <is>
          <t>No</t>
        </is>
      </c>
      <c r="G3193" t="inlineStr">
        <is>
          <t>1</t>
        </is>
      </c>
      <c r="H3193" t="inlineStr">
        <is>
          <t>No</t>
        </is>
      </c>
      <c r="I3193" t="inlineStr">
        <is>
          <t>No</t>
        </is>
      </c>
      <c r="J3193" t="inlineStr">
        <is>
          <t>0</t>
        </is>
      </c>
      <c r="K3193" t="inlineStr">
        <is>
          <t>Schmidt, Leigh Eric.</t>
        </is>
      </c>
      <c r="L3193" t="inlineStr">
        <is>
          <t>Princeton, N.J. : Princeton University Press, c1989.</t>
        </is>
      </c>
      <c r="M3193" t="inlineStr">
        <is>
          <t>1989</t>
        </is>
      </c>
      <c r="O3193" t="inlineStr">
        <is>
          <t>eng</t>
        </is>
      </c>
      <c r="P3193" t="inlineStr">
        <is>
          <t>nju</t>
        </is>
      </c>
      <c r="R3193" t="inlineStr">
        <is>
          <t xml:space="preserve">BX </t>
        </is>
      </c>
      <c r="S3193" t="n">
        <v>3</v>
      </c>
      <c r="T3193" t="n">
        <v>3</v>
      </c>
      <c r="U3193" t="inlineStr">
        <is>
          <t>1995-02-07</t>
        </is>
      </c>
      <c r="V3193" t="inlineStr">
        <is>
          <t>1995-02-07</t>
        </is>
      </c>
      <c r="W3193" t="inlineStr">
        <is>
          <t>1990-04-23</t>
        </is>
      </c>
      <c r="X3193" t="inlineStr">
        <is>
          <t>1990-04-23</t>
        </is>
      </c>
      <c r="Y3193" t="n">
        <v>385</v>
      </c>
      <c r="Z3193" t="n">
        <v>315</v>
      </c>
      <c r="AA3193" t="n">
        <v>316</v>
      </c>
      <c r="AB3193" t="n">
        <v>2</v>
      </c>
      <c r="AC3193" t="n">
        <v>2</v>
      </c>
      <c r="AD3193" t="n">
        <v>15</v>
      </c>
      <c r="AE3193" t="n">
        <v>15</v>
      </c>
      <c r="AF3193" t="n">
        <v>6</v>
      </c>
      <c r="AG3193" t="n">
        <v>6</v>
      </c>
      <c r="AH3193" t="n">
        <v>2</v>
      </c>
      <c r="AI3193" t="n">
        <v>2</v>
      </c>
      <c r="AJ3193" t="n">
        <v>10</v>
      </c>
      <c r="AK3193" t="n">
        <v>10</v>
      </c>
      <c r="AL3193" t="n">
        <v>1</v>
      </c>
      <c r="AM3193" t="n">
        <v>1</v>
      </c>
      <c r="AN3193" t="n">
        <v>0</v>
      </c>
      <c r="AO3193" t="n">
        <v>0</v>
      </c>
      <c r="AP3193" t="inlineStr">
        <is>
          <t>No</t>
        </is>
      </c>
      <c r="AQ3193" t="inlineStr">
        <is>
          <t>No</t>
        </is>
      </c>
      <c r="AS3193">
        <f>HYPERLINK("https://creighton-primo.hosted.exlibrisgroup.com/primo-explore/search?tab=default_tab&amp;search_scope=EVERYTHING&amp;vid=01CRU&amp;lang=en_US&amp;offset=0&amp;query=any,contains,991001473029702656","Catalog Record")</f>
        <v/>
      </c>
      <c r="AT3193">
        <f>HYPERLINK("http://www.worldcat.org/oclc/19554499","WorldCat Record")</f>
        <v/>
      </c>
      <c r="AU3193" t="inlineStr">
        <is>
          <t>836891196:eng</t>
        </is>
      </c>
      <c r="AV3193" t="inlineStr">
        <is>
          <t>19554499</t>
        </is>
      </c>
      <c r="AW3193" t="inlineStr">
        <is>
          <t>991001473029702656</t>
        </is>
      </c>
      <c r="AX3193" t="inlineStr">
        <is>
          <t>991001473029702656</t>
        </is>
      </c>
      <c r="AY3193" t="inlineStr">
        <is>
          <t>2271042300002656</t>
        </is>
      </c>
      <c r="AZ3193" t="inlineStr">
        <is>
          <t>BOOK</t>
        </is>
      </c>
      <c r="BB3193" t="inlineStr">
        <is>
          <t>9780691047607</t>
        </is>
      </c>
      <c r="BC3193" t="inlineStr">
        <is>
          <t>32285000115468</t>
        </is>
      </c>
      <c r="BD3193" t="inlineStr">
        <is>
          <t>893897804</t>
        </is>
      </c>
    </row>
    <row r="3194">
      <c r="A3194" t="inlineStr">
        <is>
          <t>No</t>
        </is>
      </c>
      <c r="B3194" t="inlineStr">
        <is>
          <t>BX920.I8 M87 1997</t>
        </is>
      </c>
      <c r="C3194" t="inlineStr">
        <is>
          <t>0                      BX 0920000I  8                  M  87          1997</t>
        </is>
      </c>
      <c r="D3194" t="inlineStr">
        <is>
          <t>The new men : inside the Vatican's elite school for American priests / Brian Murphy.</t>
        </is>
      </c>
      <c r="F3194" t="inlineStr">
        <is>
          <t>No</t>
        </is>
      </c>
      <c r="G3194" t="inlineStr">
        <is>
          <t>1</t>
        </is>
      </c>
      <c r="H3194" t="inlineStr">
        <is>
          <t>No</t>
        </is>
      </c>
      <c r="I3194" t="inlineStr">
        <is>
          <t>No</t>
        </is>
      </c>
      <c r="J3194" t="inlineStr">
        <is>
          <t>0</t>
        </is>
      </c>
      <c r="K3194" t="inlineStr">
        <is>
          <t>Murphy, Brian.</t>
        </is>
      </c>
      <c r="L3194" t="inlineStr">
        <is>
          <t>New York : Grosset/Putnam, c1997.</t>
        </is>
      </c>
      <c r="M3194" t="inlineStr">
        <is>
          <t>1997</t>
        </is>
      </c>
      <c r="O3194" t="inlineStr">
        <is>
          <t>eng</t>
        </is>
      </c>
      <c r="P3194" t="inlineStr">
        <is>
          <t>nyu</t>
        </is>
      </c>
      <c r="R3194" t="inlineStr">
        <is>
          <t xml:space="preserve">BX </t>
        </is>
      </c>
      <c r="S3194" t="n">
        <v>3</v>
      </c>
      <c r="T3194" t="n">
        <v>3</v>
      </c>
      <c r="U3194" t="inlineStr">
        <is>
          <t>2010-06-16</t>
        </is>
      </c>
      <c r="V3194" t="inlineStr">
        <is>
          <t>2010-06-16</t>
        </is>
      </c>
      <c r="W3194" t="inlineStr">
        <is>
          <t>1998-01-07</t>
        </is>
      </c>
      <c r="X3194" t="inlineStr">
        <is>
          <t>1998-01-07</t>
        </is>
      </c>
      <c r="Y3194" t="n">
        <v>265</v>
      </c>
      <c r="Z3194" t="n">
        <v>250</v>
      </c>
      <c r="AA3194" t="n">
        <v>274</v>
      </c>
      <c r="AB3194" t="n">
        <v>2</v>
      </c>
      <c r="AC3194" t="n">
        <v>2</v>
      </c>
      <c r="AD3194" t="n">
        <v>21</v>
      </c>
      <c r="AE3194" t="n">
        <v>21</v>
      </c>
      <c r="AF3194" t="n">
        <v>6</v>
      </c>
      <c r="AG3194" t="n">
        <v>6</v>
      </c>
      <c r="AH3194" t="n">
        <v>6</v>
      </c>
      <c r="AI3194" t="n">
        <v>6</v>
      </c>
      <c r="AJ3194" t="n">
        <v>14</v>
      </c>
      <c r="AK3194" t="n">
        <v>14</v>
      </c>
      <c r="AL3194" t="n">
        <v>0</v>
      </c>
      <c r="AM3194" t="n">
        <v>0</v>
      </c>
      <c r="AN3194" t="n">
        <v>0</v>
      </c>
      <c r="AO3194" t="n">
        <v>0</v>
      </c>
      <c r="AP3194" t="inlineStr">
        <is>
          <t>No</t>
        </is>
      </c>
      <c r="AQ3194" t="inlineStr">
        <is>
          <t>Yes</t>
        </is>
      </c>
      <c r="AR3194">
        <f>HYPERLINK("http://catalog.hathitrust.org/Record/003973207","HathiTrust Record")</f>
        <v/>
      </c>
      <c r="AS3194">
        <f>HYPERLINK("https://creighton-primo.hosted.exlibrisgroup.com/primo-explore/search?tab=default_tab&amp;search_scope=EVERYTHING&amp;vid=01CRU&amp;lang=en_US&amp;offset=0&amp;query=any,contains,991002809829702656","Catalog Record")</f>
        <v/>
      </c>
      <c r="AT3194">
        <f>HYPERLINK("http://www.worldcat.org/oclc/36909652","WorldCat Record")</f>
        <v/>
      </c>
      <c r="AU3194" t="inlineStr">
        <is>
          <t>25714258:eng</t>
        </is>
      </c>
      <c r="AV3194" t="inlineStr">
        <is>
          <t>36909652</t>
        </is>
      </c>
      <c r="AW3194" t="inlineStr">
        <is>
          <t>991002809829702656</t>
        </is>
      </c>
      <c r="AX3194" t="inlineStr">
        <is>
          <t>991002809829702656</t>
        </is>
      </c>
      <c r="AY3194" t="inlineStr">
        <is>
          <t>2258730150002656</t>
        </is>
      </c>
      <c r="AZ3194" t="inlineStr">
        <is>
          <t>BOOK</t>
        </is>
      </c>
      <c r="BB3194" t="inlineStr">
        <is>
          <t>9780399143281</t>
        </is>
      </c>
      <c r="BC3194" t="inlineStr">
        <is>
          <t>32285003301768</t>
        </is>
      </c>
      <c r="BD3194" t="inlineStr">
        <is>
          <t>893774047</t>
        </is>
      </c>
    </row>
    <row r="3195">
      <c r="A3195" t="inlineStr">
        <is>
          <t>No</t>
        </is>
      </c>
      <c r="B3195" t="inlineStr">
        <is>
          <t>BX920.R8848 C37</t>
        </is>
      </c>
      <c r="C3195" t="inlineStr">
        <is>
          <t>0                      BX 0920000R  8848               C  37</t>
        </is>
      </c>
      <c r="D3195" t="inlineStr">
        <is>
          <t>University of the nations : the story of the Gregorian University with its associated institutes, the Biblical and Oriental, 1551-1962 / by Philip Caraman.</t>
        </is>
      </c>
      <c r="F3195" t="inlineStr">
        <is>
          <t>No</t>
        </is>
      </c>
      <c r="G3195" t="inlineStr">
        <is>
          <t>1</t>
        </is>
      </c>
      <c r="H3195" t="inlineStr">
        <is>
          <t>No</t>
        </is>
      </c>
      <c r="I3195" t="inlineStr">
        <is>
          <t>No</t>
        </is>
      </c>
      <c r="J3195" t="inlineStr">
        <is>
          <t>0</t>
        </is>
      </c>
      <c r="K3195" t="inlineStr">
        <is>
          <t>Caraman, Philip, 1911-1998.</t>
        </is>
      </c>
      <c r="L3195" t="inlineStr">
        <is>
          <t>New York : Paulist Press, c1981.</t>
        </is>
      </c>
      <c r="M3195" t="inlineStr">
        <is>
          <t>1981</t>
        </is>
      </c>
      <c r="O3195" t="inlineStr">
        <is>
          <t>eng</t>
        </is>
      </c>
      <c r="P3195" t="inlineStr">
        <is>
          <t>nyu</t>
        </is>
      </c>
      <c r="R3195" t="inlineStr">
        <is>
          <t xml:space="preserve">BX </t>
        </is>
      </c>
      <c r="S3195" t="n">
        <v>4</v>
      </c>
      <c r="T3195" t="n">
        <v>4</v>
      </c>
      <c r="U3195" t="inlineStr">
        <is>
          <t>2006-11-08</t>
        </is>
      </c>
      <c r="V3195" t="inlineStr">
        <is>
          <t>2006-11-08</t>
        </is>
      </c>
      <c r="W3195" t="inlineStr">
        <is>
          <t>1992-05-26</t>
        </is>
      </c>
      <c r="X3195" t="inlineStr">
        <is>
          <t>1992-05-26</t>
        </is>
      </c>
      <c r="Y3195" t="n">
        <v>263</v>
      </c>
      <c r="Z3195" t="n">
        <v>216</v>
      </c>
      <c r="AA3195" t="n">
        <v>217</v>
      </c>
      <c r="AB3195" t="n">
        <v>1</v>
      </c>
      <c r="AC3195" t="n">
        <v>1</v>
      </c>
      <c r="AD3195" t="n">
        <v>24</v>
      </c>
      <c r="AE3195" t="n">
        <v>24</v>
      </c>
      <c r="AF3195" t="n">
        <v>9</v>
      </c>
      <c r="AG3195" t="n">
        <v>9</v>
      </c>
      <c r="AH3195" t="n">
        <v>6</v>
      </c>
      <c r="AI3195" t="n">
        <v>6</v>
      </c>
      <c r="AJ3195" t="n">
        <v>21</v>
      </c>
      <c r="AK3195" t="n">
        <v>21</v>
      </c>
      <c r="AL3195" t="n">
        <v>0</v>
      </c>
      <c r="AM3195" t="n">
        <v>0</v>
      </c>
      <c r="AN3195" t="n">
        <v>0</v>
      </c>
      <c r="AO3195" t="n">
        <v>0</v>
      </c>
      <c r="AP3195" t="inlineStr">
        <is>
          <t>No</t>
        </is>
      </c>
      <c r="AQ3195" t="inlineStr">
        <is>
          <t>Yes</t>
        </is>
      </c>
      <c r="AR3195">
        <f>HYPERLINK("http://catalog.hathitrust.org/Record/000098364","HathiTrust Record")</f>
        <v/>
      </c>
      <c r="AS3195">
        <f>HYPERLINK("https://creighton-primo.hosted.exlibrisgroup.com/primo-explore/search?tab=default_tab&amp;search_scope=EVERYTHING&amp;vid=01CRU&amp;lang=en_US&amp;offset=0&amp;query=any,contains,991005121009702656","Catalog Record")</f>
        <v/>
      </c>
      <c r="AT3195">
        <f>HYPERLINK("http://www.worldcat.org/oclc/7515448","WorldCat Record")</f>
        <v/>
      </c>
      <c r="AU3195" t="inlineStr">
        <is>
          <t>28706538:eng</t>
        </is>
      </c>
      <c r="AV3195" t="inlineStr">
        <is>
          <t>7515448</t>
        </is>
      </c>
      <c r="AW3195" t="inlineStr">
        <is>
          <t>991005121009702656</t>
        </is>
      </c>
      <c r="AX3195" t="inlineStr">
        <is>
          <t>991005121009702656</t>
        </is>
      </c>
      <c r="AY3195" t="inlineStr">
        <is>
          <t>2260977520002656</t>
        </is>
      </c>
      <c r="AZ3195" t="inlineStr">
        <is>
          <t>BOOK</t>
        </is>
      </c>
      <c r="BB3195" t="inlineStr">
        <is>
          <t>9780809123551</t>
        </is>
      </c>
      <c r="BC3195" t="inlineStr">
        <is>
          <t>32285001084465</t>
        </is>
      </c>
      <c r="BD3195" t="inlineStr">
        <is>
          <t>893783049</t>
        </is>
      </c>
    </row>
    <row r="3196">
      <c r="A3196" t="inlineStr">
        <is>
          <t>No</t>
        </is>
      </c>
      <c r="B3196" t="inlineStr">
        <is>
          <t>BX921 .A37 1992</t>
        </is>
      </c>
      <c r="C3196" t="inlineStr">
        <is>
          <t>0                      BX 0921000A  37          1992</t>
        </is>
      </c>
      <c r="D3196" t="inlineStr">
        <is>
          <t>Adult catechesis in the Christian community : some principles and guidelines ; with discussion guide / International Council for Catechesis.</t>
        </is>
      </c>
      <c r="F3196" t="inlineStr">
        <is>
          <t>No</t>
        </is>
      </c>
      <c r="G3196" t="inlineStr">
        <is>
          <t>1</t>
        </is>
      </c>
      <c r="H3196" t="inlineStr">
        <is>
          <t>No</t>
        </is>
      </c>
      <c r="I3196" t="inlineStr">
        <is>
          <t>No</t>
        </is>
      </c>
      <c r="J3196" t="inlineStr">
        <is>
          <t>0</t>
        </is>
      </c>
      <c r="L3196" t="inlineStr">
        <is>
          <t>[Washington, D.C. : United States Catholic Conference, 1992]</t>
        </is>
      </c>
      <c r="M3196" t="inlineStr">
        <is>
          <t>1992</t>
        </is>
      </c>
      <c r="O3196" t="inlineStr">
        <is>
          <t>eng</t>
        </is>
      </c>
      <c r="P3196" t="inlineStr">
        <is>
          <t>dcu</t>
        </is>
      </c>
      <c r="Q3196" t="inlineStr">
        <is>
          <t>Publication / Office for Publishing and Promotion Services, United States Catholic Conference ; no. 520-8</t>
        </is>
      </c>
      <c r="R3196" t="inlineStr">
        <is>
          <t xml:space="preserve">BX </t>
        </is>
      </c>
      <c r="S3196" t="n">
        <v>2</v>
      </c>
      <c r="T3196" t="n">
        <v>2</v>
      </c>
      <c r="U3196" t="inlineStr">
        <is>
          <t>1996-06-29</t>
        </is>
      </c>
      <c r="V3196" t="inlineStr">
        <is>
          <t>1996-06-29</t>
        </is>
      </c>
      <c r="W3196" t="inlineStr">
        <is>
          <t>1992-12-10</t>
        </is>
      </c>
      <c r="X3196" t="inlineStr">
        <is>
          <t>1992-12-10</t>
        </is>
      </c>
      <c r="Y3196" t="n">
        <v>93</v>
      </c>
      <c r="Z3196" t="n">
        <v>87</v>
      </c>
      <c r="AA3196" t="n">
        <v>108</v>
      </c>
      <c r="AB3196" t="n">
        <v>1</v>
      </c>
      <c r="AC3196" t="n">
        <v>1</v>
      </c>
      <c r="AD3196" t="n">
        <v>11</v>
      </c>
      <c r="AE3196" t="n">
        <v>13</v>
      </c>
      <c r="AF3196" t="n">
        <v>2</v>
      </c>
      <c r="AG3196" t="n">
        <v>3</v>
      </c>
      <c r="AH3196" t="n">
        <v>5</v>
      </c>
      <c r="AI3196" t="n">
        <v>5</v>
      </c>
      <c r="AJ3196" t="n">
        <v>6</v>
      </c>
      <c r="AK3196" t="n">
        <v>8</v>
      </c>
      <c r="AL3196" t="n">
        <v>0</v>
      </c>
      <c r="AM3196" t="n">
        <v>0</v>
      </c>
      <c r="AN3196" t="n">
        <v>0</v>
      </c>
      <c r="AO3196" t="n">
        <v>0</v>
      </c>
      <c r="AP3196" t="inlineStr">
        <is>
          <t>No</t>
        </is>
      </c>
      <c r="AQ3196" t="inlineStr">
        <is>
          <t>No</t>
        </is>
      </c>
      <c r="AS3196">
        <f>HYPERLINK("https://creighton-primo.hosted.exlibrisgroup.com/primo-explore/search?tab=default_tab&amp;search_scope=EVERYTHING&amp;vid=01CRU&amp;lang=en_US&amp;offset=0&amp;query=any,contains,991002107019702656","Catalog Record")</f>
        <v/>
      </c>
      <c r="AT3196">
        <f>HYPERLINK("http://www.worldcat.org/oclc/27017848","WorldCat Record")</f>
        <v/>
      </c>
      <c r="AU3196" t="inlineStr">
        <is>
          <t>24206553:eng</t>
        </is>
      </c>
      <c r="AV3196" t="inlineStr">
        <is>
          <t>27017848</t>
        </is>
      </c>
      <c r="AW3196" t="inlineStr">
        <is>
          <t>991002107019702656</t>
        </is>
      </c>
      <c r="AX3196" t="inlineStr">
        <is>
          <t>991002107019702656</t>
        </is>
      </c>
      <c r="AY3196" t="inlineStr">
        <is>
          <t>2255068380002656</t>
        </is>
      </c>
      <c r="AZ3196" t="inlineStr">
        <is>
          <t>BOOK</t>
        </is>
      </c>
      <c r="BB3196" t="inlineStr">
        <is>
          <t>9781555865207</t>
        </is>
      </c>
      <c r="BC3196" t="inlineStr">
        <is>
          <t>32285001424984</t>
        </is>
      </c>
      <c r="BD3196" t="inlineStr">
        <is>
          <t>893785729</t>
        </is>
      </c>
    </row>
    <row r="3197">
      <c r="A3197" t="inlineStr">
        <is>
          <t>No</t>
        </is>
      </c>
      <c r="B3197" t="inlineStr">
        <is>
          <t>BX921 .C6</t>
        </is>
      </c>
      <c r="C3197" t="inlineStr">
        <is>
          <t>0                      BX 0921000C  6</t>
        </is>
      </c>
      <c r="D3197" t="inlineStr">
        <is>
          <t>Theology and the university, an ecumenical investigation. [Contributors: Christopher Butler and others]</t>
        </is>
      </c>
      <c r="F3197" t="inlineStr">
        <is>
          <t>No</t>
        </is>
      </c>
      <c r="G3197" t="inlineStr">
        <is>
          <t>1</t>
        </is>
      </c>
      <c r="H3197" t="inlineStr">
        <is>
          <t>No</t>
        </is>
      </c>
      <c r="I3197" t="inlineStr">
        <is>
          <t>No</t>
        </is>
      </c>
      <c r="J3197" t="inlineStr">
        <is>
          <t>0</t>
        </is>
      </c>
      <c r="K3197" t="inlineStr">
        <is>
          <t>Coulson, John, 1919-1993, editor.</t>
        </is>
      </c>
      <c r="L3197" t="inlineStr">
        <is>
          <t>Baltimore, Helicon Press [1964]</t>
        </is>
      </c>
      <c r="M3197" t="inlineStr">
        <is>
          <t>1964</t>
        </is>
      </c>
      <c r="O3197" t="inlineStr">
        <is>
          <t>eng</t>
        </is>
      </c>
      <c r="P3197" t="inlineStr">
        <is>
          <t>___</t>
        </is>
      </c>
      <c r="R3197" t="inlineStr">
        <is>
          <t xml:space="preserve">BX </t>
        </is>
      </c>
      <c r="S3197" t="n">
        <v>2</v>
      </c>
      <c r="T3197" t="n">
        <v>2</v>
      </c>
      <c r="U3197" t="inlineStr">
        <is>
          <t>1997-03-07</t>
        </is>
      </c>
      <c r="V3197" t="inlineStr">
        <is>
          <t>1997-03-07</t>
        </is>
      </c>
      <c r="W3197" t="inlineStr">
        <is>
          <t>1992-05-26</t>
        </is>
      </c>
      <c r="X3197" t="inlineStr">
        <is>
          <t>1992-05-26</t>
        </is>
      </c>
      <c r="Y3197" t="n">
        <v>368</v>
      </c>
      <c r="Z3197" t="n">
        <v>283</v>
      </c>
      <c r="AA3197" t="n">
        <v>292</v>
      </c>
      <c r="AB3197" t="n">
        <v>3</v>
      </c>
      <c r="AC3197" t="n">
        <v>3</v>
      </c>
      <c r="AD3197" t="n">
        <v>32</v>
      </c>
      <c r="AE3197" t="n">
        <v>32</v>
      </c>
      <c r="AF3197" t="n">
        <v>13</v>
      </c>
      <c r="AG3197" t="n">
        <v>13</v>
      </c>
      <c r="AH3197" t="n">
        <v>7</v>
      </c>
      <c r="AI3197" t="n">
        <v>7</v>
      </c>
      <c r="AJ3197" t="n">
        <v>21</v>
      </c>
      <c r="AK3197" t="n">
        <v>21</v>
      </c>
      <c r="AL3197" t="n">
        <v>1</v>
      </c>
      <c r="AM3197" t="n">
        <v>1</v>
      </c>
      <c r="AN3197" t="n">
        <v>0</v>
      </c>
      <c r="AO3197" t="n">
        <v>0</v>
      </c>
      <c r="AP3197" t="inlineStr">
        <is>
          <t>No</t>
        </is>
      </c>
      <c r="AQ3197" t="inlineStr">
        <is>
          <t>Yes</t>
        </is>
      </c>
      <c r="AR3197">
        <f>HYPERLINK("http://catalog.hathitrust.org/Record/001415727","HathiTrust Record")</f>
        <v/>
      </c>
      <c r="AS3197">
        <f>HYPERLINK("https://creighton-primo.hosted.exlibrisgroup.com/primo-explore/search?tab=default_tab&amp;search_scope=EVERYTHING&amp;vid=01CRU&amp;lang=en_US&amp;offset=0&amp;query=any,contains,991003654719702656","Catalog Record")</f>
        <v/>
      </c>
      <c r="AT3197">
        <f>HYPERLINK("http://www.worldcat.org/oclc/1258770","WorldCat Record")</f>
        <v/>
      </c>
      <c r="AU3197" t="inlineStr">
        <is>
          <t>374246239:eng</t>
        </is>
      </c>
      <c r="AV3197" t="inlineStr">
        <is>
          <t>1258770</t>
        </is>
      </c>
      <c r="AW3197" t="inlineStr">
        <is>
          <t>991003654719702656</t>
        </is>
      </c>
      <c r="AX3197" t="inlineStr">
        <is>
          <t>991003654719702656</t>
        </is>
      </c>
      <c r="AY3197" t="inlineStr">
        <is>
          <t>2259292640002656</t>
        </is>
      </c>
      <c r="AZ3197" t="inlineStr">
        <is>
          <t>BOOK</t>
        </is>
      </c>
      <c r="BC3197" t="inlineStr">
        <is>
          <t>32285001084515</t>
        </is>
      </c>
      <c r="BD3197" t="inlineStr">
        <is>
          <t>893441540</t>
        </is>
      </c>
    </row>
    <row r="3198">
      <c r="A3198" t="inlineStr">
        <is>
          <t>No</t>
        </is>
      </c>
      <c r="B3198" t="inlineStr">
        <is>
          <t>BX921 .D86 1981</t>
        </is>
      </c>
      <c r="C3198" t="inlineStr">
        <is>
          <t>0                      BX 0921000D  86          1981</t>
        </is>
      </c>
      <c r="D3198" t="inlineStr">
        <is>
          <t>New wine, new wineskins : exploring the RCIA / James B. Dunning.</t>
        </is>
      </c>
      <c r="F3198" t="inlineStr">
        <is>
          <t>No</t>
        </is>
      </c>
      <c r="G3198" t="inlineStr">
        <is>
          <t>1</t>
        </is>
      </c>
      <c r="H3198" t="inlineStr">
        <is>
          <t>No</t>
        </is>
      </c>
      <c r="I3198" t="inlineStr">
        <is>
          <t>No</t>
        </is>
      </c>
      <c r="J3198" t="inlineStr">
        <is>
          <t>0</t>
        </is>
      </c>
      <c r="K3198" t="inlineStr">
        <is>
          <t>Dunning, James B.</t>
        </is>
      </c>
      <c r="L3198" t="inlineStr">
        <is>
          <t>Chicago ; New York : W.H. Sadlier, c1981.</t>
        </is>
      </c>
      <c r="M3198" t="inlineStr">
        <is>
          <t>1981</t>
        </is>
      </c>
      <c r="O3198" t="inlineStr">
        <is>
          <t>eng</t>
        </is>
      </c>
      <c r="P3198" t="inlineStr">
        <is>
          <t>ilu</t>
        </is>
      </c>
      <c r="Q3198" t="inlineStr">
        <is>
          <t>An NCDD book</t>
        </is>
      </c>
      <c r="R3198" t="inlineStr">
        <is>
          <t xml:space="preserve">BX </t>
        </is>
      </c>
      <c r="S3198" t="n">
        <v>2</v>
      </c>
      <c r="T3198" t="n">
        <v>2</v>
      </c>
      <c r="U3198" t="inlineStr">
        <is>
          <t>2005-04-13</t>
        </is>
      </c>
      <c r="V3198" t="inlineStr">
        <is>
          <t>2005-04-13</t>
        </is>
      </c>
      <c r="W3198" t="inlineStr">
        <is>
          <t>2005-04-13</t>
        </is>
      </c>
      <c r="X3198" t="inlineStr">
        <is>
          <t>2005-04-13</t>
        </is>
      </c>
      <c r="Y3198" t="n">
        <v>148</v>
      </c>
      <c r="Z3198" t="n">
        <v>119</v>
      </c>
      <c r="AA3198" t="n">
        <v>119</v>
      </c>
      <c r="AB3198" t="n">
        <v>2</v>
      </c>
      <c r="AC3198" t="n">
        <v>2</v>
      </c>
      <c r="AD3198" t="n">
        <v>18</v>
      </c>
      <c r="AE3198" t="n">
        <v>18</v>
      </c>
      <c r="AF3198" t="n">
        <v>3</v>
      </c>
      <c r="AG3198" t="n">
        <v>3</v>
      </c>
      <c r="AH3198" t="n">
        <v>4</v>
      </c>
      <c r="AI3198" t="n">
        <v>4</v>
      </c>
      <c r="AJ3198" t="n">
        <v>14</v>
      </c>
      <c r="AK3198" t="n">
        <v>14</v>
      </c>
      <c r="AL3198" t="n">
        <v>0</v>
      </c>
      <c r="AM3198" t="n">
        <v>0</v>
      </c>
      <c r="AN3198" t="n">
        <v>0</v>
      </c>
      <c r="AO3198" t="n">
        <v>0</v>
      </c>
      <c r="AP3198" t="inlineStr">
        <is>
          <t>No</t>
        </is>
      </c>
      <c r="AQ3198" t="inlineStr">
        <is>
          <t>No</t>
        </is>
      </c>
      <c r="AS3198">
        <f>HYPERLINK("https://creighton-primo.hosted.exlibrisgroup.com/primo-explore/search?tab=default_tab&amp;search_scope=EVERYTHING&amp;vid=01CRU&amp;lang=en_US&amp;offset=0&amp;query=any,contains,991004529579702656","Catalog Record")</f>
        <v/>
      </c>
      <c r="AT3198">
        <f>HYPERLINK("http://www.worldcat.org/oclc/8130620","WorldCat Record")</f>
        <v/>
      </c>
      <c r="AU3198" t="inlineStr">
        <is>
          <t>892052327:eng</t>
        </is>
      </c>
      <c r="AV3198" t="inlineStr">
        <is>
          <t>8130620</t>
        </is>
      </c>
      <c r="AW3198" t="inlineStr">
        <is>
          <t>991004529579702656</t>
        </is>
      </c>
      <c r="AX3198" t="inlineStr">
        <is>
          <t>991004529579702656</t>
        </is>
      </c>
      <c r="AY3198" t="inlineStr">
        <is>
          <t>2266919710002656</t>
        </is>
      </c>
      <c r="AZ3198" t="inlineStr">
        <is>
          <t>BOOK</t>
        </is>
      </c>
      <c r="BB3198" t="inlineStr">
        <is>
          <t>9780821598078</t>
        </is>
      </c>
      <c r="BC3198" t="inlineStr">
        <is>
          <t>32285005030456</t>
        </is>
      </c>
      <c r="BD3198" t="inlineStr">
        <is>
          <t>893526212</t>
        </is>
      </c>
    </row>
    <row r="3199">
      <c r="A3199" t="inlineStr">
        <is>
          <t>No</t>
        </is>
      </c>
      <c r="B3199" t="inlineStr">
        <is>
          <t>BX921 .H62 1964</t>
        </is>
      </c>
      <c r="C3199" t="inlineStr">
        <is>
          <t>0                      BX 0921000H  62          1964</t>
        </is>
      </c>
      <c r="D3199" t="inlineStr">
        <is>
          <t>Pastoral catechetics / edited by Johannes Hofinger and Theodore C. Stone.</t>
        </is>
      </c>
      <c r="F3199" t="inlineStr">
        <is>
          <t>No</t>
        </is>
      </c>
      <c r="G3199" t="inlineStr">
        <is>
          <t>1</t>
        </is>
      </c>
      <c r="H3199" t="inlineStr">
        <is>
          <t>No</t>
        </is>
      </c>
      <c r="I3199" t="inlineStr">
        <is>
          <t>No</t>
        </is>
      </c>
      <c r="J3199" t="inlineStr">
        <is>
          <t>0</t>
        </is>
      </c>
      <c r="K3199" t="inlineStr">
        <is>
          <t>Hofinger, Johannes editor.</t>
        </is>
      </c>
      <c r="L3199" t="inlineStr">
        <is>
          <t>[New York] : Herder and Herder, [1964].</t>
        </is>
      </c>
      <c r="M3199" t="inlineStr">
        <is>
          <t>1964</t>
        </is>
      </c>
      <c r="O3199" t="inlineStr">
        <is>
          <t>eng</t>
        </is>
      </c>
      <c r="P3199" t="inlineStr">
        <is>
          <t xml:space="preserve">xx </t>
        </is>
      </c>
      <c r="R3199" t="inlineStr">
        <is>
          <t xml:space="preserve">BX </t>
        </is>
      </c>
      <c r="S3199" t="n">
        <v>2</v>
      </c>
      <c r="T3199" t="n">
        <v>2</v>
      </c>
      <c r="U3199" t="inlineStr">
        <is>
          <t>1997-12-22</t>
        </is>
      </c>
      <c r="V3199" t="inlineStr">
        <is>
          <t>1997-12-22</t>
        </is>
      </c>
      <c r="W3199" t="inlineStr">
        <is>
          <t>1992-05-26</t>
        </is>
      </c>
      <c r="X3199" t="inlineStr">
        <is>
          <t>1992-05-26</t>
        </is>
      </c>
      <c r="Y3199" t="n">
        <v>182</v>
      </c>
      <c r="Z3199" t="n">
        <v>154</v>
      </c>
      <c r="AA3199" t="n">
        <v>159</v>
      </c>
      <c r="AB3199" t="n">
        <v>2</v>
      </c>
      <c r="AC3199" t="n">
        <v>2</v>
      </c>
      <c r="AD3199" t="n">
        <v>26</v>
      </c>
      <c r="AE3199" t="n">
        <v>26</v>
      </c>
      <c r="AF3199" t="n">
        <v>8</v>
      </c>
      <c r="AG3199" t="n">
        <v>8</v>
      </c>
      <c r="AH3199" t="n">
        <v>7</v>
      </c>
      <c r="AI3199" t="n">
        <v>7</v>
      </c>
      <c r="AJ3199" t="n">
        <v>21</v>
      </c>
      <c r="AK3199" t="n">
        <v>21</v>
      </c>
      <c r="AL3199" t="n">
        <v>0</v>
      </c>
      <c r="AM3199" t="n">
        <v>0</v>
      </c>
      <c r="AN3199" t="n">
        <v>0</v>
      </c>
      <c r="AO3199" t="n">
        <v>0</v>
      </c>
      <c r="AP3199" t="inlineStr">
        <is>
          <t>No</t>
        </is>
      </c>
      <c r="AQ3199" t="inlineStr">
        <is>
          <t>No</t>
        </is>
      </c>
      <c r="AS3199">
        <f>HYPERLINK("https://creighton-primo.hosted.exlibrisgroup.com/primo-explore/search?tab=default_tab&amp;search_scope=EVERYTHING&amp;vid=01CRU&amp;lang=en_US&amp;offset=0&amp;query=any,contains,991003935049702656","Catalog Record")</f>
        <v/>
      </c>
      <c r="AT3199">
        <f>HYPERLINK("http://www.worldcat.org/oclc/1910951","WorldCat Record")</f>
        <v/>
      </c>
      <c r="AU3199" t="inlineStr">
        <is>
          <t>190410941:eng</t>
        </is>
      </c>
      <c r="AV3199" t="inlineStr">
        <is>
          <t>1910951</t>
        </is>
      </c>
      <c r="AW3199" t="inlineStr">
        <is>
          <t>991003935049702656</t>
        </is>
      </c>
      <c r="AX3199" t="inlineStr">
        <is>
          <t>991003935049702656</t>
        </is>
      </c>
      <c r="AY3199" t="inlineStr">
        <is>
          <t>2262282780002656</t>
        </is>
      </c>
      <c r="AZ3199" t="inlineStr">
        <is>
          <t>BOOK</t>
        </is>
      </c>
      <c r="BC3199" t="inlineStr">
        <is>
          <t>32285001084523</t>
        </is>
      </c>
      <c r="BD3199" t="inlineStr">
        <is>
          <t>893246950</t>
        </is>
      </c>
    </row>
    <row r="3200">
      <c r="A3200" t="inlineStr">
        <is>
          <t>No</t>
        </is>
      </c>
      <c r="B3200" t="inlineStr">
        <is>
          <t>BX921 .O97 1999</t>
        </is>
      </c>
      <c r="C3200" t="inlineStr">
        <is>
          <t>0                      BX 0921000O  97          1999</t>
        </is>
      </c>
      <c r="D3200" t="inlineStr">
        <is>
          <t>Our hearts were burning within us : a pastoral plan for adult faith formation in the United States.</t>
        </is>
      </c>
      <c r="F3200" t="inlineStr">
        <is>
          <t>No</t>
        </is>
      </c>
      <c r="G3200" t="inlineStr">
        <is>
          <t>1</t>
        </is>
      </c>
      <c r="H3200" t="inlineStr">
        <is>
          <t>No</t>
        </is>
      </c>
      <c r="I3200" t="inlineStr">
        <is>
          <t>No</t>
        </is>
      </c>
      <c r="J3200" t="inlineStr">
        <is>
          <t>0</t>
        </is>
      </c>
      <c r="L3200" t="inlineStr">
        <is>
          <t>Washington, D.C. : United States Catholic Conference, 1999.</t>
        </is>
      </c>
      <c r="M3200" t="inlineStr">
        <is>
          <t>1999</t>
        </is>
      </c>
      <c r="O3200" t="inlineStr">
        <is>
          <t>eng</t>
        </is>
      </c>
      <c r="P3200" t="inlineStr">
        <is>
          <t>xxu</t>
        </is>
      </c>
      <c r="Q3200" t="inlineStr">
        <is>
          <t>Publication ; no. 5-299</t>
        </is>
      </c>
      <c r="R3200" t="inlineStr">
        <is>
          <t xml:space="preserve">BX </t>
        </is>
      </c>
      <c r="S3200" t="n">
        <v>2</v>
      </c>
      <c r="T3200" t="n">
        <v>2</v>
      </c>
      <c r="U3200" t="inlineStr">
        <is>
          <t>2006-06-18</t>
        </is>
      </c>
      <c r="V3200" t="inlineStr">
        <is>
          <t>2006-06-18</t>
        </is>
      </c>
      <c r="W3200" t="inlineStr">
        <is>
          <t>2000-03-01</t>
        </is>
      </c>
      <c r="X3200" t="inlineStr">
        <is>
          <t>2000-03-01</t>
        </is>
      </c>
      <c r="Y3200" t="n">
        <v>109</v>
      </c>
      <c r="Z3200" t="n">
        <v>102</v>
      </c>
      <c r="AA3200" t="n">
        <v>103</v>
      </c>
      <c r="AB3200" t="n">
        <v>2</v>
      </c>
      <c r="AC3200" t="n">
        <v>2</v>
      </c>
      <c r="AD3200" t="n">
        <v>14</v>
      </c>
      <c r="AE3200" t="n">
        <v>14</v>
      </c>
      <c r="AF3200" t="n">
        <v>3</v>
      </c>
      <c r="AG3200" t="n">
        <v>3</v>
      </c>
      <c r="AH3200" t="n">
        <v>3</v>
      </c>
      <c r="AI3200" t="n">
        <v>3</v>
      </c>
      <c r="AJ3200" t="n">
        <v>11</v>
      </c>
      <c r="AK3200" t="n">
        <v>11</v>
      </c>
      <c r="AL3200" t="n">
        <v>0</v>
      </c>
      <c r="AM3200" t="n">
        <v>0</v>
      </c>
      <c r="AN3200" t="n">
        <v>0</v>
      </c>
      <c r="AO3200" t="n">
        <v>0</v>
      </c>
      <c r="AP3200" t="inlineStr">
        <is>
          <t>No</t>
        </is>
      </c>
      <c r="AQ3200" t="inlineStr">
        <is>
          <t>No</t>
        </is>
      </c>
      <c r="AS3200">
        <f>HYPERLINK("https://creighton-primo.hosted.exlibrisgroup.com/primo-explore/search?tab=default_tab&amp;search_scope=EVERYTHING&amp;vid=01CRU&amp;lang=en_US&amp;offset=0&amp;query=any,contains,991003053809702656","Catalog Record")</f>
        <v/>
      </c>
      <c r="AT3200">
        <f>HYPERLINK("http://www.worldcat.org/oclc/50591199","WorldCat Record")</f>
        <v/>
      </c>
      <c r="AU3200" t="inlineStr">
        <is>
          <t>6634718:eng</t>
        </is>
      </c>
      <c r="AV3200" t="inlineStr">
        <is>
          <t>50591199</t>
        </is>
      </c>
      <c r="AW3200" t="inlineStr">
        <is>
          <t>991003053809702656</t>
        </is>
      </c>
      <c r="AX3200" t="inlineStr">
        <is>
          <t>991003053809702656</t>
        </is>
      </c>
      <c r="AY3200" t="inlineStr">
        <is>
          <t>2266547290002656</t>
        </is>
      </c>
      <c r="AZ3200" t="inlineStr">
        <is>
          <t>BOOK</t>
        </is>
      </c>
      <c r="BB3200" t="inlineStr">
        <is>
          <t>9781574552997</t>
        </is>
      </c>
      <c r="BC3200" t="inlineStr">
        <is>
          <t>32285003665964</t>
        </is>
      </c>
      <c r="BD3200" t="inlineStr">
        <is>
          <t>893592147</t>
        </is>
      </c>
    </row>
    <row r="3201">
      <c r="A3201" t="inlineStr">
        <is>
          <t>No</t>
        </is>
      </c>
      <c r="B3201" t="inlineStr">
        <is>
          <t>BX921 .O97 1999 Supp.</t>
        </is>
      </c>
      <c r="C3201" t="inlineStr">
        <is>
          <t>0                      BX 0921000O  97          1999                                        Supp.</t>
        </is>
      </c>
      <c r="D3201" t="inlineStr">
        <is>
          <t>Leader's guide to Our hearts were burning within us : a pastoral plan for adult faith formation in the United States : statement of the U.S. Catholic Bishops / Department of Education, United States Catholic Conference.</t>
        </is>
      </c>
      <c r="E3201" t="inlineStr">
        <is>
          <t>Supp.*</t>
        </is>
      </c>
      <c r="F3201" t="inlineStr">
        <is>
          <t>No</t>
        </is>
      </c>
      <c r="G3201" t="inlineStr">
        <is>
          <t>1</t>
        </is>
      </c>
      <c r="H3201" t="inlineStr">
        <is>
          <t>No</t>
        </is>
      </c>
      <c r="I3201" t="inlineStr">
        <is>
          <t>No</t>
        </is>
      </c>
      <c r="J3201" t="inlineStr">
        <is>
          <t>0</t>
        </is>
      </c>
      <c r="K3201" t="inlineStr">
        <is>
          <t>United States Catholic Conference. Department of Education.</t>
        </is>
      </c>
      <c r="L3201" t="inlineStr">
        <is>
          <t>Washington, D.C. : The Conference, c2000.</t>
        </is>
      </c>
      <c r="M3201" t="inlineStr">
        <is>
          <t>2000</t>
        </is>
      </c>
      <c r="O3201" t="inlineStr">
        <is>
          <t>eng</t>
        </is>
      </c>
      <c r="P3201" t="inlineStr">
        <is>
          <t>dcu</t>
        </is>
      </c>
      <c r="Q3201" t="inlineStr">
        <is>
          <t>Publication (United States Catholic Conference) ; no. 5-342</t>
        </is>
      </c>
      <c r="R3201" t="inlineStr">
        <is>
          <t xml:space="preserve">BX </t>
        </is>
      </c>
      <c r="S3201" t="n">
        <v>2</v>
      </c>
      <c r="T3201" t="n">
        <v>2</v>
      </c>
      <c r="U3201" t="inlineStr">
        <is>
          <t>2006-06-18</t>
        </is>
      </c>
      <c r="V3201" t="inlineStr">
        <is>
          <t>2006-06-18</t>
        </is>
      </c>
      <c r="W3201" t="inlineStr">
        <is>
          <t>2000-11-28</t>
        </is>
      </c>
      <c r="X3201" t="inlineStr">
        <is>
          <t>2000-11-28</t>
        </is>
      </c>
      <c r="Y3201" t="n">
        <v>83</v>
      </c>
      <c r="Z3201" t="n">
        <v>81</v>
      </c>
      <c r="AA3201" t="n">
        <v>81</v>
      </c>
      <c r="AB3201" t="n">
        <v>1</v>
      </c>
      <c r="AC3201" t="n">
        <v>1</v>
      </c>
      <c r="AD3201" t="n">
        <v>10</v>
      </c>
      <c r="AE3201" t="n">
        <v>10</v>
      </c>
      <c r="AF3201" t="n">
        <v>2</v>
      </c>
      <c r="AG3201" t="n">
        <v>2</v>
      </c>
      <c r="AH3201" t="n">
        <v>2</v>
      </c>
      <c r="AI3201" t="n">
        <v>2</v>
      </c>
      <c r="AJ3201" t="n">
        <v>8</v>
      </c>
      <c r="AK3201" t="n">
        <v>8</v>
      </c>
      <c r="AL3201" t="n">
        <v>0</v>
      </c>
      <c r="AM3201" t="n">
        <v>0</v>
      </c>
      <c r="AN3201" t="n">
        <v>0</v>
      </c>
      <c r="AO3201" t="n">
        <v>0</v>
      </c>
      <c r="AP3201" t="inlineStr">
        <is>
          <t>No</t>
        </is>
      </c>
      <c r="AQ3201" t="inlineStr">
        <is>
          <t>No</t>
        </is>
      </c>
      <c r="AS3201">
        <f>HYPERLINK("https://creighton-primo.hosted.exlibrisgroup.com/primo-explore/search?tab=default_tab&amp;search_scope=EVERYTHING&amp;vid=01CRU&amp;lang=en_US&amp;offset=0&amp;query=any,contains,991003356829702656","Catalog Record")</f>
        <v/>
      </c>
      <c r="AT3201">
        <f>HYPERLINK("http://www.worldcat.org/oclc/45360477","WorldCat Record")</f>
        <v/>
      </c>
      <c r="AU3201" t="inlineStr">
        <is>
          <t>34594008:eng</t>
        </is>
      </c>
      <c r="AV3201" t="inlineStr">
        <is>
          <t>45360477</t>
        </is>
      </c>
      <c r="AW3201" t="inlineStr">
        <is>
          <t>991003356829702656</t>
        </is>
      </c>
      <c r="AX3201" t="inlineStr">
        <is>
          <t>991003356829702656</t>
        </is>
      </c>
      <c r="AY3201" t="inlineStr">
        <is>
          <t>2255527760002656</t>
        </is>
      </c>
      <c r="AZ3201" t="inlineStr">
        <is>
          <t>BOOK</t>
        </is>
      </c>
      <c r="BB3201" t="inlineStr">
        <is>
          <t>9781574553420</t>
        </is>
      </c>
      <c r="BC3201" t="inlineStr">
        <is>
          <t>32285004267471</t>
        </is>
      </c>
      <c r="BD3201" t="inlineStr">
        <is>
          <t>893610960</t>
        </is>
      </c>
    </row>
    <row r="3202">
      <c r="A3202" t="inlineStr">
        <is>
          <t>No</t>
        </is>
      </c>
      <c r="B3202" t="inlineStr">
        <is>
          <t>BX921 .T39 1959</t>
        </is>
      </c>
      <c r="C3202" t="inlineStr">
        <is>
          <t>0                      BX 0921000T  39          1959</t>
        </is>
      </c>
      <c r="D3202" t="inlineStr">
        <is>
          <t>The church, the layman, and the modern world.</t>
        </is>
      </c>
      <c r="F3202" t="inlineStr">
        <is>
          <t>No</t>
        </is>
      </c>
      <c r="G3202" t="inlineStr">
        <is>
          <t>1</t>
        </is>
      </c>
      <c r="H3202" t="inlineStr">
        <is>
          <t>No</t>
        </is>
      </c>
      <c r="I3202" t="inlineStr">
        <is>
          <t>No</t>
        </is>
      </c>
      <c r="J3202" t="inlineStr">
        <is>
          <t>0</t>
        </is>
      </c>
      <c r="K3202" t="inlineStr">
        <is>
          <t>Tavard, George H. (George Henry), 1922-2007.</t>
        </is>
      </c>
      <c r="L3202" t="inlineStr">
        <is>
          <t>New York : Macmillan, 1959.</t>
        </is>
      </c>
      <c r="M3202" t="inlineStr">
        <is>
          <t>1959</t>
        </is>
      </c>
      <c r="O3202" t="inlineStr">
        <is>
          <t>eng</t>
        </is>
      </c>
      <c r="P3202" t="inlineStr">
        <is>
          <t xml:space="preserve">xx </t>
        </is>
      </c>
      <c r="R3202" t="inlineStr">
        <is>
          <t xml:space="preserve">BX </t>
        </is>
      </c>
      <c r="S3202" t="n">
        <v>3</v>
      </c>
      <c r="T3202" t="n">
        <v>3</v>
      </c>
      <c r="U3202" t="inlineStr">
        <is>
          <t>2005-10-02</t>
        </is>
      </c>
      <c r="V3202" t="inlineStr">
        <is>
          <t>2005-10-02</t>
        </is>
      </c>
      <c r="W3202" t="inlineStr">
        <is>
          <t>1992-02-19</t>
        </is>
      </c>
      <c r="X3202" t="inlineStr">
        <is>
          <t>1992-02-19</t>
        </is>
      </c>
      <c r="Y3202" t="n">
        <v>234</v>
      </c>
      <c r="Z3202" t="n">
        <v>199</v>
      </c>
      <c r="AA3202" t="n">
        <v>205</v>
      </c>
      <c r="AB3202" t="n">
        <v>2</v>
      </c>
      <c r="AC3202" t="n">
        <v>2</v>
      </c>
      <c r="AD3202" t="n">
        <v>26</v>
      </c>
      <c r="AE3202" t="n">
        <v>26</v>
      </c>
      <c r="AF3202" t="n">
        <v>7</v>
      </c>
      <c r="AG3202" t="n">
        <v>7</v>
      </c>
      <c r="AH3202" t="n">
        <v>7</v>
      </c>
      <c r="AI3202" t="n">
        <v>7</v>
      </c>
      <c r="AJ3202" t="n">
        <v>21</v>
      </c>
      <c r="AK3202" t="n">
        <v>21</v>
      </c>
      <c r="AL3202" t="n">
        <v>0</v>
      </c>
      <c r="AM3202" t="n">
        <v>0</v>
      </c>
      <c r="AN3202" t="n">
        <v>0</v>
      </c>
      <c r="AO3202" t="n">
        <v>0</v>
      </c>
      <c r="AP3202" t="inlineStr">
        <is>
          <t>No</t>
        </is>
      </c>
      <c r="AQ3202" t="inlineStr">
        <is>
          <t>No</t>
        </is>
      </c>
      <c r="AS3202">
        <f>HYPERLINK("https://creighton-primo.hosted.exlibrisgroup.com/primo-explore/search?tab=default_tab&amp;search_scope=EVERYTHING&amp;vid=01CRU&amp;lang=en_US&amp;offset=0&amp;query=any,contains,991003110709702656","Catalog Record")</f>
        <v/>
      </c>
      <c r="AT3202">
        <f>HYPERLINK("http://www.worldcat.org/oclc/656607","WorldCat Record")</f>
        <v/>
      </c>
      <c r="AU3202" t="inlineStr">
        <is>
          <t>309398965:eng</t>
        </is>
      </c>
      <c r="AV3202" t="inlineStr">
        <is>
          <t>656607</t>
        </is>
      </c>
      <c r="AW3202" t="inlineStr">
        <is>
          <t>991003110709702656</t>
        </is>
      </c>
      <c r="AX3202" t="inlineStr">
        <is>
          <t>991003110709702656</t>
        </is>
      </c>
      <c r="AY3202" t="inlineStr">
        <is>
          <t>2263435130002656</t>
        </is>
      </c>
      <c r="AZ3202" t="inlineStr">
        <is>
          <t>BOOK</t>
        </is>
      </c>
      <c r="BC3202" t="inlineStr">
        <is>
          <t>32285000971738</t>
        </is>
      </c>
      <c r="BD3202" t="inlineStr">
        <is>
          <t>893416046</t>
        </is>
      </c>
    </row>
    <row r="3203">
      <c r="A3203" t="inlineStr">
        <is>
          <t>No</t>
        </is>
      </c>
      <c r="B3203" t="inlineStr">
        <is>
          <t>BX9223 .R5</t>
        </is>
      </c>
      <c r="C3203" t="inlineStr">
        <is>
          <t>0                      BX 9223000R  5</t>
        </is>
      </c>
      <c r="D3203" t="inlineStr">
        <is>
          <t>John Knox / [by] Jasper Ridley.</t>
        </is>
      </c>
      <c r="F3203" t="inlineStr">
        <is>
          <t>No</t>
        </is>
      </c>
      <c r="G3203" t="inlineStr">
        <is>
          <t>1</t>
        </is>
      </c>
      <c r="H3203" t="inlineStr">
        <is>
          <t>No</t>
        </is>
      </c>
      <c r="I3203" t="inlineStr">
        <is>
          <t>No</t>
        </is>
      </c>
      <c r="J3203" t="inlineStr">
        <is>
          <t>0</t>
        </is>
      </c>
      <c r="K3203" t="inlineStr">
        <is>
          <t>Ridley, Jasper Godwin.</t>
        </is>
      </c>
      <c r="L3203" t="inlineStr">
        <is>
          <t>New York : Oxford University Press, [1968]</t>
        </is>
      </c>
      <c r="M3203" t="inlineStr">
        <is>
          <t>1968</t>
        </is>
      </c>
      <c r="O3203" t="inlineStr">
        <is>
          <t>eng</t>
        </is>
      </c>
      <c r="P3203" t="inlineStr">
        <is>
          <t>nyu</t>
        </is>
      </c>
      <c r="R3203" t="inlineStr">
        <is>
          <t xml:space="preserve">BX </t>
        </is>
      </c>
      <c r="S3203" t="n">
        <v>3</v>
      </c>
      <c r="T3203" t="n">
        <v>3</v>
      </c>
      <c r="U3203" t="inlineStr">
        <is>
          <t>1994-09-10</t>
        </is>
      </c>
      <c r="V3203" t="inlineStr">
        <is>
          <t>1994-09-10</t>
        </is>
      </c>
      <c r="W3203" t="inlineStr">
        <is>
          <t>1992-05-22</t>
        </is>
      </c>
      <c r="X3203" t="inlineStr">
        <is>
          <t>1992-05-22</t>
        </is>
      </c>
      <c r="Y3203" t="n">
        <v>905</v>
      </c>
      <c r="Z3203" t="n">
        <v>834</v>
      </c>
      <c r="AA3203" t="n">
        <v>934</v>
      </c>
      <c r="AB3203" t="n">
        <v>5</v>
      </c>
      <c r="AC3203" t="n">
        <v>6</v>
      </c>
      <c r="AD3203" t="n">
        <v>37</v>
      </c>
      <c r="AE3203" t="n">
        <v>44</v>
      </c>
      <c r="AF3203" t="n">
        <v>15</v>
      </c>
      <c r="AG3203" t="n">
        <v>18</v>
      </c>
      <c r="AH3203" t="n">
        <v>7</v>
      </c>
      <c r="AI3203" t="n">
        <v>8</v>
      </c>
      <c r="AJ3203" t="n">
        <v>20</v>
      </c>
      <c r="AK3203" t="n">
        <v>24</v>
      </c>
      <c r="AL3203" t="n">
        <v>3</v>
      </c>
      <c r="AM3203" t="n">
        <v>4</v>
      </c>
      <c r="AN3203" t="n">
        <v>1</v>
      </c>
      <c r="AO3203" t="n">
        <v>1</v>
      </c>
      <c r="AP3203" t="inlineStr">
        <is>
          <t>No</t>
        </is>
      </c>
      <c r="AQ3203" t="inlineStr">
        <is>
          <t>Yes</t>
        </is>
      </c>
      <c r="AR3203">
        <f>HYPERLINK("http://catalog.hathitrust.org/Record/001594342","HathiTrust Record")</f>
        <v/>
      </c>
      <c r="AS3203">
        <f>HYPERLINK("https://creighton-primo.hosted.exlibrisgroup.com/primo-explore/search?tab=default_tab&amp;search_scope=EVERYTHING&amp;vid=01CRU&amp;lang=en_US&amp;offset=0&amp;query=any,contains,991001101649702656","Catalog Record")</f>
        <v/>
      </c>
      <c r="AT3203">
        <f>HYPERLINK("http://www.worldcat.org/oclc/183553","WorldCat Record")</f>
        <v/>
      </c>
      <c r="AU3203" t="inlineStr">
        <is>
          <t>1329322:eng</t>
        </is>
      </c>
      <c r="AV3203" t="inlineStr">
        <is>
          <t>183553</t>
        </is>
      </c>
      <c r="AW3203" t="inlineStr">
        <is>
          <t>991001101649702656</t>
        </is>
      </c>
      <c r="AX3203" t="inlineStr">
        <is>
          <t>991001101649702656</t>
        </is>
      </c>
      <c r="AY3203" t="inlineStr">
        <is>
          <t>2267564680002656</t>
        </is>
      </c>
      <c r="AZ3203" t="inlineStr">
        <is>
          <t>BOOK</t>
        </is>
      </c>
      <c r="BC3203" t="inlineStr">
        <is>
          <t>32285001140721</t>
        </is>
      </c>
      <c r="BD3203" t="inlineStr">
        <is>
          <t>893690340</t>
        </is>
      </c>
    </row>
    <row r="3204">
      <c r="A3204" t="inlineStr">
        <is>
          <t>No</t>
        </is>
      </c>
      <c r="B3204" t="inlineStr">
        <is>
          <t>BX9225.B545 S35</t>
        </is>
      </c>
      <c r="C3204" t="inlineStr">
        <is>
          <t>0                      BX 9225000B  545                S  35</t>
        </is>
      </c>
      <c r="D3204" t="inlineStr">
        <is>
          <t>Hugh Blair / Robert Morell Schmitz.</t>
        </is>
      </c>
      <c r="F3204" t="inlineStr">
        <is>
          <t>No</t>
        </is>
      </c>
      <c r="G3204" t="inlineStr">
        <is>
          <t>1</t>
        </is>
      </c>
      <c r="H3204" t="inlineStr">
        <is>
          <t>No</t>
        </is>
      </c>
      <c r="I3204" t="inlineStr">
        <is>
          <t>No</t>
        </is>
      </c>
      <c r="J3204" t="inlineStr">
        <is>
          <t>0</t>
        </is>
      </c>
      <c r="K3204" t="inlineStr">
        <is>
          <t>Schmitz, Robert M. (Robert Morell), 1900-</t>
        </is>
      </c>
      <c r="L3204" t="inlineStr">
        <is>
          <t>New York : King's Crown Press, 1948.</t>
        </is>
      </c>
      <c r="M3204" t="inlineStr">
        <is>
          <t>1948</t>
        </is>
      </c>
      <c r="O3204" t="inlineStr">
        <is>
          <t>eng</t>
        </is>
      </c>
      <c r="P3204" t="inlineStr">
        <is>
          <t>nyu</t>
        </is>
      </c>
      <c r="R3204" t="inlineStr">
        <is>
          <t xml:space="preserve">BX </t>
        </is>
      </c>
      <c r="S3204" t="n">
        <v>1</v>
      </c>
      <c r="T3204" t="n">
        <v>1</v>
      </c>
      <c r="U3204" t="inlineStr">
        <is>
          <t>2004-08-09</t>
        </is>
      </c>
      <c r="V3204" t="inlineStr">
        <is>
          <t>2004-08-09</t>
        </is>
      </c>
      <c r="W3204" t="inlineStr">
        <is>
          <t>1992-05-22</t>
        </is>
      </c>
      <c r="X3204" t="inlineStr">
        <is>
          <t>1992-05-22</t>
        </is>
      </c>
      <c r="Y3204" t="n">
        <v>152</v>
      </c>
      <c r="Z3204" t="n">
        <v>144</v>
      </c>
      <c r="AA3204" t="n">
        <v>200</v>
      </c>
      <c r="AB3204" t="n">
        <v>1</v>
      </c>
      <c r="AC3204" t="n">
        <v>2</v>
      </c>
      <c r="AD3204" t="n">
        <v>5</v>
      </c>
      <c r="AE3204" t="n">
        <v>10</v>
      </c>
      <c r="AF3204" t="n">
        <v>2</v>
      </c>
      <c r="AG3204" t="n">
        <v>4</v>
      </c>
      <c r="AH3204" t="n">
        <v>0</v>
      </c>
      <c r="AI3204" t="n">
        <v>1</v>
      </c>
      <c r="AJ3204" t="n">
        <v>5</v>
      </c>
      <c r="AK3204" t="n">
        <v>8</v>
      </c>
      <c r="AL3204" t="n">
        <v>0</v>
      </c>
      <c r="AM3204" t="n">
        <v>1</v>
      </c>
      <c r="AN3204" t="n">
        <v>0</v>
      </c>
      <c r="AO3204" t="n">
        <v>0</v>
      </c>
      <c r="AP3204" t="inlineStr">
        <is>
          <t>No</t>
        </is>
      </c>
      <c r="AQ3204" t="inlineStr">
        <is>
          <t>No</t>
        </is>
      </c>
      <c r="AR3204">
        <f>HYPERLINK("http://catalog.hathitrust.org/Record/000430789","HathiTrust Record")</f>
        <v/>
      </c>
      <c r="AS3204">
        <f>HYPERLINK("https://creighton-primo.hosted.exlibrisgroup.com/primo-explore/search?tab=default_tab&amp;search_scope=EVERYTHING&amp;vid=01CRU&amp;lang=en_US&amp;offset=0&amp;query=any,contains,991004897939702656","Catalog Record")</f>
        <v/>
      </c>
      <c r="AT3204">
        <f>HYPERLINK("http://www.worldcat.org/oclc/5900829","WorldCat Record")</f>
        <v/>
      </c>
      <c r="AU3204" t="inlineStr">
        <is>
          <t>2582140:eng</t>
        </is>
      </c>
      <c r="AV3204" t="inlineStr">
        <is>
          <t>5900829</t>
        </is>
      </c>
      <c r="AW3204" t="inlineStr">
        <is>
          <t>991004897939702656</t>
        </is>
      </c>
      <c r="AX3204" t="inlineStr">
        <is>
          <t>991004897939702656</t>
        </is>
      </c>
      <c r="AY3204" t="inlineStr">
        <is>
          <t>2255019040002656</t>
        </is>
      </c>
      <c r="AZ3204" t="inlineStr">
        <is>
          <t>BOOK</t>
        </is>
      </c>
      <c r="BC3204" t="inlineStr">
        <is>
          <t>32285001140754</t>
        </is>
      </c>
      <c r="BD3204" t="inlineStr">
        <is>
          <t>893706962</t>
        </is>
      </c>
    </row>
    <row r="3205">
      <c r="A3205" t="inlineStr">
        <is>
          <t>No</t>
        </is>
      </c>
      <c r="B3205" t="inlineStr">
        <is>
          <t>BX9225.B7617 A4</t>
        </is>
      </c>
      <c r="C3205" t="inlineStr">
        <is>
          <t>0                      BX 9225000B  7617               A  4</t>
        </is>
      </c>
      <c r="D3205" t="inlineStr">
        <is>
          <t>Creative dislocation : the movement of grace / Robert McAfee Brown.</t>
        </is>
      </c>
      <c r="F3205" t="inlineStr">
        <is>
          <t>No</t>
        </is>
      </c>
      <c r="G3205" t="inlineStr">
        <is>
          <t>1</t>
        </is>
      </c>
      <c r="H3205" t="inlineStr">
        <is>
          <t>No</t>
        </is>
      </c>
      <c r="I3205" t="inlineStr">
        <is>
          <t>No</t>
        </is>
      </c>
      <c r="J3205" t="inlineStr">
        <is>
          <t>0</t>
        </is>
      </c>
      <c r="K3205" t="inlineStr">
        <is>
          <t>Brown, Robert McAfee, 1920-2001.</t>
        </is>
      </c>
      <c r="L3205" t="inlineStr">
        <is>
          <t>Nashville : Abingdon, 1980.</t>
        </is>
      </c>
      <c r="M3205" t="inlineStr">
        <is>
          <t>1980</t>
        </is>
      </c>
      <c r="O3205" t="inlineStr">
        <is>
          <t>eng</t>
        </is>
      </c>
      <c r="P3205" t="inlineStr">
        <is>
          <t>tnu</t>
        </is>
      </c>
      <c r="Q3205" t="inlineStr">
        <is>
          <t>Journeys in faith</t>
        </is>
      </c>
      <c r="R3205" t="inlineStr">
        <is>
          <t xml:space="preserve">BX </t>
        </is>
      </c>
      <c r="S3205" t="n">
        <v>3</v>
      </c>
      <c r="T3205" t="n">
        <v>3</v>
      </c>
      <c r="U3205" t="inlineStr">
        <is>
          <t>1995-12-27</t>
        </is>
      </c>
      <c r="V3205" t="inlineStr">
        <is>
          <t>1995-12-27</t>
        </is>
      </c>
      <c r="W3205" t="inlineStr">
        <is>
          <t>1992-05-22</t>
        </is>
      </c>
      <c r="X3205" t="inlineStr">
        <is>
          <t>1992-05-22</t>
        </is>
      </c>
      <c r="Y3205" t="n">
        <v>345</v>
      </c>
      <c r="Z3205" t="n">
        <v>310</v>
      </c>
      <c r="AA3205" t="n">
        <v>314</v>
      </c>
      <c r="AB3205" t="n">
        <v>3</v>
      </c>
      <c r="AC3205" t="n">
        <v>3</v>
      </c>
      <c r="AD3205" t="n">
        <v>22</v>
      </c>
      <c r="AE3205" t="n">
        <v>22</v>
      </c>
      <c r="AF3205" t="n">
        <v>6</v>
      </c>
      <c r="AG3205" t="n">
        <v>6</v>
      </c>
      <c r="AH3205" t="n">
        <v>7</v>
      </c>
      <c r="AI3205" t="n">
        <v>7</v>
      </c>
      <c r="AJ3205" t="n">
        <v>14</v>
      </c>
      <c r="AK3205" t="n">
        <v>14</v>
      </c>
      <c r="AL3205" t="n">
        <v>1</v>
      </c>
      <c r="AM3205" t="n">
        <v>1</v>
      </c>
      <c r="AN3205" t="n">
        <v>0</v>
      </c>
      <c r="AO3205" t="n">
        <v>0</v>
      </c>
      <c r="AP3205" t="inlineStr">
        <is>
          <t>No</t>
        </is>
      </c>
      <c r="AQ3205" t="inlineStr">
        <is>
          <t>No</t>
        </is>
      </c>
      <c r="AS3205">
        <f>HYPERLINK("https://creighton-primo.hosted.exlibrisgroup.com/primo-explore/search?tab=default_tab&amp;search_scope=EVERYTHING&amp;vid=01CRU&amp;lang=en_US&amp;offset=0&amp;query=any,contains,991004956289702656","Catalog Record")</f>
        <v/>
      </c>
      <c r="AT3205">
        <f>HYPERLINK("http://www.worldcat.org/oclc/6278475","WorldCat Record")</f>
        <v/>
      </c>
      <c r="AU3205" t="inlineStr">
        <is>
          <t>21615380:eng</t>
        </is>
      </c>
      <c r="AV3205" t="inlineStr">
        <is>
          <t>6278475</t>
        </is>
      </c>
      <c r="AW3205" t="inlineStr">
        <is>
          <t>991004956289702656</t>
        </is>
      </c>
      <c r="AX3205" t="inlineStr">
        <is>
          <t>991004956289702656</t>
        </is>
      </c>
      <c r="AY3205" t="inlineStr">
        <is>
          <t>2266861780002656</t>
        </is>
      </c>
      <c r="AZ3205" t="inlineStr">
        <is>
          <t>BOOK</t>
        </is>
      </c>
      <c r="BB3205" t="inlineStr">
        <is>
          <t>9780687098262</t>
        </is>
      </c>
      <c r="BC3205" t="inlineStr">
        <is>
          <t>32285001140762</t>
        </is>
      </c>
      <c r="BD3205" t="inlineStr">
        <is>
          <t>893694551</t>
        </is>
      </c>
    </row>
    <row r="3206">
      <c r="A3206" t="inlineStr">
        <is>
          <t>No</t>
        </is>
      </c>
      <c r="B3206" t="inlineStr">
        <is>
          <t>BX9225.B768 A36 1991</t>
        </is>
      </c>
      <c r="C3206" t="inlineStr">
        <is>
          <t>0                      BX 9225000B  768                A  36          1991</t>
        </is>
      </c>
      <c r="D3206" t="inlineStr">
        <is>
          <t>Now and then / Frederick Buechner.</t>
        </is>
      </c>
      <c r="F3206" t="inlineStr">
        <is>
          <t>No</t>
        </is>
      </c>
      <c r="G3206" t="inlineStr">
        <is>
          <t>1</t>
        </is>
      </c>
      <c r="H3206" t="inlineStr">
        <is>
          <t>No</t>
        </is>
      </c>
      <c r="I3206" t="inlineStr">
        <is>
          <t>No</t>
        </is>
      </c>
      <c r="J3206" t="inlineStr">
        <is>
          <t>0</t>
        </is>
      </c>
      <c r="K3206" t="inlineStr">
        <is>
          <t>Buechner, Frederick, 1926-</t>
        </is>
      </c>
      <c r="L3206" t="inlineStr">
        <is>
          <t>[San Francisco, Calif.] : HarperSanFrancisco, 1991.</t>
        </is>
      </c>
      <c r="M3206" t="inlineStr">
        <is>
          <t>1991</t>
        </is>
      </c>
      <c r="N3206" t="inlineStr">
        <is>
          <t>1st HarperCollins pbk. ed.</t>
        </is>
      </c>
      <c r="O3206" t="inlineStr">
        <is>
          <t>eng</t>
        </is>
      </c>
      <c r="P3206" t="inlineStr">
        <is>
          <t>cau</t>
        </is>
      </c>
      <c r="R3206" t="inlineStr">
        <is>
          <t xml:space="preserve">BX </t>
        </is>
      </c>
      <c r="S3206" t="n">
        <v>4</v>
      </c>
      <c r="T3206" t="n">
        <v>4</v>
      </c>
      <c r="U3206" t="inlineStr">
        <is>
          <t>2007-07-08</t>
        </is>
      </c>
      <c r="V3206" t="inlineStr">
        <is>
          <t>2007-07-08</t>
        </is>
      </c>
      <c r="W3206" t="inlineStr">
        <is>
          <t>2005-04-11</t>
        </is>
      </c>
      <c r="X3206" t="inlineStr">
        <is>
          <t>2005-04-11</t>
        </is>
      </c>
      <c r="Y3206" t="n">
        <v>143</v>
      </c>
      <c r="Z3206" t="n">
        <v>128</v>
      </c>
      <c r="AA3206" t="n">
        <v>691</v>
      </c>
      <c r="AB3206" t="n">
        <v>1</v>
      </c>
      <c r="AC3206" t="n">
        <v>3</v>
      </c>
      <c r="AD3206" t="n">
        <v>7</v>
      </c>
      <c r="AE3206" t="n">
        <v>23</v>
      </c>
      <c r="AF3206" t="n">
        <v>3</v>
      </c>
      <c r="AG3206" t="n">
        <v>12</v>
      </c>
      <c r="AH3206" t="n">
        <v>1</v>
      </c>
      <c r="AI3206" t="n">
        <v>4</v>
      </c>
      <c r="AJ3206" t="n">
        <v>4</v>
      </c>
      <c r="AK3206" t="n">
        <v>11</v>
      </c>
      <c r="AL3206" t="n">
        <v>0</v>
      </c>
      <c r="AM3206" t="n">
        <v>1</v>
      </c>
      <c r="AN3206" t="n">
        <v>0</v>
      </c>
      <c r="AO3206" t="n">
        <v>0</v>
      </c>
      <c r="AP3206" t="inlineStr">
        <is>
          <t>No</t>
        </is>
      </c>
      <c r="AQ3206" t="inlineStr">
        <is>
          <t>No</t>
        </is>
      </c>
      <c r="AS3206">
        <f>HYPERLINK("https://creighton-primo.hosted.exlibrisgroup.com/primo-explore/search?tab=default_tab&amp;search_scope=EVERYTHING&amp;vid=01CRU&amp;lang=en_US&amp;offset=0&amp;query=any,contains,991004517299702656","Catalog Record")</f>
        <v/>
      </c>
      <c r="AT3206">
        <f>HYPERLINK("http://www.worldcat.org/oclc/23254922","WorldCat Record")</f>
        <v/>
      </c>
      <c r="AU3206" t="inlineStr">
        <is>
          <t>23881263:eng</t>
        </is>
      </c>
      <c r="AV3206" t="inlineStr">
        <is>
          <t>23254922</t>
        </is>
      </c>
      <c r="AW3206" t="inlineStr">
        <is>
          <t>991004517299702656</t>
        </is>
      </c>
      <c r="AX3206" t="inlineStr">
        <is>
          <t>991004517299702656</t>
        </is>
      </c>
      <c r="AY3206" t="inlineStr">
        <is>
          <t>2268777410002656</t>
        </is>
      </c>
      <c r="AZ3206" t="inlineStr">
        <is>
          <t>BOOK</t>
        </is>
      </c>
      <c r="BB3206" t="inlineStr">
        <is>
          <t>9780060611828</t>
        </is>
      </c>
      <c r="BC3206" t="inlineStr">
        <is>
          <t>32285005049647</t>
        </is>
      </c>
      <c r="BD3206" t="inlineStr">
        <is>
          <t>893599932</t>
        </is>
      </c>
    </row>
    <row r="3207">
      <c r="A3207" t="inlineStr">
        <is>
          <t>No</t>
        </is>
      </c>
      <c r="B3207" t="inlineStr">
        <is>
          <t>BX9225.B768 A37 1991</t>
        </is>
      </c>
      <c r="C3207" t="inlineStr">
        <is>
          <t>0                      BX 9225000B  768                A  37          1991</t>
        </is>
      </c>
      <c r="D3207" t="inlineStr">
        <is>
          <t>The sacred journey / Frederick Buechner.</t>
        </is>
      </c>
      <c r="F3207" t="inlineStr">
        <is>
          <t>No</t>
        </is>
      </c>
      <c r="G3207" t="inlineStr">
        <is>
          <t>1</t>
        </is>
      </c>
      <c r="H3207" t="inlineStr">
        <is>
          <t>No</t>
        </is>
      </c>
      <c r="I3207" t="inlineStr">
        <is>
          <t>No</t>
        </is>
      </c>
      <c r="J3207" t="inlineStr">
        <is>
          <t>0</t>
        </is>
      </c>
      <c r="K3207" t="inlineStr">
        <is>
          <t>Buechner, Frederick, 1926-</t>
        </is>
      </c>
      <c r="L3207" t="inlineStr">
        <is>
          <t>[San Francisco, Calif.] : HarperSanFrancisco, [1991], c1982.</t>
        </is>
      </c>
      <c r="M3207" t="inlineStr">
        <is>
          <t>1991</t>
        </is>
      </c>
      <c r="O3207" t="inlineStr">
        <is>
          <t>eng</t>
        </is>
      </c>
      <c r="P3207" t="inlineStr">
        <is>
          <t>cau</t>
        </is>
      </c>
      <c r="R3207" t="inlineStr">
        <is>
          <t xml:space="preserve">BX </t>
        </is>
      </c>
      <c r="S3207" t="n">
        <v>4</v>
      </c>
      <c r="T3207" t="n">
        <v>4</v>
      </c>
      <c r="U3207" t="inlineStr">
        <is>
          <t>2010-03-30</t>
        </is>
      </c>
      <c r="V3207" t="inlineStr">
        <is>
          <t>2010-03-30</t>
        </is>
      </c>
      <c r="W3207" t="inlineStr">
        <is>
          <t>2005-04-13</t>
        </is>
      </c>
      <c r="X3207" t="inlineStr">
        <is>
          <t>2005-04-13</t>
        </is>
      </c>
      <c r="Y3207" t="n">
        <v>177</v>
      </c>
      <c r="Z3207" t="n">
        <v>166</v>
      </c>
      <c r="AA3207" t="n">
        <v>945</v>
      </c>
      <c r="AB3207" t="n">
        <v>2</v>
      </c>
      <c r="AC3207" t="n">
        <v>6</v>
      </c>
      <c r="AD3207" t="n">
        <v>6</v>
      </c>
      <c r="AE3207" t="n">
        <v>31</v>
      </c>
      <c r="AF3207" t="n">
        <v>2</v>
      </c>
      <c r="AG3207" t="n">
        <v>15</v>
      </c>
      <c r="AH3207" t="n">
        <v>2</v>
      </c>
      <c r="AI3207" t="n">
        <v>4</v>
      </c>
      <c r="AJ3207" t="n">
        <v>3</v>
      </c>
      <c r="AK3207" t="n">
        <v>18</v>
      </c>
      <c r="AL3207" t="n">
        <v>0</v>
      </c>
      <c r="AM3207" t="n">
        <v>2</v>
      </c>
      <c r="AN3207" t="n">
        <v>0</v>
      </c>
      <c r="AO3207" t="n">
        <v>0</v>
      </c>
      <c r="AP3207" t="inlineStr">
        <is>
          <t>No</t>
        </is>
      </c>
      <c r="AQ3207" t="inlineStr">
        <is>
          <t>No</t>
        </is>
      </c>
      <c r="AS3207">
        <f>HYPERLINK("https://creighton-primo.hosted.exlibrisgroup.com/primo-explore/search?tab=default_tab&amp;search_scope=EVERYTHING&amp;vid=01CRU&amp;lang=en_US&amp;offset=0&amp;query=any,contains,991004521469702656","Catalog Record")</f>
        <v/>
      </c>
      <c r="AT3207">
        <f>HYPERLINK("http://www.worldcat.org/oclc/23254921","WorldCat Record")</f>
        <v/>
      </c>
      <c r="AU3207" t="inlineStr">
        <is>
          <t>403695:eng</t>
        </is>
      </c>
      <c r="AV3207" t="inlineStr">
        <is>
          <t>23254921</t>
        </is>
      </c>
      <c r="AW3207" t="inlineStr">
        <is>
          <t>991004521469702656</t>
        </is>
      </c>
      <c r="AX3207" t="inlineStr">
        <is>
          <t>991004521469702656</t>
        </is>
      </c>
      <c r="AY3207" t="inlineStr">
        <is>
          <t>2268777320002656</t>
        </is>
      </c>
      <c r="AZ3207" t="inlineStr">
        <is>
          <t>BOOK</t>
        </is>
      </c>
      <c r="BB3207" t="inlineStr">
        <is>
          <t>9780060611835</t>
        </is>
      </c>
      <c r="BC3207" t="inlineStr">
        <is>
          <t>32285005030936</t>
        </is>
      </c>
      <c r="BD3207" t="inlineStr">
        <is>
          <t>893526198</t>
        </is>
      </c>
    </row>
    <row r="3208">
      <c r="A3208" t="inlineStr">
        <is>
          <t>No</t>
        </is>
      </c>
      <c r="B3208" t="inlineStr">
        <is>
          <t>BX9225.D33 P55 1971</t>
        </is>
      </c>
      <c r="C3208" t="inlineStr">
        <is>
          <t>0                      BX 9225000D  33                 P  55          1971</t>
        </is>
      </c>
      <c r="D3208" t="inlineStr">
        <is>
          <t>Samuel Davies : apostle of dissent in colonial Virginia / George William Pilcher.</t>
        </is>
      </c>
      <c r="F3208" t="inlineStr">
        <is>
          <t>No</t>
        </is>
      </c>
      <c r="G3208" t="inlineStr">
        <is>
          <t>1</t>
        </is>
      </c>
      <c r="H3208" t="inlineStr">
        <is>
          <t>No</t>
        </is>
      </c>
      <c r="I3208" t="inlineStr">
        <is>
          <t>No</t>
        </is>
      </c>
      <c r="J3208" t="inlineStr">
        <is>
          <t>0</t>
        </is>
      </c>
      <c r="K3208" t="inlineStr">
        <is>
          <t>Pilcher, George William.</t>
        </is>
      </c>
      <c r="L3208" t="inlineStr">
        <is>
          <t>Knoxville : University of Tennessee Press, [1971]</t>
        </is>
      </c>
      <c r="M3208" t="inlineStr">
        <is>
          <t>1971</t>
        </is>
      </c>
      <c r="N3208" t="inlineStr">
        <is>
          <t>[1st ed.]</t>
        </is>
      </c>
      <c r="O3208" t="inlineStr">
        <is>
          <t>eng</t>
        </is>
      </c>
      <c r="P3208" t="inlineStr">
        <is>
          <t>tnu</t>
        </is>
      </c>
      <c r="R3208" t="inlineStr">
        <is>
          <t xml:space="preserve">BX </t>
        </is>
      </c>
      <c r="S3208" t="n">
        <v>4</v>
      </c>
      <c r="T3208" t="n">
        <v>4</v>
      </c>
      <c r="U3208" t="inlineStr">
        <is>
          <t>2000-08-23</t>
        </is>
      </c>
      <c r="V3208" t="inlineStr">
        <is>
          <t>2000-08-23</t>
        </is>
      </c>
      <c r="W3208" t="inlineStr">
        <is>
          <t>2000-08-22</t>
        </is>
      </c>
      <c r="X3208" t="inlineStr">
        <is>
          <t>2000-08-22</t>
        </is>
      </c>
      <c r="Y3208" t="n">
        <v>617</v>
      </c>
      <c r="Z3208" t="n">
        <v>577</v>
      </c>
      <c r="AA3208" t="n">
        <v>584</v>
      </c>
      <c r="AB3208" t="n">
        <v>5</v>
      </c>
      <c r="AC3208" t="n">
        <v>5</v>
      </c>
      <c r="AD3208" t="n">
        <v>29</v>
      </c>
      <c r="AE3208" t="n">
        <v>29</v>
      </c>
      <c r="AF3208" t="n">
        <v>11</v>
      </c>
      <c r="AG3208" t="n">
        <v>11</v>
      </c>
      <c r="AH3208" t="n">
        <v>8</v>
      </c>
      <c r="AI3208" t="n">
        <v>8</v>
      </c>
      <c r="AJ3208" t="n">
        <v>12</v>
      </c>
      <c r="AK3208" t="n">
        <v>12</v>
      </c>
      <c r="AL3208" t="n">
        <v>4</v>
      </c>
      <c r="AM3208" t="n">
        <v>4</v>
      </c>
      <c r="AN3208" t="n">
        <v>1</v>
      </c>
      <c r="AO3208" t="n">
        <v>1</v>
      </c>
      <c r="AP3208" t="inlineStr">
        <is>
          <t>No</t>
        </is>
      </c>
      <c r="AQ3208" t="inlineStr">
        <is>
          <t>No</t>
        </is>
      </c>
      <c r="AS3208">
        <f>HYPERLINK("https://creighton-primo.hosted.exlibrisgroup.com/primo-explore/search?tab=default_tab&amp;search_scope=EVERYTHING&amp;vid=01CRU&amp;lang=en_US&amp;offset=0&amp;query=any,contains,991003270859702656","Catalog Record")</f>
        <v/>
      </c>
      <c r="AT3208">
        <f>HYPERLINK("http://www.worldcat.org/oclc/159856","WorldCat Record")</f>
        <v/>
      </c>
      <c r="AU3208" t="inlineStr">
        <is>
          <t>1808233547:eng</t>
        </is>
      </c>
      <c r="AV3208" t="inlineStr">
        <is>
          <t>159856</t>
        </is>
      </c>
      <c r="AW3208" t="inlineStr">
        <is>
          <t>991003270859702656</t>
        </is>
      </c>
      <c r="AX3208" t="inlineStr">
        <is>
          <t>991003270859702656</t>
        </is>
      </c>
      <c r="AY3208" t="inlineStr">
        <is>
          <t>2259056630002656</t>
        </is>
      </c>
      <c r="AZ3208" t="inlineStr">
        <is>
          <t>BOOK</t>
        </is>
      </c>
      <c r="BB3208" t="inlineStr">
        <is>
          <t>9780870491214</t>
        </is>
      </c>
      <c r="BC3208" t="inlineStr">
        <is>
          <t>32285003758306</t>
        </is>
      </c>
      <c r="BD3208" t="inlineStr">
        <is>
          <t>893793471</t>
        </is>
      </c>
    </row>
    <row r="3209">
      <c r="A3209" t="inlineStr">
        <is>
          <t>No</t>
        </is>
      </c>
      <c r="B3209" t="inlineStr">
        <is>
          <t>BX9225.G54 A3 1996</t>
        </is>
      </c>
      <c r="C3209" t="inlineStr">
        <is>
          <t>0                      BX 9225000G  54                 A  3           1996</t>
        </is>
      </c>
      <c r="D3209" t="inlineStr">
        <is>
          <t>Uncommon calling ; a gay Christian's struggle to serve the church / Chris Glaser.</t>
        </is>
      </c>
      <c r="F3209" t="inlineStr">
        <is>
          <t>No</t>
        </is>
      </c>
      <c r="G3209" t="inlineStr">
        <is>
          <t>1</t>
        </is>
      </c>
      <c r="H3209" t="inlineStr">
        <is>
          <t>No</t>
        </is>
      </c>
      <c r="I3209" t="inlineStr">
        <is>
          <t>No</t>
        </is>
      </c>
      <c r="J3209" t="inlineStr">
        <is>
          <t>0</t>
        </is>
      </c>
      <c r="K3209" t="inlineStr">
        <is>
          <t>Glaser, Chris.</t>
        </is>
      </c>
      <c r="L3209" t="inlineStr">
        <is>
          <t>Louisville, Ky. : Westminster John Knox Press, 1996, c1988.</t>
        </is>
      </c>
      <c r="M3209" t="inlineStr">
        <is>
          <t>1996</t>
        </is>
      </c>
      <c r="O3209" t="inlineStr">
        <is>
          <t>eng</t>
        </is>
      </c>
      <c r="P3209" t="inlineStr">
        <is>
          <t>kyu</t>
        </is>
      </c>
      <c r="R3209" t="inlineStr">
        <is>
          <t xml:space="preserve">BX </t>
        </is>
      </c>
      <c r="S3209" t="n">
        <v>4</v>
      </c>
      <c r="T3209" t="n">
        <v>4</v>
      </c>
      <c r="U3209" t="inlineStr">
        <is>
          <t>2006-01-10</t>
        </is>
      </c>
      <c r="V3209" t="inlineStr">
        <is>
          <t>2006-01-10</t>
        </is>
      </c>
      <c r="W3209" t="inlineStr">
        <is>
          <t>1996-09-25</t>
        </is>
      </c>
      <c r="X3209" t="inlineStr">
        <is>
          <t>1996-09-25</t>
        </is>
      </c>
      <c r="Y3209" t="n">
        <v>129</v>
      </c>
      <c r="Z3209" t="n">
        <v>113</v>
      </c>
      <c r="AA3209" t="n">
        <v>249</v>
      </c>
      <c r="AB3209" t="n">
        <v>3</v>
      </c>
      <c r="AC3209" t="n">
        <v>3</v>
      </c>
      <c r="AD3209" t="n">
        <v>6</v>
      </c>
      <c r="AE3209" t="n">
        <v>10</v>
      </c>
      <c r="AF3209" t="n">
        <v>2</v>
      </c>
      <c r="AG3209" t="n">
        <v>3</v>
      </c>
      <c r="AH3209" t="n">
        <v>2</v>
      </c>
      <c r="AI3209" t="n">
        <v>3</v>
      </c>
      <c r="AJ3209" t="n">
        <v>0</v>
      </c>
      <c r="AK3209" t="n">
        <v>2</v>
      </c>
      <c r="AL3209" t="n">
        <v>2</v>
      </c>
      <c r="AM3209" t="n">
        <v>2</v>
      </c>
      <c r="AN3209" t="n">
        <v>0</v>
      </c>
      <c r="AO3209" t="n">
        <v>0</v>
      </c>
      <c r="AP3209" t="inlineStr">
        <is>
          <t>No</t>
        </is>
      </c>
      <c r="AQ3209" t="inlineStr">
        <is>
          <t>No</t>
        </is>
      </c>
      <c r="AS3209">
        <f>HYPERLINK("https://creighton-primo.hosted.exlibrisgroup.com/primo-explore/search?tab=default_tab&amp;search_scope=EVERYTHING&amp;vid=01CRU&amp;lang=en_US&amp;offset=0&amp;query=any,contains,991002540409702656","Catalog Record")</f>
        <v/>
      </c>
      <c r="AT3209">
        <f>HYPERLINK("http://www.worldcat.org/oclc/33012762","WorldCat Record")</f>
        <v/>
      </c>
      <c r="AU3209" t="inlineStr">
        <is>
          <t>287260782:eng</t>
        </is>
      </c>
      <c r="AV3209" t="inlineStr">
        <is>
          <t>33012762</t>
        </is>
      </c>
      <c r="AW3209" t="inlineStr">
        <is>
          <t>991002540409702656</t>
        </is>
      </c>
      <c r="AX3209" t="inlineStr">
        <is>
          <t>991002540409702656</t>
        </is>
      </c>
      <c r="AY3209" t="inlineStr">
        <is>
          <t>2255092270002656</t>
        </is>
      </c>
      <c r="AZ3209" t="inlineStr">
        <is>
          <t>BOOK</t>
        </is>
      </c>
      <c r="BB3209" t="inlineStr">
        <is>
          <t>9780664256593</t>
        </is>
      </c>
      <c r="BC3209" t="inlineStr">
        <is>
          <t>32285002319456</t>
        </is>
      </c>
      <c r="BD3209" t="inlineStr">
        <is>
          <t>893523737</t>
        </is>
      </c>
    </row>
    <row r="3210">
      <c r="A3210" t="inlineStr">
        <is>
          <t>No</t>
        </is>
      </c>
      <c r="B3210" t="inlineStr">
        <is>
          <t>BX9225.M24 H37 1994</t>
        </is>
      </c>
      <c r="C3210" t="inlineStr">
        <is>
          <t>0                      BX 9225000M  24                 H  37          1994</t>
        </is>
      </c>
      <c r="D3210" t="inlineStr">
        <is>
          <t>Defending the faith : J. Gresham Machen and the crisis of conservative Protestantism in modern America / D.G. Hart.</t>
        </is>
      </c>
      <c r="F3210" t="inlineStr">
        <is>
          <t>No</t>
        </is>
      </c>
      <c r="G3210" t="inlineStr">
        <is>
          <t>1</t>
        </is>
      </c>
      <c r="H3210" t="inlineStr">
        <is>
          <t>No</t>
        </is>
      </c>
      <c r="I3210" t="inlineStr">
        <is>
          <t>No</t>
        </is>
      </c>
      <c r="J3210" t="inlineStr">
        <is>
          <t>0</t>
        </is>
      </c>
      <c r="K3210" t="inlineStr">
        <is>
          <t>Hart, D. G. (Darryl G.)</t>
        </is>
      </c>
      <c r="L3210" t="inlineStr">
        <is>
          <t>Baltimore : Johns Hopkins University Press, c1994.</t>
        </is>
      </c>
      <c r="M3210" t="inlineStr">
        <is>
          <t>1994</t>
        </is>
      </c>
      <c r="O3210" t="inlineStr">
        <is>
          <t>eng</t>
        </is>
      </c>
      <c r="P3210" t="inlineStr">
        <is>
          <t>mdu</t>
        </is>
      </c>
      <c r="R3210" t="inlineStr">
        <is>
          <t xml:space="preserve">BX </t>
        </is>
      </c>
      <c r="S3210" t="n">
        <v>1</v>
      </c>
      <c r="T3210" t="n">
        <v>1</v>
      </c>
      <c r="U3210" t="inlineStr">
        <is>
          <t>1996-07-07</t>
        </is>
      </c>
      <c r="V3210" t="inlineStr">
        <is>
          <t>1996-07-07</t>
        </is>
      </c>
      <c r="W3210" t="inlineStr">
        <is>
          <t>1996-01-02</t>
        </is>
      </c>
      <c r="X3210" t="inlineStr">
        <is>
          <t>1996-01-02</t>
        </is>
      </c>
      <c r="Y3210" t="n">
        <v>267</v>
      </c>
      <c r="Z3210" t="n">
        <v>241</v>
      </c>
      <c r="AA3210" t="n">
        <v>348</v>
      </c>
      <c r="AB3210" t="n">
        <v>2</v>
      </c>
      <c r="AC3210" t="n">
        <v>4</v>
      </c>
      <c r="AD3210" t="n">
        <v>12</v>
      </c>
      <c r="AE3210" t="n">
        <v>16</v>
      </c>
      <c r="AF3210" t="n">
        <v>3</v>
      </c>
      <c r="AG3210" t="n">
        <v>6</v>
      </c>
      <c r="AH3210" t="n">
        <v>4</v>
      </c>
      <c r="AI3210" t="n">
        <v>4</v>
      </c>
      <c r="AJ3210" t="n">
        <v>8</v>
      </c>
      <c r="AK3210" t="n">
        <v>8</v>
      </c>
      <c r="AL3210" t="n">
        <v>1</v>
      </c>
      <c r="AM3210" t="n">
        <v>2</v>
      </c>
      <c r="AN3210" t="n">
        <v>0</v>
      </c>
      <c r="AO3210" t="n">
        <v>0</v>
      </c>
      <c r="AP3210" t="inlineStr">
        <is>
          <t>No</t>
        </is>
      </c>
      <c r="AQ3210" t="inlineStr">
        <is>
          <t>Yes</t>
        </is>
      </c>
      <c r="AR3210">
        <f>HYPERLINK("http://catalog.hathitrust.org/Record/002861912","HathiTrust Record")</f>
        <v/>
      </c>
      <c r="AS3210">
        <f>HYPERLINK("https://creighton-primo.hosted.exlibrisgroup.com/primo-explore/search?tab=default_tab&amp;search_scope=EVERYTHING&amp;vid=01CRU&amp;lang=en_US&amp;offset=0&amp;query=any,contains,991002219789702656","Catalog Record")</f>
        <v/>
      </c>
      <c r="AT3210">
        <f>HYPERLINK("http://www.worldcat.org/oclc/28586263","WorldCat Record")</f>
        <v/>
      </c>
      <c r="AU3210" t="inlineStr">
        <is>
          <t>731325:eng</t>
        </is>
      </c>
      <c r="AV3210" t="inlineStr">
        <is>
          <t>28586263</t>
        </is>
      </c>
      <c r="AW3210" t="inlineStr">
        <is>
          <t>991002219789702656</t>
        </is>
      </c>
      <c r="AX3210" t="inlineStr">
        <is>
          <t>991002219789702656</t>
        </is>
      </c>
      <c r="AY3210" t="inlineStr">
        <is>
          <t>2263920940002656</t>
        </is>
      </c>
      <c r="AZ3210" t="inlineStr">
        <is>
          <t>BOOK</t>
        </is>
      </c>
      <c r="BB3210" t="inlineStr">
        <is>
          <t>9780801847011</t>
        </is>
      </c>
      <c r="BC3210" t="inlineStr">
        <is>
          <t>32285002114667</t>
        </is>
      </c>
      <c r="BD3210" t="inlineStr">
        <is>
          <t>893257028</t>
        </is>
      </c>
    </row>
    <row r="3211">
      <c r="A3211" t="inlineStr">
        <is>
          <t>No</t>
        </is>
      </c>
      <c r="B3211" t="inlineStr">
        <is>
          <t>BX9225.T397 C63 1986</t>
        </is>
      </c>
      <c r="C3211" t="inlineStr">
        <is>
          <t>0                      BX 9225000T  397                C  63          1986</t>
        </is>
      </c>
      <c r="D3211" t="inlineStr">
        <is>
          <t>Gilbert Tennent, son of thunder : a case study of continental Pietism's impact on the first great awakening in the middle colonies / Milton J Coalter, Jr.</t>
        </is>
      </c>
      <c r="F3211" t="inlineStr">
        <is>
          <t>No</t>
        </is>
      </c>
      <c r="G3211" t="inlineStr">
        <is>
          <t>1</t>
        </is>
      </c>
      <c r="H3211" t="inlineStr">
        <is>
          <t>No</t>
        </is>
      </c>
      <c r="I3211" t="inlineStr">
        <is>
          <t>No</t>
        </is>
      </c>
      <c r="J3211" t="inlineStr">
        <is>
          <t>0</t>
        </is>
      </c>
      <c r="K3211" t="inlineStr">
        <is>
          <t>Coalter, Milton J.</t>
        </is>
      </c>
      <c r="L3211" t="inlineStr">
        <is>
          <t>New York : Greenwood Press, 1986.</t>
        </is>
      </c>
      <c r="M3211" t="inlineStr">
        <is>
          <t>1986</t>
        </is>
      </c>
      <c r="O3211" t="inlineStr">
        <is>
          <t>eng</t>
        </is>
      </c>
      <c r="P3211" t="inlineStr">
        <is>
          <t>nyu</t>
        </is>
      </c>
      <c r="Q3211" t="inlineStr">
        <is>
          <t>Contributions to the study of religion, 0196-7053 ; no. 18</t>
        </is>
      </c>
      <c r="R3211" t="inlineStr">
        <is>
          <t xml:space="preserve">BX </t>
        </is>
      </c>
      <c r="S3211" t="n">
        <v>4</v>
      </c>
      <c r="T3211" t="n">
        <v>4</v>
      </c>
      <c r="U3211" t="inlineStr">
        <is>
          <t>2007-01-31</t>
        </is>
      </c>
      <c r="V3211" t="inlineStr">
        <is>
          <t>2007-01-31</t>
        </is>
      </c>
      <c r="W3211" t="inlineStr">
        <is>
          <t>1992-05-22</t>
        </is>
      </c>
      <c r="X3211" t="inlineStr">
        <is>
          <t>1992-05-22</t>
        </is>
      </c>
      <c r="Y3211" t="n">
        <v>347</v>
      </c>
      <c r="Z3211" t="n">
        <v>318</v>
      </c>
      <c r="AA3211" t="n">
        <v>323</v>
      </c>
      <c r="AB3211" t="n">
        <v>2</v>
      </c>
      <c r="AC3211" t="n">
        <v>2</v>
      </c>
      <c r="AD3211" t="n">
        <v>19</v>
      </c>
      <c r="AE3211" t="n">
        <v>19</v>
      </c>
      <c r="AF3211" t="n">
        <v>8</v>
      </c>
      <c r="AG3211" t="n">
        <v>8</v>
      </c>
      <c r="AH3211" t="n">
        <v>4</v>
      </c>
      <c r="AI3211" t="n">
        <v>4</v>
      </c>
      <c r="AJ3211" t="n">
        <v>14</v>
      </c>
      <c r="AK3211" t="n">
        <v>14</v>
      </c>
      <c r="AL3211" t="n">
        <v>1</v>
      </c>
      <c r="AM3211" t="n">
        <v>1</v>
      </c>
      <c r="AN3211" t="n">
        <v>0</v>
      </c>
      <c r="AO3211" t="n">
        <v>0</v>
      </c>
      <c r="AP3211" t="inlineStr">
        <is>
          <t>No</t>
        </is>
      </c>
      <c r="AQ3211" t="inlineStr">
        <is>
          <t>No</t>
        </is>
      </c>
      <c r="AS3211">
        <f>HYPERLINK("https://creighton-primo.hosted.exlibrisgroup.com/primo-explore/search?tab=default_tab&amp;search_scope=EVERYTHING&amp;vid=01CRU&amp;lang=en_US&amp;offset=0&amp;query=any,contains,991000839489702656","Catalog Record")</f>
        <v/>
      </c>
      <c r="AT3211">
        <f>HYPERLINK("http://www.worldcat.org/oclc/13524862","WorldCat Record")</f>
        <v/>
      </c>
      <c r="AU3211" t="inlineStr">
        <is>
          <t>9462935822:eng</t>
        </is>
      </c>
      <c r="AV3211" t="inlineStr">
        <is>
          <t>13524862</t>
        </is>
      </c>
      <c r="AW3211" t="inlineStr">
        <is>
          <t>991000839489702656</t>
        </is>
      </c>
      <c r="AX3211" t="inlineStr">
        <is>
          <t>991000839489702656</t>
        </is>
      </c>
      <c r="AY3211" t="inlineStr">
        <is>
          <t>2264246180002656</t>
        </is>
      </c>
      <c r="AZ3211" t="inlineStr">
        <is>
          <t>BOOK</t>
        </is>
      </c>
      <c r="BB3211" t="inlineStr">
        <is>
          <t>9780313255144</t>
        </is>
      </c>
      <c r="BC3211" t="inlineStr">
        <is>
          <t>32285001140812</t>
        </is>
      </c>
      <c r="BD3211" t="inlineStr">
        <is>
          <t>893432348</t>
        </is>
      </c>
    </row>
    <row r="3212">
      <c r="A3212" t="inlineStr">
        <is>
          <t>No</t>
        </is>
      </c>
      <c r="B3212" t="inlineStr">
        <is>
          <t>BX926 .B44 1994</t>
        </is>
      </c>
      <c r="C3212" t="inlineStr">
        <is>
          <t>0                      BX 0926000B  44          1994</t>
        </is>
      </c>
      <c r="D3212" t="inlineStr">
        <is>
          <t>Beginning the journey : from infant baptism to first eucharist / Department of Education, United States Catholic Conference.</t>
        </is>
      </c>
      <c r="F3212" t="inlineStr">
        <is>
          <t>No</t>
        </is>
      </c>
      <c r="G3212" t="inlineStr">
        <is>
          <t>1</t>
        </is>
      </c>
      <c r="H3212" t="inlineStr">
        <is>
          <t>No</t>
        </is>
      </c>
      <c r="I3212" t="inlineStr">
        <is>
          <t>No</t>
        </is>
      </c>
      <c r="J3212" t="inlineStr">
        <is>
          <t>0</t>
        </is>
      </c>
      <c r="L3212" t="inlineStr">
        <is>
          <t>Washington, D.C. : United States Catholic Conference, c1994.</t>
        </is>
      </c>
      <c r="M3212" t="inlineStr">
        <is>
          <t>1994</t>
        </is>
      </c>
      <c r="O3212" t="inlineStr">
        <is>
          <t>eng</t>
        </is>
      </c>
      <c r="P3212" t="inlineStr">
        <is>
          <t>dcu</t>
        </is>
      </c>
      <c r="Q3212" t="inlineStr">
        <is>
          <t>Publication / Office for Publishing and Promotion Services, United States Catholic Conference ; no. 527-5</t>
        </is>
      </c>
      <c r="R3212" t="inlineStr">
        <is>
          <t xml:space="preserve">BX </t>
        </is>
      </c>
      <c r="S3212" t="n">
        <v>7</v>
      </c>
      <c r="T3212" t="n">
        <v>7</v>
      </c>
      <c r="U3212" t="inlineStr">
        <is>
          <t>2008-04-19</t>
        </is>
      </c>
      <c r="V3212" t="inlineStr">
        <is>
          <t>2008-04-19</t>
        </is>
      </c>
      <c r="W3212" t="inlineStr">
        <is>
          <t>1995-03-07</t>
        </is>
      </c>
      <c r="X3212" t="inlineStr">
        <is>
          <t>1995-03-07</t>
        </is>
      </c>
      <c r="Y3212" t="n">
        <v>130</v>
      </c>
      <c r="Z3212" t="n">
        <v>118</v>
      </c>
      <c r="AA3212" t="n">
        <v>118</v>
      </c>
      <c r="AB3212" t="n">
        <v>1</v>
      </c>
      <c r="AC3212" t="n">
        <v>1</v>
      </c>
      <c r="AD3212" t="n">
        <v>17</v>
      </c>
      <c r="AE3212" t="n">
        <v>17</v>
      </c>
      <c r="AF3212" t="n">
        <v>4</v>
      </c>
      <c r="AG3212" t="n">
        <v>4</v>
      </c>
      <c r="AH3212" t="n">
        <v>6</v>
      </c>
      <c r="AI3212" t="n">
        <v>6</v>
      </c>
      <c r="AJ3212" t="n">
        <v>12</v>
      </c>
      <c r="AK3212" t="n">
        <v>12</v>
      </c>
      <c r="AL3212" t="n">
        <v>0</v>
      </c>
      <c r="AM3212" t="n">
        <v>0</v>
      </c>
      <c r="AN3212" t="n">
        <v>0</v>
      </c>
      <c r="AO3212" t="n">
        <v>0</v>
      </c>
      <c r="AP3212" t="inlineStr">
        <is>
          <t>No</t>
        </is>
      </c>
      <c r="AQ3212" t="inlineStr">
        <is>
          <t>No</t>
        </is>
      </c>
      <c r="AS3212">
        <f>HYPERLINK("https://creighton-primo.hosted.exlibrisgroup.com/primo-explore/search?tab=default_tab&amp;search_scope=EVERYTHING&amp;vid=01CRU&amp;lang=en_US&amp;offset=0&amp;query=any,contains,991002435479702656","Catalog Record")</f>
        <v/>
      </c>
      <c r="AT3212">
        <f>HYPERLINK("http://www.worldcat.org/oclc/31750467","WorldCat Record")</f>
        <v/>
      </c>
      <c r="AU3212" t="inlineStr">
        <is>
          <t>9827319641:eng</t>
        </is>
      </c>
      <c r="AV3212" t="inlineStr">
        <is>
          <t>31750467</t>
        </is>
      </c>
      <c r="AW3212" t="inlineStr">
        <is>
          <t>991002435479702656</t>
        </is>
      </c>
      <c r="AX3212" t="inlineStr">
        <is>
          <t>991002435479702656</t>
        </is>
      </c>
      <c r="AY3212" t="inlineStr">
        <is>
          <t>2268900890002656</t>
        </is>
      </c>
      <c r="AZ3212" t="inlineStr">
        <is>
          <t>BOOK</t>
        </is>
      </c>
      <c r="BB3212" t="inlineStr">
        <is>
          <t>9781555865276</t>
        </is>
      </c>
      <c r="BC3212" t="inlineStr">
        <is>
          <t>32285002006467</t>
        </is>
      </c>
      <c r="BD3212" t="inlineStr">
        <is>
          <t>893322933</t>
        </is>
      </c>
    </row>
    <row r="3213">
      <c r="A3213" t="inlineStr">
        <is>
          <t>No</t>
        </is>
      </c>
      <c r="B3213" t="inlineStr">
        <is>
          <t>BX926 .B53 1989</t>
        </is>
      </c>
      <c r="C3213" t="inlineStr">
        <is>
          <t>0                      BX 0926000B  53          1989</t>
        </is>
      </c>
      <c r="D3213" t="inlineStr">
        <is>
          <t>Leadership in religious education : a prehensive model / David Arthur Bickimer.</t>
        </is>
      </c>
      <c r="F3213" t="inlineStr">
        <is>
          <t>No</t>
        </is>
      </c>
      <c r="G3213" t="inlineStr">
        <is>
          <t>1</t>
        </is>
      </c>
      <c r="H3213" t="inlineStr">
        <is>
          <t>No</t>
        </is>
      </c>
      <c r="I3213" t="inlineStr">
        <is>
          <t>No</t>
        </is>
      </c>
      <c r="J3213" t="inlineStr">
        <is>
          <t>0</t>
        </is>
      </c>
      <c r="K3213" t="inlineStr">
        <is>
          <t>Bickimer, David Arthur.</t>
        </is>
      </c>
      <c r="L3213" t="inlineStr">
        <is>
          <t>Birmingham, Ala. : Religious Education Press, [1989].</t>
        </is>
      </c>
      <c r="M3213" t="inlineStr">
        <is>
          <t>1989</t>
        </is>
      </c>
      <c r="O3213" t="inlineStr">
        <is>
          <t>eng</t>
        </is>
      </c>
      <c r="P3213" t="inlineStr">
        <is>
          <t>alu</t>
        </is>
      </c>
      <c r="R3213" t="inlineStr">
        <is>
          <t xml:space="preserve">BX </t>
        </is>
      </c>
      <c r="S3213" t="n">
        <v>4</v>
      </c>
      <c r="T3213" t="n">
        <v>4</v>
      </c>
      <c r="U3213" t="inlineStr">
        <is>
          <t>1998-06-13</t>
        </is>
      </c>
      <c r="V3213" t="inlineStr">
        <is>
          <t>1998-06-13</t>
        </is>
      </c>
      <c r="W3213" t="inlineStr">
        <is>
          <t>1990-02-24</t>
        </is>
      </c>
      <c r="X3213" t="inlineStr">
        <is>
          <t>1990-02-24</t>
        </is>
      </c>
      <c r="Y3213" t="n">
        <v>269</v>
      </c>
      <c r="Z3213" t="n">
        <v>238</v>
      </c>
      <c r="AA3213" t="n">
        <v>239</v>
      </c>
      <c r="AB3213" t="n">
        <v>3</v>
      </c>
      <c r="AC3213" t="n">
        <v>3</v>
      </c>
      <c r="AD3213" t="n">
        <v>19</v>
      </c>
      <c r="AE3213" t="n">
        <v>19</v>
      </c>
      <c r="AF3213" t="n">
        <v>8</v>
      </c>
      <c r="AG3213" t="n">
        <v>8</v>
      </c>
      <c r="AH3213" t="n">
        <v>3</v>
      </c>
      <c r="AI3213" t="n">
        <v>3</v>
      </c>
      <c r="AJ3213" t="n">
        <v>10</v>
      </c>
      <c r="AK3213" t="n">
        <v>10</v>
      </c>
      <c r="AL3213" t="n">
        <v>2</v>
      </c>
      <c r="AM3213" t="n">
        <v>2</v>
      </c>
      <c r="AN3213" t="n">
        <v>0</v>
      </c>
      <c r="AO3213" t="n">
        <v>0</v>
      </c>
      <c r="AP3213" t="inlineStr">
        <is>
          <t>No</t>
        </is>
      </c>
      <c r="AQ3213" t="inlineStr">
        <is>
          <t>No</t>
        </is>
      </c>
      <c r="AS3213">
        <f>HYPERLINK("https://creighton-primo.hosted.exlibrisgroup.com/primo-explore/search?tab=default_tab&amp;search_scope=EVERYTHING&amp;vid=01CRU&amp;lang=en_US&amp;offset=0&amp;query=any,contains,991001573659702656","Catalog Record")</f>
        <v/>
      </c>
      <c r="AT3213">
        <f>HYPERLINK("http://www.worldcat.org/oclc/20417935","WorldCat Record")</f>
        <v/>
      </c>
      <c r="AU3213" t="inlineStr">
        <is>
          <t>368138533:eng</t>
        </is>
      </c>
      <c r="AV3213" t="inlineStr">
        <is>
          <t>20417935</t>
        </is>
      </c>
      <c r="AW3213" t="inlineStr">
        <is>
          <t>991001573659702656</t>
        </is>
      </c>
      <c r="AX3213" t="inlineStr">
        <is>
          <t>991001573659702656</t>
        </is>
      </c>
      <c r="AY3213" t="inlineStr">
        <is>
          <t>2260879130002656</t>
        </is>
      </c>
      <c r="AZ3213" t="inlineStr">
        <is>
          <t>BOOK</t>
        </is>
      </c>
      <c r="BB3213" t="inlineStr">
        <is>
          <t>9780891350736</t>
        </is>
      </c>
      <c r="BC3213" t="inlineStr">
        <is>
          <t>32285000021203</t>
        </is>
      </c>
      <c r="BD3213" t="inlineStr">
        <is>
          <t>893420411</t>
        </is>
      </c>
    </row>
    <row r="3214">
      <c r="A3214" t="inlineStr">
        <is>
          <t>No</t>
        </is>
      </c>
      <c r="B3214" t="inlineStr">
        <is>
          <t>BX926 .C343 1964</t>
        </is>
      </c>
      <c r="C3214" t="inlineStr">
        <is>
          <t>0                      BX 0926000C  343         1964</t>
        </is>
      </c>
      <c r="D3214" t="inlineStr">
        <is>
          <t>Teaching doctrine and liturgy, the Montessori approach.</t>
        </is>
      </c>
      <c r="F3214" t="inlineStr">
        <is>
          <t>No</t>
        </is>
      </c>
      <c r="G3214" t="inlineStr">
        <is>
          <t>1</t>
        </is>
      </c>
      <c r="H3214" t="inlineStr">
        <is>
          <t>No</t>
        </is>
      </c>
      <c r="I3214" t="inlineStr">
        <is>
          <t>No</t>
        </is>
      </c>
      <c r="J3214" t="inlineStr">
        <is>
          <t>0</t>
        </is>
      </c>
      <c r="K3214" t="inlineStr">
        <is>
          <t>Cavalletti, Sofia.</t>
        </is>
      </c>
      <c r="L3214" t="inlineStr">
        <is>
          <t>Staten Island, N.Y. : Alba House, [1964]</t>
        </is>
      </c>
      <c r="M3214" t="inlineStr">
        <is>
          <t>1964</t>
        </is>
      </c>
      <c r="O3214" t="inlineStr">
        <is>
          <t>eng</t>
        </is>
      </c>
      <c r="P3214" t="inlineStr">
        <is>
          <t xml:space="preserve">xx </t>
        </is>
      </c>
      <c r="R3214" t="inlineStr">
        <is>
          <t xml:space="preserve">BX </t>
        </is>
      </c>
      <c r="S3214" t="n">
        <v>4</v>
      </c>
      <c r="T3214" t="n">
        <v>4</v>
      </c>
      <c r="U3214" t="inlineStr">
        <is>
          <t>2009-02-24</t>
        </is>
      </c>
      <c r="V3214" t="inlineStr">
        <is>
          <t>2009-02-24</t>
        </is>
      </c>
      <c r="W3214" t="inlineStr">
        <is>
          <t>1992-05-26</t>
        </is>
      </c>
      <c r="X3214" t="inlineStr">
        <is>
          <t>1992-05-26</t>
        </is>
      </c>
      <c r="Y3214" t="n">
        <v>201</v>
      </c>
      <c r="Z3214" t="n">
        <v>184</v>
      </c>
      <c r="AA3214" t="n">
        <v>190</v>
      </c>
      <c r="AB3214" t="n">
        <v>4</v>
      </c>
      <c r="AC3214" t="n">
        <v>4</v>
      </c>
      <c r="AD3214" t="n">
        <v>25</v>
      </c>
      <c r="AE3214" t="n">
        <v>25</v>
      </c>
      <c r="AF3214" t="n">
        <v>5</v>
      </c>
      <c r="AG3214" t="n">
        <v>5</v>
      </c>
      <c r="AH3214" t="n">
        <v>7</v>
      </c>
      <c r="AI3214" t="n">
        <v>7</v>
      </c>
      <c r="AJ3214" t="n">
        <v>17</v>
      </c>
      <c r="AK3214" t="n">
        <v>17</v>
      </c>
      <c r="AL3214" t="n">
        <v>2</v>
      </c>
      <c r="AM3214" t="n">
        <v>2</v>
      </c>
      <c r="AN3214" t="n">
        <v>0</v>
      </c>
      <c r="AO3214" t="n">
        <v>0</v>
      </c>
      <c r="AP3214" t="inlineStr">
        <is>
          <t>No</t>
        </is>
      </c>
      <c r="AQ3214" t="inlineStr">
        <is>
          <t>Yes</t>
        </is>
      </c>
      <c r="AR3214">
        <f>HYPERLINK("http://catalog.hathitrust.org/Record/001449828","HathiTrust Record")</f>
        <v/>
      </c>
      <c r="AS3214">
        <f>HYPERLINK("https://creighton-primo.hosted.exlibrisgroup.com/primo-explore/search?tab=default_tab&amp;search_scope=EVERYTHING&amp;vid=01CRU&amp;lang=en_US&amp;offset=0&amp;query=any,contains,991002648889702656","Catalog Record")</f>
        <v/>
      </c>
      <c r="AT3214">
        <f>HYPERLINK("http://www.worldcat.org/oclc/386584","WorldCat Record")</f>
        <v/>
      </c>
      <c r="AU3214" t="inlineStr">
        <is>
          <t>1511922:eng</t>
        </is>
      </c>
      <c r="AV3214" t="inlineStr">
        <is>
          <t>386584</t>
        </is>
      </c>
      <c r="AW3214" t="inlineStr">
        <is>
          <t>991002648889702656</t>
        </is>
      </c>
      <c r="AX3214" t="inlineStr">
        <is>
          <t>991002648889702656</t>
        </is>
      </c>
      <c r="AY3214" t="inlineStr">
        <is>
          <t>2259527110002656</t>
        </is>
      </c>
      <c r="AZ3214" t="inlineStr">
        <is>
          <t>BOOK</t>
        </is>
      </c>
      <c r="BC3214" t="inlineStr">
        <is>
          <t>32285001084663</t>
        </is>
      </c>
      <c r="BD3214" t="inlineStr">
        <is>
          <t>893710509</t>
        </is>
      </c>
    </row>
    <row r="3215">
      <c r="A3215" t="inlineStr">
        <is>
          <t>No</t>
        </is>
      </c>
      <c r="B3215" t="inlineStr">
        <is>
          <t>BX926 .C58 1999</t>
        </is>
      </c>
      <c r="C3215" t="inlineStr">
        <is>
          <t>0                      BX 0926000C  58          1999</t>
        </is>
      </c>
      <c r="D3215" t="inlineStr">
        <is>
          <t>Weaving Christ's seamless garment : assessment of Catholic religious education / John J. Convey, Andrew D. Thompson.</t>
        </is>
      </c>
      <c r="F3215" t="inlineStr">
        <is>
          <t>No</t>
        </is>
      </c>
      <c r="G3215" t="inlineStr">
        <is>
          <t>1</t>
        </is>
      </c>
      <c r="H3215" t="inlineStr">
        <is>
          <t>No</t>
        </is>
      </c>
      <c r="I3215" t="inlineStr">
        <is>
          <t>No</t>
        </is>
      </c>
      <c r="J3215" t="inlineStr">
        <is>
          <t>0</t>
        </is>
      </c>
      <c r="K3215" t="inlineStr">
        <is>
          <t>Convey, John J., 1940-</t>
        </is>
      </c>
      <c r="L3215" t="inlineStr">
        <is>
          <t>Washington, DC : National Catholic Educational Association, c1999.</t>
        </is>
      </c>
      <c r="M3215" t="inlineStr">
        <is>
          <t>1999</t>
        </is>
      </c>
      <c r="O3215" t="inlineStr">
        <is>
          <t>eng</t>
        </is>
      </c>
      <c r="P3215" t="inlineStr">
        <is>
          <t>dcu</t>
        </is>
      </c>
      <c r="R3215" t="inlineStr">
        <is>
          <t xml:space="preserve">BX </t>
        </is>
      </c>
      <c r="S3215" t="n">
        <v>2</v>
      </c>
      <c r="T3215" t="n">
        <v>2</v>
      </c>
      <c r="U3215" t="inlineStr">
        <is>
          <t>2007-02-11</t>
        </is>
      </c>
      <c r="V3215" t="inlineStr">
        <is>
          <t>2007-02-11</t>
        </is>
      </c>
      <c r="W3215" t="inlineStr">
        <is>
          <t>2000-09-26</t>
        </is>
      </c>
      <c r="X3215" t="inlineStr">
        <is>
          <t>2000-09-26</t>
        </is>
      </c>
      <c r="Y3215" t="n">
        <v>38</v>
      </c>
      <c r="Z3215" t="n">
        <v>33</v>
      </c>
      <c r="AA3215" t="n">
        <v>35</v>
      </c>
      <c r="AB3215" t="n">
        <v>2</v>
      </c>
      <c r="AC3215" t="n">
        <v>2</v>
      </c>
      <c r="AD3215" t="n">
        <v>7</v>
      </c>
      <c r="AE3215" t="n">
        <v>7</v>
      </c>
      <c r="AF3215" t="n">
        <v>2</v>
      </c>
      <c r="AG3215" t="n">
        <v>2</v>
      </c>
      <c r="AH3215" t="n">
        <v>2</v>
      </c>
      <c r="AI3215" t="n">
        <v>2</v>
      </c>
      <c r="AJ3215" t="n">
        <v>4</v>
      </c>
      <c r="AK3215" t="n">
        <v>4</v>
      </c>
      <c r="AL3215" t="n">
        <v>0</v>
      </c>
      <c r="AM3215" t="n">
        <v>0</v>
      </c>
      <c r="AN3215" t="n">
        <v>0</v>
      </c>
      <c r="AO3215" t="n">
        <v>0</v>
      </c>
      <c r="AP3215" t="inlineStr">
        <is>
          <t>No</t>
        </is>
      </c>
      <c r="AQ3215" t="inlineStr">
        <is>
          <t>No</t>
        </is>
      </c>
      <c r="AS3215">
        <f>HYPERLINK("https://creighton-primo.hosted.exlibrisgroup.com/primo-explore/search?tab=default_tab&amp;search_scope=EVERYTHING&amp;vid=01CRU&amp;lang=en_US&amp;offset=0&amp;query=any,contains,991003297369702656","Catalog Record")</f>
        <v/>
      </c>
      <c r="AT3215">
        <f>HYPERLINK("http://www.worldcat.org/oclc/44947804","WorldCat Record")</f>
        <v/>
      </c>
      <c r="AU3215" t="inlineStr">
        <is>
          <t>3740839075:eng</t>
        </is>
      </c>
      <c r="AV3215" t="inlineStr">
        <is>
          <t>44947804</t>
        </is>
      </c>
      <c r="AW3215" t="inlineStr">
        <is>
          <t>991003297369702656</t>
        </is>
      </c>
      <c r="AX3215" t="inlineStr">
        <is>
          <t>991003297369702656</t>
        </is>
      </c>
      <c r="AY3215" t="inlineStr">
        <is>
          <t>2267818370002656</t>
        </is>
      </c>
      <c r="AZ3215" t="inlineStr">
        <is>
          <t>BOOK</t>
        </is>
      </c>
      <c r="BB3215" t="inlineStr">
        <is>
          <t>9781558332386</t>
        </is>
      </c>
      <c r="BC3215" t="inlineStr">
        <is>
          <t>32285003765020</t>
        </is>
      </c>
      <c r="BD3215" t="inlineStr">
        <is>
          <t>893410142</t>
        </is>
      </c>
    </row>
    <row r="3216">
      <c r="A3216" t="inlineStr">
        <is>
          <t>No</t>
        </is>
      </c>
      <c r="B3216" t="inlineStr">
        <is>
          <t>BX926 .D53 2004</t>
        </is>
      </c>
      <c r="C3216" t="inlineStr">
        <is>
          <t>0                      BX 0926000D  53          2004</t>
        </is>
      </c>
      <c r="D3216" t="inlineStr">
        <is>
          <t>Mission possible : where we've been, where we're going in high school religious education 1950-2003 / James DiGiacomo, S.J.</t>
        </is>
      </c>
      <c r="F3216" t="inlineStr">
        <is>
          <t>No</t>
        </is>
      </c>
      <c r="G3216" t="inlineStr">
        <is>
          <t>1</t>
        </is>
      </c>
      <c r="H3216" t="inlineStr">
        <is>
          <t>No</t>
        </is>
      </c>
      <c r="I3216" t="inlineStr">
        <is>
          <t>No</t>
        </is>
      </c>
      <c r="J3216" t="inlineStr">
        <is>
          <t>0</t>
        </is>
      </c>
      <c r="K3216" t="inlineStr">
        <is>
          <t>DiGiacomo, James.</t>
        </is>
      </c>
      <c r="L3216" t="inlineStr">
        <is>
          <t>Washington, DC : National Catholic Educational Association, 2004.</t>
        </is>
      </c>
      <c r="M3216" t="inlineStr">
        <is>
          <t>2004</t>
        </is>
      </c>
      <c r="O3216" t="inlineStr">
        <is>
          <t>eng</t>
        </is>
      </c>
      <c r="P3216" t="inlineStr">
        <is>
          <t>dcu</t>
        </is>
      </c>
      <c r="R3216" t="inlineStr">
        <is>
          <t xml:space="preserve">BX </t>
        </is>
      </c>
      <c r="S3216" t="n">
        <v>3</v>
      </c>
      <c r="T3216" t="n">
        <v>3</v>
      </c>
      <c r="U3216" t="inlineStr">
        <is>
          <t>2007-03-26</t>
        </is>
      </c>
      <c r="V3216" t="inlineStr">
        <is>
          <t>2007-03-26</t>
        </is>
      </c>
      <c r="W3216" t="inlineStr">
        <is>
          <t>2004-11-04</t>
        </is>
      </c>
      <c r="X3216" t="inlineStr">
        <is>
          <t>2004-11-04</t>
        </is>
      </c>
      <c r="Y3216" t="n">
        <v>34</v>
      </c>
      <c r="Z3216" t="n">
        <v>29</v>
      </c>
      <c r="AA3216" t="n">
        <v>29</v>
      </c>
      <c r="AB3216" t="n">
        <v>1</v>
      </c>
      <c r="AC3216" t="n">
        <v>1</v>
      </c>
      <c r="AD3216" t="n">
        <v>10</v>
      </c>
      <c r="AE3216" t="n">
        <v>10</v>
      </c>
      <c r="AF3216" t="n">
        <v>4</v>
      </c>
      <c r="AG3216" t="n">
        <v>4</v>
      </c>
      <c r="AH3216" t="n">
        <v>1</v>
      </c>
      <c r="AI3216" t="n">
        <v>1</v>
      </c>
      <c r="AJ3216" t="n">
        <v>8</v>
      </c>
      <c r="AK3216" t="n">
        <v>8</v>
      </c>
      <c r="AL3216" t="n">
        <v>0</v>
      </c>
      <c r="AM3216" t="n">
        <v>0</v>
      </c>
      <c r="AN3216" t="n">
        <v>0</v>
      </c>
      <c r="AO3216" t="n">
        <v>0</v>
      </c>
      <c r="AP3216" t="inlineStr">
        <is>
          <t>No</t>
        </is>
      </c>
      <c r="AQ3216" t="inlineStr">
        <is>
          <t>No</t>
        </is>
      </c>
      <c r="AS3216">
        <f>HYPERLINK("https://creighton-primo.hosted.exlibrisgroup.com/primo-explore/search?tab=default_tab&amp;search_scope=EVERYTHING&amp;vid=01CRU&amp;lang=en_US&amp;offset=0&amp;query=any,contains,991004396849702656","Catalog Record")</f>
        <v/>
      </c>
      <c r="AT3216">
        <f>HYPERLINK("http://www.worldcat.org/oclc/56776905","WorldCat Record")</f>
        <v/>
      </c>
      <c r="AU3216" t="inlineStr">
        <is>
          <t>4130811882:eng</t>
        </is>
      </c>
      <c r="AV3216" t="inlineStr">
        <is>
          <t>56776905</t>
        </is>
      </c>
      <c r="AW3216" t="inlineStr">
        <is>
          <t>991004396849702656</t>
        </is>
      </c>
      <c r="AX3216" t="inlineStr">
        <is>
          <t>991004396849702656</t>
        </is>
      </c>
      <c r="AY3216" t="inlineStr">
        <is>
          <t>2258228410002656</t>
        </is>
      </c>
      <c r="AZ3216" t="inlineStr">
        <is>
          <t>BOOK</t>
        </is>
      </c>
      <c r="BB3216" t="inlineStr">
        <is>
          <t>9781558333277</t>
        </is>
      </c>
      <c r="BC3216" t="inlineStr">
        <is>
          <t>32285005008809</t>
        </is>
      </c>
      <c r="BD3216" t="inlineStr">
        <is>
          <t>893894942</t>
        </is>
      </c>
    </row>
    <row r="3217">
      <c r="A3217" t="inlineStr">
        <is>
          <t>No</t>
        </is>
      </c>
      <c r="B3217" t="inlineStr">
        <is>
          <t>BX926 .F313 1968</t>
        </is>
      </c>
      <c r="C3217" t="inlineStr">
        <is>
          <t>0                      BX 0926000F  313         1968</t>
        </is>
      </c>
      <c r="D3217" t="inlineStr">
        <is>
          <t>How to teach religion / Marie Fargues. Translated by Sister Gertrude.</t>
        </is>
      </c>
      <c r="F3217" t="inlineStr">
        <is>
          <t>No</t>
        </is>
      </c>
      <c r="G3217" t="inlineStr">
        <is>
          <t>1</t>
        </is>
      </c>
      <c r="H3217" t="inlineStr">
        <is>
          <t>No</t>
        </is>
      </c>
      <c r="I3217" t="inlineStr">
        <is>
          <t>No</t>
        </is>
      </c>
      <c r="J3217" t="inlineStr">
        <is>
          <t>0</t>
        </is>
      </c>
      <c r="K3217" t="inlineStr">
        <is>
          <t>Fargues, Marie.</t>
        </is>
      </c>
      <c r="L3217" t="inlineStr">
        <is>
          <t>Glen Rock, N.J. : Paulist Press, [1968]</t>
        </is>
      </c>
      <c r="M3217" t="inlineStr">
        <is>
          <t>1968</t>
        </is>
      </c>
      <c r="O3217" t="inlineStr">
        <is>
          <t>eng</t>
        </is>
      </c>
      <c r="P3217" t="inlineStr">
        <is>
          <t>nju</t>
        </is>
      </c>
      <c r="Q3217" t="inlineStr">
        <is>
          <t>Deus books</t>
        </is>
      </c>
      <c r="R3217" t="inlineStr">
        <is>
          <t xml:space="preserve">BX </t>
        </is>
      </c>
      <c r="S3217" t="n">
        <v>1</v>
      </c>
      <c r="T3217" t="n">
        <v>1</v>
      </c>
      <c r="U3217" t="inlineStr">
        <is>
          <t>2007-07-06</t>
        </is>
      </c>
      <c r="V3217" t="inlineStr">
        <is>
          <t>2007-07-06</t>
        </is>
      </c>
      <c r="W3217" t="inlineStr">
        <is>
          <t>1992-05-26</t>
        </is>
      </c>
      <c r="X3217" t="inlineStr">
        <is>
          <t>1992-05-26</t>
        </is>
      </c>
      <c r="Y3217" t="n">
        <v>79</v>
      </c>
      <c r="Z3217" t="n">
        <v>68</v>
      </c>
      <c r="AA3217" t="n">
        <v>68</v>
      </c>
      <c r="AB3217" t="n">
        <v>1</v>
      </c>
      <c r="AC3217" t="n">
        <v>1</v>
      </c>
      <c r="AD3217" t="n">
        <v>12</v>
      </c>
      <c r="AE3217" t="n">
        <v>12</v>
      </c>
      <c r="AF3217" t="n">
        <v>4</v>
      </c>
      <c r="AG3217" t="n">
        <v>4</v>
      </c>
      <c r="AH3217" t="n">
        <v>1</v>
      </c>
      <c r="AI3217" t="n">
        <v>1</v>
      </c>
      <c r="AJ3217" t="n">
        <v>10</v>
      </c>
      <c r="AK3217" t="n">
        <v>10</v>
      </c>
      <c r="AL3217" t="n">
        <v>0</v>
      </c>
      <c r="AM3217" t="n">
        <v>0</v>
      </c>
      <c r="AN3217" t="n">
        <v>0</v>
      </c>
      <c r="AO3217" t="n">
        <v>0</v>
      </c>
      <c r="AP3217" t="inlineStr">
        <is>
          <t>No</t>
        </is>
      </c>
      <c r="AQ3217" t="inlineStr">
        <is>
          <t>No</t>
        </is>
      </c>
      <c r="AS3217">
        <f>HYPERLINK("https://creighton-primo.hosted.exlibrisgroup.com/primo-explore/search?tab=default_tab&amp;search_scope=EVERYTHING&amp;vid=01CRU&amp;lang=en_US&amp;offset=0&amp;query=any,contains,991002806609702656","Catalog Record")</f>
        <v/>
      </c>
      <c r="AT3217">
        <f>HYPERLINK("http://www.worldcat.org/oclc/449810","WorldCat Record")</f>
        <v/>
      </c>
      <c r="AU3217" t="inlineStr">
        <is>
          <t>1590139:eng</t>
        </is>
      </c>
      <c r="AV3217" t="inlineStr">
        <is>
          <t>449810</t>
        </is>
      </c>
      <c r="AW3217" t="inlineStr">
        <is>
          <t>991002806609702656</t>
        </is>
      </c>
      <c r="AX3217" t="inlineStr">
        <is>
          <t>991002806609702656</t>
        </is>
      </c>
      <c r="AY3217" t="inlineStr">
        <is>
          <t>2265488370002656</t>
        </is>
      </c>
      <c r="AZ3217" t="inlineStr">
        <is>
          <t>BOOK</t>
        </is>
      </c>
      <c r="BC3217" t="inlineStr">
        <is>
          <t>32285001084697</t>
        </is>
      </c>
      <c r="BD3217" t="inlineStr">
        <is>
          <t>893329565</t>
        </is>
      </c>
    </row>
    <row r="3218">
      <c r="A3218" t="inlineStr">
        <is>
          <t>No</t>
        </is>
      </c>
      <c r="B3218" t="inlineStr">
        <is>
          <t>BX926 .G6</t>
        </is>
      </c>
      <c r="C3218" t="inlineStr">
        <is>
          <t>0                      BX 0926000G  6</t>
        </is>
      </c>
      <c r="D3218" t="inlineStr">
        <is>
          <t>From religious experience to a religious attitude / edited by A.Godin.</t>
        </is>
      </c>
      <c r="F3218" t="inlineStr">
        <is>
          <t>No</t>
        </is>
      </c>
      <c r="G3218" t="inlineStr">
        <is>
          <t>1</t>
        </is>
      </c>
      <c r="H3218" t="inlineStr">
        <is>
          <t>No</t>
        </is>
      </c>
      <c r="I3218" t="inlineStr">
        <is>
          <t>No</t>
        </is>
      </c>
      <c r="J3218" t="inlineStr">
        <is>
          <t>0</t>
        </is>
      </c>
      <c r="K3218" t="inlineStr">
        <is>
          <t>Godin, André editor.</t>
        </is>
      </c>
      <c r="L3218" t="inlineStr">
        <is>
          <t>Chicago, Loyola University Press, 1965.</t>
        </is>
      </c>
      <c r="M3218" t="inlineStr">
        <is>
          <t>1965</t>
        </is>
      </c>
      <c r="O3218" t="inlineStr">
        <is>
          <t>eng</t>
        </is>
      </c>
      <c r="P3218" t="inlineStr">
        <is>
          <t>___</t>
        </is>
      </c>
      <c r="Q3218" t="inlineStr">
        <is>
          <t>Loyola pastoral series: Lumen vitae studies.</t>
        </is>
      </c>
      <c r="R3218" t="inlineStr">
        <is>
          <t xml:space="preserve">BX </t>
        </is>
      </c>
      <c r="S3218" t="n">
        <v>1</v>
      </c>
      <c r="T3218" t="n">
        <v>1</v>
      </c>
      <c r="U3218" t="inlineStr">
        <is>
          <t>1997-10-29</t>
        </is>
      </c>
      <c r="V3218" t="inlineStr">
        <is>
          <t>1997-10-29</t>
        </is>
      </c>
      <c r="W3218" t="inlineStr">
        <is>
          <t>1992-05-26</t>
        </is>
      </c>
      <c r="X3218" t="inlineStr">
        <is>
          <t>1992-05-26</t>
        </is>
      </c>
      <c r="Y3218" t="n">
        <v>234</v>
      </c>
      <c r="Z3218" t="n">
        <v>201</v>
      </c>
      <c r="AA3218" t="n">
        <v>212</v>
      </c>
      <c r="AB3218" t="n">
        <v>1</v>
      </c>
      <c r="AC3218" t="n">
        <v>1</v>
      </c>
      <c r="AD3218" t="n">
        <v>26</v>
      </c>
      <c r="AE3218" t="n">
        <v>27</v>
      </c>
      <c r="AF3218" t="n">
        <v>7</v>
      </c>
      <c r="AG3218" t="n">
        <v>8</v>
      </c>
      <c r="AH3218" t="n">
        <v>7</v>
      </c>
      <c r="AI3218" t="n">
        <v>7</v>
      </c>
      <c r="AJ3218" t="n">
        <v>21</v>
      </c>
      <c r="AK3218" t="n">
        <v>22</v>
      </c>
      <c r="AL3218" t="n">
        <v>0</v>
      </c>
      <c r="AM3218" t="n">
        <v>0</v>
      </c>
      <c r="AN3218" t="n">
        <v>0</v>
      </c>
      <c r="AO3218" t="n">
        <v>0</v>
      </c>
      <c r="AP3218" t="inlineStr">
        <is>
          <t>No</t>
        </is>
      </c>
      <c r="AQ3218" t="inlineStr">
        <is>
          <t>No</t>
        </is>
      </c>
      <c r="AS3218">
        <f>HYPERLINK("https://creighton-primo.hosted.exlibrisgroup.com/primo-explore/search?tab=default_tab&amp;search_scope=EVERYTHING&amp;vid=01CRU&amp;lang=en_US&amp;offset=0&amp;query=any,contains,991003105329702656","Catalog Record")</f>
        <v/>
      </c>
      <c r="AT3218">
        <f>HYPERLINK("http://www.worldcat.org/oclc/653648","WorldCat Record")</f>
        <v/>
      </c>
      <c r="AU3218" t="inlineStr">
        <is>
          <t>1611419:eng</t>
        </is>
      </c>
      <c r="AV3218" t="inlineStr">
        <is>
          <t>653648</t>
        </is>
      </c>
      <c r="AW3218" t="inlineStr">
        <is>
          <t>991003105329702656</t>
        </is>
      </c>
      <c r="AX3218" t="inlineStr">
        <is>
          <t>991003105329702656</t>
        </is>
      </c>
      <c r="AY3218" t="inlineStr">
        <is>
          <t>2264094820002656</t>
        </is>
      </c>
      <c r="AZ3218" t="inlineStr">
        <is>
          <t>BOOK</t>
        </is>
      </c>
      <c r="BC3218" t="inlineStr">
        <is>
          <t>32285001084705</t>
        </is>
      </c>
      <c r="BD3218" t="inlineStr">
        <is>
          <t>893880822</t>
        </is>
      </c>
    </row>
    <row r="3219">
      <c r="A3219" t="inlineStr">
        <is>
          <t>No</t>
        </is>
      </c>
      <c r="B3219" t="inlineStr">
        <is>
          <t>BX926 .I87 1989</t>
        </is>
      </c>
      <c r="C3219" t="inlineStr">
        <is>
          <t>0                      BX 0926000I  87          1989</t>
        </is>
      </c>
      <c r="D3219" t="inlineStr">
        <is>
          <t>Issues in the Christian initiation of children : catechesis and liturgy / edited by Kathy Brown and Frank C. Sokol ; contributors, Kathy Brown ... [et al.].</t>
        </is>
      </c>
      <c r="F3219" t="inlineStr">
        <is>
          <t>No</t>
        </is>
      </c>
      <c r="G3219" t="inlineStr">
        <is>
          <t>1</t>
        </is>
      </c>
      <c r="H3219" t="inlineStr">
        <is>
          <t>No</t>
        </is>
      </c>
      <c r="I3219" t="inlineStr">
        <is>
          <t>No</t>
        </is>
      </c>
      <c r="J3219" t="inlineStr">
        <is>
          <t>0</t>
        </is>
      </c>
      <c r="L3219" t="inlineStr">
        <is>
          <t>Chicago, IL : Liturgy Training Publications, c1989.</t>
        </is>
      </c>
      <c r="M3219" t="inlineStr">
        <is>
          <t>1989</t>
        </is>
      </c>
      <c r="O3219" t="inlineStr">
        <is>
          <t>eng</t>
        </is>
      </c>
      <c r="P3219" t="inlineStr">
        <is>
          <t>ilu</t>
        </is>
      </c>
      <c r="Q3219" t="inlineStr">
        <is>
          <t>Font and table series</t>
        </is>
      </c>
      <c r="R3219" t="inlineStr">
        <is>
          <t xml:space="preserve">BX </t>
        </is>
      </c>
      <c r="S3219" t="n">
        <v>2</v>
      </c>
      <c r="T3219" t="n">
        <v>2</v>
      </c>
      <c r="U3219" t="inlineStr">
        <is>
          <t>2007-04-16</t>
        </is>
      </c>
      <c r="V3219" t="inlineStr">
        <is>
          <t>2007-04-16</t>
        </is>
      </c>
      <c r="W3219" t="inlineStr">
        <is>
          <t>2005-04-13</t>
        </is>
      </c>
      <c r="X3219" t="inlineStr">
        <is>
          <t>2005-04-13</t>
        </is>
      </c>
      <c r="Y3219" t="n">
        <v>93</v>
      </c>
      <c r="Z3219" t="n">
        <v>71</v>
      </c>
      <c r="AA3219" t="n">
        <v>76</v>
      </c>
      <c r="AB3219" t="n">
        <v>1</v>
      </c>
      <c r="AC3219" t="n">
        <v>1</v>
      </c>
      <c r="AD3219" t="n">
        <v>8</v>
      </c>
      <c r="AE3219" t="n">
        <v>8</v>
      </c>
      <c r="AF3219" t="n">
        <v>3</v>
      </c>
      <c r="AG3219" t="n">
        <v>3</v>
      </c>
      <c r="AH3219" t="n">
        <v>2</v>
      </c>
      <c r="AI3219" t="n">
        <v>2</v>
      </c>
      <c r="AJ3219" t="n">
        <v>5</v>
      </c>
      <c r="AK3219" t="n">
        <v>5</v>
      </c>
      <c r="AL3219" t="n">
        <v>0</v>
      </c>
      <c r="AM3219" t="n">
        <v>0</v>
      </c>
      <c r="AN3219" t="n">
        <v>0</v>
      </c>
      <c r="AO3219" t="n">
        <v>0</v>
      </c>
      <c r="AP3219" t="inlineStr">
        <is>
          <t>No</t>
        </is>
      </c>
      <c r="AQ3219" t="inlineStr">
        <is>
          <t>No</t>
        </is>
      </c>
      <c r="AS3219">
        <f>HYPERLINK("https://creighton-primo.hosted.exlibrisgroup.com/primo-explore/search?tab=default_tab&amp;search_scope=EVERYTHING&amp;vid=01CRU&amp;lang=en_US&amp;offset=0&amp;query=any,contains,991004529219702656","Catalog Record")</f>
        <v/>
      </c>
      <c r="AT3219">
        <f>HYPERLINK("http://www.worldcat.org/oclc/20357623","WorldCat Record")</f>
        <v/>
      </c>
      <c r="AU3219" t="inlineStr">
        <is>
          <t>10156004641:eng</t>
        </is>
      </c>
      <c r="AV3219" t="inlineStr">
        <is>
          <t>20357623</t>
        </is>
      </c>
      <c r="AW3219" t="inlineStr">
        <is>
          <t>991004529219702656</t>
        </is>
      </c>
      <c r="AX3219" t="inlineStr">
        <is>
          <t>991004529219702656</t>
        </is>
      </c>
      <c r="AY3219" t="inlineStr">
        <is>
          <t>2270586450002656</t>
        </is>
      </c>
      <c r="AZ3219" t="inlineStr">
        <is>
          <t>BOOK</t>
        </is>
      </c>
      <c r="BB3219" t="inlineStr">
        <is>
          <t>9780930467975</t>
        </is>
      </c>
      <c r="BC3219" t="inlineStr">
        <is>
          <t>32285005030340</t>
        </is>
      </c>
      <c r="BD3219" t="inlineStr">
        <is>
          <t>893331707</t>
        </is>
      </c>
    </row>
    <row r="3220">
      <c r="A3220" t="inlineStr">
        <is>
          <t>No</t>
        </is>
      </c>
      <c r="B3220" t="inlineStr">
        <is>
          <t>BX926 .M25</t>
        </is>
      </c>
      <c r="C3220" t="inlineStr">
        <is>
          <t>0                      BX 0926000M  25</t>
        </is>
      </c>
      <c r="D3220" t="inlineStr">
        <is>
          <t>Creative teaching in Christian education / Alfred J. McBride. --</t>
        </is>
      </c>
      <c r="F3220" t="inlineStr">
        <is>
          <t>No</t>
        </is>
      </c>
      <c r="G3220" t="inlineStr">
        <is>
          <t>1</t>
        </is>
      </c>
      <c r="H3220" t="inlineStr">
        <is>
          <t>No</t>
        </is>
      </c>
      <c r="I3220" t="inlineStr">
        <is>
          <t>No</t>
        </is>
      </c>
      <c r="J3220" t="inlineStr">
        <is>
          <t>0</t>
        </is>
      </c>
      <c r="K3220" t="inlineStr">
        <is>
          <t>McBride, Alfred.</t>
        </is>
      </c>
      <c r="L3220" t="inlineStr">
        <is>
          <t>Boston : Allyn and Bacon, c1978.</t>
        </is>
      </c>
      <c r="M3220" t="inlineStr">
        <is>
          <t>1978</t>
        </is>
      </c>
      <c r="O3220" t="inlineStr">
        <is>
          <t>eng</t>
        </is>
      </c>
      <c r="P3220" t="inlineStr">
        <is>
          <t>mau</t>
        </is>
      </c>
      <c r="R3220" t="inlineStr">
        <is>
          <t xml:space="preserve">BX </t>
        </is>
      </c>
      <c r="S3220" t="n">
        <v>2</v>
      </c>
      <c r="T3220" t="n">
        <v>2</v>
      </c>
      <c r="U3220" t="inlineStr">
        <is>
          <t>2010-06-21</t>
        </is>
      </c>
      <c r="V3220" t="inlineStr">
        <is>
          <t>2010-06-21</t>
        </is>
      </c>
      <c r="W3220" t="inlineStr">
        <is>
          <t>1992-05-26</t>
        </is>
      </c>
      <c r="X3220" t="inlineStr">
        <is>
          <t>1992-05-26</t>
        </is>
      </c>
      <c r="Y3220" t="n">
        <v>237</v>
      </c>
      <c r="Z3220" t="n">
        <v>196</v>
      </c>
      <c r="AA3220" t="n">
        <v>201</v>
      </c>
      <c r="AB3220" t="n">
        <v>2</v>
      </c>
      <c r="AC3220" t="n">
        <v>2</v>
      </c>
      <c r="AD3220" t="n">
        <v>16</v>
      </c>
      <c r="AE3220" t="n">
        <v>16</v>
      </c>
      <c r="AF3220" t="n">
        <v>3</v>
      </c>
      <c r="AG3220" t="n">
        <v>3</v>
      </c>
      <c r="AH3220" t="n">
        <v>4</v>
      </c>
      <c r="AI3220" t="n">
        <v>4</v>
      </c>
      <c r="AJ3220" t="n">
        <v>12</v>
      </c>
      <c r="AK3220" t="n">
        <v>12</v>
      </c>
      <c r="AL3220" t="n">
        <v>1</v>
      </c>
      <c r="AM3220" t="n">
        <v>1</v>
      </c>
      <c r="AN3220" t="n">
        <v>0</v>
      </c>
      <c r="AO3220" t="n">
        <v>0</v>
      </c>
      <c r="AP3220" t="inlineStr">
        <is>
          <t>No</t>
        </is>
      </c>
      <c r="AQ3220" t="inlineStr">
        <is>
          <t>No</t>
        </is>
      </c>
      <c r="AS3220">
        <f>HYPERLINK("https://creighton-primo.hosted.exlibrisgroup.com/primo-explore/search?tab=default_tab&amp;search_scope=EVERYTHING&amp;vid=01CRU&amp;lang=en_US&amp;offset=0&amp;query=any,contains,991004362909702656","Catalog Record")</f>
        <v/>
      </c>
      <c r="AT3220">
        <f>HYPERLINK("http://www.worldcat.org/oclc/3168337","WorldCat Record")</f>
        <v/>
      </c>
      <c r="AU3220" t="inlineStr">
        <is>
          <t>8143875:eng</t>
        </is>
      </c>
      <c r="AV3220" t="inlineStr">
        <is>
          <t>3168337</t>
        </is>
      </c>
      <c r="AW3220" t="inlineStr">
        <is>
          <t>991004362909702656</t>
        </is>
      </c>
      <c r="AX3220" t="inlineStr">
        <is>
          <t>991004362909702656</t>
        </is>
      </c>
      <c r="AY3220" t="inlineStr">
        <is>
          <t>2262225330002656</t>
        </is>
      </c>
      <c r="AZ3220" t="inlineStr">
        <is>
          <t>BOOK</t>
        </is>
      </c>
      <c r="BB3220" t="inlineStr">
        <is>
          <t>9780205058426</t>
        </is>
      </c>
      <c r="BC3220" t="inlineStr">
        <is>
          <t>32285001084762</t>
        </is>
      </c>
      <c r="BD3220" t="inlineStr">
        <is>
          <t>893788606</t>
        </is>
      </c>
    </row>
    <row r="3221">
      <c r="A3221" t="inlineStr">
        <is>
          <t>No</t>
        </is>
      </c>
      <c r="B3221" t="inlineStr">
        <is>
          <t>BX926 .M6 1968</t>
        </is>
      </c>
      <c r="C3221" t="inlineStr">
        <is>
          <t>0                      BX 0926000M  6           1968</t>
        </is>
      </c>
      <c r="D3221" t="inlineStr">
        <is>
          <t>Vision and tactics : toward an adult church.</t>
        </is>
      </c>
      <c r="F3221" t="inlineStr">
        <is>
          <t>No</t>
        </is>
      </c>
      <c r="G3221" t="inlineStr">
        <is>
          <t>1</t>
        </is>
      </c>
      <c r="H3221" t="inlineStr">
        <is>
          <t>No</t>
        </is>
      </c>
      <c r="I3221" t="inlineStr">
        <is>
          <t>No</t>
        </is>
      </c>
      <c r="J3221" t="inlineStr">
        <is>
          <t>0</t>
        </is>
      </c>
      <c r="K3221" t="inlineStr">
        <is>
          <t>Moran, Gabriel.</t>
        </is>
      </c>
      <c r="L3221" t="inlineStr">
        <is>
          <t>[New York] : Herder and Herder, [1968]</t>
        </is>
      </c>
      <c r="M3221" t="inlineStr">
        <is>
          <t>1968</t>
        </is>
      </c>
      <c r="O3221" t="inlineStr">
        <is>
          <t>eng</t>
        </is>
      </c>
      <c r="P3221" t="inlineStr">
        <is>
          <t>nyu</t>
        </is>
      </c>
      <c r="R3221" t="inlineStr">
        <is>
          <t xml:space="preserve">BX </t>
        </is>
      </c>
      <c r="S3221" t="n">
        <v>6</v>
      </c>
      <c r="T3221" t="n">
        <v>6</v>
      </c>
      <c r="U3221" t="inlineStr">
        <is>
          <t>1993-10-29</t>
        </is>
      </c>
      <c r="V3221" t="inlineStr">
        <is>
          <t>1993-10-29</t>
        </is>
      </c>
      <c r="W3221" t="inlineStr">
        <is>
          <t>1992-05-26</t>
        </is>
      </c>
      <c r="X3221" t="inlineStr">
        <is>
          <t>1992-05-26</t>
        </is>
      </c>
      <c r="Y3221" t="n">
        <v>298</v>
      </c>
      <c r="Z3221" t="n">
        <v>253</v>
      </c>
      <c r="AA3221" t="n">
        <v>258</v>
      </c>
      <c r="AB3221" t="n">
        <v>4</v>
      </c>
      <c r="AC3221" t="n">
        <v>4</v>
      </c>
      <c r="AD3221" t="n">
        <v>37</v>
      </c>
      <c r="AE3221" t="n">
        <v>37</v>
      </c>
      <c r="AF3221" t="n">
        <v>13</v>
      </c>
      <c r="AG3221" t="n">
        <v>13</v>
      </c>
      <c r="AH3221" t="n">
        <v>8</v>
      </c>
      <c r="AI3221" t="n">
        <v>8</v>
      </c>
      <c r="AJ3221" t="n">
        <v>26</v>
      </c>
      <c r="AK3221" t="n">
        <v>26</v>
      </c>
      <c r="AL3221" t="n">
        <v>2</v>
      </c>
      <c r="AM3221" t="n">
        <v>2</v>
      </c>
      <c r="AN3221" t="n">
        <v>0</v>
      </c>
      <c r="AO3221" t="n">
        <v>0</v>
      </c>
      <c r="AP3221" t="inlineStr">
        <is>
          <t>No</t>
        </is>
      </c>
      <c r="AQ3221" t="inlineStr">
        <is>
          <t>Yes</t>
        </is>
      </c>
      <c r="AR3221">
        <f>HYPERLINK("http://catalog.hathitrust.org/Record/009957913","HathiTrust Record")</f>
        <v/>
      </c>
      <c r="AS3221">
        <f>HYPERLINK("https://creighton-primo.hosted.exlibrisgroup.com/primo-explore/search?tab=default_tab&amp;search_scope=EVERYTHING&amp;vid=01CRU&amp;lang=en_US&amp;offset=0&amp;query=any,contains,991002262889702656","Catalog Record")</f>
        <v/>
      </c>
      <c r="AT3221">
        <f>HYPERLINK("http://www.worldcat.org/oclc/305306","WorldCat Record")</f>
        <v/>
      </c>
      <c r="AU3221" t="inlineStr">
        <is>
          <t>1355597:eng</t>
        </is>
      </c>
      <c r="AV3221" t="inlineStr">
        <is>
          <t>305306</t>
        </is>
      </c>
      <c r="AW3221" t="inlineStr">
        <is>
          <t>991002262889702656</t>
        </is>
      </c>
      <c r="AX3221" t="inlineStr">
        <is>
          <t>991002262889702656</t>
        </is>
      </c>
      <c r="AY3221" t="inlineStr">
        <is>
          <t>2265562670002656</t>
        </is>
      </c>
      <c r="AZ3221" t="inlineStr">
        <is>
          <t>BOOK</t>
        </is>
      </c>
      <c r="BC3221" t="inlineStr">
        <is>
          <t>32285001084788</t>
        </is>
      </c>
      <c r="BD3221" t="inlineStr">
        <is>
          <t>893591125</t>
        </is>
      </c>
    </row>
    <row r="3222">
      <c r="A3222" t="inlineStr">
        <is>
          <t>No</t>
        </is>
      </c>
      <c r="B3222" t="inlineStr">
        <is>
          <t>BX926 .P76 1994</t>
        </is>
      </c>
      <c r="C3222" t="inlineStr">
        <is>
          <t>0                      BX 0926000P  76          1994</t>
        </is>
      </c>
      <c r="D3222" t="inlineStr">
        <is>
          <t>A self-assessment survey / [developed by James Deneen].</t>
        </is>
      </c>
      <c r="F3222" t="inlineStr">
        <is>
          <t>No</t>
        </is>
      </c>
      <c r="G3222" t="inlineStr">
        <is>
          <t>1</t>
        </is>
      </c>
      <c r="H3222" t="inlineStr">
        <is>
          <t>No</t>
        </is>
      </c>
      <c r="I3222" t="inlineStr">
        <is>
          <t>No</t>
        </is>
      </c>
      <c r="J3222" t="inlineStr">
        <is>
          <t>0</t>
        </is>
      </c>
      <c r="L3222" t="inlineStr">
        <is>
          <t>Washington, D.C. : United States Catholic Conference, Department of Education ; National catholic educational Association, c1994.</t>
        </is>
      </c>
      <c r="M3222" t="inlineStr">
        <is>
          <t>1994</t>
        </is>
      </c>
      <c r="O3222" t="inlineStr">
        <is>
          <t>eng</t>
        </is>
      </c>
      <c r="P3222" t="inlineStr">
        <is>
          <t>dcu</t>
        </is>
      </c>
      <c r="Q3222" t="inlineStr">
        <is>
          <t>Formation and development for Catholic school leaders</t>
        </is>
      </c>
      <c r="R3222" t="inlineStr">
        <is>
          <t xml:space="preserve">BX </t>
        </is>
      </c>
      <c r="S3222" t="n">
        <v>6</v>
      </c>
      <c r="T3222" t="n">
        <v>6</v>
      </c>
      <c r="U3222" t="inlineStr">
        <is>
          <t>1998-06-13</t>
        </is>
      </c>
      <c r="V3222" t="inlineStr">
        <is>
          <t>1998-06-13</t>
        </is>
      </c>
      <c r="W3222" t="inlineStr">
        <is>
          <t>1994-09-07</t>
        </is>
      </c>
      <c r="X3222" t="inlineStr">
        <is>
          <t>1994-09-07</t>
        </is>
      </c>
      <c r="Y3222" t="n">
        <v>49</v>
      </c>
      <c r="Z3222" t="n">
        <v>47</v>
      </c>
      <c r="AA3222" t="n">
        <v>47</v>
      </c>
      <c r="AB3222" t="n">
        <v>1</v>
      </c>
      <c r="AC3222" t="n">
        <v>1</v>
      </c>
      <c r="AD3222" t="n">
        <v>6</v>
      </c>
      <c r="AE3222" t="n">
        <v>6</v>
      </c>
      <c r="AF3222" t="n">
        <v>0</v>
      </c>
      <c r="AG3222" t="n">
        <v>0</v>
      </c>
      <c r="AH3222" t="n">
        <v>2</v>
      </c>
      <c r="AI3222" t="n">
        <v>2</v>
      </c>
      <c r="AJ3222" t="n">
        <v>5</v>
      </c>
      <c r="AK3222" t="n">
        <v>5</v>
      </c>
      <c r="AL3222" t="n">
        <v>0</v>
      </c>
      <c r="AM3222" t="n">
        <v>0</v>
      </c>
      <c r="AN3222" t="n">
        <v>0</v>
      </c>
      <c r="AO3222" t="n">
        <v>0</v>
      </c>
      <c r="AP3222" t="inlineStr">
        <is>
          <t>No</t>
        </is>
      </c>
      <c r="AQ3222" t="inlineStr">
        <is>
          <t>No</t>
        </is>
      </c>
      <c r="AS3222">
        <f>HYPERLINK("https://creighton-primo.hosted.exlibrisgroup.com/primo-explore/search?tab=default_tab&amp;search_scope=EVERYTHING&amp;vid=01CRU&amp;lang=en_US&amp;offset=0&amp;query=any,contains,991002385449702656","Catalog Record")</f>
        <v/>
      </c>
      <c r="AT3222">
        <f>HYPERLINK("http://www.worldcat.org/oclc/31008921","WorldCat Record")</f>
        <v/>
      </c>
      <c r="AU3222" t="inlineStr">
        <is>
          <t>32710694:eng</t>
        </is>
      </c>
      <c r="AV3222" t="inlineStr">
        <is>
          <t>31008921</t>
        </is>
      </c>
      <c r="AW3222" t="inlineStr">
        <is>
          <t>991002385449702656</t>
        </is>
      </c>
      <c r="AX3222" t="inlineStr">
        <is>
          <t>991002385449702656</t>
        </is>
      </c>
      <c r="AY3222" t="inlineStr">
        <is>
          <t>2259627690002656</t>
        </is>
      </c>
      <c r="AZ3222" t="inlineStr">
        <is>
          <t>BOOK</t>
        </is>
      </c>
      <c r="BB3222" t="inlineStr">
        <is>
          <t>9781555866631</t>
        </is>
      </c>
      <c r="BC3222" t="inlineStr">
        <is>
          <t>32285001867240</t>
        </is>
      </c>
      <c r="BD3222" t="inlineStr">
        <is>
          <t>893498061</t>
        </is>
      </c>
    </row>
    <row r="3223">
      <c r="A3223" t="inlineStr">
        <is>
          <t>No</t>
        </is>
      </c>
      <c r="B3223" t="inlineStr">
        <is>
          <t>BX926 .T7 1963</t>
        </is>
      </c>
      <c r="C3223" t="inlineStr">
        <is>
          <t>0                      BX 0926000T  7           1963</t>
        </is>
      </c>
      <c r="D3223" t="inlineStr">
        <is>
          <t>Catechetics today : a manuel for training CCD and parochial teachers of religion / Sister M. Berenice Trachta.</t>
        </is>
      </c>
      <c r="F3223" t="inlineStr">
        <is>
          <t>No</t>
        </is>
      </c>
      <c r="G3223" t="inlineStr">
        <is>
          <t>1</t>
        </is>
      </c>
      <c r="H3223" t="inlineStr">
        <is>
          <t>No</t>
        </is>
      </c>
      <c r="I3223" t="inlineStr">
        <is>
          <t>No</t>
        </is>
      </c>
      <c r="J3223" t="inlineStr">
        <is>
          <t>0</t>
        </is>
      </c>
      <c r="K3223" t="inlineStr">
        <is>
          <t>Trachta, Bernice.</t>
        </is>
      </c>
      <c r="L3223" t="inlineStr">
        <is>
          <t>San Antonio : Confraternity of Christian Doctrine, c1963, 1965 printing.</t>
        </is>
      </c>
      <c r="M3223" t="inlineStr">
        <is>
          <t>1963</t>
        </is>
      </c>
      <c r="N3223" t="inlineStr">
        <is>
          <t>[1st ed. rev.]</t>
        </is>
      </c>
      <c r="O3223" t="inlineStr">
        <is>
          <t>eng</t>
        </is>
      </c>
      <c r="P3223" t="inlineStr">
        <is>
          <t>txu</t>
        </is>
      </c>
      <c r="R3223" t="inlineStr">
        <is>
          <t xml:space="preserve">BX </t>
        </is>
      </c>
      <c r="S3223" t="n">
        <v>2</v>
      </c>
      <c r="T3223" t="n">
        <v>2</v>
      </c>
      <c r="U3223" t="inlineStr">
        <is>
          <t>1994-09-28</t>
        </is>
      </c>
      <c r="V3223" t="inlineStr">
        <is>
          <t>1994-09-28</t>
        </is>
      </c>
      <c r="W3223" t="inlineStr">
        <is>
          <t>1992-05-26</t>
        </is>
      </c>
      <c r="X3223" t="inlineStr">
        <is>
          <t>1992-05-26</t>
        </is>
      </c>
      <c r="Y3223" t="n">
        <v>29</v>
      </c>
      <c r="Z3223" t="n">
        <v>29</v>
      </c>
      <c r="AA3223" t="n">
        <v>29</v>
      </c>
      <c r="AB3223" t="n">
        <v>1</v>
      </c>
      <c r="AC3223" t="n">
        <v>1</v>
      </c>
      <c r="AD3223" t="n">
        <v>3</v>
      </c>
      <c r="AE3223" t="n">
        <v>3</v>
      </c>
      <c r="AF3223" t="n">
        <v>2</v>
      </c>
      <c r="AG3223" t="n">
        <v>2</v>
      </c>
      <c r="AH3223" t="n">
        <v>1</v>
      </c>
      <c r="AI3223" t="n">
        <v>1</v>
      </c>
      <c r="AJ3223" t="n">
        <v>2</v>
      </c>
      <c r="AK3223" t="n">
        <v>2</v>
      </c>
      <c r="AL3223" t="n">
        <v>0</v>
      </c>
      <c r="AM3223" t="n">
        <v>0</v>
      </c>
      <c r="AN3223" t="n">
        <v>0</v>
      </c>
      <c r="AO3223" t="n">
        <v>0</v>
      </c>
      <c r="AP3223" t="inlineStr">
        <is>
          <t>No</t>
        </is>
      </c>
      <c r="AQ3223" t="inlineStr">
        <is>
          <t>No</t>
        </is>
      </c>
      <c r="AS3223">
        <f>HYPERLINK("https://creighton-primo.hosted.exlibrisgroup.com/primo-explore/search?tab=default_tab&amp;search_scope=EVERYTHING&amp;vid=01CRU&amp;lang=en_US&amp;offset=0&amp;query=any,contains,991005014909702656","Catalog Record")</f>
        <v/>
      </c>
      <c r="AT3223">
        <f>HYPERLINK("http://www.worldcat.org/oclc/6624313","WorldCat Record")</f>
        <v/>
      </c>
      <c r="AU3223" t="inlineStr">
        <is>
          <t>335906125:eng</t>
        </is>
      </c>
      <c r="AV3223" t="inlineStr">
        <is>
          <t>6624313</t>
        </is>
      </c>
      <c r="AW3223" t="inlineStr">
        <is>
          <t>991005014909702656</t>
        </is>
      </c>
      <c r="AX3223" t="inlineStr">
        <is>
          <t>991005014909702656</t>
        </is>
      </c>
      <c r="AY3223" t="inlineStr">
        <is>
          <t>2263443040002656</t>
        </is>
      </c>
      <c r="AZ3223" t="inlineStr">
        <is>
          <t>BOOK</t>
        </is>
      </c>
      <c r="BC3223" t="inlineStr">
        <is>
          <t>32285001084820</t>
        </is>
      </c>
      <c r="BD3223" t="inlineStr">
        <is>
          <t>893353645</t>
        </is>
      </c>
    </row>
    <row r="3224">
      <c r="A3224" t="inlineStr">
        <is>
          <t>No</t>
        </is>
      </c>
      <c r="B3224" t="inlineStr">
        <is>
          <t>BX930 .H38 1996</t>
        </is>
      </c>
      <c r="C3224" t="inlineStr">
        <is>
          <t>0                      BX 0930000H  38          1996</t>
        </is>
      </c>
      <c r="D3224" t="inlineStr">
        <is>
          <t>Catholicism and life / Edward J. Hayes, Paul J. Hayes, and James J. Drummey.</t>
        </is>
      </c>
      <c r="F3224" t="inlineStr">
        <is>
          <t>No</t>
        </is>
      </c>
      <c r="G3224" t="inlineStr">
        <is>
          <t>1</t>
        </is>
      </c>
      <c r="H3224" t="inlineStr">
        <is>
          <t>Yes</t>
        </is>
      </c>
      <c r="I3224" t="inlineStr">
        <is>
          <t>No</t>
        </is>
      </c>
      <c r="J3224" t="inlineStr">
        <is>
          <t>0</t>
        </is>
      </c>
      <c r="K3224" t="inlineStr">
        <is>
          <t>Hayes, Edward J.</t>
        </is>
      </c>
      <c r="L3224" t="inlineStr">
        <is>
          <t>Norwood, Mass. : C.R. Publications, c1996.</t>
        </is>
      </c>
      <c r="M3224" t="inlineStr">
        <is>
          <t>1996</t>
        </is>
      </c>
      <c r="O3224" t="inlineStr">
        <is>
          <t>eng</t>
        </is>
      </c>
      <c r="P3224" t="inlineStr">
        <is>
          <t>mau</t>
        </is>
      </c>
      <c r="R3224" t="inlineStr">
        <is>
          <t xml:space="preserve">BX </t>
        </is>
      </c>
      <c r="S3224" t="n">
        <v>4</v>
      </c>
      <c r="T3224" t="n">
        <v>6</v>
      </c>
      <c r="U3224" t="inlineStr">
        <is>
          <t>2002-04-29</t>
        </is>
      </c>
      <c r="V3224" t="inlineStr">
        <is>
          <t>2002-04-29</t>
        </is>
      </c>
      <c r="W3224" t="inlineStr">
        <is>
          <t>1999-08-10</t>
        </is>
      </c>
      <c r="X3224" t="inlineStr">
        <is>
          <t>1999-08-10</t>
        </is>
      </c>
      <c r="Y3224" t="n">
        <v>49</v>
      </c>
      <c r="Z3224" t="n">
        <v>43</v>
      </c>
      <c r="AA3224" t="n">
        <v>65</v>
      </c>
      <c r="AB3224" t="n">
        <v>3</v>
      </c>
      <c r="AC3224" t="n">
        <v>3</v>
      </c>
      <c r="AD3224" t="n">
        <v>2</v>
      </c>
      <c r="AE3224" t="n">
        <v>3</v>
      </c>
      <c r="AF3224" t="n">
        <v>0</v>
      </c>
      <c r="AG3224" t="n">
        <v>0</v>
      </c>
      <c r="AH3224" t="n">
        <v>1</v>
      </c>
      <c r="AI3224" t="n">
        <v>1</v>
      </c>
      <c r="AJ3224" t="n">
        <v>1</v>
      </c>
      <c r="AK3224" t="n">
        <v>2</v>
      </c>
      <c r="AL3224" t="n">
        <v>0</v>
      </c>
      <c r="AM3224" t="n">
        <v>0</v>
      </c>
      <c r="AN3224" t="n">
        <v>0</v>
      </c>
      <c r="AO3224" t="n">
        <v>0</v>
      </c>
      <c r="AP3224" t="inlineStr">
        <is>
          <t>No</t>
        </is>
      </c>
      <c r="AQ3224" t="inlineStr">
        <is>
          <t>No</t>
        </is>
      </c>
      <c r="AS3224">
        <f>HYPERLINK("https://creighton-primo.hosted.exlibrisgroup.com/primo-explore/search?tab=default_tab&amp;search_scope=EVERYTHING&amp;vid=01CRU&amp;lang=en_US&amp;offset=0&amp;query=any,contains,991002874499702656","Catalog Record")</f>
        <v/>
      </c>
      <c r="AT3224">
        <f>HYPERLINK("http://www.worldcat.org/oclc/37880504","WorldCat Record")</f>
        <v/>
      </c>
      <c r="AU3224" t="inlineStr">
        <is>
          <t>4743434:eng</t>
        </is>
      </c>
      <c r="AV3224" t="inlineStr">
        <is>
          <t>37880504</t>
        </is>
      </c>
      <c r="AW3224" t="inlineStr">
        <is>
          <t>991002874499702656</t>
        </is>
      </c>
      <c r="AX3224" t="inlineStr">
        <is>
          <t>991002874499702656</t>
        </is>
      </c>
      <c r="AY3224" t="inlineStr">
        <is>
          <t>2269613590002656</t>
        </is>
      </c>
      <c r="AZ3224" t="inlineStr">
        <is>
          <t>BOOK</t>
        </is>
      </c>
      <c r="BB3224" t="inlineStr">
        <is>
          <t>9780964908734</t>
        </is>
      </c>
      <c r="BC3224" t="inlineStr">
        <is>
          <t>32285003581393</t>
        </is>
      </c>
      <c r="BD3224" t="inlineStr">
        <is>
          <t>893233536</t>
        </is>
      </c>
    </row>
    <row r="3225">
      <c r="A3225" t="inlineStr">
        <is>
          <t>No</t>
        </is>
      </c>
      <c r="B3225" t="inlineStr">
        <is>
          <t>BX930 .H38 1996</t>
        </is>
      </c>
      <c r="C3225" t="inlineStr">
        <is>
          <t>0                      BX 0930000H  38          1996</t>
        </is>
      </c>
      <c r="D3225" t="inlineStr">
        <is>
          <t>Catholicism and life / Edward J. Hayes, Paul J. Hayes, and James J. Drummey.</t>
        </is>
      </c>
      <c r="F3225" t="inlineStr">
        <is>
          <t>No</t>
        </is>
      </c>
      <c r="G3225" t="inlineStr">
        <is>
          <t>1</t>
        </is>
      </c>
      <c r="H3225" t="inlineStr">
        <is>
          <t>Yes</t>
        </is>
      </c>
      <c r="I3225" t="inlineStr">
        <is>
          <t>No</t>
        </is>
      </c>
      <c r="J3225" t="inlineStr">
        <is>
          <t>0</t>
        </is>
      </c>
      <c r="K3225" t="inlineStr">
        <is>
          <t>Hayes, Edward J.</t>
        </is>
      </c>
      <c r="L3225" t="inlineStr">
        <is>
          <t>Norwood, Mass. : C.R. Publications, c1996.</t>
        </is>
      </c>
      <c r="M3225" t="inlineStr">
        <is>
          <t>1996</t>
        </is>
      </c>
      <c r="O3225" t="inlineStr">
        <is>
          <t>eng</t>
        </is>
      </c>
      <c r="P3225" t="inlineStr">
        <is>
          <t>mau</t>
        </is>
      </c>
      <c r="R3225" t="inlineStr">
        <is>
          <t xml:space="preserve">BX </t>
        </is>
      </c>
      <c r="S3225" t="n">
        <v>2</v>
      </c>
      <c r="T3225" t="n">
        <v>6</v>
      </c>
      <c r="U3225" t="inlineStr">
        <is>
          <t>2002-04-29</t>
        </is>
      </c>
      <c r="V3225" t="inlineStr">
        <is>
          <t>2002-04-29</t>
        </is>
      </c>
      <c r="W3225" t="inlineStr">
        <is>
          <t>1999-08-10</t>
        </is>
      </c>
      <c r="X3225" t="inlineStr">
        <is>
          <t>1999-08-10</t>
        </is>
      </c>
      <c r="Y3225" t="n">
        <v>49</v>
      </c>
      <c r="Z3225" t="n">
        <v>43</v>
      </c>
      <c r="AA3225" t="n">
        <v>65</v>
      </c>
      <c r="AB3225" t="n">
        <v>3</v>
      </c>
      <c r="AC3225" t="n">
        <v>3</v>
      </c>
      <c r="AD3225" t="n">
        <v>2</v>
      </c>
      <c r="AE3225" t="n">
        <v>3</v>
      </c>
      <c r="AF3225" t="n">
        <v>0</v>
      </c>
      <c r="AG3225" t="n">
        <v>0</v>
      </c>
      <c r="AH3225" t="n">
        <v>1</v>
      </c>
      <c r="AI3225" t="n">
        <v>1</v>
      </c>
      <c r="AJ3225" t="n">
        <v>1</v>
      </c>
      <c r="AK3225" t="n">
        <v>2</v>
      </c>
      <c r="AL3225" t="n">
        <v>0</v>
      </c>
      <c r="AM3225" t="n">
        <v>0</v>
      </c>
      <c r="AN3225" t="n">
        <v>0</v>
      </c>
      <c r="AO3225" t="n">
        <v>0</v>
      </c>
      <c r="AP3225" t="inlineStr">
        <is>
          <t>No</t>
        </is>
      </c>
      <c r="AQ3225" t="inlineStr">
        <is>
          <t>No</t>
        </is>
      </c>
      <c r="AS3225">
        <f>HYPERLINK("https://creighton-primo.hosted.exlibrisgroup.com/primo-explore/search?tab=default_tab&amp;search_scope=EVERYTHING&amp;vid=01CRU&amp;lang=en_US&amp;offset=0&amp;query=any,contains,991002874499702656","Catalog Record")</f>
        <v/>
      </c>
      <c r="AT3225">
        <f>HYPERLINK("http://www.worldcat.org/oclc/37880504","WorldCat Record")</f>
        <v/>
      </c>
      <c r="AU3225" t="inlineStr">
        <is>
          <t>4743434:eng</t>
        </is>
      </c>
      <c r="AV3225" t="inlineStr">
        <is>
          <t>37880504</t>
        </is>
      </c>
      <c r="AW3225" t="inlineStr">
        <is>
          <t>991002874499702656</t>
        </is>
      </c>
      <c r="AX3225" t="inlineStr">
        <is>
          <t>991002874499702656</t>
        </is>
      </c>
      <c r="AY3225" t="inlineStr">
        <is>
          <t>2269613590002656</t>
        </is>
      </c>
      <c r="AZ3225" t="inlineStr">
        <is>
          <t>BOOK</t>
        </is>
      </c>
      <c r="BB3225" t="inlineStr">
        <is>
          <t>9780964908734</t>
        </is>
      </c>
      <c r="BC3225" t="inlineStr">
        <is>
          <t>32285003581401</t>
        </is>
      </c>
      <c r="BD3225" t="inlineStr">
        <is>
          <t>893233537</t>
        </is>
      </c>
    </row>
    <row r="3226">
      <c r="A3226" t="inlineStr">
        <is>
          <t>No</t>
        </is>
      </c>
      <c r="B3226" t="inlineStr">
        <is>
          <t>BX930 .S35 1937</t>
        </is>
      </c>
      <c r="C3226" t="inlineStr">
        <is>
          <t>0                      BX 0930000S  35          1937</t>
        </is>
      </c>
      <c r="D3226" t="inlineStr">
        <is>
          <t>Faith and reason : a first course in apologetics / by Austin G. Schmidt and Joseph A. Perkins.</t>
        </is>
      </c>
      <c r="F3226" t="inlineStr">
        <is>
          <t>No</t>
        </is>
      </c>
      <c r="G3226" t="inlineStr">
        <is>
          <t>1</t>
        </is>
      </c>
      <c r="H3226" t="inlineStr">
        <is>
          <t>No</t>
        </is>
      </c>
      <c r="I3226" t="inlineStr">
        <is>
          <t>No</t>
        </is>
      </c>
      <c r="J3226" t="inlineStr">
        <is>
          <t>0</t>
        </is>
      </c>
      <c r="K3226" t="inlineStr">
        <is>
          <t>Schmidt, Austin G. (Austin Guilford), 1883-1960.</t>
        </is>
      </c>
      <c r="L3226" t="inlineStr">
        <is>
          <t>Chicago, Ill., Loyola university press [c1937]</t>
        </is>
      </c>
      <c r="M3226" t="inlineStr">
        <is>
          <t>1937</t>
        </is>
      </c>
      <c r="N3226" t="inlineStr">
        <is>
          <t>2d and rev. ed.</t>
        </is>
      </c>
      <c r="O3226" t="inlineStr">
        <is>
          <t>eng</t>
        </is>
      </c>
      <c r="P3226" t="inlineStr">
        <is>
          <t>ilu</t>
        </is>
      </c>
      <c r="R3226" t="inlineStr">
        <is>
          <t xml:space="preserve">BX </t>
        </is>
      </c>
      <c r="S3226" t="n">
        <v>1</v>
      </c>
      <c r="T3226" t="n">
        <v>1</v>
      </c>
      <c r="U3226" t="inlineStr">
        <is>
          <t>2007-04-11</t>
        </is>
      </c>
      <c r="V3226" t="inlineStr">
        <is>
          <t>2007-04-11</t>
        </is>
      </c>
      <c r="W3226" t="inlineStr">
        <is>
          <t>1992-05-26</t>
        </is>
      </c>
      <c r="X3226" t="inlineStr">
        <is>
          <t>1992-05-26</t>
        </is>
      </c>
      <c r="Y3226" t="n">
        <v>60</v>
      </c>
      <c r="Z3226" t="n">
        <v>52</v>
      </c>
      <c r="AA3226" t="n">
        <v>87</v>
      </c>
      <c r="AB3226" t="n">
        <v>2</v>
      </c>
      <c r="AC3226" t="n">
        <v>2</v>
      </c>
      <c r="AD3226" t="n">
        <v>10</v>
      </c>
      <c r="AE3226" t="n">
        <v>13</v>
      </c>
      <c r="AF3226" t="n">
        <v>2</v>
      </c>
      <c r="AG3226" t="n">
        <v>3</v>
      </c>
      <c r="AH3226" t="n">
        <v>3</v>
      </c>
      <c r="AI3226" t="n">
        <v>4</v>
      </c>
      <c r="AJ3226" t="n">
        <v>8</v>
      </c>
      <c r="AK3226" t="n">
        <v>10</v>
      </c>
      <c r="AL3226" t="n">
        <v>0</v>
      </c>
      <c r="AM3226" t="n">
        <v>0</v>
      </c>
      <c r="AN3226" t="n">
        <v>0</v>
      </c>
      <c r="AO3226" t="n">
        <v>0</v>
      </c>
      <c r="AP3226" t="inlineStr">
        <is>
          <t>No</t>
        </is>
      </c>
      <c r="AQ3226" t="inlineStr">
        <is>
          <t>No</t>
        </is>
      </c>
      <c r="AS3226">
        <f>HYPERLINK("https://creighton-primo.hosted.exlibrisgroup.com/primo-explore/search?tab=default_tab&amp;search_scope=EVERYTHING&amp;vid=01CRU&amp;lang=en_US&amp;offset=0&amp;query=any,contains,991003925009702656","Catalog Record")</f>
        <v/>
      </c>
      <c r="AT3226">
        <f>HYPERLINK("http://www.worldcat.org/oclc/1880608","WorldCat Record")</f>
        <v/>
      </c>
      <c r="AU3226" t="inlineStr">
        <is>
          <t>1948835:eng</t>
        </is>
      </c>
      <c r="AV3226" t="inlineStr">
        <is>
          <t>1880608</t>
        </is>
      </c>
      <c r="AW3226" t="inlineStr">
        <is>
          <t>991003925009702656</t>
        </is>
      </c>
      <c r="AX3226" t="inlineStr">
        <is>
          <t>991003925009702656</t>
        </is>
      </c>
      <c r="AY3226" t="inlineStr">
        <is>
          <t>2257465400002656</t>
        </is>
      </c>
      <c r="AZ3226" t="inlineStr">
        <is>
          <t>BOOK</t>
        </is>
      </c>
      <c r="BC3226" t="inlineStr">
        <is>
          <t>32285001084911</t>
        </is>
      </c>
      <c r="BD3226" t="inlineStr">
        <is>
          <t>893699597</t>
        </is>
      </c>
    </row>
    <row r="3227">
      <c r="A3227" t="inlineStr">
        <is>
          <t>No</t>
        </is>
      </c>
      <c r="B3227" t="inlineStr">
        <is>
          <t>BX9313 .E4</t>
        </is>
      </c>
      <c r="C3227" t="inlineStr">
        <is>
          <t>0                      BX 9313000E  4</t>
        </is>
      </c>
      <c r="D3227" t="inlineStr">
        <is>
          <t>English Puritanism from John Hooper to John Milton / [by] Everett H. Emerson.</t>
        </is>
      </c>
      <c r="F3227" t="inlineStr">
        <is>
          <t>No</t>
        </is>
      </c>
      <c r="G3227" t="inlineStr">
        <is>
          <t>1</t>
        </is>
      </c>
      <c r="H3227" t="inlineStr">
        <is>
          <t>No</t>
        </is>
      </c>
      <c r="I3227" t="inlineStr">
        <is>
          <t>No</t>
        </is>
      </c>
      <c r="J3227" t="inlineStr">
        <is>
          <t>0</t>
        </is>
      </c>
      <c r="K3227" t="inlineStr">
        <is>
          <t>Emerson, Everett H., 1925-2002.</t>
        </is>
      </c>
      <c r="L3227" t="inlineStr">
        <is>
          <t>Durham, N.C. : Duke University Press, 1968.</t>
        </is>
      </c>
      <c r="M3227" t="inlineStr">
        <is>
          <t>1968</t>
        </is>
      </c>
      <c r="O3227" t="inlineStr">
        <is>
          <t>eng</t>
        </is>
      </c>
      <c r="P3227" t="inlineStr">
        <is>
          <t>ncu</t>
        </is>
      </c>
      <c r="R3227" t="inlineStr">
        <is>
          <t xml:space="preserve">BX </t>
        </is>
      </c>
      <c r="S3227" t="n">
        <v>5</v>
      </c>
      <c r="T3227" t="n">
        <v>5</v>
      </c>
      <c r="U3227" t="inlineStr">
        <is>
          <t>2007-11-28</t>
        </is>
      </c>
      <c r="V3227" t="inlineStr">
        <is>
          <t>2007-11-28</t>
        </is>
      </c>
      <c r="W3227" t="inlineStr">
        <is>
          <t>1992-05-22</t>
        </is>
      </c>
      <c r="X3227" t="inlineStr">
        <is>
          <t>1992-05-22</t>
        </is>
      </c>
      <c r="Y3227" t="n">
        <v>828</v>
      </c>
      <c r="Z3227" t="n">
        <v>724</v>
      </c>
      <c r="AA3227" t="n">
        <v>727</v>
      </c>
      <c r="AB3227" t="n">
        <v>5</v>
      </c>
      <c r="AC3227" t="n">
        <v>5</v>
      </c>
      <c r="AD3227" t="n">
        <v>35</v>
      </c>
      <c r="AE3227" t="n">
        <v>35</v>
      </c>
      <c r="AF3227" t="n">
        <v>14</v>
      </c>
      <c r="AG3227" t="n">
        <v>14</v>
      </c>
      <c r="AH3227" t="n">
        <v>9</v>
      </c>
      <c r="AI3227" t="n">
        <v>9</v>
      </c>
      <c r="AJ3227" t="n">
        <v>17</v>
      </c>
      <c r="AK3227" t="n">
        <v>17</v>
      </c>
      <c r="AL3227" t="n">
        <v>4</v>
      </c>
      <c r="AM3227" t="n">
        <v>4</v>
      </c>
      <c r="AN3227" t="n">
        <v>0</v>
      </c>
      <c r="AO3227" t="n">
        <v>0</v>
      </c>
      <c r="AP3227" t="inlineStr">
        <is>
          <t>No</t>
        </is>
      </c>
      <c r="AQ3227" t="inlineStr">
        <is>
          <t>Yes</t>
        </is>
      </c>
      <c r="AR3227">
        <f>HYPERLINK("http://catalog.hathitrust.org/Record/001594405","HathiTrust Record")</f>
        <v/>
      </c>
      <c r="AS3227">
        <f>HYPERLINK("https://creighton-primo.hosted.exlibrisgroup.com/primo-explore/search?tab=default_tab&amp;search_scope=EVERYTHING&amp;vid=01CRU&amp;lang=en_US&amp;offset=0&amp;query=any,contains,991002664569702656","Catalog Record")</f>
        <v/>
      </c>
      <c r="AT3227">
        <f>HYPERLINK("http://www.worldcat.org/oclc/392680","WorldCat Record")</f>
        <v/>
      </c>
      <c r="AU3227" t="inlineStr">
        <is>
          <t>1529981:eng</t>
        </is>
      </c>
      <c r="AV3227" t="inlineStr">
        <is>
          <t>392680</t>
        </is>
      </c>
      <c r="AW3227" t="inlineStr">
        <is>
          <t>991002664569702656</t>
        </is>
      </c>
      <c r="AX3227" t="inlineStr">
        <is>
          <t>991002664569702656</t>
        </is>
      </c>
      <c r="AY3227" t="inlineStr">
        <is>
          <t>2263576840002656</t>
        </is>
      </c>
      <c r="AZ3227" t="inlineStr">
        <is>
          <t>BOOK</t>
        </is>
      </c>
      <c r="BC3227" t="inlineStr">
        <is>
          <t>32285001140846</t>
        </is>
      </c>
      <c r="BD3227" t="inlineStr">
        <is>
          <t>893329382</t>
        </is>
      </c>
    </row>
    <row r="3228">
      <c r="A3228" t="inlineStr">
        <is>
          <t>No</t>
        </is>
      </c>
      <c r="B3228" t="inlineStr">
        <is>
          <t>BX932 .H44 1997</t>
        </is>
      </c>
      <c r="C3228" t="inlineStr">
        <is>
          <t>0                      BX 0932000H  44          1997</t>
        </is>
      </c>
      <c r="D3228" t="inlineStr">
        <is>
          <t>Patterns and possibilities : exploring religious education in the Catholic secondary school / James Heft, Thomas Groome, Lars Lund ; Mary Frances Taymans, editor.</t>
        </is>
      </c>
      <c r="F3228" t="inlineStr">
        <is>
          <t>No</t>
        </is>
      </c>
      <c r="G3228" t="inlineStr">
        <is>
          <t>1</t>
        </is>
      </c>
      <c r="H3228" t="inlineStr">
        <is>
          <t>No</t>
        </is>
      </c>
      <c r="I3228" t="inlineStr">
        <is>
          <t>No</t>
        </is>
      </c>
      <c r="J3228" t="inlineStr">
        <is>
          <t>0</t>
        </is>
      </c>
      <c r="K3228" t="inlineStr">
        <is>
          <t>Heft, James.</t>
        </is>
      </c>
      <c r="L3228" t="inlineStr">
        <is>
          <t>Washington, D.C. : National Catholic Educational Association, c1997.</t>
        </is>
      </c>
      <c r="M3228" t="inlineStr">
        <is>
          <t>1997</t>
        </is>
      </c>
      <c r="O3228" t="inlineStr">
        <is>
          <t>eng</t>
        </is>
      </c>
      <c r="P3228" t="inlineStr">
        <is>
          <t>dcu</t>
        </is>
      </c>
      <c r="R3228" t="inlineStr">
        <is>
          <t xml:space="preserve">BX </t>
        </is>
      </c>
      <c r="S3228" t="n">
        <v>6</v>
      </c>
      <c r="T3228" t="n">
        <v>6</v>
      </c>
      <c r="U3228" t="inlineStr">
        <is>
          <t>2010-06-21</t>
        </is>
      </c>
      <c r="V3228" t="inlineStr">
        <is>
          <t>2010-06-21</t>
        </is>
      </c>
      <c r="W3228" t="inlineStr">
        <is>
          <t>1998-02-10</t>
        </is>
      </c>
      <c r="X3228" t="inlineStr">
        <is>
          <t>1998-02-10</t>
        </is>
      </c>
      <c r="Y3228" t="n">
        <v>30</v>
      </c>
      <c r="Z3228" t="n">
        <v>27</v>
      </c>
      <c r="AA3228" t="n">
        <v>30</v>
      </c>
      <c r="AB3228" t="n">
        <v>1</v>
      </c>
      <c r="AC3228" t="n">
        <v>1</v>
      </c>
      <c r="AD3228" t="n">
        <v>8</v>
      </c>
      <c r="AE3228" t="n">
        <v>9</v>
      </c>
      <c r="AF3228" t="n">
        <v>3</v>
      </c>
      <c r="AG3228" t="n">
        <v>3</v>
      </c>
      <c r="AH3228" t="n">
        <v>1</v>
      </c>
      <c r="AI3228" t="n">
        <v>2</v>
      </c>
      <c r="AJ3228" t="n">
        <v>6</v>
      </c>
      <c r="AK3228" t="n">
        <v>6</v>
      </c>
      <c r="AL3228" t="n">
        <v>0</v>
      </c>
      <c r="AM3228" t="n">
        <v>0</v>
      </c>
      <c r="AN3228" t="n">
        <v>0</v>
      </c>
      <c r="AO3228" t="n">
        <v>0</v>
      </c>
      <c r="AP3228" t="inlineStr">
        <is>
          <t>No</t>
        </is>
      </c>
      <c r="AQ3228" t="inlineStr">
        <is>
          <t>No</t>
        </is>
      </c>
      <c r="AS3228">
        <f>HYPERLINK("https://creighton-primo.hosted.exlibrisgroup.com/primo-explore/search?tab=default_tab&amp;search_scope=EVERYTHING&amp;vid=01CRU&amp;lang=en_US&amp;offset=0&amp;query=any,contains,991002898769702656","Catalog Record")</f>
        <v/>
      </c>
      <c r="AT3228">
        <f>HYPERLINK("http://www.worldcat.org/oclc/38211107","WorldCat Record")</f>
        <v/>
      </c>
      <c r="AU3228" t="inlineStr">
        <is>
          <t>33400921:eng</t>
        </is>
      </c>
      <c r="AV3228" t="inlineStr">
        <is>
          <t>38211107</t>
        </is>
      </c>
      <c r="AW3228" t="inlineStr">
        <is>
          <t>991002898769702656</t>
        </is>
      </c>
      <c r="AX3228" t="inlineStr">
        <is>
          <t>991002898769702656</t>
        </is>
      </c>
      <c r="AY3228" t="inlineStr">
        <is>
          <t>2258545240002656</t>
        </is>
      </c>
      <c r="AZ3228" t="inlineStr">
        <is>
          <t>BOOK</t>
        </is>
      </c>
      <c r="BC3228" t="inlineStr">
        <is>
          <t>32285003266292</t>
        </is>
      </c>
      <c r="BD3228" t="inlineStr">
        <is>
          <t>893335871</t>
        </is>
      </c>
    </row>
    <row r="3229">
      <c r="A3229" t="inlineStr">
        <is>
          <t>No</t>
        </is>
      </c>
      <c r="B3229" t="inlineStr">
        <is>
          <t>BX932 .W37 1989</t>
        </is>
      </c>
      <c r="C3229" t="inlineStr">
        <is>
          <t>0                      BX 0932000W  37          1989</t>
        </is>
      </c>
      <c r="D3229" t="inlineStr">
        <is>
          <t>Faith, culture, and the worshiping community / Michael Warren.</t>
        </is>
      </c>
      <c r="F3229" t="inlineStr">
        <is>
          <t>No</t>
        </is>
      </c>
      <c r="G3229" t="inlineStr">
        <is>
          <t>1</t>
        </is>
      </c>
      <c r="H3229" t="inlineStr">
        <is>
          <t>No</t>
        </is>
      </c>
      <c r="I3229" t="inlineStr">
        <is>
          <t>No</t>
        </is>
      </c>
      <c r="J3229" t="inlineStr">
        <is>
          <t>0</t>
        </is>
      </c>
      <c r="K3229" t="inlineStr">
        <is>
          <t>Warren, Michael, 1935-</t>
        </is>
      </c>
      <c r="L3229" t="inlineStr">
        <is>
          <t>New York : Paulist Press, c1989.</t>
        </is>
      </c>
      <c r="M3229" t="inlineStr">
        <is>
          <t>1989</t>
        </is>
      </c>
      <c r="O3229" t="inlineStr">
        <is>
          <t>eng</t>
        </is>
      </c>
      <c r="P3229" t="inlineStr">
        <is>
          <t>nyu</t>
        </is>
      </c>
      <c r="R3229" t="inlineStr">
        <is>
          <t xml:space="preserve">BX </t>
        </is>
      </c>
      <c r="S3229" t="n">
        <v>6</v>
      </c>
      <c r="T3229" t="n">
        <v>6</v>
      </c>
      <c r="U3229" t="inlineStr">
        <is>
          <t>1995-02-23</t>
        </is>
      </c>
      <c r="V3229" t="inlineStr">
        <is>
          <t>1995-02-23</t>
        </is>
      </c>
      <c r="W3229" t="inlineStr">
        <is>
          <t>1992-01-28</t>
        </is>
      </c>
      <c r="X3229" t="inlineStr">
        <is>
          <t>1992-01-28</t>
        </is>
      </c>
      <c r="Y3229" t="n">
        <v>165</v>
      </c>
      <c r="Z3229" t="n">
        <v>129</v>
      </c>
      <c r="AA3229" t="n">
        <v>157</v>
      </c>
      <c r="AB3229" t="n">
        <v>3</v>
      </c>
      <c r="AC3229" t="n">
        <v>3</v>
      </c>
      <c r="AD3229" t="n">
        <v>15</v>
      </c>
      <c r="AE3229" t="n">
        <v>20</v>
      </c>
      <c r="AF3229" t="n">
        <v>2</v>
      </c>
      <c r="AG3229" t="n">
        <v>5</v>
      </c>
      <c r="AH3229" t="n">
        <v>3</v>
      </c>
      <c r="AI3229" t="n">
        <v>4</v>
      </c>
      <c r="AJ3229" t="n">
        <v>10</v>
      </c>
      <c r="AK3229" t="n">
        <v>12</v>
      </c>
      <c r="AL3229" t="n">
        <v>2</v>
      </c>
      <c r="AM3229" t="n">
        <v>2</v>
      </c>
      <c r="AN3229" t="n">
        <v>0</v>
      </c>
      <c r="AO3229" t="n">
        <v>0</v>
      </c>
      <c r="AP3229" t="inlineStr">
        <is>
          <t>No</t>
        </is>
      </c>
      <c r="AQ3229" t="inlineStr">
        <is>
          <t>No</t>
        </is>
      </c>
      <c r="AS3229">
        <f>HYPERLINK("https://creighton-primo.hosted.exlibrisgroup.com/primo-explore/search?tab=default_tab&amp;search_scope=EVERYTHING&amp;vid=01CRU&amp;lang=en_US&amp;offset=0&amp;query=any,contains,991001372739702656","Catalog Record")</f>
        <v/>
      </c>
      <c r="AT3229">
        <f>HYPERLINK("http://www.worldcat.org/oclc/18588753","WorldCat Record")</f>
        <v/>
      </c>
      <c r="AU3229" t="inlineStr">
        <is>
          <t>17998105:eng</t>
        </is>
      </c>
      <c r="AV3229" t="inlineStr">
        <is>
          <t>18588753</t>
        </is>
      </c>
      <c r="AW3229" t="inlineStr">
        <is>
          <t>991001372739702656</t>
        </is>
      </c>
      <c r="AX3229" t="inlineStr">
        <is>
          <t>991001372739702656</t>
        </is>
      </c>
      <c r="AY3229" t="inlineStr">
        <is>
          <t>2266158600002656</t>
        </is>
      </c>
      <c r="AZ3229" t="inlineStr">
        <is>
          <t>BOOK</t>
        </is>
      </c>
      <c r="BB3229" t="inlineStr">
        <is>
          <t>9780809130498</t>
        </is>
      </c>
      <c r="BC3229" t="inlineStr">
        <is>
          <t>32285000919737</t>
        </is>
      </c>
      <c r="BD3229" t="inlineStr">
        <is>
          <t>893590235</t>
        </is>
      </c>
    </row>
    <row r="3230">
      <c r="A3230" t="inlineStr">
        <is>
          <t>No</t>
        </is>
      </c>
      <c r="B3230" t="inlineStr">
        <is>
          <t>BX9321 .S34</t>
        </is>
      </c>
      <c r="C3230" t="inlineStr">
        <is>
          <t>0                      BX 9321000S  34</t>
        </is>
      </c>
      <c r="D3230" t="inlineStr">
        <is>
          <t>The Puritan mind / by Herbert Wallace Schneider.</t>
        </is>
      </c>
      <c r="F3230" t="inlineStr">
        <is>
          <t>No</t>
        </is>
      </c>
      <c r="G3230" t="inlineStr">
        <is>
          <t>1</t>
        </is>
      </c>
      <c r="H3230" t="inlineStr">
        <is>
          <t>No</t>
        </is>
      </c>
      <c r="I3230" t="inlineStr">
        <is>
          <t>No</t>
        </is>
      </c>
      <c r="J3230" t="inlineStr">
        <is>
          <t>0</t>
        </is>
      </c>
      <c r="K3230" t="inlineStr">
        <is>
          <t>Schneider, Herbert W. (Herbert Wallace), 1892-1984.</t>
        </is>
      </c>
      <c r="L3230" t="inlineStr">
        <is>
          <t>New York : H. Holt and company, [c1930]</t>
        </is>
      </c>
      <c r="M3230" t="inlineStr">
        <is>
          <t>1930</t>
        </is>
      </c>
      <c r="O3230" t="inlineStr">
        <is>
          <t>eng</t>
        </is>
      </c>
      <c r="P3230" t="inlineStr">
        <is>
          <t>___</t>
        </is>
      </c>
      <c r="Q3230" t="inlineStr">
        <is>
          <t>Studies in religion and culture. American religion series, 1</t>
        </is>
      </c>
      <c r="R3230" t="inlineStr">
        <is>
          <t xml:space="preserve">BX </t>
        </is>
      </c>
      <c r="S3230" t="n">
        <v>4</v>
      </c>
      <c r="T3230" t="n">
        <v>4</v>
      </c>
      <c r="U3230" t="inlineStr">
        <is>
          <t>2007-11-28</t>
        </is>
      </c>
      <c r="V3230" t="inlineStr">
        <is>
          <t>2007-11-28</t>
        </is>
      </c>
      <c r="W3230" t="inlineStr">
        <is>
          <t>1992-05-22</t>
        </is>
      </c>
      <c r="X3230" t="inlineStr">
        <is>
          <t>1992-05-22</t>
        </is>
      </c>
      <c r="Y3230" t="n">
        <v>386</v>
      </c>
      <c r="Z3230" t="n">
        <v>364</v>
      </c>
      <c r="AA3230" t="n">
        <v>366</v>
      </c>
      <c r="AB3230" t="n">
        <v>5</v>
      </c>
      <c r="AC3230" t="n">
        <v>5</v>
      </c>
      <c r="AD3230" t="n">
        <v>22</v>
      </c>
      <c r="AE3230" t="n">
        <v>22</v>
      </c>
      <c r="AF3230" t="n">
        <v>7</v>
      </c>
      <c r="AG3230" t="n">
        <v>7</v>
      </c>
      <c r="AH3230" t="n">
        <v>5</v>
      </c>
      <c r="AI3230" t="n">
        <v>5</v>
      </c>
      <c r="AJ3230" t="n">
        <v>12</v>
      </c>
      <c r="AK3230" t="n">
        <v>12</v>
      </c>
      <c r="AL3230" t="n">
        <v>4</v>
      </c>
      <c r="AM3230" t="n">
        <v>4</v>
      </c>
      <c r="AN3230" t="n">
        <v>0</v>
      </c>
      <c r="AO3230" t="n">
        <v>0</v>
      </c>
      <c r="AP3230" t="inlineStr">
        <is>
          <t>No</t>
        </is>
      </c>
      <c r="AQ3230" t="inlineStr">
        <is>
          <t>No</t>
        </is>
      </c>
      <c r="AR3230">
        <f>HYPERLINK("http://catalog.hathitrust.org/Record/001594417","HathiTrust Record")</f>
        <v/>
      </c>
      <c r="AS3230">
        <f>HYPERLINK("https://creighton-primo.hosted.exlibrisgroup.com/primo-explore/search?tab=default_tab&amp;search_scope=EVERYTHING&amp;vid=01CRU&amp;lang=en_US&amp;offset=0&amp;query=any,contains,991003323739702656","Catalog Record")</f>
        <v/>
      </c>
      <c r="AT3230">
        <f>HYPERLINK("http://www.worldcat.org/oclc/852482","WorldCat Record")</f>
        <v/>
      </c>
      <c r="AU3230" t="inlineStr">
        <is>
          <t>8912495730:eng</t>
        </is>
      </c>
      <c r="AV3230" t="inlineStr">
        <is>
          <t>852482</t>
        </is>
      </c>
      <c r="AW3230" t="inlineStr">
        <is>
          <t>991003323739702656</t>
        </is>
      </c>
      <c r="AX3230" t="inlineStr">
        <is>
          <t>991003323739702656</t>
        </is>
      </c>
      <c r="AY3230" t="inlineStr">
        <is>
          <t>2266365500002656</t>
        </is>
      </c>
      <c r="AZ3230" t="inlineStr">
        <is>
          <t>BOOK</t>
        </is>
      </c>
      <c r="BC3230" t="inlineStr">
        <is>
          <t>32285001140853</t>
        </is>
      </c>
      <c r="BD3230" t="inlineStr">
        <is>
          <t>893787220</t>
        </is>
      </c>
    </row>
    <row r="3231">
      <c r="A3231" t="inlineStr">
        <is>
          <t>No</t>
        </is>
      </c>
      <c r="B3231" t="inlineStr">
        <is>
          <t>BX9322 .B74 1994</t>
        </is>
      </c>
      <c r="C3231" t="inlineStr">
        <is>
          <t>0                      BX 9322000B  74          1994</t>
        </is>
      </c>
      <c r="D3231" t="inlineStr">
        <is>
          <t>Shaping New Englands : Puritan clergymen in seventeenth-century England and New England / Francis J. Bremer.</t>
        </is>
      </c>
      <c r="F3231" t="inlineStr">
        <is>
          <t>No</t>
        </is>
      </c>
      <c r="G3231" t="inlineStr">
        <is>
          <t>1</t>
        </is>
      </c>
      <c r="H3231" t="inlineStr">
        <is>
          <t>No</t>
        </is>
      </c>
      <c r="I3231" t="inlineStr">
        <is>
          <t>No</t>
        </is>
      </c>
      <c r="J3231" t="inlineStr">
        <is>
          <t>0</t>
        </is>
      </c>
      <c r="K3231" t="inlineStr">
        <is>
          <t>Bremer, Francis J.</t>
        </is>
      </c>
      <c r="L3231" t="inlineStr">
        <is>
          <t>New York : Twayne, 1994.</t>
        </is>
      </c>
      <c r="M3231" t="inlineStr">
        <is>
          <t>1994</t>
        </is>
      </c>
      <c r="O3231" t="inlineStr">
        <is>
          <t>eng</t>
        </is>
      </c>
      <c r="P3231" t="inlineStr">
        <is>
          <t>nyu</t>
        </is>
      </c>
      <c r="Q3231" t="inlineStr">
        <is>
          <t>Twayne's United States authors series ; TUSAS 631</t>
        </is>
      </c>
      <c r="R3231" t="inlineStr">
        <is>
          <t xml:space="preserve">BX </t>
        </is>
      </c>
      <c r="S3231" t="n">
        <v>4</v>
      </c>
      <c r="T3231" t="n">
        <v>4</v>
      </c>
      <c r="U3231" t="inlineStr">
        <is>
          <t>2006-11-15</t>
        </is>
      </c>
      <c r="V3231" t="inlineStr">
        <is>
          <t>2006-11-15</t>
        </is>
      </c>
      <c r="W3231" t="inlineStr">
        <is>
          <t>1994-04-06</t>
        </is>
      </c>
      <c r="X3231" t="inlineStr">
        <is>
          <t>1994-04-06</t>
        </is>
      </c>
      <c r="Y3231" t="n">
        <v>541</v>
      </c>
      <c r="Z3231" t="n">
        <v>500</v>
      </c>
      <c r="AA3231" t="n">
        <v>506</v>
      </c>
      <c r="AB3231" t="n">
        <v>6</v>
      </c>
      <c r="AC3231" t="n">
        <v>6</v>
      </c>
      <c r="AD3231" t="n">
        <v>26</v>
      </c>
      <c r="AE3231" t="n">
        <v>26</v>
      </c>
      <c r="AF3231" t="n">
        <v>11</v>
      </c>
      <c r="AG3231" t="n">
        <v>11</v>
      </c>
      <c r="AH3231" t="n">
        <v>3</v>
      </c>
      <c r="AI3231" t="n">
        <v>3</v>
      </c>
      <c r="AJ3231" t="n">
        <v>13</v>
      </c>
      <c r="AK3231" t="n">
        <v>13</v>
      </c>
      <c r="AL3231" t="n">
        <v>5</v>
      </c>
      <c r="AM3231" t="n">
        <v>5</v>
      </c>
      <c r="AN3231" t="n">
        <v>0</v>
      </c>
      <c r="AO3231" t="n">
        <v>0</v>
      </c>
      <c r="AP3231" t="inlineStr">
        <is>
          <t>No</t>
        </is>
      </c>
      <c r="AQ3231" t="inlineStr">
        <is>
          <t>Yes</t>
        </is>
      </c>
      <c r="AR3231">
        <f>HYPERLINK("http://catalog.hathitrust.org/Record/002808457","HathiTrust Record")</f>
        <v/>
      </c>
      <c r="AS3231">
        <f>HYPERLINK("https://creighton-primo.hosted.exlibrisgroup.com/primo-explore/search?tab=default_tab&amp;search_scope=EVERYTHING&amp;vid=01CRU&amp;lang=en_US&amp;offset=0&amp;query=any,contains,991002256209702656","Catalog Record")</f>
        <v/>
      </c>
      <c r="AT3231">
        <f>HYPERLINK("http://www.worldcat.org/oclc/29225013","WorldCat Record")</f>
        <v/>
      </c>
      <c r="AU3231" t="inlineStr">
        <is>
          <t>341710889:eng</t>
        </is>
      </c>
      <c r="AV3231" t="inlineStr">
        <is>
          <t>29225013</t>
        </is>
      </c>
      <c r="AW3231" t="inlineStr">
        <is>
          <t>991002256209702656</t>
        </is>
      </c>
      <c r="AX3231" t="inlineStr">
        <is>
          <t>991002256209702656</t>
        </is>
      </c>
      <c r="AY3231" t="inlineStr">
        <is>
          <t>2266369580002656</t>
        </is>
      </c>
      <c r="AZ3231" t="inlineStr">
        <is>
          <t>BOOK</t>
        </is>
      </c>
      <c r="BB3231" t="inlineStr">
        <is>
          <t>9780805740158</t>
        </is>
      </c>
      <c r="BC3231" t="inlineStr">
        <is>
          <t>32285001863686</t>
        </is>
      </c>
      <c r="BD3231" t="inlineStr">
        <is>
          <t>893497888</t>
        </is>
      </c>
    </row>
    <row r="3232">
      <c r="A3232" t="inlineStr">
        <is>
          <t>No</t>
        </is>
      </c>
      <c r="B3232" t="inlineStr">
        <is>
          <t>BX9322 .M6</t>
        </is>
      </c>
      <c r="C3232" t="inlineStr">
        <is>
          <t>0                      BX 9322000M  6</t>
        </is>
      </c>
      <c r="D3232" t="inlineStr">
        <is>
          <t>Visible saints : the history of a Puritan idea / by Edmund S. Morgan.</t>
        </is>
      </c>
      <c r="F3232" t="inlineStr">
        <is>
          <t>No</t>
        </is>
      </c>
      <c r="G3232" t="inlineStr">
        <is>
          <t>1</t>
        </is>
      </c>
      <c r="H3232" t="inlineStr">
        <is>
          <t>No</t>
        </is>
      </c>
      <c r="I3232" t="inlineStr">
        <is>
          <t>No</t>
        </is>
      </c>
      <c r="J3232" t="inlineStr">
        <is>
          <t>0</t>
        </is>
      </c>
      <c r="K3232" t="inlineStr">
        <is>
          <t>Morgan, Edmund S. (Edmund Sears), 1916-2013.</t>
        </is>
      </c>
      <c r="L3232" t="inlineStr">
        <is>
          <t>[New York] : New York University Press, 1963.</t>
        </is>
      </c>
      <c r="M3232" t="inlineStr">
        <is>
          <t>1963</t>
        </is>
      </c>
      <c r="O3232" t="inlineStr">
        <is>
          <t>eng</t>
        </is>
      </c>
      <c r="P3232" t="inlineStr">
        <is>
          <t>nyu</t>
        </is>
      </c>
      <c r="R3232" t="inlineStr">
        <is>
          <t xml:space="preserve">BX </t>
        </is>
      </c>
      <c r="S3232" t="n">
        <v>6</v>
      </c>
      <c r="T3232" t="n">
        <v>6</v>
      </c>
      <c r="U3232" t="inlineStr">
        <is>
          <t>2007-11-06</t>
        </is>
      </c>
      <c r="V3232" t="inlineStr">
        <is>
          <t>2007-11-06</t>
        </is>
      </c>
      <c r="W3232" t="inlineStr">
        <is>
          <t>1990-03-23</t>
        </is>
      </c>
      <c r="X3232" t="inlineStr">
        <is>
          <t>1990-03-23</t>
        </is>
      </c>
      <c r="Y3232" t="n">
        <v>1008</v>
      </c>
      <c r="Z3232" t="n">
        <v>915</v>
      </c>
      <c r="AA3232" t="n">
        <v>1311</v>
      </c>
      <c r="AB3232" t="n">
        <v>10</v>
      </c>
      <c r="AC3232" t="n">
        <v>12</v>
      </c>
      <c r="AD3232" t="n">
        <v>42</v>
      </c>
      <c r="AE3232" t="n">
        <v>59</v>
      </c>
      <c r="AF3232" t="n">
        <v>18</v>
      </c>
      <c r="AG3232" t="n">
        <v>26</v>
      </c>
      <c r="AH3232" t="n">
        <v>5</v>
      </c>
      <c r="AI3232" t="n">
        <v>11</v>
      </c>
      <c r="AJ3232" t="n">
        <v>19</v>
      </c>
      <c r="AK3232" t="n">
        <v>25</v>
      </c>
      <c r="AL3232" t="n">
        <v>9</v>
      </c>
      <c r="AM3232" t="n">
        <v>10</v>
      </c>
      <c r="AN3232" t="n">
        <v>0</v>
      </c>
      <c r="AO3232" t="n">
        <v>0</v>
      </c>
      <c r="AP3232" t="inlineStr">
        <is>
          <t>Yes</t>
        </is>
      </c>
      <c r="AQ3232" t="inlineStr">
        <is>
          <t>No</t>
        </is>
      </c>
      <c r="AR3232">
        <f>HYPERLINK("http://catalog.hathitrust.org/Record/001594420","HathiTrust Record")</f>
        <v/>
      </c>
      <c r="AS3232">
        <f>HYPERLINK("https://creighton-primo.hosted.exlibrisgroup.com/primo-explore/search?tab=default_tab&amp;search_scope=EVERYTHING&amp;vid=01CRU&amp;lang=en_US&amp;offset=0&amp;query=any,contains,991004552129702656","Catalog Record")</f>
        <v/>
      </c>
      <c r="AT3232">
        <f>HYPERLINK("http://www.worldcat.org/oclc/3942119","WorldCat Record")</f>
        <v/>
      </c>
      <c r="AU3232" t="inlineStr">
        <is>
          <t>133947964:eng</t>
        </is>
      </c>
      <c r="AV3232" t="inlineStr">
        <is>
          <t>3942119</t>
        </is>
      </c>
      <c r="AW3232" t="inlineStr">
        <is>
          <t>991004552129702656</t>
        </is>
      </c>
      <c r="AX3232" t="inlineStr">
        <is>
          <t>991004552129702656</t>
        </is>
      </c>
      <c r="AY3232" t="inlineStr">
        <is>
          <t>2270837340002656</t>
        </is>
      </c>
      <c r="AZ3232" t="inlineStr">
        <is>
          <t>BOOK</t>
        </is>
      </c>
      <c r="BC3232" t="inlineStr">
        <is>
          <t>32285000095363</t>
        </is>
      </c>
      <c r="BD3232" t="inlineStr">
        <is>
          <t>893423942</t>
        </is>
      </c>
    </row>
    <row r="3233">
      <c r="A3233" t="inlineStr">
        <is>
          <t>No</t>
        </is>
      </c>
      <c r="B3233" t="inlineStr">
        <is>
          <t>BX9322 .M63 1988</t>
        </is>
      </c>
      <c r="C3233" t="inlineStr">
        <is>
          <t>0                      BX 9322000M  63          1988</t>
        </is>
      </c>
      <c r="D3233" t="inlineStr">
        <is>
          <t>Godly learning : Puritan attitudes towards reason, learning, and education, 1560-1640 / John Morgan.</t>
        </is>
      </c>
      <c r="F3233" t="inlineStr">
        <is>
          <t>No</t>
        </is>
      </c>
      <c r="G3233" t="inlineStr">
        <is>
          <t>1</t>
        </is>
      </c>
      <c r="H3233" t="inlineStr">
        <is>
          <t>No</t>
        </is>
      </c>
      <c r="I3233" t="inlineStr">
        <is>
          <t>No</t>
        </is>
      </c>
      <c r="J3233" t="inlineStr">
        <is>
          <t>0</t>
        </is>
      </c>
      <c r="K3233" t="inlineStr">
        <is>
          <t>Morgan, John, Ph. D.</t>
        </is>
      </c>
      <c r="L3233" t="inlineStr">
        <is>
          <t>Cambridge [Cambridgeshire] ; New York : Cambridge University Press, 1988, c1986.</t>
        </is>
      </c>
      <c r="M3233" t="inlineStr">
        <is>
          <t>1988</t>
        </is>
      </c>
      <c r="N3233" t="inlineStr">
        <is>
          <t>1st Paperback ed.</t>
        </is>
      </c>
      <c r="O3233" t="inlineStr">
        <is>
          <t>eng</t>
        </is>
      </c>
      <c r="P3233" t="inlineStr">
        <is>
          <t>enk</t>
        </is>
      </c>
      <c r="R3233" t="inlineStr">
        <is>
          <t xml:space="preserve">BX </t>
        </is>
      </c>
      <c r="S3233" t="n">
        <v>8</v>
      </c>
      <c r="T3233" t="n">
        <v>8</v>
      </c>
      <c r="U3233" t="inlineStr">
        <is>
          <t>2003-09-14</t>
        </is>
      </c>
      <c r="V3233" t="inlineStr">
        <is>
          <t>2003-09-14</t>
        </is>
      </c>
      <c r="W3233" t="inlineStr">
        <is>
          <t>1990-04-03</t>
        </is>
      </c>
      <c r="X3233" t="inlineStr">
        <is>
          <t>1990-04-03</t>
        </is>
      </c>
      <c r="Y3233" t="n">
        <v>105</v>
      </c>
      <c r="Z3233" t="n">
        <v>79</v>
      </c>
      <c r="AA3233" t="n">
        <v>623</v>
      </c>
      <c r="AB3233" t="n">
        <v>2</v>
      </c>
      <c r="AC3233" t="n">
        <v>6</v>
      </c>
      <c r="AD3233" t="n">
        <v>3</v>
      </c>
      <c r="AE3233" t="n">
        <v>34</v>
      </c>
      <c r="AF3233" t="n">
        <v>0</v>
      </c>
      <c r="AG3233" t="n">
        <v>11</v>
      </c>
      <c r="AH3233" t="n">
        <v>0</v>
      </c>
      <c r="AI3233" t="n">
        <v>8</v>
      </c>
      <c r="AJ3233" t="n">
        <v>2</v>
      </c>
      <c r="AK3233" t="n">
        <v>19</v>
      </c>
      <c r="AL3233" t="n">
        <v>1</v>
      </c>
      <c r="AM3233" t="n">
        <v>5</v>
      </c>
      <c r="AN3233" t="n">
        <v>0</v>
      </c>
      <c r="AO3233" t="n">
        <v>0</v>
      </c>
      <c r="AP3233" t="inlineStr">
        <is>
          <t>No</t>
        </is>
      </c>
      <c r="AQ3233" t="inlineStr">
        <is>
          <t>No</t>
        </is>
      </c>
      <c r="AS3233">
        <f>HYPERLINK("https://creighton-primo.hosted.exlibrisgroup.com/primo-explore/search?tab=default_tab&amp;search_scope=EVERYTHING&amp;vid=01CRU&amp;lang=en_US&amp;offset=0&amp;query=any,contains,991001333929702656","Catalog Record")</f>
        <v/>
      </c>
      <c r="AT3233">
        <f>HYPERLINK("http://www.worldcat.org/oclc/18340066","WorldCat Record")</f>
        <v/>
      </c>
      <c r="AU3233" t="inlineStr">
        <is>
          <t>863914151:eng</t>
        </is>
      </c>
      <c r="AV3233" t="inlineStr">
        <is>
          <t>18340066</t>
        </is>
      </c>
      <c r="AW3233" t="inlineStr">
        <is>
          <t>991001333929702656</t>
        </is>
      </c>
      <c r="AX3233" t="inlineStr">
        <is>
          <t>991001333929702656</t>
        </is>
      </c>
      <c r="AY3233" t="inlineStr">
        <is>
          <t>2268906100002656</t>
        </is>
      </c>
      <c r="AZ3233" t="inlineStr">
        <is>
          <t>BOOK</t>
        </is>
      </c>
      <c r="BB3233" t="inlineStr">
        <is>
          <t>9780521357005</t>
        </is>
      </c>
      <c r="BC3233" t="inlineStr">
        <is>
          <t>32285000093541</t>
        </is>
      </c>
      <c r="BD3233" t="inlineStr">
        <is>
          <t>893231917</t>
        </is>
      </c>
    </row>
    <row r="3234">
      <c r="A3234" t="inlineStr">
        <is>
          <t>No</t>
        </is>
      </c>
      <c r="B3234" t="inlineStr">
        <is>
          <t>BX9322 .P87 1993</t>
        </is>
      </c>
      <c r="C3234" t="inlineStr">
        <is>
          <t>0                      BX 9322000P  87          1993</t>
        </is>
      </c>
      <c r="D3234" t="inlineStr">
        <is>
          <t>Puritanism : transatlantic perspectives on a seventeenth-century Anglo-American faith / Francis J. Bremer, editor.</t>
        </is>
      </c>
      <c r="F3234" t="inlineStr">
        <is>
          <t>No</t>
        </is>
      </c>
      <c r="G3234" t="inlineStr">
        <is>
          <t>1</t>
        </is>
      </c>
      <c r="H3234" t="inlineStr">
        <is>
          <t>No</t>
        </is>
      </c>
      <c r="I3234" t="inlineStr">
        <is>
          <t>No</t>
        </is>
      </c>
      <c r="J3234" t="inlineStr">
        <is>
          <t>0</t>
        </is>
      </c>
      <c r="L3234" t="inlineStr">
        <is>
          <t>Boston : Massachusetts Historical Society : Distributed by Northeastern University Press, 1993.</t>
        </is>
      </c>
      <c r="M3234" t="inlineStr">
        <is>
          <t>1993</t>
        </is>
      </c>
      <c r="O3234" t="inlineStr">
        <is>
          <t>eng</t>
        </is>
      </c>
      <c r="P3234" t="inlineStr">
        <is>
          <t>mau</t>
        </is>
      </c>
      <c r="Q3234" t="inlineStr">
        <is>
          <t>Massachusetts Historical Society studies in American history and culture ; no. 3</t>
        </is>
      </c>
      <c r="R3234" t="inlineStr">
        <is>
          <t xml:space="preserve">BX </t>
        </is>
      </c>
      <c r="S3234" t="n">
        <v>9</v>
      </c>
      <c r="T3234" t="n">
        <v>9</v>
      </c>
      <c r="U3234" t="inlineStr">
        <is>
          <t>2007-11-28</t>
        </is>
      </c>
      <c r="V3234" t="inlineStr">
        <is>
          <t>2007-11-28</t>
        </is>
      </c>
      <c r="W3234" t="inlineStr">
        <is>
          <t>1995-02-07</t>
        </is>
      </c>
      <c r="X3234" t="inlineStr">
        <is>
          <t>1995-02-07</t>
        </is>
      </c>
      <c r="Y3234" t="n">
        <v>381</v>
      </c>
      <c r="Z3234" t="n">
        <v>317</v>
      </c>
      <c r="AA3234" t="n">
        <v>319</v>
      </c>
      <c r="AB3234" t="n">
        <v>3</v>
      </c>
      <c r="AC3234" t="n">
        <v>3</v>
      </c>
      <c r="AD3234" t="n">
        <v>23</v>
      </c>
      <c r="AE3234" t="n">
        <v>23</v>
      </c>
      <c r="AF3234" t="n">
        <v>9</v>
      </c>
      <c r="AG3234" t="n">
        <v>9</v>
      </c>
      <c r="AH3234" t="n">
        <v>7</v>
      </c>
      <c r="AI3234" t="n">
        <v>7</v>
      </c>
      <c r="AJ3234" t="n">
        <v>12</v>
      </c>
      <c r="AK3234" t="n">
        <v>12</v>
      </c>
      <c r="AL3234" t="n">
        <v>2</v>
      </c>
      <c r="AM3234" t="n">
        <v>2</v>
      </c>
      <c r="AN3234" t="n">
        <v>0</v>
      </c>
      <c r="AO3234" t="n">
        <v>0</v>
      </c>
      <c r="AP3234" t="inlineStr">
        <is>
          <t>No</t>
        </is>
      </c>
      <c r="AQ3234" t="inlineStr">
        <is>
          <t>Yes</t>
        </is>
      </c>
      <c r="AR3234">
        <f>HYPERLINK("http://catalog.hathitrust.org/Record/002797933","HathiTrust Record")</f>
        <v/>
      </c>
      <c r="AS3234">
        <f>HYPERLINK("https://creighton-primo.hosted.exlibrisgroup.com/primo-explore/search?tab=default_tab&amp;search_scope=EVERYTHING&amp;vid=01CRU&amp;lang=en_US&amp;offset=0&amp;query=any,contains,991002206839702656","Catalog Record")</f>
        <v/>
      </c>
      <c r="AT3234">
        <f>HYPERLINK("http://www.worldcat.org/oclc/28378404","WorldCat Record")</f>
        <v/>
      </c>
      <c r="AU3234" t="inlineStr">
        <is>
          <t>889964784:eng</t>
        </is>
      </c>
      <c r="AV3234" t="inlineStr">
        <is>
          <t>28378404</t>
        </is>
      </c>
      <c r="AW3234" t="inlineStr">
        <is>
          <t>991002206839702656</t>
        </is>
      </c>
      <c r="AX3234" t="inlineStr">
        <is>
          <t>991002206839702656</t>
        </is>
      </c>
      <c r="AY3234" t="inlineStr">
        <is>
          <t>2263088970002656</t>
        </is>
      </c>
      <c r="AZ3234" t="inlineStr">
        <is>
          <t>BOOK</t>
        </is>
      </c>
      <c r="BB3234" t="inlineStr">
        <is>
          <t>9780934909341</t>
        </is>
      </c>
      <c r="BC3234" t="inlineStr">
        <is>
          <t>32285001997609</t>
        </is>
      </c>
      <c r="BD3234" t="inlineStr">
        <is>
          <t>893232682</t>
        </is>
      </c>
    </row>
    <row r="3235">
      <c r="A3235" t="inlineStr">
        <is>
          <t>No</t>
        </is>
      </c>
      <c r="B3235" t="inlineStr">
        <is>
          <t>BX9322 .W36 1972b</t>
        </is>
      </c>
      <c r="C3235" t="inlineStr">
        <is>
          <t>0                      BX 9322000W  36          1972b</t>
        </is>
      </c>
      <c r="D3235" t="inlineStr">
        <is>
          <t>The Puritan experience : studies in spiritual autobiography / [by] Owen C. Watkins.</t>
        </is>
      </c>
      <c r="F3235" t="inlineStr">
        <is>
          <t>No</t>
        </is>
      </c>
      <c r="G3235" t="inlineStr">
        <is>
          <t>1</t>
        </is>
      </c>
      <c r="H3235" t="inlineStr">
        <is>
          <t>No</t>
        </is>
      </c>
      <c r="I3235" t="inlineStr">
        <is>
          <t>No</t>
        </is>
      </c>
      <c r="J3235" t="inlineStr">
        <is>
          <t>0</t>
        </is>
      </c>
      <c r="K3235" t="inlineStr">
        <is>
          <t>Watkins, Owen C.</t>
        </is>
      </c>
      <c r="L3235" t="inlineStr">
        <is>
          <t>New York : Schocken Books, [1972, c1971]</t>
        </is>
      </c>
      <c r="M3235" t="inlineStr">
        <is>
          <t>1972</t>
        </is>
      </c>
      <c r="O3235" t="inlineStr">
        <is>
          <t>eng</t>
        </is>
      </c>
      <c r="P3235" t="inlineStr">
        <is>
          <t>nyu</t>
        </is>
      </c>
      <c r="R3235" t="inlineStr">
        <is>
          <t xml:space="preserve">BX </t>
        </is>
      </c>
      <c r="S3235" t="n">
        <v>4</v>
      </c>
      <c r="T3235" t="n">
        <v>4</v>
      </c>
      <c r="U3235" t="inlineStr">
        <is>
          <t>1993-12-03</t>
        </is>
      </c>
      <c r="V3235" t="inlineStr">
        <is>
          <t>1993-12-03</t>
        </is>
      </c>
      <c r="W3235" t="inlineStr">
        <is>
          <t>1990-04-04</t>
        </is>
      </c>
      <c r="X3235" t="inlineStr">
        <is>
          <t>1990-04-04</t>
        </is>
      </c>
      <c r="Y3235" t="n">
        <v>492</v>
      </c>
      <c r="Z3235" t="n">
        <v>469</v>
      </c>
      <c r="AA3235" t="n">
        <v>469</v>
      </c>
      <c r="AB3235" t="n">
        <v>5</v>
      </c>
      <c r="AC3235" t="n">
        <v>5</v>
      </c>
      <c r="AD3235" t="n">
        <v>18</v>
      </c>
      <c r="AE3235" t="n">
        <v>18</v>
      </c>
      <c r="AF3235" t="n">
        <v>8</v>
      </c>
      <c r="AG3235" t="n">
        <v>8</v>
      </c>
      <c r="AH3235" t="n">
        <v>1</v>
      </c>
      <c r="AI3235" t="n">
        <v>1</v>
      </c>
      <c r="AJ3235" t="n">
        <v>9</v>
      </c>
      <c r="AK3235" t="n">
        <v>9</v>
      </c>
      <c r="AL3235" t="n">
        <v>4</v>
      </c>
      <c r="AM3235" t="n">
        <v>4</v>
      </c>
      <c r="AN3235" t="n">
        <v>0</v>
      </c>
      <c r="AO3235" t="n">
        <v>0</v>
      </c>
      <c r="AP3235" t="inlineStr">
        <is>
          <t>No</t>
        </is>
      </c>
      <c r="AQ3235" t="inlineStr">
        <is>
          <t>No</t>
        </is>
      </c>
      <c r="AS3235">
        <f>HYPERLINK("https://creighton-primo.hosted.exlibrisgroup.com/primo-explore/search?tab=default_tab&amp;search_scope=EVERYTHING&amp;vid=01CRU&amp;lang=en_US&amp;offset=0&amp;query=any,contains,991002455139702656","Catalog Record")</f>
        <v/>
      </c>
      <c r="AT3235">
        <f>HYPERLINK("http://www.worldcat.org/oclc/354026","WorldCat Record")</f>
        <v/>
      </c>
      <c r="AU3235" t="inlineStr">
        <is>
          <t>5612308363:eng</t>
        </is>
      </c>
      <c r="AV3235" t="inlineStr">
        <is>
          <t>354026</t>
        </is>
      </c>
      <c r="AW3235" t="inlineStr">
        <is>
          <t>991002455139702656</t>
        </is>
      </c>
      <c r="AX3235" t="inlineStr">
        <is>
          <t>991002455139702656</t>
        </is>
      </c>
      <c r="AY3235" t="inlineStr">
        <is>
          <t>2266222420002656</t>
        </is>
      </c>
      <c r="AZ3235" t="inlineStr">
        <is>
          <t>BOOK</t>
        </is>
      </c>
      <c r="BB3235" t="inlineStr">
        <is>
          <t>9780805234251</t>
        </is>
      </c>
      <c r="BC3235" t="inlineStr">
        <is>
          <t>32285000110626</t>
        </is>
      </c>
      <c r="BD3235" t="inlineStr">
        <is>
          <t>893691632</t>
        </is>
      </c>
    </row>
    <row r="3236">
      <c r="A3236" t="inlineStr">
        <is>
          <t>No</t>
        </is>
      </c>
      <c r="B3236" t="inlineStr">
        <is>
          <t>BX9331.A55 P8 1951</t>
        </is>
      </c>
      <c r="C3236" t="inlineStr">
        <is>
          <t>0                      BX 9331000A  55                 P  8           1951</t>
        </is>
      </c>
      <c r="D3236" t="inlineStr">
        <is>
          <t>Puritanism and liberty : being the Army debates (1647-9) from the Clarke manuscripts with supplementary documents / selected and edited with an introd. by A. S. P. Woodhouse. Foreword by A. D. Lindsay.</t>
        </is>
      </c>
      <c r="F3236" t="inlineStr">
        <is>
          <t>No</t>
        </is>
      </c>
      <c r="G3236" t="inlineStr">
        <is>
          <t>1</t>
        </is>
      </c>
      <c r="H3236" t="inlineStr">
        <is>
          <t>Yes</t>
        </is>
      </c>
      <c r="I3236" t="inlineStr">
        <is>
          <t>No</t>
        </is>
      </c>
      <c r="J3236" t="inlineStr">
        <is>
          <t>0</t>
        </is>
      </c>
      <c r="K3236" t="inlineStr">
        <is>
          <t>Great Britain. Army.</t>
        </is>
      </c>
      <c r="L3236" t="inlineStr">
        <is>
          <t>Chicago] : University of Chicago Press, [1951]</t>
        </is>
      </c>
      <c r="M3236" t="inlineStr">
        <is>
          <t>1951</t>
        </is>
      </c>
      <c r="N3236" t="inlineStr">
        <is>
          <t>[2d ed.</t>
        </is>
      </c>
      <c r="O3236" t="inlineStr">
        <is>
          <t>eng</t>
        </is>
      </c>
      <c r="P3236" t="inlineStr">
        <is>
          <t>ilu</t>
        </is>
      </c>
      <c r="R3236" t="inlineStr">
        <is>
          <t xml:space="preserve">BX </t>
        </is>
      </c>
      <c r="S3236" t="n">
        <v>1</v>
      </c>
      <c r="T3236" t="n">
        <v>2</v>
      </c>
      <c r="U3236" t="inlineStr">
        <is>
          <t>2005-12-08</t>
        </is>
      </c>
      <c r="V3236" t="inlineStr">
        <is>
          <t>2005-12-08</t>
        </is>
      </c>
      <c r="W3236" t="inlineStr">
        <is>
          <t>1990-04-09</t>
        </is>
      </c>
      <c r="X3236" t="inlineStr">
        <is>
          <t>1993-04-28</t>
        </is>
      </c>
      <c r="Y3236" t="n">
        <v>508</v>
      </c>
      <c r="Z3236" t="n">
        <v>485</v>
      </c>
      <c r="AA3236" t="n">
        <v>582</v>
      </c>
      <c r="AB3236" t="n">
        <v>3</v>
      </c>
      <c r="AC3236" t="n">
        <v>4</v>
      </c>
      <c r="AD3236" t="n">
        <v>26</v>
      </c>
      <c r="AE3236" t="n">
        <v>32</v>
      </c>
      <c r="AF3236" t="n">
        <v>11</v>
      </c>
      <c r="AG3236" t="n">
        <v>14</v>
      </c>
      <c r="AH3236" t="n">
        <v>4</v>
      </c>
      <c r="AI3236" t="n">
        <v>5</v>
      </c>
      <c r="AJ3236" t="n">
        <v>15</v>
      </c>
      <c r="AK3236" t="n">
        <v>15</v>
      </c>
      <c r="AL3236" t="n">
        <v>1</v>
      </c>
      <c r="AM3236" t="n">
        <v>2</v>
      </c>
      <c r="AN3236" t="n">
        <v>1</v>
      </c>
      <c r="AO3236" t="n">
        <v>3</v>
      </c>
      <c r="AP3236" t="inlineStr">
        <is>
          <t>Yes</t>
        </is>
      </c>
      <c r="AQ3236" t="inlineStr">
        <is>
          <t>No</t>
        </is>
      </c>
      <c r="AR3236">
        <f>HYPERLINK("http://catalog.hathitrust.org/Record/000768981","HathiTrust Record")</f>
        <v/>
      </c>
      <c r="AS3236">
        <f>HYPERLINK("https://creighton-primo.hosted.exlibrisgroup.com/primo-explore/search?tab=default_tab&amp;search_scope=EVERYTHING&amp;vid=01CRU&amp;lang=en_US&amp;offset=0&amp;query=any,contains,991001633689702656","Catalog Record")</f>
        <v/>
      </c>
      <c r="AT3236">
        <f>HYPERLINK("http://www.worldcat.org/oclc/386599","WorldCat Record")</f>
        <v/>
      </c>
      <c r="AU3236" t="inlineStr">
        <is>
          <t>5546728581:eng</t>
        </is>
      </c>
      <c r="AV3236" t="inlineStr">
        <is>
          <t>386599</t>
        </is>
      </c>
      <c r="AW3236" t="inlineStr">
        <is>
          <t>991001633689702656</t>
        </is>
      </c>
      <c r="AX3236" t="inlineStr">
        <is>
          <t>991001633689702656</t>
        </is>
      </c>
      <c r="AY3236" t="inlineStr">
        <is>
          <t>2259527160002656</t>
        </is>
      </c>
      <c r="AZ3236" t="inlineStr">
        <is>
          <t>BOOK</t>
        </is>
      </c>
      <c r="BC3236" t="inlineStr">
        <is>
          <t>32285000114008</t>
        </is>
      </c>
      <c r="BD3236" t="inlineStr">
        <is>
          <t>893244259</t>
        </is>
      </c>
    </row>
    <row r="3237">
      <c r="A3237" t="inlineStr">
        <is>
          <t>No</t>
        </is>
      </c>
      <c r="B3237" t="inlineStr">
        <is>
          <t>BX9333 .W5</t>
        </is>
      </c>
      <c r="C3237" t="inlineStr">
        <is>
          <t>0                      BX 9333000W  5</t>
        </is>
      </c>
      <c r="D3237" t="inlineStr">
        <is>
          <t>Pulpit in Parliament : Puritanism during the English civil wars, 1640-1648 / by John F. Wilson.</t>
        </is>
      </c>
      <c r="F3237" t="inlineStr">
        <is>
          <t>No</t>
        </is>
      </c>
      <c r="G3237" t="inlineStr">
        <is>
          <t>1</t>
        </is>
      </c>
      <c r="H3237" t="inlineStr">
        <is>
          <t>No</t>
        </is>
      </c>
      <c r="I3237" t="inlineStr">
        <is>
          <t>No</t>
        </is>
      </c>
      <c r="J3237" t="inlineStr">
        <is>
          <t>0</t>
        </is>
      </c>
      <c r="K3237" t="inlineStr">
        <is>
          <t>Wilson, John F. (John Frederick)</t>
        </is>
      </c>
      <c r="L3237" t="inlineStr">
        <is>
          <t>Princeton, N.J. : Princeton University Press, 1969.</t>
        </is>
      </c>
      <c r="M3237" t="inlineStr">
        <is>
          <t>1969</t>
        </is>
      </c>
      <c r="O3237" t="inlineStr">
        <is>
          <t>eng</t>
        </is>
      </c>
      <c r="P3237" t="inlineStr">
        <is>
          <t>nju</t>
        </is>
      </c>
      <c r="R3237" t="inlineStr">
        <is>
          <t xml:space="preserve">BX </t>
        </is>
      </c>
      <c r="S3237" t="n">
        <v>5</v>
      </c>
      <c r="T3237" t="n">
        <v>5</v>
      </c>
      <c r="U3237" t="inlineStr">
        <is>
          <t>2004-04-13</t>
        </is>
      </c>
      <c r="V3237" t="inlineStr">
        <is>
          <t>2004-04-13</t>
        </is>
      </c>
      <c r="W3237" t="inlineStr">
        <is>
          <t>1990-02-02</t>
        </is>
      </c>
      <c r="X3237" t="inlineStr">
        <is>
          <t>1990-02-02</t>
        </is>
      </c>
      <c r="Y3237" t="n">
        <v>715</v>
      </c>
      <c r="Z3237" t="n">
        <v>603</v>
      </c>
      <c r="AA3237" t="n">
        <v>762</v>
      </c>
      <c r="AB3237" t="n">
        <v>4</v>
      </c>
      <c r="AC3237" t="n">
        <v>4</v>
      </c>
      <c r="AD3237" t="n">
        <v>27</v>
      </c>
      <c r="AE3237" t="n">
        <v>30</v>
      </c>
      <c r="AF3237" t="n">
        <v>9</v>
      </c>
      <c r="AG3237" t="n">
        <v>11</v>
      </c>
      <c r="AH3237" t="n">
        <v>5</v>
      </c>
      <c r="AI3237" t="n">
        <v>7</v>
      </c>
      <c r="AJ3237" t="n">
        <v>13</v>
      </c>
      <c r="AK3237" t="n">
        <v>15</v>
      </c>
      <c r="AL3237" t="n">
        <v>3</v>
      </c>
      <c r="AM3237" t="n">
        <v>3</v>
      </c>
      <c r="AN3237" t="n">
        <v>0</v>
      </c>
      <c r="AO3237" t="n">
        <v>0</v>
      </c>
      <c r="AP3237" t="inlineStr">
        <is>
          <t>No</t>
        </is>
      </c>
      <c r="AQ3237" t="inlineStr">
        <is>
          <t>No</t>
        </is>
      </c>
      <c r="AS3237">
        <f>HYPERLINK("https://creighton-primo.hosted.exlibrisgroup.com/primo-explore/search?tab=default_tab&amp;search_scope=EVERYTHING&amp;vid=01CRU&amp;lang=en_US&amp;offset=0&amp;query=any,contains,991000125959702656","Catalog Record")</f>
        <v/>
      </c>
      <c r="AT3237">
        <f>HYPERLINK("http://www.worldcat.org/oclc/52079","WorldCat Record")</f>
        <v/>
      </c>
      <c r="AU3237" t="inlineStr">
        <is>
          <t>500461043:eng</t>
        </is>
      </c>
      <c r="AV3237" t="inlineStr">
        <is>
          <t>52079</t>
        </is>
      </c>
      <c r="AW3237" t="inlineStr">
        <is>
          <t>991000125959702656</t>
        </is>
      </c>
      <c r="AX3237" t="inlineStr">
        <is>
          <t>991000125959702656</t>
        </is>
      </c>
      <c r="AY3237" t="inlineStr">
        <is>
          <t>2259485720002656</t>
        </is>
      </c>
      <c r="AZ3237" t="inlineStr">
        <is>
          <t>BOOK</t>
        </is>
      </c>
      <c r="BB3237" t="inlineStr">
        <is>
          <t>9780691071572</t>
        </is>
      </c>
      <c r="BC3237" t="inlineStr">
        <is>
          <t>32285000032093</t>
        </is>
      </c>
      <c r="BD3237" t="inlineStr">
        <is>
          <t>893771413</t>
        </is>
      </c>
    </row>
    <row r="3238">
      <c r="A3238" t="inlineStr">
        <is>
          <t>No</t>
        </is>
      </c>
      <c r="B3238" t="inlineStr">
        <is>
          <t>BX9335 .C53 1972</t>
        </is>
      </c>
      <c r="C3238" t="inlineStr">
        <is>
          <t>0                      BX 9335000C  53          1972</t>
        </is>
      </c>
      <c r="D3238" t="inlineStr">
        <is>
          <t>Puritanism in North-West England : a regional study of the Diocese of Chester to 1642 / [by] R. C. Richardson.</t>
        </is>
      </c>
      <c r="F3238" t="inlineStr">
        <is>
          <t>No</t>
        </is>
      </c>
      <c r="G3238" t="inlineStr">
        <is>
          <t>1</t>
        </is>
      </c>
      <c r="H3238" t="inlineStr">
        <is>
          <t>No</t>
        </is>
      </c>
      <c r="I3238" t="inlineStr">
        <is>
          <t>No</t>
        </is>
      </c>
      <c r="J3238" t="inlineStr">
        <is>
          <t>0</t>
        </is>
      </c>
      <c r="K3238" t="inlineStr">
        <is>
          <t>Richardson, R. C.</t>
        </is>
      </c>
      <c r="L3238" t="inlineStr">
        <is>
          <t>Manchester : Manchester University Press ; Totowa, N.J. : Rowman &amp; Littlefield, 1972.</t>
        </is>
      </c>
      <c r="M3238" t="inlineStr">
        <is>
          <t>1972</t>
        </is>
      </c>
      <c r="O3238" t="inlineStr">
        <is>
          <t>eng</t>
        </is>
      </c>
      <c r="P3238" t="inlineStr">
        <is>
          <t>enk</t>
        </is>
      </c>
      <c r="R3238" t="inlineStr">
        <is>
          <t xml:space="preserve">BX </t>
        </is>
      </c>
      <c r="S3238" t="n">
        <v>1</v>
      </c>
      <c r="T3238" t="n">
        <v>1</v>
      </c>
      <c r="U3238" t="inlineStr">
        <is>
          <t>2008-10-12</t>
        </is>
      </c>
      <c r="V3238" t="inlineStr">
        <is>
          <t>2008-10-12</t>
        </is>
      </c>
      <c r="W3238" t="inlineStr">
        <is>
          <t>1992-05-27</t>
        </is>
      </c>
      <c r="X3238" t="inlineStr">
        <is>
          <t>1992-05-27</t>
        </is>
      </c>
      <c r="Y3238" t="n">
        <v>449</v>
      </c>
      <c r="Z3238" t="n">
        <v>328</v>
      </c>
      <c r="AA3238" t="n">
        <v>334</v>
      </c>
      <c r="AB3238" t="n">
        <v>3</v>
      </c>
      <c r="AC3238" t="n">
        <v>3</v>
      </c>
      <c r="AD3238" t="n">
        <v>16</v>
      </c>
      <c r="AE3238" t="n">
        <v>16</v>
      </c>
      <c r="AF3238" t="n">
        <v>7</v>
      </c>
      <c r="AG3238" t="n">
        <v>7</v>
      </c>
      <c r="AH3238" t="n">
        <v>2</v>
      </c>
      <c r="AI3238" t="n">
        <v>2</v>
      </c>
      <c r="AJ3238" t="n">
        <v>8</v>
      </c>
      <c r="AK3238" t="n">
        <v>8</v>
      </c>
      <c r="AL3238" t="n">
        <v>2</v>
      </c>
      <c r="AM3238" t="n">
        <v>2</v>
      </c>
      <c r="AN3238" t="n">
        <v>1</v>
      </c>
      <c r="AO3238" t="n">
        <v>1</v>
      </c>
      <c r="AP3238" t="inlineStr">
        <is>
          <t>No</t>
        </is>
      </c>
      <c r="AQ3238" t="inlineStr">
        <is>
          <t>Yes</t>
        </is>
      </c>
      <c r="AR3238">
        <f>HYPERLINK("http://catalog.hathitrust.org/Record/001594446","HathiTrust Record")</f>
        <v/>
      </c>
      <c r="AS3238">
        <f>HYPERLINK("https://creighton-primo.hosted.exlibrisgroup.com/primo-explore/search?tab=default_tab&amp;search_scope=EVERYTHING&amp;vid=01CRU&amp;lang=en_US&amp;offset=0&amp;query=any,contains,991002618279702656","Catalog Record")</f>
        <v/>
      </c>
      <c r="AT3238">
        <f>HYPERLINK("http://www.worldcat.org/oclc/380172","WorldCat Record")</f>
        <v/>
      </c>
      <c r="AU3238" t="inlineStr">
        <is>
          <t>1486430:eng</t>
        </is>
      </c>
      <c r="AV3238" t="inlineStr">
        <is>
          <t>380172</t>
        </is>
      </c>
      <c r="AW3238" t="inlineStr">
        <is>
          <t>991002618279702656</t>
        </is>
      </c>
      <c r="AX3238" t="inlineStr">
        <is>
          <t>991002618279702656</t>
        </is>
      </c>
      <c r="AY3238" t="inlineStr">
        <is>
          <t>2261504480002656</t>
        </is>
      </c>
      <c r="AZ3238" t="inlineStr">
        <is>
          <t>BOOK</t>
        </is>
      </c>
      <c r="BB3238" t="inlineStr">
        <is>
          <t>9780874710939</t>
        </is>
      </c>
      <c r="BC3238" t="inlineStr">
        <is>
          <t>32285001141091</t>
        </is>
      </c>
      <c r="BD3238" t="inlineStr">
        <is>
          <t>893498324</t>
        </is>
      </c>
    </row>
    <row r="3239">
      <c r="A3239" t="inlineStr">
        <is>
          <t>No</t>
        </is>
      </c>
      <c r="B3239" t="inlineStr">
        <is>
          <t>BX9339.A65 S6 1972</t>
        </is>
      </c>
      <c r="C3239" t="inlineStr">
        <is>
          <t>0                      BX 9339000A  65                 S  6           1972</t>
        </is>
      </c>
      <c r="D3239" t="inlineStr">
        <is>
          <t>The learned doctor William Ames : Dutch backgrounds of English and American Puritanism / [by] Keith L. Sprunger.</t>
        </is>
      </c>
      <c r="F3239" t="inlineStr">
        <is>
          <t>No</t>
        </is>
      </c>
      <c r="G3239" t="inlineStr">
        <is>
          <t>1</t>
        </is>
      </c>
      <c r="H3239" t="inlineStr">
        <is>
          <t>No</t>
        </is>
      </c>
      <c r="I3239" t="inlineStr">
        <is>
          <t>No</t>
        </is>
      </c>
      <c r="J3239" t="inlineStr">
        <is>
          <t>0</t>
        </is>
      </c>
      <c r="K3239" t="inlineStr">
        <is>
          <t>Sprunger, Keith L.</t>
        </is>
      </c>
      <c r="L3239" t="inlineStr">
        <is>
          <t>Urbana : University of Illinois Press, [1972]</t>
        </is>
      </c>
      <c r="M3239" t="inlineStr">
        <is>
          <t>1972</t>
        </is>
      </c>
      <c r="O3239" t="inlineStr">
        <is>
          <t>eng</t>
        </is>
      </c>
      <c r="P3239" t="inlineStr">
        <is>
          <t>ilu</t>
        </is>
      </c>
      <c r="R3239" t="inlineStr">
        <is>
          <t xml:space="preserve">BX </t>
        </is>
      </c>
      <c r="S3239" t="n">
        <v>2</v>
      </c>
      <c r="T3239" t="n">
        <v>2</v>
      </c>
      <c r="U3239" t="inlineStr">
        <is>
          <t>2000-08-23</t>
        </is>
      </c>
      <c r="V3239" t="inlineStr">
        <is>
          <t>2000-08-23</t>
        </is>
      </c>
      <c r="W3239" t="inlineStr">
        <is>
          <t>2000-08-21</t>
        </is>
      </c>
      <c r="X3239" t="inlineStr">
        <is>
          <t>2000-08-21</t>
        </is>
      </c>
      <c r="Y3239" t="n">
        <v>481</v>
      </c>
      <c r="Z3239" t="n">
        <v>402</v>
      </c>
      <c r="AA3239" t="n">
        <v>410</v>
      </c>
      <c r="AB3239" t="n">
        <v>5</v>
      </c>
      <c r="AC3239" t="n">
        <v>5</v>
      </c>
      <c r="AD3239" t="n">
        <v>16</v>
      </c>
      <c r="AE3239" t="n">
        <v>16</v>
      </c>
      <c r="AF3239" t="n">
        <v>4</v>
      </c>
      <c r="AG3239" t="n">
        <v>4</v>
      </c>
      <c r="AH3239" t="n">
        <v>3</v>
      </c>
      <c r="AI3239" t="n">
        <v>3</v>
      </c>
      <c r="AJ3239" t="n">
        <v>8</v>
      </c>
      <c r="AK3239" t="n">
        <v>8</v>
      </c>
      <c r="AL3239" t="n">
        <v>4</v>
      </c>
      <c r="AM3239" t="n">
        <v>4</v>
      </c>
      <c r="AN3239" t="n">
        <v>0</v>
      </c>
      <c r="AO3239" t="n">
        <v>0</v>
      </c>
      <c r="AP3239" t="inlineStr">
        <is>
          <t>No</t>
        </is>
      </c>
      <c r="AQ3239" t="inlineStr">
        <is>
          <t>Yes</t>
        </is>
      </c>
      <c r="AR3239">
        <f>HYPERLINK("http://catalog.hathitrust.org/Record/001594450","HathiTrust Record")</f>
        <v/>
      </c>
      <c r="AS3239">
        <f>HYPERLINK("https://creighton-primo.hosted.exlibrisgroup.com/primo-explore/search?tab=default_tab&amp;search_scope=EVERYTHING&amp;vid=01CRU&amp;lang=en_US&amp;offset=0&amp;query=any,contains,991003269019702656","Catalog Record")</f>
        <v/>
      </c>
      <c r="AT3239">
        <f>HYPERLINK("http://www.worldcat.org/oclc/483544","WorldCat Record")</f>
        <v/>
      </c>
      <c r="AU3239" t="inlineStr">
        <is>
          <t>1565768:eng</t>
        </is>
      </c>
      <c r="AV3239" t="inlineStr">
        <is>
          <t>483544</t>
        </is>
      </c>
      <c r="AW3239" t="inlineStr">
        <is>
          <t>991003269019702656</t>
        </is>
      </c>
      <c r="AX3239" t="inlineStr">
        <is>
          <t>991003269019702656</t>
        </is>
      </c>
      <c r="AY3239" t="inlineStr">
        <is>
          <t>2256305950002656</t>
        </is>
      </c>
      <c r="AZ3239" t="inlineStr">
        <is>
          <t>BOOK</t>
        </is>
      </c>
      <c r="BB3239" t="inlineStr">
        <is>
          <t>9780252002335</t>
        </is>
      </c>
      <c r="BC3239" t="inlineStr">
        <is>
          <t>32285003757829</t>
        </is>
      </c>
      <c r="BD3239" t="inlineStr">
        <is>
          <t>893511763</t>
        </is>
      </c>
    </row>
    <row r="3240">
      <c r="A3240" t="inlineStr">
        <is>
          <t>No</t>
        </is>
      </c>
      <c r="B3240" t="inlineStr">
        <is>
          <t>BX9339.W26 S4 1985</t>
        </is>
      </c>
      <c r="C3240" t="inlineStr">
        <is>
          <t>0                      BX 9339000W  26                 S  4           1985</t>
        </is>
      </c>
      <c r="D3240" t="inlineStr">
        <is>
          <t>Wallington's world : a Puritan artisan in seventeenth-century London / Paul S. Seaver.</t>
        </is>
      </c>
      <c r="F3240" t="inlineStr">
        <is>
          <t>No</t>
        </is>
      </c>
      <c r="G3240" t="inlineStr">
        <is>
          <t>1</t>
        </is>
      </c>
      <c r="H3240" t="inlineStr">
        <is>
          <t>No</t>
        </is>
      </c>
      <c r="I3240" t="inlineStr">
        <is>
          <t>No</t>
        </is>
      </c>
      <c r="J3240" t="inlineStr">
        <is>
          <t>0</t>
        </is>
      </c>
      <c r="K3240" t="inlineStr">
        <is>
          <t>Seaver, Paul S.</t>
        </is>
      </c>
      <c r="L3240" t="inlineStr">
        <is>
          <t>Stanford, Calif. : Stanford University Press, 1985.</t>
        </is>
      </c>
      <c r="M3240" t="inlineStr">
        <is>
          <t>1985</t>
        </is>
      </c>
      <c r="O3240" t="inlineStr">
        <is>
          <t>eng</t>
        </is>
      </c>
      <c r="P3240" t="inlineStr">
        <is>
          <t>cau</t>
        </is>
      </c>
      <c r="R3240" t="inlineStr">
        <is>
          <t xml:space="preserve">BX </t>
        </is>
      </c>
      <c r="S3240" t="n">
        <v>1</v>
      </c>
      <c r="T3240" t="n">
        <v>1</v>
      </c>
      <c r="U3240" t="inlineStr">
        <is>
          <t>2008-01-25</t>
        </is>
      </c>
      <c r="V3240" t="inlineStr">
        <is>
          <t>2008-01-25</t>
        </is>
      </c>
      <c r="W3240" t="inlineStr">
        <is>
          <t>1992-05-27</t>
        </is>
      </c>
      <c r="X3240" t="inlineStr">
        <is>
          <t>1992-05-27</t>
        </is>
      </c>
      <c r="Y3240" t="n">
        <v>624</v>
      </c>
      <c r="Z3240" t="n">
        <v>518</v>
      </c>
      <c r="AA3240" t="n">
        <v>538</v>
      </c>
      <c r="AB3240" t="n">
        <v>5</v>
      </c>
      <c r="AC3240" t="n">
        <v>5</v>
      </c>
      <c r="AD3240" t="n">
        <v>25</v>
      </c>
      <c r="AE3240" t="n">
        <v>26</v>
      </c>
      <c r="AF3240" t="n">
        <v>7</v>
      </c>
      <c r="AG3240" t="n">
        <v>8</v>
      </c>
      <c r="AH3240" t="n">
        <v>4</v>
      </c>
      <c r="AI3240" t="n">
        <v>5</v>
      </c>
      <c r="AJ3240" t="n">
        <v>17</v>
      </c>
      <c r="AK3240" t="n">
        <v>17</v>
      </c>
      <c r="AL3240" t="n">
        <v>4</v>
      </c>
      <c r="AM3240" t="n">
        <v>4</v>
      </c>
      <c r="AN3240" t="n">
        <v>0</v>
      </c>
      <c r="AO3240" t="n">
        <v>0</v>
      </c>
      <c r="AP3240" t="inlineStr">
        <is>
          <t>No</t>
        </is>
      </c>
      <c r="AQ3240" t="inlineStr">
        <is>
          <t>No</t>
        </is>
      </c>
      <c r="AS3240">
        <f>HYPERLINK("https://creighton-primo.hosted.exlibrisgroup.com/primo-explore/search?tab=default_tab&amp;search_scope=EVERYTHING&amp;vid=01CRU&amp;lang=en_US&amp;offset=0&amp;query=any,contains,991000552929702656","Catalog Record")</f>
        <v/>
      </c>
      <c r="AT3240">
        <f>HYPERLINK("http://www.worldcat.org/oclc/11548512","WorldCat Record")</f>
        <v/>
      </c>
      <c r="AU3240" t="inlineStr">
        <is>
          <t>836655628:eng</t>
        </is>
      </c>
      <c r="AV3240" t="inlineStr">
        <is>
          <t>11548512</t>
        </is>
      </c>
      <c r="AW3240" t="inlineStr">
        <is>
          <t>991000552929702656</t>
        </is>
      </c>
      <c r="AX3240" t="inlineStr">
        <is>
          <t>991000552929702656</t>
        </is>
      </c>
      <c r="AY3240" t="inlineStr">
        <is>
          <t>2259952630002656</t>
        </is>
      </c>
      <c r="AZ3240" t="inlineStr">
        <is>
          <t>BOOK</t>
        </is>
      </c>
      <c r="BB3240" t="inlineStr">
        <is>
          <t>9780804712675</t>
        </is>
      </c>
      <c r="BC3240" t="inlineStr">
        <is>
          <t>32285001141117</t>
        </is>
      </c>
      <c r="BD3240" t="inlineStr">
        <is>
          <t>893261516</t>
        </is>
      </c>
    </row>
    <row r="3241">
      <c r="A3241" t="inlineStr">
        <is>
          <t>No</t>
        </is>
      </c>
      <c r="B3241" t="inlineStr">
        <is>
          <t>BX9354.2 .C34 1985</t>
        </is>
      </c>
      <c r="C3241" t="inlineStr">
        <is>
          <t>0                      BX 9354200C  34          1985</t>
        </is>
      </c>
      <c r="D3241" t="inlineStr">
        <is>
          <t>The Puritan conversion narrative : the beginnings of American expression / Patricia Caldwell.</t>
        </is>
      </c>
      <c r="F3241" t="inlineStr">
        <is>
          <t>No</t>
        </is>
      </c>
      <c r="G3241" t="inlineStr">
        <is>
          <t>1</t>
        </is>
      </c>
      <c r="H3241" t="inlineStr">
        <is>
          <t>No</t>
        </is>
      </c>
      <c r="I3241" t="inlineStr">
        <is>
          <t>No</t>
        </is>
      </c>
      <c r="J3241" t="inlineStr">
        <is>
          <t>0</t>
        </is>
      </c>
      <c r="K3241" t="inlineStr">
        <is>
          <t>Caldwell, Patricia.</t>
        </is>
      </c>
      <c r="L3241" t="inlineStr">
        <is>
          <t>Cambridge ; New York : Cambridge University Press, 1985 c1983.</t>
        </is>
      </c>
      <c r="M3241" t="inlineStr">
        <is>
          <t>1985</t>
        </is>
      </c>
      <c r="N3241" t="inlineStr">
        <is>
          <t>1st paperback ed.</t>
        </is>
      </c>
      <c r="O3241" t="inlineStr">
        <is>
          <t>eng</t>
        </is>
      </c>
      <c r="P3241" t="inlineStr">
        <is>
          <t>enk</t>
        </is>
      </c>
      <c r="Q3241" t="inlineStr">
        <is>
          <t>Cambridge studies in American literature and culture</t>
        </is>
      </c>
      <c r="R3241" t="inlineStr">
        <is>
          <t xml:space="preserve">BX </t>
        </is>
      </c>
      <c r="S3241" t="n">
        <v>4</v>
      </c>
      <c r="T3241" t="n">
        <v>4</v>
      </c>
      <c r="U3241" t="inlineStr">
        <is>
          <t>2005-05-05</t>
        </is>
      </c>
      <c r="V3241" t="inlineStr">
        <is>
          <t>2005-05-05</t>
        </is>
      </c>
      <c r="W3241" t="inlineStr">
        <is>
          <t>1990-02-02</t>
        </is>
      </c>
      <c r="X3241" t="inlineStr">
        <is>
          <t>1990-02-02</t>
        </is>
      </c>
      <c r="Y3241" t="n">
        <v>74</v>
      </c>
      <c r="Z3241" t="n">
        <v>62</v>
      </c>
      <c r="AA3241" t="n">
        <v>534</v>
      </c>
      <c r="AB3241" t="n">
        <v>1</v>
      </c>
      <c r="AC3241" t="n">
        <v>3</v>
      </c>
      <c r="AD3241" t="n">
        <v>3</v>
      </c>
      <c r="AE3241" t="n">
        <v>23</v>
      </c>
      <c r="AF3241" t="n">
        <v>3</v>
      </c>
      <c r="AG3241" t="n">
        <v>10</v>
      </c>
      <c r="AH3241" t="n">
        <v>0</v>
      </c>
      <c r="AI3241" t="n">
        <v>4</v>
      </c>
      <c r="AJ3241" t="n">
        <v>0</v>
      </c>
      <c r="AK3241" t="n">
        <v>13</v>
      </c>
      <c r="AL3241" t="n">
        <v>0</v>
      </c>
      <c r="AM3241" t="n">
        <v>2</v>
      </c>
      <c r="AN3241" t="n">
        <v>0</v>
      </c>
      <c r="AO3241" t="n">
        <v>0</v>
      </c>
      <c r="AP3241" t="inlineStr">
        <is>
          <t>No</t>
        </is>
      </c>
      <c r="AQ3241" t="inlineStr">
        <is>
          <t>No</t>
        </is>
      </c>
      <c r="AS3241">
        <f>HYPERLINK("https://creighton-primo.hosted.exlibrisgroup.com/primo-explore/search?tab=default_tab&amp;search_scope=EVERYTHING&amp;vid=01CRU&amp;lang=en_US&amp;offset=0&amp;query=any,contains,991001129229702656","Catalog Record")</f>
        <v/>
      </c>
      <c r="AT3241">
        <f>HYPERLINK("http://www.worldcat.org/oclc/13571291","WorldCat Record")</f>
        <v/>
      </c>
      <c r="AU3241" t="inlineStr">
        <is>
          <t>288041268:eng</t>
        </is>
      </c>
      <c r="AV3241" t="inlineStr">
        <is>
          <t>13571291</t>
        </is>
      </c>
      <c r="AW3241" t="inlineStr">
        <is>
          <t>991001129229702656</t>
        </is>
      </c>
      <c r="AX3241" t="inlineStr">
        <is>
          <t>991001129229702656</t>
        </is>
      </c>
      <c r="AY3241" t="inlineStr">
        <is>
          <t>2256751060002656</t>
        </is>
      </c>
      <c r="AZ3241" t="inlineStr">
        <is>
          <t>BOOK</t>
        </is>
      </c>
      <c r="BB3241" t="inlineStr">
        <is>
          <t>9780521254601</t>
        </is>
      </c>
      <c r="BC3241" t="inlineStr">
        <is>
          <t>32285000038579</t>
        </is>
      </c>
      <c r="BD3241" t="inlineStr">
        <is>
          <t>893621099</t>
        </is>
      </c>
    </row>
    <row r="3242">
      <c r="A3242" t="inlineStr">
        <is>
          <t>No</t>
        </is>
      </c>
      <c r="B3242" t="inlineStr">
        <is>
          <t>BX9354.2 .C64 1986</t>
        </is>
      </c>
      <c r="C3242" t="inlineStr">
        <is>
          <t>0                      BX 9354200C  64          1986</t>
        </is>
      </c>
      <c r="D3242" t="inlineStr">
        <is>
          <t>God's caress : the psychology of Puritan religious experience / Charles Lloyd Cohen.</t>
        </is>
      </c>
      <c r="F3242" t="inlineStr">
        <is>
          <t>No</t>
        </is>
      </c>
      <c r="G3242" t="inlineStr">
        <is>
          <t>1</t>
        </is>
      </c>
      <c r="H3242" t="inlineStr">
        <is>
          <t>No</t>
        </is>
      </c>
      <c r="I3242" t="inlineStr">
        <is>
          <t>No</t>
        </is>
      </c>
      <c r="J3242" t="inlineStr">
        <is>
          <t>0</t>
        </is>
      </c>
      <c r="K3242" t="inlineStr">
        <is>
          <t>Cohen, Charles L.</t>
        </is>
      </c>
      <c r="L3242" t="inlineStr">
        <is>
          <t>New York : Oxford University Press, 1986.</t>
        </is>
      </c>
      <c r="M3242" t="inlineStr">
        <is>
          <t>1986</t>
        </is>
      </c>
      <c r="O3242" t="inlineStr">
        <is>
          <t>eng</t>
        </is>
      </c>
      <c r="P3242" t="inlineStr">
        <is>
          <t>nyu</t>
        </is>
      </c>
      <c r="R3242" t="inlineStr">
        <is>
          <t xml:space="preserve">BX </t>
        </is>
      </c>
      <c r="S3242" t="n">
        <v>6</v>
      </c>
      <c r="T3242" t="n">
        <v>6</v>
      </c>
      <c r="U3242" t="inlineStr">
        <is>
          <t>1996-03-25</t>
        </is>
      </c>
      <c r="V3242" t="inlineStr">
        <is>
          <t>1996-03-25</t>
        </is>
      </c>
      <c r="W3242" t="inlineStr">
        <is>
          <t>1992-05-27</t>
        </is>
      </c>
      <c r="X3242" t="inlineStr">
        <is>
          <t>1992-05-27</t>
        </is>
      </c>
      <c r="Y3242" t="n">
        <v>864</v>
      </c>
      <c r="Z3242" t="n">
        <v>754</v>
      </c>
      <c r="AA3242" t="n">
        <v>912</v>
      </c>
      <c r="AB3242" t="n">
        <v>6</v>
      </c>
      <c r="AC3242" t="n">
        <v>7</v>
      </c>
      <c r="AD3242" t="n">
        <v>35</v>
      </c>
      <c r="AE3242" t="n">
        <v>43</v>
      </c>
      <c r="AF3242" t="n">
        <v>16</v>
      </c>
      <c r="AG3242" t="n">
        <v>19</v>
      </c>
      <c r="AH3242" t="n">
        <v>7</v>
      </c>
      <c r="AI3242" t="n">
        <v>9</v>
      </c>
      <c r="AJ3242" t="n">
        <v>17</v>
      </c>
      <c r="AK3242" t="n">
        <v>20</v>
      </c>
      <c r="AL3242" t="n">
        <v>5</v>
      </c>
      <c r="AM3242" t="n">
        <v>6</v>
      </c>
      <c r="AN3242" t="n">
        <v>0</v>
      </c>
      <c r="AO3242" t="n">
        <v>0</v>
      </c>
      <c r="AP3242" t="inlineStr">
        <is>
          <t>No</t>
        </is>
      </c>
      <c r="AQ3242" t="inlineStr">
        <is>
          <t>Yes</t>
        </is>
      </c>
      <c r="AR3242">
        <f>HYPERLINK("http://catalog.hathitrust.org/Record/000473226","HathiTrust Record")</f>
        <v/>
      </c>
      <c r="AS3242">
        <f>HYPERLINK("https://creighton-primo.hosted.exlibrisgroup.com/primo-explore/search?tab=default_tab&amp;search_scope=EVERYTHING&amp;vid=01CRU&amp;lang=en_US&amp;offset=0&amp;query=any,contains,991000728939702656","Catalog Record")</f>
        <v/>
      </c>
      <c r="AT3242">
        <f>HYPERLINK("http://www.worldcat.org/oclc/12721269","WorldCat Record")</f>
        <v/>
      </c>
      <c r="AU3242" t="inlineStr">
        <is>
          <t>5509625:eng</t>
        </is>
      </c>
      <c r="AV3242" t="inlineStr">
        <is>
          <t>12721269</t>
        </is>
      </c>
      <c r="AW3242" t="inlineStr">
        <is>
          <t>991000728939702656</t>
        </is>
      </c>
      <c r="AX3242" t="inlineStr">
        <is>
          <t>991000728939702656</t>
        </is>
      </c>
      <c r="AY3242" t="inlineStr">
        <is>
          <t>2260420410002656</t>
        </is>
      </c>
      <c r="AZ3242" t="inlineStr">
        <is>
          <t>BOOK</t>
        </is>
      </c>
      <c r="BB3242" t="inlineStr">
        <is>
          <t>9780195039733</t>
        </is>
      </c>
      <c r="BC3242" t="inlineStr">
        <is>
          <t>32285001141125</t>
        </is>
      </c>
      <c r="BD3242" t="inlineStr">
        <is>
          <t>893407463</t>
        </is>
      </c>
    </row>
    <row r="3243">
      <c r="A3243" t="inlineStr">
        <is>
          <t>No</t>
        </is>
      </c>
      <c r="B3243" t="inlineStr">
        <is>
          <t>BX9354.2 .E47 1977</t>
        </is>
      </c>
      <c r="C3243" t="inlineStr">
        <is>
          <t>0                      BX 9354200E  47          1977</t>
        </is>
      </c>
      <c r="D3243" t="inlineStr">
        <is>
          <t>Puritanism in America, 1620-1750 / by Everett Emerson.</t>
        </is>
      </c>
      <c r="F3243" t="inlineStr">
        <is>
          <t>No</t>
        </is>
      </c>
      <c r="G3243" t="inlineStr">
        <is>
          <t>1</t>
        </is>
      </c>
      <c r="H3243" t="inlineStr">
        <is>
          <t>No</t>
        </is>
      </c>
      <c r="I3243" t="inlineStr">
        <is>
          <t>No</t>
        </is>
      </c>
      <c r="J3243" t="inlineStr">
        <is>
          <t>0</t>
        </is>
      </c>
      <c r="K3243" t="inlineStr">
        <is>
          <t>Emerson, Everett H., 1925-2002.</t>
        </is>
      </c>
      <c r="L3243" t="inlineStr">
        <is>
          <t>Boston : Twayne Publishers, c1977.</t>
        </is>
      </c>
      <c r="M3243" t="inlineStr">
        <is>
          <t>1977</t>
        </is>
      </c>
      <c r="O3243" t="inlineStr">
        <is>
          <t>eng</t>
        </is>
      </c>
      <c r="P3243" t="inlineStr">
        <is>
          <t>mau</t>
        </is>
      </c>
      <c r="Q3243" t="inlineStr">
        <is>
          <t>Twayne's world leaders series ; TWLS 71</t>
        </is>
      </c>
      <c r="R3243" t="inlineStr">
        <is>
          <t xml:space="preserve">BX </t>
        </is>
      </c>
      <c r="S3243" t="n">
        <v>4</v>
      </c>
      <c r="T3243" t="n">
        <v>4</v>
      </c>
      <c r="U3243" t="inlineStr">
        <is>
          <t>1993-12-03</t>
        </is>
      </c>
      <c r="V3243" t="inlineStr">
        <is>
          <t>1993-12-03</t>
        </is>
      </c>
      <c r="W3243" t="inlineStr">
        <is>
          <t>1990-02-02</t>
        </is>
      </c>
      <c r="X3243" t="inlineStr">
        <is>
          <t>1990-02-02</t>
        </is>
      </c>
      <c r="Y3243" t="n">
        <v>865</v>
      </c>
      <c r="Z3243" t="n">
        <v>791</v>
      </c>
      <c r="AA3243" t="n">
        <v>794</v>
      </c>
      <c r="AB3243" t="n">
        <v>3</v>
      </c>
      <c r="AC3243" t="n">
        <v>3</v>
      </c>
      <c r="AD3243" t="n">
        <v>27</v>
      </c>
      <c r="AE3243" t="n">
        <v>27</v>
      </c>
      <c r="AF3243" t="n">
        <v>11</v>
      </c>
      <c r="AG3243" t="n">
        <v>11</v>
      </c>
      <c r="AH3243" t="n">
        <v>6</v>
      </c>
      <c r="AI3243" t="n">
        <v>6</v>
      </c>
      <c r="AJ3243" t="n">
        <v>14</v>
      </c>
      <c r="AK3243" t="n">
        <v>14</v>
      </c>
      <c r="AL3243" t="n">
        <v>2</v>
      </c>
      <c r="AM3243" t="n">
        <v>2</v>
      </c>
      <c r="AN3243" t="n">
        <v>0</v>
      </c>
      <c r="AO3243" t="n">
        <v>0</v>
      </c>
      <c r="AP3243" t="inlineStr">
        <is>
          <t>No</t>
        </is>
      </c>
      <c r="AQ3243" t="inlineStr">
        <is>
          <t>Yes</t>
        </is>
      </c>
      <c r="AR3243">
        <f>HYPERLINK("http://catalog.hathitrust.org/Record/000726563","HathiTrust Record")</f>
        <v/>
      </c>
      <c r="AS3243">
        <f>HYPERLINK("https://creighton-primo.hosted.exlibrisgroup.com/primo-explore/search?tab=default_tab&amp;search_scope=EVERYTHING&amp;vid=01CRU&amp;lang=en_US&amp;offset=0&amp;query=any,contains,991004269599702656","Catalog Record")</f>
        <v/>
      </c>
      <c r="AT3243">
        <f>HYPERLINK("http://www.worldcat.org/oclc/2874779","WorldCat Record")</f>
        <v/>
      </c>
      <c r="AU3243" t="inlineStr">
        <is>
          <t>461713:eng</t>
        </is>
      </c>
      <c r="AV3243" t="inlineStr">
        <is>
          <t>2874779</t>
        </is>
      </c>
      <c r="AW3243" t="inlineStr">
        <is>
          <t>991004269599702656</t>
        </is>
      </c>
      <c r="AX3243" t="inlineStr">
        <is>
          <t>991004269599702656</t>
        </is>
      </c>
      <c r="AY3243" t="inlineStr">
        <is>
          <t>2257558300002656</t>
        </is>
      </c>
      <c r="AZ3243" t="inlineStr">
        <is>
          <t>BOOK</t>
        </is>
      </c>
      <c r="BB3243" t="inlineStr">
        <is>
          <t>9780805776928</t>
        </is>
      </c>
      <c r="BC3243" t="inlineStr">
        <is>
          <t>32285000038561</t>
        </is>
      </c>
      <c r="BD3243" t="inlineStr">
        <is>
          <t>893869522</t>
        </is>
      </c>
    </row>
    <row r="3244">
      <c r="A3244" t="inlineStr">
        <is>
          <t>No</t>
        </is>
      </c>
      <c r="B3244" t="inlineStr">
        <is>
          <t>BX9355 .E7 1966</t>
        </is>
      </c>
      <c r="C3244" t="inlineStr">
        <is>
          <t>0                      BX 9355000E  7           1966</t>
        </is>
      </c>
      <c r="D3244" t="inlineStr">
        <is>
          <t>Wayward Puritans; a study in the sociology of deviance / Kai T. Erikson.</t>
        </is>
      </c>
      <c r="F3244" t="inlineStr">
        <is>
          <t>No</t>
        </is>
      </c>
      <c r="G3244" t="inlineStr">
        <is>
          <t>1</t>
        </is>
      </c>
      <c r="H3244" t="inlineStr">
        <is>
          <t>Yes</t>
        </is>
      </c>
      <c r="I3244" t="inlineStr">
        <is>
          <t>No</t>
        </is>
      </c>
      <c r="J3244" t="inlineStr">
        <is>
          <t>0</t>
        </is>
      </c>
      <c r="K3244" t="inlineStr">
        <is>
          <t>Erikson, Kai, 1931-</t>
        </is>
      </c>
      <c r="L3244" t="inlineStr">
        <is>
          <t>New York : Wiley, c1966.</t>
        </is>
      </c>
      <c r="M3244" t="inlineStr">
        <is>
          <t>1966</t>
        </is>
      </c>
      <c r="O3244" t="inlineStr">
        <is>
          <t>eng</t>
        </is>
      </c>
      <c r="P3244" t="inlineStr">
        <is>
          <t>nyu</t>
        </is>
      </c>
      <c r="R3244" t="inlineStr">
        <is>
          <t xml:space="preserve">BX </t>
        </is>
      </c>
      <c r="S3244" t="n">
        <v>4</v>
      </c>
      <c r="T3244" t="n">
        <v>5</v>
      </c>
      <c r="U3244" t="inlineStr">
        <is>
          <t>1993-12-03</t>
        </is>
      </c>
      <c r="V3244" t="inlineStr">
        <is>
          <t>1993-12-03</t>
        </is>
      </c>
      <c r="W3244" t="inlineStr">
        <is>
          <t>1990-04-06</t>
        </is>
      </c>
      <c r="X3244" t="inlineStr">
        <is>
          <t>1993-04-28</t>
        </is>
      </c>
      <c r="Y3244" t="n">
        <v>1391</v>
      </c>
      <c r="Z3244" t="n">
        <v>1164</v>
      </c>
      <c r="AA3244" t="n">
        <v>1300</v>
      </c>
      <c r="AB3244" t="n">
        <v>9</v>
      </c>
      <c r="AC3244" t="n">
        <v>9</v>
      </c>
      <c r="AD3244" t="n">
        <v>43</v>
      </c>
      <c r="AE3244" t="n">
        <v>47</v>
      </c>
      <c r="AF3244" t="n">
        <v>17</v>
      </c>
      <c r="AG3244" t="n">
        <v>19</v>
      </c>
      <c r="AH3244" t="n">
        <v>7</v>
      </c>
      <c r="AI3244" t="n">
        <v>8</v>
      </c>
      <c r="AJ3244" t="n">
        <v>19</v>
      </c>
      <c r="AK3244" t="n">
        <v>21</v>
      </c>
      <c r="AL3244" t="n">
        <v>6</v>
      </c>
      <c r="AM3244" t="n">
        <v>6</v>
      </c>
      <c r="AN3244" t="n">
        <v>3</v>
      </c>
      <c r="AO3244" t="n">
        <v>3</v>
      </c>
      <c r="AP3244" t="inlineStr">
        <is>
          <t>No</t>
        </is>
      </c>
      <c r="AQ3244" t="inlineStr">
        <is>
          <t>Yes</t>
        </is>
      </c>
      <c r="AR3244">
        <f>HYPERLINK("http://catalog.hathitrust.org/Record/001594457","HathiTrust Record")</f>
        <v/>
      </c>
      <c r="AS3244">
        <f>HYPERLINK("https://creighton-primo.hosted.exlibrisgroup.com/primo-explore/search?tab=default_tab&amp;search_scope=EVERYTHING&amp;vid=01CRU&amp;lang=en_US&amp;offset=0&amp;query=any,contains,991001787759702656","Catalog Record")</f>
        <v/>
      </c>
      <c r="AT3244">
        <f>HYPERLINK("http://www.worldcat.org/oclc/203640","WorldCat Record")</f>
        <v/>
      </c>
      <c r="AU3244" t="inlineStr">
        <is>
          <t>398460:eng</t>
        </is>
      </c>
      <c r="AV3244" t="inlineStr">
        <is>
          <t>203640</t>
        </is>
      </c>
      <c r="AW3244" t="inlineStr">
        <is>
          <t>991001787759702656</t>
        </is>
      </c>
      <c r="AX3244" t="inlineStr">
        <is>
          <t>991001787759702656</t>
        </is>
      </c>
      <c r="AY3244" t="inlineStr">
        <is>
          <t>2256048070002656</t>
        </is>
      </c>
      <c r="AZ3244" t="inlineStr">
        <is>
          <t>BOOK</t>
        </is>
      </c>
      <c r="BC3244" t="inlineStr">
        <is>
          <t>32285000111566</t>
        </is>
      </c>
      <c r="BD3244" t="inlineStr">
        <is>
          <t>893529227</t>
        </is>
      </c>
    </row>
    <row r="3245">
      <c r="A3245" t="inlineStr">
        <is>
          <t>No</t>
        </is>
      </c>
      <c r="B3245" t="inlineStr">
        <is>
          <t>BX9355.N35 Z35 1992</t>
        </is>
      </c>
      <c r="C3245" t="inlineStr">
        <is>
          <t>0                      BX 9355000N  35                 Z  35          1992</t>
        </is>
      </c>
      <c r="D3245" t="inlineStr">
        <is>
          <t>Exile and kingdom : history and apocalypse in the Puritan migration to America / Avihu Zakai.</t>
        </is>
      </c>
      <c r="F3245" t="inlineStr">
        <is>
          <t>No</t>
        </is>
      </c>
      <c r="G3245" t="inlineStr">
        <is>
          <t>1</t>
        </is>
      </c>
      <c r="H3245" t="inlineStr">
        <is>
          <t>No</t>
        </is>
      </c>
      <c r="I3245" t="inlineStr">
        <is>
          <t>No</t>
        </is>
      </c>
      <c r="J3245" t="inlineStr">
        <is>
          <t>0</t>
        </is>
      </c>
      <c r="K3245" t="inlineStr">
        <is>
          <t>Zakai, Avihu.</t>
        </is>
      </c>
      <c r="L3245" t="inlineStr">
        <is>
          <t>Cambridge ; New York : Cambridge University Press, 1992.</t>
        </is>
      </c>
      <c r="M3245" t="inlineStr">
        <is>
          <t>1992</t>
        </is>
      </c>
      <c r="O3245" t="inlineStr">
        <is>
          <t>eng</t>
        </is>
      </c>
      <c r="P3245" t="inlineStr">
        <is>
          <t>enk</t>
        </is>
      </c>
      <c r="Q3245" t="inlineStr">
        <is>
          <t>Cambridge studies in early modern British history</t>
        </is>
      </c>
      <c r="R3245" t="inlineStr">
        <is>
          <t xml:space="preserve">BX </t>
        </is>
      </c>
      <c r="S3245" t="n">
        <v>6</v>
      </c>
      <c r="T3245" t="n">
        <v>6</v>
      </c>
      <c r="U3245" t="inlineStr">
        <is>
          <t>2009-10-06</t>
        </is>
      </c>
      <c r="V3245" t="inlineStr">
        <is>
          <t>2009-10-06</t>
        </is>
      </c>
      <c r="W3245" t="inlineStr">
        <is>
          <t>1992-04-22</t>
        </is>
      </c>
      <c r="X3245" t="inlineStr">
        <is>
          <t>1992-04-22</t>
        </is>
      </c>
      <c r="Y3245" t="n">
        <v>391</v>
      </c>
      <c r="Z3245" t="n">
        <v>284</v>
      </c>
      <c r="AA3245" t="n">
        <v>307</v>
      </c>
      <c r="AB3245" t="n">
        <v>3</v>
      </c>
      <c r="AC3245" t="n">
        <v>3</v>
      </c>
      <c r="AD3245" t="n">
        <v>17</v>
      </c>
      <c r="AE3245" t="n">
        <v>17</v>
      </c>
      <c r="AF3245" t="n">
        <v>5</v>
      </c>
      <c r="AG3245" t="n">
        <v>5</v>
      </c>
      <c r="AH3245" t="n">
        <v>5</v>
      </c>
      <c r="AI3245" t="n">
        <v>5</v>
      </c>
      <c r="AJ3245" t="n">
        <v>9</v>
      </c>
      <c r="AK3245" t="n">
        <v>9</v>
      </c>
      <c r="AL3245" t="n">
        <v>2</v>
      </c>
      <c r="AM3245" t="n">
        <v>2</v>
      </c>
      <c r="AN3245" t="n">
        <v>0</v>
      </c>
      <c r="AO3245" t="n">
        <v>0</v>
      </c>
      <c r="AP3245" t="inlineStr">
        <is>
          <t>No</t>
        </is>
      </c>
      <c r="AQ3245" t="inlineStr">
        <is>
          <t>No</t>
        </is>
      </c>
      <c r="AS3245">
        <f>HYPERLINK("https://creighton-primo.hosted.exlibrisgroup.com/primo-explore/search?tab=default_tab&amp;search_scope=EVERYTHING&amp;vid=01CRU&amp;lang=en_US&amp;offset=0&amp;query=any,contains,991001878159702656","Catalog Record")</f>
        <v/>
      </c>
      <c r="AT3245">
        <f>HYPERLINK("http://www.worldcat.org/oclc/23692834","WorldCat Record")</f>
        <v/>
      </c>
      <c r="AU3245" t="inlineStr">
        <is>
          <t>836863699:eng</t>
        </is>
      </c>
      <c r="AV3245" t="inlineStr">
        <is>
          <t>23692834</t>
        </is>
      </c>
      <c r="AW3245" t="inlineStr">
        <is>
          <t>991001878159702656</t>
        </is>
      </c>
      <c r="AX3245" t="inlineStr">
        <is>
          <t>991001878159702656</t>
        </is>
      </c>
      <c r="AY3245" t="inlineStr">
        <is>
          <t>2261823420002656</t>
        </is>
      </c>
      <c r="AZ3245" t="inlineStr">
        <is>
          <t>BOOK</t>
        </is>
      </c>
      <c r="BB3245" t="inlineStr">
        <is>
          <t>9780521403818</t>
        </is>
      </c>
      <c r="BC3245" t="inlineStr">
        <is>
          <t>32285001036986</t>
        </is>
      </c>
      <c r="BD3245" t="inlineStr">
        <is>
          <t>893684721</t>
        </is>
      </c>
    </row>
    <row r="3246">
      <c r="A3246" t="inlineStr">
        <is>
          <t>No</t>
        </is>
      </c>
      <c r="B3246" t="inlineStr">
        <is>
          <t>BX9418 .A83</t>
        </is>
      </c>
      <c r="C3246" t="inlineStr">
        <is>
          <t>0                      BX 9418000A  83</t>
        </is>
      </c>
      <c r="D3246" t="inlineStr">
        <is>
          <t>History of the life, works, and doctrines of John Calvin / from the French of J.M.V. Audin. Translated by Rev. John McGill.</t>
        </is>
      </c>
      <c r="F3246" t="inlineStr">
        <is>
          <t>No</t>
        </is>
      </c>
      <c r="G3246" t="inlineStr">
        <is>
          <t>1</t>
        </is>
      </c>
      <c r="H3246" t="inlineStr">
        <is>
          <t>No</t>
        </is>
      </c>
      <c r="I3246" t="inlineStr">
        <is>
          <t>No</t>
        </is>
      </c>
      <c r="J3246" t="inlineStr">
        <is>
          <t>0</t>
        </is>
      </c>
      <c r="K3246" t="inlineStr">
        <is>
          <t>Audin, M. (Jean Marie Vincent), 1793-1851.</t>
        </is>
      </c>
      <c r="L3246" t="inlineStr">
        <is>
          <t>Louisville : B.J. Webb, n.d.</t>
        </is>
      </c>
      <c r="M3246" t="inlineStr">
        <is>
          <t>1850</t>
        </is>
      </c>
      <c r="O3246" t="inlineStr">
        <is>
          <t>eng</t>
        </is>
      </c>
      <c r="P3246" t="inlineStr">
        <is>
          <t>___</t>
        </is>
      </c>
      <c r="R3246" t="inlineStr">
        <is>
          <t xml:space="preserve">BX </t>
        </is>
      </c>
      <c r="S3246" t="n">
        <v>7</v>
      </c>
      <c r="T3246" t="n">
        <v>7</v>
      </c>
      <c r="U3246" t="inlineStr">
        <is>
          <t>2002-11-19</t>
        </is>
      </c>
      <c r="V3246" t="inlineStr">
        <is>
          <t>2002-11-19</t>
        </is>
      </c>
      <c r="W3246" t="inlineStr">
        <is>
          <t>1992-05-27</t>
        </is>
      </c>
      <c r="X3246" t="inlineStr">
        <is>
          <t>1992-05-27</t>
        </is>
      </c>
      <c r="Y3246" t="n">
        <v>87</v>
      </c>
      <c r="Z3246" t="n">
        <v>70</v>
      </c>
      <c r="AA3246" t="n">
        <v>100</v>
      </c>
      <c r="AB3246" t="n">
        <v>1</v>
      </c>
      <c r="AC3246" t="n">
        <v>1</v>
      </c>
      <c r="AD3246" t="n">
        <v>8</v>
      </c>
      <c r="AE3246" t="n">
        <v>11</v>
      </c>
      <c r="AF3246" t="n">
        <v>2</v>
      </c>
      <c r="AG3246" t="n">
        <v>3</v>
      </c>
      <c r="AH3246" t="n">
        <v>1</v>
      </c>
      <c r="AI3246" t="n">
        <v>2</v>
      </c>
      <c r="AJ3246" t="n">
        <v>7</v>
      </c>
      <c r="AK3246" t="n">
        <v>9</v>
      </c>
      <c r="AL3246" t="n">
        <v>0</v>
      </c>
      <c r="AM3246" t="n">
        <v>0</v>
      </c>
      <c r="AN3246" t="n">
        <v>0</v>
      </c>
      <c r="AO3246" t="n">
        <v>0</v>
      </c>
      <c r="AP3246" t="inlineStr">
        <is>
          <t>Yes</t>
        </is>
      </c>
      <c r="AQ3246" t="inlineStr">
        <is>
          <t>No</t>
        </is>
      </c>
      <c r="AR3246">
        <f>HYPERLINK("http://catalog.hathitrust.org/Record/008416042","HathiTrust Record")</f>
        <v/>
      </c>
      <c r="AS3246">
        <f>HYPERLINK("https://creighton-primo.hosted.exlibrisgroup.com/primo-explore/search?tab=default_tab&amp;search_scope=EVERYTHING&amp;vid=01CRU&amp;lang=en_US&amp;offset=0&amp;query=any,contains,991003355279702656","Catalog Record")</f>
        <v/>
      </c>
      <c r="AT3246">
        <f>HYPERLINK("http://www.worldcat.org/oclc/888409","WorldCat Record")</f>
        <v/>
      </c>
      <c r="AU3246" t="inlineStr">
        <is>
          <t>4714347496:eng</t>
        </is>
      </c>
      <c r="AV3246" t="inlineStr">
        <is>
          <t>888409</t>
        </is>
      </c>
      <c r="AW3246" t="inlineStr">
        <is>
          <t>991003355279702656</t>
        </is>
      </c>
      <c r="AX3246" t="inlineStr">
        <is>
          <t>991003355279702656</t>
        </is>
      </c>
      <c r="AY3246" t="inlineStr">
        <is>
          <t>2254769160002656</t>
        </is>
      </c>
      <c r="AZ3246" t="inlineStr">
        <is>
          <t>BOOK</t>
        </is>
      </c>
      <c r="BC3246" t="inlineStr">
        <is>
          <t>32285001141133</t>
        </is>
      </c>
      <c r="BD3246" t="inlineStr">
        <is>
          <t>893610957</t>
        </is>
      </c>
    </row>
    <row r="3247">
      <c r="A3247" t="inlineStr">
        <is>
          <t>No</t>
        </is>
      </c>
      <c r="B3247" t="inlineStr">
        <is>
          <t>BX9418 .B75 1968</t>
        </is>
      </c>
      <c r="C3247" t="inlineStr">
        <is>
          <t>0                      BX 9418000B  75          1968</t>
        </is>
      </c>
      <c r="D3247" t="inlineStr">
        <is>
          <t>John Calvin : a study in French humanism / by Quirinus Breen. With a foreword by John T. McNeill.</t>
        </is>
      </c>
      <c r="F3247" t="inlineStr">
        <is>
          <t>No</t>
        </is>
      </c>
      <c r="G3247" t="inlineStr">
        <is>
          <t>1</t>
        </is>
      </c>
      <c r="H3247" t="inlineStr">
        <is>
          <t>No</t>
        </is>
      </c>
      <c r="I3247" t="inlineStr">
        <is>
          <t>No</t>
        </is>
      </c>
      <c r="J3247" t="inlineStr">
        <is>
          <t>0</t>
        </is>
      </c>
      <c r="K3247" t="inlineStr">
        <is>
          <t>Breen, Quirinus, 1896-</t>
        </is>
      </c>
      <c r="L3247" t="inlineStr">
        <is>
          <t>[Hamden, Conn.] : Archon Books, 1968.</t>
        </is>
      </c>
      <c r="M3247" t="inlineStr">
        <is>
          <t>1968</t>
        </is>
      </c>
      <c r="N3247" t="inlineStr">
        <is>
          <t>2d ed.</t>
        </is>
      </c>
      <c r="O3247" t="inlineStr">
        <is>
          <t>eng</t>
        </is>
      </c>
      <c r="P3247" t="inlineStr">
        <is>
          <t>ctu</t>
        </is>
      </c>
      <c r="R3247" t="inlineStr">
        <is>
          <t xml:space="preserve">BX </t>
        </is>
      </c>
      <c r="S3247" t="n">
        <v>3</v>
      </c>
      <c r="T3247" t="n">
        <v>3</v>
      </c>
      <c r="U3247" t="inlineStr">
        <is>
          <t>1996-11-07</t>
        </is>
      </c>
      <c r="V3247" t="inlineStr">
        <is>
          <t>1996-11-07</t>
        </is>
      </c>
      <c r="W3247" t="inlineStr">
        <is>
          <t>1994-04-29</t>
        </is>
      </c>
      <c r="X3247" t="inlineStr">
        <is>
          <t>1994-04-29</t>
        </is>
      </c>
      <c r="Y3247" t="n">
        <v>551</v>
      </c>
      <c r="Z3247" t="n">
        <v>464</v>
      </c>
      <c r="AA3247" t="n">
        <v>560</v>
      </c>
      <c r="AB3247" t="n">
        <v>4</v>
      </c>
      <c r="AC3247" t="n">
        <v>5</v>
      </c>
      <c r="AD3247" t="n">
        <v>25</v>
      </c>
      <c r="AE3247" t="n">
        <v>29</v>
      </c>
      <c r="AF3247" t="n">
        <v>8</v>
      </c>
      <c r="AG3247" t="n">
        <v>11</v>
      </c>
      <c r="AH3247" t="n">
        <v>3</v>
      </c>
      <c r="AI3247" t="n">
        <v>4</v>
      </c>
      <c r="AJ3247" t="n">
        <v>17</v>
      </c>
      <c r="AK3247" t="n">
        <v>17</v>
      </c>
      <c r="AL3247" t="n">
        <v>2</v>
      </c>
      <c r="AM3247" t="n">
        <v>3</v>
      </c>
      <c r="AN3247" t="n">
        <v>0</v>
      </c>
      <c r="AO3247" t="n">
        <v>0</v>
      </c>
      <c r="AP3247" t="inlineStr">
        <is>
          <t>No</t>
        </is>
      </c>
      <c r="AQ3247" t="inlineStr">
        <is>
          <t>Yes</t>
        </is>
      </c>
      <c r="AR3247">
        <f>HYPERLINK("http://catalog.hathitrust.org/Record/007480066","HathiTrust Record")</f>
        <v/>
      </c>
      <c r="AS3247">
        <f>HYPERLINK("https://creighton-primo.hosted.exlibrisgroup.com/primo-explore/search?tab=default_tab&amp;search_scope=EVERYTHING&amp;vid=01CRU&amp;lang=en_US&amp;offset=0&amp;query=any,contains,991002910979702656","Catalog Record")</f>
        <v/>
      </c>
      <c r="AT3247">
        <f>HYPERLINK("http://www.worldcat.org/oclc/522061","WorldCat Record")</f>
        <v/>
      </c>
      <c r="AU3247" t="inlineStr">
        <is>
          <t>1520354:eng</t>
        </is>
      </c>
      <c r="AV3247" t="inlineStr">
        <is>
          <t>522061</t>
        </is>
      </c>
      <c r="AW3247" t="inlineStr">
        <is>
          <t>991002910979702656</t>
        </is>
      </c>
      <c r="AX3247" t="inlineStr">
        <is>
          <t>991002910979702656</t>
        </is>
      </c>
      <c r="AY3247" t="inlineStr">
        <is>
          <t>2260174470002656</t>
        </is>
      </c>
      <c r="AZ3247" t="inlineStr">
        <is>
          <t>BOOK</t>
        </is>
      </c>
      <c r="BC3247" t="inlineStr">
        <is>
          <t>32285001894996</t>
        </is>
      </c>
      <c r="BD3247" t="inlineStr">
        <is>
          <t>893517912</t>
        </is>
      </c>
    </row>
    <row r="3248">
      <c r="A3248" t="inlineStr">
        <is>
          <t>No</t>
        </is>
      </c>
      <c r="B3248" t="inlineStr">
        <is>
          <t>BX9418 .G313 1987</t>
        </is>
      </c>
      <c r="C3248" t="inlineStr">
        <is>
          <t>0                      BX 9418000G  313         1987</t>
        </is>
      </c>
      <c r="D3248" t="inlineStr">
        <is>
          <t>The young Calvin / Alexandre Ganoczy ; translated by David Foxgrover and Wade Provo.</t>
        </is>
      </c>
      <c r="F3248" t="inlineStr">
        <is>
          <t>No</t>
        </is>
      </c>
      <c r="G3248" t="inlineStr">
        <is>
          <t>1</t>
        </is>
      </c>
      <c r="H3248" t="inlineStr">
        <is>
          <t>No</t>
        </is>
      </c>
      <c r="I3248" t="inlineStr">
        <is>
          <t>No</t>
        </is>
      </c>
      <c r="J3248" t="inlineStr">
        <is>
          <t>0</t>
        </is>
      </c>
      <c r="K3248" t="inlineStr">
        <is>
          <t>Ganoczy, Alexandre.</t>
        </is>
      </c>
      <c r="L3248" t="inlineStr">
        <is>
          <t>Philadelphia : Westminster Press, c1987.</t>
        </is>
      </c>
      <c r="M3248" t="inlineStr">
        <is>
          <t>1987</t>
        </is>
      </c>
      <c r="N3248" t="inlineStr">
        <is>
          <t>1st American ed.</t>
        </is>
      </c>
      <c r="O3248" t="inlineStr">
        <is>
          <t>eng</t>
        </is>
      </c>
      <c r="P3248" t="inlineStr">
        <is>
          <t>pau</t>
        </is>
      </c>
      <c r="R3248" t="inlineStr">
        <is>
          <t xml:space="preserve">BX </t>
        </is>
      </c>
      <c r="S3248" t="n">
        <v>7</v>
      </c>
      <c r="T3248" t="n">
        <v>7</v>
      </c>
      <c r="U3248" t="inlineStr">
        <is>
          <t>2002-11-19</t>
        </is>
      </c>
      <c r="V3248" t="inlineStr">
        <is>
          <t>2002-11-19</t>
        </is>
      </c>
      <c r="W3248" t="inlineStr">
        <is>
          <t>1992-05-27</t>
        </is>
      </c>
      <c r="X3248" t="inlineStr">
        <is>
          <t>1992-05-27</t>
        </is>
      </c>
      <c r="Y3248" t="n">
        <v>593</v>
      </c>
      <c r="Z3248" t="n">
        <v>523</v>
      </c>
      <c r="AA3248" t="n">
        <v>546</v>
      </c>
      <c r="AB3248" t="n">
        <v>3</v>
      </c>
      <c r="AC3248" t="n">
        <v>3</v>
      </c>
      <c r="AD3248" t="n">
        <v>29</v>
      </c>
      <c r="AE3248" t="n">
        <v>31</v>
      </c>
      <c r="AF3248" t="n">
        <v>11</v>
      </c>
      <c r="AG3248" t="n">
        <v>13</v>
      </c>
      <c r="AH3248" t="n">
        <v>8</v>
      </c>
      <c r="AI3248" t="n">
        <v>8</v>
      </c>
      <c r="AJ3248" t="n">
        <v>17</v>
      </c>
      <c r="AK3248" t="n">
        <v>18</v>
      </c>
      <c r="AL3248" t="n">
        <v>1</v>
      </c>
      <c r="AM3248" t="n">
        <v>1</v>
      </c>
      <c r="AN3248" t="n">
        <v>0</v>
      </c>
      <c r="AO3248" t="n">
        <v>0</v>
      </c>
      <c r="AP3248" t="inlineStr">
        <is>
          <t>No</t>
        </is>
      </c>
      <c r="AQ3248" t="inlineStr">
        <is>
          <t>Yes</t>
        </is>
      </c>
      <c r="AR3248">
        <f>HYPERLINK("http://catalog.hathitrust.org/Record/000873389","HathiTrust Record")</f>
        <v/>
      </c>
      <c r="AS3248">
        <f>HYPERLINK("https://creighton-primo.hosted.exlibrisgroup.com/primo-explore/search?tab=default_tab&amp;search_scope=EVERYTHING&amp;vid=01CRU&amp;lang=en_US&amp;offset=0&amp;query=any,contains,991001061269702656","Catalog Record")</f>
        <v/>
      </c>
      <c r="AT3248">
        <f>HYPERLINK("http://www.worldcat.org/oclc/15790245","WorldCat Record")</f>
        <v/>
      </c>
      <c r="AU3248" t="inlineStr">
        <is>
          <t>1152553925:eng</t>
        </is>
      </c>
      <c r="AV3248" t="inlineStr">
        <is>
          <t>15790245</t>
        </is>
      </c>
      <c r="AW3248" t="inlineStr">
        <is>
          <t>991001061269702656</t>
        </is>
      </c>
      <c r="AX3248" t="inlineStr">
        <is>
          <t>991001061269702656</t>
        </is>
      </c>
      <c r="AY3248" t="inlineStr">
        <is>
          <t>2260188700002656</t>
        </is>
      </c>
      <c r="AZ3248" t="inlineStr">
        <is>
          <t>BOOK</t>
        </is>
      </c>
      <c r="BB3248" t="inlineStr">
        <is>
          <t>9780664218409</t>
        </is>
      </c>
      <c r="BC3248" t="inlineStr">
        <is>
          <t>32285001141182</t>
        </is>
      </c>
      <c r="BD3248" t="inlineStr">
        <is>
          <t>893897469</t>
        </is>
      </c>
    </row>
    <row r="3249">
      <c r="A3249" t="inlineStr">
        <is>
          <t>No</t>
        </is>
      </c>
      <c r="B3249" t="inlineStr">
        <is>
          <t>BX9418 .G477 1993</t>
        </is>
      </c>
      <c r="C3249" t="inlineStr">
        <is>
          <t>0                      BX 9418000G  477         1993</t>
        </is>
      </c>
      <c r="D3249" t="inlineStr">
        <is>
          <t>Grace and gratitude : the Eucharistic theology of John Calvin / B.A. Gerrish.</t>
        </is>
      </c>
      <c r="F3249" t="inlineStr">
        <is>
          <t>No</t>
        </is>
      </c>
      <c r="G3249" t="inlineStr">
        <is>
          <t>1</t>
        </is>
      </c>
      <c r="H3249" t="inlineStr">
        <is>
          <t>No</t>
        </is>
      </c>
      <c r="I3249" t="inlineStr">
        <is>
          <t>No</t>
        </is>
      </c>
      <c r="J3249" t="inlineStr">
        <is>
          <t>0</t>
        </is>
      </c>
      <c r="K3249" t="inlineStr">
        <is>
          <t>Gerrish, B. A. (Brian Albert), 1931-</t>
        </is>
      </c>
      <c r="L3249" t="inlineStr">
        <is>
          <t>Minneapolis : Fortress Press, c1993.</t>
        </is>
      </c>
      <c r="M3249" t="inlineStr">
        <is>
          <t>1993</t>
        </is>
      </c>
      <c r="O3249" t="inlineStr">
        <is>
          <t>eng</t>
        </is>
      </c>
      <c r="P3249" t="inlineStr">
        <is>
          <t>mnu</t>
        </is>
      </c>
      <c r="R3249" t="inlineStr">
        <is>
          <t xml:space="preserve">BX </t>
        </is>
      </c>
      <c r="S3249" t="n">
        <v>8</v>
      </c>
      <c r="T3249" t="n">
        <v>8</v>
      </c>
      <c r="U3249" t="inlineStr">
        <is>
          <t>2009-11-30</t>
        </is>
      </c>
      <c r="V3249" t="inlineStr">
        <is>
          <t>2009-11-30</t>
        </is>
      </c>
      <c r="W3249" t="inlineStr">
        <is>
          <t>1995-01-03</t>
        </is>
      </c>
      <c r="X3249" t="inlineStr">
        <is>
          <t>1995-01-03</t>
        </is>
      </c>
      <c r="Y3249" t="n">
        <v>296</v>
      </c>
      <c r="Z3249" t="n">
        <v>239</v>
      </c>
      <c r="AA3249" t="n">
        <v>274</v>
      </c>
      <c r="AB3249" t="n">
        <v>3</v>
      </c>
      <c r="AC3249" t="n">
        <v>3</v>
      </c>
      <c r="AD3249" t="n">
        <v>20</v>
      </c>
      <c r="AE3249" t="n">
        <v>23</v>
      </c>
      <c r="AF3249" t="n">
        <v>11</v>
      </c>
      <c r="AG3249" t="n">
        <v>11</v>
      </c>
      <c r="AH3249" t="n">
        <v>4</v>
      </c>
      <c r="AI3249" t="n">
        <v>5</v>
      </c>
      <c r="AJ3249" t="n">
        <v>11</v>
      </c>
      <c r="AK3249" t="n">
        <v>14</v>
      </c>
      <c r="AL3249" t="n">
        <v>1</v>
      </c>
      <c r="AM3249" t="n">
        <v>1</v>
      </c>
      <c r="AN3249" t="n">
        <v>0</v>
      </c>
      <c r="AO3249" t="n">
        <v>0</v>
      </c>
      <c r="AP3249" t="inlineStr">
        <is>
          <t>No</t>
        </is>
      </c>
      <c r="AQ3249" t="inlineStr">
        <is>
          <t>Yes</t>
        </is>
      </c>
      <c r="AR3249">
        <f>HYPERLINK("http://catalog.hathitrust.org/Record/002700450","HathiTrust Record")</f>
        <v/>
      </c>
      <c r="AS3249">
        <f>HYPERLINK("https://creighton-primo.hosted.exlibrisgroup.com/primo-explore/search?tab=default_tab&amp;search_scope=EVERYTHING&amp;vid=01CRU&amp;lang=en_US&amp;offset=0&amp;query=any,contains,991002034219702656","Catalog Record")</f>
        <v/>
      </c>
      <c r="AT3249">
        <f>HYPERLINK("http://www.worldcat.org/oclc/25914650","WorldCat Record")</f>
        <v/>
      </c>
      <c r="AU3249" t="inlineStr">
        <is>
          <t>9602709:eng</t>
        </is>
      </c>
      <c r="AV3249" t="inlineStr">
        <is>
          <t>25914650</t>
        </is>
      </c>
      <c r="AW3249" t="inlineStr">
        <is>
          <t>991002034219702656</t>
        </is>
      </c>
      <c r="AX3249" t="inlineStr">
        <is>
          <t>991002034219702656</t>
        </is>
      </c>
      <c r="AY3249" t="inlineStr">
        <is>
          <t>2272168500002656</t>
        </is>
      </c>
      <c r="AZ3249" t="inlineStr">
        <is>
          <t>BOOK</t>
        </is>
      </c>
      <c r="BB3249" t="inlineStr">
        <is>
          <t>9780800625689</t>
        </is>
      </c>
      <c r="BC3249" t="inlineStr">
        <is>
          <t>32285001990190</t>
        </is>
      </c>
      <c r="BD3249" t="inlineStr">
        <is>
          <t>893885768</t>
        </is>
      </c>
    </row>
    <row r="3250">
      <c r="A3250" t="inlineStr">
        <is>
          <t>No</t>
        </is>
      </c>
      <c r="B3250" t="inlineStr">
        <is>
          <t>BX9418 .G7</t>
        </is>
      </c>
      <c r="C3250" t="inlineStr">
        <is>
          <t>0                      BX 9418000G  7</t>
        </is>
      </c>
      <c r="D3250" t="inlineStr">
        <is>
          <t>The constructive revolutionary : John Calvin &amp; his socio-economic impact / by W. Fred Graham.</t>
        </is>
      </c>
      <c r="F3250" t="inlineStr">
        <is>
          <t>No</t>
        </is>
      </c>
      <c r="G3250" t="inlineStr">
        <is>
          <t>1</t>
        </is>
      </c>
      <c r="H3250" t="inlineStr">
        <is>
          <t>No</t>
        </is>
      </c>
      <c r="I3250" t="inlineStr">
        <is>
          <t>No</t>
        </is>
      </c>
      <c r="J3250" t="inlineStr">
        <is>
          <t>0</t>
        </is>
      </c>
      <c r="K3250" t="inlineStr">
        <is>
          <t>Graham, W. Fred, 1930-</t>
        </is>
      </c>
      <c r="L3250" t="inlineStr">
        <is>
          <t>Richmond : John Knox Press [1971]</t>
        </is>
      </c>
      <c r="M3250" t="inlineStr">
        <is>
          <t>1971</t>
        </is>
      </c>
      <c r="O3250" t="inlineStr">
        <is>
          <t>eng</t>
        </is>
      </c>
      <c r="P3250" t="inlineStr">
        <is>
          <t>vau</t>
        </is>
      </c>
      <c r="R3250" t="inlineStr">
        <is>
          <t xml:space="preserve">BX </t>
        </is>
      </c>
      <c r="S3250" t="n">
        <v>5</v>
      </c>
      <c r="T3250" t="n">
        <v>5</v>
      </c>
      <c r="U3250" t="inlineStr">
        <is>
          <t>1999-04-12</t>
        </is>
      </c>
      <c r="V3250" t="inlineStr">
        <is>
          <t>1999-04-12</t>
        </is>
      </c>
      <c r="W3250" t="inlineStr">
        <is>
          <t>1992-05-27</t>
        </is>
      </c>
      <c r="X3250" t="inlineStr">
        <is>
          <t>1992-05-27</t>
        </is>
      </c>
      <c r="Y3250" t="n">
        <v>749</v>
      </c>
      <c r="Z3250" t="n">
        <v>650</v>
      </c>
      <c r="AA3250" t="n">
        <v>683</v>
      </c>
      <c r="AB3250" t="n">
        <v>9</v>
      </c>
      <c r="AC3250" t="n">
        <v>9</v>
      </c>
      <c r="AD3250" t="n">
        <v>36</v>
      </c>
      <c r="AE3250" t="n">
        <v>40</v>
      </c>
      <c r="AF3250" t="n">
        <v>12</v>
      </c>
      <c r="AG3250" t="n">
        <v>15</v>
      </c>
      <c r="AH3250" t="n">
        <v>7</v>
      </c>
      <c r="AI3250" t="n">
        <v>7</v>
      </c>
      <c r="AJ3250" t="n">
        <v>19</v>
      </c>
      <c r="AK3250" t="n">
        <v>21</v>
      </c>
      <c r="AL3250" t="n">
        <v>7</v>
      </c>
      <c r="AM3250" t="n">
        <v>7</v>
      </c>
      <c r="AN3250" t="n">
        <v>0</v>
      </c>
      <c r="AO3250" t="n">
        <v>0</v>
      </c>
      <c r="AP3250" t="inlineStr">
        <is>
          <t>No</t>
        </is>
      </c>
      <c r="AQ3250" t="inlineStr">
        <is>
          <t>Yes</t>
        </is>
      </c>
      <c r="AR3250">
        <f>HYPERLINK("http://catalog.hathitrust.org/Record/001594483","HathiTrust Record")</f>
        <v/>
      </c>
      <c r="AS3250">
        <f>HYPERLINK("https://creighton-primo.hosted.exlibrisgroup.com/primo-explore/search?tab=default_tab&amp;search_scope=EVERYTHING&amp;vid=01CRU&amp;lang=en_US&amp;offset=0&amp;query=any,contains,991000725359702656","Catalog Record")</f>
        <v/>
      </c>
      <c r="AT3250">
        <f>HYPERLINK("http://www.worldcat.org/oclc/127514","WorldCat Record")</f>
        <v/>
      </c>
      <c r="AU3250" t="inlineStr">
        <is>
          <t>1255556:eng</t>
        </is>
      </c>
      <c r="AV3250" t="inlineStr">
        <is>
          <t>127514</t>
        </is>
      </c>
      <c r="AW3250" t="inlineStr">
        <is>
          <t>991000725359702656</t>
        </is>
      </c>
      <c r="AX3250" t="inlineStr">
        <is>
          <t>991000725359702656</t>
        </is>
      </c>
      <c r="AY3250" t="inlineStr">
        <is>
          <t>2261364710002656</t>
        </is>
      </c>
      <c r="AZ3250" t="inlineStr">
        <is>
          <t>BOOK</t>
        </is>
      </c>
      <c r="BB3250" t="inlineStr">
        <is>
          <t>9780804208802</t>
        </is>
      </c>
      <c r="BC3250" t="inlineStr">
        <is>
          <t>32285001141208</t>
        </is>
      </c>
      <c r="BD3250" t="inlineStr">
        <is>
          <t>893614449</t>
        </is>
      </c>
    </row>
    <row r="3251">
      <c r="A3251" t="inlineStr">
        <is>
          <t>No</t>
        </is>
      </c>
      <c r="B3251" t="inlineStr">
        <is>
          <t>BX9418 .H63 1985</t>
        </is>
      </c>
      <c r="C3251" t="inlineStr">
        <is>
          <t>0                      BX 9418000H  63          1985</t>
        </is>
      </c>
      <c r="D3251" t="inlineStr">
        <is>
          <t>The Christian polity of John Calvin / Harro Höpfl.</t>
        </is>
      </c>
      <c r="F3251" t="inlineStr">
        <is>
          <t>No</t>
        </is>
      </c>
      <c r="G3251" t="inlineStr">
        <is>
          <t>1</t>
        </is>
      </c>
      <c r="H3251" t="inlineStr">
        <is>
          <t>No</t>
        </is>
      </c>
      <c r="I3251" t="inlineStr">
        <is>
          <t>No</t>
        </is>
      </c>
      <c r="J3251" t="inlineStr">
        <is>
          <t>0</t>
        </is>
      </c>
      <c r="K3251" t="inlineStr">
        <is>
          <t>Höpfl, Harro.</t>
        </is>
      </c>
      <c r="L3251" t="inlineStr">
        <is>
          <t>Cambridge [Cambridgeshire] ; New York : Cambridge University Press, 1985, c1982.</t>
        </is>
      </c>
      <c r="M3251" t="inlineStr">
        <is>
          <t>1985</t>
        </is>
      </c>
      <c r="N3251" t="inlineStr">
        <is>
          <t>1st paperback ed.</t>
        </is>
      </c>
      <c r="O3251" t="inlineStr">
        <is>
          <t>eng</t>
        </is>
      </c>
      <c r="P3251" t="inlineStr">
        <is>
          <t>enk</t>
        </is>
      </c>
      <c r="Q3251" t="inlineStr">
        <is>
          <t>Cambridge studies in the history and theory of politics</t>
        </is>
      </c>
      <c r="R3251" t="inlineStr">
        <is>
          <t xml:space="preserve">BX </t>
        </is>
      </c>
      <c r="S3251" t="n">
        <v>6</v>
      </c>
      <c r="T3251" t="n">
        <v>6</v>
      </c>
      <c r="U3251" t="inlineStr">
        <is>
          <t>2004-03-22</t>
        </is>
      </c>
      <c r="V3251" t="inlineStr">
        <is>
          <t>2004-03-22</t>
        </is>
      </c>
      <c r="W3251" t="inlineStr">
        <is>
          <t>1992-05-27</t>
        </is>
      </c>
      <c r="X3251" t="inlineStr">
        <is>
          <t>1992-05-27</t>
        </is>
      </c>
      <c r="Y3251" t="n">
        <v>82</v>
      </c>
      <c r="Z3251" t="n">
        <v>52</v>
      </c>
      <c r="AA3251" t="n">
        <v>428</v>
      </c>
      <c r="AB3251" t="n">
        <v>1</v>
      </c>
      <c r="AC3251" t="n">
        <v>1</v>
      </c>
      <c r="AD3251" t="n">
        <v>3</v>
      </c>
      <c r="AE3251" t="n">
        <v>17</v>
      </c>
      <c r="AF3251" t="n">
        <v>1</v>
      </c>
      <c r="AG3251" t="n">
        <v>4</v>
      </c>
      <c r="AH3251" t="n">
        <v>1</v>
      </c>
      <c r="AI3251" t="n">
        <v>5</v>
      </c>
      <c r="AJ3251" t="n">
        <v>1</v>
      </c>
      <c r="AK3251" t="n">
        <v>12</v>
      </c>
      <c r="AL3251" t="n">
        <v>0</v>
      </c>
      <c r="AM3251" t="n">
        <v>0</v>
      </c>
      <c r="AN3251" t="n">
        <v>0</v>
      </c>
      <c r="AO3251" t="n">
        <v>0</v>
      </c>
      <c r="AP3251" t="inlineStr">
        <is>
          <t>No</t>
        </is>
      </c>
      <c r="AQ3251" t="inlineStr">
        <is>
          <t>No</t>
        </is>
      </c>
      <c r="AS3251">
        <f>HYPERLINK("https://creighton-primo.hosted.exlibrisgroup.com/primo-explore/search?tab=default_tab&amp;search_scope=EVERYTHING&amp;vid=01CRU&amp;lang=en_US&amp;offset=0&amp;query=any,contains,991000830429702656","Catalog Record")</f>
        <v/>
      </c>
      <c r="AT3251">
        <f>HYPERLINK("http://www.worldcat.org/oclc/13451580","WorldCat Record")</f>
        <v/>
      </c>
      <c r="AU3251" t="inlineStr">
        <is>
          <t>6741956:eng</t>
        </is>
      </c>
      <c r="AV3251" t="inlineStr">
        <is>
          <t>13451580</t>
        </is>
      </c>
      <c r="AW3251" t="inlineStr">
        <is>
          <t>991000830429702656</t>
        </is>
      </c>
      <c r="AX3251" t="inlineStr">
        <is>
          <t>991000830429702656</t>
        </is>
      </c>
      <c r="AY3251" t="inlineStr">
        <is>
          <t>2261361250002656</t>
        </is>
      </c>
      <c r="AZ3251" t="inlineStr">
        <is>
          <t>BOOK</t>
        </is>
      </c>
      <c r="BB3251" t="inlineStr">
        <is>
          <t>9780521316385</t>
        </is>
      </c>
      <c r="BC3251" t="inlineStr">
        <is>
          <t>32285001141232</t>
        </is>
      </c>
      <c r="BD3251" t="inlineStr">
        <is>
          <t>893333821</t>
        </is>
      </c>
    </row>
    <row r="3252">
      <c r="A3252" t="inlineStr">
        <is>
          <t>No</t>
        </is>
      </c>
      <c r="B3252" t="inlineStr">
        <is>
          <t>BX9418 .J72 1995</t>
        </is>
      </c>
      <c r="C3252" t="inlineStr">
        <is>
          <t>0                      BX 9418000J  72          1995</t>
        </is>
      </c>
      <c r="D3252" t="inlineStr">
        <is>
          <t>Calvin and the rhetoric of piety / Serene Jones.</t>
        </is>
      </c>
      <c r="F3252" t="inlineStr">
        <is>
          <t>No</t>
        </is>
      </c>
      <c r="G3252" t="inlineStr">
        <is>
          <t>1</t>
        </is>
      </c>
      <c r="H3252" t="inlineStr">
        <is>
          <t>No</t>
        </is>
      </c>
      <c r="I3252" t="inlineStr">
        <is>
          <t>No</t>
        </is>
      </c>
      <c r="J3252" t="inlineStr">
        <is>
          <t>0</t>
        </is>
      </c>
      <c r="K3252" t="inlineStr">
        <is>
          <t>Jones, Serene, 1959-</t>
        </is>
      </c>
      <c r="L3252" t="inlineStr">
        <is>
          <t>Louisville, Ky. : Westminster John Knox Press, 1995.</t>
        </is>
      </c>
      <c r="M3252" t="inlineStr">
        <is>
          <t>1995</t>
        </is>
      </c>
      <c r="N3252" t="inlineStr">
        <is>
          <t>1st ed.</t>
        </is>
      </c>
      <c r="O3252" t="inlineStr">
        <is>
          <t>eng</t>
        </is>
      </c>
      <c r="P3252" t="inlineStr">
        <is>
          <t>kyu</t>
        </is>
      </c>
      <c r="Q3252" t="inlineStr">
        <is>
          <t>Columbia series in Reformed theology</t>
        </is>
      </c>
      <c r="R3252" t="inlineStr">
        <is>
          <t xml:space="preserve">BX </t>
        </is>
      </c>
      <c r="S3252" t="n">
        <v>3</v>
      </c>
      <c r="T3252" t="n">
        <v>3</v>
      </c>
      <c r="U3252" t="inlineStr">
        <is>
          <t>2006-10-23</t>
        </is>
      </c>
      <c r="V3252" t="inlineStr">
        <is>
          <t>2006-10-23</t>
        </is>
      </c>
      <c r="W3252" t="inlineStr">
        <is>
          <t>1996-10-03</t>
        </is>
      </c>
      <c r="X3252" t="inlineStr">
        <is>
          <t>1996-10-03</t>
        </is>
      </c>
      <c r="Y3252" t="n">
        <v>282</v>
      </c>
      <c r="Z3252" t="n">
        <v>233</v>
      </c>
      <c r="AA3252" t="n">
        <v>561</v>
      </c>
      <c r="AB3252" t="n">
        <v>3</v>
      </c>
      <c r="AC3252" t="n">
        <v>4</v>
      </c>
      <c r="AD3252" t="n">
        <v>17</v>
      </c>
      <c r="AE3252" t="n">
        <v>19</v>
      </c>
      <c r="AF3252" t="n">
        <v>7</v>
      </c>
      <c r="AG3252" t="n">
        <v>8</v>
      </c>
      <c r="AH3252" t="n">
        <v>2</v>
      </c>
      <c r="AI3252" t="n">
        <v>3</v>
      </c>
      <c r="AJ3252" t="n">
        <v>11</v>
      </c>
      <c r="AK3252" t="n">
        <v>11</v>
      </c>
      <c r="AL3252" t="n">
        <v>2</v>
      </c>
      <c r="AM3252" t="n">
        <v>3</v>
      </c>
      <c r="AN3252" t="n">
        <v>0</v>
      </c>
      <c r="AO3252" t="n">
        <v>0</v>
      </c>
      <c r="AP3252" t="inlineStr">
        <is>
          <t>No</t>
        </is>
      </c>
      <c r="AQ3252" t="inlineStr">
        <is>
          <t>Yes</t>
        </is>
      </c>
      <c r="AR3252">
        <f>HYPERLINK("http://catalog.hathitrust.org/Record/003013462","HathiTrust Record")</f>
        <v/>
      </c>
      <c r="AS3252">
        <f>HYPERLINK("https://creighton-primo.hosted.exlibrisgroup.com/primo-explore/search?tab=default_tab&amp;search_scope=EVERYTHING&amp;vid=01CRU&amp;lang=en_US&amp;offset=0&amp;query=any,contains,991002503369702656","Catalog Record")</f>
        <v/>
      </c>
      <c r="AT3252">
        <f>HYPERLINK("http://www.worldcat.org/oclc/32551494","WorldCat Record")</f>
        <v/>
      </c>
      <c r="AU3252" t="inlineStr">
        <is>
          <t>1032676:eng</t>
        </is>
      </c>
      <c r="AV3252" t="inlineStr">
        <is>
          <t>32551494</t>
        </is>
      </c>
      <c r="AW3252" t="inlineStr">
        <is>
          <t>991002503369702656</t>
        </is>
      </c>
      <c r="AX3252" t="inlineStr">
        <is>
          <t>991002503369702656</t>
        </is>
      </c>
      <c r="AY3252" t="inlineStr">
        <is>
          <t>2270273960002656</t>
        </is>
      </c>
      <c r="AZ3252" t="inlineStr">
        <is>
          <t>BOOK</t>
        </is>
      </c>
      <c r="BB3252" t="inlineStr">
        <is>
          <t>9780664220709</t>
        </is>
      </c>
      <c r="BC3252" t="inlineStr">
        <is>
          <t>32285002322765</t>
        </is>
      </c>
      <c r="BD3252" t="inlineStr">
        <is>
          <t>893523689</t>
        </is>
      </c>
    </row>
    <row r="3253">
      <c r="A3253" t="inlineStr">
        <is>
          <t>No</t>
        </is>
      </c>
      <c r="B3253" t="inlineStr">
        <is>
          <t>BX9418 .K46</t>
        </is>
      </c>
      <c r="C3253" t="inlineStr">
        <is>
          <t>0                      BX 9418000K  46</t>
        </is>
      </c>
      <c r="D3253" t="inlineStr">
        <is>
          <t>A bibliography of Calviniana 1959-1974 / by D. Kempff.</t>
        </is>
      </c>
      <c r="F3253" t="inlineStr">
        <is>
          <t>No</t>
        </is>
      </c>
      <c r="G3253" t="inlineStr">
        <is>
          <t>1</t>
        </is>
      </c>
      <c r="H3253" t="inlineStr">
        <is>
          <t>No</t>
        </is>
      </c>
      <c r="I3253" t="inlineStr">
        <is>
          <t>No</t>
        </is>
      </c>
      <c r="J3253" t="inlineStr">
        <is>
          <t>0</t>
        </is>
      </c>
      <c r="K3253" t="inlineStr">
        <is>
          <t>Kempff, D. (Dionysius)</t>
        </is>
      </c>
      <c r="L3253" t="inlineStr">
        <is>
          <t>Potchefstroom : Instituut vir Bevordering van Calvinisme : Potchefstroomse Universiteit vir Christelike Hoer Onderwys, 1975.</t>
        </is>
      </c>
      <c r="M3253" t="inlineStr">
        <is>
          <t>1975</t>
        </is>
      </c>
      <c r="O3253" t="inlineStr">
        <is>
          <t>eng</t>
        </is>
      </c>
      <c r="P3253" t="inlineStr">
        <is>
          <t xml:space="preserve">sa </t>
        </is>
      </c>
      <c r="Q3253" t="inlineStr">
        <is>
          <t>Versamelwerke - Instituut vir die Bevordering van Calvinisme ; no. 3</t>
        </is>
      </c>
      <c r="R3253" t="inlineStr">
        <is>
          <t xml:space="preserve">BX </t>
        </is>
      </c>
      <c r="S3253" t="n">
        <v>2</v>
      </c>
      <c r="T3253" t="n">
        <v>2</v>
      </c>
      <c r="U3253" t="inlineStr">
        <is>
          <t>1993-09-26</t>
        </is>
      </c>
      <c r="V3253" t="inlineStr">
        <is>
          <t>1993-09-26</t>
        </is>
      </c>
      <c r="W3253" t="inlineStr">
        <is>
          <t>1990-02-07</t>
        </is>
      </c>
      <c r="X3253" t="inlineStr">
        <is>
          <t>1990-02-07</t>
        </is>
      </c>
      <c r="Y3253" t="n">
        <v>87</v>
      </c>
      <c r="Z3253" t="n">
        <v>41</v>
      </c>
      <c r="AA3253" t="n">
        <v>232</v>
      </c>
      <c r="AB3253" t="n">
        <v>1</v>
      </c>
      <c r="AC3253" t="n">
        <v>3</v>
      </c>
      <c r="AD3253" t="n">
        <v>1</v>
      </c>
      <c r="AE3253" t="n">
        <v>12</v>
      </c>
      <c r="AF3253" t="n">
        <v>0</v>
      </c>
      <c r="AG3253" t="n">
        <v>0</v>
      </c>
      <c r="AH3253" t="n">
        <v>1</v>
      </c>
      <c r="AI3253" t="n">
        <v>3</v>
      </c>
      <c r="AJ3253" t="n">
        <v>0</v>
      </c>
      <c r="AK3253" t="n">
        <v>8</v>
      </c>
      <c r="AL3253" t="n">
        <v>0</v>
      </c>
      <c r="AM3253" t="n">
        <v>2</v>
      </c>
      <c r="AN3253" t="n">
        <v>0</v>
      </c>
      <c r="AO3253" t="n">
        <v>0</v>
      </c>
      <c r="AP3253" t="inlineStr">
        <is>
          <t>No</t>
        </is>
      </c>
      <c r="AQ3253" t="inlineStr">
        <is>
          <t>Yes</t>
        </is>
      </c>
      <c r="AR3253">
        <f>HYPERLINK("http://catalog.hathitrust.org/Record/000706740","HathiTrust Record")</f>
        <v/>
      </c>
      <c r="AS3253">
        <f>HYPERLINK("https://creighton-primo.hosted.exlibrisgroup.com/primo-explore/search?tab=default_tab&amp;search_scope=EVERYTHING&amp;vid=01CRU&amp;lang=en_US&amp;offset=0&amp;query=any,contains,991004287579702656","Catalog Record")</f>
        <v/>
      </c>
      <c r="AT3253">
        <f>HYPERLINK("http://www.worldcat.org/oclc/2930466","WorldCat Record")</f>
        <v/>
      </c>
      <c r="AU3253" t="inlineStr">
        <is>
          <t>3482637:eng</t>
        </is>
      </c>
      <c r="AV3253" t="inlineStr">
        <is>
          <t>2930466</t>
        </is>
      </c>
      <c r="AW3253" t="inlineStr">
        <is>
          <t>991004287579702656</t>
        </is>
      </c>
      <c r="AX3253" t="inlineStr">
        <is>
          <t>991004287579702656</t>
        </is>
      </c>
      <c r="AY3253" t="inlineStr">
        <is>
          <t>2262921640002656</t>
        </is>
      </c>
      <c r="AZ3253" t="inlineStr">
        <is>
          <t>BOOK</t>
        </is>
      </c>
      <c r="BB3253" t="inlineStr">
        <is>
          <t>9780869902134</t>
        </is>
      </c>
      <c r="BC3253" t="inlineStr">
        <is>
          <t>32285000007780</t>
        </is>
      </c>
      <c r="BD3253" t="inlineStr">
        <is>
          <t>893888510</t>
        </is>
      </c>
    </row>
    <row r="3254">
      <c r="A3254" t="inlineStr">
        <is>
          <t>No</t>
        </is>
      </c>
      <c r="B3254" t="inlineStr">
        <is>
          <t>BX9418 .K54</t>
        </is>
      </c>
      <c r="C3254" t="inlineStr">
        <is>
          <t>0                      BX 9418000K  54</t>
        </is>
      </c>
      <c r="D3254" t="inlineStr">
        <is>
          <t>Calvin and Calvinism : sources of democracy? / edited with an introd. by Robert M. Kingdon and Robert D. Linder.</t>
        </is>
      </c>
      <c r="F3254" t="inlineStr">
        <is>
          <t>No</t>
        </is>
      </c>
      <c r="G3254" t="inlineStr">
        <is>
          <t>1</t>
        </is>
      </c>
      <c r="H3254" t="inlineStr">
        <is>
          <t>No</t>
        </is>
      </c>
      <c r="I3254" t="inlineStr">
        <is>
          <t>No</t>
        </is>
      </c>
      <c r="J3254" t="inlineStr">
        <is>
          <t>0</t>
        </is>
      </c>
      <c r="K3254" t="inlineStr">
        <is>
          <t>Kingdon, Robert M. (Robert McCune), 1927-2010 compiler.</t>
        </is>
      </c>
      <c r="L3254" t="inlineStr">
        <is>
          <t>Lexington, Mass. : Heath, [1970]</t>
        </is>
      </c>
      <c r="M3254" t="inlineStr">
        <is>
          <t>1970</t>
        </is>
      </c>
      <c r="O3254" t="inlineStr">
        <is>
          <t>eng</t>
        </is>
      </c>
      <c r="P3254" t="inlineStr">
        <is>
          <t>mau</t>
        </is>
      </c>
      <c r="Q3254" t="inlineStr">
        <is>
          <t>Problems in European civilization</t>
        </is>
      </c>
      <c r="R3254" t="inlineStr">
        <is>
          <t xml:space="preserve">BX </t>
        </is>
      </c>
      <c r="S3254" t="n">
        <v>11</v>
      </c>
      <c r="T3254" t="n">
        <v>11</v>
      </c>
      <c r="U3254" t="inlineStr">
        <is>
          <t>2003-11-10</t>
        </is>
      </c>
      <c r="V3254" t="inlineStr">
        <is>
          <t>2003-11-10</t>
        </is>
      </c>
      <c r="W3254" t="inlineStr">
        <is>
          <t>1992-05-27</t>
        </is>
      </c>
      <c r="X3254" t="inlineStr">
        <is>
          <t>1992-05-27</t>
        </is>
      </c>
      <c r="Y3254" t="n">
        <v>519</v>
      </c>
      <c r="Z3254" t="n">
        <v>423</v>
      </c>
      <c r="AA3254" t="n">
        <v>439</v>
      </c>
      <c r="AB3254" t="n">
        <v>6</v>
      </c>
      <c r="AC3254" t="n">
        <v>6</v>
      </c>
      <c r="AD3254" t="n">
        <v>20</v>
      </c>
      <c r="AE3254" t="n">
        <v>20</v>
      </c>
      <c r="AF3254" t="n">
        <v>7</v>
      </c>
      <c r="AG3254" t="n">
        <v>7</v>
      </c>
      <c r="AH3254" t="n">
        <v>5</v>
      </c>
      <c r="AI3254" t="n">
        <v>5</v>
      </c>
      <c r="AJ3254" t="n">
        <v>10</v>
      </c>
      <c r="AK3254" t="n">
        <v>10</v>
      </c>
      <c r="AL3254" t="n">
        <v>4</v>
      </c>
      <c r="AM3254" t="n">
        <v>4</v>
      </c>
      <c r="AN3254" t="n">
        <v>0</v>
      </c>
      <c r="AO3254" t="n">
        <v>0</v>
      </c>
      <c r="AP3254" t="inlineStr">
        <is>
          <t>No</t>
        </is>
      </c>
      <c r="AQ3254" t="inlineStr">
        <is>
          <t>No</t>
        </is>
      </c>
      <c r="AS3254">
        <f>HYPERLINK("https://creighton-primo.hosted.exlibrisgroup.com/primo-explore/search?tab=default_tab&amp;search_scope=EVERYTHING&amp;vid=01CRU&amp;lang=en_US&amp;offset=0&amp;query=any,contains,991000631699702656","Catalog Record")</f>
        <v/>
      </c>
      <c r="AT3254">
        <f>HYPERLINK("http://www.worldcat.org/oclc/106089","WorldCat Record")</f>
        <v/>
      </c>
      <c r="AU3254" t="inlineStr">
        <is>
          <t>1188340:eng</t>
        </is>
      </c>
      <c r="AV3254" t="inlineStr">
        <is>
          <t>106089</t>
        </is>
      </c>
      <c r="AW3254" t="inlineStr">
        <is>
          <t>991000631699702656</t>
        </is>
      </c>
      <c r="AX3254" t="inlineStr">
        <is>
          <t>991000631699702656</t>
        </is>
      </c>
      <c r="AY3254" t="inlineStr">
        <is>
          <t>2263764480002656</t>
        </is>
      </c>
      <c r="AZ3254" t="inlineStr">
        <is>
          <t>BOOK</t>
        </is>
      </c>
      <c r="BC3254" t="inlineStr">
        <is>
          <t>32285001141240</t>
        </is>
      </c>
      <c r="BD3254" t="inlineStr">
        <is>
          <t>893407376</t>
        </is>
      </c>
    </row>
    <row r="3255">
      <c r="A3255" t="inlineStr">
        <is>
          <t>No</t>
        </is>
      </c>
      <c r="B3255" t="inlineStr">
        <is>
          <t>BX9418 .M32</t>
        </is>
      </c>
      <c r="C3255" t="inlineStr">
        <is>
          <t>0                      BX 9418000M  32</t>
        </is>
      </c>
      <c r="D3255" t="inlineStr">
        <is>
          <t>Calvin and the Reformation / by James Mackinnon.</t>
        </is>
      </c>
      <c r="F3255" t="inlineStr">
        <is>
          <t>No</t>
        </is>
      </c>
      <c r="G3255" t="inlineStr">
        <is>
          <t>1</t>
        </is>
      </c>
      <c r="H3255" t="inlineStr">
        <is>
          <t>No</t>
        </is>
      </c>
      <c r="I3255" t="inlineStr">
        <is>
          <t>No</t>
        </is>
      </c>
      <c r="J3255" t="inlineStr">
        <is>
          <t>0</t>
        </is>
      </c>
      <c r="K3255" t="inlineStr">
        <is>
          <t>Mackinnon, James, 1860-1945.</t>
        </is>
      </c>
      <c r="L3255" t="inlineStr">
        <is>
          <t>New York : Russell &amp; Russell, 1962.</t>
        </is>
      </c>
      <c r="M3255" t="inlineStr">
        <is>
          <t>1962</t>
        </is>
      </c>
      <c r="O3255" t="inlineStr">
        <is>
          <t>eng</t>
        </is>
      </c>
      <c r="P3255" t="inlineStr">
        <is>
          <t>___</t>
        </is>
      </c>
      <c r="R3255" t="inlineStr">
        <is>
          <t xml:space="preserve">BX </t>
        </is>
      </c>
      <c r="S3255" t="n">
        <v>15</v>
      </c>
      <c r="T3255" t="n">
        <v>15</v>
      </c>
      <c r="U3255" t="inlineStr">
        <is>
          <t>2009-12-14</t>
        </is>
      </c>
      <c r="V3255" t="inlineStr">
        <is>
          <t>2009-12-14</t>
        </is>
      </c>
      <c r="W3255" t="inlineStr">
        <is>
          <t>1992-05-27</t>
        </is>
      </c>
      <c r="X3255" t="inlineStr">
        <is>
          <t>1992-05-27</t>
        </is>
      </c>
      <c r="Y3255" t="n">
        <v>604</v>
      </c>
      <c r="Z3255" t="n">
        <v>531</v>
      </c>
      <c r="AA3255" t="n">
        <v>780</v>
      </c>
      <c r="AB3255" t="n">
        <v>5</v>
      </c>
      <c r="AC3255" t="n">
        <v>7</v>
      </c>
      <c r="AD3255" t="n">
        <v>26</v>
      </c>
      <c r="AE3255" t="n">
        <v>41</v>
      </c>
      <c r="AF3255" t="n">
        <v>8</v>
      </c>
      <c r="AG3255" t="n">
        <v>15</v>
      </c>
      <c r="AH3255" t="n">
        <v>7</v>
      </c>
      <c r="AI3255" t="n">
        <v>10</v>
      </c>
      <c r="AJ3255" t="n">
        <v>12</v>
      </c>
      <c r="AK3255" t="n">
        <v>16</v>
      </c>
      <c r="AL3255" t="n">
        <v>4</v>
      </c>
      <c r="AM3255" t="n">
        <v>6</v>
      </c>
      <c r="AN3255" t="n">
        <v>0</v>
      </c>
      <c r="AO3255" t="n">
        <v>2</v>
      </c>
      <c r="AP3255" t="inlineStr">
        <is>
          <t>No</t>
        </is>
      </c>
      <c r="AQ3255" t="inlineStr">
        <is>
          <t>No</t>
        </is>
      </c>
      <c r="AR3255">
        <f>HYPERLINK("http://catalog.hathitrust.org/Record/001594493","HathiTrust Record")</f>
        <v/>
      </c>
      <c r="AS3255">
        <f>HYPERLINK("https://creighton-primo.hosted.exlibrisgroup.com/primo-explore/search?tab=default_tab&amp;search_scope=EVERYTHING&amp;vid=01CRU&amp;lang=en_US&amp;offset=0&amp;query=any,contains,991002652279702656","Catalog Record")</f>
        <v/>
      </c>
      <c r="AT3255">
        <f>HYPERLINK("http://www.worldcat.org/oclc/387446","WorldCat Record")</f>
        <v/>
      </c>
      <c r="AU3255" t="inlineStr">
        <is>
          <t>144303479:eng</t>
        </is>
      </c>
      <c r="AV3255" t="inlineStr">
        <is>
          <t>387446</t>
        </is>
      </c>
      <c r="AW3255" t="inlineStr">
        <is>
          <t>991002652279702656</t>
        </is>
      </c>
      <c r="AX3255" t="inlineStr">
        <is>
          <t>991002652279702656</t>
        </is>
      </c>
      <c r="AY3255" t="inlineStr">
        <is>
          <t>2258154260002656</t>
        </is>
      </c>
      <c r="AZ3255" t="inlineStr">
        <is>
          <t>BOOK</t>
        </is>
      </c>
      <c r="BC3255" t="inlineStr">
        <is>
          <t>32285001141265</t>
        </is>
      </c>
      <c r="BD3255" t="inlineStr">
        <is>
          <t>893685616</t>
        </is>
      </c>
    </row>
    <row r="3256">
      <c r="A3256" t="inlineStr">
        <is>
          <t>No</t>
        </is>
      </c>
      <c r="B3256" t="inlineStr">
        <is>
          <t>BX9418 .T67 1977</t>
        </is>
      </c>
      <c r="C3256" t="inlineStr">
        <is>
          <t>0                      BX 9418000T  67          1977</t>
        </is>
      </c>
      <c r="D3256" t="inlineStr">
        <is>
          <t>Calvin's doctrine of man / by T. F. Torrance.</t>
        </is>
      </c>
      <c r="F3256" t="inlineStr">
        <is>
          <t>No</t>
        </is>
      </c>
      <c r="G3256" t="inlineStr">
        <is>
          <t>1</t>
        </is>
      </c>
      <c r="H3256" t="inlineStr">
        <is>
          <t>No</t>
        </is>
      </c>
      <c r="I3256" t="inlineStr">
        <is>
          <t>No</t>
        </is>
      </c>
      <c r="J3256" t="inlineStr">
        <is>
          <t>0</t>
        </is>
      </c>
      <c r="K3256" t="inlineStr">
        <is>
          <t>Torrance, Thomas F. (Thomas Forsyth), 1913-2007.</t>
        </is>
      </c>
      <c r="L3256" t="inlineStr">
        <is>
          <t>Westport, Conn. : Greenwood Press, 1977.</t>
        </is>
      </c>
      <c r="M3256" t="inlineStr">
        <is>
          <t>1977</t>
        </is>
      </c>
      <c r="O3256" t="inlineStr">
        <is>
          <t>eng</t>
        </is>
      </c>
      <c r="P3256" t="inlineStr">
        <is>
          <t>ctu</t>
        </is>
      </c>
      <c r="R3256" t="inlineStr">
        <is>
          <t xml:space="preserve">BX </t>
        </is>
      </c>
      <c r="S3256" t="n">
        <v>7</v>
      </c>
      <c r="T3256" t="n">
        <v>7</v>
      </c>
      <c r="U3256" t="inlineStr">
        <is>
          <t>2003-04-10</t>
        </is>
      </c>
      <c r="V3256" t="inlineStr">
        <is>
          <t>2003-04-10</t>
        </is>
      </c>
      <c r="W3256" t="inlineStr">
        <is>
          <t>1992-05-27</t>
        </is>
      </c>
      <c r="X3256" t="inlineStr">
        <is>
          <t>1992-05-27</t>
        </is>
      </c>
      <c r="Y3256" t="n">
        <v>176</v>
      </c>
      <c r="Z3256" t="n">
        <v>140</v>
      </c>
      <c r="AA3256" t="n">
        <v>383</v>
      </c>
      <c r="AB3256" t="n">
        <v>1</v>
      </c>
      <c r="AC3256" t="n">
        <v>4</v>
      </c>
      <c r="AD3256" t="n">
        <v>7</v>
      </c>
      <c r="AE3256" t="n">
        <v>19</v>
      </c>
      <c r="AF3256" t="n">
        <v>2</v>
      </c>
      <c r="AG3256" t="n">
        <v>7</v>
      </c>
      <c r="AH3256" t="n">
        <v>3</v>
      </c>
      <c r="AI3256" t="n">
        <v>7</v>
      </c>
      <c r="AJ3256" t="n">
        <v>6</v>
      </c>
      <c r="AK3256" t="n">
        <v>9</v>
      </c>
      <c r="AL3256" t="n">
        <v>0</v>
      </c>
      <c r="AM3256" t="n">
        <v>3</v>
      </c>
      <c r="AN3256" t="n">
        <v>0</v>
      </c>
      <c r="AO3256" t="n">
        <v>0</v>
      </c>
      <c r="AP3256" t="inlineStr">
        <is>
          <t>No</t>
        </is>
      </c>
      <c r="AQ3256" t="inlineStr">
        <is>
          <t>Yes</t>
        </is>
      </c>
      <c r="AR3256">
        <f>HYPERLINK("http://catalog.hathitrust.org/Record/004488990","HathiTrust Record")</f>
        <v/>
      </c>
      <c r="AS3256">
        <f>HYPERLINK("https://creighton-primo.hosted.exlibrisgroup.com/primo-explore/search?tab=default_tab&amp;search_scope=EVERYTHING&amp;vid=01CRU&amp;lang=en_US&amp;offset=0&amp;query=any,contains,991004276899702656","Catalog Record")</f>
        <v/>
      </c>
      <c r="AT3256">
        <f>HYPERLINK("http://www.worldcat.org/oclc/2896057","WorldCat Record")</f>
        <v/>
      </c>
      <c r="AU3256" t="inlineStr">
        <is>
          <t>117231448:eng</t>
        </is>
      </c>
      <c r="AV3256" t="inlineStr">
        <is>
          <t>2896057</t>
        </is>
      </c>
      <c r="AW3256" t="inlineStr">
        <is>
          <t>991004276899702656</t>
        </is>
      </c>
      <c r="AX3256" t="inlineStr">
        <is>
          <t>991004276899702656</t>
        </is>
      </c>
      <c r="AY3256" t="inlineStr">
        <is>
          <t>2256391570002656</t>
        </is>
      </c>
      <c r="AZ3256" t="inlineStr">
        <is>
          <t>BOOK</t>
        </is>
      </c>
      <c r="BB3256" t="inlineStr">
        <is>
          <t>9780837196398</t>
        </is>
      </c>
      <c r="BC3256" t="inlineStr">
        <is>
          <t>32285001141281</t>
        </is>
      </c>
      <c r="BD3256" t="inlineStr">
        <is>
          <t>893519452</t>
        </is>
      </c>
    </row>
    <row r="3257">
      <c r="A3257" t="inlineStr">
        <is>
          <t>No</t>
        </is>
      </c>
      <c r="B3257" t="inlineStr">
        <is>
          <t>BX9420 .I65 1953</t>
        </is>
      </c>
      <c r="C3257" t="inlineStr">
        <is>
          <t>0                      BX 9420000I  65          1953</t>
        </is>
      </c>
      <c r="D3257" t="inlineStr">
        <is>
          <t>Institutes of the Christian religion / by John Calvin : translated by Henry Beveridge.</t>
        </is>
      </c>
      <c r="E3257" t="inlineStr">
        <is>
          <t>V. 2</t>
        </is>
      </c>
      <c r="F3257" t="inlineStr">
        <is>
          <t>Yes</t>
        </is>
      </c>
      <c r="G3257" t="inlineStr">
        <is>
          <t>1</t>
        </is>
      </c>
      <c r="H3257" t="inlineStr">
        <is>
          <t>No</t>
        </is>
      </c>
      <c r="I3257" t="inlineStr">
        <is>
          <t>No</t>
        </is>
      </c>
      <c r="J3257" t="inlineStr">
        <is>
          <t>0</t>
        </is>
      </c>
      <c r="K3257" t="inlineStr">
        <is>
          <t>Calvin, Jean, 1509-1564.</t>
        </is>
      </c>
      <c r="L3257" t="inlineStr">
        <is>
          <t>Grand Rapids, Mich. : Eerdmans, [1953] 1975 printing.</t>
        </is>
      </c>
      <c r="M3257" t="inlineStr">
        <is>
          <t>1953</t>
        </is>
      </c>
      <c r="O3257" t="inlineStr">
        <is>
          <t>eng</t>
        </is>
      </c>
      <c r="P3257" t="inlineStr">
        <is>
          <t>miu</t>
        </is>
      </c>
      <c r="R3257" t="inlineStr">
        <is>
          <t xml:space="preserve">BX </t>
        </is>
      </c>
      <c r="S3257" t="n">
        <v>4</v>
      </c>
      <c r="T3257" t="n">
        <v>15</v>
      </c>
      <c r="U3257" t="inlineStr">
        <is>
          <t>2010-05-12</t>
        </is>
      </c>
      <c r="V3257" t="inlineStr">
        <is>
          <t>2010-05-12</t>
        </is>
      </c>
      <c r="W3257" t="inlineStr">
        <is>
          <t>1992-04-24</t>
        </is>
      </c>
      <c r="X3257" t="inlineStr">
        <is>
          <t>1992-04-24</t>
        </is>
      </c>
      <c r="Y3257" t="n">
        <v>102</v>
      </c>
      <c r="Z3257" t="n">
        <v>95</v>
      </c>
      <c r="AA3257" t="n">
        <v>260</v>
      </c>
      <c r="AB3257" t="n">
        <v>2</v>
      </c>
      <c r="AC3257" t="n">
        <v>2</v>
      </c>
      <c r="AD3257" t="n">
        <v>5</v>
      </c>
      <c r="AE3257" t="n">
        <v>12</v>
      </c>
      <c r="AF3257" t="n">
        <v>0</v>
      </c>
      <c r="AG3257" t="n">
        <v>1</v>
      </c>
      <c r="AH3257" t="n">
        <v>2</v>
      </c>
      <c r="AI3257" t="n">
        <v>3</v>
      </c>
      <c r="AJ3257" t="n">
        <v>2</v>
      </c>
      <c r="AK3257" t="n">
        <v>8</v>
      </c>
      <c r="AL3257" t="n">
        <v>1</v>
      </c>
      <c r="AM3257" t="n">
        <v>1</v>
      </c>
      <c r="AN3257" t="n">
        <v>0</v>
      </c>
      <c r="AO3257" t="n">
        <v>0</v>
      </c>
      <c r="AP3257" t="inlineStr">
        <is>
          <t>No</t>
        </is>
      </c>
      <c r="AQ3257" t="inlineStr">
        <is>
          <t>No</t>
        </is>
      </c>
      <c r="AS3257">
        <f>HYPERLINK("https://creighton-primo.hosted.exlibrisgroup.com/primo-explore/search?tab=default_tab&amp;search_scope=EVERYTHING&amp;vid=01CRU&amp;lang=en_US&amp;offset=0&amp;query=any,contains,991004755699702656","Catalog Record")</f>
        <v/>
      </c>
      <c r="AT3257">
        <f>HYPERLINK("http://www.worldcat.org/oclc/4961259","WorldCat Record")</f>
        <v/>
      </c>
      <c r="AU3257" t="inlineStr">
        <is>
          <t>5364024322:eng</t>
        </is>
      </c>
      <c r="AV3257" t="inlineStr">
        <is>
          <t>4961259</t>
        </is>
      </c>
      <c r="AW3257" t="inlineStr">
        <is>
          <t>991004755699702656</t>
        </is>
      </c>
      <c r="AX3257" t="inlineStr">
        <is>
          <t>991004755699702656</t>
        </is>
      </c>
      <c r="AY3257" t="inlineStr">
        <is>
          <t>2255053750002656</t>
        </is>
      </c>
      <c r="AZ3257" t="inlineStr">
        <is>
          <t>BOOK</t>
        </is>
      </c>
      <c r="BB3257" t="inlineStr">
        <is>
          <t>9780802820549</t>
        </is>
      </c>
      <c r="BC3257" t="inlineStr">
        <is>
          <t>32285001086940</t>
        </is>
      </c>
      <c r="BD3257" t="inlineStr">
        <is>
          <t>893443013</t>
        </is>
      </c>
    </row>
    <row r="3258">
      <c r="A3258" t="inlineStr">
        <is>
          <t>No</t>
        </is>
      </c>
      <c r="B3258" t="inlineStr">
        <is>
          <t>BX9420 .I65 1953</t>
        </is>
      </c>
      <c r="C3258" t="inlineStr">
        <is>
          <t>0                      BX 9420000I  65          1953</t>
        </is>
      </c>
      <c r="D3258" t="inlineStr">
        <is>
          <t>Institutes of the Christian religion / by John Calvin : translated by Henry Beveridge.</t>
        </is>
      </c>
      <c r="E3258" t="inlineStr">
        <is>
          <t>V. 1</t>
        </is>
      </c>
      <c r="F3258" t="inlineStr">
        <is>
          <t>Yes</t>
        </is>
      </c>
      <c r="G3258" t="inlineStr">
        <is>
          <t>1</t>
        </is>
      </c>
      <c r="H3258" t="inlineStr">
        <is>
          <t>No</t>
        </is>
      </c>
      <c r="I3258" t="inlineStr">
        <is>
          <t>No</t>
        </is>
      </c>
      <c r="J3258" t="inlineStr">
        <is>
          <t>0</t>
        </is>
      </c>
      <c r="K3258" t="inlineStr">
        <is>
          <t>Calvin, Jean, 1509-1564.</t>
        </is>
      </c>
      <c r="L3258" t="inlineStr">
        <is>
          <t>Grand Rapids, Mich. : Eerdmans, [1953] 1975 printing.</t>
        </is>
      </c>
      <c r="M3258" t="inlineStr">
        <is>
          <t>1953</t>
        </is>
      </c>
      <c r="O3258" t="inlineStr">
        <is>
          <t>eng</t>
        </is>
      </c>
      <c r="P3258" t="inlineStr">
        <is>
          <t>miu</t>
        </is>
      </c>
      <c r="R3258" t="inlineStr">
        <is>
          <t xml:space="preserve">BX </t>
        </is>
      </c>
      <c r="S3258" t="n">
        <v>11</v>
      </c>
      <c r="T3258" t="n">
        <v>15</v>
      </c>
      <c r="U3258" t="inlineStr">
        <is>
          <t>2010-05-12</t>
        </is>
      </c>
      <c r="V3258" t="inlineStr">
        <is>
          <t>2010-05-12</t>
        </is>
      </c>
      <c r="W3258" t="inlineStr">
        <is>
          <t>1992-04-24</t>
        </is>
      </c>
      <c r="X3258" t="inlineStr">
        <is>
          <t>1992-04-24</t>
        </is>
      </c>
      <c r="Y3258" t="n">
        <v>102</v>
      </c>
      <c r="Z3258" t="n">
        <v>95</v>
      </c>
      <c r="AA3258" t="n">
        <v>260</v>
      </c>
      <c r="AB3258" t="n">
        <v>2</v>
      </c>
      <c r="AC3258" t="n">
        <v>2</v>
      </c>
      <c r="AD3258" t="n">
        <v>5</v>
      </c>
      <c r="AE3258" t="n">
        <v>12</v>
      </c>
      <c r="AF3258" t="n">
        <v>0</v>
      </c>
      <c r="AG3258" t="n">
        <v>1</v>
      </c>
      <c r="AH3258" t="n">
        <v>2</v>
      </c>
      <c r="AI3258" t="n">
        <v>3</v>
      </c>
      <c r="AJ3258" t="n">
        <v>2</v>
      </c>
      <c r="AK3258" t="n">
        <v>8</v>
      </c>
      <c r="AL3258" t="n">
        <v>1</v>
      </c>
      <c r="AM3258" t="n">
        <v>1</v>
      </c>
      <c r="AN3258" t="n">
        <v>0</v>
      </c>
      <c r="AO3258" t="n">
        <v>0</v>
      </c>
      <c r="AP3258" t="inlineStr">
        <is>
          <t>No</t>
        </is>
      </c>
      <c r="AQ3258" t="inlineStr">
        <is>
          <t>No</t>
        </is>
      </c>
      <c r="AS3258">
        <f>HYPERLINK("https://creighton-primo.hosted.exlibrisgroup.com/primo-explore/search?tab=default_tab&amp;search_scope=EVERYTHING&amp;vid=01CRU&amp;lang=en_US&amp;offset=0&amp;query=any,contains,991004755699702656","Catalog Record")</f>
        <v/>
      </c>
      <c r="AT3258">
        <f>HYPERLINK("http://www.worldcat.org/oclc/4961259","WorldCat Record")</f>
        <v/>
      </c>
      <c r="AU3258" t="inlineStr">
        <is>
          <t>5364024322:eng</t>
        </is>
      </c>
      <c r="AV3258" t="inlineStr">
        <is>
          <t>4961259</t>
        </is>
      </c>
      <c r="AW3258" t="inlineStr">
        <is>
          <t>991004755699702656</t>
        </is>
      </c>
      <c r="AX3258" t="inlineStr">
        <is>
          <t>991004755699702656</t>
        </is>
      </c>
      <c r="AY3258" t="inlineStr">
        <is>
          <t>2255053750002656</t>
        </is>
      </c>
      <c r="AZ3258" t="inlineStr">
        <is>
          <t>BOOK</t>
        </is>
      </c>
      <c r="BB3258" t="inlineStr">
        <is>
          <t>9780802820549</t>
        </is>
      </c>
      <c r="BC3258" t="inlineStr">
        <is>
          <t>32285001086932</t>
        </is>
      </c>
      <c r="BD3258" t="inlineStr">
        <is>
          <t>893443014</t>
        </is>
      </c>
    </row>
    <row r="3259">
      <c r="A3259" t="inlineStr">
        <is>
          <t>No</t>
        </is>
      </c>
      <c r="B3259" t="inlineStr">
        <is>
          <t>BX9420 .I65 1975</t>
        </is>
      </c>
      <c r="C3259" t="inlineStr">
        <is>
          <t>0                      BX 9420000I  65          1975</t>
        </is>
      </c>
      <c r="D3259" t="inlineStr">
        <is>
          <t>Institution of the Christian religion : embracing almost the whole sum of piety &amp; whatever is necessary to know the doctrine of salvation : a work most worthy to be read by all persons zealous for piety, and recently published : preface to the most Christian King of France, whereas this book is offered to him as a confession of faith / John Calvin of Noyon, author ; translated and annotated by Ford Lewis Battles.</t>
        </is>
      </c>
      <c r="F3259" t="inlineStr">
        <is>
          <t>No</t>
        </is>
      </c>
      <c r="G3259" t="inlineStr">
        <is>
          <t>1</t>
        </is>
      </c>
      <c r="H3259" t="inlineStr">
        <is>
          <t>No</t>
        </is>
      </c>
      <c r="I3259" t="inlineStr">
        <is>
          <t>No</t>
        </is>
      </c>
      <c r="J3259" t="inlineStr">
        <is>
          <t>0</t>
        </is>
      </c>
      <c r="K3259" t="inlineStr">
        <is>
          <t>Calvin, Jean, 1509-1564.</t>
        </is>
      </c>
      <c r="L3259" t="inlineStr">
        <is>
          <t>Atlanta : John Knox Press, c1975.</t>
        </is>
      </c>
      <c r="M3259" t="inlineStr">
        <is>
          <t>1975</t>
        </is>
      </c>
      <c r="O3259" t="inlineStr">
        <is>
          <t>eng</t>
        </is>
      </c>
      <c r="P3259" t="inlineStr">
        <is>
          <t>gau</t>
        </is>
      </c>
      <c r="R3259" t="inlineStr">
        <is>
          <t xml:space="preserve">BX </t>
        </is>
      </c>
      <c r="S3259" t="n">
        <v>9</v>
      </c>
      <c r="T3259" t="n">
        <v>9</v>
      </c>
      <c r="U3259" t="inlineStr">
        <is>
          <t>2008-03-06</t>
        </is>
      </c>
      <c r="V3259" t="inlineStr">
        <is>
          <t>2008-03-06</t>
        </is>
      </c>
      <c r="W3259" t="inlineStr">
        <is>
          <t>1992-05-27</t>
        </is>
      </c>
      <c r="X3259" t="inlineStr">
        <is>
          <t>1992-05-27</t>
        </is>
      </c>
      <c r="Y3259" t="n">
        <v>265</v>
      </c>
      <c r="Z3259" t="n">
        <v>230</v>
      </c>
      <c r="AA3259" t="n">
        <v>242</v>
      </c>
      <c r="AB3259" t="n">
        <v>2</v>
      </c>
      <c r="AC3259" t="n">
        <v>2</v>
      </c>
      <c r="AD3259" t="n">
        <v>9</v>
      </c>
      <c r="AE3259" t="n">
        <v>9</v>
      </c>
      <c r="AF3259" t="n">
        <v>5</v>
      </c>
      <c r="AG3259" t="n">
        <v>5</v>
      </c>
      <c r="AH3259" t="n">
        <v>2</v>
      </c>
      <c r="AI3259" t="n">
        <v>2</v>
      </c>
      <c r="AJ3259" t="n">
        <v>5</v>
      </c>
      <c r="AK3259" t="n">
        <v>5</v>
      </c>
      <c r="AL3259" t="n">
        <v>1</v>
      </c>
      <c r="AM3259" t="n">
        <v>1</v>
      </c>
      <c r="AN3259" t="n">
        <v>0</v>
      </c>
      <c r="AO3259" t="n">
        <v>0</v>
      </c>
      <c r="AP3259" t="inlineStr">
        <is>
          <t>No</t>
        </is>
      </c>
      <c r="AQ3259" t="inlineStr">
        <is>
          <t>No</t>
        </is>
      </c>
      <c r="AS3259">
        <f>HYPERLINK("https://creighton-primo.hosted.exlibrisgroup.com/primo-explore/search?tab=default_tab&amp;search_scope=EVERYTHING&amp;vid=01CRU&amp;lang=en_US&amp;offset=0&amp;query=any,contains,991003941159702656","Catalog Record")</f>
        <v/>
      </c>
      <c r="AT3259">
        <f>HYPERLINK("http://www.worldcat.org/oclc/1930912","WorldCat Record")</f>
        <v/>
      </c>
      <c r="AU3259" t="inlineStr">
        <is>
          <t>10792215600:eng</t>
        </is>
      </c>
      <c r="AV3259" t="inlineStr">
        <is>
          <t>1930912</t>
        </is>
      </c>
      <c r="AW3259" t="inlineStr">
        <is>
          <t>991003941159702656</t>
        </is>
      </c>
      <c r="AX3259" t="inlineStr">
        <is>
          <t>991003941159702656</t>
        </is>
      </c>
      <c r="AY3259" t="inlineStr">
        <is>
          <t>2267781190002656</t>
        </is>
      </c>
      <c r="AZ3259" t="inlineStr">
        <is>
          <t>BOOK</t>
        </is>
      </c>
      <c r="BB3259" t="inlineStr">
        <is>
          <t>9780804204897</t>
        </is>
      </c>
      <c r="BC3259" t="inlineStr">
        <is>
          <t>32285001141349</t>
        </is>
      </c>
      <c r="BD3259" t="inlineStr">
        <is>
          <t>893353123</t>
        </is>
      </c>
    </row>
    <row r="3260">
      <c r="A3260" t="inlineStr">
        <is>
          <t>No</t>
        </is>
      </c>
      <c r="B3260" t="inlineStr">
        <is>
          <t>BX9422 .M32</t>
        </is>
      </c>
      <c r="C3260" t="inlineStr">
        <is>
          <t>0                      BX 9422000M  32</t>
        </is>
      </c>
      <c r="D3260" t="inlineStr">
        <is>
          <t>The history and character of Calvinism / John T. McNeill.</t>
        </is>
      </c>
      <c r="F3260" t="inlineStr">
        <is>
          <t>No</t>
        </is>
      </c>
      <c r="G3260" t="inlineStr">
        <is>
          <t>1</t>
        </is>
      </c>
      <c r="H3260" t="inlineStr">
        <is>
          <t>No</t>
        </is>
      </c>
      <c r="I3260" t="inlineStr">
        <is>
          <t>No</t>
        </is>
      </c>
      <c r="J3260" t="inlineStr">
        <is>
          <t>0</t>
        </is>
      </c>
      <c r="K3260" t="inlineStr">
        <is>
          <t>McNeill, John T. (John Thomas), 1885-1975.</t>
        </is>
      </c>
      <c r="L3260" t="inlineStr">
        <is>
          <t>New York : Oxford University Press, 1957, c1954.</t>
        </is>
      </c>
      <c r="M3260" t="inlineStr">
        <is>
          <t>1954</t>
        </is>
      </c>
      <c r="N3260" t="inlineStr">
        <is>
          <t>2nd printing with corrections, 1957.</t>
        </is>
      </c>
      <c r="O3260" t="inlineStr">
        <is>
          <t>eng</t>
        </is>
      </c>
      <c r="P3260" t="inlineStr">
        <is>
          <t>nyu</t>
        </is>
      </c>
      <c r="R3260" t="inlineStr">
        <is>
          <t xml:space="preserve">BX </t>
        </is>
      </c>
      <c r="S3260" t="n">
        <v>7</v>
      </c>
      <c r="T3260" t="n">
        <v>7</v>
      </c>
      <c r="U3260" t="inlineStr">
        <is>
          <t>2004-04-17</t>
        </is>
      </c>
      <c r="V3260" t="inlineStr">
        <is>
          <t>2004-04-17</t>
        </is>
      </c>
      <c r="W3260" t="inlineStr">
        <is>
          <t>1992-05-27</t>
        </is>
      </c>
      <c r="X3260" t="inlineStr">
        <is>
          <t>1992-05-27</t>
        </is>
      </c>
      <c r="Y3260" t="n">
        <v>1244</v>
      </c>
      <c r="Z3260" t="n">
        <v>1073</v>
      </c>
      <c r="AA3260" t="n">
        <v>1334</v>
      </c>
      <c r="AB3260" t="n">
        <v>13</v>
      </c>
      <c r="AC3260" t="n">
        <v>15</v>
      </c>
      <c r="AD3260" t="n">
        <v>44</v>
      </c>
      <c r="AE3260" t="n">
        <v>54</v>
      </c>
      <c r="AF3260" t="n">
        <v>16</v>
      </c>
      <c r="AG3260" t="n">
        <v>21</v>
      </c>
      <c r="AH3260" t="n">
        <v>8</v>
      </c>
      <c r="AI3260" t="n">
        <v>9</v>
      </c>
      <c r="AJ3260" t="n">
        <v>18</v>
      </c>
      <c r="AK3260" t="n">
        <v>24</v>
      </c>
      <c r="AL3260" t="n">
        <v>10</v>
      </c>
      <c r="AM3260" t="n">
        <v>11</v>
      </c>
      <c r="AN3260" t="n">
        <v>0</v>
      </c>
      <c r="AO3260" t="n">
        <v>0</v>
      </c>
      <c r="AP3260" t="inlineStr">
        <is>
          <t>No</t>
        </is>
      </c>
      <c r="AQ3260" t="inlineStr">
        <is>
          <t>No</t>
        </is>
      </c>
      <c r="AS3260">
        <f>HYPERLINK("https://creighton-primo.hosted.exlibrisgroup.com/primo-explore/search?tab=default_tab&amp;search_scope=EVERYTHING&amp;vid=01CRU&amp;lang=en_US&amp;offset=0&amp;query=any,contains,991002652429702656","Catalog Record")</f>
        <v/>
      </c>
      <c r="AT3260">
        <f>HYPERLINK("http://www.worldcat.org/oclc/387464","WorldCat Record")</f>
        <v/>
      </c>
      <c r="AU3260" t="inlineStr">
        <is>
          <t>8913632953:eng</t>
        </is>
      </c>
      <c r="AV3260" t="inlineStr">
        <is>
          <t>387464</t>
        </is>
      </c>
      <c r="AW3260" t="inlineStr">
        <is>
          <t>991002652429702656</t>
        </is>
      </c>
      <c r="AX3260" t="inlineStr">
        <is>
          <t>991002652429702656</t>
        </is>
      </c>
      <c r="AY3260" t="inlineStr">
        <is>
          <t>2258153780002656</t>
        </is>
      </c>
      <c r="AZ3260" t="inlineStr">
        <is>
          <t>BOOK</t>
        </is>
      </c>
      <c r="BC3260" t="inlineStr">
        <is>
          <t>32285001141372</t>
        </is>
      </c>
      <c r="BD3260" t="inlineStr">
        <is>
          <t>893880214</t>
        </is>
      </c>
    </row>
    <row r="3261">
      <c r="A3261" t="inlineStr">
        <is>
          <t>No</t>
        </is>
      </c>
      <c r="B3261" t="inlineStr">
        <is>
          <t>BX9422 .P3 1971</t>
        </is>
      </c>
      <c r="C3261" t="inlineStr">
        <is>
          <t>0                      BX 9422000P  3           1971</t>
        </is>
      </c>
      <c r="D3261" t="inlineStr">
        <is>
          <t>Calvinism and the religious wars / by Franklin Charles Palm.</t>
        </is>
      </c>
      <c r="F3261" t="inlineStr">
        <is>
          <t>No</t>
        </is>
      </c>
      <c r="G3261" t="inlineStr">
        <is>
          <t>1</t>
        </is>
      </c>
      <c r="H3261" t="inlineStr">
        <is>
          <t>No</t>
        </is>
      </c>
      <c r="I3261" t="inlineStr">
        <is>
          <t>No</t>
        </is>
      </c>
      <c r="J3261" t="inlineStr">
        <is>
          <t>0</t>
        </is>
      </c>
      <c r="K3261" t="inlineStr">
        <is>
          <t>Palm, Franklin Charles, 1890-1973.</t>
        </is>
      </c>
      <c r="L3261" t="inlineStr">
        <is>
          <t>New York : H. Fertig, 1971 [c1932]</t>
        </is>
      </c>
      <c r="M3261" t="inlineStr">
        <is>
          <t>1971</t>
        </is>
      </c>
      <c r="O3261" t="inlineStr">
        <is>
          <t>eng</t>
        </is>
      </c>
      <c r="P3261" t="inlineStr">
        <is>
          <t>nyu</t>
        </is>
      </c>
      <c r="R3261" t="inlineStr">
        <is>
          <t xml:space="preserve">BX </t>
        </is>
      </c>
      <c r="S3261" t="n">
        <v>4</v>
      </c>
      <c r="T3261" t="n">
        <v>4</v>
      </c>
      <c r="U3261" t="inlineStr">
        <is>
          <t>2004-04-17</t>
        </is>
      </c>
      <c r="V3261" t="inlineStr">
        <is>
          <t>2004-04-17</t>
        </is>
      </c>
      <c r="W3261" t="inlineStr">
        <is>
          <t>1992-05-27</t>
        </is>
      </c>
      <c r="X3261" t="inlineStr">
        <is>
          <t>1992-05-27</t>
        </is>
      </c>
      <c r="Y3261" t="n">
        <v>315</v>
      </c>
      <c r="Z3261" t="n">
        <v>270</v>
      </c>
      <c r="AA3261" t="n">
        <v>621</v>
      </c>
      <c r="AB3261" t="n">
        <v>2</v>
      </c>
      <c r="AC3261" t="n">
        <v>6</v>
      </c>
      <c r="AD3261" t="n">
        <v>10</v>
      </c>
      <c r="AE3261" t="n">
        <v>23</v>
      </c>
      <c r="AF3261" t="n">
        <v>4</v>
      </c>
      <c r="AG3261" t="n">
        <v>6</v>
      </c>
      <c r="AH3261" t="n">
        <v>2</v>
      </c>
      <c r="AI3261" t="n">
        <v>4</v>
      </c>
      <c r="AJ3261" t="n">
        <v>7</v>
      </c>
      <c r="AK3261" t="n">
        <v>13</v>
      </c>
      <c r="AL3261" t="n">
        <v>1</v>
      </c>
      <c r="AM3261" t="n">
        <v>5</v>
      </c>
      <c r="AN3261" t="n">
        <v>0</v>
      </c>
      <c r="AO3261" t="n">
        <v>0</v>
      </c>
      <c r="AP3261" t="inlineStr">
        <is>
          <t>No</t>
        </is>
      </c>
      <c r="AQ3261" t="inlineStr">
        <is>
          <t>Yes</t>
        </is>
      </c>
      <c r="AR3261">
        <f>HYPERLINK("http://catalog.hathitrust.org/Record/001594560","HathiTrust Record")</f>
        <v/>
      </c>
      <c r="AS3261">
        <f>HYPERLINK("https://creighton-primo.hosted.exlibrisgroup.com/primo-explore/search?tab=default_tab&amp;search_scope=EVERYTHING&amp;vid=01CRU&amp;lang=en_US&amp;offset=0&amp;query=any,contains,991001230379702656","Catalog Record")</f>
        <v/>
      </c>
      <c r="AT3261">
        <f>HYPERLINK("http://www.worldcat.org/oclc/203071","WorldCat Record")</f>
        <v/>
      </c>
      <c r="AU3261" t="inlineStr">
        <is>
          <t>1258685:eng</t>
        </is>
      </c>
      <c r="AV3261" t="inlineStr">
        <is>
          <t>203071</t>
        </is>
      </c>
      <c r="AW3261" t="inlineStr">
        <is>
          <t>991001230379702656</t>
        </is>
      </c>
      <c r="AX3261" t="inlineStr">
        <is>
          <t>991001230379702656</t>
        </is>
      </c>
      <c r="AY3261" t="inlineStr">
        <is>
          <t>2256058960002656</t>
        </is>
      </c>
      <c r="AZ3261" t="inlineStr">
        <is>
          <t>BOOK</t>
        </is>
      </c>
      <c r="BC3261" t="inlineStr">
        <is>
          <t>32285001141380</t>
        </is>
      </c>
      <c r="BD3261" t="inlineStr">
        <is>
          <t>893407965</t>
        </is>
      </c>
    </row>
    <row r="3262">
      <c r="A3262" t="inlineStr">
        <is>
          <t>No</t>
        </is>
      </c>
      <c r="B3262" t="inlineStr">
        <is>
          <t>BX9422.2 .M34 2001</t>
        </is>
      </c>
      <c r="C3262" t="inlineStr">
        <is>
          <t>0                      BX 9422200M  34          2001</t>
        </is>
      </c>
      <c r="D3262" t="inlineStr">
        <is>
          <t>Introducing the Reformed faith : Biblical revelation, Christian tradition, contemporary significance / Donald K. McKim.</t>
        </is>
      </c>
      <c r="F3262" t="inlineStr">
        <is>
          <t>No</t>
        </is>
      </c>
      <c r="G3262" t="inlineStr">
        <is>
          <t>1</t>
        </is>
      </c>
      <c r="H3262" t="inlineStr">
        <is>
          <t>No</t>
        </is>
      </c>
      <c r="I3262" t="inlineStr">
        <is>
          <t>No</t>
        </is>
      </c>
      <c r="J3262" t="inlineStr">
        <is>
          <t>0</t>
        </is>
      </c>
      <c r="K3262" t="inlineStr">
        <is>
          <t>McKim, Donald K.</t>
        </is>
      </c>
      <c r="L3262" t="inlineStr">
        <is>
          <t>Louisville, Kentucky : Westminster John Knox, c2001.</t>
        </is>
      </c>
      <c r="M3262" t="inlineStr">
        <is>
          <t>2001</t>
        </is>
      </c>
      <c r="O3262" t="inlineStr">
        <is>
          <t>eng</t>
        </is>
      </c>
      <c r="P3262" t="inlineStr">
        <is>
          <t>kyu</t>
        </is>
      </c>
      <c r="R3262" t="inlineStr">
        <is>
          <t xml:space="preserve">BX </t>
        </is>
      </c>
      <c r="S3262" t="n">
        <v>2</v>
      </c>
      <c r="T3262" t="n">
        <v>2</v>
      </c>
      <c r="U3262" t="inlineStr">
        <is>
          <t>2002-07-15</t>
        </is>
      </c>
      <c r="V3262" t="inlineStr">
        <is>
          <t>2002-07-15</t>
        </is>
      </c>
      <c r="W3262" t="inlineStr">
        <is>
          <t>2001-05-15</t>
        </is>
      </c>
      <c r="X3262" t="inlineStr">
        <is>
          <t>2001-05-15</t>
        </is>
      </c>
      <c r="Y3262" t="n">
        <v>197</v>
      </c>
      <c r="Z3262" t="n">
        <v>160</v>
      </c>
      <c r="AA3262" t="n">
        <v>160</v>
      </c>
      <c r="AB3262" t="n">
        <v>1</v>
      </c>
      <c r="AC3262" t="n">
        <v>1</v>
      </c>
      <c r="AD3262" t="n">
        <v>6</v>
      </c>
      <c r="AE3262" t="n">
        <v>6</v>
      </c>
      <c r="AF3262" t="n">
        <v>3</v>
      </c>
      <c r="AG3262" t="n">
        <v>3</v>
      </c>
      <c r="AH3262" t="n">
        <v>1</v>
      </c>
      <c r="AI3262" t="n">
        <v>1</v>
      </c>
      <c r="AJ3262" t="n">
        <v>2</v>
      </c>
      <c r="AK3262" t="n">
        <v>2</v>
      </c>
      <c r="AL3262" t="n">
        <v>0</v>
      </c>
      <c r="AM3262" t="n">
        <v>0</v>
      </c>
      <c r="AN3262" t="n">
        <v>0</v>
      </c>
      <c r="AO3262" t="n">
        <v>0</v>
      </c>
      <c r="AP3262" t="inlineStr">
        <is>
          <t>No</t>
        </is>
      </c>
      <c r="AQ3262" t="inlineStr">
        <is>
          <t>No</t>
        </is>
      </c>
      <c r="AS3262">
        <f>HYPERLINK("https://creighton-primo.hosted.exlibrisgroup.com/primo-explore/search?tab=default_tab&amp;search_scope=EVERYTHING&amp;vid=01CRU&amp;lang=en_US&amp;offset=0&amp;query=any,contains,991003532649702656","Catalog Record")</f>
        <v/>
      </c>
      <c r="AT3262">
        <f>HYPERLINK("http://www.worldcat.org/oclc/46674607","WorldCat Record")</f>
        <v/>
      </c>
      <c r="AU3262" t="inlineStr">
        <is>
          <t>369138310:eng</t>
        </is>
      </c>
      <c r="AV3262" t="inlineStr">
        <is>
          <t>46674607</t>
        </is>
      </c>
      <c r="AW3262" t="inlineStr">
        <is>
          <t>991003532649702656</t>
        </is>
      </c>
      <c r="AX3262" t="inlineStr">
        <is>
          <t>991003532649702656</t>
        </is>
      </c>
      <c r="AY3262" t="inlineStr">
        <is>
          <t>2259924100002656</t>
        </is>
      </c>
      <c r="AZ3262" t="inlineStr">
        <is>
          <t>BOOK</t>
        </is>
      </c>
      <c r="BB3262" t="inlineStr">
        <is>
          <t>9780664256449</t>
        </is>
      </c>
      <c r="BC3262" t="inlineStr">
        <is>
          <t>32285004317599</t>
        </is>
      </c>
      <c r="BD3262" t="inlineStr">
        <is>
          <t>893604888</t>
        </is>
      </c>
    </row>
    <row r="3263">
      <c r="A3263" t="inlineStr">
        <is>
          <t>No</t>
        </is>
      </c>
      <c r="B3263" t="inlineStr">
        <is>
          <t>BX9422.2 .R37 1983</t>
        </is>
      </c>
      <c r="C3263" t="inlineStr">
        <is>
          <t>0                      BX 9422200R  37          1983</t>
        </is>
      </c>
      <c r="D3263" t="inlineStr">
        <is>
          <t>Rationality in the Calvinian tradition / edited by Hendrik Hart, Johan van der Hoeven, Nicholas Wolterstorff.</t>
        </is>
      </c>
      <c r="F3263" t="inlineStr">
        <is>
          <t>No</t>
        </is>
      </c>
      <c r="G3263" t="inlineStr">
        <is>
          <t>1</t>
        </is>
      </c>
      <c r="H3263" t="inlineStr">
        <is>
          <t>No</t>
        </is>
      </c>
      <c r="I3263" t="inlineStr">
        <is>
          <t>No</t>
        </is>
      </c>
      <c r="J3263" t="inlineStr">
        <is>
          <t>0</t>
        </is>
      </c>
      <c r="L3263" t="inlineStr">
        <is>
          <t>Lanham, MD : University Press of America, c1983.</t>
        </is>
      </c>
      <c r="M3263" t="inlineStr">
        <is>
          <t>1983</t>
        </is>
      </c>
      <c r="O3263" t="inlineStr">
        <is>
          <t>eng</t>
        </is>
      </c>
      <c r="P3263" t="inlineStr">
        <is>
          <t>mdu</t>
        </is>
      </c>
      <c r="Q3263" t="inlineStr">
        <is>
          <t>Christian studies today</t>
        </is>
      </c>
      <c r="R3263" t="inlineStr">
        <is>
          <t xml:space="preserve">BX </t>
        </is>
      </c>
      <c r="S3263" t="n">
        <v>3</v>
      </c>
      <c r="T3263" t="n">
        <v>3</v>
      </c>
      <c r="U3263" t="inlineStr">
        <is>
          <t>2003-04-10</t>
        </is>
      </c>
      <c r="V3263" t="inlineStr">
        <is>
          <t>2003-04-10</t>
        </is>
      </c>
      <c r="W3263" t="inlineStr">
        <is>
          <t>1990-02-07</t>
        </is>
      </c>
      <c r="X3263" t="inlineStr">
        <is>
          <t>1990-02-07</t>
        </is>
      </c>
      <c r="Y3263" t="n">
        <v>262</v>
      </c>
      <c r="Z3263" t="n">
        <v>206</v>
      </c>
      <c r="AA3263" t="n">
        <v>212</v>
      </c>
      <c r="AB3263" t="n">
        <v>2</v>
      </c>
      <c r="AC3263" t="n">
        <v>2</v>
      </c>
      <c r="AD3263" t="n">
        <v>10</v>
      </c>
      <c r="AE3263" t="n">
        <v>10</v>
      </c>
      <c r="AF3263" t="n">
        <v>2</v>
      </c>
      <c r="AG3263" t="n">
        <v>2</v>
      </c>
      <c r="AH3263" t="n">
        <v>2</v>
      </c>
      <c r="AI3263" t="n">
        <v>2</v>
      </c>
      <c r="AJ3263" t="n">
        <v>9</v>
      </c>
      <c r="AK3263" t="n">
        <v>9</v>
      </c>
      <c r="AL3263" t="n">
        <v>1</v>
      </c>
      <c r="AM3263" t="n">
        <v>1</v>
      </c>
      <c r="AN3263" t="n">
        <v>0</v>
      </c>
      <c r="AO3263" t="n">
        <v>0</v>
      </c>
      <c r="AP3263" t="inlineStr">
        <is>
          <t>No</t>
        </is>
      </c>
      <c r="AQ3263" t="inlineStr">
        <is>
          <t>No</t>
        </is>
      </c>
      <c r="AS3263">
        <f>HYPERLINK("https://creighton-primo.hosted.exlibrisgroup.com/primo-explore/search?tab=default_tab&amp;search_scope=EVERYTHING&amp;vid=01CRU&amp;lang=en_US&amp;offset=0&amp;query=any,contains,991000292729702656","Catalog Record")</f>
        <v/>
      </c>
      <c r="AT3263">
        <f>HYPERLINK("http://www.worldcat.org/oclc/9970552","WorldCat Record")</f>
        <v/>
      </c>
      <c r="AU3263" t="inlineStr">
        <is>
          <t>428154774:eng</t>
        </is>
      </c>
      <c r="AV3263" t="inlineStr">
        <is>
          <t>9970552</t>
        </is>
      </c>
      <c r="AW3263" t="inlineStr">
        <is>
          <t>991000292729702656</t>
        </is>
      </c>
      <c r="AX3263" t="inlineStr">
        <is>
          <t>991000292729702656</t>
        </is>
      </c>
      <c r="AY3263" t="inlineStr">
        <is>
          <t>2254749610002656</t>
        </is>
      </c>
      <c r="AZ3263" t="inlineStr">
        <is>
          <t>BOOK</t>
        </is>
      </c>
      <c r="BB3263" t="inlineStr">
        <is>
          <t>9780819136169</t>
        </is>
      </c>
      <c r="BC3263" t="inlineStr">
        <is>
          <t>32285000007764</t>
        </is>
      </c>
      <c r="BD3263" t="inlineStr">
        <is>
          <t>893345532</t>
        </is>
      </c>
    </row>
    <row r="3264">
      <c r="A3264" t="inlineStr">
        <is>
          <t>No</t>
        </is>
      </c>
      <c r="B3264" t="inlineStr">
        <is>
          <t>BX9422.3 .P57 2002</t>
        </is>
      </c>
      <c r="C3264" t="inlineStr">
        <is>
          <t>0                      BX 9422300P  57          2002</t>
        </is>
      </c>
      <c r="D3264" t="inlineStr">
        <is>
          <t>Engaging God's world : a Christian vision of faith, learning, and living / Cornelius Plantinga, Jr.</t>
        </is>
      </c>
      <c r="F3264" t="inlineStr">
        <is>
          <t>No</t>
        </is>
      </c>
      <c r="G3264" t="inlineStr">
        <is>
          <t>1</t>
        </is>
      </c>
      <c r="H3264" t="inlineStr">
        <is>
          <t>No</t>
        </is>
      </c>
      <c r="I3264" t="inlineStr">
        <is>
          <t>No</t>
        </is>
      </c>
      <c r="J3264" t="inlineStr">
        <is>
          <t>0</t>
        </is>
      </c>
      <c r="K3264" t="inlineStr">
        <is>
          <t>Plantinga, Cornelius, 1946-</t>
        </is>
      </c>
      <c r="L3264" t="inlineStr">
        <is>
          <t>Grand Rapids, Mich. : W.B. Eerdmans, c2002.</t>
        </is>
      </c>
      <c r="M3264" t="inlineStr">
        <is>
          <t>2002</t>
        </is>
      </c>
      <c r="O3264" t="inlineStr">
        <is>
          <t>eng</t>
        </is>
      </c>
      <c r="P3264" t="inlineStr">
        <is>
          <t>miu</t>
        </is>
      </c>
      <c r="R3264" t="inlineStr">
        <is>
          <t xml:space="preserve">BX </t>
        </is>
      </c>
      <c r="S3264" t="n">
        <v>3</v>
      </c>
      <c r="T3264" t="n">
        <v>3</v>
      </c>
      <c r="U3264" t="inlineStr">
        <is>
          <t>2009-05-13</t>
        </is>
      </c>
      <c r="V3264" t="inlineStr">
        <is>
          <t>2009-05-13</t>
        </is>
      </c>
      <c r="W3264" t="inlineStr">
        <is>
          <t>2006-05-23</t>
        </is>
      </c>
      <c r="X3264" t="inlineStr">
        <is>
          <t>2006-05-23</t>
        </is>
      </c>
      <c r="Y3264" t="n">
        <v>323</v>
      </c>
      <c r="Z3264" t="n">
        <v>276</v>
      </c>
      <c r="AA3264" t="n">
        <v>282</v>
      </c>
      <c r="AB3264" t="n">
        <v>2</v>
      </c>
      <c r="AC3264" t="n">
        <v>2</v>
      </c>
      <c r="AD3264" t="n">
        <v>12</v>
      </c>
      <c r="AE3264" t="n">
        <v>12</v>
      </c>
      <c r="AF3264" t="n">
        <v>7</v>
      </c>
      <c r="AG3264" t="n">
        <v>7</v>
      </c>
      <c r="AH3264" t="n">
        <v>3</v>
      </c>
      <c r="AI3264" t="n">
        <v>3</v>
      </c>
      <c r="AJ3264" t="n">
        <v>4</v>
      </c>
      <c r="AK3264" t="n">
        <v>4</v>
      </c>
      <c r="AL3264" t="n">
        <v>1</v>
      </c>
      <c r="AM3264" t="n">
        <v>1</v>
      </c>
      <c r="AN3264" t="n">
        <v>0</v>
      </c>
      <c r="AO3264" t="n">
        <v>0</v>
      </c>
      <c r="AP3264" t="inlineStr">
        <is>
          <t>No</t>
        </is>
      </c>
      <c r="AQ3264" t="inlineStr">
        <is>
          <t>No</t>
        </is>
      </c>
      <c r="AS3264">
        <f>HYPERLINK("https://creighton-primo.hosted.exlibrisgroup.com/primo-explore/search?tab=default_tab&amp;search_scope=EVERYTHING&amp;vid=01CRU&amp;lang=en_US&amp;offset=0&amp;query=any,contains,991004780579702656","Catalog Record")</f>
        <v/>
      </c>
      <c r="AT3264">
        <f>HYPERLINK("http://www.worldcat.org/oclc/48501321","WorldCat Record")</f>
        <v/>
      </c>
      <c r="AU3264" t="inlineStr">
        <is>
          <t>293034220:eng</t>
        </is>
      </c>
      <c r="AV3264" t="inlineStr">
        <is>
          <t>48501321</t>
        </is>
      </c>
      <c r="AW3264" t="inlineStr">
        <is>
          <t>991004780579702656</t>
        </is>
      </c>
      <c r="AX3264" t="inlineStr">
        <is>
          <t>991004780579702656</t>
        </is>
      </c>
      <c r="AY3264" t="inlineStr">
        <is>
          <t>2270787710002656</t>
        </is>
      </c>
      <c r="AZ3264" t="inlineStr">
        <is>
          <t>BOOK</t>
        </is>
      </c>
      <c r="BB3264" t="inlineStr">
        <is>
          <t>9780802839817</t>
        </is>
      </c>
      <c r="BC3264" t="inlineStr">
        <is>
          <t>32285005188635</t>
        </is>
      </c>
      <c r="BD3264" t="inlineStr">
        <is>
          <t>893436748</t>
        </is>
      </c>
    </row>
    <row r="3265">
      <c r="A3265" t="inlineStr">
        <is>
          <t>No</t>
        </is>
      </c>
      <c r="B3265" t="inlineStr">
        <is>
          <t>BX9422.3 .W47 2001</t>
        </is>
      </c>
      <c r="C3265" t="inlineStr">
        <is>
          <t>0                      BX 9422300W  47          2001</t>
        </is>
      </c>
      <c r="D3265" t="inlineStr">
        <is>
          <t>The Westminster handbook to Reformed theology / edited by Donald K. McKim.</t>
        </is>
      </c>
      <c r="F3265" t="inlineStr">
        <is>
          <t>No</t>
        </is>
      </c>
      <c r="G3265" t="inlineStr">
        <is>
          <t>1</t>
        </is>
      </c>
      <c r="H3265" t="inlineStr">
        <is>
          <t>No</t>
        </is>
      </c>
      <c r="I3265" t="inlineStr">
        <is>
          <t>No</t>
        </is>
      </c>
      <c r="J3265" t="inlineStr">
        <is>
          <t>0</t>
        </is>
      </c>
      <c r="L3265" t="inlineStr">
        <is>
          <t>Louisville, Ky. : Westminster John Knox Press, c2001.</t>
        </is>
      </c>
      <c r="M3265" t="inlineStr">
        <is>
          <t>2001</t>
        </is>
      </c>
      <c r="N3265" t="inlineStr">
        <is>
          <t>1st ed.</t>
        </is>
      </c>
      <c r="O3265" t="inlineStr">
        <is>
          <t>eng</t>
        </is>
      </c>
      <c r="P3265" t="inlineStr">
        <is>
          <t>kyu</t>
        </is>
      </c>
      <c r="Q3265" t="inlineStr">
        <is>
          <t>The Westminster handbooks to Christian theology</t>
        </is>
      </c>
      <c r="R3265" t="inlineStr">
        <is>
          <t xml:space="preserve">BX </t>
        </is>
      </c>
      <c r="S3265" t="n">
        <v>3</v>
      </c>
      <c r="T3265" t="n">
        <v>3</v>
      </c>
      <c r="U3265" t="inlineStr">
        <is>
          <t>2010-02-01</t>
        </is>
      </c>
      <c r="V3265" t="inlineStr">
        <is>
          <t>2010-02-01</t>
        </is>
      </c>
      <c r="W3265" t="inlineStr">
        <is>
          <t>2010-02-01</t>
        </is>
      </c>
      <c r="X3265" t="inlineStr">
        <is>
          <t>2010-02-01</t>
        </is>
      </c>
      <c r="Y3265" t="n">
        <v>293</v>
      </c>
      <c r="Z3265" t="n">
        <v>238</v>
      </c>
      <c r="AA3265" t="n">
        <v>238</v>
      </c>
      <c r="AB3265" t="n">
        <v>2</v>
      </c>
      <c r="AC3265" t="n">
        <v>2</v>
      </c>
      <c r="AD3265" t="n">
        <v>19</v>
      </c>
      <c r="AE3265" t="n">
        <v>19</v>
      </c>
      <c r="AF3265" t="n">
        <v>10</v>
      </c>
      <c r="AG3265" t="n">
        <v>10</v>
      </c>
      <c r="AH3265" t="n">
        <v>4</v>
      </c>
      <c r="AI3265" t="n">
        <v>4</v>
      </c>
      <c r="AJ3265" t="n">
        <v>11</v>
      </c>
      <c r="AK3265" t="n">
        <v>11</v>
      </c>
      <c r="AL3265" t="n">
        <v>1</v>
      </c>
      <c r="AM3265" t="n">
        <v>1</v>
      </c>
      <c r="AN3265" t="n">
        <v>0</v>
      </c>
      <c r="AO3265" t="n">
        <v>0</v>
      </c>
      <c r="AP3265" t="inlineStr">
        <is>
          <t>No</t>
        </is>
      </c>
      <c r="AQ3265" t="inlineStr">
        <is>
          <t>No</t>
        </is>
      </c>
      <c r="AS3265">
        <f>HYPERLINK("https://creighton-primo.hosted.exlibrisgroup.com/primo-explore/search?tab=default_tab&amp;search_scope=EVERYTHING&amp;vid=01CRU&amp;lang=en_US&amp;offset=0&amp;query=any,contains,991005361739702656","Catalog Record")</f>
        <v/>
      </c>
      <c r="AT3265">
        <f>HYPERLINK("http://www.worldcat.org/oclc/48488188","WorldCat Record")</f>
        <v/>
      </c>
      <c r="AU3265" t="inlineStr">
        <is>
          <t>37881779:eng</t>
        </is>
      </c>
      <c r="AV3265" t="inlineStr">
        <is>
          <t>48488188</t>
        </is>
      </c>
      <c r="AW3265" t="inlineStr">
        <is>
          <t>991005361739702656</t>
        </is>
      </c>
      <c r="AX3265" t="inlineStr">
        <is>
          <t>991005361739702656</t>
        </is>
      </c>
      <c r="AY3265" t="inlineStr">
        <is>
          <t>2270137920002656</t>
        </is>
      </c>
      <c r="AZ3265" t="inlineStr">
        <is>
          <t>BOOK</t>
        </is>
      </c>
      <c r="BB3265" t="inlineStr">
        <is>
          <t>9780664224301</t>
        </is>
      </c>
      <c r="BC3265" t="inlineStr">
        <is>
          <t>32285005570634</t>
        </is>
      </c>
      <c r="BD3265" t="inlineStr">
        <is>
          <t>893701453</t>
        </is>
      </c>
    </row>
    <row r="3266">
      <c r="A3266" t="inlineStr">
        <is>
          <t>No</t>
        </is>
      </c>
      <c r="B3266" t="inlineStr">
        <is>
          <t>BX9422.5 .C35 1992</t>
        </is>
      </c>
      <c r="C3266" t="inlineStr">
        <is>
          <t>0                      BX 9422500C  35          1992</t>
        </is>
      </c>
      <c r="D3266" t="inlineStr">
        <is>
          <t>Calvinism in Europe : 1540-1610 : a collection of documents / selected, translated and edited by Alastair Duke, Gillian Lewis, and Andrew Pettegree.</t>
        </is>
      </c>
      <c r="F3266" t="inlineStr">
        <is>
          <t>No</t>
        </is>
      </c>
      <c r="G3266" t="inlineStr">
        <is>
          <t>1</t>
        </is>
      </c>
      <c r="H3266" t="inlineStr">
        <is>
          <t>No</t>
        </is>
      </c>
      <c r="I3266" t="inlineStr">
        <is>
          <t>No</t>
        </is>
      </c>
      <c r="J3266" t="inlineStr">
        <is>
          <t>0</t>
        </is>
      </c>
      <c r="L3266" t="inlineStr">
        <is>
          <t>Manchester [England] ; New York : Manchester University Press ; New York : Distributed exclusively in the USA and Canada by St. Martin's Press, c1992.</t>
        </is>
      </c>
      <c r="M3266" t="inlineStr">
        <is>
          <t>1992</t>
        </is>
      </c>
      <c r="O3266" t="inlineStr">
        <is>
          <t>eng</t>
        </is>
      </c>
      <c r="P3266" t="inlineStr">
        <is>
          <t>enk</t>
        </is>
      </c>
      <c r="R3266" t="inlineStr">
        <is>
          <t xml:space="preserve">BX </t>
        </is>
      </c>
      <c r="S3266" t="n">
        <v>5</v>
      </c>
      <c r="T3266" t="n">
        <v>5</v>
      </c>
      <c r="U3266" t="inlineStr">
        <is>
          <t>2007-05-11</t>
        </is>
      </c>
      <c r="V3266" t="inlineStr">
        <is>
          <t>2007-05-11</t>
        </is>
      </c>
      <c r="W3266" t="inlineStr">
        <is>
          <t>1994-06-20</t>
        </is>
      </c>
      <c r="X3266" t="inlineStr">
        <is>
          <t>1994-06-20</t>
        </is>
      </c>
      <c r="Y3266" t="n">
        <v>367</v>
      </c>
      <c r="Z3266" t="n">
        <v>228</v>
      </c>
      <c r="AA3266" t="n">
        <v>230</v>
      </c>
      <c r="AB3266" t="n">
        <v>4</v>
      </c>
      <c r="AC3266" t="n">
        <v>4</v>
      </c>
      <c r="AD3266" t="n">
        <v>11</v>
      </c>
      <c r="AE3266" t="n">
        <v>11</v>
      </c>
      <c r="AF3266" t="n">
        <v>3</v>
      </c>
      <c r="AG3266" t="n">
        <v>3</v>
      </c>
      <c r="AH3266" t="n">
        <v>3</v>
      </c>
      <c r="AI3266" t="n">
        <v>3</v>
      </c>
      <c r="AJ3266" t="n">
        <v>6</v>
      </c>
      <c r="AK3266" t="n">
        <v>6</v>
      </c>
      <c r="AL3266" t="n">
        <v>3</v>
      </c>
      <c r="AM3266" t="n">
        <v>3</v>
      </c>
      <c r="AN3266" t="n">
        <v>0</v>
      </c>
      <c r="AO3266" t="n">
        <v>0</v>
      </c>
      <c r="AP3266" t="inlineStr">
        <is>
          <t>No</t>
        </is>
      </c>
      <c r="AQ3266" t="inlineStr">
        <is>
          <t>Yes</t>
        </is>
      </c>
      <c r="AR3266">
        <f>HYPERLINK("http://catalog.hathitrust.org/Record/007110399","HathiTrust Record")</f>
        <v/>
      </c>
      <c r="AS3266">
        <f>HYPERLINK("https://creighton-primo.hosted.exlibrisgroup.com/primo-explore/search?tab=default_tab&amp;search_scope=EVERYTHING&amp;vid=01CRU&amp;lang=en_US&amp;offset=0&amp;query=any,contains,991002005889702656","Catalog Record")</f>
        <v/>
      </c>
      <c r="AT3266">
        <f>HYPERLINK("http://www.worldcat.org/oclc/25508852","WorldCat Record")</f>
        <v/>
      </c>
      <c r="AU3266" t="inlineStr">
        <is>
          <t>3769084600:eng</t>
        </is>
      </c>
      <c r="AV3266" t="inlineStr">
        <is>
          <t>25508852</t>
        </is>
      </c>
      <c r="AW3266" t="inlineStr">
        <is>
          <t>991002005889702656</t>
        </is>
      </c>
      <c r="AX3266" t="inlineStr">
        <is>
          <t>991002005889702656</t>
        </is>
      </c>
      <c r="AY3266" t="inlineStr">
        <is>
          <t>2272451180002656</t>
        </is>
      </c>
      <c r="AZ3266" t="inlineStr">
        <is>
          <t>BOOK</t>
        </is>
      </c>
      <c r="BB3266" t="inlineStr">
        <is>
          <t>9780719035517</t>
        </is>
      </c>
      <c r="BC3266" t="inlineStr">
        <is>
          <t>32285001923902</t>
        </is>
      </c>
      <c r="BD3266" t="inlineStr">
        <is>
          <t>893773112</t>
        </is>
      </c>
    </row>
    <row r="3267">
      <c r="A3267" t="inlineStr">
        <is>
          <t>No</t>
        </is>
      </c>
      <c r="B3267" t="inlineStr">
        <is>
          <t>BX9423.A77 D97 2004</t>
        </is>
      </c>
      <c r="C3267" t="inlineStr">
        <is>
          <t>0                      BX 9423000A  77                 D  97          2004</t>
        </is>
      </c>
      <c r="D3267" t="inlineStr">
        <is>
          <t>Reformed theology and visual culture : the Protestant imagination from Calvin to Edwards / William A. Dyrness.</t>
        </is>
      </c>
      <c r="F3267" t="inlineStr">
        <is>
          <t>No</t>
        </is>
      </c>
      <c r="G3267" t="inlineStr">
        <is>
          <t>1</t>
        </is>
      </c>
      <c r="H3267" t="inlineStr">
        <is>
          <t>No</t>
        </is>
      </c>
      <c r="I3267" t="inlineStr">
        <is>
          <t>No</t>
        </is>
      </c>
      <c r="J3267" t="inlineStr">
        <is>
          <t>0</t>
        </is>
      </c>
      <c r="K3267" t="inlineStr">
        <is>
          <t>Dyrness, William A.</t>
        </is>
      </c>
      <c r="L3267" t="inlineStr">
        <is>
          <t>Cambridge, UK ; New York : Cambridge University Press, 2004.</t>
        </is>
      </c>
      <c r="M3267" t="inlineStr">
        <is>
          <t>2004</t>
        </is>
      </c>
      <c r="O3267" t="inlineStr">
        <is>
          <t>eng</t>
        </is>
      </c>
      <c r="P3267" t="inlineStr">
        <is>
          <t>enk</t>
        </is>
      </c>
      <c r="R3267" t="inlineStr">
        <is>
          <t xml:space="preserve">BX </t>
        </is>
      </c>
      <c r="S3267" t="n">
        <v>1</v>
      </c>
      <c r="T3267" t="n">
        <v>1</v>
      </c>
      <c r="U3267" t="inlineStr">
        <is>
          <t>2007-06-21</t>
        </is>
      </c>
      <c r="V3267" t="inlineStr">
        <is>
          <t>2007-06-21</t>
        </is>
      </c>
      <c r="W3267" t="inlineStr">
        <is>
          <t>2006-12-11</t>
        </is>
      </c>
      <c r="X3267" t="inlineStr">
        <is>
          <t>2006-12-11</t>
        </is>
      </c>
      <c r="Y3267" t="n">
        <v>428</v>
      </c>
      <c r="Z3267" t="n">
        <v>319</v>
      </c>
      <c r="AA3267" t="n">
        <v>319</v>
      </c>
      <c r="AB3267" t="n">
        <v>3</v>
      </c>
      <c r="AC3267" t="n">
        <v>3</v>
      </c>
      <c r="AD3267" t="n">
        <v>21</v>
      </c>
      <c r="AE3267" t="n">
        <v>21</v>
      </c>
      <c r="AF3267" t="n">
        <v>10</v>
      </c>
      <c r="AG3267" t="n">
        <v>10</v>
      </c>
      <c r="AH3267" t="n">
        <v>6</v>
      </c>
      <c r="AI3267" t="n">
        <v>6</v>
      </c>
      <c r="AJ3267" t="n">
        <v>9</v>
      </c>
      <c r="AK3267" t="n">
        <v>9</v>
      </c>
      <c r="AL3267" t="n">
        <v>2</v>
      </c>
      <c r="AM3267" t="n">
        <v>2</v>
      </c>
      <c r="AN3267" t="n">
        <v>0</v>
      </c>
      <c r="AO3267" t="n">
        <v>0</v>
      </c>
      <c r="AP3267" t="inlineStr">
        <is>
          <t>No</t>
        </is>
      </c>
      <c r="AQ3267" t="inlineStr">
        <is>
          <t>No</t>
        </is>
      </c>
      <c r="AS3267">
        <f>HYPERLINK("https://creighton-primo.hosted.exlibrisgroup.com/primo-explore/search?tab=default_tab&amp;search_scope=EVERYTHING&amp;vid=01CRU&amp;lang=en_US&amp;offset=0&amp;query=any,contains,991004991119702656","Catalog Record")</f>
        <v/>
      </c>
      <c r="AT3267">
        <f>HYPERLINK("http://www.worldcat.org/oclc/52919964","WorldCat Record")</f>
        <v/>
      </c>
      <c r="AU3267" t="inlineStr">
        <is>
          <t>837154100:eng</t>
        </is>
      </c>
      <c r="AV3267" t="inlineStr">
        <is>
          <t>52919964</t>
        </is>
      </c>
      <c r="AW3267" t="inlineStr">
        <is>
          <t>991004991119702656</t>
        </is>
      </c>
      <c r="AX3267" t="inlineStr">
        <is>
          <t>991004991119702656</t>
        </is>
      </c>
      <c r="AY3267" t="inlineStr">
        <is>
          <t>2268316840002656</t>
        </is>
      </c>
      <c r="AZ3267" t="inlineStr">
        <is>
          <t>BOOK</t>
        </is>
      </c>
      <c r="BB3267" t="inlineStr">
        <is>
          <t>9780521540735</t>
        </is>
      </c>
      <c r="BC3267" t="inlineStr">
        <is>
          <t>32285005266084</t>
        </is>
      </c>
      <c r="BD3267" t="inlineStr">
        <is>
          <t>893350566</t>
        </is>
      </c>
    </row>
    <row r="3268">
      <c r="A3268" t="inlineStr">
        <is>
          <t>No</t>
        </is>
      </c>
      <c r="B3268" t="inlineStr">
        <is>
          <t>BX9423.H43 V38 1984</t>
        </is>
      </c>
      <c r="C3268" t="inlineStr">
        <is>
          <t>0                      BX 9423000H  43                 V  38          1984</t>
        </is>
      </c>
      <c r="D3268" t="inlineStr">
        <is>
          <t>Health and medicine in the reformed tradition : promise, providence, and care / Kenneth L. Vaux.</t>
        </is>
      </c>
      <c r="F3268" t="inlineStr">
        <is>
          <t>No</t>
        </is>
      </c>
      <c r="G3268" t="inlineStr">
        <is>
          <t>1</t>
        </is>
      </c>
      <c r="H3268" t="inlineStr">
        <is>
          <t>Yes</t>
        </is>
      </c>
      <c r="I3268" t="inlineStr">
        <is>
          <t>No</t>
        </is>
      </c>
      <c r="J3268" t="inlineStr">
        <is>
          <t>0</t>
        </is>
      </c>
      <c r="K3268" t="inlineStr">
        <is>
          <t>Vaux, Kenneth L., 1939-</t>
        </is>
      </c>
      <c r="L3268" t="inlineStr">
        <is>
          <t>New York : Crossroad, 1984.</t>
        </is>
      </c>
      <c r="M3268" t="inlineStr">
        <is>
          <t>1984</t>
        </is>
      </c>
      <c r="O3268" t="inlineStr">
        <is>
          <t>eng</t>
        </is>
      </c>
      <c r="P3268" t="inlineStr">
        <is>
          <t>nyu</t>
        </is>
      </c>
      <c r="Q3268" t="inlineStr">
        <is>
          <t>Health/medicine and the faith traditions</t>
        </is>
      </c>
      <c r="R3268" t="inlineStr">
        <is>
          <t xml:space="preserve">BX </t>
        </is>
      </c>
      <c r="S3268" t="n">
        <v>4</v>
      </c>
      <c r="T3268" t="n">
        <v>7</v>
      </c>
      <c r="U3268" t="inlineStr">
        <is>
          <t>2000-03-23</t>
        </is>
      </c>
      <c r="V3268" t="inlineStr">
        <is>
          <t>2000-03-23</t>
        </is>
      </c>
      <c r="W3268" t="inlineStr">
        <is>
          <t>1992-05-27</t>
        </is>
      </c>
      <c r="X3268" t="inlineStr">
        <is>
          <t>1992-05-27</t>
        </is>
      </c>
      <c r="Y3268" t="n">
        <v>483</v>
      </c>
      <c r="Z3268" t="n">
        <v>426</v>
      </c>
      <c r="AA3268" t="n">
        <v>438</v>
      </c>
      <c r="AB3268" t="n">
        <v>7</v>
      </c>
      <c r="AC3268" t="n">
        <v>7</v>
      </c>
      <c r="AD3268" t="n">
        <v>30</v>
      </c>
      <c r="AE3268" t="n">
        <v>30</v>
      </c>
      <c r="AF3268" t="n">
        <v>8</v>
      </c>
      <c r="AG3268" t="n">
        <v>8</v>
      </c>
      <c r="AH3268" t="n">
        <v>5</v>
      </c>
      <c r="AI3268" t="n">
        <v>5</v>
      </c>
      <c r="AJ3268" t="n">
        <v>15</v>
      </c>
      <c r="AK3268" t="n">
        <v>15</v>
      </c>
      <c r="AL3268" t="n">
        <v>5</v>
      </c>
      <c r="AM3268" t="n">
        <v>5</v>
      </c>
      <c r="AN3268" t="n">
        <v>2</v>
      </c>
      <c r="AO3268" t="n">
        <v>2</v>
      </c>
      <c r="AP3268" t="inlineStr">
        <is>
          <t>No</t>
        </is>
      </c>
      <c r="AQ3268" t="inlineStr">
        <is>
          <t>No</t>
        </is>
      </c>
      <c r="AS3268">
        <f>HYPERLINK("https://creighton-primo.hosted.exlibrisgroup.com/primo-explore/search?tab=default_tab&amp;search_scope=EVERYTHING&amp;vid=01CRU&amp;lang=en_US&amp;offset=0&amp;query=any,contains,991001764619702656","Catalog Record")</f>
        <v/>
      </c>
      <c r="AT3268">
        <f>HYPERLINK("http://www.worldcat.org/oclc/9896711","WorldCat Record")</f>
        <v/>
      </c>
      <c r="AU3268" t="inlineStr">
        <is>
          <t>20594350:eng</t>
        </is>
      </c>
      <c r="AV3268" t="inlineStr">
        <is>
          <t>9896711</t>
        </is>
      </c>
      <c r="AW3268" t="inlineStr">
        <is>
          <t>991001764619702656</t>
        </is>
      </c>
      <c r="AX3268" t="inlineStr">
        <is>
          <t>991001764619702656</t>
        </is>
      </c>
      <c r="AY3268" t="inlineStr">
        <is>
          <t>2264285380002656</t>
        </is>
      </c>
      <c r="AZ3268" t="inlineStr">
        <is>
          <t>BOOK</t>
        </is>
      </c>
      <c r="BB3268" t="inlineStr">
        <is>
          <t>9780824506124</t>
        </is>
      </c>
      <c r="BC3268" t="inlineStr">
        <is>
          <t>32285001141414</t>
        </is>
      </c>
      <c r="BD3268" t="inlineStr">
        <is>
          <t>893709517</t>
        </is>
      </c>
    </row>
    <row r="3269">
      <c r="A3269" t="inlineStr">
        <is>
          <t>No</t>
        </is>
      </c>
      <c r="B3269" t="inlineStr">
        <is>
          <t>BX9424.5.F8 A7</t>
        </is>
      </c>
      <c r="C3269" t="inlineStr">
        <is>
          <t>0                      BX 9424500F  8                  A  7</t>
        </is>
      </c>
      <c r="D3269" t="inlineStr">
        <is>
          <t>Calvinism and the Amyraut heresy : Protestant scholasticism and humanism in seventeenth-century France / [by] Brian G. Armstrong.</t>
        </is>
      </c>
      <c r="F3269" t="inlineStr">
        <is>
          <t>No</t>
        </is>
      </c>
      <c r="G3269" t="inlineStr">
        <is>
          <t>1</t>
        </is>
      </c>
      <c r="H3269" t="inlineStr">
        <is>
          <t>No</t>
        </is>
      </c>
      <c r="I3269" t="inlineStr">
        <is>
          <t>No</t>
        </is>
      </c>
      <c r="J3269" t="inlineStr">
        <is>
          <t>0</t>
        </is>
      </c>
      <c r="K3269" t="inlineStr">
        <is>
          <t>Armstrong, Brian G.</t>
        </is>
      </c>
      <c r="L3269" t="inlineStr">
        <is>
          <t>Madison : University of Wisconsin Press, 1969.</t>
        </is>
      </c>
      <c r="M3269" t="inlineStr">
        <is>
          <t>1969</t>
        </is>
      </c>
      <c r="O3269" t="inlineStr">
        <is>
          <t>eng</t>
        </is>
      </c>
      <c r="P3269" t="inlineStr">
        <is>
          <t>wiu</t>
        </is>
      </c>
      <c r="R3269" t="inlineStr">
        <is>
          <t xml:space="preserve">BX </t>
        </is>
      </c>
      <c r="S3269" t="n">
        <v>2</v>
      </c>
      <c r="T3269" t="n">
        <v>2</v>
      </c>
      <c r="U3269" t="inlineStr">
        <is>
          <t>1994-07-05</t>
        </is>
      </c>
      <c r="V3269" t="inlineStr">
        <is>
          <t>1994-07-05</t>
        </is>
      </c>
      <c r="W3269" t="inlineStr">
        <is>
          <t>1992-05-27</t>
        </is>
      </c>
      <c r="X3269" t="inlineStr">
        <is>
          <t>1992-05-27</t>
        </is>
      </c>
      <c r="Y3269" t="n">
        <v>738</v>
      </c>
      <c r="Z3269" t="n">
        <v>629</v>
      </c>
      <c r="AA3269" t="n">
        <v>643</v>
      </c>
      <c r="AB3269" t="n">
        <v>4</v>
      </c>
      <c r="AC3269" t="n">
        <v>4</v>
      </c>
      <c r="AD3269" t="n">
        <v>31</v>
      </c>
      <c r="AE3269" t="n">
        <v>31</v>
      </c>
      <c r="AF3269" t="n">
        <v>11</v>
      </c>
      <c r="AG3269" t="n">
        <v>11</v>
      </c>
      <c r="AH3269" t="n">
        <v>6</v>
      </c>
      <c r="AI3269" t="n">
        <v>6</v>
      </c>
      <c r="AJ3269" t="n">
        <v>19</v>
      </c>
      <c r="AK3269" t="n">
        <v>19</v>
      </c>
      <c r="AL3269" t="n">
        <v>3</v>
      </c>
      <c r="AM3269" t="n">
        <v>3</v>
      </c>
      <c r="AN3269" t="n">
        <v>0</v>
      </c>
      <c r="AO3269" t="n">
        <v>0</v>
      </c>
      <c r="AP3269" t="inlineStr">
        <is>
          <t>No</t>
        </is>
      </c>
      <c r="AQ3269" t="inlineStr">
        <is>
          <t>Yes</t>
        </is>
      </c>
      <c r="AR3269">
        <f>HYPERLINK("http://catalog.hathitrust.org/Record/001594566","HathiTrust Record")</f>
        <v/>
      </c>
      <c r="AS3269">
        <f>HYPERLINK("https://creighton-primo.hosted.exlibrisgroup.com/primo-explore/search?tab=default_tab&amp;search_scope=EVERYTHING&amp;vid=01CRU&amp;lang=en_US&amp;offset=0&amp;query=any,contains,991000067319702656","Catalog Record")</f>
        <v/>
      </c>
      <c r="AT3269">
        <f>HYPERLINK("http://www.worldcat.org/oclc/27312","WorldCat Record")</f>
        <v/>
      </c>
      <c r="AU3269" t="inlineStr">
        <is>
          <t>1167873:eng</t>
        </is>
      </c>
      <c r="AV3269" t="inlineStr">
        <is>
          <t>27312</t>
        </is>
      </c>
      <c r="AW3269" t="inlineStr">
        <is>
          <t>991000067319702656</t>
        </is>
      </c>
      <c r="AX3269" t="inlineStr">
        <is>
          <t>991000067319702656</t>
        </is>
      </c>
      <c r="AY3269" t="inlineStr">
        <is>
          <t>2262576510002656</t>
        </is>
      </c>
      <c r="AZ3269" t="inlineStr">
        <is>
          <t>BOOK</t>
        </is>
      </c>
      <c r="BB3269" t="inlineStr">
        <is>
          <t>9780299054908</t>
        </is>
      </c>
      <c r="BC3269" t="inlineStr">
        <is>
          <t>32285001141422</t>
        </is>
      </c>
      <c r="BD3269" t="inlineStr">
        <is>
          <t>893790208</t>
        </is>
      </c>
    </row>
    <row r="3270">
      <c r="A3270" t="inlineStr">
        <is>
          <t>No</t>
        </is>
      </c>
      <c r="B3270" t="inlineStr">
        <is>
          <t>BX9424.5.G7 K46</t>
        </is>
      </c>
      <c r="C3270" t="inlineStr">
        <is>
          <t>0                      BX 9424500G  7                  K  46</t>
        </is>
      </c>
      <c r="D3270" t="inlineStr">
        <is>
          <t>Calvin and English Calvinism to 1649 / R. T. Kendall.</t>
        </is>
      </c>
      <c r="F3270" t="inlineStr">
        <is>
          <t>No</t>
        </is>
      </c>
      <c r="G3270" t="inlineStr">
        <is>
          <t>1</t>
        </is>
      </c>
      <c r="H3270" t="inlineStr">
        <is>
          <t>No</t>
        </is>
      </c>
      <c r="I3270" t="inlineStr">
        <is>
          <t>No</t>
        </is>
      </c>
      <c r="J3270" t="inlineStr">
        <is>
          <t>0</t>
        </is>
      </c>
      <c r="K3270" t="inlineStr">
        <is>
          <t>Kendall, R. T.</t>
        </is>
      </c>
      <c r="L3270" t="inlineStr">
        <is>
          <t>Oxford [Eng.] : Oxford University Press, 1979.</t>
        </is>
      </c>
      <c r="M3270" t="inlineStr">
        <is>
          <t>1979</t>
        </is>
      </c>
      <c r="O3270" t="inlineStr">
        <is>
          <t>eng</t>
        </is>
      </c>
      <c r="P3270" t="inlineStr">
        <is>
          <t>enk</t>
        </is>
      </c>
      <c r="Q3270" t="inlineStr">
        <is>
          <t>Oxford theological monographs</t>
        </is>
      </c>
      <c r="R3270" t="inlineStr">
        <is>
          <t xml:space="preserve">BX </t>
        </is>
      </c>
      <c r="S3270" t="n">
        <v>3</v>
      </c>
      <c r="T3270" t="n">
        <v>3</v>
      </c>
      <c r="U3270" t="inlineStr">
        <is>
          <t>2003-04-10</t>
        </is>
      </c>
      <c r="V3270" t="inlineStr">
        <is>
          <t>2003-04-10</t>
        </is>
      </c>
      <c r="W3270" t="inlineStr">
        <is>
          <t>1992-05-27</t>
        </is>
      </c>
      <c r="X3270" t="inlineStr">
        <is>
          <t>1992-05-27</t>
        </is>
      </c>
      <c r="Y3270" t="n">
        <v>395</v>
      </c>
      <c r="Z3270" t="n">
        <v>263</v>
      </c>
      <c r="AA3270" t="n">
        <v>471</v>
      </c>
      <c r="AB3270" t="n">
        <v>1</v>
      </c>
      <c r="AC3270" t="n">
        <v>2</v>
      </c>
      <c r="AD3270" t="n">
        <v>7</v>
      </c>
      <c r="AE3270" t="n">
        <v>19</v>
      </c>
      <c r="AF3270" t="n">
        <v>2</v>
      </c>
      <c r="AG3270" t="n">
        <v>7</v>
      </c>
      <c r="AH3270" t="n">
        <v>3</v>
      </c>
      <c r="AI3270" t="n">
        <v>7</v>
      </c>
      <c r="AJ3270" t="n">
        <v>5</v>
      </c>
      <c r="AK3270" t="n">
        <v>9</v>
      </c>
      <c r="AL3270" t="n">
        <v>0</v>
      </c>
      <c r="AM3270" t="n">
        <v>1</v>
      </c>
      <c r="AN3270" t="n">
        <v>0</v>
      </c>
      <c r="AO3270" t="n">
        <v>0</v>
      </c>
      <c r="AP3270" t="inlineStr">
        <is>
          <t>No</t>
        </is>
      </c>
      <c r="AQ3270" t="inlineStr">
        <is>
          <t>Yes</t>
        </is>
      </c>
      <c r="AR3270">
        <f>HYPERLINK("http://catalog.hathitrust.org/Record/000683864","HathiTrust Record")</f>
        <v/>
      </c>
      <c r="AS3270">
        <f>HYPERLINK("https://creighton-primo.hosted.exlibrisgroup.com/primo-explore/search?tab=default_tab&amp;search_scope=EVERYTHING&amp;vid=01CRU&amp;lang=en_US&amp;offset=0&amp;query=any,contains,991005054429702656","Catalog Record")</f>
        <v/>
      </c>
      <c r="AT3270">
        <f>HYPERLINK("http://www.worldcat.org/oclc/6890200","WorldCat Record")</f>
        <v/>
      </c>
      <c r="AU3270" t="inlineStr">
        <is>
          <t>416191:eng</t>
        </is>
      </c>
      <c r="AV3270" t="inlineStr">
        <is>
          <t>6890200</t>
        </is>
      </c>
      <c r="AW3270" t="inlineStr">
        <is>
          <t>991005054429702656</t>
        </is>
      </c>
      <c r="AX3270" t="inlineStr">
        <is>
          <t>991005054429702656</t>
        </is>
      </c>
      <c r="AY3270" t="inlineStr">
        <is>
          <t>2263991400002656</t>
        </is>
      </c>
      <c r="AZ3270" t="inlineStr">
        <is>
          <t>BOOK</t>
        </is>
      </c>
      <c r="BB3270" t="inlineStr">
        <is>
          <t>9780198267164</t>
        </is>
      </c>
      <c r="BC3270" t="inlineStr">
        <is>
          <t>32285001141430</t>
        </is>
      </c>
      <c r="BD3270" t="inlineStr">
        <is>
          <t>893700957</t>
        </is>
      </c>
    </row>
    <row r="3271">
      <c r="A3271" t="inlineStr">
        <is>
          <t>No</t>
        </is>
      </c>
      <c r="B3271" t="inlineStr">
        <is>
          <t>BX9424.5.S35 M37 1980</t>
        </is>
      </c>
      <c r="C3271" t="inlineStr">
        <is>
          <t>0                      BX 9424500S  35                 M  37          1980</t>
        </is>
      </c>
      <c r="D3271" t="inlineStr">
        <is>
          <t>Presbyteries and profits : Calvinism and the development of capitalism in Scotland, 1560-1707 / Gordon Marshall.</t>
        </is>
      </c>
      <c r="F3271" t="inlineStr">
        <is>
          <t>No</t>
        </is>
      </c>
      <c r="G3271" t="inlineStr">
        <is>
          <t>1</t>
        </is>
      </c>
      <c r="H3271" t="inlineStr">
        <is>
          <t>No</t>
        </is>
      </c>
      <c r="I3271" t="inlineStr">
        <is>
          <t>No</t>
        </is>
      </c>
      <c r="J3271" t="inlineStr">
        <is>
          <t>0</t>
        </is>
      </c>
      <c r="K3271" t="inlineStr">
        <is>
          <t>Marshall, Gordon.</t>
        </is>
      </c>
      <c r="L3271" t="inlineStr">
        <is>
          <t>Oxford : Clarendon Press ; New York : Oxford University Press, 1980.</t>
        </is>
      </c>
      <c r="M3271" t="inlineStr">
        <is>
          <t>1980</t>
        </is>
      </c>
      <c r="O3271" t="inlineStr">
        <is>
          <t>eng</t>
        </is>
      </c>
      <c r="P3271" t="inlineStr">
        <is>
          <t>enk</t>
        </is>
      </c>
      <c r="R3271" t="inlineStr">
        <is>
          <t xml:space="preserve">BX </t>
        </is>
      </c>
      <c r="S3271" t="n">
        <v>1</v>
      </c>
      <c r="T3271" t="n">
        <v>1</v>
      </c>
      <c r="U3271" t="inlineStr">
        <is>
          <t>2003-04-10</t>
        </is>
      </c>
      <c r="V3271" t="inlineStr">
        <is>
          <t>2003-04-10</t>
        </is>
      </c>
      <c r="W3271" t="inlineStr">
        <is>
          <t>1990-04-23</t>
        </is>
      </c>
      <c r="X3271" t="inlineStr">
        <is>
          <t>1990-04-23</t>
        </is>
      </c>
      <c r="Y3271" t="n">
        <v>405</v>
      </c>
      <c r="Z3271" t="n">
        <v>253</v>
      </c>
      <c r="AA3271" t="n">
        <v>273</v>
      </c>
      <c r="AB3271" t="n">
        <v>3</v>
      </c>
      <c r="AC3271" t="n">
        <v>3</v>
      </c>
      <c r="AD3271" t="n">
        <v>12</v>
      </c>
      <c r="AE3271" t="n">
        <v>13</v>
      </c>
      <c r="AF3271" t="n">
        <v>2</v>
      </c>
      <c r="AG3271" t="n">
        <v>3</v>
      </c>
      <c r="AH3271" t="n">
        <v>4</v>
      </c>
      <c r="AI3271" t="n">
        <v>4</v>
      </c>
      <c r="AJ3271" t="n">
        <v>6</v>
      </c>
      <c r="AK3271" t="n">
        <v>7</v>
      </c>
      <c r="AL3271" t="n">
        <v>2</v>
      </c>
      <c r="AM3271" t="n">
        <v>2</v>
      </c>
      <c r="AN3271" t="n">
        <v>0</v>
      </c>
      <c r="AO3271" t="n">
        <v>0</v>
      </c>
      <c r="AP3271" t="inlineStr">
        <is>
          <t>No</t>
        </is>
      </c>
      <c r="AQ3271" t="inlineStr">
        <is>
          <t>Yes</t>
        </is>
      </c>
      <c r="AR3271">
        <f>HYPERLINK("http://catalog.hathitrust.org/Record/000739252","HathiTrust Record")</f>
        <v/>
      </c>
      <c r="AS3271">
        <f>HYPERLINK("https://creighton-primo.hosted.exlibrisgroup.com/primo-explore/search?tab=default_tab&amp;search_scope=EVERYTHING&amp;vid=01CRU&amp;lang=en_US&amp;offset=0&amp;query=any,contains,991004961569702656","Catalog Record")</f>
        <v/>
      </c>
      <c r="AT3271">
        <f>HYPERLINK("http://www.worldcat.org/oclc/6305273","WorldCat Record")</f>
        <v/>
      </c>
      <c r="AU3271" t="inlineStr">
        <is>
          <t>836726175:eng</t>
        </is>
      </c>
      <c r="AV3271" t="inlineStr">
        <is>
          <t>6305273</t>
        </is>
      </c>
      <c r="AW3271" t="inlineStr">
        <is>
          <t>991004961569702656</t>
        </is>
      </c>
      <c r="AX3271" t="inlineStr">
        <is>
          <t>991004961569702656</t>
        </is>
      </c>
      <c r="AY3271" t="inlineStr">
        <is>
          <t>2259148160002656</t>
        </is>
      </c>
      <c r="AZ3271" t="inlineStr">
        <is>
          <t>BOOK</t>
        </is>
      </c>
      <c r="BB3271" t="inlineStr">
        <is>
          <t>9780198272465</t>
        </is>
      </c>
      <c r="BC3271" t="inlineStr">
        <is>
          <t>32285000131093</t>
        </is>
      </c>
      <c r="BD3271" t="inlineStr">
        <is>
          <t>893688416</t>
        </is>
      </c>
    </row>
    <row r="3272">
      <c r="A3272" t="inlineStr">
        <is>
          <t>No</t>
        </is>
      </c>
      <c r="B3272" t="inlineStr">
        <is>
          <t>BX9424.5.U6 R44 1985</t>
        </is>
      </c>
      <c r="C3272" t="inlineStr">
        <is>
          <t>0                      BX 9424500U  6                  R  44          1985</t>
        </is>
      </c>
      <c r="D3272" t="inlineStr">
        <is>
          <t>Reformed theology in America : a history of its modern development / edited by David F. Wells.</t>
        </is>
      </c>
      <c r="F3272" t="inlineStr">
        <is>
          <t>No</t>
        </is>
      </c>
      <c r="G3272" t="inlineStr">
        <is>
          <t>1</t>
        </is>
      </c>
      <c r="H3272" t="inlineStr">
        <is>
          <t>No</t>
        </is>
      </c>
      <c r="I3272" t="inlineStr">
        <is>
          <t>No</t>
        </is>
      </c>
      <c r="J3272" t="inlineStr">
        <is>
          <t>0</t>
        </is>
      </c>
      <c r="L3272" t="inlineStr">
        <is>
          <t>Grand Rapids, Mich. : W.B. Eerdmans Pub. Co., c1985.</t>
        </is>
      </c>
      <c r="M3272" t="inlineStr">
        <is>
          <t>1985</t>
        </is>
      </c>
      <c r="O3272" t="inlineStr">
        <is>
          <t>eng</t>
        </is>
      </c>
      <c r="P3272" t="inlineStr">
        <is>
          <t>miu</t>
        </is>
      </c>
      <c r="R3272" t="inlineStr">
        <is>
          <t xml:space="preserve">BX </t>
        </is>
      </c>
      <c r="S3272" t="n">
        <v>6</v>
      </c>
      <c r="T3272" t="n">
        <v>6</v>
      </c>
      <c r="U3272" t="inlineStr">
        <is>
          <t>2005-04-10</t>
        </is>
      </c>
      <c r="V3272" t="inlineStr">
        <is>
          <t>2005-04-10</t>
        </is>
      </c>
      <c r="W3272" t="inlineStr">
        <is>
          <t>1992-05-27</t>
        </is>
      </c>
      <c r="X3272" t="inlineStr">
        <is>
          <t>1992-05-27</t>
        </is>
      </c>
      <c r="Y3272" t="n">
        <v>411</v>
      </c>
      <c r="Z3272" t="n">
        <v>343</v>
      </c>
      <c r="AA3272" t="n">
        <v>442</v>
      </c>
      <c r="AB3272" t="n">
        <v>3</v>
      </c>
      <c r="AC3272" t="n">
        <v>3</v>
      </c>
      <c r="AD3272" t="n">
        <v>18</v>
      </c>
      <c r="AE3272" t="n">
        <v>21</v>
      </c>
      <c r="AF3272" t="n">
        <v>6</v>
      </c>
      <c r="AG3272" t="n">
        <v>8</v>
      </c>
      <c r="AH3272" t="n">
        <v>3</v>
      </c>
      <c r="AI3272" t="n">
        <v>3</v>
      </c>
      <c r="AJ3272" t="n">
        <v>12</v>
      </c>
      <c r="AK3272" t="n">
        <v>14</v>
      </c>
      <c r="AL3272" t="n">
        <v>2</v>
      </c>
      <c r="AM3272" t="n">
        <v>2</v>
      </c>
      <c r="AN3272" t="n">
        <v>0</v>
      </c>
      <c r="AO3272" t="n">
        <v>0</v>
      </c>
      <c r="AP3272" t="inlineStr">
        <is>
          <t>No</t>
        </is>
      </c>
      <c r="AQ3272" t="inlineStr">
        <is>
          <t>No</t>
        </is>
      </c>
      <c r="AS3272">
        <f>HYPERLINK("https://creighton-primo.hosted.exlibrisgroup.com/primo-explore/search?tab=default_tab&amp;search_scope=EVERYTHING&amp;vid=01CRU&amp;lang=en_US&amp;offset=0&amp;query=any,contains,991000671389702656","Catalog Record")</f>
        <v/>
      </c>
      <c r="AT3272">
        <f>HYPERLINK("http://www.worldcat.org/oclc/12315425","WorldCat Record")</f>
        <v/>
      </c>
      <c r="AU3272" t="inlineStr">
        <is>
          <t>891399575:eng</t>
        </is>
      </c>
      <c r="AV3272" t="inlineStr">
        <is>
          <t>12315425</t>
        </is>
      </c>
      <c r="AW3272" t="inlineStr">
        <is>
          <t>991000671389702656</t>
        </is>
      </c>
      <c r="AX3272" t="inlineStr">
        <is>
          <t>991000671389702656</t>
        </is>
      </c>
      <c r="AY3272" t="inlineStr">
        <is>
          <t>2272674440002656</t>
        </is>
      </c>
      <c r="AZ3272" t="inlineStr">
        <is>
          <t>BOOK</t>
        </is>
      </c>
      <c r="BB3272" t="inlineStr">
        <is>
          <t>9780802800961</t>
        </is>
      </c>
      <c r="BC3272" t="inlineStr">
        <is>
          <t>32285001141448</t>
        </is>
      </c>
      <c r="BD3272" t="inlineStr">
        <is>
          <t>893683646</t>
        </is>
      </c>
    </row>
    <row r="3273">
      <c r="A3273" t="inlineStr">
        <is>
          <t>No</t>
        </is>
      </c>
      <c r="B3273" t="inlineStr">
        <is>
          <t>BX9427.5.B36 O43 1992</t>
        </is>
      </c>
      <c r="C3273" t="inlineStr">
        <is>
          <t>0                      BX 9427500B  36                 O  43          1992</t>
        </is>
      </c>
      <c r="D3273" t="inlineStr">
        <is>
          <t>The shaping of the Reformed baptismal rite in the sixteenth century / Hughes Oliphant Old.</t>
        </is>
      </c>
      <c r="F3273" t="inlineStr">
        <is>
          <t>No</t>
        </is>
      </c>
      <c r="G3273" t="inlineStr">
        <is>
          <t>1</t>
        </is>
      </c>
      <c r="H3273" t="inlineStr">
        <is>
          <t>No</t>
        </is>
      </c>
      <c r="I3273" t="inlineStr">
        <is>
          <t>No</t>
        </is>
      </c>
      <c r="J3273" t="inlineStr">
        <is>
          <t>0</t>
        </is>
      </c>
      <c r="K3273" t="inlineStr">
        <is>
          <t>Old, Hughes Oliphant.</t>
        </is>
      </c>
      <c r="L3273" t="inlineStr">
        <is>
          <t>Grand Rapids, Mich. : Eerdmans, c1992.</t>
        </is>
      </c>
      <c r="M3273" t="inlineStr">
        <is>
          <t>1992</t>
        </is>
      </c>
      <c r="O3273" t="inlineStr">
        <is>
          <t>eng</t>
        </is>
      </c>
      <c r="P3273" t="inlineStr">
        <is>
          <t>miu</t>
        </is>
      </c>
      <c r="R3273" t="inlineStr">
        <is>
          <t xml:space="preserve">BX </t>
        </is>
      </c>
      <c r="S3273" t="n">
        <v>1</v>
      </c>
      <c r="T3273" t="n">
        <v>1</v>
      </c>
      <c r="U3273" t="inlineStr">
        <is>
          <t>2005-04-10</t>
        </is>
      </c>
      <c r="V3273" t="inlineStr">
        <is>
          <t>2005-04-10</t>
        </is>
      </c>
      <c r="W3273" t="inlineStr">
        <is>
          <t>1993-08-12</t>
        </is>
      </c>
      <c r="X3273" t="inlineStr">
        <is>
          <t>1993-08-12</t>
        </is>
      </c>
      <c r="Y3273" t="n">
        <v>261</v>
      </c>
      <c r="Z3273" t="n">
        <v>199</v>
      </c>
      <c r="AA3273" t="n">
        <v>201</v>
      </c>
      <c r="AB3273" t="n">
        <v>2</v>
      </c>
      <c r="AC3273" t="n">
        <v>2</v>
      </c>
      <c r="AD3273" t="n">
        <v>14</v>
      </c>
      <c r="AE3273" t="n">
        <v>14</v>
      </c>
      <c r="AF3273" t="n">
        <v>6</v>
      </c>
      <c r="AG3273" t="n">
        <v>6</v>
      </c>
      <c r="AH3273" t="n">
        <v>2</v>
      </c>
      <c r="AI3273" t="n">
        <v>2</v>
      </c>
      <c r="AJ3273" t="n">
        <v>8</v>
      </c>
      <c r="AK3273" t="n">
        <v>8</v>
      </c>
      <c r="AL3273" t="n">
        <v>1</v>
      </c>
      <c r="AM3273" t="n">
        <v>1</v>
      </c>
      <c r="AN3273" t="n">
        <v>0</v>
      </c>
      <c r="AO3273" t="n">
        <v>0</v>
      </c>
      <c r="AP3273" t="inlineStr">
        <is>
          <t>No</t>
        </is>
      </c>
      <c r="AQ3273" t="inlineStr">
        <is>
          <t>Yes</t>
        </is>
      </c>
      <c r="AR3273">
        <f>HYPERLINK("http://catalog.hathitrust.org/Record/002548525","HathiTrust Record")</f>
        <v/>
      </c>
      <c r="AS3273">
        <f>HYPERLINK("https://creighton-primo.hosted.exlibrisgroup.com/primo-explore/search?tab=default_tab&amp;search_scope=EVERYTHING&amp;vid=01CRU&amp;lang=en_US&amp;offset=0&amp;query=any,contains,991001987739702656","Catalog Record")</f>
        <v/>
      </c>
      <c r="AT3273">
        <f>HYPERLINK("http://www.worldcat.org/oclc/25246706","WorldCat Record")</f>
        <v/>
      </c>
      <c r="AU3273" t="inlineStr">
        <is>
          <t>20665132:eng</t>
        </is>
      </c>
      <c r="AV3273" t="inlineStr">
        <is>
          <t>25246706</t>
        </is>
      </c>
      <c r="AW3273" t="inlineStr">
        <is>
          <t>991001987739702656</t>
        </is>
      </c>
      <c r="AX3273" t="inlineStr">
        <is>
          <t>991001987739702656</t>
        </is>
      </c>
      <c r="AY3273" t="inlineStr">
        <is>
          <t>2256212590002656</t>
        </is>
      </c>
      <c r="AZ3273" t="inlineStr">
        <is>
          <t>BOOK</t>
        </is>
      </c>
      <c r="BB3273" t="inlineStr">
        <is>
          <t>9780802836991</t>
        </is>
      </c>
      <c r="BC3273" t="inlineStr">
        <is>
          <t>32285001726073</t>
        </is>
      </c>
      <c r="BD3273" t="inlineStr">
        <is>
          <t>893250688</t>
        </is>
      </c>
    </row>
    <row r="3274">
      <c r="A3274" t="inlineStr">
        <is>
          <t>No</t>
        </is>
      </c>
      <c r="B3274" t="inlineStr">
        <is>
          <t>BX945 .M3 1957</t>
        </is>
      </c>
      <c r="C3274" t="inlineStr">
        <is>
          <t>0                      BX 0945000M  3           1957</t>
        </is>
      </c>
      <c r="D3274" t="inlineStr">
        <is>
          <t>An outline history of the church by centuries (from St. Peter to Pius XII) / by Joseph McSorley, with a foreward by the Most Reverend John B. Peterson.</t>
        </is>
      </c>
      <c r="F3274" t="inlineStr">
        <is>
          <t>No</t>
        </is>
      </c>
      <c r="G3274" t="inlineStr">
        <is>
          <t>1</t>
        </is>
      </c>
      <c r="H3274" t="inlineStr">
        <is>
          <t>No</t>
        </is>
      </c>
      <c r="I3274" t="inlineStr">
        <is>
          <t>No</t>
        </is>
      </c>
      <c r="J3274" t="inlineStr">
        <is>
          <t>0</t>
        </is>
      </c>
      <c r="K3274" t="inlineStr">
        <is>
          <t>McSorley, Joseph, 1874-1963.</t>
        </is>
      </c>
      <c r="L3274" t="inlineStr">
        <is>
          <t>St. Louis, Mo. : H. Herder, 1957.</t>
        </is>
      </c>
      <c r="M3274" t="inlineStr">
        <is>
          <t>1957</t>
        </is>
      </c>
      <c r="N3274" t="inlineStr">
        <is>
          <t>10th rev. ed.</t>
        </is>
      </c>
      <c r="O3274" t="inlineStr">
        <is>
          <t>eng</t>
        </is>
      </c>
      <c r="P3274" t="inlineStr">
        <is>
          <t>mou</t>
        </is>
      </c>
      <c r="R3274" t="inlineStr">
        <is>
          <t xml:space="preserve">BX </t>
        </is>
      </c>
      <c r="S3274" t="n">
        <v>2</v>
      </c>
      <c r="T3274" t="n">
        <v>2</v>
      </c>
      <c r="U3274" t="inlineStr">
        <is>
          <t>2004-02-12</t>
        </is>
      </c>
      <c r="V3274" t="inlineStr">
        <is>
          <t>2004-02-12</t>
        </is>
      </c>
      <c r="W3274" t="inlineStr">
        <is>
          <t>1992-05-27</t>
        </is>
      </c>
      <c r="X3274" t="inlineStr">
        <is>
          <t>1992-05-27</t>
        </is>
      </c>
      <c r="Y3274" t="n">
        <v>55</v>
      </c>
      <c r="Z3274" t="n">
        <v>54</v>
      </c>
      <c r="AA3274" t="n">
        <v>431</v>
      </c>
      <c r="AB3274" t="n">
        <v>2</v>
      </c>
      <c r="AC3274" t="n">
        <v>3</v>
      </c>
      <c r="AD3274" t="n">
        <v>9</v>
      </c>
      <c r="AE3274" t="n">
        <v>38</v>
      </c>
      <c r="AF3274" t="n">
        <v>3</v>
      </c>
      <c r="AG3274" t="n">
        <v>16</v>
      </c>
      <c r="AH3274" t="n">
        <v>1</v>
      </c>
      <c r="AI3274" t="n">
        <v>8</v>
      </c>
      <c r="AJ3274" t="n">
        <v>7</v>
      </c>
      <c r="AK3274" t="n">
        <v>27</v>
      </c>
      <c r="AL3274" t="n">
        <v>0</v>
      </c>
      <c r="AM3274" t="n">
        <v>0</v>
      </c>
      <c r="AN3274" t="n">
        <v>0</v>
      </c>
      <c r="AO3274" t="n">
        <v>0</v>
      </c>
      <c r="AP3274" t="inlineStr">
        <is>
          <t>No</t>
        </is>
      </c>
      <c r="AQ3274" t="inlineStr">
        <is>
          <t>No</t>
        </is>
      </c>
      <c r="AS3274">
        <f>HYPERLINK("https://creighton-primo.hosted.exlibrisgroup.com/primo-explore/search?tab=default_tab&amp;search_scope=EVERYTHING&amp;vid=01CRU&amp;lang=en_US&amp;offset=0&amp;query=any,contains,991005000989702656","Catalog Record")</f>
        <v/>
      </c>
      <c r="AT3274">
        <f>HYPERLINK("http://www.worldcat.org/oclc/6544843","WorldCat Record")</f>
        <v/>
      </c>
      <c r="AU3274" t="inlineStr">
        <is>
          <t>1882013:eng</t>
        </is>
      </c>
      <c r="AV3274" t="inlineStr">
        <is>
          <t>6544843</t>
        </is>
      </c>
      <c r="AW3274" t="inlineStr">
        <is>
          <t>991005000989702656</t>
        </is>
      </c>
      <c r="AX3274" t="inlineStr">
        <is>
          <t>991005000989702656</t>
        </is>
      </c>
      <c r="AY3274" t="inlineStr">
        <is>
          <t>2256116950002656</t>
        </is>
      </c>
      <c r="AZ3274" t="inlineStr">
        <is>
          <t>BOOK</t>
        </is>
      </c>
      <c r="BC3274" t="inlineStr">
        <is>
          <t>32285001225019</t>
        </is>
      </c>
      <c r="BD3274" t="inlineStr">
        <is>
          <t>893236148</t>
        </is>
      </c>
    </row>
    <row r="3275">
      <c r="A3275" t="inlineStr">
        <is>
          <t>No</t>
        </is>
      </c>
      <c r="B3275" t="inlineStr">
        <is>
          <t>BX945 .R6 1850</t>
        </is>
      </c>
      <c r="C3275" t="inlineStr">
        <is>
          <t>0                      BX 0945000R  6           1850</t>
        </is>
      </c>
      <c r="D3275" t="inlineStr">
        <is>
          <t>Histoire universelle de l'église catholique / par l'abbé Rohrbacher.</t>
        </is>
      </c>
      <c r="E3275" t="inlineStr">
        <is>
          <t>V.16</t>
        </is>
      </c>
      <c r="F3275" t="inlineStr">
        <is>
          <t>Yes</t>
        </is>
      </c>
      <c r="G3275" t="inlineStr">
        <is>
          <t>1</t>
        </is>
      </c>
      <c r="H3275" t="inlineStr">
        <is>
          <t>No</t>
        </is>
      </c>
      <c r="I3275" t="inlineStr">
        <is>
          <t>No</t>
        </is>
      </c>
      <c r="J3275" t="inlineStr">
        <is>
          <t>0</t>
        </is>
      </c>
      <c r="K3275" t="inlineStr">
        <is>
          <t>Rohrbacher, René François, 1789-1856.</t>
        </is>
      </c>
      <c r="L3275" t="inlineStr">
        <is>
          <t>Paris : Gaume frères, 1850-1853.</t>
        </is>
      </c>
      <c r="M3275" t="inlineStr">
        <is>
          <t>1850</t>
        </is>
      </c>
      <c r="N3275" t="inlineStr">
        <is>
          <t>2. éd. revue et corr.</t>
        </is>
      </c>
      <c r="O3275" t="inlineStr">
        <is>
          <t>fre</t>
        </is>
      </c>
      <c r="P3275" t="inlineStr">
        <is>
          <t xml:space="preserve">fr </t>
        </is>
      </c>
      <c r="R3275" t="inlineStr">
        <is>
          <t xml:space="preserve">BX </t>
        </is>
      </c>
      <c r="S3275" t="n">
        <v>0</v>
      </c>
      <c r="T3275" t="n">
        <v>4</v>
      </c>
      <c r="V3275" t="inlineStr">
        <is>
          <t>2005-08-17</t>
        </is>
      </c>
      <c r="W3275" t="inlineStr">
        <is>
          <t>1992-05-27</t>
        </is>
      </c>
      <c r="X3275" t="inlineStr">
        <is>
          <t>1992-05-27</t>
        </is>
      </c>
      <c r="Y3275" t="n">
        <v>38</v>
      </c>
      <c r="Z3275" t="n">
        <v>27</v>
      </c>
      <c r="AA3275" t="n">
        <v>114</v>
      </c>
      <c r="AB3275" t="n">
        <v>1</v>
      </c>
      <c r="AC3275" t="n">
        <v>2</v>
      </c>
      <c r="AD3275" t="n">
        <v>4</v>
      </c>
      <c r="AE3275" t="n">
        <v>18</v>
      </c>
      <c r="AF3275" t="n">
        <v>1</v>
      </c>
      <c r="AG3275" t="n">
        <v>4</v>
      </c>
      <c r="AH3275" t="n">
        <v>1</v>
      </c>
      <c r="AI3275" t="n">
        <v>5</v>
      </c>
      <c r="AJ3275" t="n">
        <v>3</v>
      </c>
      <c r="AK3275" t="n">
        <v>11</v>
      </c>
      <c r="AL3275" t="n">
        <v>0</v>
      </c>
      <c r="AM3275" t="n">
        <v>1</v>
      </c>
      <c r="AN3275" t="n">
        <v>0</v>
      </c>
      <c r="AO3275" t="n">
        <v>0</v>
      </c>
      <c r="AP3275" t="inlineStr">
        <is>
          <t>No</t>
        </is>
      </c>
      <c r="AQ3275" t="inlineStr">
        <is>
          <t>No</t>
        </is>
      </c>
      <c r="AS3275">
        <f>HYPERLINK("https://creighton-primo.hosted.exlibrisgroup.com/primo-explore/search?tab=default_tab&amp;search_scope=EVERYTHING&amp;vid=01CRU&amp;lang=en_US&amp;offset=0&amp;query=any,contains,991004759799702656","Catalog Record")</f>
        <v/>
      </c>
      <c r="AT3275">
        <f>HYPERLINK("http://www.worldcat.org/oclc/4989976","WorldCat Record")</f>
        <v/>
      </c>
      <c r="AU3275" t="inlineStr">
        <is>
          <t>1338096:fre</t>
        </is>
      </c>
      <c r="AV3275" t="inlineStr">
        <is>
          <t>4989976</t>
        </is>
      </c>
      <c r="AW3275" t="inlineStr">
        <is>
          <t>991004759799702656</t>
        </is>
      </c>
      <c r="AX3275" t="inlineStr">
        <is>
          <t>991004759799702656</t>
        </is>
      </c>
      <c r="AY3275" t="inlineStr">
        <is>
          <t>2269283550002656</t>
        </is>
      </c>
      <c r="AZ3275" t="inlineStr">
        <is>
          <t>BOOK</t>
        </is>
      </c>
      <c r="BC3275" t="inlineStr">
        <is>
          <t>32285001225316</t>
        </is>
      </c>
      <c r="BD3275" t="inlineStr">
        <is>
          <t>893722586</t>
        </is>
      </c>
    </row>
    <row r="3276">
      <c r="A3276" t="inlineStr">
        <is>
          <t>No</t>
        </is>
      </c>
      <c r="B3276" t="inlineStr">
        <is>
          <t>BX945 .R6 1850</t>
        </is>
      </c>
      <c r="C3276" t="inlineStr">
        <is>
          <t>0                      BX 0945000R  6           1850</t>
        </is>
      </c>
      <c r="D3276" t="inlineStr">
        <is>
          <t>Histoire universelle de l'église catholique / par l'abbé Rohrbacher.</t>
        </is>
      </c>
      <c r="E3276" t="inlineStr">
        <is>
          <t>V.23</t>
        </is>
      </c>
      <c r="F3276" t="inlineStr">
        <is>
          <t>Yes</t>
        </is>
      </c>
      <c r="G3276" t="inlineStr">
        <is>
          <t>1</t>
        </is>
      </c>
      <c r="H3276" t="inlineStr">
        <is>
          <t>No</t>
        </is>
      </c>
      <c r="I3276" t="inlineStr">
        <is>
          <t>No</t>
        </is>
      </c>
      <c r="J3276" t="inlineStr">
        <is>
          <t>0</t>
        </is>
      </c>
      <c r="K3276" t="inlineStr">
        <is>
          <t>Rohrbacher, René François, 1789-1856.</t>
        </is>
      </c>
      <c r="L3276" t="inlineStr">
        <is>
          <t>Paris : Gaume frères, 1850-1853.</t>
        </is>
      </c>
      <c r="M3276" t="inlineStr">
        <is>
          <t>1850</t>
        </is>
      </c>
      <c r="N3276" t="inlineStr">
        <is>
          <t>2. éd. revue et corr.</t>
        </is>
      </c>
      <c r="O3276" t="inlineStr">
        <is>
          <t>fre</t>
        </is>
      </c>
      <c r="P3276" t="inlineStr">
        <is>
          <t xml:space="preserve">fr </t>
        </is>
      </c>
      <c r="R3276" t="inlineStr">
        <is>
          <t xml:space="preserve">BX </t>
        </is>
      </c>
      <c r="S3276" t="n">
        <v>0</v>
      </c>
      <c r="T3276" t="n">
        <v>4</v>
      </c>
      <c r="V3276" t="inlineStr">
        <is>
          <t>2005-08-17</t>
        </is>
      </c>
      <c r="W3276" t="inlineStr">
        <is>
          <t>1992-05-27</t>
        </is>
      </c>
      <c r="X3276" t="inlineStr">
        <is>
          <t>1992-05-27</t>
        </is>
      </c>
      <c r="Y3276" t="n">
        <v>38</v>
      </c>
      <c r="Z3276" t="n">
        <v>27</v>
      </c>
      <c r="AA3276" t="n">
        <v>114</v>
      </c>
      <c r="AB3276" t="n">
        <v>1</v>
      </c>
      <c r="AC3276" t="n">
        <v>2</v>
      </c>
      <c r="AD3276" t="n">
        <v>4</v>
      </c>
      <c r="AE3276" t="n">
        <v>18</v>
      </c>
      <c r="AF3276" t="n">
        <v>1</v>
      </c>
      <c r="AG3276" t="n">
        <v>4</v>
      </c>
      <c r="AH3276" t="n">
        <v>1</v>
      </c>
      <c r="AI3276" t="n">
        <v>5</v>
      </c>
      <c r="AJ3276" t="n">
        <v>3</v>
      </c>
      <c r="AK3276" t="n">
        <v>11</v>
      </c>
      <c r="AL3276" t="n">
        <v>0</v>
      </c>
      <c r="AM3276" t="n">
        <v>1</v>
      </c>
      <c r="AN3276" t="n">
        <v>0</v>
      </c>
      <c r="AO3276" t="n">
        <v>0</v>
      </c>
      <c r="AP3276" t="inlineStr">
        <is>
          <t>No</t>
        </is>
      </c>
      <c r="AQ3276" t="inlineStr">
        <is>
          <t>No</t>
        </is>
      </c>
      <c r="AS3276">
        <f>HYPERLINK("https://creighton-primo.hosted.exlibrisgroup.com/primo-explore/search?tab=default_tab&amp;search_scope=EVERYTHING&amp;vid=01CRU&amp;lang=en_US&amp;offset=0&amp;query=any,contains,991004759799702656","Catalog Record")</f>
        <v/>
      </c>
      <c r="AT3276">
        <f>HYPERLINK("http://www.worldcat.org/oclc/4989976","WorldCat Record")</f>
        <v/>
      </c>
      <c r="AU3276" t="inlineStr">
        <is>
          <t>1338096:fre</t>
        </is>
      </c>
      <c r="AV3276" t="inlineStr">
        <is>
          <t>4989976</t>
        </is>
      </c>
      <c r="AW3276" t="inlineStr">
        <is>
          <t>991004759799702656</t>
        </is>
      </c>
      <c r="AX3276" t="inlineStr">
        <is>
          <t>991004759799702656</t>
        </is>
      </c>
      <c r="AY3276" t="inlineStr">
        <is>
          <t>2269283550002656</t>
        </is>
      </c>
      <c r="AZ3276" t="inlineStr">
        <is>
          <t>BOOK</t>
        </is>
      </c>
      <c r="BC3276" t="inlineStr">
        <is>
          <t>32285001225381</t>
        </is>
      </c>
      <c r="BD3276" t="inlineStr">
        <is>
          <t>893694314</t>
        </is>
      </c>
    </row>
    <row r="3277">
      <c r="A3277" t="inlineStr">
        <is>
          <t>No</t>
        </is>
      </c>
      <c r="B3277" t="inlineStr">
        <is>
          <t>BX945 .R6 1850</t>
        </is>
      </c>
      <c r="C3277" t="inlineStr">
        <is>
          <t>0                      BX 0945000R  6           1850</t>
        </is>
      </c>
      <c r="D3277" t="inlineStr">
        <is>
          <t>Histoire universelle de l'église catholique / par l'abbé Rohrbacher.</t>
        </is>
      </c>
      <c r="E3277" t="inlineStr">
        <is>
          <t>V.10</t>
        </is>
      </c>
      <c r="F3277" t="inlineStr">
        <is>
          <t>Yes</t>
        </is>
      </c>
      <c r="G3277" t="inlineStr">
        <is>
          <t>1</t>
        </is>
      </c>
      <c r="H3277" t="inlineStr">
        <is>
          <t>No</t>
        </is>
      </c>
      <c r="I3277" t="inlineStr">
        <is>
          <t>No</t>
        </is>
      </c>
      <c r="J3277" t="inlineStr">
        <is>
          <t>0</t>
        </is>
      </c>
      <c r="K3277" t="inlineStr">
        <is>
          <t>Rohrbacher, René François, 1789-1856.</t>
        </is>
      </c>
      <c r="L3277" t="inlineStr">
        <is>
          <t>Paris : Gaume frères, 1850-1853.</t>
        </is>
      </c>
      <c r="M3277" t="inlineStr">
        <is>
          <t>1850</t>
        </is>
      </c>
      <c r="N3277" t="inlineStr">
        <is>
          <t>2. éd. revue et corr.</t>
        </is>
      </c>
      <c r="O3277" t="inlineStr">
        <is>
          <t>fre</t>
        </is>
      </c>
      <c r="P3277" t="inlineStr">
        <is>
          <t xml:space="preserve">fr </t>
        </is>
      </c>
      <c r="R3277" t="inlineStr">
        <is>
          <t xml:space="preserve">BX </t>
        </is>
      </c>
      <c r="S3277" t="n">
        <v>0</v>
      </c>
      <c r="T3277" t="n">
        <v>4</v>
      </c>
      <c r="V3277" t="inlineStr">
        <is>
          <t>2005-08-17</t>
        </is>
      </c>
      <c r="W3277" t="inlineStr">
        <is>
          <t>1992-05-27</t>
        </is>
      </c>
      <c r="X3277" t="inlineStr">
        <is>
          <t>1992-05-27</t>
        </is>
      </c>
      <c r="Y3277" t="n">
        <v>38</v>
      </c>
      <c r="Z3277" t="n">
        <v>27</v>
      </c>
      <c r="AA3277" t="n">
        <v>114</v>
      </c>
      <c r="AB3277" t="n">
        <v>1</v>
      </c>
      <c r="AC3277" t="n">
        <v>2</v>
      </c>
      <c r="AD3277" t="n">
        <v>4</v>
      </c>
      <c r="AE3277" t="n">
        <v>18</v>
      </c>
      <c r="AF3277" t="n">
        <v>1</v>
      </c>
      <c r="AG3277" t="n">
        <v>4</v>
      </c>
      <c r="AH3277" t="n">
        <v>1</v>
      </c>
      <c r="AI3277" t="n">
        <v>5</v>
      </c>
      <c r="AJ3277" t="n">
        <v>3</v>
      </c>
      <c r="AK3277" t="n">
        <v>11</v>
      </c>
      <c r="AL3277" t="n">
        <v>0</v>
      </c>
      <c r="AM3277" t="n">
        <v>1</v>
      </c>
      <c r="AN3277" t="n">
        <v>0</v>
      </c>
      <c r="AO3277" t="n">
        <v>0</v>
      </c>
      <c r="AP3277" t="inlineStr">
        <is>
          <t>No</t>
        </is>
      </c>
      <c r="AQ3277" t="inlineStr">
        <is>
          <t>No</t>
        </is>
      </c>
      <c r="AS3277">
        <f>HYPERLINK("https://creighton-primo.hosted.exlibrisgroup.com/primo-explore/search?tab=default_tab&amp;search_scope=EVERYTHING&amp;vid=01CRU&amp;lang=en_US&amp;offset=0&amp;query=any,contains,991004759799702656","Catalog Record")</f>
        <v/>
      </c>
      <c r="AT3277">
        <f>HYPERLINK("http://www.worldcat.org/oclc/4989976","WorldCat Record")</f>
        <v/>
      </c>
      <c r="AU3277" t="inlineStr">
        <is>
          <t>1338096:fre</t>
        </is>
      </c>
      <c r="AV3277" t="inlineStr">
        <is>
          <t>4989976</t>
        </is>
      </c>
      <c r="AW3277" t="inlineStr">
        <is>
          <t>991004759799702656</t>
        </is>
      </c>
      <c r="AX3277" t="inlineStr">
        <is>
          <t>991004759799702656</t>
        </is>
      </c>
      <c r="AY3277" t="inlineStr">
        <is>
          <t>2269283550002656</t>
        </is>
      </c>
      <c r="AZ3277" t="inlineStr">
        <is>
          <t>BOOK</t>
        </is>
      </c>
      <c r="BC3277" t="inlineStr">
        <is>
          <t>32285001225258</t>
        </is>
      </c>
      <c r="BD3277" t="inlineStr">
        <is>
          <t>893722593</t>
        </is>
      </c>
    </row>
    <row r="3278">
      <c r="A3278" t="inlineStr">
        <is>
          <t>No</t>
        </is>
      </c>
      <c r="B3278" t="inlineStr">
        <is>
          <t>BX945 .R6 1850</t>
        </is>
      </c>
      <c r="C3278" t="inlineStr">
        <is>
          <t>0                      BX 0945000R  6           1850</t>
        </is>
      </c>
      <c r="D3278" t="inlineStr">
        <is>
          <t>Histoire universelle de l'église catholique / par l'abbé Rohrbacher.</t>
        </is>
      </c>
      <c r="E3278" t="inlineStr">
        <is>
          <t>V.15</t>
        </is>
      </c>
      <c r="F3278" t="inlineStr">
        <is>
          <t>Yes</t>
        </is>
      </c>
      <c r="G3278" t="inlineStr">
        <is>
          <t>1</t>
        </is>
      </c>
      <c r="H3278" t="inlineStr">
        <is>
          <t>No</t>
        </is>
      </c>
      <c r="I3278" t="inlineStr">
        <is>
          <t>No</t>
        </is>
      </c>
      <c r="J3278" t="inlineStr">
        <is>
          <t>0</t>
        </is>
      </c>
      <c r="K3278" t="inlineStr">
        <is>
          <t>Rohrbacher, René François, 1789-1856.</t>
        </is>
      </c>
      <c r="L3278" t="inlineStr">
        <is>
          <t>Paris : Gaume frères, 1850-1853.</t>
        </is>
      </c>
      <c r="M3278" t="inlineStr">
        <is>
          <t>1850</t>
        </is>
      </c>
      <c r="N3278" t="inlineStr">
        <is>
          <t>2. éd. revue et corr.</t>
        </is>
      </c>
      <c r="O3278" t="inlineStr">
        <is>
          <t>fre</t>
        </is>
      </c>
      <c r="P3278" t="inlineStr">
        <is>
          <t xml:space="preserve">fr </t>
        </is>
      </c>
      <c r="R3278" t="inlineStr">
        <is>
          <t xml:space="preserve">BX </t>
        </is>
      </c>
      <c r="S3278" t="n">
        <v>0</v>
      </c>
      <c r="T3278" t="n">
        <v>4</v>
      </c>
      <c r="V3278" t="inlineStr">
        <is>
          <t>2005-08-17</t>
        </is>
      </c>
      <c r="W3278" t="inlineStr">
        <is>
          <t>1992-05-27</t>
        </is>
      </c>
      <c r="X3278" t="inlineStr">
        <is>
          <t>1992-05-27</t>
        </is>
      </c>
      <c r="Y3278" t="n">
        <v>38</v>
      </c>
      <c r="Z3278" t="n">
        <v>27</v>
      </c>
      <c r="AA3278" t="n">
        <v>114</v>
      </c>
      <c r="AB3278" t="n">
        <v>1</v>
      </c>
      <c r="AC3278" t="n">
        <v>2</v>
      </c>
      <c r="AD3278" t="n">
        <v>4</v>
      </c>
      <c r="AE3278" t="n">
        <v>18</v>
      </c>
      <c r="AF3278" t="n">
        <v>1</v>
      </c>
      <c r="AG3278" t="n">
        <v>4</v>
      </c>
      <c r="AH3278" t="n">
        <v>1</v>
      </c>
      <c r="AI3278" t="n">
        <v>5</v>
      </c>
      <c r="AJ3278" t="n">
        <v>3</v>
      </c>
      <c r="AK3278" t="n">
        <v>11</v>
      </c>
      <c r="AL3278" t="n">
        <v>0</v>
      </c>
      <c r="AM3278" t="n">
        <v>1</v>
      </c>
      <c r="AN3278" t="n">
        <v>0</v>
      </c>
      <c r="AO3278" t="n">
        <v>0</v>
      </c>
      <c r="AP3278" t="inlineStr">
        <is>
          <t>No</t>
        </is>
      </c>
      <c r="AQ3278" t="inlineStr">
        <is>
          <t>No</t>
        </is>
      </c>
      <c r="AS3278">
        <f>HYPERLINK("https://creighton-primo.hosted.exlibrisgroup.com/primo-explore/search?tab=default_tab&amp;search_scope=EVERYTHING&amp;vid=01CRU&amp;lang=en_US&amp;offset=0&amp;query=any,contains,991004759799702656","Catalog Record")</f>
        <v/>
      </c>
      <c r="AT3278">
        <f>HYPERLINK("http://www.worldcat.org/oclc/4989976","WorldCat Record")</f>
        <v/>
      </c>
      <c r="AU3278" t="inlineStr">
        <is>
          <t>1338096:fre</t>
        </is>
      </c>
      <c r="AV3278" t="inlineStr">
        <is>
          <t>4989976</t>
        </is>
      </c>
      <c r="AW3278" t="inlineStr">
        <is>
          <t>991004759799702656</t>
        </is>
      </c>
      <c r="AX3278" t="inlineStr">
        <is>
          <t>991004759799702656</t>
        </is>
      </c>
      <c r="AY3278" t="inlineStr">
        <is>
          <t>2269283550002656</t>
        </is>
      </c>
      <c r="AZ3278" t="inlineStr">
        <is>
          <t>BOOK</t>
        </is>
      </c>
      <c r="BC3278" t="inlineStr">
        <is>
          <t>32285001225308</t>
        </is>
      </c>
      <c r="BD3278" t="inlineStr">
        <is>
          <t>893719347</t>
        </is>
      </c>
    </row>
    <row r="3279">
      <c r="A3279" t="inlineStr">
        <is>
          <t>No</t>
        </is>
      </c>
      <c r="B3279" t="inlineStr">
        <is>
          <t>BX945 .R6 1850</t>
        </is>
      </c>
      <c r="C3279" t="inlineStr">
        <is>
          <t>0                      BX 0945000R  6           1850</t>
        </is>
      </c>
      <c r="D3279" t="inlineStr">
        <is>
          <t>Histoire universelle de l'église catholique / par l'abbé Rohrbacher.</t>
        </is>
      </c>
      <c r="E3279" t="inlineStr">
        <is>
          <t>V.7</t>
        </is>
      </c>
      <c r="F3279" t="inlineStr">
        <is>
          <t>Yes</t>
        </is>
      </c>
      <c r="G3279" t="inlineStr">
        <is>
          <t>1</t>
        </is>
      </c>
      <c r="H3279" t="inlineStr">
        <is>
          <t>No</t>
        </is>
      </c>
      <c r="I3279" t="inlineStr">
        <is>
          <t>No</t>
        </is>
      </c>
      <c r="J3279" t="inlineStr">
        <is>
          <t>0</t>
        </is>
      </c>
      <c r="K3279" t="inlineStr">
        <is>
          <t>Rohrbacher, René François, 1789-1856.</t>
        </is>
      </c>
      <c r="L3279" t="inlineStr">
        <is>
          <t>Paris : Gaume frères, 1850-1853.</t>
        </is>
      </c>
      <c r="M3279" t="inlineStr">
        <is>
          <t>1850</t>
        </is>
      </c>
      <c r="N3279" t="inlineStr">
        <is>
          <t>2. éd. revue et corr.</t>
        </is>
      </c>
      <c r="O3279" t="inlineStr">
        <is>
          <t>fre</t>
        </is>
      </c>
      <c r="P3279" t="inlineStr">
        <is>
          <t xml:space="preserve">fr </t>
        </is>
      </c>
      <c r="R3279" t="inlineStr">
        <is>
          <t xml:space="preserve">BX </t>
        </is>
      </c>
      <c r="S3279" t="n">
        <v>0</v>
      </c>
      <c r="T3279" t="n">
        <v>4</v>
      </c>
      <c r="V3279" t="inlineStr">
        <is>
          <t>2005-08-17</t>
        </is>
      </c>
      <c r="W3279" t="inlineStr">
        <is>
          <t>1992-05-27</t>
        </is>
      </c>
      <c r="X3279" t="inlineStr">
        <is>
          <t>1992-05-27</t>
        </is>
      </c>
      <c r="Y3279" t="n">
        <v>38</v>
      </c>
      <c r="Z3279" t="n">
        <v>27</v>
      </c>
      <c r="AA3279" t="n">
        <v>114</v>
      </c>
      <c r="AB3279" t="n">
        <v>1</v>
      </c>
      <c r="AC3279" t="n">
        <v>2</v>
      </c>
      <c r="AD3279" t="n">
        <v>4</v>
      </c>
      <c r="AE3279" t="n">
        <v>18</v>
      </c>
      <c r="AF3279" t="n">
        <v>1</v>
      </c>
      <c r="AG3279" t="n">
        <v>4</v>
      </c>
      <c r="AH3279" t="n">
        <v>1</v>
      </c>
      <c r="AI3279" t="n">
        <v>5</v>
      </c>
      <c r="AJ3279" t="n">
        <v>3</v>
      </c>
      <c r="AK3279" t="n">
        <v>11</v>
      </c>
      <c r="AL3279" t="n">
        <v>0</v>
      </c>
      <c r="AM3279" t="n">
        <v>1</v>
      </c>
      <c r="AN3279" t="n">
        <v>0</v>
      </c>
      <c r="AO3279" t="n">
        <v>0</v>
      </c>
      <c r="AP3279" t="inlineStr">
        <is>
          <t>No</t>
        </is>
      </c>
      <c r="AQ3279" t="inlineStr">
        <is>
          <t>No</t>
        </is>
      </c>
      <c r="AS3279">
        <f>HYPERLINK("https://creighton-primo.hosted.exlibrisgroup.com/primo-explore/search?tab=default_tab&amp;search_scope=EVERYTHING&amp;vid=01CRU&amp;lang=en_US&amp;offset=0&amp;query=any,contains,991004759799702656","Catalog Record")</f>
        <v/>
      </c>
      <c r="AT3279">
        <f>HYPERLINK("http://www.worldcat.org/oclc/4989976","WorldCat Record")</f>
        <v/>
      </c>
      <c r="AU3279" t="inlineStr">
        <is>
          <t>1338096:fre</t>
        </is>
      </c>
      <c r="AV3279" t="inlineStr">
        <is>
          <t>4989976</t>
        </is>
      </c>
      <c r="AW3279" t="inlineStr">
        <is>
          <t>991004759799702656</t>
        </is>
      </c>
      <c r="AX3279" t="inlineStr">
        <is>
          <t>991004759799702656</t>
        </is>
      </c>
      <c r="AY3279" t="inlineStr">
        <is>
          <t>2269283550002656</t>
        </is>
      </c>
      <c r="AZ3279" t="inlineStr">
        <is>
          <t>BOOK</t>
        </is>
      </c>
      <c r="BC3279" t="inlineStr">
        <is>
          <t>32285001225225</t>
        </is>
      </c>
      <c r="BD3279" t="inlineStr">
        <is>
          <t>893719343</t>
        </is>
      </c>
    </row>
    <row r="3280">
      <c r="A3280" t="inlineStr">
        <is>
          <t>No</t>
        </is>
      </c>
      <c r="B3280" t="inlineStr">
        <is>
          <t>BX945 .R6 1850</t>
        </is>
      </c>
      <c r="C3280" t="inlineStr">
        <is>
          <t>0                      BX 0945000R  6           1850</t>
        </is>
      </c>
      <c r="D3280" t="inlineStr">
        <is>
          <t>Histoire universelle de l'église catholique / par l'abbé Rohrbacher.</t>
        </is>
      </c>
      <c r="E3280" t="inlineStr">
        <is>
          <t>V.11</t>
        </is>
      </c>
      <c r="F3280" t="inlineStr">
        <is>
          <t>Yes</t>
        </is>
      </c>
      <c r="G3280" t="inlineStr">
        <is>
          <t>1</t>
        </is>
      </c>
      <c r="H3280" t="inlineStr">
        <is>
          <t>No</t>
        </is>
      </c>
      <c r="I3280" t="inlineStr">
        <is>
          <t>No</t>
        </is>
      </c>
      <c r="J3280" t="inlineStr">
        <is>
          <t>0</t>
        </is>
      </c>
      <c r="K3280" t="inlineStr">
        <is>
          <t>Rohrbacher, René François, 1789-1856.</t>
        </is>
      </c>
      <c r="L3280" t="inlineStr">
        <is>
          <t>Paris : Gaume frères, 1850-1853.</t>
        </is>
      </c>
      <c r="M3280" t="inlineStr">
        <is>
          <t>1850</t>
        </is>
      </c>
      <c r="N3280" t="inlineStr">
        <is>
          <t>2. éd. revue et corr.</t>
        </is>
      </c>
      <c r="O3280" t="inlineStr">
        <is>
          <t>fre</t>
        </is>
      </c>
      <c r="P3280" t="inlineStr">
        <is>
          <t xml:space="preserve">fr </t>
        </is>
      </c>
      <c r="R3280" t="inlineStr">
        <is>
          <t xml:space="preserve">BX </t>
        </is>
      </c>
      <c r="S3280" t="n">
        <v>0</v>
      </c>
      <c r="T3280" t="n">
        <v>4</v>
      </c>
      <c r="V3280" t="inlineStr">
        <is>
          <t>2005-08-17</t>
        </is>
      </c>
      <c r="W3280" t="inlineStr">
        <is>
          <t>1992-05-27</t>
        </is>
      </c>
      <c r="X3280" t="inlineStr">
        <is>
          <t>1992-05-27</t>
        </is>
      </c>
      <c r="Y3280" t="n">
        <v>38</v>
      </c>
      <c r="Z3280" t="n">
        <v>27</v>
      </c>
      <c r="AA3280" t="n">
        <v>114</v>
      </c>
      <c r="AB3280" t="n">
        <v>1</v>
      </c>
      <c r="AC3280" t="n">
        <v>2</v>
      </c>
      <c r="AD3280" t="n">
        <v>4</v>
      </c>
      <c r="AE3280" t="n">
        <v>18</v>
      </c>
      <c r="AF3280" t="n">
        <v>1</v>
      </c>
      <c r="AG3280" t="n">
        <v>4</v>
      </c>
      <c r="AH3280" t="n">
        <v>1</v>
      </c>
      <c r="AI3280" t="n">
        <v>5</v>
      </c>
      <c r="AJ3280" t="n">
        <v>3</v>
      </c>
      <c r="AK3280" t="n">
        <v>11</v>
      </c>
      <c r="AL3280" t="n">
        <v>0</v>
      </c>
      <c r="AM3280" t="n">
        <v>1</v>
      </c>
      <c r="AN3280" t="n">
        <v>0</v>
      </c>
      <c r="AO3280" t="n">
        <v>0</v>
      </c>
      <c r="AP3280" t="inlineStr">
        <is>
          <t>No</t>
        </is>
      </c>
      <c r="AQ3280" t="inlineStr">
        <is>
          <t>No</t>
        </is>
      </c>
      <c r="AS3280">
        <f>HYPERLINK("https://creighton-primo.hosted.exlibrisgroup.com/primo-explore/search?tab=default_tab&amp;search_scope=EVERYTHING&amp;vid=01CRU&amp;lang=en_US&amp;offset=0&amp;query=any,contains,991004759799702656","Catalog Record")</f>
        <v/>
      </c>
      <c r="AT3280">
        <f>HYPERLINK("http://www.worldcat.org/oclc/4989976","WorldCat Record")</f>
        <v/>
      </c>
      <c r="AU3280" t="inlineStr">
        <is>
          <t>1338096:fre</t>
        </is>
      </c>
      <c r="AV3280" t="inlineStr">
        <is>
          <t>4989976</t>
        </is>
      </c>
      <c r="AW3280" t="inlineStr">
        <is>
          <t>991004759799702656</t>
        </is>
      </c>
      <c r="AX3280" t="inlineStr">
        <is>
          <t>991004759799702656</t>
        </is>
      </c>
      <c r="AY3280" t="inlineStr">
        <is>
          <t>2269283550002656</t>
        </is>
      </c>
      <c r="AZ3280" t="inlineStr">
        <is>
          <t>BOOK</t>
        </is>
      </c>
      <c r="BC3280" t="inlineStr">
        <is>
          <t>32285001225266</t>
        </is>
      </c>
      <c r="BD3280" t="inlineStr">
        <is>
          <t>893712999</t>
        </is>
      </c>
    </row>
    <row r="3281">
      <c r="A3281" t="inlineStr">
        <is>
          <t>No</t>
        </is>
      </c>
      <c r="B3281" t="inlineStr">
        <is>
          <t>BX945 .R6 1850</t>
        </is>
      </c>
      <c r="C3281" t="inlineStr">
        <is>
          <t>0                      BX 0945000R  6           1850</t>
        </is>
      </c>
      <c r="D3281" t="inlineStr">
        <is>
          <t>Histoire universelle de l'église catholique / par l'abbé Rohrbacher.</t>
        </is>
      </c>
      <c r="E3281" t="inlineStr">
        <is>
          <t>V.6</t>
        </is>
      </c>
      <c r="F3281" t="inlineStr">
        <is>
          <t>Yes</t>
        </is>
      </c>
      <c r="G3281" t="inlineStr">
        <is>
          <t>1</t>
        </is>
      </c>
      <c r="H3281" t="inlineStr">
        <is>
          <t>No</t>
        </is>
      </c>
      <c r="I3281" t="inlineStr">
        <is>
          <t>No</t>
        </is>
      </c>
      <c r="J3281" t="inlineStr">
        <is>
          <t>0</t>
        </is>
      </c>
      <c r="K3281" t="inlineStr">
        <is>
          <t>Rohrbacher, René François, 1789-1856.</t>
        </is>
      </c>
      <c r="L3281" t="inlineStr">
        <is>
          <t>Paris : Gaume frères, 1850-1853.</t>
        </is>
      </c>
      <c r="M3281" t="inlineStr">
        <is>
          <t>1850</t>
        </is>
      </c>
      <c r="N3281" t="inlineStr">
        <is>
          <t>2. éd. revue et corr.</t>
        </is>
      </c>
      <c r="O3281" t="inlineStr">
        <is>
          <t>fre</t>
        </is>
      </c>
      <c r="P3281" t="inlineStr">
        <is>
          <t xml:space="preserve">fr </t>
        </is>
      </c>
      <c r="R3281" t="inlineStr">
        <is>
          <t xml:space="preserve">BX </t>
        </is>
      </c>
      <c r="S3281" t="n">
        <v>0</v>
      </c>
      <c r="T3281" t="n">
        <v>4</v>
      </c>
      <c r="V3281" t="inlineStr">
        <is>
          <t>2005-08-17</t>
        </is>
      </c>
      <c r="W3281" t="inlineStr">
        <is>
          <t>1992-05-27</t>
        </is>
      </c>
      <c r="X3281" t="inlineStr">
        <is>
          <t>1992-05-27</t>
        </is>
      </c>
      <c r="Y3281" t="n">
        <v>38</v>
      </c>
      <c r="Z3281" t="n">
        <v>27</v>
      </c>
      <c r="AA3281" t="n">
        <v>114</v>
      </c>
      <c r="AB3281" t="n">
        <v>1</v>
      </c>
      <c r="AC3281" t="n">
        <v>2</v>
      </c>
      <c r="AD3281" t="n">
        <v>4</v>
      </c>
      <c r="AE3281" t="n">
        <v>18</v>
      </c>
      <c r="AF3281" t="n">
        <v>1</v>
      </c>
      <c r="AG3281" t="n">
        <v>4</v>
      </c>
      <c r="AH3281" t="n">
        <v>1</v>
      </c>
      <c r="AI3281" t="n">
        <v>5</v>
      </c>
      <c r="AJ3281" t="n">
        <v>3</v>
      </c>
      <c r="AK3281" t="n">
        <v>11</v>
      </c>
      <c r="AL3281" t="n">
        <v>0</v>
      </c>
      <c r="AM3281" t="n">
        <v>1</v>
      </c>
      <c r="AN3281" t="n">
        <v>0</v>
      </c>
      <c r="AO3281" t="n">
        <v>0</v>
      </c>
      <c r="AP3281" t="inlineStr">
        <is>
          <t>No</t>
        </is>
      </c>
      <c r="AQ3281" t="inlineStr">
        <is>
          <t>No</t>
        </is>
      </c>
      <c r="AS3281">
        <f>HYPERLINK("https://creighton-primo.hosted.exlibrisgroup.com/primo-explore/search?tab=default_tab&amp;search_scope=EVERYTHING&amp;vid=01CRU&amp;lang=en_US&amp;offset=0&amp;query=any,contains,991004759799702656","Catalog Record")</f>
        <v/>
      </c>
      <c r="AT3281">
        <f>HYPERLINK("http://www.worldcat.org/oclc/4989976","WorldCat Record")</f>
        <v/>
      </c>
      <c r="AU3281" t="inlineStr">
        <is>
          <t>1338096:fre</t>
        </is>
      </c>
      <c r="AV3281" t="inlineStr">
        <is>
          <t>4989976</t>
        </is>
      </c>
      <c r="AW3281" t="inlineStr">
        <is>
          <t>991004759799702656</t>
        </is>
      </c>
      <c r="AX3281" t="inlineStr">
        <is>
          <t>991004759799702656</t>
        </is>
      </c>
      <c r="AY3281" t="inlineStr">
        <is>
          <t>2269283550002656</t>
        </is>
      </c>
      <c r="AZ3281" t="inlineStr">
        <is>
          <t>BOOK</t>
        </is>
      </c>
      <c r="BC3281" t="inlineStr">
        <is>
          <t>32285001225217</t>
        </is>
      </c>
      <c r="BD3281" t="inlineStr">
        <is>
          <t>893700633</t>
        </is>
      </c>
    </row>
    <row r="3282">
      <c r="A3282" t="inlineStr">
        <is>
          <t>No</t>
        </is>
      </c>
      <c r="B3282" t="inlineStr">
        <is>
          <t>BX945 .R6 1850</t>
        </is>
      </c>
      <c r="C3282" t="inlineStr">
        <is>
          <t>0                      BX 0945000R  6           1850</t>
        </is>
      </c>
      <c r="D3282" t="inlineStr">
        <is>
          <t>Histoire universelle de l'église catholique / par l'abbé Rohrbacher.</t>
        </is>
      </c>
      <c r="E3282" t="inlineStr">
        <is>
          <t>V.1</t>
        </is>
      </c>
      <c r="F3282" t="inlineStr">
        <is>
          <t>Yes</t>
        </is>
      </c>
      <c r="G3282" t="inlineStr">
        <is>
          <t>1</t>
        </is>
      </c>
      <c r="H3282" t="inlineStr">
        <is>
          <t>No</t>
        </is>
      </c>
      <c r="I3282" t="inlineStr">
        <is>
          <t>No</t>
        </is>
      </c>
      <c r="J3282" t="inlineStr">
        <is>
          <t>0</t>
        </is>
      </c>
      <c r="K3282" t="inlineStr">
        <is>
          <t>Rohrbacher, René François, 1789-1856.</t>
        </is>
      </c>
      <c r="L3282" t="inlineStr">
        <is>
          <t>Paris : Gaume frères, 1850-1853.</t>
        </is>
      </c>
      <c r="M3282" t="inlineStr">
        <is>
          <t>1850</t>
        </is>
      </c>
      <c r="N3282" t="inlineStr">
        <is>
          <t>2. éd. revue et corr.</t>
        </is>
      </c>
      <c r="O3282" t="inlineStr">
        <is>
          <t>fre</t>
        </is>
      </c>
      <c r="P3282" t="inlineStr">
        <is>
          <t xml:space="preserve">fr </t>
        </is>
      </c>
      <c r="R3282" t="inlineStr">
        <is>
          <t xml:space="preserve">BX </t>
        </is>
      </c>
      <c r="S3282" t="n">
        <v>0</v>
      </c>
      <c r="T3282" t="n">
        <v>4</v>
      </c>
      <c r="V3282" t="inlineStr">
        <is>
          <t>2005-08-17</t>
        </is>
      </c>
      <c r="W3282" t="inlineStr">
        <is>
          <t>1992-05-27</t>
        </is>
      </c>
      <c r="X3282" t="inlineStr">
        <is>
          <t>1992-05-27</t>
        </is>
      </c>
      <c r="Y3282" t="n">
        <v>38</v>
      </c>
      <c r="Z3282" t="n">
        <v>27</v>
      </c>
      <c r="AA3282" t="n">
        <v>114</v>
      </c>
      <c r="AB3282" t="n">
        <v>1</v>
      </c>
      <c r="AC3282" t="n">
        <v>2</v>
      </c>
      <c r="AD3282" t="n">
        <v>4</v>
      </c>
      <c r="AE3282" t="n">
        <v>18</v>
      </c>
      <c r="AF3282" t="n">
        <v>1</v>
      </c>
      <c r="AG3282" t="n">
        <v>4</v>
      </c>
      <c r="AH3282" t="n">
        <v>1</v>
      </c>
      <c r="AI3282" t="n">
        <v>5</v>
      </c>
      <c r="AJ3282" t="n">
        <v>3</v>
      </c>
      <c r="AK3282" t="n">
        <v>11</v>
      </c>
      <c r="AL3282" t="n">
        <v>0</v>
      </c>
      <c r="AM3282" t="n">
        <v>1</v>
      </c>
      <c r="AN3282" t="n">
        <v>0</v>
      </c>
      <c r="AO3282" t="n">
        <v>0</v>
      </c>
      <c r="AP3282" t="inlineStr">
        <is>
          <t>No</t>
        </is>
      </c>
      <c r="AQ3282" t="inlineStr">
        <is>
          <t>No</t>
        </is>
      </c>
      <c r="AS3282">
        <f>HYPERLINK("https://creighton-primo.hosted.exlibrisgroup.com/primo-explore/search?tab=default_tab&amp;search_scope=EVERYTHING&amp;vid=01CRU&amp;lang=en_US&amp;offset=0&amp;query=any,contains,991004759799702656","Catalog Record")</f>
        <v/>
      </c>
      <c r="AT3282">
        <f>HYPERLINK("http://www.worldcat.org/oclc/4989976","WorldCat Record")</f>
        <v/>
      </c>
      <c r="AU3282" t="inlineStr">
        <is>
          <t>1338096:fre</t>
        </is>
      </c>
      <c r="AV3282" t="inlineStr">
        <is>
          <t>4989976</t>
        </is>
      </c>
      <c r="AW3282" t="inlineStr">
        <is>
          <t>991004759799702656</t>
        </is>
      </c>
      <c r="AX3282" t="inlineStr">
        <is>
          <t>991004759799702656</t>
        </is>
      </c>
      <c r="AY3282" t="inlineStr">
        <is>
          <t>2269283550002656</t>
        </is>
      </c>
      <c r="AZ3282" t="inlineStr">
        <is>
          <t>BOOK</t>
        </is>
      </c>
      <c r="BC3282" t="inlineStr">
        <is>
          <t>32285001225175</t>
        </is>
      </c>
      <c r="BD3282" t="inlineStr">
        <is>
          <t>893694316</t>
        </is>
      </c>
    </row>
    <row r="3283">
      <c r="A3283" t="inlineStr">
        <is>
          <t>No</t>
        </is>
      </c>
      <c r="B3283" t="inlineStr">
        <is>
          <t>BX945 .R6 1850</t>
        </is>
      </c>
      <c r="C3283" t="inlineStr">
        <is>
          <t>0                      BX 0945000R  6           1850</t>
        </is>
      </c>
      <c r="D3283" t="inlineStr">
        <is>
          <t>Histoire universelle de l'église catholique / par l'abbé Rohrbacher.</t>
        </is>
      </c>
      <c r="E3283" t="inlineStr">
        <is>
          <t>V.2</t>
        </is>
      </c>
      <c r="F3283" t="inlineStr">
        <is>
          <t>Yes</t>
        </is>
      </c>
      <c r="G3283" t="inlineStr">
        <is>
          <t>1</t>
        </is>
      </c>
      <c r="H3283" t="inlineStr">
        <is>
          <t>No</t>
        </is>
      </c>
      <c r="I3283" t="inlineStr">
        <is>
          <t>No</t>
        </is>
      </c>
      <c r="J3283" t="inlineStr">
        <is>
          <t>0</t>
        </is>
      </c>
      <c r="K3283" t="inlineStr">
        <is>
          <t>Rohrbacher, René François, 1789-1856.</t>
        </is>
      </c>
      <c r="L3283" t="inlineStr">
        <is>
          <t>Paris : Gaume frères, 1850-1853.</t>
        </is>
      </c>
      <c r="M3283" t="inlineStr">
        <is>
          <t>1850</t>
        </is>
      </c>
      <c r="N3283" t="inlineStr">
        <is>
          <t>2. éd. revue et corr.</t>
        </is>
      </c>
      <c r="O3283" t="inlineStr">
        <is>
          <t>fre</t>
        </is>
      </c>
      <c r="P3283" t="inlineStr">
        <is>
          <t xml:space="preserve">fr </t>
        </is>
      </c>
      <c r="R3283" t="inlineStr">
        <is>
          <t xml:space="preserve">BX </t>
        </is>
      </c>
      <c r="S3283" t="n">
        <v>0</v>
      </c>
      <c r="T3283" t="n">
        <v>4</v>
      </c>
      <c r="V3283" t="inlineStr">
        <is>
          <t>2005-08-17</t>
        </is>
      </c>
      <c r="W3283" t="inlineStr">
        <is>
          <t>1992-05-27</t>
        </is>
      </c>
      <c r="X3283" t="inlineStr">
        <is>
          <t>1992-05-27</t>
        </is>
      </c>
      <c r="Y3283" t="n">
        <v>38</v>
      </c>
      <c r="Z3283" t="n">
        <v>27</v>
      </c>
      <c r="AA3283" t="n">
        <v>114</v>
      </c>
      <c r="AB3283" t="n">
        <v>1</v>
      </c>
      <c r="AC3283" t="n">
        <v>2</v>
      </c>
      <c r="AD3283" t="n">
        <v>4</v>
      </c>
      <c r="AE3283" t="n">
        <v>18</v>
      </c>
      <c r="AF3283" t="n">
        <v>1</v>
      </c>
      <c r="AG3283" t="n">
        <v>4</v>
      </c>
      <c r="AH3283" t="n">
        <v>1</v>
      </c>
      <c r="AI3283" t="n">
        <v>5</v>
      </c>
      <c r="AJ3283" t="n">
        <v>3</v>
      </c>
      <c r="AK3283" t="n">
        <v>11</v>
      </c>
      <c r="AL3283" t="n">
        <v>0</v>
      </c>
      <c r="AM3283" t="n">
        <v>1</v>
      </c>
      <c r="AN3283" t="n">
        <v>0</v>
      </c>
      <c r="AO3283" t="n">
        <v>0</v>
      </c>
      <c r="AP3283" t="inlineStr">
        <is>
          <t>No</t>
        </is>
      </c>
      <c r="AQ3283" t="inlineStr">
        <is>
          <t>No</t>
        </is>
      </c>
      <c r="AS3283">
        <f>HYPERLINK("https://creighton-primo.hosted.exlibrisgroup.com/primo-explore/search?tab=default_tab&amp;search_scope=EVERYTHING&amp;vid=01CRU&amp;lang=en_US&amp;offset=0&amp;query=any,contains,991004759799702656","Catalog Record")</f>
        <v/>
      </c>
      <c r="AT3283">
        <f>HYPERLINK("http://www.worldcat.org/oclc/4989976","WorldCat Record")</f>
        <v/>
      </c>
      <c r="AU3283" t="inlineStr">
        <is>
          <t>1338096:fre</t>
        </is>
      </c>
      <c r="AV3283" t="inlineStr">
        <is>
          <t>4989976</t>
        </is>
      </c>
      <c r="AW3283" t="inlineStr">
        <is>
          <t>991004759799702656</t>
        </is>
      </c>
      <c r="AX3283" t="inlineStr">
        <is>
          <t>991004759799702656</t>
        </is>
      </c>
      <c r="AY3283" t="inlineStr">
        <is>
          <t>2269283550002656</t>
        </is>
      </c>
      <c r="AZ3283" t="inlineStr">
        <is>
          <t>BOOK</t>
        </is>
      </c>
      <c r="BC3283" t="inlineStr">
        <is>
          <t>32285001225183</t>
        </is>
      </c>
      <c r="BD3283" t="inlineStr">
        <is>
          <t>893719346</t>
        </is>
      </c>
    </row>
    <row r="3284">
      <c r="A3284" t="inlineStr">
        <is>
          <t>No</t>
        </is>
      </c>
      <c r="B3284" t="inlineStr">
        <is>
          <t>BX945 .R6 1850</t>
        </is>
      </c>
      <c r="C3284" t="inlineStr">
        <is>
          <t>0                      BX 0945000R  6           1850</t>
        </is>
      </c>
      <c r="D3284" t="inlineStr">
        <is>
          <t>Histoire universelle de l'église catholique / par l'abbé Rohrbacher.</t>
        </is>
      </c>
      <c r="E3284" t="inlineStr">
        <is>
          <t>V.9</t>
        </is>
      </c>
      <c r="F3284" t="inlineStr">
        <is>
          <t>Yes</t>
        </is>
      </c>
      <c r="G3284" t="inlineStr">
        <is>
          <t>1</t>
        </is>
      </c>
      <c r="H3284" t="inlineStr">
        <is>
          <t>No</t>
        </is>
      </c>
      <c r="I3284" t="inlineStr">
        <is>
          <t>No</t>
        </is>
      </c>
      <c r="J3284" t="inlineStr">
        <is>
          <t>0</t>
        </is>
      </c>
      <c r="K3284" t="inlineStr">
        <is>
          <t>Rohrbacher, René François, 1789-1856.</t>
        </is>
      </c>
      <c r="L3284" t="inlineStr">
        <is>
          <t>Paris : Gaume frères, 1850-1853.</t>
        </is>
      </c>
      <c r="M3284" t="inlineStr">
        <is>
          <t>1850</t>
        </is>
      </c>
      <c r="N3284" t="inlineStr">
        <is>
          <t>2. éd. revue et corr.</t>
        </is>
      </c>
      <c r="O3284" t="inlineStr">
        <is>
          <t>fre</t>
        </is>
      </c>
      <c r="P3284" t="inlineStr">
        <is>
          <t xml:space="preserve">fr </t>
        </is>
      </c>
      <c r="R3284" t="inlineStr">
        <is>
          <t xml:space="preserve">BX </t>
        </is>
      </c>
      <c r="S3284" t="n">
        <v>0</v>
      </c>
      <c r="T3284" t="n">
        <v>4</v>
      </c>
      <c r="V3284" t="inlineStr">
        <is>
          <t>2005-08-17</t>
        </is>
      </c>
      <c r="W3284" t="inlineStr">
        <is>
          <t>1992-05-27</t>
        </is>
      </c>
      <c r="X3284" t="inlineStr">
        <is>
          <t>1992-05-27</t>
        </is>
      </c>
      <c r="Y3284" t="n">
        <v>38</v>
      </c>
      <c r="Z3284" t="n">
        <v>27</v>
      </c>
      <c r="AA3284" t="n">
        <v>114</v>
      </c>
      <c r="AB3284" t="n">
        <v>1</v>
      </c>
      <c r="AC3284" t="n">
        <v>2</v>
      </c>
      <c r="AD3284" t="n">
        <v>4</v>
      </c>
      <c r="AE3284" t="n">
        <v>18</v>
      </c>
      <c r="AF3284" t="n">
        <v>1</v>
      </c>
      <c r="AG3284" t="n">
        <v>4</v>
      </c>
      <c r="AH3284" t="n">
        <v>1</v>
      </c>
      <c r="AI3284" t="n">
        <v>5</v>
      </c>
      <c r="AJ3284" t="n">
        <v>3</v>
      </c>
      <c r="AK3284" t="n">
        <v>11</v>
      </c>
      <c r="AL3284" t="n">
        <v>0</v>
      </c>
      <c r="AM3284" t="n">
        <v>1</v>
      </c>
      <c r="AN3284" t="n">
        <v>0</v>
      </c>
      <c r="AO3284" t="n">
        <v>0</v>
      </c>
      <c r="AP3284" t="inlineStr">
        <is>
          <t>No</t>
        </is>
      </c>
      <c r="AQ3284" t="inlineStr">
        <is>
          <t>No</t>
        </is>
      </c>
      <c r="AS3284">
        <f>HYPERLINK("https://creighton-primo.hosted.exlibrisgroup.com/primo-explore/search?tab=default_tab&amp;search_scope=EVERYTHING&amp;vid=01CRU&amp;lang=en_US&amp;offset=0&amp;query=any,contains,991004759799702656","Catalog Record")</f>
        <v/>
      </c>
      <c r="AT3284">
        <f>HYPERLINK("http://www.worldcat.org/oclc/4989976","WorldCat Record")</f>
        <v/>
      </c>
      <c r="AU3284" t="inlineStr">
        <is>
          <t>1338096:fre</t>
        </is>
      </c>
      <c r="AV3284" t="inlineStr">
        <is>
          <t>4989976</t>
        </is>
      </c>
      <c r="AW3284" t="inlineStr">
        <is>
          <t>991004759799702656</t>
        </is>
      </c>
      <c r="AX3284" t="inlineStr">
        <is>
          <t>991004759799702656</t>
        </is>
      </c>
      <c r="AY3284" t="inlineStr">
        <is>
          <t>2269283550002656</t>
        </is>
      </c>
      <c r="AZ3284" t="inlineStr">
        <is>
          <t>BOOK</t>
        </is>
      </c>
      <c r="BC3284" t="inlineStr">
        <is>
          <t>32285001225241</t>
        </is>
      </c>
      <c r="BD3284" t="inlineStr">
        <is>
          <t>893694312</t>
        </is>
      </c>
    </row>
    <row r="3285">
      <c r="A3285" t="inlineStr">
        <is>
          <t>No</t>
        </is>
      </c>
      <c r="B3285" t="inlineStr">
        <is>
          <t>BX945 .R6 1850</t>
        </is>
      </c>
      <c r="C3285" t="inlineStr">
        <is>
          <t>0                      BX 0945000R  6           1850</t>
        </is>
      </c>
      <c r="D3285" t="inlineStr">
        <is>
          <t>Histoire universelle de l'église catholique / par l'abbé Rohrbacher.</t>
        </is>
      </c>
      <c r="E3285" t="inlineStr">
        <is>
          <t>V.8</t>
        </is>
      </c>
      <c r="F3285" t="inlineStr">
        <is>
          <t>Yes</t>
        </is>
      </c>
      <c r="G3285" t="inlineStr">
        <is>
          <t>1</t>
        </is>
      </c>
      <c r="H3285" t="inlineStr">
        <is>
          <t>No</t>
        </is>
      </c>
      <c r="I3285" t="inlineStr">
        <is>
          <t>No</t>
        </is>
      </c>
      <c r="J3285" t="inlineStr">
        <is>
          <t>0</t>
        </is>
      </c>
      <c r="K3285" t="inlineStr">
        <is>
          <t>Rohrbacher, René François, 1789-1856.</t>
        </is>
      </c>
      <c r="L3285" t="inlineStr">
        <is>
          <t>Paris : Gaume frères, 1850-1853.</t>
        </is>
      </c>
      <c r="M3285" t="inlineStr">
        <is>
          <t>1850</t>
        </is>
      </c>
      <c r="N3285" t="inlineStr">
        <is>
          <t>2. éd. revue et corr.</t>
        </is>
      </c>
      <c r="O3285" t="inlineStr">
        <is>
          <t>fre</t>
        </is>
      </c>
      <c r="P3285" t="inlineStr">
        <is>
          <t xml:space="preserve">fr </t>
        </is>
      </c>
      <c r="R3285" t="inlineStr">
        <is>
          <t xml:space="preserve">BX </t>
        </is>
      </c>
      <c r="S3285" t="n">
        <v>0</v>
      </c>
      <c r="T3285" t="n">
        <v>4</v>
      </c>
      <c r="V3285" t="inlineStr">
        <is>
          <t>2005-08-17</t>
        </is>
      </c>
      <c r="W3285" t="inlineStr">
        <is>
          <t>1992-05-27</t>
        </is>
      </c>
      <c r="X3285" t="inlineStr">
        <is>
          <t>1992-05-27</t>
        </is>
      </c>
      <c r="Y3285" t="n">
        <v>38</v>
      </c>
      <c r="Z3285" t="n">
        <v>27</v>
      </c>
      <c r="AA3285" t="n">
        <v>114</v>
      </c>
      <c r="AB3285" t="n">
        <v>1</v>
      </c>
      <c r="AC3285" t="n">
        <v>2</v>
      </c>
      <c r="AD3285" t="n">
        <v>4</v>
      </c>
      <c r="AE3285" t="n">
        <v>18</v>
      </c>
      <c r="AF3285" t="n">
        <v>1</v>
      </c>
      <c r="AG3285" t="n">
        <v>4</v>
      </c>
      <c r="AH3285" t="n">
        <v>1</v>
      </c>
      <c r="AI3285" t="n">
        <v>5</v>
      </c>
      <c r="AJ3285" t="n">
        <v>3</v>
      </c>
      <c r="AK3285" t="n">
        <v>11</v>
      </c>
      <c r="AL3285" t="n">
        <v>0</v>
      </c>
      <c r="AM3285" t="n">
        <v>1</v>
      </c>
      <c r="AN3285" t="n">
        <v>0</v>
      </c>
      <c r="AO3285" t="n">
        <v>0</v>
      </c>
      <c r="AP3285" t="inlineStr">
        <is>
          <t>No</t>
        </is>
      </c>
      <c r="AQ3285" t="inlineStr">
        <is>
          <t>No</t>
        </is>
      </c>
      <c r="AS3285">
        <f>HYPERLINK("https://creighton-primo.hosted.exlibrisgroup.com/primo-explore/search?tab=default_tab&amp;search_scope=EVERYTHING&amp;vid=01CRU&amp;lang=en_US&amp;offset=0&amp;query=any,contains,991004759799702656","Catalog Record")</f>
        <v/>
      </c>
      <c r="AT3285">
        <f>HYPERLINK("http://www.worldcat.org/oclc/4989976","WorldCat Record")</f>
        <v/>
      </c>
      <c r="AU3285" t="inlineStr">
        <is>
          <t>1338096:fre</t>
        </is>
      </c>
      <c r="AV3285" t="inlineStr">
        <is>
          <t>4989976</t>
        </is>
      </c>
      <c r="AW3285" t="inlineStr">
        <is>
          <t>991004759799702656</t>
        </is>
      </c>
      <c r="AX3285" t="inlineStr">
        <is>
          <t>991004759799702656</t>
        </is>
      </c>
      <c r="AY3285" t="inlineStr">
        <is>
          <t>2269283550002656</t>
        </is>
      </c>
      <c r="AZ3285" t="inlineStr">
        <is>
          <t>BOOK</t>
        </is>
      </c>
      <c r="BC3285" t="inlineStr">
        <is>
          <t>32285001225233</t>
        </is>
      </c>
      <c r="BD3285" t="inlineStr">
        <is>
          <t>893722587</t>
        </is>
      </c>
    </row>
    <row r="3286">
      <c r="A3286" t="inlineStr">
        <is>
          <t>No</t>
        </is>
      </c>
      <c r="B3286" t="inlineStr">
        <is>
          <t>BX945 .R6 1850</t>
        </is>
      </c>
      <c r="C3286" t="inlineStr">
        <is>
          <t>0                      BX 0945000R  6           1850</t>
        </is>
      </c>
      <c r="D3286" t="inlineStr">
        <is>
          <t>Histoire universelle de l'église catholique / par l'abbé Rohrbacher.</t>
        </is>
      </c>
      <c r="E3286" t="inlineStr">
        <is>
          <t>V.4</t>
        </is>
      </c>
      <c r="F3286" t="inlineStr">
        <is>
          <t>Yes</t>
        </is>
      </c>
      <c r="G3286" t="inlineStr">
        <is>
          <t>1</t>
        </is>
      </c>
      <c r="H3286" t="inlineStr">
        <is>
          <t>No</t>
        </is>
      </c>
      <c r="I3286" t="inlineStr">
        <is>
          <t>No</t>
        </is>
      </c>
      <c r="J3286" t="inlineStr">
        <is>
          <t>0</t>
        </is>
      </c>
      <c r="K3286" t="inlineStr">
        <is>
          <t>Rohrbacher, René François, 1789-1856.</t>
        </is>
      </c>
      <c r="L3286" t="inlineStr">
        <is>
          <t>Paris : Gaume frères, 1850-1853.</t>
        </is>
      </c>
      <c r="M3286" t="inlineStr">
        <is>
          <t>1850</t>
        </is>
      </c>
      <c r="N3286" t="inlineStr">
        <is>
          <t>2. éd. revue et corr.</t>
        </is>
      </c>
      <c r="O3286" t="inlineStr">
        <is>
          <t>fre</t>
        </is>
      </c>
      <c r="P3286" t="inlineStr">
        <is>
          <t xml:space="preserve">fr </t>
        </is>
      </c>
      <c r="R3286" t="inlineStr">
        <is>
          <t xml:space="preserve">BX </t>
        </is>
      </c>
      <c r="S3286" t="n">
        <v>0</v>
      </c>
      <c r="T3286" t="n">
        <v>4</v>
      </c>
      <c r="V3286" t="inlineStr">
        <is>
          <t>2005-08-17</t>
        </is>
      </c>
      <c r="W3286" t="inlineStr">
        <is>
          <t>1992-05-27</t>
        </is>
      </c>
      <c r="X3286" t="inlineStr">
        <is>
          <t>1992-05-27</t>
        </is>
      </c>
      <c r="Y3286" t="n">
        <v>38</v>
      </c>
      <c r="Z3286" t="n">
        <v>27</v>
      </c>
      <c r="AA3286" t="n">
        <v>114</v>
      </c>
      <c r="AB3286" t="n">
        <v>1</v>
      </c>
      <c r="AC3286" t="n">
        <v>2</v>
      </c>
      <c r="AD3286" t="n">
        <v>4</v>
      </c>
      <c r="AE3286" t="n">
        <v>18</v>
      </c>
      <c r="AF3286" t="n">
        <v>1</v>
      </c>
      <c r="AG3286" t="n">
        <v>4</v>
      </c>
      <c r="AH3286" t="n">
        <v>1</v>
      </c>
      <c r="AI3286" t="n">
        <v>5</v>
      </c>
      <c r="AJ3286" t="n">
        <v>3</v>
      </c>
      <c r="AK3286" t="n">
        <v>11</v>
      </c>
      <c r="AL3286" t="n">
        <v>0</v>
      </c>
      <c r="AM3286" t="n">
        <v>1</v>
      </c>
      <c r="AN3286" t="n">
        <v>0</v>
      </c>
      <c r="AO3286" t="n">
        <v>0</v>
      </c>
      <c r="AP3286" t="inlineStr">
        <is>
          <t>No</t>
        </is>
      </c>
      <c r="AQ3286" t="inlineStr">
        <is>
          <t>No</t>
        </is>
      </c>
      <c r="AS3286">
        <f>HYPERLINK("https://creighton-primo.hosted.exlibrisgroup.com/primo-explore/search?tab=default_tab&amp;search_scope=EVERYTHING&amp;vid=01CRU&amp;lang=en_US&amp;offset=0&amp;query=any,contains,991004759799702656","Catalog Record")</f>
        <v/>
      </c>
      <c r="AT3286">
        <f>HYPERLINK("http://www.worldcat.org/oclc/4989976","WorldCat Record")</f>
        <v/>
      </c>
      <c r="AU3286" t="inlineStr">
        <is>
          <t>1338096:fre</t>
        </is>
      </c>
      <c r="AV3286" t="inlineStr">
        <is>
          <t>4989976</t>
        </is>
      </c>
      <c r="AW3286" t="inlineStr">
        <is>
          <t>991004759799702656</t>
        </is>
      </c>
      <c r="AX3286" t="inlineStr">
        <is>
          <t>991004759799702656</t>
        </is>
      </c>
      <c r="AY3286" t="inlineStr">
        <is>
          <t>2269283550002656</t>
        </is>
      </c>
      <c r="AZ3286" t="inlineStr">
        <is>
          <t>BOOK</t>
        </is>
      </c>
      <c r="BC3286" t="inlineStr">
        <is>
          <t>32285001225209</t>
        </is>
      </c>
      <c r="BD3286" t="inlineStr">
        <is>
          <t>893712998</t>
        </is>
      </c>
    </row>
    <row r="3287">
      <c r="A3287" t="inlineStr">
        <is>
          <t>No</t>
        </is>
      </c>
      <c r="B3287" t="inlineStr">
        <is>
          <t>BX945 .R6 1850</t>
        </is>
      </c>
      <c r="C3287" t="inlineStr">
        <is>
          <t>0                      BX 0945000R  6           1850</t>
        </is>
      </c>
      <c r="D3287" t="inlineStr">
        <is>
          <t>Histoire universelle de l'église catholique / par l'abbé Rohrbacher.</t>
        </is>
      </c>
      <c r="E3287" t="inlineStr">
        <is>
          <t>V.18</t>
        </is>
      </c>
      <c r="F3287" t="inlineStr">
        <is>
          <t>Yes</t>
        </is>
      </c>
      <c r="G3287" t="inlineStr">
        <is>
          <t>1</t>
        </is>
      </c>
      <c r="H3287" t="inlineStr">
        <is>
          <t>No</t>
        </is>
      </c>
      <c r="I3287" t="inlineStr">
        <is>
          <t>No</t>
        </is>
      </c>
      <c r="J3287" t="inlineStr">
        <is>
          <t>0</t>
        </is>
      </c>
      <c r="K3287" t="inlineStr">
        <is>
          <t>Rohrbacher, René François, 1789-1856.</t>
        </is>
      </c>
      <c r="L3287" t="inlineStr">
        <is>
          <t>Paris : Gaume frères, 1850-1853.</t>
        </is>
      </c>
      <c r="M3287" t="inlineStr">
        <is>
          <t>1850</t>
        </is>
      </c>
      <c r="N3287" t="inlineStr">
        <is>
          <t>2. éd. revue et corr.</t>
        </is>
      </c>
      <c r="O3287" t="inlineStr">
        <is>
          <t>fre</t>
        </is>
      </c>
      <c r="P3287" t="inlineStr">
        <is>
          <t xml:space="preserve">fr </t>
        </is>
      </c>
      <c r="R3287" t="inlineStr">
        <is>
          <t xml:space="preserve">BX </t>
        </is>
      </c>
      <c r="S3287" t="n">
        <v>0</v>
      </c>
      <c r="T3287" t="n">
        <v>4</v>
      </c>
      <c r="V3287" t="inlineStr">
        <is>
          <t>2005-08-17</t>
        </is>
      </c>
      <c r="W3287" t="inlineStr">
        <is>
          <t>1992-05-27</t>
        </is>
      </c>
      <c r="X3287" t="inlineStr">
        <is>
          <t>1992-05-27</t>
        </is>
      </c>
      <c r="Y3287" t="n">
        <v>38</v>
      </c>
      <c r="Z3287" t="n">
        <v>27</v>
      </c>
      <c r="AA3287" t="n">
        <v>114</v>
      </c>
      <c r="AB3287" t="n">
        <v>1</v>
      </c>
      <c r="AC3287" t="n">
        <v>2</v>
      </c>
      <c r="AD3287" t="n">
        <v>4</v>
      </c>
      <c r="AE3287" t="n">
        <v>18</v>
      </c>
      <c r="AF3287" t="n">
        <v>1</v>
      </c>
      <c r="AG3287" t="n">
        <v>4</v>
      </c>
      <c r="AH3287" t="n">
        <v>1</v>
      </c>
      <c r="AI3287" t="n">
        <v>5</v>
      </c>
      <c r="AJ3287" t="n">
        <v>3</v>
      </c>
      <c r="AK3287" t="n">
        <v>11</v>
      </c>
      <c r="AL3287" t="n">
        <v>0</v>
      </c>
      <c r="AM3287" t="n">
        <v>1</v>
      </c>
      <c r="AN3287" t="n">
        <v>0</v>
      </c>
      <c r="AO3287" t="n">
        <v>0</v>
      </c>
      <c r="AP3287" t="inlineStr">
        <is>
          <t>No</t>
        </is>
      </c>
      <c r="AQ3287" t="inlineStr">
        <is>
          <t>No</t>
        </is>
      </c>
      <c r="AS3287">
        <f>HYPERLINK("https://creighton-primo.hosted.exlibrisgroup.com/primo-explore/search?tab=default_tab&amp;search_scope=EVERYTHING&amp;vid=01CRU&amp;lang=en_US&amp;offset=0&amp;query=any,contains,991004759799702656","Catalog Record")</f>
        <v/>
      </c>
      <c r="AT3287">
        <f>HYPERLINK("http://www.worldcat.org/oclc/4989976","WorldCat Record")</f>
        <v/>
      </c>
      <c r="AU3287" t="inlineStr">
        <is>
          <t>1338096:fre</t>
        </is>
      </c>
      <c r="AV3287" t="inlineStr">
        <is>
          <t>4989976</t>
        </is>
      </c>
      <c r="AW3287" t="inlineStr">
        <is>
          <t>991004759799702656</t>
        </is>
      </c>
      <c r="AX3287" t="inlineStr">
        <is>
          <t>991004759799702656</t>
        </is>
      </c>
      <c r="AY3287" t="inlineStr">
        <is>
          <t>2269283550002656</t>
        </is>
      </c>
      <c r="AZ3287" t="inlineStr">
        <is>
          <t>BOOK</t>
        </is>
      </c>
      <c r="BC3287" t="inlineStr">
        <is>
          <t>32285001225332</t>
        </is>
      </c>
      <c r="BD3287" t="inlineStr">
        <is>
          <t>893722590</t>
        </is>
      </c>
    </row>
    <row r="3288">
      <c r="A3288" t="inlineStr">
        <is>
          <t>No</t>
        </is>
      </c>
      <c r="B3288" t="inlineStr">
        <is>
          <t>BX945 .R6 1850</t>
        </is>
      </c>
      <c r="C3288" t="inlineStr">
        <is>
          <t>0                      BX 0945000R  6           1850</t>
        </is>
      </c>
      <c r="D3288" t="inlineStr">
        <is>
          <t>Histoire universelle de l'église catholique / par l'abbé Rohrbacher.</t>
        </is>
      </c>
      <c r="E3288" t="inlineStr">
        <is>
          <t>V.21</t>
        </is>
      </c>
      <c r="F3288" t="inlineStr">
        <is>
          <t>Yes</t>
        </is>
      </c>
      <c r="G3288" t="inlineStr">
        <is>
          <t>1</t>
        </is>
      </c>
      <c r="H3288" t="inlineStr">
        <is>
          <t>No</t>
        </is>
      </c>
      <c r="I3288" t="inlineStr">
        <is>
          <t>No</t>
        </is>
      </c>
      <c r="J3288" t="inlineStr">
        <is>
          <t>0</t>
        </is>
      </c>
      <c r="K3288" t="inlineStr">
        <is>
          <t>Rohrbacher, René François, 1789-1856.</t>
        </is>
      </c>
      <c r="L3288" t="inlineStr">
        <is>
          <t>Paris : Gaume frères, 1850-1853.</t>
        </is>
      </c>
      <c r="M3288" t="inlineStr">
        <is>
          <t>1850</t>
        </is>
      </c>
      <c r="N3288" t="inlineStr">
        <is>
          <t>2. éd. revue et corr.</t>
        </is>
      </c>
      <c r="O3288" t="inlineStr">
        <is>
          <t>fre</t>
        </is>
      </c>
      <c r="P3288" t="inlineStr">
        <is>
          <t xml:space="preserve">fr </t>
        </is>
      </c>
      <c r="R3288" t="inlineStr">
        <is>
          <t xml:space="preserve">BX </t>
        </is>
      </c>
      <c r="S3288" t="n">
        <v>0</v>
      </c>
      <c r="T3288" t="n">
        <v>4</v>
      </c>
      <c r="V3288" t="inlineStr">
        <is>
          <t>2005-08-17</t>
        </is>
      </c>
      <c r="W3288" t="inlineStr">
        <is>
          <t>1992-05-27</t>
        </is>
      </c>
      <c r="X3288" t="inlineStr">
        <is>
          <t>1992-05-27</t>
        </is>
      </c>
      <c r="Y3288" t="n">
        <v>38</v>
      </c>
      <c r="Z3288" t="n">
        <v>27</v>
      </c>
      <c r="AA3288" t="n">
        <v>114</v>
      </c>
      <c r="AB3288" t="n">
        <v>1</v>
      </c>
      <c r="AC3288" t="n">
        <v>2</v>
      </c>
      <c r="AD3288" t="n">
        <v>4</v>
      </c>
      <c r="AE3288" t="n">
        <v>18</v>
      </c>
      <c r="AF3288" t="n">
        <v>1</v>
      </c>
      <c r="AG3288" t="n">
        <v>4</v>
      </c>
      <c r="AH3288" t="n">
        <v>1</v>
      </c>
      <c r="AI3288" t="n">
        <v>5</v>
      </c>
      <c r="AJ3288" t="n">
        <v>3</v>
      </c>
      <c r="AK3288" t="n">
        <v>11</v>
      </c>
      <c r="AL3288" t="n">
        <v>0</v>
      </c>
      <c r="AM3288" t="n">
        <v>1</v>
      </c>
      <c r="AN3288" t="n">
        <v>0</v>
      </c>
      <c r="AO3288" t="n">
        <v>0</v>
      </c>
      <c r="AP3288" t="inlineStr">
        <is>
          <t>No</t>
        </is>
      </c>
      <c r="AQ3288" t="inlineStr">
        <is>
          <t>No</t>
        </is>
      </c>
      <c r="AS3288">
        <f>HYPERLINK("https://creighton-primo.hosted.exlibrisgroup.com/primo-explore/search?tab=default_tab&amp;search_scope=EVERYTHING&amp;vid=01CRU&amp;lang=en_US&amp;offset=0&amp;query=any,contains,991004759799702656","Catalog Record")</f>
        <v/>
      </c>
      <c r="AT3288">
        <f>HYPERLINK("http://www.worldcat.org/oclc/4989976","WorldCat Record")</f>
        <v/>
      </c>
      <c r="AU3288" t="inlineStr">
        <is>
          <t>1338096:fre</t>
        </is>
      </c>
      <c r="AV3288" t="inlineStr">
        <is>
          <t>4989976</t>
        </is>
      </c>
      <c r="AW3288" t="inlineStr">
        <is>
          <t>991004759799702656</t>
        </is>
      </c>
      <c r="AX3288" t="inlineStr">
        <is>
          <t>991004759799702656</t>
        </is>
      </c>
      <c r="AY3288" t="inlineStr">
        <is>
          <t>2269283550002656</t>
        </is>
      </c>
      <c r="AZ3288" t="inlineStr">
        <is>
          <t>BOOK</t>
        </is>
      </c>
      <c r="BC3288" t="inlineStr">
        <is>
          <t>32285001225365</t>
        </is>
      </c>
      <c r="BD3288" t="inlineStr">
        <is>
          <t>893700637</t>
        </is>
      </c>
    </row>
    <row r="3289">
      <c r="A3289" t="inlineStr">
        <is>
          <t>No</t>
        </is>
      </c>
      <c r="B3289" t="inlineStr">
        <is>
          <t>BX945 .R6 1850</t>
        </is>
      </c>
      <c r="C3289" t="inlineStr">
        <is>
          <t>0                      BX 0945000R  6           1850</t>
        </is>
      </c>
      <c r="D3289" t="inlineStr">
        <is>
          <t>Histoire universelle de l'église catholique / par l'abbé Rohrbacher.</t>
        </is>
      </c>
      <c r="E3289" t="inlineStr">
        <is>
          <t>V.25</t>
        </is>
      </c>
      <c r="F3289" t="inlineStr">
        <is>
          <t>Yes</t>
        </is>
      </c>
      <c r="G3289" t="inlineStr">
        <is>
          <t>1</t>
        </is>
      </c>
      <c r="H3289" t="inlineStr">
        <is>
          <t>No</t>
        </is>
      </c>
      <c r="I3289" t="inlineStr">
        <is>
          <t>No</t>
        </is>
      </c>
      <c r="J3289" t="inlineStr">
        <is>
          <t>0</t>
        </is>
      </c>
      <c r="K3289" t="inlineStr">
        <is>
          <t>Rohrbacher, René François, 1789-1856.</t>
        </is>
      </c>
      <c r="L3289" t="inlineStr">
        <is>
          <t>Paris : Gaume frères, 1850-1853.</t>
        </is>
      </c>
      <c r="M3289" t="inlineStr">
        <is>
          <t>1850</t>
        </is>
      </c>
      <c r="N3289" t="inlineStr">
        <is>
          <t>2. éd. revue et corr.</t>
        </is>
      </c>
      <c r="O3289" t="inlineStr">
        <is>
          <t>fre</t>
        </is>
      </c>
      <c r="P3289" t="inlineStr">
        <is>
          <t xml:space="preserve">fr </t>
        </is>
      </c>
      <c r="R3289" t="inlineStr">
        <is>
          <t xml:space="preserve">BX </t>
        </is>
      </c>
      <c r="S3289" t="n">
        <v>0</v>
      </c>
      <c r="T3289" t="n">
        <v>4</v>
      </c>
      <c r="V3289" t="inlineStr">
        <is>
          <t>2005-08-17</t>
        </is>
      </c>
      <c r="W3289" t="inlineStr">
        <is>
          <t>1992-05-27</t>
        </is>
      </c>
      <c r="X3289" t="inlineStr">
        <is>
          <t>1992-05-27</t>
        </is>
      </c>
      <c r="Y3289" t="n">
        <v>38</v>
      </c>
      <c r="Z3289" t="n">
        <v>27</v>
      </c>
      <c r="AA3289" t="n">
        <v>114</v>
      </c>
      <c r="AB3289" t="n">
        <v>1</v>
      </c>
      <c r="AC3289" t="n">
        <v>2</v>
      </c>
      <c r="AD3289" t="n">
        <v>4</v>
      </c>
      <c r="AE3289" t="n">
        <v>18</v>
      </c>
      <c r="AF3289" t="n">
        <v>1</v>
      </c>
      <c r="AG3289" t="n">
        <v>4</v>
      </c>
      <c r="AH3289" t="n">
        <v>1</v>
      </c>
      <c r="AI3289" t="n">
        <v>5</v>
      </c>
      <c r="AJ3289" t="n">
        <v>3</v>
      </c>
      <c r="AK3289" t="n">
        <v>11</v>
      </c>
      <c r="AL3289" t="n">
        <v>0</v>
      </c>
      <c r="AM3289" t="n">
        <v>1</v>
      </c>
      <c r="AN3289" t="n">
        <v>0</v>
      </c>
      <c r="AO3289" t="n">
        <v>0</v>
      </c>
      <c r="AP3289" t="inlineStr">
        <is>
          <t>No</t>
        </is>
      </c>
      <c r="AQ3289" t="inlineStr">
        <is>
          <t>No</t>
        </is>
      </c>
      <c r="AS3289">
        <f>HYPERLINK("https://creighton-primo.hosted.exlibrisgroup.com/primo-explore/search?tab=default_tab&amp;search_scope=EVERYTHING&amp;vid=01CRU&amp;lang=en_US&amp;offset=0&amp;query=any,contains,991004759799702656","Catalog Record")</f>
        <v/>
      </c>
      <c r="AT3289">
        <f>HYPERLINK("http://www.worldcat.org/oclc/4989976","WorldCat Record")</f>
        <v/>
      </c>
      <c r="AU3289" t="inlineStr">
        <is>
          <t>1338096:fre</t>
        </is>
      </c>
      <c r="AV3289" t="inlineStr">
        <is>
          <t>4989976</t>
        </is>
      </c>
      <c r="AW3289" t="inlineStr">
        <is>
          <t>991004759799702656</t>
        </is>
      </c>
      <c r="AX3289" t="inlineStr">
        <is>
          <t>991004759799702656</t>
        </is>
      </c>
      <c r="AY3289" t="inlineStr">
        <is>
          <t>2269283550002656</t>
        </is>
      </c>
      <c r="AZ3289" t="inlineStr">
        <is>
          <t>BOOK</t>
        </is>
      </c>
      <c r="BC3289" t="inlineStr">
        <is>
          <t>32285001225407</t>
        </is>
      </c>
      <c r="BD3289" t="inlineStr">
        <is>
          <t>893700636</t>
        </is>
      </c>
    </row>
    <row r="3290">
      <c r="A3290" t="inlineStr">
        <is>
          <t>No</t>
        </is>
      </c>
      <c r="B3290" t="inlineStr">
        <is>
          <t>BX945 .R6 1850</t>
        </is>
      </c>
      <c r="C3290" t="inlineStr">
        <is>
          <t>0                      BX 0945000R  6           1850</t>
        </is>
      </c>
      <c r="D3290" t="inlineStr">
        <is>
          <t>Histoire universelle de l'église catholique / par l'abbé Rohrbacher.</t>
        </is>
      </c>
      <c r="E3290" t="inlineStr">
        <is>
          <t>V.17</t>
        </is>
      </c>
      <c r="F3290" t="inlineStr">
        <is>
          <t>Yes</t>
        </is>
      </c>
      <c r="G3290" t="inlineStr">
        <is>
          <t>1</t>
        </is>
      </c>
      <c r="H3290" t="inlineStr">
        <is>
          <t>No</t>
        </is>
      </c>
      <c r="I3290" t="inlineStr">
        <is>
          <t>No</t>
        </is>
      </c>
      <c r="J3290" t="inlineStr">
        <is>
          <t>0</t>
        </is>
      </c>
      <c r="K3290" t="inlineStr">
        <is>
          <t>Rohrbacher, René François, 1789-1856.</t>
        </is>
      </c>
      <c r="L3290" t="inlineStr">
        <is>
          <t>Paris : Gaume frères, 1850-1853.</t>
        </is>
      </c>
      <c r="M3290" t="inlineStr">
        <is>
          <t>1850</t>
        </is>
      </c>
      <c r="N3290" t="inlineStr">
        <is>
          <t>2. éd. revue et corr.</t>
        </is>
      </c>
      <c r="O3290" t="inlineStr">
        <is>
          <t>fre</t>
        </is>
      </c>
      <c r="P3290" t="inlineStr">
        <is>
          <t xml:space="preserve">fr </t>
        </is>
      </c>
      <c r="R3290" t="inlineStr">
        <is>
          <t xml:space="preserve">BX </t>
        </is>
      </c>
      <c r="S3290" t="n">
        <v>0</v>
      </c>
      <c r="T3290" t="n">
        <v>4</v>
      </c>
      <c r="V3290" t="inlineStr">
        <is>
          <t>2005-08-17</t>
        </is>
      </c>
      <c r="W3290" t="inlineStr">
        <is>
          <t>1992-05-27</t>
        </is>
      </c>
      <c r="X3290" t="inlineStr">
        <is>
          <t>1992-05-27</t>
        </is>
      </c>
      <c r="Y3290" t="n">
        <v>38</v>
      </c>
      <c r="Z3290" t="n">
        <v>27</v>
      </c>
      <c r="AA3290" t="n">
        <v>114</v>
      </c>
      <c r="AB3290" t="n">
        <v>1</v>
      </c>
      <c r="AC3290" t="n">
        <v>2</v>
      </c>
      <c r="AD3290" t="n">
        <v>4</v>
      </c>
      <c r="AE3290" t="n">
        <v>18</v>
      </c>
      <c r="AF3290" t="n">
        <v>1</v>
      </c>
      <c r="AG3290" t="n">
        <v>4</v>
      </c>
      <c r="AH3290" t="n">
        <v>1</v>
      </c>
      <c r="AI3290" t="n">
        <v>5</v>
      </c>
      <c r="AJ3290" t="n">
        <v>3</v>
      </c>
      <c r="AK3290" t="n">
        <v>11</v>
      </c>
      <c r="AL3290" t="n">
        <v>0</v>
      </c>
      <c r="AM3290" t="n">
        <v>1</v>
      </c>
      <c r="AN3290" t="n">
        <v>0</v>
      </c>
      <c r="AO3290" t="n">
        <v>0</v>
      </c>
      <c r="AP3290" t="inlineStr">
        <is>
          <t>No</t>
        </is>
      </c>
      <c r="AQ3290" t="inlineStr">
        <is>
          <t>No</t>
        </is>
      </c>
      <c r="AS3290">
        <f>HYPERLINK("https://creighton-primo.hosted.exlibrisgroup.com/primo-explore/search?tab=default_tab&amp;search_scope=EVERYTHING&amp;vid=01CRU&amp;lang=en_US&amp;offset=0&amp;query=any,contains,991004759799702656","Catalog Record")</f>
        <v/>
      </c>
      <c r="AT3290">
        <f>HYPERLINK("http://www.worldcat.org/oclc/4989976","WorldCat Record")</f>
        <v/>
      </c>
      <c r="AU3290" t="inlineStr">
        <is>
          <t>1338096:fre</t>
        </is>
      </c>
      <c r="AV3290" t="inlineStr">
        <is>
          <t>4989976</t>
        </is>
      </c>
      <c r="AW3290" t="inlineStr">
        <is>
          <t>991004759799702656</t>
        </is>
      </c>
      <c r="AX3290" t="inlineStr">
        <is>
          <t>991004759799702656</t>
        </is>
      </c>
      <c r="AY3290" t="inlineStr">
        <is>
          <t>2269283550002656</t>
        </is>
      </c>
      <c r="AZ3290" t="inlineStr">
        <is>
          <t>BOOK</t>
        </is>
      </c>
      <c r="BC3290" t="inlineStr">
        <is>
          <t>32285001225324</t>
        </is>
      </c>
      <c r="BD3290" t="inlineStr">
        <is>
          <t>893722591</t>
        </is>
      </c>
    </row>
    <row r="3291">
      <c r="A3291" t="inlineStr">
        <is>
          <t>No</t>
        </is>
      </c>
      <c r="B3291" t="inlineStr">
        <is>
          <t>BX945 .R6 1850</t>
        </is>
      </c>
      <c r="C3291" t="inlineStr">
        <is>
          <t>0                      BX 0945000R  6           1850</t>
        </is>
      </c>
      <c r="D3291" t="inlineStr">
        <is>
          <t>Histoire universelle de l'église catholique / par l'abbé Rohrbacher.</t>
        </is>
      </c>
      <c r="E3291" t="inlineStr">
        <is>
          <t>V.14</t>
        </is>
      </c>
      <c r="F3291" t="inlineStr">
        <is>
          <t>Yes</t>
        </is>
      </c>
      <c r="G3291" t="inlineStr">
        <is>
          <t>1</t>
        </is>
      </c>
      <c r="H3291" t="inlineStr">
        <is>
          <t>No</t>
        </is>
      </c>
      <c r="I3291" t="inlineStr">
        <is>
          <t>No</t>
        </is>
      </c>
      <c r="J3291" t="inlineStr">
        <is>
          <t>0</t>
        </is>
      </c>
      <c r="K3291" t="inlineStr">
        <is>
          <t>Rohrbacher, René François, 1789-1856.</t>
        </is>
      </c>
      <c r="L3291" t="inlineStr">
        <is>
          <t>Paris : Gaume frères, 1850-1853.</t>
        </is>
      </c>
      <c r="M3291" t="inlineStr">
        <is>
          <t>1850</t>
        </is>
      </c>
      <c r="N3291" t="inlineStr">
        <is>
          <t>2. éd. revue et corr.</t>
        </is>
      </c>
      <c r="O3291" t="inlineStr">
        <is>
          <t>fre</t>
        </is>
      </c>
      <c r="P3291" t="inlineStr">
        <is>
          <t xml:space="preserve">fr </t>
        </is>
      </c>
      <c r="R3291" t="inlineStr">
        <is>
          <t xml:space="preserve">BX </t>
        </is>
      </c>
      <c r="S3291" t="n">
        <v>0</v>
      </c>
      <c r="T3291" t="n">
        <v>4</v>
      </c>
      <c r="V3291" t="inlineStr">
        <is>
          <t>2005-08-17</t>
        </is>
      </c>
      <c r="W3291" t="inlineStr">
        <is>
          <t>1992-05-27</t>
        </is>
      </c>
      <c r="X3291" t="inlineStr">
        <is>
          <t>1992-05-27</t>
        </is>
      </c>
      <c r="Y3291" t="n">
        <v>38</v>
      </c>
      <c r="Z3291" t="n">
        <v>27</v>
      </c>
      <c r="AA3291" t="n">
        <v>114</v>
      </c>
      <c r="AB3291" t="n">
        <v>1</v>
      </c>
      <c r="AC3291" t="n">
        <v>2</v>
      </c>
      <c r="AD3291" t="n">
        <v>4</v>
      </c>
      <c r="AE3291" t="n">
        <v>18</v>
      </c>
      <c r="AF3291" t="n">
        <v>1</v>
      </c>
      <c r="AG3291" t="n">
        <v>4</v>
      </c>
      <c r="AH3291" t="n">
        <v>1</v>
      </c>
      <c r="AI3291" t="n">
        <v>5</v>
      </c>
      <c r="AJ3291" t="n">
        <v>3</v>
      </c>
      <c r="AK3291" t="n">
        <v>11</v>
      </c>
      <c r="AL3291" t="n">
        <v>0</v>
      </c>
      <c r="AM3291" t="n">
        <v>1</v>
      </c>
      <c r="AN3291" t="n">
        <v>0</v>
      </c>
      <c r="AO3291" t="n">
        <v>0</v>
      </c>
      <c r="AP3291" t="inlineStr">
        <is>
          <t>No</t>
        </is>
      </c>
      <c r="AQ3291" t="inlineStr">
        <is>
          <t>No</t>
        </is>
      </c>
      <c r="AS3291">
        <f>HYPERLINK("https://creighton-primo.hosted.exlibrisgroup.com/primo-explore/search?tab=default_tab&amp;search_scope=EVERYTHING&amp;vid=01CRU&amp;lang=en_US&amp;offset=0&amp;query=any,contains,991004759799702656","Catalog Record")</f>
        <v/>
      </c>
      <c r="AT3291">
        <f>HYPERLINK("http://www.worldcat.org/oclc/4989976","WorldCat Record")</f>
        <v/>
      </c>
      <c r="AU3291" t="inlineStr">
        <is>
          <t>1338096:fre</t>
        </is>
      </c>
      <c r="AV3291" t="inlineStr">
        <is>
          <t>4989976</t>
        </is>
      </c>
      <c r="AW3291" t="inlineStr">
        <is>
          <t>991004759799702656</t>
        </is>
      </c>
      <c r="AX3291" t="inlineStr">
        <is>
          <t>991004759799702656</t>
        </is>
      </c>
      <c r="AY3291" t="inlineStr">
        <is>
          <t>2269283550002656</t>
        </is>
      </c>
      <c r="AZ3291" t="inlineStr">
        <is>
          <t>BOOK</t>
        </is>
      </c>
      <c r="BC3291" t="inlineStr">
        <is>
          <t>32285001225290</t>
        </is>
      </c>
      <c r="BD3291" t="inlineStr">
        <is>
          <t>893722592</t>
        </is>
      </c>
    </row>
    <row r="3292">
      <c r="A3292" t="inlineStr">
        <is>
          <t>No</t>
        </is>
      </c>
      <c r="B3292" t="inlineStr">
        <is>
          <t>BX945 .R6 1850</t>
        </is>
      </c>
      <c r="C3292" t="inlineStr">
        <is>
          <t>0                      BX 0945000R  6           1850</t>
        </is>
      </c>
      <c r="D3292" t="inlineStr">
        <is>
          <t>Histoire universelle de l'église catholique / par l'abbé Rohrbacher.</t>
        </is>
      </c>
      <c r="E3292" t="inlineStr">
        <is>
          <t>V.22</t>
        </is>
      </c>
      <c r="F3292" t="inlineStr">
        <is>
          <t>Yes</t>
        </is>
      </c>
      <c r="G3292" t="inlineStr">
        <is>
          <t>1</t>
        </is>
      </c>
      <c r="H3292" t="inlineStr">
        <is>
          <t>No</t>
        </is>
      </c>
      <c r="I3292" t="inlineStr">
        <is>
          <t>No</t>
        </is>
      </c>
      <c r="J3292" t="inlineStr">
        <is>
          <t>0</t>
        </is>
      </c>
      <c r="K3292" t="inlineStr">
        <is>
          <t>Rohrbacher, René François, 1789-1856.</t>
        </is>
      </c>
      <c r="L3292" t="inlineStr">
        <is>
          <t>Paris : Gaume frères, 1850-1853.</t>
        </is>
      </c>
      <c r="M3292" t="inlineStr">
        <is>
          <t>1850</t>
        </is>
      </c>
      <c r="N3292" t="inlineStr">
        <is>
          <t>2. éd. revue et corr.</t>
        </is>
      </c>
      <c r="O3292" t="inlineStr">
        <is>
          <t>fre</t>
        </is>
      </c>
      <c r="P3292" t="inlineStr">
        <is>
          <t xml:space="preserve">fr </t>
        </is>
      </c>
      <c r="R3292" t="inlineStr">
        <is>
          <t xml:space="preserve">BX </t>
        </is>
      </c>
      <c r="S3292" t="n">
        <v>0</v>
      </c>
      <c r="T3292" t="n">
        <v>4</v>
      </c>
      <c r="V3292" t="inlineStr">
        <is>
          <t>2005-08-17</t>
        </is>
      </c>
      <c r="W3292" t="inlineStr">
        <is>
          <t>1992-05-27</t>
        </is>
      </c>
      <c r="X3292" t="inlineStr">
        <is>
          <t>1992-05-27</t>
        </is>
      </c>
      <c r="Y3292" t="n">
        <v>38</v>
      </c>
      <c r="Z3292" t="n">
        <v>27</v>
      </c>
      <c r="AA3292" t="n">
        <v>114</v>
      </c>
      <c r="AB3292" t="n">
        <v>1</v>
      </c>
      <c r="AC3292" t="n">
        <v>2</v>
      </c>
      <c r="AD3292" t="n">
        <v>4</v>
      </c>
      <c r="AE3292" t="n">
        <v>18</v>
      </c>
      <c r="AF3292" t="n">
        <v>1</v>
      </c>
      <c r="AG3292" t="n">
        <v>4</v>
      </c>
      <c r="AH3292" t="n">
        <v>1</v>
      </c>
      <c r="AI3292" t="n">
        <v>5</v>
      </c>
      <c r="AJ3292" t="n">
        <v>3</v>
      </c>
      <c r="AK3292" t="n">
        <v>11</v>
      </c>
      <c r="AL3292" t="n">
        <v>0</v>
      </c>
      <c r="AM3292" t="n">
        <v>1</v>
      </c>
      <c r="AN3292" t="n">
        <v>0</v>
      </c>
      <c r="AO3292" t="n">
        <v>0</v>
      </c>
      <c r="AP3292" t="inlineStr">
        <is>
          <t>No</t>
        </is>
      </c>
      <c r="AQ3292" t="inlineStr">
        <is>
          <t>No</t>
        </is>
      </c>
      <c r="AS3292">
        <f>HYPERLINK("https://creighton-primo.hosted.exlibrisgroup.com/primo-explore/search?tab=default_tab&amp;search_scope=EVERYTHING&amp;vid=01CRU&amp;lang=en_US&amp;offset=0&amp;query=any,contains,991004759799702656","Catalog Record")</f>
        <v/>
      </c>
      <c r="AT3292">
        <f>HYPERLINK("http://www.worldcat.org/oclc/4989976","WorldCat Record")</f>
        <v/>
      </c>
      <c r="AU3292" t="inlineStr">
        <is>
          <t>1338096:fre</t>
        </is>
      </c>
      <c r="AV3292" t="inlineStr">
        <is>
          <t>4989976</t>
        </is>
      </c>
      <c r="AW3292" t="inlineStr">
        <is>
          <t>991004759799702656</t>
        </is>
      </c>
      <c r="AX3292" t="inlineStr">
        <is>
          <t>991004759799702656</t>
        </is>
      </c>
      <c r="AY3292" t="inlineStr">
        <is>
          <t>2269283550002656</t>
        </is>
      </c>
      <c r="AZ3292" t="inlineStr">
        <is>
          <t>BOOK</t>
        </is>
      </c>
      <c r="BC3292" t="inlineStr">
        <is>
          <t>32285001225373</t>
        </is>
      </c>
      <c r="BD3292" t="inlineStr">
        <is>
          <t>893694315</t>
        </is>
      </c>
    </row>
    <row r="3293">
      <c r="A3293" t="inlineStr">
        <is>
          <t>No</t>
        </is>
      </c>
      <c r="B3293" t="inlineStr">
        <is>
          <t>BX945 .R6 1850</t>
        </is>
      </c>
      <c r="C3293" t="inlineStr">
        <is>
          <t>0                      BX 0945000R  6           1850</t>
        </is>
      </c>
      <c r="D3293" t="inlineStr">
        <is>
          <t>Histoire universelle de l'église catholique / par l'abbé Rohrbacher.</t>
        </is>
      </c>
      <c r="E3293" t="inlineStr">
        <is>
          <t>V.3</t>
        </is>
      </c>
      <c r="F3293" t="inlineStr">
        <is>
          <t>Yes</t>
        </is>
      </c>
      <c r="G3293" t="inlineStr">
        <is>
          <t>1</t>
        </is>
      </c>
      <c r="H3293" t="inlineStr">
        <is>
          <t>No</t>
        </is>
      </c>
      <c r="I3293" t="inlineStr">
        <is>
          <t>No</t>
        </is>
      </c>
      <c r="J3293" t="inlineStr">
        <is>
          <t>0</t>
        </is>
      </c>
      <c r="K3293" t="inlineStr">
        <is>
          <t>Rohrbacher, René François, 1789-1856.</t>
        </is>
      </c>
      <c r="L3293" t="inlineStr">
        <is>
          <t>Paris : Gaume frères, 1850-1853.</t>
        </is>
      </c>
      <c r="M3293" t="inlineStr">
        <is>
          <t>1850</t>
        </is>
      </c>
      <c r="N3293" t="inlineStr">
        <is>
          <t>2. éd. revue et corr.</t>
        </is>
      </c>
      <c r="O3293" t="inlineStr">
        <is>
          <t>fre</t>
        </is>
      </c>
      <c r="P3293" t="inlineStr">
        <is>
          <t xml:space="preserve">fr </t>
        </is>
      </c>
      <c r="R3293" t="inlineStr">
        <is>
          <t xml:space="preserve">BX </t>
        </is>
      </c>
      <c r="S3293" t="n">
        <v>0</v>
      </c>
      <c r="T3293" t="n">
        <v>4</v>
      </c>
      <c r="V3293" t="inlineStr">
        <is>
          <t>2005-08-17</t>
        </is>
      </c>
      <c r="W3293" t="inlineStr">
        <is>
          <t>1992-05-27</t>
        </is>
      </c>
      <c r="X3293" t="inlineStr">
        <is>
          <t>1992-05-27</t>
        </is>
      </c>
      <c r="Y3293" t="n">
        <v>38</v>
      </c>
      <c r="Z3293" t="n">
        <v>27</v>
      </c>
      <c r="AA3293" t="n">
        <v>114</v>
      </c>
      <c r="AB3293" t="n">
        <v>1</v>
      </c>
      <c r="AC3293" t="n">
        <v>2</v>
      </c>
      <c r="AD3293" t="n">
        <v>4</v>
      </c>
      <c r="AE3293" t="n">
        <v>18</v>
      </c>
      <c r="AF3293" t="n">
        <v>1</v>
      </c>
      <c r="AG3293" t="n">
        <v>4</v>
      </c>
      <c r="AH3293" t="n">
        <v>1</v>
      </c>
      <c r="AI3293" t="n">
        <v>5</v>
      </c>
      <c r="AJ3293" t="n">
        <v>3</v>
      </c>
      <c r="AK3293" t="n">
        <v>11</v>
      </c>
      <c r="AL3293" t="n">
        <v>0</v>
      </c>
      <c r="AM3293" t="n">
        <v>1</v>
      </c>
      <c r="AN3293" t="n">
        <v>0</v>
      </c>
      <c r="AO3293" t="n">
        <v>0</v>
      </c>
      <c r="AP3293" t="inlineStr">
        <is>
          <t>No</t>
        </is>
      </c>
      <c r="AQ3293" t="inlineStr">
        <is>
          <t>No</t>
        </is>
      </c>
      <c r="AS3293">
        <f>HYPERLINK("https://creighton-primo.hosted.exlibrisgroup.com/primo-explore/search?tab=default_tab&amp;search_scope=EVERYTHING&amp;vid=01CRU&amp;lang=en_US&amp;offset=0&amp;query=any,contains,991004759799702656","Catalog Record")</f>
        <v/>
      </c>
      <c r="AT3293">
        <f>HYPERLINK("http://www.worldcat.org/oclc/4989976","WorldCat Record")</f>
        <v/>
      </c>
      <c r="AU3293" t="inlineStr">
        <is>
          <t>1338096:fre</t>
        </is>
      </c>
      <c r="AV3293" t="inlineStr">
        <is>
          <t>4989976</t>
        </is>
      </c>
      <c r="AW3293" t="inlineStr">
        <is>
          <t>991004759799702656</t>
        </is>
      </c>
      <c r="AX3293" t="inlineStr">
        <is>
          <t>991004759799702656</t>
        </is>
      </c>
      <c r="AY3293" t="inlineStr">
        <is>
          <t>2269283550002656</t>
        </is>
      </c>
      <c r="AZ3293" t="inlineStr">
        <is>
          <t>BOOK</t>
        </is>
      </c>
      <c r="BC3293" t="inlineStr">
        <is>
          <t>32285001225191</t>
        </is>
      </c>
      <c r="BD3293" t="inlineStr">
        <is>
          <t>893700634</t>
        </is>
      </c>
    </row>
    <row r="3294">
      <c r="A3294" t="inlineStr">
        <is>
          <t>No</t>
        </is>
      </c>
      <c r="B3294" t="inlineStr">
        <is>
          <t>BX945 .R6 1850</t>
        </is>
      </c>
      <c r="C3294" t="inlineStr">
        <is>
          <t>0                      BX 0945000R  6           1850</t>
        </is>
      </c>
      <c r="D3294" t="inlineStr">
        <is>
          <t>Histoire universelle de l'église catholique / par l'abbé Rohrbacher.</t>
        </is>
      </c>
      <c r="E3294" t="inlineStr">
        <is>
          <t>V.24</t>
        </is>
      </c>
      <c r="F3294" t="inlineStr">
        <is>
          <t>Yes</t>
        </is>
      </c>
      <c r="G3294" t="inlineStr">
        <is>
          <t>1</t>
        </is>
      </c>
      <c r="H3294" t="inlineStr">
        <is>
          <t>No</t>
        </is>
      </c>
      <c r="I3294" t="inlineStr">
        <is>
          <t>No</t>
        </is>
      </c>
      <c r="J3294" t="inlineStr">
        <is>
          <t>0</t>
        </is>
      </c>
      <c r="K3294" t="inlineStr">
        <is>
          <t>Rohrbacher, René François, 1789-1856.</t>
        </is>
      </c>
      <c r="L3294" t="inlineStr">
        <is>
          <t>Paris : Gaume frères, 1850-1853.</t>
        </is>
      </c>
      <c r="M3294" t="inlineStr">
        <is>
          <t>1850</t>
        </is>
      </c>
      <c r="N3294" t="inlineStr">
        <is>
          <t>2. éd. revue et corr.</t>
        </is>
      </c>
      <c r="O3294" t="inlineStr">
        <is>
          <t>fre</t>
        </is>
      </c>
      <c r="P3294" t="inlineStr">
        <is>
          <t xml:space="preserve">fr </t>
        </is>
      </c>
      <c r="R3294" t="inlineStr">
        <is>
          <t xml:space="preserve">BX </t>
        </is>
      </c>
      <c r="S3294" t="n">
        <v>0</v>
      </c>
      <c r="T3294" t="n">
        <v>4</v>
      </c>
      <c r="V3294" t="inlineStr">
        <is>
          <t>2005-08-17</t>
        </is>
      </c>
      <c r="W3294" t="inlineStr">
        <is>
          <t>1992-05-27</t>
        </is>
      </c>
      <c r="X3294" t="inlineStr">
        <is>
          <t>1992-05-27</t>
        </is>
      </c>
      <c r="Y3294" t="n">
        <v>38</v>
      </c>
      <c r="Z3294" t="n">
        <v>27</v>
      </c>
      <c r="AA3294" t="n">
        <v>114</v>
      </c>
      <c r="AB3294" t="n">
        <v>1</v>
      </c>
      <c r="AC3294" t="n">
        <v>2</v>
      </c>
      <c r="AD3294" t="n">
        <v>4</v>
      </c>
      <c r="AE3294" t="n">
        <v>18</v>
      </c>
      <c r="AF3294" t="n">
        <v>1</v>
      </c>
      <c r="AG3294" t="n">
        <v>4</v>
      </c>
      <c r="AH3294" t="n">
        <v>1</v>
      </c>
      <c r="AI3294" t="n">
        <v>5</v>
      </c>
      <c r="AJ3294" t="n">
        <v>3</v>
      </c>
      <c r="AK3294" t="n">
        <v>11</v>
      </c>
      <c r="AL3294" t="n">
        <v>0</v>
      </c>
      <c r="AM3294" t="n">
        <v>1</v>
      </c>
      <c r="AN3294" t="n">
        <v>0</v>
      </c>
      <c r="AO3294" t="n">
        <v>0</v>
      </c>
      <c r="AP3294" t="inlineStr">
        <is>
          <t>No</t>
        </is>
      </c>
      <c r="AQ3294" t="inlineStr">
        <is>
          <t>No</t>
        </is>
      </c>
      <c r="AS3294">
        <f>HYPERLINK("https://creighton-primo.hosted.exlibrisgroup.com/primo-explore/search?tab=default_tab&amp;search_scope=EVERYTHING&amp;vid=01CRU&amp;lang=en_US&amp;offset=0&amp;query=any,contains,991004759799702656","Catalog Record")</f>
        <v/>
      </c>
      <c r="AT3294">
        <f>HYPERLINK("http://www.worldcat.org/oclc/4989976","WorldCat Record")</f>
        <v/>
      </c>
      <c r="AU3294" t="inlineStr">
        <is>
          <t>1338096:fre</t>
        </is>
      </c>
      <c r="AV3294" t="inlineStr">
        <is>
          <t>4989976</t>
        </is>
      </c>
      <c r="AW3294" t="inlineStr">
        <is>
          <t>991004759799702656</t>
        </is>
      </c>
      <c r="AX3294" t="inlineStr">
        <is>
          <t>991004759799702656</t>
        </is>
      </c>
      <c r="AY3294" t="inlineStr">
        <is>
          <t>2269283550002656</t>
        </is>
      </c>
      <c r="AZ3294" t="inlineStr">
        <is>
          <t>BOOK</t>
        </is>
      </c>
      <c r="BC3294" t="inlineStr">
        <is>
          <t>32285001225399</t>
        </is>
      </c>
      <c r="BD3294" t="inlineStr">
        <is>
          <t>893694313</t>
        </is>
      </c>
    </row>
    <row r="3295">
      <c r="A3295" t="inlineStr">
        <is>
          <t>No</t>
        </is>
      </c>
      <c r="B3295" t="inlineStr">
        <is>
          <t>BX945 .R6 1850</t>
        </is>
      </c>
      <c r="C3295" t="inlineStr">
        <is>
          <t>0                      BX 0945000R  6           1850</t>
        </is>
      </c>
      <c r="D3295" t="inlineStr">
        <is>
          <t>Histoire universelle de l'église catholique / par l'abbé Rohrbacher.</t>
        </is>
      </c>
      <c r="E3295" t="inlineStr">
        <is>
          <t>V.26</t>
        </is>
      </c>
      <c r="F3295" t="inlineStr">
        <is>
          <t>Yes</t>
        </is>
      </c>
      <c r="G3295" t="inlineStr">
        <is>
          <t>1</t>
        </is>
      </c>
      <c r="H3295" t="inlineStr">
        <is>
          <t>No</t>
        </is>
      </c>
      <c r="I3295" t="inlineStr">
        <is>
          <t>No</t>
        </is>
      </c>
      <c r="J3295" t="inlineStr">
        <is>
          <t>0</t>
        </is>
      </c>
      <c r="K3295" t="inlineStr">
        <is>
          <t>Rohrbacher, René François, 1789-1856.</t>
        </is>
      </c>
      <c r="L3295" t="inlineStr">
        <is>
          <t>Paris : Gaume frères, 1850-1853.</t>
        </is>
      </c>
      <c r="M3295" t="inlineStr">
        <is>
          <t>1850</t>
        </is>
      </c>
      <c r="N3295" t="inlineStr">
        <is>
          <t>2. éd. revue et corr.</t>
        </is>
      </c>
      <c r="O3295" t="inlineStr">
        <is>
          <t>fre</t>
        </is>
      </c>
      <c r="P3295" t="inlineStr">
        <is>
          <t xml:space="preserve">fr </t>
        </is>
      </c>
      <c r="R3295" t="inlineStr">
        <is>
          <t xml:space="preserve">BX </t>
        </is>
      </c>
      <c r="S3295" t="n">
        <v>0</v>
      </c>
      <c r="T3295" t="n">
        <v>4</v>
      </c>
      <c r="V3295" t="inlineStr">
        <is>
          <t>2005-08-17</t>
        </is>
      </c>
      <c r="W3295" t="inlineStr">
        <is>
          <t>1992-05-27</t>
        </is>
      </c>
      <c r="X3295" t="inlineStr">
        <is>
          <t>1992-05-27</t>
        </is>
      </c>
      <c r="Y3295" t="n">
        <v>38</v>
      </c>
      <c r="Z3295" t="n">
        <v>27</v>
      </c>
      <c r="AA3295" t="n">
        <v>114</v>
      </c>
      <c r="AB3295" t="n">
        <v>1</v>
      </c>
      <c r="AC3295" t="n">
        <v>2</v>
      </c>
      <c r="AD3295" t="n">
        <v>4</v>
      </c>
      <c r="AE3295" t="n">
        <v>18</v>
      </c>
      <c r="AF3295" t="n">
        <v>1</v>
      </c>
      <c r="AG3295" t="n">
        <v>4</v>
      </c>
      <c r="AH3295" t="n">
        <v>1</v>
      </c>
      <c r="AI3295" t="n">
        <v>5</v>
      </c>
      <c r="AJ3295" t="n">
        <v>3</v>
      </c>
      <c r="AK3295" t="n">
        <v>11</v>
      </c>
      <c r="AL3295" t="n">
        <v>0</v>
      </c>
      <c r="AM3295" t="n">
        <v>1</v>
      </c>
      <c r="AN3295" t="n">
        <v>0</v>
      </c>
      <c r="AO3295" t="n">
        <v>0</v>
      </c>
      <c r="AP3295" t="inlineStr">
        <is>
          <t>No</t>
        </is>
      </c>
      <c r="AQ3295" t="inlineStr">
        <is>
          <t>No</t>
        </is>
      </c>
      <c r="AS3295">
        <f>HYPERLINK("https://creighton-primo.hosted.exlibrisgroup.com/primo-explore/search?tab=default_tab&amp;search_scope=EVERYTHING&amp;vid=01CRU&amp;lang=en_US&amp;offset=0&amp;query=any,contains,991004759799702656","Catalog Record")</f>
        <v/>
      </c>
      <c r="AT3295">
        <f>HYPERLINK("http://www.worldcat.org/oclc/4989976","WorldCat Record")</f>
        <v/>
      </c>
      <c r="AU3295" t="inlineStr">
        <is>
          <t>1338096:fre</t>
        </is>
      </c>
      <c r="AV3295" t="inlineStr">
        <is>
          <t>4989976</t>
        </is>
      </c>
      <c r="AW3295" t="inlineStr">
        <is>
          <t>991004759799702656</t>
        </is>
      </c>
      <c r="AX3295" t="inlineStr">
        <is>
          <t>991004759799702656</t>
        </is>
      </c>
      <c r="AY3295" t="inlineStr">
        <is>
          <t>2269283550002656</t>
        </is>
      </c>
      <c r="AZ3295" t="inlineStr">
        <is>
          <t>BOOK</t>
        </is>
      </c>
      <c r="BC3295" t="inlineStr">
        <is>
          <t>32285001225415</t>
        </is>
      </c>
      <c r="BD3295" t="inlineStr">
        <is>
          <t>893700635</t>
        </is>
      </c>
    </row>
    <row r="3296">
      <c r="A3296" t="inlineStr">
        <is>
          <t>No</t>
        </is>
      </c>
      <c r="B3296" t="inlineStr">
        <is>
          <t>BX945 .R6 1850</t>
        </is>
      </c>
      <c r="C3296" t="inlineStr">
        <is>
          <t>0                      BX 0945000R  6           1850</t>
        </is>
      </c>
      <c r="D3296" t="inlineStr">
        <is>
          <t>Histoire universelle de l'église catholique / par l'abbé Rohrbacher.</t>
        </is>
      </c>
      <c r="E3296" t="inlineStr">
        <is>
          <t>V.27</t>
        </is>
      </c>
      <c r="F3296" t="inlineStr">
        <is>
          <t>Yes</t>
        </is>
      </c>
      <c r="G3296" t="inlineStr">
        <is>
          <t>1</t>
        </is>
      </c>
      <c r="H3296" t="inlineStr">
        <is>
          <t>No</t>
        </is>
      </c>
      <c r="I3296" t="inlineStr">
        <is>
          <t>No</t>
        </is>
      </c>
      <c r="J3296" t="inlineStr">
        <is>
          <t>0</t>
        </is>
      </c>
      <c r="K3296" t="inlineStr">
        <is>
          <t>Rohrbacher, René François, 1789-1856.</t>
        </is>
      </c>
      <c r="L3296" t="inlineStr">
        <is>
          <t>Paris : Gaume frères, 1850-1853.</t>
        </is>
      </c>
      <c r="M3296" t="inlineStr">
        <is>
          <t>1850</t>
        </is>
      </c>
      <c r="N3296" t="inlineStr">
        <is>
          <t>2. éd. revue et corr.</t>
        </is>
      </c>
      <c r="O3296" t="inlineStr">
        <is>
          <t>fre</t>
        </is>
      </c>
      <c r="P3296" t="inlineStr">
        <is>
          <t xml:space="preserve">fr </t>
        </is>
      </c>
      <c r="R3296" t="inlineStr">
        <is>
          <t xml:space="preserve">BX </t>
        </is>
      </c>
      <c r="S3296" t="n">
        <v>0</v>
      </c>
      <c r="T3296" t="n">
        <v>4</v>
      </c>
      <c r="V3296" t="inlineStr">
        <is>
          <t>2005-08-17</t>
        </is>
      </c>
      <c r="W3296" t="inlineStr">
        <is>
          <t>1992-05-27</t>
        </is>
      </c>
      <c r="X3296" t="inlineStr">
        <is>
          <t>1992-05-27</t>
        </is>
      </c>
      <c r="Y3296" t="n">
        <v>38</v>
      </c>
      <c r="Z3296" t="n">
        <v>27</v>
      </c>
      <c r="AA3296" t="n">
        <v>114</v>
      </c>
      <c r="AB3296" t="n">
        <v>1</v>
      </c>
      <c r="AC3296" t="n">
        <v>2</v>
      </c>
      <c r="AD3296" t="n">
        <v>4</v>
      </c>
      <c r="AE3296" t="n">
        <v>18</v>
      </c>
      <c r="AF3296" t="n">
        <v>1</v>
      </c>
      <c r="AG3296" t="n">
        <v>4</v>
      </c>
      <c r="AH3296" t="n">
        <v>1</v>
      </c>
      <c r="AI3296" t="n">
        <v>5</v>
      </c>
      <c r="AJ3296" t="n">
        <v>3</v>
      </c>
      <c r="AK3296" t="n">
        <v>11</v>
      </c>
      <c r="AL3296" t="n">
        <v>0</v>
      </c>
      <c r="AM3296" t="n">
        <v>1</v>
      </c>
      <c r="AN3296" t="n">
        <v>0</v>
      </c>
      <c r="AO3296" t="n">
        <v>0</v>
      </c>
      <c r="AP3296" t="inlineStr">
        <is>
          <t>No</t>
        </is>
      </c>
      <c r="AQ3296" t="inlineStr">
        <is>
          <t>No</t>
        </is>
      </c>
      <c r="AS3296">
        <f>HYPERLINK("https://creighton-primo.hosted.exlibrisgroup.com/primo-explore/search?tab=default_tab&amp;search_scope=EVERYTHING&amp;vid=01CRU&amp;lang=en_US&amp;offset=0&amp;query=any,contains,991004759799702656","Catalog Record")</f>
        <v/>
      </c>
      <c r="AT3296">
        <f>HYPERLINK("http://www.worldcat.org/oclc/4989976","WorldCat Record")</f>
        <v/>
      </c>
      <c r="AU3296" t="inlineStr">
        <is>
          <t>1338096:fre</t>
        </is>
      </c>
      <c r="AV3296" t="inlineStr">
        <is>
          <t>4989976</t>
        </is>
      </c>
      <c r="AW3296" t="inlineStr">
        <is>
          <t>991004759799702656</t>
        </is>
      </c>
      <c r="AX3296" t="inlineStr">
        <is>
          <t>991004759799702656</t>
        </is>
      </c>
      <c r="AY3296" t="inlineStr">
        <is>
          <t>2269283550002656</t>
        </is>
      </c>
      <c r="AZ3296" t="inlineStr">
        <is>
          <t>BOOK</t>
        </is>
      </c>
      <c r="BC3296" t="inlineStr">
        <is>
          <t>32285001225423</t>
        </is>
      </c>
      <c r="BD3296" t="inlineStr">
        <is>
          <t>893719345</t>
        </is>
      </c>
    </row>
    <row r="3297">
      <c r="A3297" t="inlineStr">
        <is>
          <t>No</t>
        </is>
      </c>
      <c r="B3297" t="inlineStr">
        <is>
          <t>BX945 .R6 1850</t>
        </is>
      </c>
      <c r="C3297" t="inlineStr">
        <is>
          <t>0                      BX 0945000R  6           1850</t>
        </is>
      </c>
      <c r="D3297" t="inlineStr">
        <is>
          <t>Histoire universelle de l'église catholique / par l'abbé Rohrbacher.</t>
        </is>
      </c>
      <c r="E3297" t="inlineStr">
        <is>
          <t>V.20</t>
        </is>
      </c>
      <c r="F3297" t="inlineStr">
        <is>
          <t>Yes</t>
        </is>
      </c>
      <c r="G3297" t="inlineStr">
        <is>
          <t>1</t>
        </is>
      </c>
      <c r="H3297" t="inlineStr">
        <is>
          <t>No</t>
        </is>
      </c>
      <c r="I3297" t="inlineStr">
        <is>
          <t>No</t>
        </is>
      </c>
      <c r="J3297" t="inlineStr">
        <is>
          <t>0</t>
        </is>
      </c>
      <c r="K3297" t="inlineStr">
        <is>
          <t>Rohrbacher, René François, 1789-1856.</t>
        </is>
      </c>
      <c r="L3297" t="inlineStr">
        <is>
          <t>Paris : Gaume frères, 1850-1853.</t>
        </is>
      </c>
      <c r="M3297" t="inlineStr">
        <is>
          <t>1850</t>
        </is>
      </c>
      <c r="N3297" t="inlineStr">
        <is>
          <t>2. éd. revue et corr.</t>
        </is>
      </c>
      <c r="O3297" t="inlineStr">
        <is>
          <t>fre</t>
        </is>
      </c>
      <c r="P3297" t="inlineStr">
        <is>
          <t xml:space="preserve">fr </t>
        </is>
      </c>
      <c r="R3297" t="inlineStr">
        <is>
          <t xml:space="preserve">BX </t>
        </is>
      </c>
      <c r="S3297" t="n">
        <v>0</v>
      </c>
      <c r="T3297" t="n">
        <v>4</v>
      </c>
      <c r="V3297" t="inlineStr">
        <is>
          <t>2005-08-17</t>
        </is>
      </c>
      <c r="W3297" t="inlineStr">
        <is>
          <t>1992-05-27</t>
        </is>
      </c>
      <c r="X3297" t="inlineStr">
        <is>
          <t>1992-05-27</t>
        </is>
      </c>
      <c r="Y3297" t="n">
        <v>38</v>
      </c>
      <c r="Z3297" t="n">
        <v>27</v>
      </c>
      <c r="AA3297" t="n">
        <v>114</v>
      </c>
      <c r="AB3297" t="n">
        <v>1</v>
      </c>
      <c r="AC3297" t="n">
        <v>2</v>
      </c>
      <c r="AD3297" t="n">
        <v>4</v>
      </c>
      <c r="AE3297" t="n">
        <v>18</v>
      </c>
      <c r="AF3297" t="n">
        <v>1</v>
      </c>
      <c r="AG3297" t="n">
        <v>4</v>
      </c>
      <c r="AH3297" t="n">
        <v>1</v>
      </c>
      <c r="AI3297" t="n">
        <v>5</v>
      </c>
      <c r="AJ3297" t="n">
        <v>3</v>
      </c>
      <c r="AK3297" t="n">
        <v>11</v>
      </c>
      <c r="AL3297" t="n">
        <v>0</v>
      </c>
      <c r="AM3297" t="n">
        <v>1</v>
      </c>
      <c r="AN3297" t="n">
        <v>0</v>
      </c>
      <c r="AO3297" t="n">
        <v>0</v>
      </c>
      <c r="AP3297" t="inlineStr">
        <is>
          <t>No</t>
        </is>
      </c>
      <c r="AQ3297" t="inlineStr">
        <is>
          <t>No</t>
        </is>
      </c>
      <c r="AS3297">
        <f>HYPERLINK("https://creighton-primo.hosted.exlibrisgroup.com/primo-explore/search?tab=default_tab&amp;search_scope=EVERYTHING&amp;vid=01CRU&amp;lang=en_US&amp;offset=0&amp;query=any,contains,991004759799702656","Catalog Record")</f>
        <v/>
      </c>
      <c r="AT3297">
        <f>HYPERLINK("http://www.worldcat.org/oclc/4989976","WorldCat Record")</f>
        <v/>
      </c>
      <c r="AU3297" t="inlineStr">
        <is>
          <t>1338096:fre</t>
        </is>
      </c>
      <c r="AV3297" t="inlineStr">
        <is>
          <t>4989976</t>
        </is>
      </c>
      <c r="AW3297" t="inlineStr">
        <is>
          <t>991004759799702656</t>
        </is>
      </c>
      <c r="AX3297" t="inlineStr">
        <is>
          <t>991004759799702656</t>
        </is>
      </c>
      <c r="AY3297" t="inlineStr">
        <is>
          <t>2269283550002656</t>
        </is>
      </c>
      <c r="AZ3297" t="inlineStr">
        <is>
          <t>BOOK</t>
        </is>
      </c>
      <c r="BC3297" t="inlineStr">
        <is>
          <t>32285001225357</t>
        </is>
      </c>
      <c r="BD3297" t="inlineStr">
        <is>
          <t>893722585</t>
        </is>
      </c>
    </row>
    <row r="3298">
      <c r="A3298" t="inlineStr">
        <is>
          <t>No</t>
        </is>
      </c>
      <c r="B3298" t="inlineStr">
        <is>
          <t>BX945 .R6 1850</t>
        </is>
      </c>
      <c r="C3298" t="inlineStr">
        <is>
          <t>0                      BX 0945000R  6           1850</t>
        </is>
      </c>
      <c r="D3298" t="inlineStr">
        <is>
          <t>Histoire universelle de l'église catholique / par l'abbé Rohrbacher.</t>
        </is>
      </c>
      <c r="E3298" t="inlineStr">
        <is>
          <t>V.19</t>
        </is>
      </c>
      <c r="F3298" t="inlineStr">
        <is>
          <t>Yes</t>
        </is>
      </c>
      <c r="G3298" t="inlineStr">
        <is>
          <t>1</t>
        </is>
      </c>
      <c r="H3298" t="inlineStr">
        <is>
          <t>No</t>
        </is>
      </c>
      <c r="I3298" t="inlineStr">
        <is>
          <t>No</t>
        </is>
      </c>
      <c r="J3298" t="inlineStr">
        <is>
          <t>0</t>
        </is>
      </c>
      <c r="K3298" t="inlineStr">
        <is>
          <t>Rohrbacher, René François, 1789-1856.</t>
        </is>
      </c>
      <c r="L3298" t="inlineStr">
        <is>
          <t>Paris : Gaume frères, 1850-1853.</t>
        </is>
      </c>
      <c r="M3298" t="inlineStr">
        <is>
          <t>1850</t>
        </is>
      </c>
      <c r="N3298" t="inlineStr">
        <is>
          <t>2. éd. revue et corr.</t>
        </is>
      </c>
      <c r="O3298" t="inlineStr">
        <is>
          <t>fre</t>
        </is>
      </c>
      <c r="P3298" t="inlineStr">
        <is>
          <t xml:space="preserve">fr </t>
        </is>
      </c>
      <c r="R3298" t="inlineStr">
        <is>
          <t xml:space="preserve">BX </t>
        </is>
      </c>
      <c r="S3298" t="n">
        <v>1</v>
      </c>
      <c r="T3298" t="n">
        <v>4</v>
      </c>
      <c r="U3298" t="inlineStr">
        <is>
          <t>2005-08-17</t>
        </is>
      </c>
      <c r="V3298" t="inlineStr">
        <is>
          <t>2005-08-17</t>
        </is>
      </c>
      <c r="W3298" t="inlineStr">
        <is>
          <t>1992-05-27</t>
        </is>
      </c>
      <c r="X3298" t="inlineStr">
        <is>
          <t>1992-05-27</t>
        </is>
      </c>
      <c r="Y3298" t="n">
        <v>38</v>
      </c>
      <c r="Z3298" t="n">
        <v>27</v>
      </c>
      <c r="AA3298" t="n">
        <v>114</v>
      </c>
      <c r="AB3298" t="n">
        <v>1</v>
      </c>
      <c r="AC3298" t="n">
        <v>2</v>
      </c>
      <c r="AD3298" t="n">
        <v>4</v>
      </c>
      <c r="AE3298" t="n">
        <v>18</v>
      </c>
      <c r="AF3298" t="n">
        <v>1</v>
      </c>
      <c r="AG3298" t="n">
        <v>4</v>
      </c>
      <c r="AH3298" t="n">
        <v>1</v>
      </c>
      <c r="AI3298" t="n">
        <v>5</v>
      </c>
      <c r="AJ3298" t="n">
        <v>3</v>
      </c>
      <c r="AK3298" t="n">
        <v>11</v>
      </c>
      <c r="AL3298" t="n">
        <v>0</v>
      </c>
      <c r="AM3298" t="n">
        <v>1</v>
      </c>
      <c r="AN3298" t="n">
        <v>0</v>
      </c>
      <c r="AO3298" t="n">
        <v>0</v>
      </c>
      <c r="AP3298" t="inlineStr">
        <is>
          <t>No</t>
        </is>
      </c>
      <c r="AQ3298" t="inlineStr">
        <is>
          <t>No</t>
        </is>
      </c>
      <c r="AS3298">
        <f>HYPERLINK("https://creighton-primo.hosted.exlibrisgroup.com/primo-explore/search?tab=default_tab&amp;search_scope=EVERYTHING&amp;vid=01CRU&amp;lang=en_US&amp;offset=0&amp;query=any,contains,991004759799702656","Catalog Record")</f>
        <v/>
      </c>
      <c r="AT3298">
        <f>HYPERLINK("http://www.worldcat.org/oclc/4989976","WorldCat Record")</f>
        <v/>
      </c>
      <c r="AU3298" t="inlineStr">
        <is>
          <t>1338096:fre</t>
        </is>
      </c>
      <c r="AV3298" t="inlineStr">
        <is>
          <t>4989976</t>
        </is>
      </c>
      <c r="AW3298" t="inlineStr">
        <is>
          <t>991004759799702656</t>
        </is>
      </c>
      <c r="AX3298" t="inlineStr">
        <is>
          <t>991004759799702656</t>
        </is>
      </c>
      <c r="AY3298" t="inlineStr">
        <is>
          <t>2269283550002656</t>
        </is>
      </c>
      <c r="AZ3298" t="inlineStr">
        <is>
          <t>BOOK</t>
        </is>
      </c>
      <c r="BC3298" t="inlineStr">
        <is>
          <t>32285001225340</t>
        </is>
      </c>
      <c r="BD3298" t="inlineStr">
        <is>
          <t>893722589</t>
        </is>
      </c>
    </row>
    <row r="3299">
      <c r="A3299" t="inlineStr">
        <is>
          <t>No</t>
        </is>
      </c>
      <c r="B3299" t="inlineStr">
        <is>
          <t>BX945 .R6 1850</t>
        </is>
      </c>
      <c r="C3299" t="inlineStr">
        <is>
          <t>0                      BX 0945000R  6           1850</t>
        </is>
      </c>
      <c r="D3299" t="inlineStr">
        <is>
          <t>Histoire universelle de l'église catholique / par l'abbé Rohrbacher.</t>
        </is>
      </c>
      <c r="E3299" t="inlineStr">
        <is>
          <t>V.29</t>
        </is>
      </c>
      <c r="F3299" t="inlineStr">
        <is>
          <t>Yes</t>
        </is>
      </c>
      <c r="G3299" t="inlineStr">
        <is>
          <t>1</t>
        </is>
      </c>
      <c r="H3299" t="inlineStr">
        <is>
          <t>No</t>
        </is>
      </c>
      <c r="I3299" t="inlineStr">
        <is>
          <t>No</t>
        </is>
      </c>
      <c r="J3299" t="inlineStr">
        <is>
          <t>0</t>
        </is>
      </c>
      <c r="K3299" t="inlineStr">
        <is>
          <t>Rohrbacher, René François, 1789-1856.</t>
        </is>
      </c>
      <c r="L3299" t="inlineStr">
        <is>
          <t>Paris : Gaume frères, 1850-1853.</t>
        </is>
      </c>
      <c r="M3299" t="inlineStr">
        <is>
          <t>1850</t>
        </is>
      </c>
      <c r="N3299" t="inlineStr">
        <is>
          <t>2. éd. revue et corr.</t>
        </is>
      </c>
      <c r="O3299" t="inlineStr">
        <is>
          <t>fre</t>
        </is>
      </c>
      <c r="P3299" t="inlineStr">
        <is>
          <t xml:space="preserve">fr </t>
        </is>
      </c>
      <c r="R3299" t="inlineStr">
        <is>
          <t xml:space="preserve">BX </t>
        </is>
      </c>
      <c r="S3299" t="n">
        <v>1</v>
      </c>
      <c r="T3299" t="n">
        <v>4</v>
      </c>
      <c r="V3299" t="inlineStr">
        <is>
          <t>2005-08-17</t>
        </is>
      </c>
      <c r="W3299" t="inlineStr">
        <is>
          <t>1992-05-27</t>
        </is>
      </c>
      <c r="X3299" t="inlineStr">
        <is>
          <t>1992-05-27</t>
        </is>
      </c>
      <c r="Y3299" t="n">
        <v>38</v>
      </c>
      <c r="Z3299" t="n">
        <v>27</v>
      </c>
      <c r="AA3299" t="n">
        <v>114</v>
      </c>
      <c r="AB3299" t="n">
        <v>1</v>
      </c>
      <c r="AC3299" t="n">
        <v>2</v>
      </c>
      <c r="AD3299" t="n">
        <v>4</v>
      </c>
      <c r="AE3299" t="n">
        <v>18</v>
      </c>
      <c r="AF3299" t="n">
        <v>1</v>
      </c>
      <c r="AG3299" t="n">
        <v>4</v>
      </c>
      <c r="AH3299" t="n">
        <v>1</v>
      </c>
      <c r="AI3299" t="n">
        <v>5</v>
      </c>
      <c r="AJ3299" t="n">
        <v>3</v>
      </c>
      <c r="AK3299" t="n">
        <v>11</v>
      </c>
      <c r="AL3299" t="n">
        <v>0</v>
      </c>
      <c r="AM3299" t="n">
        <v>1</v>
      </c>
      <c r="AN3299" t="n">
        <v>0</v>
      </c>
      <c r="AO3299" t="n">
        <v>0</v>
      </c>
      <c r="AP3299" t="inlineStr">
        <is>
          <t>No</t>
        </is>
      </c>
      <c r="AQ3299" t="inlineStr">
        <is>
          <t>No</t>
        </is>
      </c>
      <c r="AS3299">
        <f>HYPERLINK("https://creighton-primo.hosted.exlibrisgroup.com/primo-explore/search?tab=default_tab&amp;search_scope=EVERYTHING&amp;vid=01CRU&amp;lang=en_US&amp;offset=0&amp;query=any,contains,991004759799702656","Catalog Record")</f>
        <v/>
      </c>
      <c r="AT3299">
        <f>HYPERLINK("http://www.worldcat.org/oclc/4989976","WorldCat Record")</f>
        <v/>
      </c>
      <c r="AU3299" t="inlineStr">
        <is>
          <t>1338096:fre</t>
        </is>
      </c>
      <c r="AV3299" t="inlineStr">
        <is>
          <t>4989976</t>
        </is>
      </c>
      <c r="AW3299" t="inlineStr">
        <is>
          <t>991004759799702656</t>
        </is>
      </c>
      <c r="AX3299" t="inlineStr">
        <is>
          <t>991004759799702656</t>
        </is>
      </c>
      <c r="AY3299" t="inlineStr">
        <is>
          <t>2269283550002656</t>
        </is>
      </c>
      <c r="AZ3299" t="inlineStr">
        <is>
          <t>BOOK</t>
        </is>
      </c>
      <c r="BC3299" t="inlineStr">
        <is>
          <t>32285001225449</t>
        </is>
      </c>
      <c r="BD3299" t="inlineStr">
        <is>
          <t>893719344</t>
        </is>
      </c>
    </row>
    <row r="3300">
      <c r="A3300" t="inlineStr">
        <is>
          <t>No</t>
        </is>
      </c>
      <c r="B3300" t="inlineStr">
        <is>
          <t>BX945 .R6 1850</t>
        </is>
      </c>
      <c r="C3300" t="inlineStr">
        <is>
          <t>0                      BX 0945000R  6           1850</t>
        </is>
      </c>
      <c r="D3300" t="inlineStr">
        <is>
          <t>Histoire universelle de l'église catholique / par l'abbé Rohrbacher.</t>
        </is>
      </c>
      <c r="E3300" t="inlineStr">
        <is>
          <t>V.28</t>
        </is>
      </c>
      <c r="F3300" t="inlineStr">
        <is>
          <t>Yes</t>
        </is>
      </c>
      <c r="G3300" t="inlineStr">
        <is>
          <t>1</t>
        </is>
      </c>
      <c r="H3300" t="inlineStr">
        <is>
          <t>No</t>
        </is>
      </c>
      <c r="I3300" t="inlineStr">
        <is>
          <t>No</t>
        </is>
      </c>
      <c r="J3300" t="inlineStr">
        <is>
          <t>0</t>
        </is>
      </c>
      <c r="K3300" t="inlineStr">
        <is>
          <t>Rohrbacher, René François, 1789-1856.</t>
        </is>
      </c>
      <c r="L3300" t="inlineStr">
        <is>
          <t>Paris : Gaume frères, 1850-1853.</t>
        </is>
      </c>
      <c r="M3300" t="inlineStr">
        <is>
          <t>1850</t>
        </is>
      </c>
      <c r="N3300" t="inlineStr">
        <is>
          <t>2. éd. revue et corr.</t>
        </is>
      </c>
      <c r="O3300" t="inlineStr">
        <is>
          <t>fre</t>
        </is>
      </c>
      <c r="P3300" t="inlineStr">
        <is>
          <t xml:space="preserve">fr </t>
        </is>
      </c>
      <c r="R3300" t="inlineStr">
        <is>
          <t xml:space="preserve">BX </t>
        </is>
      </c>
      <c r="S3300" t="n">
        <v>1</v>
      </c>
      <c r="T3300" t="n">
        <v>4</v>
      </c>
      <c r="V3300" t="inlineStr">
        <is>
          <t>2005-08-17</t>
        </is>
      </c>
      <c r="W3300" t="inlineStr">
        <is>
          <t>1992-05-27</t>
        </is>
      </c>
      <c r="X3300" t="inlineStr">
        <is>
          <t>1992-05-27</t>
        </is>
      </c>
      <c r="Y3300" t="n">
        <v>38</v>
      </c>
      <c r="Z3300" t="n">
        <v>27</v>
      </c>
      <c r="AA3300" t="n">
        <v>114</v>
      </c>
      <c r="AB3300" t="n">
        <v>1</v>
      </c>
      <c r="AC3300" t="n">
        <v>2</v>
      </c>
      <c r="AD3300" t="n">
        <v>4</v>
      </c>
      <c r="AE3300" t="n">
        <v>18</v>
      </c>
      <c r="AF3300" t="n">
        <v>1</v>
      </c>
      <c r="AG3300" t="n">
        <v>4</v>
      </c>
      <c r="AH3300" t="n">
        <v>1</v>
      </c>
      <c r="AI3300" t="n">
        <v>5</v>
      </c>
      <c r="AJ3300" t="n">
        <v>3</v>
      </c>
      <c r="AK3300" t="n">
        <v>11</v>
      </c>
      <c r="AL3300" t="n">
        <v>0</v>
      </c>
      <c r="AM3300" t="n">
        <v>1</v>
      </c>
      <c r="AN3300" t="n">
        <v>0</v>
      </c>
      <c r="AO3300" t="n">
        <v>0</v>
      </c>
      <c r="AP3300" t="inlineStr">
        <is>
          <t>No</t>
        </is>
      </c>
      <c r="AQ3300" t="inlineStr">
        <is>
          <t>No</t>
        </is>
      </c>
      <c r="AS3300">
        <f>HYPERLINK("https://creighton-primo.hosted.exlibrisgroup.com/primo-explore/search?tab=default_tab&amp;search_scope=EVERYTHING&amp;vid=01CRU&amp;lang=en_US&amp;offset=0&amp;query=any,contains,991004759799702656","Catalog Record")</f>
        <v/>
      </c>
      <c r="AT3300">
        <f>HYPERLINK("http://www.worldcat.org/oclc/4989976","WorldCat Record")</f>
        <v/>
      </c>
      <c r="AU3300" t="inlineStr">
        <is>
          <t>1338096:fre</t>
        </is>
      </c>
      <c r="AV3300" t="inlineStr">
        <is>
          <t>4989976</t>
        </is>
      </c>
      <c r="AW3300" t="inlineStr">
        <is>
          <t>991004759799702656</t>
        </is>
      </c>
      <c r="AX3300" t="inlineStr">
        <is>
          <t>991004759799702656</t>
        </is>
      </c>
      <c r="AY3300" t="inlineStr">
        <is>
          <t>2269283550002656</t>
        </is>
      </c>
      <c r="AZ3300" t="inlineStr">
        <is>
          <t>BOOK</t>
        </is>
      </c>
      <c r="BC3300" t="inlineStr">
        <is>
          <t>32285001225431</t>
        </is>
      </c>
      <c r="BD3300" t="inlineStr">
        <is>
          <t>893722588</t>
        </is>
      </c>
    </row>
    <row r="3301">
      <c r="A3301" t="inlineStr">
        <is>
          <t>No</t>
        </is>
      </c>
      <c r="B3301" t="inlineStr">
        <is>
          <t>BX945 .R6 1850</t>
        </is>
      </c>
      <c r="C3301" t="inlineStr">
        <is>
          <t>0                      BX 0945000R  6           1850</t>
        </is>
      </c>
      <c r="D3301" t="inlineStr">
        <is>
          <t>Histoire universelle de l'église catholique / par l'abbé Rohrbacher.</t>
        </is>
      </c>
      <c r="E3301" t="inlineStr">
        <is>
          <t>V.12</t>
        </is>
      </c>
      <c r="F3301" t="inlineStr">
        <is>
          <t>Yes</t>
        </is>
      </c>
      <c r="G3301" t="inlineStr">
        <is>
          <t>1</t>
        </is>
      </c>
      <c r="H3301" t="inlineStr">
        <is>
          <t>No</t>
        </is>
      </c>
      <c r="I3301" t="inlineStr">
        <is>
          <t>No</t>
        </is>
      </c>
      <c r="J3301" t="inlineStr">
        <is>
          <t>0</t>
        </is>
      </c>
      <c r="K3301" t="inlineStr">
        <is>
          <t>Rohrbacher, René François, 1789-1856.</t>
        </is>
      </c>
      <c r="L3301" t="inlineStr">
        <is>
          <t>Paris : Gaume frères, 1850-1853.</t>
        </is>
      </c>
      <c r="M3301" t="inlineStr">
        <is>
          <t>1850</t>
        </is>
      </c>
      <c r="N3301" t="inlineStr">
        <is>
          <t>2. éd. revue et corr.</t>
        </is>
      </c>
      <c r="O3301" t="inlineStr">
        <is>
          <t>fre</t>
        </is>
      </c>
      <c r="P3301" t="inlineStr">
        <is>
          <t xml:space="preserve">fr </t>
        </is>
      </c>
      <c r="R3301" t="inlineStr">
        <is>
          <t xml:space="preserve">BX </t>
        </is>
      </c>
      <c r="S3301" t="n">
        <v>0</v>
      </c>
      <c r="T3301" t="n">
        <v>4</v>
      </c>
      <c r="V3301" t="inlineStr">
        <is>
          <t>2005-08-17</t>
        </is>
      </c>
      <c r="W3301" t="inlineStr">
        <is>
          <t>1992-05-27</t>
        </is>
      </c>
      <c r="X3301" t="inlineStr">
        <is>
          <t>1992-05-27</t>
        </is>
      </c>
      <c r="Y3301" t="n">
        <v>38</v>
      </c>
      <c r="Z3301" t="n">
        <v>27</v>
      </c>
      <c r="AA3301" t="n">
        <v>114</v>
      </c>
      <c r="AB3301" t="n">
        <v>1</v>
      </c>
      <c r="AC3301" t="n">
        <v>2</v>
      </c>
      <c r="AD3301" t="n">
        <v>4</v>
      </c>
      <c r="AE3301" t="n">
        <v>18</v>
      </c>
      <c r="AF3301" t="n">
        <v>1</v>
      </c>
      <c r="AG3301" t="n">
        <v>4</v>
      </c>
      <c r="AH3301" t="n">
        <v>1</v>
      </c>
      <c r="AI3301" t="n">
        <v>5</v>
      </c>
      <c r="AJ3301" t="n">
        <v>3</v>
      </c>
      <c r="AK3301" t="n">
        <v>11</v>
      </c>
      <c r="AL3301" t="n">
        <v>0</v>
      </c>
      <c r="AM3301" t="n">
        <v>1</v>
      </c>
      <c r="AN3301" t="n">
        <v>0</v>
      </c>
      <c r="AO3301" t="n">
        <v>0</v>
      </c>
      <c r="AP3301" t="inlineStr">
        <is>
          <t>No</t>
        </is>
      </c>
      <c r="AQ3301" t="inlineStr">
        <is>
          <t>No</t>
        </is>
      </c>
      <c r="AS3301">
        <f>HYPERLINK("https://creighton-primo.hosted.exlibrisgroup.com/primo-explore/search?tab=default_tab&amp;search_scope=EVERYTHING&amp;vid=01CRU&amp;lang=en_US&amp;offset=0&amp;query=any,contains,991004759799702656","Catalog Record")</f>
        <v/>
      </c>
      <c r="AT3301">
        <f>HYPERLINK("http://www.worldcat.org/oclc/4989976","WorldCat Record")</f>
        <v/>
      </c>
      <c r="AU3301" t="inlineStr">
        <is>
          <t>1338096:fre</t>
        </is>
      </c>
      <c r="AV3301" t="inlineStr">
        <is>
          <t>4989976</t>
        </is>
      </c>
      <c r="AW3301" t="inlineStr">
        <is>
          <t>991004759799702656</t>
        </is>
      </c>
      <c r="AX3301" t="inlineStr">
        <is>
          <t>991004759799702656</t>
        </is>
      </c>
      <c r="AY3301" t="inlineStr">
        <is>
          <t>2269283550002656</t>
        </is>
      </c>
      <c r="AZ3301" t="inlineStr">
        <is>
          <t>BOOK</t>
        </is>
      </c>
      <c r="BC3301" t="inlineStr">
        <is>
          <t>32285001225274</t>
        </is>
      </c>
      <c r="BD3301" t="inlineStr">
        <is>
          <t>893700632</t>
        </is>
      </c>
    </row>
    <row r="3302">
      <c r="A3302" t="inlineStr">
        <is>
          <t>No</t>
        </is>
      </c>
      <c r="B3302" t="inlineStr">
        <is>
          <t>BX945 .R6 1850</t>
        </is>
      </c>
      <c r="C3302" t="inlineStr">
        <is>
          <t>0                      BX 0945000R  6           1850</t>
        </is>
      </c>
      <c r="D3302" t="inlineStr">
        <is>
          <t>Histoire universelle de l'église catholique / par l'abbé Rohrbacher.</t>
        </is>
      </c>
      <c r="E3302" t="inlineStr">
        <is>
          <t>V.13</t>
        </is>
      </c>
      <c r="F3302" t="inlineStr">
        <is>
          <t>Yes</t>
        </is>
      </c>
      <c r="G3302" t="inlineStr">
        <is>
          <t>1</t>
        </is>
      </c>
      <c r="H3302" t="inlineStr">
        <is>
          <t>No</t>
        </is>
      </c>
      <c r="I3302" t="inlineStr">
        <is>
          <t>No</t>
        </is>
      </c>
      <c r="J3302" t="inlineStr">
        <is>
          <t>0</t>
        </is>
      </c>
      <c r="K3302" t="inlineStr">
        <is>
          <t>Rohrbacher, René François, 1789-1856.</t>
        </is>
      </c>
      <c r="L3302" t="inlineStr">
        <is>
          <t>Paris : Gaume frères, 1850-1853.</t>
        </is>
      </c>
      <c r="M3302" t="inlineStr">
        <is>
          <t>1850</t>
        </is>
      </c>
      <c r="N3302" t="inlineStr">
        <is>
          <t>2. éd. revue et corr.</t>
        </is>
      </c>
      <c r="O3302" t="inlineStr">
        <is>
          <t>fre</t>
        </is>
      </c>
      <c r="P3302" t="inlineStr">
        <is>
          <t xml:space="preserve">fr </t>
        </is>
      </c>
      <c r="R3302" t="inlineStr">
        <is>
          <t xml:space="preserve">BX </t>
        </is>
      </c>
      <c r="S3302" t="n">
        <v>1</v>
      </c>
      <c r="T3302" t="n">
        <v>4</v>
      </c>
      <c r="V3302" t="inlineStr">
        <is>
          <t>2005-08-17</t>
        </is>
      </c>
      <c r="W3302" t="inlineStr">
        <is>
          <t>1992-05-27</t>
        </is>
      </c>
      <c r="X3302" t="inlineStr">
        <is>
          <t>1992-05-27</t>
        </is>
      </c>
      <c r="Y3302" t="n">
        <v>38</v>
      </c>
      <c r="Z3302" t="n">
        <v>27</v>
      </c>
      <c r="AA3302" t="n">
        <v>114</v>
      </c>
      <c r="AB3302" t="n">
        <v>1</v>
      </c>
      <c r="AC3302" t="n">
        <v>2</v>
      </c>
      <c r="AD3302" t="n">
        <v>4</v>
      </c>
      <c r="AE3302" t="n">
        <v>18</v>
      </c>
      <c r="AF3302" t="n">
        <v>1</v>
      </c>
      <c r="AG3302" t="n">
        <v>4</v>
      </c>
      <c r="AH3302" t="n">
        <v>1</v>
      </c>
      <c r="AI3302" t="n">
        <v>5</v>
      </c>
      <c r="AJ3302" t="n">
        <v>3</v>
      </c>
      <c r="AK3302" t="n">
        <v>11</v>
      </c>
      <c r="AL3302" t="n">
        <v>0</v>
      </c>
      <c r="AM3302" t="n">
        <v>1</v>
      </c>
      <c r="AN3302" t="n">
        <v>0</v>
      </c>
      <c r="AO3302" t="n">
        <v>0</v>
      </c>
      <c r="AP3302" t="inlineStr">
        <is>
          <t>No</t>
        </is>
      </c>
      <c r="AQ3302" t="inlineStr">
        <is>
          <t>No</t>
        </is>
      </c>
      <c r="AS3302">
        <f>HYPERLINK("https://creighton-primo.hosted.exlibrisgroup.com/primo-explore/search?tab=default_tab&amp;search_scope=EVERYTHING&amp;vid=01CRU&amp;lang=en_US&amp;offset=0&amp;query=any,contains,991004759799702656","Catalog Record")</f>
        <v/>
      </c>
      <c r="AT3302">
        <f>HYPERLINK("http://www.worldcat.org/oclc/4989976","WorldCat Record")</f>
        <v/>
      </c>
      <c r="AU3302" t="inlineStr">
        <is>
          <t>1338096:fre</t>
        </is>
      </c>
      <c r="AV3302" t="inlineStr">
        <is>
          <t>4989976</t>
        </is>
      </c>
      <c r="AW3302" t="inlineStr">
        <is>
          <t>991004759799702656</t>
        </is>
      </c>
      <c r="AX3302" t="inlineStr">
        <is>
          <t>991004759799702656</t>
        </is>
      </c>
      <c r="AY3302" t="inlineStr">
        <is>
          <t>2269283550002656</t>
        </is>
      </c>
      <c r="AZ3302" t="inlineStr">
        <is>
          <t>BOOK</t>
        </is>
      </c>
      <c r="BC3302" t="inlineStr">
        <is>
          <t>32285001225282</t>
        </is>
      </c>
      <c r="BD3302" t="inlineStr">
        <is>
          <t>893700631</t>
        </is>
      </c>
    </row>
    <row r="3303">
      <c r="A3303" t="inlineStr">
        <is>
          <t>No</t>
        </is>
      </c>
      <c r="B3303" t="inlineStr">
        <is>
          <t>BX945 .R69 1933</t>
        </is>
      </c>
      <c r="C3303" t="inlineStr">
        <is>
          <t>0                      BX 0945000R  69          1933</t>
        </is>
      </c>
      <c r="D3303" t="inlineStr">
        <is>
          <t>The life of the church / by Pierre Rousselot, S.J., L. de Grandmaison, S.J., V. [1] Huby, S.J. [and others]</t>
        </is>
      </c>
      <c r="F3303" t="inlineStr">
        <is>
          <t>No</t>
        </is>
      </c>
      <c r="G3303" t="inlineStr">
        <is>
          <t>1</t>
        </is>
      </c>
      <c r="H3303" t="inlineStr">
        <is>
          <t>No</t>
        </is>
      </c>
      <c r="I3303" t="inlineStr">
        <is>
          <t>No</t>
        </is>
      </c>
      <c r="J3303" t="inlineStr">
        <is>
          <t>0</t>
        </is>
      </c>
      <c r="K3303" t="inlineStr">
        <is>
          <t>Rousselot, Pierre, 1878-1915.</t>
        </is>
      </c>
      <c r="L3303" t="inlineStr">
        <is>
          <t>London : Sheed &amp; Ward, 1932.</t>
        </is>
      </c>
      <c r="M3303" t="inlineStr">
        <is>
          <t>1932</t>
        </is>
      </c>
      <c r="O3303" t="inlineStr">
        <is>
          <t>eng</t>
        </is>
      </c>
      <c r="P3303" t="inlineStr">
        <is>
          <t xml:space="preserve">xx </t>
        </is>
      </c>
      <c r="R3303" t="inlineStr">
        <is>
          <t xml:space="preserve">BX </t>
        </is>
      </c>
      <c r="S3303" t="n">
        <v>10</v>
      </c>
      <c r="T3303" t="n">
        <v>10</v>
      </c>
      <c r="U3303" t="inlineStr">
        <is>
          <t>2006-04-01</t>
        </is>
      </c>
      <c r="V3303" t="inlineStr">
        <is>
          <t>2006-04-01</t>
        </is>
      </c>
      <c r="W3303" t="inlineStr">
        <is>
          <t>1992-05-27</t>
        </is>
      </c>
      <c r="X3303" t="inlineStr">
        <is>
          <t>1992-05-27</t>
        </is>
      </c>
      <c r="Y3303" t="n">
        <v>101</v>
      </c>
      <c r="Z3303" t="n">
        <v>62</v>
      </c>
      <c r="AA3303" t="n">
        <v>94</v>
      </c>
      <c r="AB3303" t="n">
        <v>2</v>
      </c>
      <c r="AC3303" t="n">
        <v>3</v>
      </c>
      <c r="AD3303" t="n">
        <v>17</v>
      </c>
      <c r="AE3303" t="n">
        <v>21</v>
      </c>
      <c r="AF3303" t="n">
        <v>3</v>
      </c>
      <c r="AG3303" t="n">
        <v>4</v>
      </c>
      <c r="AH3303" t="n">
        <v>5</v>
      </c>
      <c r="AI3303" t="n">
        <v>6</v>
      </c>
      <c r="AJ3303" t="n">
        <v>15</v>
      </c>
      <c r="AK3303" t="n">
        <v>18</v>
      </c>
      <c r="AL3303" t="n">
        <v>0</v>
      </c>
      <c r="AM3303" t="n">
        <v>0</v>
      </c>
      <c r="AN3303" t="n">
        <v>0</v>
      </c>
      <c r="AO3303" t="n">
        <v>0</v>
      </c>
      <c r="AP3303" t="inlineStr">
        <is>
          <t>No</t>
        </is>
      </c>
      <c r="AQ3303" t="inlineStr">
        <is>
          <t>No</t>
        </is>
      </c>
      <c r="AS3303">
        <f>HYPERLINK("https://creighton-primo.hosted.exlibrisgroup.com/primo-explore/search?tab=default_tab&amp;search_scope=EVERYTHING&amp;vid=01CRU&amp;lang=en_US&amp;offset=0&amp;query=any,contains,991004323179702656","Catalog Record")</f>
        <v/>
      </c>
      <c r="AT3303">
        <f>HYPERLINK("http://www.worldcat.org/oclc/3025574","WorldCat Record")</f>
        <v/>
      </c>
      <c r="AU3303" t="inlineStr">
        <is>
          <t>6729684:eng</t>
        </is>
      </c>
      <c r="AV3303" t="inlineStr">
        <is>
          <t>3025574</t>
        </is>
      </c>
      <c r="AW3303" t="inlineStr">
        <is>
          <t>991004323179702656</t>
        </is>
      </c>
      <c r="AX3303" t="inlineStr">
        <is>
          <t>991004323179702656</t>
        </is>
      </c>
      <c r="AY3303" t="inlineStr">
        <is>
          <t>2257863890002656</t>
        </is>
      </c>
      <c r="AZ3303" t="inlineStr">
        <is>
          <t>BOOK</t>
        </is>
      </c>
      <c r="BC3303" t="inlineStr">
        <is>
          <t>32285001225456</t>
        </is>
      </c>
      <c r="BD3303" t="inlineStr">
        <is>
          <t>893782111</t>
        </is>
      </c>
    </row>
    <row r="3304">
      <c r="A3304" t="inlineStr">
        <is>
          <t>No</t>
        </is>
      </c>
      <c r="B3304" t="inlineStr">
        <is>
          <t>BX945.2 .H45 1986</t>
        </is>
      </c>
      <c r="C3304" t="inlineStr">
        <is>
          <t>0                      BX 0945200H  45          1986</t>
        </is>
      </c>
      <c r="D3304" t="inlineStr">
        <is>
          <t>This our church / William A. Herr.</t>
        </is>
      </c>
      <c r="F3304" t="inlineStr">
        <is>
          <t>No</t>
        </is>
      </c>
      <c r="G3304" t="inlineStr">
        <is>
          <t>1</t>
        </is>
      </c>
      <c r="H3304" t="inlineStr">
        <is>
          <t>No</t>
        </is>
      </c>
      <c r="I3304" t="inlineStr">
        <is>
          <t>No</t>
        </is>
      </c>
      <c r="J3304" t="inlineStr">
        <is>
          <t>0</t>
        </is>
      </c>
      <c r="K3304" t="inlineStr">
        <is>
          <t>Herr, William A.</t>
        </is>
      </c>
      <c r="L3304" t="inlineStr">
        <is>
          <t>Chicago, Ill. : T. More Press, c1986.</t>
        </is>
      </c>
      <c r="M3304" t="inlineStr">
        <is>
          <t>1986</t>
        </is>
      </c>
      <c r="O3304" t="inlineStr">
        <is>
          <t>eng</t>
        </is>
      </c>
      <c r="P3304" t="inlineStr">
        <is>
          <t>ilu</t>
        </is>
      </c>
      <c r="Q3304" t="inlineStr">
        <is>
          <t>Basics of Christian thought ; v. 5</t>
        </is>
      </c>
      <c r="R3304" t="inlineStr">
        <is>
          <t xml:space="preserve">BX </t>
        </is>
      </c>
      <c r="S3304" t="n">
        <v>2</v>
      </c>
      <c r="T3304" t="n">
        <v>2</v>
      </c>
      <c r="U3304" t="inlineStr">
        <is>
          <t>1994-03-21</t>
        </is>
      </c>
      <c r="V3304" t="inlineStr">
        <is>
          <t>1994-03-21</t>
        </is>
      </c>
      <c r="W3304" t="inlineStr">
        <is>
          <t>1992-05-27</t>
        </is>
      </c>
      <c r="X3304" t="inlineStr">
        <is>
          <t>1992-05-27</t>
        </is>
      </c>
      <c r="Y3304" t="n">
        <v>127</v>
      </c>
      <c r="Z3304" t="n">
        <v>120</v>
      </c>
      <c r="AA3304" t="n">
        <v>128</v>
      </c>
      <c r="AB3304" t="n">
        <v>4</v>
      </c>
      <c r="AC3304" t="n">
        <v>4</v>
      </c>
      <c r="AD3304" t="n">
        <v>19</v>
      </c>
      <c r="AE3304" t="n">
        <v>19</v>
      </c>
      <c r="AF3304" t="n">
        <v>4</v>
      </c>
      <c r="AG3304" t="n">
        <v>4</v>
      </c>
      <c r="AH3304" t="n">
        <v>4</v>
      </c>
      <c r="AI3304" t="n">
        <v>4</v>
      </c>
      <c r="AJ3304" t="n">
        <v>14</v>
      </c>
      <c r="AK3304" t="n">
        <v>14</v>
      </c>
      <c r="AL3304" t="n">
        <v>2</v>
      </c>
      <c r="AM3304" t="n">
        <v>2</v>
      </c>
      <c r="AN3304" t="n">
        <v>0</v>
      </c>
      <c r="AO3304" t="n">
        <v>0</v>
      </c>
      <c r="AP3304" t="inlineStr">
        <is>
          <t>No</t>
        </is>
      </c>
      <c r="AQ3304" t="inlineStr">
        <is>
          <t>No</t>
        </is>
      </c>
      <c r="AS3304">
        <f>HYPERLINK("https://creighton-primo.hosted.exlibrisgroup.com/primo-explore/search?tab=default_tab&amp;search_scope=EVERYTHING&amp;vid=01CRU&amp;lang=en_US&amp;offset=0&amp;query=any,contains,991000914319702656","Catalog Record")</f>
        <v/>
      </c>
      <c r="AT3304">
        <f>HYPERLINK("http://www.worldcat.org/oclc/14166047","WorldCat Record")</f>
        <v/>
      </c>
      <c r="AU3304" t="inlineStr">
        <is>
          <t>7183012:eng</t>
        </is>
      </c>
      <c r="AV3304" t="inlineStr">
        <is>
          <t>14166047</t>
        </is>
      </c>
      <c r="AW3304" t="inlineStr">
        <is>
          <t>991000914319702656</t>
        </is>
      </c>
      <c r="AX3304" t="inlineStr">
        <is>
          <t>991000914319702656</t>
        </is>
      </c>
      <c r="AY3304" t="inlineStr">
        <is>
          <t>2270323970002656</t>
        </is>
      </c>
      <c r="AZ3304" t="inlineStr">
        <is>
          <t>BOOK</t>
        </is>
      </c>
      <c r="BB3304" t="inlineStr">
        <is>
          <t>9780883471937</t>
        </is>
      </c>
      <c r="BC3304" t="inlineStr">
        <is>
          <t>32285001225563</t>
        </is>
      </c>
      <c r="BD3304" t="inlineStr">
        <is>
          <t>893340000</t>
        </is>
      </c>
    </row>
    <row r="3305">
      <c r="A3305" t="inlineStr">
        <is>
          <t>No</t>
        </is>
      </c>
      <c r="B3305" t="inlineStr">
        <is>
          <t>BX945.2 .M3 1962</t>
        </is>
      </c>
      <c r="C3305" t="inlineStr">
        <is>
          <t>0                      BX 0945200M  3           1962</t>
        </is>
      </c>
      <c r="D3305" t="inlineStr">
        <is>
          <t>Pictorial history of Catholicism / by Marian McKenna.</t>
        </is>
      </c>
      <c r="F3305" t="inlineStr">
        <is>
          <t>No</t>
        </is>
      </c>
      <c r="G3305" t="inlineStr">
        <is>
          <t>1</t>
        </is>
      </c>
      <c r="H3305" t="inlineStr">
        <is>
          <t>No</t>
        </is>
      </c>
      <c r="I3305" t="inlineStr">
        <is>
          <t>No</t>
        </is>
      </c>
      <c r="J3305" t="inlineStr">
        <is>
          <t>0</t>
        </is>
      </c>
      <c r="K3305" t="inlineStr">
        <is>
          <t>McKenna, Marian C. (Marian Cecilia), 1926-2014.</t>
        </is>
      </c>
      <c r="L3305" t="inlineStr">
        <is>
          <t>New York : Philosophical Library, [1962]</t>
        </is>
      </c>
      <c r="M3305" t="inlineStr">
        <is>
          <t>1962</t>
        </is>
      </c>
      <c r="O3305" t="inlineStr">
        <is>
          <t>eng</t>
        </is>
      </c>
      <c r="P3305" t="inlineStr">
        <is>
          <t xml:space="preserve">xx </t>
        </is>
      </c>
      <c r="R3305" t="inlineStr">
        <is>
          <t xml:space="preserve">BX </t>
        </is>
      </c>
      <c r="S3305" t="n">
        <v>4</v>
      </c>
      <c r="T3305" t="n">
        <v>4</v>
      </c>
      <c r="U3305" t="inlineStr">
        <is>
          <t>1999-12-11</t>
        </is>
      </c>
      <c r="V3305" t="inlineStr">
        <is>
          <t>1999-12-11</t>
        </is>
      </c>
      <c r="W3305" t="inlineStr">
        <is>
          <t>1992-05-27</t>
        </is>
      </c>
      <c r="X3305" t="inlineStr">
        <is>
          <t>1992-05-27</t>
        </is>
      </c>
      <c r="Y3305" t="n">
        <v>336</v>
      </c>
      <c r="Z3305" t="n">
        <v>317</v>
      </c>
      <c r="AA3305" t="n">
        <v>327</v>
      </c>
      <c r="AB3305" t="n">
        <v>4</v>
      </c>
      <c r="AC3305" t="n">
        <v>4</v>
      </c>
      <c r="AD3305" t="n">
        <v>21</v>
      </c>
      <c r="AE3305" t="n">
        <v>21</v>
      </c>
      <c r="AF3305" t="n">
        <v>6</v>
      </c>
      <c r="AG3305" t="n">
        <v>6</v>
      </c>
      <c r="AH3305" t="n">
        <v>6</v>
      </c>
      <c r="AI3305" t="n">
        <v>6</v>
      </c>
      <c r="AJ3305" t="n">
        <v>13</v>
      </c>
      <c r="AK3305" t="n">
        <v>13</v>
      </c>
      <c r="AL3305" t="n">
        <v>1</v>
      </c>
      <c r="AM3305" t="n">
        <v>1</v>
      </c>
      <c r="AN3305" t="n">
        <v>0</v>
      </c>
      <c r="AO3305" t="n">
        <v>0</v>
      </c>
      <c r="AP3305" t="inlineStr">
        <is>
          <t>No</t>
        </is>
      </c>
      <c r="AQ3305" t="inlineStr">
        <is>
          <t>No</t>
        </is>
      </c>
      <c r="AS3305">
        <f>HYPERLINK("https://creighton-primo.hosted.exlibrisgroup.com/primo-explore/search?tab=default_tab&amp;search_scope=EVERYTHING&amp;vid=01CRU&amp;lang=en_US&amp;offset=0&amp;query=any,contains,991003445909702656","Catalog Record")</f>
        <v/>
      </c>
      <c r="AT3305">
        <f>HYPERLINK("http://www.worldcat.org/oclc/981226","WorldCat Record")</f>
        <v/>
      </c>
      <c r="AU3305" t="inlineStr">
        <is>
          <t>32217225:eng</t>
        </is>
      </c>
      <c r="AV3305" t="inlineStr">
        <is>
          <t>981226</t>
        </is>
      </c>
      <c r="AW3305" t="inlineStr">
        <is>
          <t>991003445909702656</t>
        </is>
      </c>
      <c r="AX3305" t="inlineStr">
        <is>
          <t>991003445909702656</t>
        </is>
      </c>
      <c r="AY3305" t="inlineStr">
        <is>
          <t>2269805110002656</t>
        </is>
      </c>
      <c r="AZ3305" t="inlineStr">
        <is>
          <t>BOOK</t>
        </is>
      </c>
      <c r="BC3305" t="inlineStr">
        <is>
          <t>32285001225571</t>
        </is>
      </c>
      <c r="BD3305" t="inlineStr">
        <is>
          <t>893611046</t>
        </is>
      </c>
    </row>
    <row r="3306">
      <c r="A3306" t="inlineStr">
        <is>
          <t>No</t>
        </is>
      </c>
      <c r="B3306" t="inlineStr">
        <is>
          <t>BX945.2 .R5 1961</t>
        </is>
      </c>
      <c r="C3306" t="inlineStr">
        <is>
          <t>0                      BX 0945200R  5           1961</t>
        </is>
      </c>
      <c r="D3306" t="inlineStr">
        <is>
          <t>The church : a pictorial history / by Edward Rice.</t>
        </is>
      </c>
      <c r="F3306" t="inlineStr">
        <is>
          <t>No</t>
        </is>
      </c>
      <c r="G3306" t="inlineStr">
        <is>
          <t>1</t>
        </is>
      </c>
      <c r="H3306" t="inlineStr">
        <is>
          <t>No</t>
        </is>
      </c>
      <c r="I3306" t="inlineStr">
        <is>
          <t>No</t>
        </is>
      </c>
      <c r="J3306" t="inlineStr">
        <is>
          <t>0</t>
        </is>
      </c>
      <c r="K3306" t="inlineStr">
        <is>
          <t>Rice, Edward.</t>
        </is>
      </c>
      <c r="L3306" t="inlineStr">
        <is>
          <t>New York : Farrar, Straus &amp; Cudahy, [1961]</t>
        </is>
      </c>
      <c r="M3306" t="inlineStr">
        <is>
          <t>1961</t>
        </is>
      </c>
      <c r="O3306" t="inlineStr">
        <is>
          <t>eng</t>
        </is>
      </c>
      <c r="P3306" t="inlineStr">
        <is>
          <t>nyu</t>
        </is>
      </c>
      <c r="R3306" t="inlineStr">
        <is>
          <t xml:space="preserve">BX </t>
        </is>
      </c>
      <c r="S3306" t="n">
        <v>8</v>
      </c>
      <c r="T3306" t="n">
        <v>8</v>
      </c>
      <c r="U3306" t="inlineStr">
        <is>
          <t>2007-07-25</t>
        </is>
      </c>
      <c r="V3306" t="inlineStr">
        <is>
          <t>2007-07-25</t>
        </is>
      </c>
      <c r="W3306" t="inlineStr">
        <is>
          <t>1992-03-17</t>
        </is>
      </c>
      <c r="X3306" t="inlineStr">
        <is>
          <t>1992-03-17</t>
        </is>
      </c>
      <c r="Y3306" t="n">
        <v>394</v>
      </c>
      <c r="Z3306" t="n">
        <v>368</v>
      </c>
      <c r="AA3306" t="n">
        <v>404</v>
      </c>
      <c r="AB3306" t="n">
        <v>1</v>
      </c>
      <c r="AC3306" t="n">
        <v>1</v>
      </c>
      <c r="AD3306" t="n">
        <v>27</v>
      </c>
      <c r="AE3306" t="n">
        <v>28</v>
      </c>
      <c r="AF3306" t="n">
        <v>8</v>
      </c>
      <c r="AG3306" t="n">
        <v>9</v>
      </c>
      <c r="AH3306" t="n">
        <v>7</v>
      </c>
      <c r="AI3306" t="n">
        <v>7</v>
      </c>
      <c r="AJ3306" t="n">
        <v>22</v>
      </c>
      <c r="AK3306" t="n">
        <v>22</v>
      </c>
      <c r="AL3306" t="n">
        <v>0</v>
      </c>
      <c r="AM3306" t="n">
        <v>0</v>
      </c>
      <c r="AN3306" t="n">
        <v>0</v>
      </c>
      <c r="AO3306" t="n">
        <v>0</v>
      </c>
      <c r="AP3306" t="inlineStr">
        <is>
          <t>No</t>
        </is>
      </c>
      <c r="AQ3306" t="inlineStr">
        <is>
          <t>No</t>
        </is>
      </c>
      <c r="AS3306">
        <f>HYPERLINK("https://creighton-primo.hosted.exlibrisgroup.com/primo-explore/search?tab=default_tab&amp;search_scope=EVERYTHING&amp;vid=01CRU&amp;lang=en_US&amp;offset=0&amp;query=any,contains,991005035709702656","Catalog Record")</f>
        <v/>
      </c>
      <c r="AT3306">
        <f>HYPERLINK("http://www.worldcat.org/oclc/6761241","WorldCat Record")</f>
        <v/>
      </c>
      <c r="AU3306" t="inlineStr">
        <is>
          <t>2080412:eng</t>
        </is>
      </c>
      <c r="AV3306" t="inlineStr">
        <is>
          <t>6761241</t>
        </is>
      </c>
      <c r="AW3306" t="inlineStr">
        <is>
          <t>991005035709702656</t>
        </is>
      </c>
      <c r="AX3306" t="inlineStr">
        <is>
          <t>991005035709702656</t>
        </is>
      </c>
      <c r="AY3306" t="inlineStr">
        <is>
          <t>2260931240002656</t>
        </is>
      </c>
      <c r="AZ3306" t="inlineStr">
        <is>
          <t>BOOK</t>
        </is>
      </c>
      <c r="BC3306" t="inlineStr">
        <is>
          <t>32285001023059</t>
        </is>
      </c>
      <c r="BD3306" t="inlineStr">
        <is>
          <t>893719680</t>
        </is>
      </c>
    </row>
    <row r="3307">
      <c r="A3307" t="inlineStr">
        <is>
          <t>No</t>
        </is>
      </c>
      <c r="B3307" t="inlineStr">
        <is>
          <t>BX945.3 .F56 2005</t>
        </is>
      </c>
      <c r="C3307" t="inlineStr">
        <is>
          <t>0                      BX 0945300F  56          2005</t>
        </is>
      </c>
      <c r="D3307" t="inlineStr">
        <is>
          <t>Key moments in church history : a concise introduction to the Catholic Church / Mitch Finley.</t>
        </is>
      </c>
      <c r="F3307" t="inlineStr">
        <is>
          <t>No</t>
        </is>
      </c>
      <c r="G3307" t="inlineStr">
        <is>
          <t>1</t>
        </is>
      </c>
      <c r="H3307" t="inlineStr">
        <is>
          <t>No</t>
        </is>
      </c>
      <c r="I3307" t="inlineStr">
        <is>
          <t>No</t>
        </is>
      </c>
      <c r="J3307" t="inlineStr">
        <is>
          <t>0</t>
        </is>
      </c>
      <c r="K3307" t="inlineStr">
        <is>
          <t>Finley, Mitch.</t>
        </is>
      </c>
      <c r="L3307" t="inlineStr">
        <is>
          <t>Lanham, Md. : Rowman &amp; Littlefield Publishers, c2005.</t>
        </is>
      </c>
      <c r="M3307" t="inlineStr">
        <is>
          <t>2005</t>
        </is>
      </c>
      <c r="O3307" t="inlineStr">
        <is>
          <t>eng</t>
        </is>
      </c>
      <c r="P3307" t="inlineStr">
        <is>
          <t>mdu</t>
        </is>
      </c>
      <c r="Q3307" t="inlineStr">
        <is>
          <t>Come &amp; see series</t>
        </is>
      </c>
      <c r="R3307" t="inlineStr">
        <is>
          <t xml:space="preserve">BX </t>
        </is>
      </c>
      <c r="S3307" t="n">
        <v>5</v>
      </c>
      <c r="T3307" t="n">
        <v>5</v>
      </c>
      <c r="U3307" t="inlineStr">
        <is>
          <t>2008-06-15</t>
        </is>
      </c>
      <c r="V3307" t="inlineStr">
        <is>
          <t>2008-06-15</t>
        </is>
      </c>
      <c r="W3307" t="inlineStr">
        <is>
          <t>2006-01-26</t>
        </is>
      </c>
      <c r="X3307" t="inlineStr">
        <is>
          <t>2006-01-26</t>
        </is>
      </c>
      <c r="Y3307" t="n">
        <v>147</v>
      </c>
      <c r="Z3307" t="n">
        <v>126</v>
      </c>
      <c r="AA3307" t="n">
        <v>144</v>
      </c>
      <c r="AB3307" t="n">
        <v>2</v>
      </c>
      <c r="AC3307" t="n">
        <v>2</v>
      </c>
      <c r="AD3307" t="n">
        <v>16</v>
      </c>
      <c r="AE3307" t="n">
        <v>17</v>
      </c>
      <c r="AF3307" t="n">
        <v>4</v>
      </c>
      <c r="AG3307" t="n">
        <v>5</v>
      </c>
      <c r="AH3307" t="n">
        <v>6</v>
      </c>
      <c r="AI3307" t="n">
        <v>7</v>
      </c>
      <c r="AJ3307" t="n">
        <v>10</v>
      </c>
      <c r="AK3307" t="n">
        <v>10</v>
      </c>
      <c r="AL3307" t="n">
        <v>1</v>
      </c>
      <c r="AM3307" t="n">
        <v>1</v>
      </c>
      <c r="AN3307" t="n">
        <v>0</v>
      </c>
      <c r="AO3307" t="n">
        <v>0</v>
      </c>
      <c r="AP3307" t="inlineStr">
        <is>
          <t>No</t>
        </is>
      </c>
      <c r="AQ3307" t="inlineStr">
        <is>
          <t>Yes</t>
        </is>
      </c>
      <c r="AR3307">
        <f>HYPERLINK("http://catalog.hathitrust.org/Record/005118422","HathiTrust Record")</f>
        <v/>
      </c>
      <c r="AS3307">
        <f>HYPERLINK("https://creighton-primo.hosted.exlibrisgroup.com/primo-explore/search?tab=default_tab&amp;search_scope=EVERYTHING&amp;vid=01CRU&amp;lang=en_US&amp;offset=0&amp;query=any,contains,991004709339702656","Catalog Record")</f>
        <v/>
      </c>
      <c r="AT3307">
        <f>HYPERLINK("http://www.worldcat.org/oclc/60971882","WorldCat Record")</f>
        <v/>
      </c>
      <c r="AU3307" t="inlineStr">
        <is>
          <t>918713055:eng</t>
        </is>
      </c>
      <c r="AV3307" t="inlineStr">
        <is>
          <t>60971882</t>
        </is>
      </c>
      <c r="AW3307" t="inlineStr">
        <is>
          <t>991004709339702656</t>
        </is>
      </c>
      <c r="AX3307" t="inlineStr">
        <is>
          <t>991004709339702656</t>
        </is>
      </c>
      <c r="AY3307" t="inlineStr">
        <is>
          <t>2272761240002656</t>
        </is>
      </c>
      <c r="AZ3307" t="inlineStr">
        <is>
          <t>BOOK</t>
        </is>
      </c>
      <c r="BB3307" t="inlineStr">
        <is>
          <t>9780742550728</t>
        </is>
      </c>
      <c r="BC3307" t="inlineStr">
        <is>
          <t>32285005156525</t>
        </is>
      </c>
      <c r="BD3307" t="inlineStr">
        <is>
          <t>893260073</t>
        </is>
      </c>
    </row>
    <row r="3308">
      <c r="A3308" t="inlineStr">
        <is>
          <t>No</t>
        </is>
      </c>
      <c r="B3308" t="inlineStr">
        <is>
          <t>BX9454.2 .K5</t>
        </is>
      </c>
      <c r="C3308" t="inlineStr">
        <is>
          <t>0                      BX 9454200K  5</t>
        </is>
      </c>
      <c r="D3308" t="inlineStr">
        <is>
          <t>Geneva and the consolidation of the French Protestant movement, 1564-1572 : a contribution to the history of Congregationalism, Presbyterianism, and Calvinist resistance theory / [by] Robert M. Kingdon.</t>
        </is>
      </c>
      <c r="F3308" t="inlineStr">
        <is>
          <t>No</t>
        </is>
      </c>
      <c r="G3308" t="inlineStr">
        <is>
          <t>1</t>
        </is>
      </c>
      <c r="H3308" t="inlineStr">
        <is>
          <t>No</t>
        </is>
      </c>
      <c r="I3308" t="inlineStr">
        <is>
          <t>No</t>
        </is>
      </c>
      <c r="J3308" t="inlineStr">
        <is>
          <t>0</t>
        </is>
      </c>
      <c r="K3308" t="inlineStr">
        <is>
          <t>Kingdon, Robert M. (Robert McCune), 1927-2010.</t>
        </is>
      </c>
      <c r="L3308" t="inlineStr">
        <is>
          <t>Madison : University of Wisconsin Press, 1967.</t>
        </is>
      </c>
      <c r="M3308" t="inlineStr">
        <is>
          <t>1967</t>
        </is>
      </c>
      <c r="O3308" t="inlineStr">
        <is>
          <t>eng</t>
        </is>
      </c>
      <c r="P3308" t="inlineStr">
        <is>
          <t>wiu</t>
        </is>
      </c>
      <c r="R3308" t="inlineStr">
        <is>
          <t xml:space="preserve">BX </t>
        </is>
      </c>
      <c r="S3308" t="n">
        <v>6</v>
      </c>
      <c r="T3308" t="n">
        <v>6</v>
      </c>
      <c r="U3308" t="inlineStr">
        <is>
          <t>1999-04-07</t>
        </is>
      </c>
      <c r="V3308" t="inlineStr">
        <is>
          <t>1999-04-07</t>
        </is>
      </c>
      <c r="W3308" t="inlineStr">
        <is>
          <t>1992-05-27</t>
        </is>
      </c>
      <c r="X3308" t="inlineStr">
        <is>
          <t>1992-05-27</t>
        </is>
      </c>
      <c r="Y3308" t="n">
        <v>530</v>
      </c>
      <c r="Z3308" t="n">
        <v>451</v>
      </c>
      <c r="AA3308" t="n">
        <v>458</v>
      </c>
      <c r="AB3308" t="n">
        <v>4</v>
      </c>
      <c r="AC3308" t="n">
        <v>4</v>
      </c>
      <c r="AD3308" t="n">
        <v>26</v>
      </c>
      <c r="AE3308" t="n">
        <v>26</v>
      </c>
      <c r="AF3308" t="n">
        <v>12</v>
      </c>
      <c r="AG3308" t="n">
        <v>12</v>
      </c>
      <c r="AH3308" t="n">
        <v>3</v>
      </c>
      <c r="AI3308" t="n">
        <v>3</v>
      </c>
      <c r="AJ3308" t="n">
        <v>17</v>
      </c>
      <c r="AK3308" t="n">
        <v>17</v>
      </c>
      <c r="AL3308" t="n">
        <v>3</v>
      </c>
      <c r="AM3308" t="n">
        <v>3</v>
      </c>
      <c r="AN3308" t="n">
        <v>0</v>
      </c>
      <c r="AO3308" t="n">
        <v>0</v>
      </c>
      <c r="AP3308" t="inlineStr">
        <is>
          <t>No</t>
        </is>
      </c>
      <c r="AQ3308" t="inlineStr">
        <is>
          <t>Yes</t>
        </is>
      </c>
      <c r="AR3308">
        <f>HYPERLINK("http://catalog.hathitrust.org/Record/001594597","HathiTrust Record")</f>
        <v/>
      </c>
      <c r="AS3308">
        <f>HYPERLINK("https://creighton-primo.hosted.exlibrisgroup.com/primo-explore/search?tab=default_tab&amp;search_scope=EVERYTHING&amp;vid=01CRU&amp;lang=en_US&amp;offset=0&amp;query=any,contains,991003184679702656","Catalog Record")</f>
        <v/>
      </c>
      <c r="AT3308">
        <f>HYPERLINK("http://www.worldcat.org/oclc/712524","WorldCat Record")</f>
        <v/>
      </c>
      <c r="AU3308" t="inlineStr">
        <is>
          <t>10678390649:eng</t>
        </is>
      </c>
      <c r="AV3308" t="inlineStr">
        <is>
          <t>712524</t>
        </is>
      </c>
      <c r="AW3308" t="inlineStr">
        <is>
          <t>991003184679702656</t>
        </is>
      </c>
      <c r="AX3308" t="inlineStr">
        <is>
          <t>991003184679702656</t>
        </is>
      </c>
      <c r="AY3308" t="inlineStr">
        <is>
          <t>2256664490002656</t>
        </is>
      </c>
      <c r="AZ3308" t="inlineStr">
        <is>
          <t>BOOK</t>
        </is>
      </c>
      <c r="BC3308" t="inlineStr">
        <is>
          <t>32285001141497</t>
        </is>
      </c>
      <c r="BD3308" t="inlineStr">
        <is>
          <t>893434718</t>
        </is>
      </c>
    </row>
    <row r="3309">
      <c r="A3309" t="inlineStr">
        <is>
          <t>No</t>
        </is>
      </c>
      <c r="B3309" t="inlineStr">
        <is>
          <t>BX9454.2 .M36 2000</t>
        </is>
      </c>
      <c r="C3309" t="inlineStr">
        <is>
          <t>0                      BX 9454200M  36          2000</t>
        </is>
      </c>
      <c r="D3309" t="inlineStr">
        <is>
          <t>Theodore Beza and the quest for peace in France, 1572-1598 / by Scott M. Manetsch.</t>
        </is>
      </c>
      <c r="F3309" t="inlineStr">
        <is>
          <t>No</t>
        </is>
      </c>
      <c r="G3309" t="inlineStr">
        <is>
          <t>1</t>
        </is>
      </c>
      <c r="H3309" t="inlineStr">
        <is>
          <t>No</t>
        </is>
      </c>
      <c r="I3309" t="inlineStr">
        <is>
          <t>No</t>
        </is>
      </c>
      <c r="J3309" t="inlineStr">
        <is>
          <t>0</t>
        </is>
      </c>
      <c r="K3309" t="inlineStr">
        <is>
          <t>Manetsch, Scott M.</t>
        </is>
      </c>
      <c r="L3309" t="inlineStr">
        <is>
          <t>Leiden ; Boston : Brill, 2000.</t>
        </is>
      </c>
      <c r="M3309" t="inlineStr">
        <is>
          <t>2000</t>
        </is>
      </c>
      <c r="O3309" t="inlineStr">
        <is>
          <t>eng</t>
        </is>
      </c>
      <c r="P3309" t="inlineStr">
        <is>
          <t xml:space="preserve">ne </t>
        </is>
      </c>
      <c r="Q3309" t="inlineStr">
        <is>
          <t>Studies in medieval and Reformation thought, 0585-6914 ; v. 79</t>
        </is>
      </c>
      <c r="R3309" t="inlineStr">
        <is>
          <t xml:space="preserve">BX </t>
        </is>
      </c>
      <c r="S3309" t="n">
        <v>2</v>
      </c>
      <c r="T3309" t="n">
        <v>2</v>
      </c>
      <c r="U3309" t="inlineStr">
        <is>
          <t>2000-08-23</t>
        </is>
      </c>
      <c r="V3309" t="inlineStr">
        <is>
          <t>2000-08-23</t>
        </is>
      </c>
      <c r="W3309" t="inlineStr">
        <is>
          <t>2000-08-23</t>
        </is>
      </c>
      <c r="X3309" t="inlineStr">
        <is>
          <t>2000-08-23</t>
        </is>
      </c>
      <c r="Y3309" t="n">
        <v>228</v>
      </c>
      <c r="Z3309" t="n">
        <v>172</v>
      </c>
      <c r="AA3309" t="n">
        <v>172</v>
      </c>
      <c r="AB3309" t="n">
        <v>2</v>
      </c>
      <c r="AC3309" t="n">
        <v>2</v>
      </c>
      <c r="AD3309" t="n">
        <v>12</v>
      </c>
      <c r="AE3309" t="n">
        <v>12</v>
      </c>
      <c r="AF3309" t="n">
        <v>2</v>
      </c>
      <c r="AG3309" t="n">
        <v>2</v>
      </c>
      <c r="AH3309" t="n">
        <v>3</v>
      </c>
      <c r="AI3309" t="n">
        <v>3</v>
      </c>
      <c r="AJ3309" t="n">
        <v>7</v>
      </c>
      <c r="AK3309" t="n">
        <v>7</v>
      </c>
      <c r="AL3309" t="n">
        <v>1</v>
      </c>
      <c r="AM3309" t="n">
        <v>1</v>
      </c>
      <c r="AN3309" t="n">
        <v>0</v>
      </c>
      <c r="AO3309" t="n">
        <v>0</v>
      </c>
      <c r="AP3309" t="inlineStr">
        <is>
          <t>No</t>
        </is>
      </c>
      <c r="AQ3309" t="inlineStr">
        <is>
          <t>No</t>
        </is>
      </c>
      <c r="AS3309">
        <f>HYPERLINK("https://creighton-primo.hosted.exlibrisgroup.com/primo-explore/search?tab=default_tab&amp;search_scope=EVERYTHING&amp;vid=01CRU&amp;lang=en_US&amp;offset=0&amp;query=any,contains,991003267049702656","Catalog Record")</f>
        <v/>
      </c>
      <c r="AT3309">
        <f>HYPERLINK("http://www.worldcat.org/oclc/43487314","WorldCat Record")</f>
        <v/>
      </c>
      <c r="AU3309" t="inlineStr">
        <is>
          <t>10568055012:eng</t>
        </is>
      </c>
      <c r="AV3309" t="inlineStr">
        <is>
          <t>43487314</t>
        </is>
      </c>
      <c r="AW3309" t="inlineStr">
        <is>
          <t>991003267049702656</t>
        </is>
      </c>
      <c r="AX3309" t="inlineStr">
        <is>
          <t>991003267049702656</t>
        </is>
      </c>
      <c r="AY3309" t="inlineStr">
        <is>
          <t>2261063150002656</t>
        </is>
      </c>
      <c r="AZ3309" t="inlineStr">
        <is>
          <t>BOOK</t>
        </is>
      </c>
      <c r="BB3309" t="inlineStr">
        <is>
          <t>9789004111011</t>
        </is>
      </c>
      <c r="BC3309" t="inlineStr">
        <is>
          <t>32285003758876</t>
        </is>
      </c>
      <c r="BD3309" t="inlineStr">
        <is>
          <t>893793468</t>
        </is>
      </c>
    </row>
    <row r="3310">
      <c r="A3310" t="inlineStr">
        <is>
          <t>No</t>
        </is>
      </c>
      <c r="B3310" t="inlineStr">
        <is>
          <t>BX9454.2 .S9</t>
        </is>
      </c>
      <c r="C3310" t="inlineStr">
        <is>
          <t>0                      BX 9454200S  9</t>
        </is>
      </c>
      <c r="D3310" t="inlineStr">
        <is>
          <t>The Huguenot struggle for recognition / by N. M. Sutherland.</t>
        </is>
      </c>
      <c r="F3310" t="inlineStr">
        <is>
          <t>No</t>
        </is>
      </c>
      <c r="G3310" t="inlineStr">
        <is>
          <t>1</t>
        </is>
      </c>
      <c r="H3310" t="inlineStr">
        <is>
          <t>No</t>
        </is>
      </c>
      <c r="I3310" t="inlineStr">
        <is>
          <t>No</t>
        </is>
      </c>
      <c r="J3310" t="inlineStr">
        <is>
          <t>0</t>
        </is>
      </c>
      <c r="K3310" t="inlineStr">
        <is>
          <t>Sutherland, N. M. (Nicola Mary), 1925-</t>
        </is>
      </c>
      <c r="L3310" t="inlineStr">
        <is>
          <t>New Haven, Conn. : Yale University, 1979.</t>
        </is>
      </c>
      <c r="M3310" t="inlineStr">
        <is>
          <t>1979</t>
        </is>
      </c>
      <c r="O3310" t="inlineStr">
        <is>
          <t>eng</t>
        </is>
      </c>
      <c r="P3310" t="inlineStr">
        <is>
          <t>ctu</t>
        </is>
      </c>
      <c r="R3310" t="inlineStr">
        <is>
          <t xml:space="preserve">BX </t>
        </is>
      </c>
      <c r="S3310" t="n">
        <v>3</v>
      </c>
      <c r="T3310" t="n">
        <v>3</v>
      </c>
      <c r="U3310" t="inlineStr">
        <is>
          <t>1998-08-26</t>
        </is>
      </c>
      <c r="V3310" t="inlineStr">
        <is>
          <t>1998-08-26</t>
        </is>
      </c>
      <c r="W3310" t="inlineStr">
        <is>
          <t>1992-05-27</t>
        </is>
      </c>
      <c r="X3310" t="inlineStr">
        <is>
          <t>1992-05-27</t>
        </is>
      </c>
      <c r="Y3310" t="n">
        <v>739</v>
      </c>
      <c r="Z3310" t="n">
        <v>585</v>
      </c>
      <c r="AA3310" t="n">
        <v>594</v>
      </c>
      <c r="AB3310" t="n">
        <v>4</v>
      </c>
      <c r="AC3310" t="n">
        <v>4</v>
      </c>
      <c r="AD3310" t="n">
        <v>26</v>
      </c>
      <c r="AE3310" t="n">
        <v>27</v>
      </c>
      <c r="AF3310" t="n">
        <v>9</v>
      </c>
      <c r="AG3310" t="n">
        <v>9</v>
      </c>
      <c r="AH3310" t="n">
        <v>4</v>
      </c>
      <c r="AI3310" t="n">
        <v>5</v>
      </c>
      <c r="AJ3310" t="n">
        <v>16</v>
      </c>
      <c r="AK3310" t="n">
        <v>17</v>
      </c>
      <c r="AL3310" t="n">
        <v>3</v>
      </c>
      <c r="AM3310" t="n">
        <v>3</v>
      </c>
      <c r="AN3310" t="n">
        <v>0</v>
      </c>
      <c r="AO3310" t="n">
        <v>0</v>
      </c>
      <c r="AP3310" t="inlineStr">
        <is>
          <t>No</t>
        </is>
      </c>
      <c r="AQ3310" t="inlineStr">
        <is>
          <t>No</t>
        </is>
      </c>
      <c r="AS3310">
        <f>HYPERLINK("https://creighton-primo.hosted.exlibrisgroup.com/primo-explore/search?tab=default_tab&amp;search_scope=EVERYTHING&amp;vid=01CRU&amp;lang=en_US&amp;offset=0&amp;query=any,contains,991004749239702656","Catalog Record")</f>
        <v/>
      </c>
      <c r="AT3310">
        <f>HYPERLINK("http://www.worldcat.org/oclc/4932796","WorldCat Record")</f>
        <v/>
      </c>
      <c r="AU3310" t="inlineStr">
        <is>
          <t>15210493:eng</t>
        </is>
      </c>
      <c r="AV3310" t="inlineStr">
        <is>
          <t>4932796</t>
        </is>
      </c>
      <c r="AW3310" t="inlineStr">
        <is>
          <t>991004749239702656</t>
        </is>
      </c>
      <c r="AX3310" t="inlineStr">
        <is>
          <t>991004749239702656</t>
        </is>
      </c>
      <c r="AY3310" t="inlineStr">
        <is>
          <t>2270582200002656</t>
        </is>
      </c>
      <c r="AZ3310" t="inlineStr">
        <is>
          <t>BOOK</t>
        </is>
      </c>
      <c r="BB3310" t="inlineStr">
        <is>
          <t>9780300023282</t>
        </is>
      </c>
      <c r="BC3310" t="inlineStr">
        <is>
          <t>32285001141513</t>
        </is>
      </c>
      <c r="BD3310" t="inlineStr">
        <is>
          <t>893625072</t>
        </is>
      </c>
    </row>
    <row r="3311">
      <c r="A3311" t="inlineStr">
        <is>
          <t>No</t>
        </is>
      </c>
      <c r="B3311" t="inlineStr">
        <is>
          <t>BX9458.G7 G99 1985</t>
        </is>
      </c>
      <c r="C3311" t="inlineStr">
        <is>
          <t>0                      BX 9458000G  7                  G  99          1985</t>
        </is>
      </c>
      <c r="D3311" t="inlineStr">
        <is>
          <t>Huguenot heritage : the history and contribution of the Huguenots in Britain / Robin D. Gwynn.</t>
        </is>
      </c>
      <c r="F3311" t="inlineStr">
        <is>
          <t>No</t>
        </is>
      </c>
      <c r="G3311" t="inlineStr">
        <is>
          <t>1</t>
        </is>
      </c>
      <c r="H3311" t="inlineStr">
        <is>
          <t>No</t>
        </is>
      </c>
      <c r="I3311" t="inlineStr">
        <is>
          <t>No</t>
        </is>
      </c>
      <c r="J3311" t="inlineStr">
        <is>
          <t>0</t>
        </is>
      </c>
      <c r="K3311" t="inlineStr">
        <is>
          <t>Gwynn, Robin D.</t>
        </is>
      </c>
      <c r="L3311" t="inlineStr">
        <is>
          <t>London ; Boston : Routledge &amp; Kegan Paul, 1985.</t>
        </is>
      </c>
      <c r="M3311" t="inlineStr">
        <is>
          <t>1985</t>
        </is>
      </c>
      <c r="O3311" t="inlineStr">
        <is>
          <t>eng</t>
        </is>
      </c>
      <c r="P3311" t="inlineStr">
        <is>
          <t>enk</t>
        </is>
      </c>
      <c r="R3311" t="inlineStr">
        <is>
          <t xml:space="preserve">BX </t>
        </is>
      </c>
      <c r="S3311" t="n">
        <v>3</v>
      </c>
      <c r="T3311" t="n">
        <v>3</v>
      </c>
      <c r="U3311" t="inlineStr">
        <is>
          <t>2008-10-31</t>
        </is>
      </c>
      <c r="V3311" t="inlineStr">
        <is>
          <t>2008-10-31</t>
        </is>
      </c>
      <c r="W3311" t="inlineStr">
        <is>
          <t>1992-05-27</t>
        </is>
      </c>
      <c r="X3311" t="inlineStr">
        <is>
          <t>1992-05-27</t>
        </is>
      </c>
      <c r="Y3311" t="n">
        <v>448</v>
      </c>
      <c r="Z3311" t="n">
        <v>255</v>
      </c>
      <c r="AA3311" t="n">
        <v>302</v>
      </c>
      <c r="AB3311" t="n">
        <v>3</v>
      </c>
      <c r="AC3311" t="n">
        <v>3</v>
      </c>
      <c r="AD3311" t="n">
        <v>11</v>
      </c>
      <c r="AE3311" t="n">
        <v>14</v>
      </c>
      <c r="AF3311" t="n">
        <v>2</v>
      </c>
      <c r="AG3311" t="n">
        <v>3</v>
      </c>
      <c r="AH3311" t="n">
        <v>4</v>
      </c>
      <c r="AI3311" t="n">
        <v>6</v>
      </c>
      <c r="AJ3311" t="n">
        <v>5</v>
      </c>
      <c r="AK3311" t="n">
        <v>7</v>
      </c>
      <c r="AL3311" t="n">
        <v>2</v>
      </c>
      <c r="AM3311" t="n">
        <v>2</v>
      </c>
      <c r="AN3311" t="n">
        <v>0</v>
      </c>
      <c r="AO3311" t="n">
        <v>0</v>
      </c>
      <c r="AP3311" t="inlineStr">
        <is>
          <t>No</t>
        </is>
      </c>
      <c r="AQ3311" t="inlineStr">
        <is>
          <t>Yes</t>
        </is>
      </c>
      <c r="AR3311">
        <f>HYPERLINK("http://catalog.hathitrust.org/Record/000365950","HathiTrust Record")</f>
        <v/>
      </c>
      <c r="AS3311">
        <f>HYPERLINK("https://creighton-primo.hosted.exlibrisgroup.com/primo-explore/search?tab=default_tab&amp;search_scope=EVERYTHING&amp;vid=01CRU&amp;lang=en_US&amp;offset=0&amp;query=any,contains,991000476239702656","Catalog Record")</f>
        <v/>
      </c>
      <c r="AT3311">
        <f>HYPERLINK("http://www.worldcat.org/oclc/11029969","WorldCat Record")</f>
        <v/>
      </c>
      <c r="AU3311" t="inlineStr">
        <is>
          <t>836673679:eng</t>
        </is>
      </c>
      <c r="AV3311" t="inlineStr">
        <is>
          <t>11029969</t>
        </is>
      </c>
      <c r="AW3311" t="inlineStr">
        <is>
          <t>991000476239702656</t>
        </is>
      </c>
      <c r="AX3311" t="inlineStr">
        <is>
          <t>991000476239702656</t>
        </is>
      </c>
      <c r="AY3311" t="inlineStr">
        <is>
          <t>2266428610002656</t>
        </is>
      </c>
      <c r="AZ3311" t="inlineStr">
        <is>
          <t>BOOK</t>
        </is>
      </c>
      <c r="BB3311" t="inlineStr">
        <is>
          <t>9780710204202</t>
        </is>
      </c>
      <c r="BC3311" t="inlineStr">
        <is>
          <t>32285001141521</t>
        </is>
      </c>
      <c r="BD3311" t="inlineStr">
        <is>
          <t>893808697</t>
        </is>
      </c>
    </row>
    <row r="3312">
      <c r="A3312" t="inlineStr">
        <is>
          <t>No</t>
        </is>
      </c>
      <c r="B3312" t="inlineStr">
        <is>
          <t>BX9458.I7 H95 2005</t>
        </is>
      </c>
      <c r="C3312" t="inlineStr">
        <is>
          <t>0                      BX 9458000I  7                  H  95          2005</t>
        </is>
      </c>
      <c r="D3312" t="inlineStr">
        <is>
          <t>Ireland's Huguenots and their refuge, 1662-1745 : an unlikely haven / Raymond Hylton.</t>
        </is>
      </c>
      <c r="F3312" t="inlineStr">
        <is>
          <t>No</t>
        </is>
      </c>
      <c r="G3312" t="inlineStr">
        <is>
          <t>1</t>
        </is>
      </c>
      <c r="H3312" t="inlineStr">
        <is>
          <t>No</t>
        </is>
      </c>
      <c r="I3312" t="inlineStr">
        <is>
          <t>No</t>
        </is>
      </c>
      <c r="J3312" t="inlineStr">
        <is>
          <t>0</t>
        </is>
      </c>
      <c r="K3312" t="inlineStr">
        <is>
          <t>Hylton, Raymond.</t>
        </is>
      </c>
      <c r="L3312" t="inlineStr">
        <is>
          <t>Brighton [England] ; Portland, Or. : Sussex Academic Press, 2005.</t>
        </is>
      </c>
      <c r="M3312" t="inlineStr">
        <is>
          <t>2005</t>
        </is>
      </c>
      <c r="O3312" t="inlineStr">
        <is>
          <t>eng</t>
        </is>
      </c>
      <c r="P3312" t="inlineStr">
        <is>
          <t>enk</t>
        </is>
      </c>
      <c r="R3312" t="inlineStr">
        <is>
          <t xml:space="preserve">BX </t>
        </is>
      </c>
      <c r="S3312" t="n">
        <v>3</v>
      </c>
      <c r="T3312" t="n">
        <v>3</v>
      </c>
      <c r="U3312" t="inlineStr">
        <is>
          <t>2008-10-27</t>
        </is>
      </c>
      <c r="V3312" t="inlineStr">
        <is>
          <t>2008-10-27</t>
        </is>
      </c>
      <c r="W3312" t="inlineStr">
        <is>
          <t>2008-10-13</t>
        </is>
      </c>
      <c r="X3312" t="inlineStr">
        <is>
          <t>2008-10-13</t>
        </is>
      </c>
      <c r="Y3312" t="n">
        <v>104</v>
      </c>
      <c r="Z3312" t="n">
        <v>80</v>
      </c>
      <c r="AA3312" t="n">
        <v>80</v>
      </c>
      <c r="AB3312" t="n">
        <v>1</v>
      </c>
      <c r="AC3312" t="n">
        <v>1</v>
      </c>
      <c r="AD3312" t="n">
        <v>4</v>
      </c>
      <c r="AE3312" t="n">
        <v>4</v>
      </c>
      <c r="AF3312" t="n">
        <v>2</v>
      </c>
      <c r="AG3312" t="n">
        <v>2</v>
      </c>
      <c r="AH3312" t="n">
        <v>2</v>
      </c>
      <c r="AI3312" t="n">
        <v>2</v>
      </c>
      <c r="AJ3312" t="n">
        <v>3</v>
      </c>
      <c r="AK3312" t="n">
        <v>3</v>
      </c>
      <c r="AL3312" t="n">
        <v>0</v>
      </c>
      <c r="AM3312" t="n">
        <v>0</v>
      </c>
      <c r="AN3312" t="n">
        <v>0</v>
      </c>
      <c r="AO3312" t="n">
        <v>0</v>
      </c>
      <c r="AP3312" t="inlineStr">
        <is>
          <t>No</t>
        </is>
      </c>
      <c r="AQ3312" t="inlineStr">
        <is>
          <t>No</t>
        </is>
      </c>
      <c r="AS3312">
        <f>HYPERLINK("https://creighton-primo.hosted.exlibrisgroup.com/primo-explore/search?tab=default_tab&amp;search_scope=EVERYTHING&amp;vid=01CRU&amp;lang=en_US&amp;offset=0&amp;query=any,contains,991005271779702656","Catalog Record")</f>
        <v/>
      </c>
      <c r="AT3312">
        <f>HYPERLINK("http://www.worldcat.org/oclc/57003854","WorldCat Record")</f>
        <v/>
      </c>
      <c r="AU3312" t="inlineStr">
        <is>
          <t>791916177:eng</t>
        </is>
      </c>
      <c r="AV3312" t="inlineStr">
        <is>
          <t>57003854</t>
        </is>
      </c>
      <c r="AW3312" t="inlineStr">
        <is>
          <t>991005271779702656</t>
        </is>
      </c>
      <c r="AX3312" t="inlineStr">
        <is>
          <t>991005271779702656</t>
        </is>
      </c>
      <c r="AY3312" t="inlineStr">
        <is>
          <t>2270833960002656</t>
        </is>
      </c>
      <c r="AZ3312" t="inlineStr">
        <is>
          <t>BOOK</t>
        </is>
      </c>
      <c r="BB3312" t="inlineStr">
        <is>
          <t>9781902210780</t>
        </is>
      </c>
      <c r="BC3312" t="inlineStr">
        <is>
          <t>32285005463160</t>
        </is>
      </c>
      <c r="BD3312" t="inlineStr">
        <is>
          <t>893789722</t>
        </is>
      </c>
    </row>
    <row r="3313">
      <c r="A3313" t="inlineStr">
        <is>
          <t>No</t>
        </is>
      </c>
      <c r="B3313" t="inlineStr">
        <is>
          <t>BX946 .B35 1908</t>
        </is>
      </c>
      <c r="C3313" t="inlineStr">
        <is>
          <t>0                      BX 0946000B  35          1908</t>
        </is>
      </c>
      <c r="D3313" t="inlineStr">
        <is>
          <t>The Catholic Church, the Renaissance and Protestantism : lectures given at the Catholic Institute of Paris, January to March 1904 / by Alfred Baudrillart. With a prefatory letter from Cardinal Perraud. Authorised translation by Mrs. Philip Gibbs.</t>
        </is>
      </c>
      <c r="F3313" t="inlineStr">
        <is>
          <t>No</t>
        </is>
      </c>
      <c r="G3313" t="inlineStr">
        <is>
          <t>1</t>
        </is>
      </c>
      <c r="H3313" t="inlineStr">
        <is>
          <t>No</t>
        </is>
      </c>
      <c r="I3313" t="inlineStr">
        <is>
          <t>No</t>
        </is>
      </c>
      <c r="J3313" t="inlineStr">
        <is>
          <t>0</t>
        </is>
      </c>
      <c r="K3313" t="inlineStr">
        <is>
          <t>Baudrillart, Alfred, 1859-1942.</t>
        </is>
      </c>
      <c r="L3313" t="inlineStr">
        <is>
          <t>New York : Benziger Brothers, 1908.</t>
        </is>
      </c>
      <c r="M3313" t="inlineStr">
        <is>
          <t>1908</t>
        </is>
      </c>
      <c r="O3313" t="inlineStr">
        <is>
          <t>eng</t>
        </is>
      </c>
      <c r="P3313" t="inlineStr">
        <is>
          <t>nyu</t>
        </is>
      </c>
      <c r="Q3313" t="inlineStr">
        <is>
          <t>The International Catholic Library, v. 4</t>
        </is>
      </c>
      <c r="R3313" t="inlineStr">
        <is>
          <t xml:space="preserve">BX </t>
        </is>
      </c>
      <c r="S3313" t="n">
        <v>2</v>
      </c>
      <c r="T3313" t="n">
        <v>2</v>
      </c>
      <c r="U3313" t="inlineStr">
        <is>
          <t>1997-09-14</t>
        </is>
      </c>
      <c r="V3313" t="inlineStr">
        <is>
          <t>1997-09-14</t>
        </is>
      </c>
      <c r="W3313" t="inlineStr">
        <is>
          <t>1992-05-27</t>
        </is>
      </c>
      <c r="X3313" t="inlineStr">
        <is>
          <t>1992-05-27</t>
        </is>
      </c>
      <c r="Y3313" t="n">
        <v>56</v>
      </c>
      <c r="Z3313" t="n">
        <v>54</v>
      </c>
      <c r="AA3313" t="n">
        <v>222</v>
      </c>
      <c r="AB3313" t="n">
        <v>1</v>
      </c>
      <c r="AC3313" t="n">
        <v>4</v>
      </c>
      <c r="AD3313" t="n">
        <v>11</v>
      </c>
      <c r="AE3313" t="n">
        <v>27</v>
      </c>
      <c r="AF3313" t="n">
        <v>2</v>
      </c>
      <c r="AG3313" t="n">
        <v>8</v>
      </c>
      <c r="AH3313" t="n">
        <v>4</v>
      </c>
      <c r="AI3313" t="n">
        <v>8</v>
      </c>
      <c r="AJ3313" t="n">
        <v>9</v>
      </c>
      <c r="AK3313" t="n">
        <v>19</v>
      </c>
      <c r="AL3313" t="n">
        <v>0</v>
      </c>
      <c r="AM3313" t="n">
        <v>2</v>
      </c>
      <c r="AN3313" t="n">
        <v>0</v>
      </c>
      <c r="AO3313" t="n">
        <v>0</v>
      </c>
      <c r="AP3313" t="inlineStr">
        <is>
          <t>Yes</t>
        </is>
      </c>
      <c r="AQ3313" t="inlineStr">
        <is>
          <t>No</t>
        </is>
      </c>
      <c r="AR3313">
        <f>HYPERLINK("http://catalog.hathitrust.org/Record/011257663","HathiTrust Record")</f>
        <v/>
      </c>
      <c r="AS3313">
        <f>HYPERLINK("https://creighton-primo.hosted.exlibrisgroup.com/primo-explore/search?tab=default_tab&amp;search_scope=EVERYTHING&amp;vid=01CRU&amp;lang=en_US&amp;offset=0&amp;query=any,contains,991005074579702656","Catalog Record")</f>
        <v/>
      </c>
      <c r="AT3313">
        <f>HYPERLINK("http://www.worldcat.org/oclc/7091644","WorldCat Record")</f>
        <v/>
      </c>
      <c r="AU3313" t="inlineStr">
        <is>
          <t>905709394:eng</t>
        </is>
      </c>
      <c r="AV3313" t="inlineStr">
        <is>
          <t>7091644</t>
        </is>
      </c>
      <c r="AW3313" t="inlineStr">
        <is>
          <t>991005074579702656</t>
        </is>
      </c>
      <c r="AX3313" t="inlineStr">
        <is>
          <t>991005074579702656</t>
        </is>
      </c>
      <c r="AY3313" t="inlineStr">
        <is>
          <t>2256459930002656</t>
        </is>
      </c>
      <c r="AZ3313" t="inlineStr">
        <is>
          <t>BOOK</t>
        </is>
      </c>
      <c r="BC3313" t="inlineStr">
        <is>
          <t>32285001225605</t>
        </is>
      </c>
      <c r="BD3313" t="inlineStr">
        <is>
          <t>893782978</t>
        </is>
      </c>
    </row>
    <row r="3314">
      <c r="A3314" t="inlineStr">
        <is>
          <t>No</t>
        </is>
      </c>
      <c r="B3314" t="inlineStr">
        <is>
          <t>BX946 .B4 1924</t>
        </is>
      </c>
      <c r="C3314" t="inlineStr">
        <is>
          <t>0                      BX 0946000B  4           1924</t>
        </is>
      </c>
      <c r="D3314" t="inlineStr">
        <is>
          <t>Pagan and Christian rule / by Hugh G. Bévenot. With a preface by Hilaire Belloc.</t>
        </is>
      </c>
      <c r="F3314" t="inlineStr">
        <is>
          <t>No</t>
        </is>
      </c>
      <c r="G3314" t="inlineStr">
        <is>
          <t>1</t>
        </is>
      </c>
      <c r="H3314" t="inlineStr">
        <is>
          <t>No</t>
        </is>
      </c>
      <c r="I3314" t="inlineStr">
        <is>
          <t>No</t>
        </is>
      </c>
      <c r="J3314" t="inlineStr">
        <is>
          <t>0</t>
        </is>
      </c>
      <c r="K3314" t="inlineStr">
        <is>
          <t>Bévenot, Hugh.</t>
        </is>
      </c>
      <c r="L3314" t="inlineStr">
        <is>
          <t>New York : Longmans, Green, 1924.</t>
        </is>
      </c>
      <c r="M3314" t="inlineStr">
        <is>
          <t>1924</t>
        </is>
      </c>
      <c r="O3314" t="inlineStr">
        <is>
          <t>eng</t>
        </is>
      </c>
      <c r="P3314" t="inlineStr">
        <is>
          <t>nyu</t>
        </is>
      </c>
      <c r="R3314" t="inlineStr">
        <is>
          <t xml:space="preserve">BX </t>
        </is>
      </c>
      <c r="S3314" t="n">
        <v>3</v>
      </c>
      <c r="T3314" t="n">
        <v>3</v>
      </c>
      <c r="U3314" t="inlineStr">
        <is>
          <t>1998-01-27</t>
        </is>
      </c>
      <c r="V3314" t="inlineStr">
        <is>
          <t>1998-01-27</t>
        </is>
      </c>
      <c r="W3314" t="inlineStr">
        <is>
          <t>1992-05-27</t>
        </is>
      </c>
      <c r="X3314" t="inlineStr">
        <is>
          <t>1992-05-27</t>
        </is>
      </c>
      <c r="Y3314" t="n">
        <v>100</v>
      </c>
      <c r="Z3314" t="n">
        <v>79</v>
      </c>
      <c r="AA3314" t="n">
        <v>94</v>
      </c>
      <c r="AB3314" t="n">
        <v>1</v>
      </c>
      <c r="AC3314" t="n">
        <v>1</v>
      </c>
      <c r="AD3314" t="n">
        <v>13</v>
      </c>
      <c r="AE3314" t="n">
        <v>13</v>
      </c>
      <c r="AF3314" t="n">
        <v>2</v>
      </c>
      <c r="AG3314" t="n">
        <v>2</v>
      </c>
      <c r="AH3314" t="n">
        <v>4</v>
      </c>
      <c r="AI3314" t="n">
        <v>4</v>
      </c>
      <c r="AJ3314" t="n">
        <v>11</v>
      </c>
      <c r="AK3314" t="n">
        <v>11</v>
      </c>
      <c r="AL3314" t="n">
        <v>0</v>
      </c>
      <c r="AM3314" t="n">
        <v>0</v>
      </c>
      <c r="AN3314" t="n">
        <v>0</v>
      </c>
      <c r="AO3314" t="n">
        <v>0</v>
      </c>
      <c r="AP3314" t="inlineStr">
        <is>
          <t>Yes</t>
        </is>
      </c>
      <c r="AQ3314" t="inlineStr">
        <is>
          <t>No</t>
        </is>
      </c>
      <c r="AR3314">
        <f>HYPERLINK("http://catalog.hathitrust.org/Record/001401210","HathiTrust Record")</f>
        <v/>
      </c>
      <c r="AS3314">
        <f>HYPERLINK("https://creighton-primo.hosted.exlibrisgroup.com/primo-explore/search?tab=default_tab&amp;search_scope=EVERYTHING&amp;vid=01CRU&amp;lang=en_US&amp;offset=0&amp;query=any,contains,991004548899702656","Catalog Record")</f>
        <v/>
      </c>
      <c r="AT3314">
        <f>HYPERLINK("http://www.worldcat.org/oclc/3927550","WorldCat Record")</f>
        <v/>
      </c>
      <c r="AU3314" t="inlineStr">
        <is>
          <t>13527862:eng</t>
        </is>
      </c>
      <c r="AV3314" t="inlineStr">
        <is>
          <t>3927550</t>
        </is>
      </c>
      <c r="AW3314" t="inlineStr">
        <is>
          <t>991004548899702656</t>
        </is>
      </c>
      <c r="AX3314" t="inlineStr">
        <is>
          <t>991004548899702656</t>
        </is>
      </c>
      <c r="AY3314" t="inlineStr">
        <is>
          <t>2263301020002656</t>
        </is>
      </c>
      <c r="AZ3314" t="inlineStr">
        <is>
          <t>BOOK</t>
        </is>
      </c>
      <c r="BC3314" t="inlineStr">
        <is>
          <t>32285001225613</t>
        </is>
      </c>
      <c r="BD3314" t="inlineStr">
        <is>
          <t>893882590</t>
        </is>
      </c>
    </row>
    <row r="3315">
      <c r="A3315" t="inlineStr">
        <is>
          <t>No</t>
        </is>
      </c>
      <c r="B3315" t="inlineStr">
        <is>
          <t>BX946 .N48 2006</t>
        </is>
      </c>
      <c r="C3315" t="inlineStr">
        <is>
          <t>0                      BX 0946000N  48          2006</t>
        </is>
      </c>
      <c r="D3315" t="inlineStr">
        <is>
          <t>Catholic matters : confusion, controversy, and the splendor of truth / Richard John Neuhaus.</t>
        </is>
      </c>
      <c r="F3315" t="inlineStr">
        <is>
          <t>No</t>
        </is>
      </c>
      <c r="G3315" t="inlineStr">
        <is>
          <t>1</t>
        </is>
      </c>
      <c r="H3315" t="inlineStr">
        <is>
          <t>No</t>
        </is>
      </c>
      <c r="I3315" t="inlineStr">
        <is>
          <t>No</t>
        </is>
      </c>
      <c r="J3315" t="inlineStr">
        <is>
          <t>0</t>
        </is>
      </c>
      <c r="K3315" t="inlineStr">
        <is>
          <t>Neuhaus, Richard John.</t>
        </is>
      </c>
      <c r="L3315" t="inlineStr">
        <is>
          <t>New York : Basic Books, c2006.</t>
        </is>
      </c>
      <c r="M3315" t="inlineStr">
        <is>
          <t>2006</t>
        </is>
      </c>
      <c r="O3315" t="inlineStr">
        <is>
          <t>eng</t>
        </is>
      </c>
      <c r="P3315" t="inlineStr">
        <is>
          <t>nyu</t>
        </is>
      </c>
      <c r="R3315" t="inlineStr">
        <is>
          <t xml:space="preserve">BX </t>
        </is>
      </c>
      <c r="S3315" t="n">
        <v>2</v>
      </c>
      <c r="T3315" t="n">
        <v>2</v>
      </c>
      <c r="U3315" t="inlineStr">
        <is>
          <t>2006-04-21</t>
        </is>
      </c>
      <c r="V3315" t="inlineStr">
        <is>
          <t>2006-04-21</t>
        </is>
      </c>
      <c r="W3315" t="inlineStr">
        <is>
          <t>2006-03-27</t>
        </is>
      </c>
      <c r="X3315" t="inlineStr">
        <is>
          <t>2006-03-27</t>
        </is>
      </c>
      <c r="Y3315" t="n">
        <v>582</v>
      </c>
      <c r="Z3315" t="n">
        <v>545</v>
      </c>
      <c r="AA3315" t="n">
        <v>585</v>
      </c>
      <c r="AB3315" t="n">
        <v>5</v>
      </c>
      <c r="AC3315" t="n">
        <v>5</v>
      </c>
      <c r="AD3315" t="n">
        <v>32</v>
      </c>
      <c r="AE3315" t="n">
        <v>33</v>
      </c>
      <c r="AF3315" t="n">
        <v>12</v>
      </c>
      <c r="AG3315" t="n">
        <v>12</v>
      </c>
      <c r="AH3315" t="n">
        <v>8</v>
      </c>
      <c r="AI3315" t="n">
        <v>8</v>
      </c>
      <c r="AJ3315" t="n">
        <v>19</v>
      </c>
      <c r="AK3315" t="n">
        <v>20</v>
      </c>
      <c r="AL3315" t="n">
        <v>3</v>
      </c>
      <c r="AM3315" t="n">
        <v>3</v>
      </c>
      <c r="AN3315" t="n">
        <v>0</v>
      </c>
      <c r="AO3315" t="n">
        <v>0</v>
      </c>
      <c r="AP3315" t="inlineStr">
        <is>
          <t>No</t>
        </is>
      </c>
      <c r="AQ3315" t="inlineStr">
        <is>
          <t>No</t>
        </is>
      </c>
      <c r="AS3315">
        <f>HYPERLINK("https://creighton-primo.hosted.exlibrisgroup.com/primo-explore/search?tab=default_tab&amp;search_scope=EVERYTHING&amp;vid=01CRU&amp;lang=en_US&amp;offset=0&amp;query=any,contains,991004762279702656","Catalog Record")</f>
        <v/>
      </c>
      <c r="AT3315">
        <f>HYPERLINK("http://www.worldcat.org/oclc/62421162","WorldCat Record")</f>
        <v/>
      </c>
      <c r="AU3315" t="inlineStr">
        <is>
          <t>794367822:eng</t>
        </is>
      </c>
      <c r="AV3315" t="inlineStr">
        <is>
          <t>62421162</t>
        </is>
      </c>
      <c r="AW3315" t="inlineStr">
        <is>
          <t>991004762279702656</t>
        </is>
      </c>
      <c r="AX3315" t="inlineStr">
        <is>
          <t>991004762279702656</t>
        </is>
      </c>
      <c r="AY3315" t="inlineStr">
        <is>
          <t>2258255490002656</t>
        </is>
      </c>
      <c r="AZ3315" t="inlineStr">
        <is>
          <t>BOOK</t>
        </is>
      </c>
      <c r="BB3315" t="inlineStr">
        <is>
          <t>9780465049356</t>
        </is>
      </c>
      <c r="BC3315" t="inlineStr">
        <is>
          <t>32285005167605</t>
        </is>
      </c>
      <c r="BD3315" t="inlineStr">
        <is>
          <t>893694322</t>
        </is>
      </c>
    </row>
    <row r="3316">
      <c r="A3316" t="inlineStr">
        <is>
          <t>No</t>
        </is>
      </c>
      <c r="B3316" t="inlineStr">
        <is>
          <t>BX946 .P514 1969</t>
        </is>
      </c>
      <c r="C3316" t="inlineStr">
        <is>
          <t>0                      BX 0946000P  514         1969</t>
        </is>
      </c>
      <c r="D3316" t="inlineStr">
        <is>
          <t>The Vatican and its role in world affairs / by Charles Pichon. Translated from the French by Jean Misrahi.</t>
        </is>
      </c>
      <c r="F3316" t="inlineStr">
        <is>
          <t>No</t>
        </is>
      </c>
      <c r="G3316" t="inlineStr">
        <is>
          <t>1</t>
        </is>
      </c>
      <c r="H3316" t="inlineStr">
        <is>
          <t>No</t>
        </is>
      </c>
      <c r="I3316" t="inlineStr">
        <is>
          <t>No</t>
        </is>
      </c>
      <c r="J3316" t="inlineStr">
        <is>
          <t>0</t>
        </is>
      </c>
      <c r="K3316" t="inlineStr">
        <is>
          <t>Pichon, Charles, 1893-1963.</t>
        </is>
      </c>
      <c r="L3316" t="inlineStr">
        <is>
          <t>Westport, Conn. : Greenwood Press, [1969, c1950]</t>
        </is>
      </c>
      <c r="M3316" t="inlineStr">
        <is>
          <t>1969</t>
        </is>
      </c>
      <c r="O3316" t="inlineStr">
        <is>
          <t>eng</t>
        </is>
      </c>
      <c r="P3316" t="inlineStr">
        <is>
          <t>ctu</t>
        </is>
      </c>
      <c r="R3316" t="inlineStr">
        <is>
          <t xml:space="preserve">BX </t>
        </is>
      </c>
      <c r="S3316" t="n">
        <v>1</v>
      </c>
      <c r="T3316" t="n">
        <v>1</v>
      </c>
      <c r="U3316" t="inlineStr">
        <is>
          <t>2009-04-19</t>
        </is>
      </c>
      <c r="V3316" t="inlineStr">
        <is>
          <t>2009-04-19</t>
        </is>
      </c>
      <c r="W3316" t="inlineStr">
        <is>
          <t>1992-05-27</t>
        </is>
      </c>
      <c r="X3316" t="inlineStr">
        <is>
          <t>1992-05-27</t>
        </is>
      </c>
      <c r="Y3316" t="n">
        <v>160</v>
      </c>
      <c r="Z3316" t="n">
        <v>147</v>
      </c>
      <c r="AA3316" t="n">
        <v>498</v>
      </c>
      <c r="AB3316" t="n">
        <v>2</v>
      </c>
      <c r="AC3316" t="n">
        <v>2</v>
      </c>
      <c r="AD3316" t="n">
        <v>4</v>
      </c>
      <c r="AE3316" t="n">
        <v>40</v>
      </c>
      <c r="AF3316" t="n">
        <v>1</v>
      </c>
      <c r="AG3316" t="n">
        <v>16</v>
      </c>
      <c r="AH3316" t="n">
        <v>1</v>
      </c>
      <c r="AI3316" t="n">
        <v>9</v>
      </c>
      <c r="AJ3316" t="n">
        <v>1</v>
      </c>
      <c r="AK3316" t="n">
        <v>27</v>
      </c>
      <c r="AL3316" t="n">
        <v>1</v>
      </c>
      <c r="AM3316" t="n">
        <v>1</v>
      </c>
      <c r="AN3316" t="n">
        <v>0</v>
      </c>
      <c r="AO3316" t="n">
        <v>0</v>
      </c>
      <c r="AP3316" t="inlineStr">
        <is>
          <t>No</t>
        </is>
      </c>
      <c r="AQ3316" t="inlineStr">
        <is>
          <t>No</t>
        </is>
      </c>
      <c r="AS3316">
        <f>HYPERLINK("https://creighton-primo.hosted.exlibrisgroup.com/primo-explore/search?tab=default_tab&amp;search_scope=EVERYTHING&amp;vid=01CRU&amp;lang=en_US&amp;offset=0&amp;query=any,contains,991000502129702656","Catalog Record")</f>
        <v/>
      </c>
      <c r="AT3316">
        <f>HYPERLINK("http://www.worldcat.org/oclc/81711","WorldCat Record")</f>
        <v/>
      </c>
      <c r="AU3316" t="inlineStr">
        <is>
          <t>1265825:eng</t>
        </is>
      </c>
      <c r="AV3316" t="inlineStr">
        <is>
          <t>81711</t>
        </is>
      </c>
      <c r="AW3316" t="inlineStr">
        <is>
          <t>991000502129702656</t>
        </is>
      </c>
      <c r="AX3316" t="inlineStr">
        <is>
          <t>991000502129702656</t>
        </is>
      </c>
      <c r="AY3316" t="inlineStr">
        <is>
          <t>2272109020002656</t>
        </is>
      </c>
      <c r="AZ3316" t="inlineStr">
        <is>
          <t>BOOK</t>
        </is>
      </c>
      <c r="BB3316" t="inlineStr">
        <is>
          <t>9780837128283</t>
        </is>
      </c>
      <c r="BC3316" t="inlineStr">
        <is>
          <t>32285001225670</t>
        </is>
      </c>
      <c r="BD3316" t="inlineStr">
        <is>
          <t>893871721</t>
        </is>
      </c>
    </row>
    <row r="3317">
      <c r="A3317" t="inlineStr">
        <is>
          <t>No</t>
        </is>
      </c>
      <c r="B3317" t="inlineStr">
        <is>
          <t>BX9479.V5 V35 2000</t>
        </is>
      </c>
      <c r="C3317" t="inlineStr">
        <is>
          <t>0                      BX 9479000V  5                  V  35          2000</t>
        </is>
      </c>
      <c r="D3317" t="inlineStr">
        <is>
          <t>Willem Adolf Visser 't Hooft, 1900-1985 / Ans J. van der Bent.</t>
        </is>
      </c>
      <c r="F3317" t="inlineStr">
        <is>
          <t>No</t>
        </is>
      </c>
      <c r="G3317" t="inlineStr">
        <is>
          <t>1</t>
        </is>
      </c>
      <c r="H3317" t="inlineStr">
        <is>
          <t>No</t>
        </is>
      </c>
      <c r="I3317" t="inlineStr">
        <is>
          <t>No</t>
        </is>
      </c>
      <c r="J3317" t="inlineStr">
        <is>
          <t>0</t>
        </is>
      </c>
      <c r="K3317" t="inlineStr">
        <is>
          <t>Bent, Ans J. van der, 1924-1995.</t>
        </is>
      </c>
      <c r="L3317" t="inlineStr">
        <is>
          <t>Geneva : WCC Publications, c2000.</t>
        </is>
      </c>
      <c r="M3317" t="inlineStr">
        <is>
          <t>2000</t>
        </is>
      </c>
      <c r="O3317" t="inlineStr">
        <is>
          <t>eng</t>
        </is>
      </c>
      <c r="P3317" t="inlineStr">
        <is>
          <t xml:space="preserve">sz </t>
        </is>
      </c>
      <c r="R3317" t="inlineStr">
        <is>
          <t xml:space="preserve">BX </t>
        </is>
      </c>
      <c r="S3317" t="n">
        <v>1</v>
      </c>
      <c r="T3317" t="n">
        <v>1</v>
      </c>
      <c r="U3317" t="inlineStr">
        <is>
          <t>2001-05-02</t>
        </is>
      </c>
      <c r="V3317" t="inlineStr">
        <is>
          <t>2001-05-02</t>
        </is>
      </c>
      <c r="W3317" t="inlineStr">
        <is>
          <t>2001-05-02</t>
        </is>
      </c>
      <c r="X3317" t="inlineStr">
        <is>
          <t>2001-05-02</t>
        </is>
      </c>
      <c r="Y3317" t="n">
        <v>93</v>
      </c>
      <c r="Z3317" t="n">
        <v>75</v>
      </c>
      <c r="AA3317" t="n">
        <v>75</v>
      </c>
      <c r="AB3317" t="n">
        <v>1</v>
      </c>
      <c r="AC3317" t="n">
        <v>1</v>
      </c>
      <c r="AD3317" t="n">
        <v>4</v>
      </c>
      <c r="AE3317" t="n">
        <v>4</v>
      </c>
      <c r="AF3317" t="n">
        <v>1</v>
      </c>
      <c r="AG3317" t="n">
        <v>1</v>
      </c>
      <c r="AH3317" t="n">
        <v>1</v>
      </c>
      <c r="AI3317" t="n">
        <v>1</v>
      </c>
      <c r="AJ3317" t="n">
        <v>2</v>
      </c>
      <c r="AK3317" t="n">
        <v>2</v>
      </c>
      <c r="AL3317" t="n">
        <v>0</v>
      </c>
      <c r="AM3317" t="n">
        <v>0</v>
      </c>
      <c r="AN3317" t="n">
        <v>0</v>
      </c>
      <c r="AO3317" t="n">
        <v>0</v>
      </c>
      <c r="AP3317" t="inlineStr">
        <is>
          <t>No</t>
        </is>
      </c>
      <c r="AQ3317" t="inlineStr">
        <is>
          <t>No</t>
        </is>
      </c>
      <c r="AS3317">
        <f>HYPERLINK("https://creighton-primo.hosted.exlibrisgroup.com/primo-explore/search?tab=default_tab&amp;search_scope=EVERYTHING&amp;vid=01CRU&amp;lang=en_US&amp;offset=0&amp;query=any,contains,991003530909702656","Catalog Record")</f>
        <v/>
      </c>
      <c r="AT3317">
        <f>HYPERLINK("http://www.worldcat.org/oclc/45271833","WorldCat Record")</f>
        <v/>
      </c>
      <c r="AU3317" t="inlineStr">
        <is>
          <t>34525335:eng</t>
        </is>
      </c>
      <c r="AV3317" t="inlineStr">
        <is>
          <t>45271833</t>
        </is>
      </c>
      <c r="AW3317" t="inlineStr">
        <is>
          <t>991003530909702656</t>
        </is>
      </c>
      <c r="AX3317" t="inlineStr">
        <is>
          <t>991003530909702656</t>
        </is>
      </c>
      <c r="AY3317" t="inlineStr">
        <is>
          <t>2271915670002656</t>
        </is>
      </c>
      <c r="AZ3317" t="inlineStr">
        <is>
          <t>BOOK</t>
        </is>
      </c>
      <c r="BB3317" t="inlineStr">
        <is>
          <t>9782825413319</t>
        </is>
      </c>
      <c r="BC3317" t="inlineStr">
        <is>
          <t>32285004315973</t>
        </is>
      </c>
      <c r="BD3317" t="inlineStr">
        <is>
          <t>893592603</t>
        </is>
      </c>
    </row>
    <row r="3318">
      <c r="A3318" t="inlineStr">
        <is>
          <t>No</t>
        </is>
      </c>
      <c r="B3318" t="inlineStr">
        <is>
          <t>BX948 .E23 1961</t>
        </is>
      </c>
      <c r="C3318" t="inlineStr">
        <is>
          <t>0                      BX 0948000E  23          1961</t>
        </is>
      </c>
      <c r="D3318" t="inlineStr">
        <is>
          <t>A summary of Catholic history / by Newman C. Eberhardt.</t>
        </is>
      </c>
      <c r="E3318" t="inlineStr">
        <is>
          <t>V.1</t>
        </is>
      </c>
      <c r="F3318" t="inlineStr">
        <is>
          <t>Yes</t>
        </is>
      </c>
      <c r="G3318" t="inlineStr">
        <is>
          <t>1</t>
        </is>
      </c>
      <c r="H3318" t="inlineStr">
        <is>
          <t>No</t>
        </is>
      </c>
      <c r="I3318" t="inlineStr">
        <is>
          <t>No</t>
        </is>
      </c>
      <c r="J3318" t="inlineStr">
        <is>
          <t>0</t>
        </is>
      </c>
      <c r="K3318" t="inlineStr">
        <is>
          <t>Eberhardt, Newman C., 1912-1995.</t>
        </is>
      </c>
      <c r="L3318" t="inlineStr">
        <is>
          <t>St. Louis : Herder, [1961-62]</t>
        </is>
      </c>
      <c r="M3318" t="inlineStr">
        <is>
          <t>1961</t>
        </is>
      </c>
      <c r="O3318" t="inlineStr">
        <is>
          <t>eng</t>
        </is>
      </c>
      <c r="P3318" t="inlineStr">
        <is>
          <t xml:space="preserve">xx </t>
        </is>
      </c>
      <c r="R3318" t="inlineStr">
        <is>
          <t xml:space="preserve">BX </t>
        </is>
      </c>
      <c r="S3318" t="n">
        <v>4</v>
      </c>
      <c r="T3318" t="n">
        <v>6</v>
      </c>
      <c r="U3318" t="inlineStr">
        <is>
          <t>2008-03-18</t>
        </is>
      </c>
      <c r="V3318" t="inlineStr">
        <is>
          <t>2008-03-18</t>
        </is>
      </c>
      <c r="W3318" t="inlineStr">
        <is>
          <t>1992-05-29</t>
        </is>
      </c>
      <c r="X3318" t="inlineStr">
        <is>
          <t>1992-05-29</t>
        </is>
      </c>
      <c r="Y3318" t="n">
        <v>307</v>
      </c>
      <c r="Z3318" t="n">
        <v>269</v>
      </c>
      <c r="AA3318" t="n">
        <v>275</v>
      </c>
      <c r="AB3318" t="n">
        <v>5</v>
      </c>
      <c r="AC3318" t="n">
        <v>5</v>
      </c>
      <c r="AD3318" t="n">
        <v>31</v>
      </c>
      <c r="AE3318" t="n">
        <v>31</v>
      </c>
      <c r="AF3318" t="n">
        <v>12</v>
      </c>
      <c r="AG3318" t="n">
        <v>12</v>
      </c>
      <c r="AH3318" t="n">
        <v>8</v>
      </c>
      <c r="AI3318" t="n">
        <v>8</v>
      </c>
      <c r="AJ3318" t="n">
        <v>19</v>
      </c>
      <c r="AK3318" t="n">
        <v>19</v>
      </c>
      <c r="AL3318" t="n">
        <v>3</v>
      </c>
      <c r="AM3318" t="n">
        <v>3</v>
      </c>
      <c r="AN3318" t="n">
        <v>0</v>
      </c>
      <c r="AO3318" t="n">
        <v>0</v>
      </c>
      <c r="AP3318" t="inlineStr">
        <is>
          <t>Yes</t>
        </is>
      </c>
      <c r="AQ3318" t="inlineStr">
        <is>
          <t>Yes</t>
        </is>
      </c>
      <c r="AR3318">
        <f>HYPERLINK("http://catalog.hathitrust.org/Record/001415742","HathiTrust Record")</f>
        <v/>
      </c>
      <c r="AS3318">
        <f>HYPERLINK("https://creighton-primo.hosted.exlibrisgroup.com/primo-explore/search?tab=default_tab&amp;search_scope=EVERYTHING&amp;vid=01CRU&amp;lang=en_US&amp;offset=0&amp;query=any,contains,991003634169702656","Catalog Record")</f>
        <v/>
      </c>
      <c r="AT3318">
        <f>HYPERLINK("http://www.worldcat.org/oclc/1228457","WorldCat Record")</f>
        <v/>
      </c>
      <c r="AU3318" t="inlineStr">
        <is>
          <t>2127698:eng</t>
        </is>
      </c>
      <c r="AV3318" t="inlineStr">
        <is>
          <t>1228457</t>
        </is>
      </c>
      <c r="AW3318" t="inlineStr">
        <is>
          <t>991003634169702656</t>
        </is>
      </c>
      <c r="AX3318" t="inlineStr">
        <is>
          <t>991003634169702656</t>
        </is>
      </c>
      <c r="AY3318" t="inlineStr">
        <is>
          <t>2267849310002656</t>
        </is>
      </c>
      <c r="AZ3318" t="inlineStr">
        <is>
          <t>BOOK</t>
        </is>
      </c>
      <c r="BC3318" t="inlineStr">
        <is>
          <t>32285001225738</t>
        </is>
      </c>
      <c r="BD3318" t="inlineStr">
        <is>
          <t>893705441</t>
        </is>
      </c>
    </row>
    <row r="3319">
      <c r="A3319" t="inlineStr">
        <is>
          <t>No</t>
        </is>
      </c>
      <c r="B3319" t="inlineStr">
        <is>
          <t>BX948 .E23 1961</t>
        </is>
      </c>
      <c r="C3319" t="inlineStr">
        <is>
          <t>0                      BX 0948000E  23          1961</t>
        </is>
      </c>
      <c r="D3319" t="inlineStr">
        <is>
          <t>A summary of Catholic history / by Newman C. Eberhardt.</t>
        </is>
      </c>
      <c r="E3319" t="inlineStr">
        <is>
          <t>V.2</t>
        </is>
      </c>
      <c r="F3319" t="inlineStr">
        <is>
          <t>Yes</t>
        </is>
      </c>
      <c r="G3319" t="inlineStr">
        <is>
          <t>1</t>
        </is>
      </c>
      <c r="H3319" t="inlineStr">
        <is>
          <t>No</t>
        </is>
      </c>
      <c r="I3319" t="inlineStr">
        <is>
          <t>No</t>
        </is>
      </c>
      <c r="J3319" t="inlineStr">
        <is>
          <t>0</t>
        </is>
      </c>
      <c r="K3319" t="inlineStr">
        <is>
          <t>Eberhardt, Newman C., 1912-1995.</t>
        </is>
      </c>
      <c r="L3319" t="inlineStr">
        <is>
          <t>St. Louis : Herder, [1961-62]</t>
        </is>
      </c>
      <c r="M3319" t="inlineStr">
        <is>
          <t>1961</t>
        </is>
      </c>
      <c r="O3319" t="inlineStr">
        <is>
          <t>eng</t>
        </is>
      </c>
      <c r="P3319" t="inlineStr">
        <is>
          <t xml:space="preserve">xx </t>
        </is>
      </c>
      <c r="R3319" t="inlineStr">
        <is>
          <t xml:space="preserve">BX </t>
        </is>
      </c>
      <c r="S3319" t="n">
        <v>2</v>
      </c>
      <c r="T3319" t="n">
        <v>6</v>
      </c>
      <c r="U3319" t="inlineStr">
        <is>
          <t>1996-09-25</t>
        </is>
      </c>
      <c r="V3319" t="inlineStr">
        <is>
          <t>2008-03-18</t>
        </is>
      </c>
      <c r="W3319" t="inlineStr">
        <is>
          <t>1992-05-29</t>
        </is>
      </c>
      <c r="X3319" t="inlineStr">
        <is>
          <t>1992-05-29</t>
        </is>
      </c>
      <c r="Y3319" t="n">
        <v>307</v>
      </c>
      <c r="Z3319" t="n">
        <v>269</v>
      </c>
      <c r="AA3319" t="n">
        <v>275</v>
      </c>
      <c r="AB3319" t="n">
        <v>5</v>
      </c>
      <c r="AC3319" t="n">
        <v>5</v>
      </c>
      <c r="AD3319" t="n">
        <v>31</v>
      </c>
      <c r="AE3319" t="n">
        <v>31</v>
      </c>
      <c r="AF3319" t="n">
        <v>12</v>
      </c>
      <c r="AG3319" t="n">
        <v>12</v>
      </c>
      <c r="AH3319" t="n">
        <v>8</v>
      </c>
      <c r="AI3319" t="n">
        <v>8</v>
      </c>
      <c r="AJ3319" t="n">
        <v>19</v>
      </c>
      <c r="AK3319" t="n">
        <v>19</v>
      </c>
      <c r="AL3319" t="n">
        <v>3</v>
      </c>
      <c r="AM3319" t="n">
        <v>3</v>
      </c>
      <c r="AN3319" t="n">
        <v>0</v>
      </c>
      <c r="AO3319" t="n">
        <v>0</v>
      </c>
      <c r="AP3319" t="inlineStr">
        <is>
          <t>Yes</t>
        </is>
      </c>
      <c r="AQ3319" t="inlineStr">
        <is>
          <t>Yes</t>
        </is>
      </c>
      <c r="AR3319">
        <f>HYPERLINK("http://catalog.hathitrust.org/Record/001415742","HathiTrust Record")</f>
        <v/>
      </c>
      <c r="AS3319">
        <f>HYPERLINK("https://creighton-primo.hosted.exlibrisgroup.com/primo-explore/search?tab=default_tab&amp;search_scope=EVERYTHING&amp;vid=01CRU&amp;lang=en_US&amp;offset=0&amp;query=any,contains,991003634169702656","Catalog Record")</f>
        <v/>
      </c>
      <c r="AT3319">
        <f>HYPERLINK("http://www.worldcat.org/oclc/1228457","WorldCat Record")</f>
        <v/>
      </c>
      <c r="AU3319" t="inlineStr">
        <is>
          <t>2127698:eng</t>
        </is>
      </c>
      <c r="AV3319" t="inlineStr">
        <is>
          <t>1228457</t>
        </is>
      </c>
      <c r="AW3319" t="inlineStr">
        <is>
          <t>991003634169702656</t>
        </is>
      </c>
      <c r="AX3319" t="inlineStr">
        <is>
          <t>991003634169702656</t>
        </is>
      </c>
      <c r="AY3319" t="inlineStr">
        <is>
          <t>2267849310002656</t>
        </is>
      </c>
      <c r="AZ3319" t="inlineStr">
        <is>
          <t>BOOK</t>
        </is>
      </c>
      <c r="BC3319" t="inlineStr">
        <is>
          <t>32285001225746</t>
        </is>
      </c>
      <c r="BD3319" t="inlineStr">
        <is>
          <t>893722031</t>
        </is>
      </c>
    </row>
    <row r="3320">
      <c r="A3320" t="inlineStr">
        <is>
          <t>No</t>
        </is>
      </c>
      <c r="B3320" t="inlineStr">
        <is>
          <t>BX948 .H8 1949</t>
        </is>
      </c>
      <c r="C3320" t="inlineStr">
        <is>
          <t>0                      BX 0948000H  8           1949</t>
        </is>
      </c>
      <c r="D3320" t="inlineStr">
        <is>
          <t>A popular history of the Catholic Church / by Philip Hughes.</t>
        </is>
      </c>
      <c r="F3320" t="inlineStr">
        <is>
          <t>No</t>
        </is>
      </c>
      <c r="G3320" t="inlineStr">
        <is>
          <t>1</t>
        </is>
      </c>
      <c r="H3320" t="inlineStr">
        <is>
          <t>No</t>
        </is>
      </c>
      <c r="I3320" t="inlineStr">
        <is>
          <t>No</t>
        </is>
      </c>
      <c r="J3320" t="inlineStr">
        <is>
          <t>0</t>
        </is>
      </c>
      <c r="K3320" t="inlineStr">
        <is>
          <t>Hughes, Philip, 1895-1967.</t>
        </is>
      </c>
      <c r="L3320" t="inlineStr">
        <is>
          <t>New York : Macmillan Co., [c1947]</t>
        </is>
      </c>
      <c r="M3320" t="inlineStr">
        <is>
          <t>1947</t>
        </is>
      </c>
      <c r="N3320" t="inlineStr">
        <is>
          <t>1st American ed.</t>
        </is>
      </c>
      <c r="O3320" t="inlineStr">
        <is>
          <t>eng</t>
        </is>
      </c>
      <c r="P3320" t="inlineStr">
        <is>
          <t>nyu</t>
        </is>
      </c>
      <c r="R3320" t="inlineStr">
        <is>
          <t xml:space="preserve">BX </t>
        </is>
      </c>
      <c r="S3320" t="n">
        <v>9</v>
      </c>
      <c r="T3320" t="n">
        <v>9</v>
      </c>
      <c r="U3320" t="inlineStr">
        <is>
          <t>2008-03-18</t>
        </is>
      </c>
      <c r="V3320" t="inlineStr">
        <is>
          <t>2008-03-18</t>
        </is>
      </c>
      <c r="W3320" t="inlineStr">
        <is>
          <t>1992-03-23</t>
        </is>
      </c>
      <c r="X3320" t="inlineStr">
        <is>
          <t>1992-03-23</t>
        </is>
      </c>
      <c r="Y3320" t="n">
        <v>291</v>
      </c>
      <c r="Z3320" t="n">
        <v>284</v>
      </c>
      <c r="AA3320" t="n">
        <v>783</v>
      </c>
      <c r="AB3320" t="n">
        <v>2</v>
      </c>
      <c r="AC3320" t="n">
        <v>6</v>
      </c>
      <c r="AD3320" t="n">
        <v>17</v>
      </c>
      <c r="AE3320" t="n">
        <v>40</v>
      </c>
      <c r="AF3320" t="n">
        <v>7</v>
      </c>
      <c r="AG3320" t="n">
        <v>16</v>
      </c>
      <c r="AH3320" t="n">
        <v>4</v>
      </c>
      <c r="AI3320" t="n">
        <v>10</v>
      </c>
      <c r="AJ3320" t="n">
        <v>9</v>
      </c>
      <c r="AK3320" t="n">
        <v>22</v>
      </c>
      <c r="AL3320" t="n">
        <v>1</v>
      </c>
      <c r="AM3320" t="n">
        <v>3</v>
      </c>
      <c r="AN3320" t="n">
        <v>0</v>
      </c>
      <c r="AO3320" t="n">
        <v>0</v>
      </c>
      <c r="AP3320" t="inlineStr">
        <is>
          <t>No</t>
        </is>
      </c>
      <c r="AQ3320" t="inlineStr">
        <is>
          <t>No</t>
        </is>
      </c>
      <c r="AS3320">
        <f>HYPERLINK("https://creighton-primo.hosted.exlibrisgroup.com/primo-explore/search?tab=default_tab&amp;search_scope=EVERYTHING&amp;vid=01CRU&amp;lang=en_US&amp;offset=0&amp;query=any,contains,991004257909702656","Catalog Record")</f>
        <v/>
      </c>
      <c r="AT3320">
        <f>HYPERLINK("http://www.worldcat.org/oclc/2831878","WorldCat Record")</f>
        <v/>
      </c>
      <c r="AU3320" t="inlineStr">
        <is>
          <t>2756163955:eng</t>
        </is>
      </c>
      <c r="AV3320" t="inlineStr">
        <is>
          <t>2831878</t>
        </is>
      </c>
      <c r="AW3320" t="inlineStr">
        <is>
          <t>991004257909702656</t>
        </is>
      </c>
      <c r="AX3320" t="inlineStr">
        <is>
          <t>991004257909702656</t>
        </is>
      </c>
      <c r="AY3320" t="inlineStr">
        <is>
          <t>2259887540002656</t>
        </is>
      </c>
      <c r="AZ3320" t="inlineStr">
        <is>
          <t>BOOK</t>
        </is>
      </c>
      <c r="BC3320" t="inlineStr">
        <is>
          <t>32285001027399</t>
        </is>
      </c>
      <c r="BD3320" t="inlineStr">
        <is>
          <t>893423577</t>
        </is>
      </c>
    </row>
    <row r="3321">
      <c r="A3321" t="inlineStr">
        <is>
          <t>No</t>
        </is>
      </c>
      <c r="B3321" t="inlineStr">
        <is>
          <t>BX948 .S36 1984</t>
        </is>
      </c>
      <c r="C3321" t="inlineStr">
        <is>
          <t>0                      BX 0948000S  36          1984</t>
        </is>
      </c>
      <c r="D3321" t="inlineStr">
        <is>
          <t>The Church then and now : cultivating a sense of tradition / William A. Scott, Frances M. Scott.</t>
        </is>
      </c>
      <c r="F3321" t="inlineStr">
        <is>
          <t>No</t>
        </is>
      </c>
      <c r="G3321" t="inlineStr">
        <is>
          <t>1</t>
        </is>
      </c>
      <c r="H3321" t="inlineStr">
        <is>
          <t>No</t>
        </is>
      </c>
      <c r="I3321" t="inlineStr">
        <is>
          <t>No</t>
        </is>
      </c>
      <c r="J3321" t="inlineStr">
        <is>
          <t>0</t>
        </is>
      </c>
      <c r="K3321" t="inlineStr">
        <is>
          <t>Scott, William A., 1920-</t>
        </is>
      </c>
      <c r="L3321" t="inlineStr">
        <is>
          <t>Kansas City, Mo. : Leaven Press, [1984?].</t>
        </is>
      </c>
      <c r="M3321" t="inlineStr">
        <is>
          <t>1984</t>
        </is>
      </c>
      <c r="O3321" t="inlineStr">
        <is>
          <t>eng</t>
        </is>
      </c>
      <c r="P3321" t="inlineStr">
        <is>
          <t>mou</t>
        </is>
      </c>
      <c r="R3321" t="inlineStr">
        <is>
          <t xml:space="preserve">BX </t>
        </is>
      </c>
      <c r="S3321" t="n">
        <v>1</v>
      </c>
      <c r="T3321" t="n">
        <v>1</v>
      </c>
      <c r="U3321" t="inlineStr">
        <is>
          <t>1997-01-27</t>
        </is>
      </c>
      <c r="V3321" t="inlineStr">
        <is>
          <t>1997-01-27</t>
        </is>
      </c>
      <c r="W3321" t="inlineStr">
        <is>
          <t>1992-05-29</t>
        </is>
      </c>
      <c r="X3321" t="inlineStr">
        <is>
          <t>1992-05-29</t>
        </is>
      </c>
      <c r="Y3321" t="n">
        <v>84</v>
      </c>
      <c r="Z3321" t="n">
        <v>75</v>
      </c>
      <c r="AA3321" t="n">
        <v>84</v>
      </c>
      <c r="AB3321" t="n">
        <v>1</v>
      </c>
      <c r="AC3321" t="n">
        <v>1</v>
      </c>
      <c r="AD3321" t="n">
        <v>12</v>
      </c>
      <c r="AE3321" t="n">
        <v>12</v>
      </c>
      <c r="AF3321" t="n">
        <v>2</v>
      </c>
      <c r="AG3321" t="n">
        <v>2</v>
      </c>
      <c r="AH3321" t="n">
        <v>2</v>
      </c>
      <c r="AI3321" t="n">
        <v>2</v>
      </c>
      <c r="AJ3321" t="n">
        <v>10</v>
      </c>
      <c r="AK3321" t="n">
        <v>10</v>
      </c>
      <c r="AL3321" t="n">
        <v>0</v>
      </c>
      <c r="AM3321" t="n">
        <v>0</v>
      </c>
      <c r="AN3321" t="n">
        <v>0</v>
      </c>
      <c r="AO3321" t="n">
        <v>0</v>
      </c>
      <c r="AP3321" t="inlineStr">
        <is>
          <t>No</t>
        </is>
      </c>
      <c r="AQ3321" t="inlineStr">
        <is>
          <t>No</t>
        </is>
      </c>
      <c r="AS3321">
        <f>HYPERLINK("https://creighton-primo.hosted.exlibrisgroup.com/primo-explore/search?tab=default_tab&amp;search_scope=EVERYTHING&amp;vid=01CRU&amp;lang=en_US&amp;offset=0&amp;query=any,contains,991000747609702656","Catalog Record")</f>
        <v/>
      </c>
      <c r="AT3321">
        <f>HYPERLINK("http://www.worldcat.org/oclc/12882400","WorldCat Record")</f>
        <v/>
      </c>
      <c r="AU3321" t="inlineStr">
        <is>
          <t>5678293:eng</t>
        </is>
      </c>
      <c r="AV3321" t="inlineStr">
        <is>
          <t>12882400</t>
        </is>
      </c>
      <c r="AW3321" t="inlineStr">
        <is>
          <t>991000747609702656</t>
        </is>
      </c>
      <c r="AX3321" t="inlineStr">
        <is>
          <t>991000747609702656</t>
        </is>
      </c>
      <c r="AY3321" t="inlineStr">
        <is>
          <t>2263934030002656</t>
        </is>
      </c>
      <c r="AZ3321" t="inlineStr">
        <is>
          <t>BOOK</t>
        </is>
      </c>
      <c r="BB3321" t="inlineStr">
        <is>
          <t>9780934134309</t>
        </is>
      </c>
      <c r="BC3321" t="inlineStr">
        <is>
          <t>32285001225779</t>
        </is>
      </c>
      <c r="BD3321" t="inlineStr">
        <is>
          <t>893714863</t>
        </is>
      </c>
    </row>
    <row r="3322">
      <c r="A3322" t="inlineStr">
        <is>
          <t>No</t>
        </is>
      </c>
      <c r="B3322" t="inlineStr">
        <is>
          <t>BX949 .G813</t>
        </is>
      </c>
      <c r="C3322" t="inlineStr">
        <is>
          <t>0                      BX 0949000G  813</t>
        </is>
      </c>
      <c r="D3322" t="inlineStr">
        <is>
          <t>Great heresies and church councils. [English translation by F. D. Wieck]</t>
        </is>
      </c>
      <c r="F3322" t="inlineStr">
        <is>
          <t>No</t>
        </is>
      </c>
      <c r="G3322" t="inlineStr">
        <is>
          <t>1</t>
        </is>
      </c>
      <c r="H3322" t="inlineStr">
        <is>
          <t>No</t>
        </is>
      </c>
      <c r="I3322" t="inlineStr">
        <is>
          <t>No</t>
        </is>
      </c>
      <c r="J3322" t="inlineStr">
        <is>
          <t>0</t>
        </is>
      </c>
      <c r="K3322" t="inlineStr">
        <is>
          <t>Guitton, Jean.</t>
        </is>
      </c>
      <c r="L3322" t="inlineStr">
        <is>
          <t>New York, Harper &amp; Row [1965]</t>
        </is>
      </c>
      <c r="M3322" t="inlineStr">
        <is>
          <t>1965</t>
        </is>
      </c>
      <c r="O3322" t="inlineStr">
        <is>
          <t>eng</t>
        </is>
      </c>
      <c r="P3322" t="inlineStr">
        <is>
          <t>nyu</t>
        </is>
      </c>
      <c r="R3322" t="inlineStr">
        <is>
          <t xml:space="preserve">BX </t>
        </is>
      </c>
      <c r="S3322" t="n">
        <v>1</v>
      </c>
      <c r="T3322" t="n">
        <v>1</v>
      </c>
      <c r="U3322" t="inlineStr">
        <is>
          <t>2007-04-06</t>
        </is>
      </c>
      <c r="V3322" t="inlineStr">
        <is>
          <t>2007-04-06</t>
        </is>
      </c>
      <c r="W3322" t="inlineStr">
        <is>
          <t>1992-05-29</t>
        </is>
      </c>
      <c r="X3322" t="inlineStr">
        <is>
          <t>1992-05-29</t>
        </is>
      </c>
      <c r="Y3322" t="n">
        <v>792</v>
      </c>
      <c r="Z3322" t="n">
        <v>747</v>
      </c>
      <c r="AA3322" t="n">
        <v>849</v>
      </c>
      <c r="AB3322" t="n">
        <v>7</v>
      </c>
      <c r="AC3322" t="n">
        <v>7</v>
      </c>
      <c r="AD3322" t="n">
        <v>37</v>
      </c>
      <c r="AE3322" t="n">
        <v>40</v>
      </c>
      <c r="AF3322" t="n">
        <v>12</v>
      </c>
      <c r="AG3322" t="n">
        <v>15</v>
      </c>
      <c r="AH3322" t="n">
        <v>9</v>
      </c>
      <c r="AI3322" t="n">
        <v>9</v>
      </c>
      <c r="AJ3322" t="n">
        <v>23</v>
      </c>
      <c r="AK3322" t="n">
        <v>23</v>
      </c>
      <c r="AL3322" t="n">
        <v>4</v>
      </c>
      <c r="AM3322" t="n">
        <v>4</v>
      </c>
      <c r="AN3322" t="n">
        <v>0</v>
      </c>
      <c r="AO3322" t="n">
        <v>0</v>
      </c>
      <c r="AP3322" t="inlineStr">
        <is>
          <t>No</t>
        </is>
      </c>
      <c r="AQ3322" t="inlineStr">
        <is>
          <t>Yes</t>
        </is>
      </c>
      <c r="AR3322">
        <f>HYPERLINK("http://catalog.hathitrust.org/Record/009957918","HathiTrust Record")</f>
        <v/>
      </c>
      <c r="AS3322">
        <f>HYPERLINK("https://creighton-primo.hosted.exlibrisgroup.com/primo-explore/search?tab=default_tab&amp;search_scope=EVERYTHING&amp;vid=01CRU&amp;lang=en_US&amp;offset=0&amp;query=any,contains,991002659079702656","Catalog Record")</f>
        <v/>
      </c>
      <c r="AT3322">
        <f>HYPERLINK("http://www.worldcat.org/oclc/390791","WorldCat Record")</f>
        <v/>
      </c>
      <c r="AU3322" t="inlineStr">
        <is>
          <t>366330528:eng</t>
        </is>
      </c>
      <c r="AV3322" t="inlineStr">
        <is>
          <t>390791</t>
        </is>
      </c>
      <c r="AW3322" t="inlineStr">
        <is>
          <t>991002659079702656</t>
        </is>
      </c>
      <c r="AX3322" t="inlineStr">
        <is>
          <t>991002659079702656</t>
        </is>
      </c>
      <c r="AY3322" t="inlineStr">
        <is>
          <t>2261990770002656</t>
        </is>
      </c>
      <c r="AZ3322" t="inlineStr">
        <is>
          <t>BOOK</t>
        </is>
      </c>
      <c r="BC3322" t="inlineStr">
        <is>
          <t>32285001225795</t>
        </is>
      </c>
      <c r="BD3322" t="inlineStr">
        <is>
          <t>893251486</t>
        </is>
      </c>
    </row>
    <row r="3323">
      <c r="A3323" t="inlineStr">
        <is>
          <t>No</t>
        </is>
      </c>
      <c r="B3323" t="inlineStr">
        <is>
          <t>BX9495 .B73 1984</t>
        </is>
      </c>
      <c r="C3323" t="inlineStr">
        <is>
          <t>0                      BX 9495000B  73          1984</t>
        </is>
      </c>
      <c r="D3323" t="inlineStr">
        <is>
          <t>Dutch Calvinism in modern America : a history of a conservative subculture / James D. Bratt.</t>
        </is>
      </c>
      <c r="F3323" t="inlineStr">
        <is>
          <t>No</t>
        </is>
      </c>
      <c r="G3323" t="inlineStr">
        <is>
          <t>1</t>
        </is>
      </c>
      <c r="H3323" t="inlineStr">
        <is>
          <t>No</t>
        </is>
      </c>
      <c r="I3323" t="inlineStr">
        <is>
          <t>No</t>
        </is>
      </c>
      <c r="J3323" t="inlineStr">
        <is>
          <t>0</t>
        </is>
      </c>
      <c r="K3323" t="inlineStr">
        <is>
          <t>Bratt, James D., 1949-</t>
        </is>
      </c>
      <c r="L3323" t="inlineStr">
        <is>
          <t>Grand Rapids, Mich. : W.B. Eerdmans Pub. Co., c1984.</t>
        </is>
      </c>
      <c r="M3323" t="inlineStr">
        <is>
          <t>1984</t>
        </is>
      </c>
      <c r="O3323" t="inlineStr">
        <is>
          <t>eng</t>
        </is>
      </c>
      <c r="P3323" t="inlineStr">
        <is>
          <t>miu</t>
        </is>
      </c>
      <c r="R3323" t="inlineStr">
        <is>
          <t xml:space="preserve">BX </t>
        </is>
      </c>
      <c r="S3323" t="n">
        <v>2</v>
      </c>
      <c r="T3323" t="n">
        <v>2</v>
      </c>
      <c r="U3323" t="inlineStr">
        <is>
          <t>2002-11-17</t>
        </is>
      </c>
      <c r="V3323" t="inlineStr">
        <is>
          <t>2002-11-17</t>
        </is>
      </c>
      <c r="W3323" t="inlineStr">
        <is>
          <t>1992-05-27</t>
        </is>
      </c>
      <c r="X3323" t="inlineStr">
        <is>
          <t>1992-05-27</t>
        </is>
      </c>
      <c r="Y3323" t="n">
        <v>581</v>
      </c>
      <c r="Z3323" t="n">
        <v>511</v>
      </c>
      <c r="AA3323" t="n">
        <v>521</v>
      </c>
      <c r="AB3323" t="n">
        <v>7</v>
      </c>
      <c r="AC3323" t="n">
        <v>7</v>
      </c>
      <c r="AD3323" t="n">
        <v>22</v>
      </c>
      <c r="AE3323" t="n">
        <v>22</v>
      </c>
      <c r="AF3323" t="n">
        <v>6</v>
      </c>
      <c r="AG3323" t="n">
        <v>6</v>
      </c>
      <c r="AH3323" t="n">
        <v>5</v>
      </c>
      <c r="AI3323" t="n">
        <v>5</v>
      </c>
      <c r="AJ3323" t="n">
        <v>12</v>
      </c>
      <c r="AK3323" t="n">
        <v>12</v>
      </c>
      <c r="AL3323" t="n">
        <v>4</v>
      </c>
      <c r="AM3323" t="n">
        <v>4</v>
      </c>
      <c r="AN3323" t="n">
        <v>0</v>
      </c>
      <c r="AO3323" t="n">
        <v>0</v>
      </c>
      <c r="AP3323" t="inlineStr">
        <is>
          <t>No</t>
        </is>
      </c>
      <c r="AQ3323" t="inlineStr">
        <is>
          <t>No</t>
        </is>
      </c>
      <c r="AS3323">
        <f>HYPERLINK("https://creighton-primo.hosted.exlibrisgroup.com/primo-explore/search?tab=default_tab&amp;search_scope=EVERYTHING&amp;vid=01CRU&amp;lang=en_US&amp;offset=0&amp;query=any,contains,991000471599702656","Catalog Record")</f>
        <v/>
      </c>
      <c r="AT3323">
        <f>HYPERLINK("http://www.worldcat.org/oclc/10997973","WorldCat Record")</f>
        <v/>
      </c>
      <c r="AU3323" t="inlineStr">
        <is>
          <t>14813911:eng</t>
        </is>
      </c>
      <c r="AV3323" t="inlineStr">
        <is>
          <t>10997973</t>
        </is>
      </c>
      <c r="AW3323" t="inlineStr">
        <is>
          <t>991000471599702656</t>
        </is>
      </c>
      <c r="AX3323" t="inlineStr">
        <is>
          <t>991000471599702656</t>
        </is>
      </c>
      <c r="AY3323" t="inlineStr">
        <is>
          <t>2258418760002656</t>
        </is>
      </c>
      <c r="AZ3323" t="inlineStr">
        <is>
          <t>BOOK</t>
        </is>
      </c>
      <c r="BB3323" t="inlineStr">
        <is>
          <t>9780802800091</t>
        </is>
      </c>
      <c r="BC3323" t="inlineStr">
        <is>
          <t>32285001141554</t>
        </is>
      </c>
      <c r="BD3323" t="inlineStr">
        <is>
          <t>893339570</t>
        </is>
      </c>
    </row>
    <row r="3324">
      <c r="A3324" t="inlineStr">
        <is>
          <t>No</t>
        </is>
      </c>
      <c r="B3324" t="inlineStr">
        <is>
          <t>BX950 .E6L63 1995</t>
        </is>
      </c>
      <c r="C3324" t="inlineStr">
        <is>
          <t>0                      BX 0950000E  6                  L  63          1995</t>
        </is>
      </c>
      <c r="D3324" t="inlineStr">
        <is>
          <t>The lives of the ninth-century popes (Liber pontificalis) : the ancient biographies of ten popes from A.D. 817-891 / translated with an introduction and commentary by Raymond Davis.</t>
        </is>
      </c>
      <c r="F3324" t="inlineStr">
        <is>
          <t>No</t>
        </is>
      </c>
      <c r="G3324" t="inlineStr">
        <is>
          <t>1</t>
        </is>
      </c>
      <c r="H3324" t="inlineStr">
        <is>
          <t>No</t>
        </is>
      </c>
      <c r="I3324" t="inlineStr">
        <is>
          <t>No</t>
        </is>
      </c>
      <c r="J3324" t="inlineStr">
        <is>
          <t>0</t>
        </is>
      </c>
      <c r="K3324" t="inlineStr">
        <is>
          <t>Liber Pontificalis. Selections. English.</t>
        </is>
      </c>
      <c r="L3324" t="inlineStr">
        <is>
          <t>Liverpool : Liverpool University Press, 1995.</t>
        </is>
      </c>
      <c r="M3324" t="inlineStr">
        <is>
          <t>1995</t>
        </is>
      </c>
      <c r="O3324" t="inlineStr">
        <is>
          <t>eng</t>
        </is>
      </c>
      <c r="P3324" t="inlineStr">
        <is>
          <t>enk</t>
        </is>
      </c>
      <c r="Q3324" t="inlineStr">
        <is>
          <t>Translated texts for historians ; v. 20</t>
        </is>
      </c>
      <c r="R3324" t="inlineStr">
        <is>
          <t xml:space="preserve">BX </t>
        </is>
      </c>
      <c r="S3324" t="n">
        <v>1</v>
      </c>
      <c r="T3324" t="n">
        <v>1</v>
      </c>
      <c r="U3324" t="inlineStr">
        <is>
          <t>2004-01-07</t>
        </is>
      </c>
      <c r="V3324" t="inlineStr">
        <is>
          <t>2004-01-07</t>
        </is>
      </c>
      <c r="W3324" t="inlineStr">
        <is>
          <t>2004-01-07</t>
        </is>
      </c>
      <c r="X3324" t="inlineStr">
        <is>
          <t>2004-01-07</t>
        </is>
      </c>
      <c r="Y3324" t="n">
        <v>344</v>
      </c>
      <c r="Z3324" t="n">
        <v>239</v>
      </c>
      <c r="AA3324" t="n">
        <v>242</v>
      </c>
      <c r="AB3324" t="n">
        <v>2</v>
      </c>
      <c r="AC3324" t="n">
        <v>2</v>
      </c>
      <c r="AD3324" t="n">
        <v>23</v>
      </c>
      <c r="AE3324" t="n">
        <v>23</v>
      </c>
      <c r="AF3324" t="n">
        <v>6</v>
      </c>
      <c r="AG3324" t="n">
        <v>6</v>
      </c>
      <c r="AH3324" t="n">
        <v>7</v>
      </c>
      <c r="AI3324" t="n">
        <v>7</v>
      </c>
      <c r="AJ3324" t="n">
        <v>15</v>
      </c>
      <c r="AK3324" t="n">
        <v>15</v>
      </c>
      <c r="AL3324" t="n">
        <v>1</v>
      </c>
      <c r="AM3324" t="n">
        <v>1</v>
      </c>
      <c r="AN3324" t="n">
        <v>0</v>
      </c>
      <c r="AO3324" t="n">
        <v>0</v>
      </c>
      <c r="AP3324" t="inlineStr">
        <is>
          <t>No</t>
        </is>
      </c>
      <c r="AQ3324" t="inlineStr">
        <is>
          <t>No</t>
        </is>
      </c>
      <c r="AS3324">
        <f>HYPERLINK("https://creighton-primo.hosted.exlibrisgroup.com/primo-explore/search?tab=default_tab&amp;search_scope=EVERYTHING&amp;vid=01CRU&amp;lang=en_US&amp;offset=0&amp;query=any,contains,991004204719702656","Catalog Record")</f>
        <v/>
      </c>
      <c r="AT3324">
        <f>HYPERLINK("http://www.worldcat.org/oclc/40467272","WorldCat Record")</f>
        <v/>
      </c>
      <c r="AU3324" t="inlineStr">
        <is>
          <t>1077232002:eng</t>
        </is>
      </c>
      <c r="AV3324" t="inlineStr">
        <is>
          <t>40467272</t>
        </is>
      </c>
      <c r="AW3324" t="inlineStr">
        <is>
          <t>991004204719702656</t>
        </is>
      </c>
      <c r="AX3324" t="inlineStr">
        <is>
          <t>991004204719702656</t>
        </is>
      </c>
      <c r="AY3324" t="inlineStr">
        <is>
          <t>2266972360002656</t>
        </is>
      </c>
      <c r="AZ3324" t="inlineStr">
        <is>
          <t>BOOK</t>
        </is>
      </c>
      <c r="BB3324" t="inlineStr">
        <is>
          <t>9780853234791</t>
        </is>
      </c>
      <c r="BC3324" t="inlineStr">
        <is>
          <t>32285004849807</t>
        </is>
      </c>
      <c r="BD3324" t="inlineStr">
        <is>
          <t>893706101</t>
        </is>
      </c>
    </row>
    <row r="3325">
      <c r="A3325" t="inlineStr">
        <is>
          <t>No</t>
        </is>
      </c>
      <c r="B3325" t="inlineStr">
        <is>
          <t>BX9521 .C48 1985</t>
        </is>
      </c>
      <c r="C3325" t="inlineStr">
        <is>
          <t>0                      BX 9521000C  48          1985</t>
        </is>
      </c>
      <c r="D3325" t="inlineStr">
        <is>
          <t>The Church speaks : papers of the Commission on Theology, Reformed Church in America, 1959-1984 / edited by James I. Cook.</t>
        </is>
      </c>
      <c r="F3325" t="inlineStr">
        <is>
          <t>No</t>
        </is>
      </c>
      <c r="G3325" t="inlineStr">
        <is>
          <t>1</t>
        </is>
      </c>
      <c r="H3325" t="inlineStr">
        <is>
          <t>No</t>
        </is>
      </c>
      <c r="I3325" t="inlineStr">
        <is>
          <t>No</t>
        </is>
      </c>
      <c r="J3325" t="inlineStr">
        <is>
          <t>0</t>
        </is>
      </c>
      <c r="L3325" t="inlineStr">
        <is>
          <t>Grand Rapids, Mich. : W.B. Eerdmans Pub. Co., c1985.</t>
        </is>
      </c>
      <c r="M3325" t="inlineStr">
        <is>
          <t>1985</t>
        </is>
      </c>
      <c r="O3325" t="inlineStr">
        <is>
          <t>eng</t>
        </is>
      </c>
      <c r="P3325" t="inlineStr">
        <is>
          <t>miu</t>
        </is>
      </c>
      <c r="Q3325" t="inlineStr">
        <is>
          <t>The Historical series of the Reformed Church in America ; no. 15</t>
        </is>
      </c>
      <c r="R3325" t="inlineStr">
        <is>
          <t xml:space="preserve">BX </t>
        </is>
      </c>
      <c r="S3325" t="n">
        <v>6</v>
      </c>
      <c r="T3325" t="n">
        <v>6</v>
      </c>
      <c r="U3325" t="inlineStr">
        <is>
          <t>2000-11-26</t>
        </is>
      </c>
      <c r="V3325" t="inlineStr">
        <is>
          <t>2000-11-26</t>
        </is>
      </c>
      <c r="W3325" t="inlineStr">
        <is>
          <t>1990-07-30</t>
        </is>
      </c>
      <c r="X3325" t="inlineStr">
        <is>
          <t>1990-07-30</t>
        </is>
      </c>
      <c r="Y3325" t="n">
        <v>129</v>
      </c>
      <c r="Z3325" t="n">
        <v>110</v>
      </c>
      <c r="AA3325" t="n">
        <v>135</v>
      </c>
      <c r="AB3325" t="n">
        <v>1</v>
      </c>
      <c r="AC3325" t="n">
        <v>1</v>
      </c>
      <c r="AD3325" t="n">
        <v>6</v>
      </c>
      <c r="AE3325" t="n">
        <v>8</v>
      </c>
      <c r="AF3325" t="n">
        <v>2</v>
      </c>
      <c r="AG3325" t="n">
        <v>4</v>
      </c>
      <c r="AH3325" t="n">
        <v>1</v>
      </c>
      <c r="AI3325" t="n">
        <v>1</v>
      </c>
      <c r="AJ3325" t="n">
        <v>3</v>
      </c>
      <c r="AK3325" t="n">
        <v>3</v>
      </c>
      <c r="AL3325" t="n">
        <v>0</v>
      </c>
      <c r="AM3325" t="n">
        <v>0</v>
      </c>
      <c r="AN3325" t="n">
        <v>0</v>
      </c>
      <c r="AO3325" t="n">
        <v>0</v>
      </c>
      <c r="AP3325" t="inlineStr">
        <is>
          <t>No</t>
        </is>
      </c>
      <c r="AQ3325" t="inlineStr">
        <is>
          <t>Yes</t>
        </is>
      </c>
      <c r="AR3325">
        <f>HYPERLINK("http://catalog.hathitrust.org/Record/000824118","HathiTrust Record")</f>
        <v/>
      </c>
      <c r="AS3325">
        <f>HYPERLINK("https://creighton-primo.hosted.exlibrisgroup.com/primo-explore/search?tab=default_tab&amp;search_scope=EVERYTHING&amp;vid=01CRU&amp;lang=en_US&amp;offset=0&amp;query=any,contains,991000684749702656","Catalog Record")</f>
        <v/>
      </c>
      <c r="AT3325">
        <f>HYPERLINK("http://www.worldcat.org/oclc/12420099","WorldCat Record")</f>
        <v/>
      </c>
      <c r="AU3325" t="inlineStr">
        <is>
          <t>1810892283:eng</t>
        </is>
      </c>
      <c r="AV3325" t="inlineStr">
        <is>
          <t>12420099</t>
        </is>
      </c>
      <c r="AW3325" t="inlineStr">
        <is>
          <t>991000684749702656</t>
        </is>
      </c>
      <c r="AX3325" t="inlineStr">
        <is>
          <t>991000684749702656</t>
        </is>
      </c>
      <c r="AY3325" t="inlineStr">
        <is>
          <t>2256545180002656</t>
        </is>
      </c>
      <c r="AZ3325" t="inlineStr">
        <is>
          <t>BOOK</t>
        </is>
      </c>
      <c r="BB3325" t="inlineStr">
        <is>
          <t>9780802801654</t>
        </is>
      </c>
      <c r="BC3325" t="inlineStr">
        <is>
          <t>32285000229210</t>
        </is>
      </c>
      <c r="BD3325" t="inlineStr">
        <is>
          <t>893496465</t>
        </is>
      </c>
    </row>
    <row r="3326">
      <c r="A3326" t="inlineStr">
        <is>
          <t>No</t>
        </is>
      </c>
      <c r="B3326" t="inlineStr">
        <is>
          <t>BX953 .C362 1983</t>
        </is>
      </c>
      <c r="C3326" t="inlineStr">
        <is>
          <t>0                      BX 0953000C  362         1983</t>
        </is>
      </c>
      <c r="D3326" t="inlineStr">
        <is>
          <t>Ad limina addresses : the addresses of His Holiness Pope John Paul II to the United States bishops during their ad limina visits ; April 15-December 3, 1983.</t>
        </is>
      </c>
      <c r="F3326" t="inlineStr">
        <is>
          <t>No</t>
        </is>
      </c>
      <c r="G3326" t="inlineStr">
        <is>
          <t>1</t>
        </is>
      </c>
      <c r="H3326" t="inlineStr">
        <is>
          <t>No</t>
        </is>
      </c>
      <c r="I3326" t="inlineStr">
        <is>
          <t>Yes</t>
        </is>
      </c>
      <c r="J3326" t="inlineStr">
        <is>
          <t>0</t>
        </is>
      </c>
      <c r="K3326" t="inlineStr">
        <is>
          <t>Catholic Church. Pope (1978-2005 : John Paul II).</t>
        </is>
      </c>
      <c r="L3326" t="inlineStr">
        <is>
          <t>Washington, D.C. : National Conference of Catholic Bishops, [1984]</t>
        </is>
      </c>
      <c r="M3326" t="inlineStr">
        <is>
          <t>1983</t>
        </is>
      </c>
      <c r="O3326" t="inlineStr">
        <is>
          <t>eng</t>
        </is>
      </c>
      <c r="P3326" t="inlineStr">
        <is>
          <t>dcu</t>
        </is>
      </c>
      <c r="Q3326" t="inlineStr">
        <is>
          <t>Publication ; no. 925</t>
        </is>
      </c>
      <c r="R3326" t="inlineStr">
        <is>
          <t xml:space="preserve">BX </t>
        </is>
      </c>
      <c r="S3326" t="n">
        <v>6</v>
      </c>
      <c r="T3326" t="n">
        <v>6</v>
      </c>
      <c r="U3326" t="inlineStr">
        <is>
          <t>1995-08-03</t>
        </is>
      </c>
      <c r="V3326" t="inlineStr">
        <is>
          <t>1995-08-03</t>
        </is>
      </c>
      <c r="W3326" t="inlineStr">
        <is>
          <t>1992-05-29</t>
        </is>
      </c>
      <c r="X3326" t="inlineStr">
        <is>
          <t>1992-05-29</t>
        </is>
      </c>
      <c r="Y3326" t="n">
        <v>82</v>
      </c>
      <c r="Z3326" t="n">
        <v>81</v>
      </c>
      <c r="AA3326" t="n">
        <v>144</v>
      </c>
      <c r="AB3326" t="n">
        <v>1</v>
      </c>
      <c r="AC3326" t="n">
        <v>2</v>
      </c>
      <c r="AD3326" t="n">
        <v>15</v>
      </c>
      <c r="AE3326" t="n">
        <v>19</v>
      </c>
      <c r="AF3326" t="n">
        <v>5</v>
      </c>
      <c r="AG3326" t="n">
        <v>7</v>
      </c>
      <c r="AH3326" t="n">
        <v>4</v>
      </c>
      <c r="AI3326" t="n">
        <v>6</v>
      </c>
      <c r="AJ3326" t="n">
        <v>12</v>
      </c>
      <c r="AK3326" t="n">
        <v>14</v>
      </c>
      <c r="AL3326" t="n">
        <v>0</v>
      </c>
      <c r="AM3326" t="n">
        <v>0</v>
      </c>
      <c r="AN3326" t="n">
        <v>0</v>
      </c>
      <c r="AO3326" t="n">
        <v>0</v>
      </c>
      <c r="AP3326" t="inlineStr">
        <is>
          <t>No</t>
        </is>
      </c>
      <c r="AQ3326" t="inlineStr">
        <is>
          <t>No</t>
        </is>
      </c>
      <c r="AS3326">
        <f>HYPERLINK("https://creighton-primo.hosted.exlibrisgroup.com/primo-explore/search?tab=default_tab&amp;search_scope=EVERYTHING&amp;vid=01CRU&amp;lang=en_US&amp;offset=0&amp;query=any,contains,991000485719702656","Catalog Record")</f>
        <v/>
      </c>
      <c r="AT3326">
        <f>HYPERLINK("http://www.worldcat.org/oclc/11071501","WorldCat Record")</f>
        <v/>
      </c>
      <c r="AU3326" t="inlineStr">
        <is>
          <t>3878679:eng</t>
        </is>
      </c>
      <c r="AV3326" t="inlineStr">
        <is>
          <t>11071501</t>
        </is>
      </c>
      <c r="AW3326" t="inlineStr">
        <is>
          <t>991000485719702656</t>
        </is>
      </c>
      <c r="AX3326" t="inlineStr">
        <is>
          <t>991000485719702656</t>
        </is>
      </c>
      <c r="AY3326" t="inlineStr">
        <is>
          <t>2268396450002656</t>
        </is>
      </c>
      <c r="AZ3326" t="inlineStr">
        <is>
          <t>BOOK</t>
        </is>
      </c>
      <c r="BC3326" t="inlineStr">
        <is>
          <t>32285001225837</t>
        </is>
      </c>
      <c r="BD3326" t="inlineStr">
        <is>
          <t>893689732</t>
        </is>
      </c>
    </row>
    <row r="3327">
      <c r="A3327" t="inlineStr">
        <is>
          <t>No</t>
        </is>
      </c>
      <c r="B3327" t="inlineStr">
        <is>
          <t>BX953 .C362 1988</t>
        </is>
      </c>
      <c r="C3327" t="inlineStr">
        <is>
          <t>0                      BX 0953000C  362         1988</t>
        </is>
      </c>
      <c r="D3327" t="inlineStr">
        <is>
          <t>Ad limina addresses : the addresses of His Holiness Pope John Paul II to the bishops of the United States during their ad limina visits ; March 5-December 9, 1988.</t>
        </is>
      </c>
      <c r="F3327" t="inlineStr">
        <is>
          <t>No</t>
        </is>
      </c>
      <c r="G3327" t="inlineStr">
        <is>
          <t>1</t>
        </is>
      </c>
      <c r="H3327" t="inlineStr">
        <is>
          <t>No</t>
        </is>
      </c>
      <c r="I3327" t="inlineStr">
        <is>
          <t>Yes</t>
        </is>
      </c>
      <c r="J3327" t="inlineStr">
        <is>
          <t>0</t>
        </is>
      </c>
      <c r="K3327" t="inlineStr">
        <is>
          <t>Catholic Church. Pope (1978-2005 : John Paul II).</t>
        </is>
      </c>
      <c r="L3327" t="inlineStr">
        <is>
          <t>[Washington, D.C. : National Conference of Catholic Bishops, 1989]</t>
        </is>
      </c>
      <c r="M3327" t="inlineStr">
        <is>
          <t>1989</t>
        </is>
      </c>
      <c r="O3327" t="inlineStr">
        <is>
          <t>eng</t>
        </is>
      </c>
      <c r="P3327" t="inlineStr">
        <is>
          <t>dcu</t>
        </is>
      </c>
      <c r="Q3327" t="inlineStr">
        <is>
          <t>Publication / Office of Publishing and Promotion Services, United States Catholic Conference ; no. 271-3</t>
        </is>
      </c>
      <c r="R3327" t="inlineStr">
        <is>
          <t xml:space="preserve">BX </t>
        </is>
      </c>
      <c r="S3327" t="n">
        <v>3</v>
      </c>
      <c r="T3327" t="n">
        <v>3</v>
      </c>
      <c r="U3327" t="inlineStr">
        <is>
          <t>1995-10-12</t>
        </is>
      </c>
      <c r="V3327" t="inlineStr">
        <is>
          <t>1995-10-12</t>
        </is>
      </c>
      <c r="W3327" t="inlineStr">
        <is>
          <t>1992-05-29</t>
        </is>
      </c>
      <c r="X3327" t="inlineStr">
        <is>
          <t>1992-05-29</t>
        </is>
      </c>
      <c r="Y3327" t="n">
        <v>119</v>
      </c>
      <c r="Z3327" t="n">
        <v>115</v>
      </c>
      <c r="AA3327" t="n">
        <v>144</v>
      </c>
      <c r="AB3327" t="n">
        <v>2</v>
      </c>
      <c r="AC3327" t="n">
        <v>2</v>
      </c>
      <c r="AD3327" t="n">
        <v>17</v>
      </c>
      <c r="AE3327" t="n">
        <v>19</v>
      </c>
      <c r="AF3327" t="n">
        <v>5</v>
      </c>
      <c r="AG3327" t="n">
        <v>7</v>
      </c>
      <c r="AH3327" t="n">
        <v>6</v>
      </c>
      <c r="AI3327" t="n">
        <v>6</v>
      </c>
      <c r="AJ3327" t="n">
        <v>12</v>
      </c>
      <c r="AK3327" t="n">
        <v>14</v>
      </c>
      <c r="AL3327" t="n">
        <v>0</v>
      </c>
      <c r="AM3327" t="n">
        <v>0</v>
      </c>
      <c r="AN3327" t="n">
        <v>0</v>
      </c>
      <c r="AO3327" t="n">
        <v>0</v>
      </c>
      <c r="AP3327" t="inlineStr">
        <is>
          <t>No</t>
        </is>
      </c>
      <c r="AQ3327" t="inlineStr">
        <is>
          <t>Yes</t>
        </is>
      </c>
      <c r="AR3327">
        <f>HYPERLINK("http://catalog.hathitrust.org/Record/101923869","HathiTrust Record")</f>
        <v/>
      </c>
      <c r="AS3327">
        <f>HYPERLINK("https://creighton-primo.hosted.exlibrisgroup.com/primo-explore/search?tab=default_tab&amp;search_scope=EVERYTHING&amp;vid=01CRU&amp;lang=en_US&amp;offset=0&amp;query=any,contains,991001464839702656","Catalog Record")</f>
        <v/>
      </c>
      <c r="AT3327">
        <f>HYPERLINK("http://www.worldcat.org/oclc/20170630","WorldCat Record")</f>
        <v/>
      </c>
      <c r="AU3327" t="inlineStr">
        <is>
          <t>3878679:eng</t>
        </is>
      </c>
      <c r="AV3327" t="inlineStr">
        <is>
          <t>20170630</t>
        </is>
      </c>
      <c r="AW3327" t="inlineStr">
        <is>
          <t>991001464839702656</t>
        </is>
      </c>
      <c r="AX3327" t="inlineStr">
        <is>
          <t>991001464839702656</t>
        </is>
      </c>
      <c r="AY3327" t="inlineStr">
        <is>
          <t>2268489770002656</t>
        </is>
      </c>
      <c r="AZ3327" t="inlineStr">
        <is>
          <t>BOOK</t>
        </is>
      </c>
      <c r="BB3327" t="inlineStr">
        <is>
          <t>9781555862718</t>
        </is>
      </c>
      <c r="BC3327" t="inlineStr">
        <is>
          <t>32285001225845</t>
        </is>
      </c>
      <c r="BD3327" t="inlineStr">
        <is>
          <t>893809074</t>
        </is>
      </c>
    </row>
    <row r="3328">
      <c r="A3328" t="inlineStr">
        <is>
          <t>No</t>
        </is>
      </c>
      <c r="B3328" t="inlineStr">
        <is>
          <t>BX9533.A3 B74</t>
        </is>
      </c>
      <c r="C3328" t="inlineStr">
        <is>
          <t>0                      BX 9533000A  3                  B  74</t>
        </is>
      </c>
      <c r="D3328" t="inlineStr">
        <is>
          <t>My brother's keeper : a picture report on the mission of the Dutch Reformed Church in Southern Africa / Karl Breyer.</t>
        </is>
      </c>
      <c r="F3328" t="inlineStr">
        <is>
          <t>No</t>
        </is>
      </c>
      <c r="G3328" t="inlineStr">
        <is>
          <t>1</t>
        </is>
      </c>
      <c r="H3328" t="inlineStr">
        <is>
          <t>No</t>
        </is>
      </c>
      <c r="I3328" t="inlineStr">
        <is>
          <t>No</t>
        </is>
      </c>
      <c r="J3328" t="inlineStr">
        <is>
          <t>0</t>
        </is>
      </c>
      <c r="K3328" t="inlineStr">
        <is>
          <t>Breyer, Karl, 1925-</t>
        </is>
      </c>
      <c r="L3328" t="inlineStr">
        <is>
          <t>Johannesburg : Perskor, 1977.</t>
        </is>
      </c>
      <c r="M3328" t="inlineStr">
        <is>
          <t>1977</t>
        </is>
      </c>
      <c r="N3328" t="inlineStr">
        <is>
          <t>1st ed.</t>
        </is>
      </c>
      <c r="O3328" t="inlineStr">
        <is>
          <t>eng</t>
        </is>
      </c>
      <c r="P3328" t="inlineStr">
        <is>
          <t xml:space="preserve">sa </t>
        </is>
      </c>
      <c r="R3328" t="inlineStr">
        <is>
          <t xml:space="preserve">BX </t>
        </is>
      </c>
      <c r="S3328" t="n">
        <v>4</v>
      </c>
      <c r="T3328" t="n">
        <v>4</v>
      </c>
      <c r="U3328" t="inlineStr">
        <is>
          <t>1999-11-20</t>
        </is>
      </c>
      <c r="V3328" t="inlineStr">
        <is>
          <t>1999-11-20</t>
        </is>
      </c>
      <c r="W3328" t="inlineStr">
        <is>
          <t>1992-05-27</t>
        </is>
      </c>
      <c r="X3328" t="inlineStr">
        <is>
          <t>1992-05-27</t>
        </is>
      </c>
      <c r="Y3328" t="n">
        <v>470</v>
      </c>
      <c r="Z3328" t="n">
        <v>395</v>
      </c>
      <c r="AA3328" t="n">
        <v>404</v>
      </c>
      <c r="AB3328" t="n">
        <v>5</v>
      </c>
      <c r="AC3328" t="n">
        <v>5</v>
      </c>
      <c r="AD3328" t="n">
        <v>21</v>
      </c>
      <c r="AE3328" t="n">
        <v>21</v>
      </c>
      <c r="AF3328" t="n">
        <v>7</v>
      </c>
      <c r="AG3328" t="n">
        <v>7</v>
      </c>
      <c r="AH3328" t="n">
        <v>4</v>
      </c>
      <c r="AI3328" t="n">
        <v>4</v>
      </c>
      <c r="AJ3328" t="n">
        <v>11</v>
      </c>
      <c r="AK3328" t="n">
        <v>11</v>
      </c>
      <c r="AL3328" t="n">
        <v>3</v>
      </c>
      <c r="AM3328" t="n">
        <v>3</v>
      </c>
      <c r="AN3328" t="n">
        <v>0</v>
      </c>
      <c r="AO3328" t="n">
        <v>0</v>
      </c>
      <c r="AP3328" t="inlineStr">
        <is>
          <t>No</t>
        </is>
      </c>
      <c r="AQ3328" t="inlineStr">
        <is>
          <t>Yes</t>
        </is>
      </c>
      <c r="AR3328">
        <f>HYPERLINK("http://catalog.hathitrust.org/Record/000748203","HathiTrust Record")</f>
        <v/>
      </c>
      <c r="AS3328">
        <f>HYPERLINK("https://creighton-primo.hosted.exlibrisgroup.com/primo-explore/search?tab=default_tab&amp;search_scope=EVERYTHING&amp;vid=01CRU&amp;lang=en_US&amp;offset=0&amp;query=any,contains,991004401969702656","Catalog Record")</f>
        <v/>
      </c>
      <c r="AT3328">
        <f>HYPERLINK("http://www.worldcat.org/oclc/3306215","WorldCat Record")</f>
        <v/>
      </c>
      <c r="AU3328" t="inlineStr">
        <is>
          <t>889314835:eng</t>
        </is>
      </c>
      <c r="AV3328" t="inlineStr">
        <is>
          <t>3306215</t>
        </is>
      </c>
      <c r="AW3328" t="inlineStr">
        <is>
          <t>991004401969702656</t>
        </is>
      </c>
      <c r="AX3328" t="inlineStr">
        <is>
          <t>991004401969702656</t>
        </is>
      </c>
      <c r="AY3328" t="inlineStr">
        <is>
          <t>2267821010002656</t>
        </is>
      </c>
      <c r="AZ3328" t="inlineStr">
        <is>
          <t>BOOK</t>
        </is>
      </c>
      <c r="BB3328" t="inlineStr">
        <is>
          <t>9780628011640</t>
        </is>
      </c>
      <c r="BC3328" t="inlineStr">
        <is>
          <t>32285001141562</t>
        </is>
      </c>
      <c r="BD3328" t="inlineStr">
        <is>
          <t>893235457</t>
        </is>
      </c>
    </row>
    <row r="3329">
      <c r="A3329" t="inlineStr">
        <is>
          <t>No</t>
        </is>
      </c>
      <c r="B3329" t="inlineStr">
        <is>
          <t>BX9543.P4 G46 1993</t>
        </is>
      </c>
      <c r="C3329" t="inlineStr">
        <is>
          <t>0                      BX 9543000P  4                  G  46          1993</t>
        </is>
      </c>
      <c r="D3329" t="inlineStr">
        <is>
          <t>God's salesman : Norman Vincent Peale &amp; the power of positive thinking / Carol V.R. George.</t>
        </is>
      </c>
      <c r="F3329" t="inlineStr">
        <is>
          <t>No</t>
        </is>
      </c>
      <c r="G3329" t="inlineStr">
        <is>
          <t>1</t>
        </is>
      </c>
      <c r="H3329" t="inlineStr">
        <is>
          <t>No</t>
        </is>
      </c>
      <c r="I3329" t="inlineStr">
        <is>
          <t>No</t>
        </is>
      </c>
      <c r="J3329" t="inlineStr">
        <is>
          <t>0</t>
        </is>
      </c>
      <c r="K3329" t="inlineStr">
        <is>
          <t>George, Carol V. R.</t>
        </is>
      </c>
      <c r="L3329" t="inlineStr">
        <is>
          <t>New York : Oxford University Press, 1993.</t>
        </is>
      </c>
      <c r="M3329" t="inlineStr">
        <is>
          <t>1993</t>
        </is>
      </c>
      <c r="O3329" t="inlineStr">
        <is>
          <t>eng</t>
        </is>
      </c>
      <c r="P3329" t="inlineStr">
        <is>
          <t>nyu</t>
        </is>
      </c>
      <c r="Q3329" t="inlineStr">
        <is>
          <t>Religion in America series</t>
        </is>
      </c>
      <c r="R3329" t="inlineStr">
        <is>
          <t xml:space="preserve">BX </t>
        </is>
      </c>
      <c r="S3329" t="n">
        <v>4</v>
      </c>
      <c r="T3329" t="n">
        <v>4</v>
      </c>
      <c r="U3329" t="inlineStr">
        <is>
          <t>1994-08-28</t>
        </is>
      </c>
      <c r="V3329" t="inlineStr">
        <is>
          <t>1994-08-28</t>
        </is>
      </c>
      <c r="W3329" t="inlineStr">
        <is>
          <t>1993-09-28</t>
        </is>
      </c>
      <c r="X3329" t="inlineStr">
        <is>
          <t>1993-09-28</t>
        </is>
      </c>
      <c r="Y3329" t="n">
        <v>872</v>
      </c>
      <c r="Z3329" t="n">
        <v>796</v>
      </c>
      <c r="AA3329" t="n">
        <v>883</v>
      </c>
      <c r="AB3329" t="n">
        <v>4</v>
      </c>
      <c r="AC3329" t="n">
        <v>4</v>
      </c>
      <c r="AD3329" t="n">
        <v>32</v>
      </c>
      <c r="AE3329" t="n">
        <v>34</v>
      </c>
      <c r="AF3329" t="n">
        <v>14</v>
      </c>
      <c r="AG3329" t="n">
        <v>15</v>
      </c>
      <c r="AH3329" t="n">
        <v>6</v>
      </c>
      <c r="AI3329" t="n">
        <v>8</v>
      </c>
      <c r="AJ3329" t="n">
        <v>18</v>
      </c>
      <c r="AK3329" t="n">
        <v>19</v>
      </c>
      <c r="AL3329" t="n">
        <v>2</v>
      </c>
      <c r="AM3329" t="n">
        <v>2</v>
      </c>
      <c r="AN3329" t="n">
        <v>0</v>
      </c>
      <c r="AO3329" t="n">
        <v>0</v>
      </c>
      <c r="AP3329" t="inlineStr">
        <is>
          <t>No</t>
        </is>
      </c>
      <c r="AQ3329" t="inlineStr">
        <is>
          <t>Yes</t>
        </is>
      </c>
      <c r="AR3329">
        <f>HYPERLINK("http://catalog.hathitrust.org/Record/002606064","HathiTrust Record")</f>
        <v/>
      </c>
      <c r="AS3329">
        <f>HYPERLINK("https://creighton-primo.hosted.exlibrisgroup.com/primo-explore/search?tab=default_tab&amp;search_scope=EVERYTHING&amp;vid=01CRU&amp;lang=en_US&amp;offset=0&amp;query=any,contains,991002026599702656","Catalog Record")</f>
        <v/>
      </c>
      <c r="AT3329">
        <f>HYPERLINK("http://www.worldcat.org/oclc/25787869","WorldCat Record")</f>
        <v/>
      </c>
      <c r="AU3329" t="inlineStr">
        <is>
          <t>20718932:eng</t>
        </is>
      </c>
      <c r="AV3329" t="inlineStr">
        <is>
          <t>25787869</t>
        </is>
      </c>
      <c r="AW3329" t="inlineStr">
        <is>
          <t>991002026599702656</t>
        </is>
      </c>
      <c r="AX3329" t="inlineStr">
        <is>
          <t>991002026599702656</t>
        </is>
      </c>
      <c r="AY3329" t="inlineStr">
        <is>
          <t>2256030780002656</t>
        </is>
      </c>
      <c r="AZ3329" t="inlineStr">
        <is>
          <t>BOOK</t>
        </is>
      </c>
      <c r="BB3329" t="inlineStr">
        <is>
          <t>9780195074635</t>
        </is>
      </c>
      <c r="BC3329" t="inlineStr">
        <is>
          <t>32285001767986</t>
        </is>
      </c>
      <c r="BD3329" t="inlineStr">
        <is>
          <t>893715961</t>
        </is>
      </c>
    </row>
    <row r="3330">
      <c r="A3330" t="inlineStr">
        <is>
          <t>No</t>
        </is>
      </c>
      <c r="B3330" t="inlineStr">
        <is>
          <t>BX955 .A8 1939</t>
        </is>
      </c>
      <c r="C3330" t="inlineStr">
        <is>
          <t>0                      BX 0955000A  8           1939</t>
        </is>
      </c>
      <c r="D3330" t="inlineStr">
        <is>
          <t>A dictionary of the popes, from Peter to Pius XII / compiled by Donald Attwater.</t>
        </is>
      </c>
      <c r="F3330" t="inlineStr">
        <is>
          <t>No</t>
        </is>
      </c>
      <c r="G3330" t="inlineStr">
        <is>
          <t>1</t>
        </is>
      </c>
      <c r="H3330" t="inlineStr">
        <is>
          <t>No</t>
        </is>
      </c>
      <c r="I3330" t="inlineStr">
        <is>
          <t>No</t>
        </is>
      </c>
      <c r="J3330" t="inlineStr">
        <is>
          <t>0</t>
        </is>
      </c>
      <c r="K3330" t="inlineStr">
        <is>
          <t>Attwater, Donald, 1892-1977.</t>
        </is>
      </c>
      <c r="L3330" t="inlineStr">
        <is>
          <t>London : Burns, Oates &amp; Washbourne, Ltd., [1939]</t>
        </is>
      </c>
      <c r="M3330" t="inlineStr">
        <is>
          <t>1939</t>
        </is>
      </c>
      <c r="O3330" t="inlineStr">
        <is>
          <t>eng</t>
        </is>
      </c>
      <c r="P3330" t="inlineStr">
        <is>
          <t>enk</t>
        </is>
      </c>
      <c r="R3330" t="inlineStr">
        <is>
          <t xml:space="preserve">BX </t>
        </is>
      </c>
      <c r="S3330" t="n">
        <v>9</v>
      </c>
      <c r="T3330" t="n">
        <v>9</v>
      </c>
      <c r="U3330" t="inlineStr">
        <is>
          <t>2009-02-27</t>
        </is>
      </c>
      <c r="V3330" t="inlineStr">
        <is>
          <t>2009-02-27</t>
        </is>
      </c>
      <c r="W3330" t="inlineStr">
        <is>
          <t>1992-05-29</t>
        </is>
      </c>
      <c r="X3330" t="inlineStr">
        <is>
          <t>1992-05-29</t>
        </is>
      </c>
      <c r="Y3330" t="n">
        <v>101</v>
      </c>
      <c r="Z3330" t="n">
        <v>75</v>
      </c>
      <c r="AA3330" t="n">
        <v>106</v>
      </c>
      <c r="AB3330" t="n">
        <v>3</v>
      </c>
      <c r="AC3330" t="n">
        <v>3</v>
      </c>
      <c r="AD3330" t="n">
        <v>10</v>
      </c>
      <c r="AE3330" t="n">
        <v>12</v>
      </c>
      <c r="AF3330" t="n">
        <v>3</v>
      </c>
      <c r="AG3330" t="n">
        <v>4</v>
      </c>
      <c r="AH3330" t="n">
        <v>3</v>
      </c>
      <c r="AI3330" t="n">
        <v>3</v>
      </c>
      <c r="AJ3330" t="n">
        <v>6</v>
      </c>
      <c r="AK3330" t="n">
        <v>8</v>
      </c>
      <c r="AL3330" t="n">
        <v>0</v>
      </c>
      <c r="AM3330" t="n">
        <v>0</v>
      </c>
      <c r="AN3330" t="n">
        <v>0</v>
      </c>
      <c r="AO3330" t="n">
        <v>0</v>
      </c>
      <c r="AP3330" t="inlineStr">
        <is>
          <t>No</t>
        </is>
      </c>
      <c r="AQ3330" t="inlineStr">
        <is>
          <t>No</t>
        </is>
      </c>
      <c r="AR3330">
        <f>HYPERLINK("http://catalog.hathitrust.org/Record/001415749","HathiTrust Record")</f>
        <v/>
      </c>
      <c r="AS3330">
        <f>HYPERLINK("https://creighton-primo.hosted.exlibrisgroup.com/primo-explore/search?tab=default_tab&amp;search_scope=EVERYTHING&amp;vid=01CRU&amp;lang=en_US&amp;offset=0&amp;query=any,contains,991003445939702656","Catalog Record")</f>
        <v/>
      </c>
      <c r="AT3330">
        <f>HYPERLINK("http://www.worldcat.org/oclc/981230","WorldCat Record")</f>
        <v/>
      </c>
      <c r="AU3330" t="inlineStr">
        <is>
          <t>367737084:eng</t>
        </is>
      </c>
      <c r="AV3330" t="inlineStr">
        <is>
          <t>981230</t>
        </is>
      </c>
      <c r="AW3330" t="inlineStr">
        <is>
          <t>991003445939702656</t>
        </is>
      </c>
      <c r="AX3330" t="inlineStr">
        <is>
          <t>991003445939702656</t>
        </is>
      </c>
      <c r="AY3330" t="inlineStr">
        <is>
          <t>2269812930002656</t>
        </is>
      </c>
      <c r="AZ3330" t="inlineStr">
        <is>
          <t>BOOK</t>
        </is>
      </c>
      <c r="BC3330" t="inlineStr">
        <is>
          <t>32285001225951</t>
        </is>
      </c>
      <c r="BD3330" t="inlineStr">
        <is>
          <t>893781018</t>
        </is>
      </c>
    </row>
    <row r="3331">
      <c r="A3331" t="inlineStr">
        <is>
          <t>No</t>
        </is>
      </c>
      <c r="B3331" t="inlineStr">
        <is>
          <t>BX955 .B88 1954a</t>
        </is>
      </c>
      <c r="C3331" t="inlineStr">
        <is>
          <t>0                      BX 0955000B  88          1954a</t>
        </is>
      </c>
      <c r="D3331" t="inlineStr">
        <is>
          <t>The development of the papacy / by H. Burn-Murdock.</t>
        </is>
      </c>
      <c r="F3331" t="inlineStr">
        <is>
          <t>No</t>
        </is>
      </c>
      <c r="G3331" t="inlineStr">
        <is>
          <t>1</t>
        </is>
      </c>
      <c r="H3331" t="inlineStr">
        <is>
          <t>No</t>
        </is>
      </c>
      <c r="I3331" t="inlineStr">
        <is>
          <t>No</t>
        </is>
      </c>
      <c r="J3331" t="inlineStr">
        <is>
          <t>0</t>
        </is>
      </c>
      <c r="K3331" t="inlineStr">
        <is>
          <t>Burn-Murdoch, H. (Hector), 1881-1958.</t>
        </is>
      </c>
      <c r="L3331" t="inlineStr">
        <is>
          <t>New York : Praeger, [1954]</t>
        </is>
      </c>
      <c r="M3331" t="inlineStr">
        <is>
          <t>1954</t>
        </is>
      </c>
      <c r="O3331" t="inlineStr">
        <is>
          <t>eng</t>
        </is>
      </c>
      <c r="P3331" t="inlineStr">
        <is>
          <t xml:space="preserve">xx </t>
        </is>
      </c>
      <c r="Q3331" t="inlineStr">
        <is>
          <t>Books that matter</t>
        </is>
      </c>
      <c r="R3331" t="inlineStr">
        <is>
          <t xml:space="preserve">BX </t>
        </is>
      </c>
      <c r="S3331" t="n">
        <v>7</v>
      </c>
      <c r="T3331" t="n">
        <v>7</v>
      </c>
      <c r="U3331" t="inlineStr">
        <is>
          <t>1996-02-07</t>
        </is>
      </c>
      <c r="V3331" t="inlineStr">
        <is>
          <t>1996-02-07</t>
        </is>
      </c>
      <c r="W3331" t="inlineStr">
        <is>
          <t>1992-05-29</t>
        </is>
      </c>
      <c r="X3331" t="inlineStr">
        <is>
          <t>1992-05-29</t>
        </is>
      </c>
      <c r="Y3331" t="n">
        <v>157</v>
      </c>
      <c r="Z3331" t="n">
        <v>153</v>
      </c>
      <c r="AA3331" t="n">
        <v>330</v>
      </c>
      <c r="AB3331" t="n">
        <v>3</v>
      </c>
      <c r="AC3331" t="n">
        <v>4</v>
      </c>
      <c r="AD3331" t="n">
        <v>16</v>
      </c>
      <c r="AE3331" t="n">
        <v>23</v>
      </c>
      <c r="AF3331" t="n">
        <v>4</v>
      </c>
      <c r="AG3331" t="n">
        <v>6</v>
      </c>
      <c r="AH3331" t="n">
        <v>3</v>
      </c>
      <c r="AI3331" t="n">
        <v>5</v>
      </c>
      <c r="AJ3331" t="n">
        <v>12</v>
      </c>
      <c r="AK3331" t="n">
        <v>15</v>
      </c>
      <c r="AL3331" t="n">
        <v>1</v>
      </c>
      <c r="AM3331" t="n">
        <v>2</v>
      </c>
      <c r="AN3331" t="n">
        <v>0</v>
      </c>
      <c r="AO3331" t="n">
        <v>0</v>
      </c>
      <c r="AP3331" t="inlineStr">
        <is>
          <t>No</t>
        </is>
      </c>
      <c r="AQ3331" t="inlineStr">
        <is>
          <t>No</t>
        </is>
      </c>
      <c r="AS3331">
        <f>HYPERLINK("https://creighton-primo.hosted.exlibrisgroup.com/primo-explore/search?tab=default_tab&amp;search_scope=EVERYTHING&amp;vid=01CRU&amp;lang=en_US&amp;offset=0&amp;query=any,contains,991004240549702656","Catalog Record")</f>
        <v/>
      </c>
      <c r="AT3331">
        <f>HYPERLINK("http://www.worldcat.org/oclc/2782856","WorldCat Record")</f>
        <v/>
      </c>
      <c r="AU3331" t="inlineStr">
        <is>
          <t>2194371:eng</t>
        </is>
      </c>
      <c r="AV3331" t="inlineStr">
        <is>
          <t>2782856</t>
        </is>
      </c>
      <c r="AW3331" t="inlineStr">
        <is>
          <t>991004240549702656</t>
        </is>
      </c>
      <c r="AX3331" t="inlineStr">
        <is>
          <t>991004240549702656</t>
        </is>
      </c>
      <c r="AY3331" t="inlineStr">
        <is>
          <t>2264355830002656</t>
        </is>
      </c>
      <c r="AZ3331" t="inlineStr">
        <is>
          <t>BOOK</t>
        </is>
      </c>
      <c r="BC3331" t="inlineStr">
        <is>
          <t>32285001225993</t>
        </is>
      </c>
      <c r="BD3331" t="inlineStr">
        <is>
          <t>893325110</t>
        </is>
      </c>
    </row>
    <row r="3332">
      <c r="A3332" t="inlineStr">
        <is>
          <t>No</t>
        </is>
      </c>
      <c r="B3332" t="inlineStr">
        <is>
          <t>BX955 .C66 1956</t>
        </is>
      </c>
      <c r="C3332" t="inlineStr">
        <is>
          <t>0                      BX 0955000C  66          1956</t>
        </is>
      </c>
      <c r="D3332" t="inlineStr">
        <is>
          <t>The papacy : a brief history / James A. Corbett.</t>
        </is>
      </c>
      <c r="F3332" t="inlineStr">
        <is>
          <t>No</t>
        </is>
      </c>
      <c r="G3332" t="inlineStr">
        <is>
          <t>1</t>
        </is>
      </c>
      <c r="H3332" t="inlineStr">
        <is>
          <t>No</t>
        </is>
      </c>
      <c r="I3332" t="inlineStr">
        <is>
          <t>No</t>
        </is>
      </c>
      <c r="J3332" t="inlineStr">
        <is>
          <t>0</t>
        </is>
      </c>
      <c r="K3332" t="inlineStr">
        <is>
          <t>Corbett, James A. (James Arthur)</t>
        </is>
      </c>
      <c r="L3332" t="inlineStr">
        <is>
          <t>Princeton, N.J. : Van Nostrand, [1956]</t>
        </is>
      </c>
      <c r="M3332" t="inlineStr">
        <is>
          <t>1956</t>
        </is>
      </c>
      <c r="O3332" t="inlineStr">
        <is>
          <t>eng</t>
        </is>
      </c>
      <c r="P3332" t="inlineStr">
        <is>
          <t>nju</t>
        </is>
      </c>
      <c r="Q3332" t="inlineStr">
        <is>
          <t>An Anvil original, no. 12</t>
        </is>
      </c>
      <c r="R3332" t="inlineStr">
        <is>
          <t xml:space="preserve">BX </t>
        </is>
      </c>
      <c r="S3332" t="n">
        <v>2</v>
      </c>
      <c r="T3332" t="n">
        <v>2</v>
      </c>
      <c r="U3332" t="inlineStr">
        <is>
          <t>2002-02-24</t>
        </is>
      </c>
      <c r="V3332" t="inlineStr">
        <is>
          <t>2002-02-24</t>
        </is>
      </c>
      <c r="W3332" t="inlineStr">
        <is>
          <t>2001-07-24</t>
        </is>
      </c>
      <c r="X3332" t="inlineStr">
        <is>
          <t>2001-07-24</t>
        </is>
      </c>
      <c r="Y3332" t="n">
        <v>623</v>
      </c>
      <c r="Z3332" t="n">
        <v>527</v>
      </c>
      <c r="AA3332" t="n">
        <v>535</v>
      </c>
      <c r="AB3332" t="n">
        <v>6</v>
      </c>
      <c r="AC3332" t="n">
        <v>6</v>
      </c>
      <c r="AD3332" t="n">
        <v>31</v>
      </c>
      <c r="AE3332" t="n">
        <v>31</v>
      </c>
      <c r="AF3332" t="n">
        <v>12</v>
      </c>
      <c r="AG3332" t="n">
        <v>12</v>
      </c>
      <c r="AH3332" t="n">
        <v>5</v>
      </c>
      <c r="AI3332" t="n">
        <v>5</v>
      </c>
      <c r="AJ3332" t="n">
        <v>16</v>
      </c>
      <c r="AK3332" t="n">
        <v>16</v>
      </c>
      <c r="AL3332" t="n">
        <v>4</v>
      </c>
      <c r="AM3332" t="n">
        <v>4</v>
      </c>
      <c r="AN3332" t="n">
        <v>0</v>
      </c>
      <c r="AO3332" t="n">
        <v>0</v>
      </c>
      <c r="AP3332" t="inlineStr">
        <is>
          <t>No</t>
        </is>
      </c>
      <c r="AQ3332" t="inlineStr">
        <is>
          <t>Yes</t>
        </is>
      </c>
      <c r="AR3332">
        <f>HYPERLINK("http://catalog.hathitrust.org/Record/004488226","HathiTrust Record")</f>
        <v/>
      </c>
      <c r="AS3332">
        <f>HYPERLINK("https://creighton-primo.hosted.exlibrisgroup.com/primo-explore/search?tab=default_tab&amp;search_scope=EVERYTHING&amp;vid=01CRU&amp;lang=en_US&amp;offset=0&amp;query=any,contains,991003591959702656","Catalog Record")</f>
        <v/>
      </c>
      <c r="AT3332">
        <f>HYPERLINK("http://www.worldcat.org/oclc/386174","WorldCat Record")</f>
        <v/>
      </c>
      <c r="AU3332" t="inlineStr">
        <is>
          <t>1510436:eng</t>
        </is>
      </c>
      <c r="AV3332" t="inlineStr">
        <is>
          <t>386174</t>
        </is>
      </c>
      <c r="AW3332" t="inlineStr">
        <is>
          <t>991003591959702656</t>
        </is>
      </c>
      <c r="AX3332" t="inlineStr">
        <is>
          <t>991003591959702656</t>
        </is>
      </c>
      <c r="AY3332" t="inlineStr">
        <is>
          <t>2257593110002656</t>
        </is>
      </c>
      <c r="AZ3332" t="inlineStr">
        <is>
          <t>BOOK</t>
        </is>
      </c>
      <c r="BC3332" t="inlineStr">
        <is>
          <t>32285004375019</t>
        </is>
      </c>
      <c r="BD3332" t="inlineStr">
        <is>
          <t>893258600</t>
        </is>
      </c>
    </row>
    <row r="3333">
      <c r="A3333" t="inlineStr">
        <is>
          <t>No</t>
        </is>
      </c>
      <c r="B3333" t="inlineStr">
        <is>
          <t>BX955 .F6 1920</t>
        </is>
      </c>
      <c r="C3333" t="inlineStr">
        <is>
          <t>0                      BX 0955000F  6           1920</t>
        </is>
      </c>
      <c r="D3333" t="inlineStr">
        <is>
          <t>The early papacy to the synod of Chalcedon in 451 / by Adrian Fortescue.</t>
        </is>
      </c>
      <c r="F3333" t="inlineStr">
        <is>
          <t>No</t>
        </is>
      </c>
      <c r="G3333" t="inlineStr">
        <is>
          <t>1</t>
        </is>
      </c>
      <c r="H3333" t="inlineStr">
        <is>
          <t>No</t>
        </is>
      </c>
      <c r="I3333" t="inlineStr">
        <is>
          <t>No</t>
        </is>
      </c>
      <c r="J3333" t="inlineStr">
        <is>
          <t>0</t>
        </is>
      </c>
      <c r="K3333" t="inlineStr">
        <is>
          <t>Fortescue, Adrian, 1874-1923.</t>
        </is>
      </c>
      <c r="L3333" t="inlineStr">
        <is>
          <t>London : Burns, Oates, &amp; Washbourne, 1920.</t>
        </is>
      </c>
      <c r="M3333" t="inlineStr">
        <is>
          <t>1920</t>
        </is>
      </c>
      <c r="O3333" t="inlineStr">
        <is>
          <t>eng</t>
        </is>
      </c>
      <c r="P3333" t="inlineStr">
        <is>
          <t xml:space="preserve">xx </t>
        </is>
      </c>
      <c r="R3333" t="inlineStr">
        <is>
          <t xml:space="preserve">BX </t>
        </is>
      </c>
      <c r="S3333" t="n">
        <v>2</v>
      </c>
      <c r="T3333" t="n">
        <v>2</v>
      </c>
      <c r="U3333" t="inlineStr">
        <is>
          <t>1994-10-28</t>
        </is>
      </c>
      <c r="V3333" t="inlineStr">
        <is>
          <t>1994-10-28</t>
        </is>
      </c>
      <c r="W3333" t="inlineStr">
        <is>
          <t>1992-05-29</t>
        </is>
      </c>
      <c r="X3333" t="inlineStr">
        <is>
          <t>1992-05-29</t>
        </is>
      </c>
      <c r="Y3333" t="n">
        <v>52</v>
      </c>
      <c r="Z3333" t="n">
        <v>34</v>
      </c>
      <c r="AA3333" t="n">
        <v>142</v>
      </c>
      <c r="AB3333" t="n">
        <v>1</v>
      </c>
      <c r="AC3333" t="n">
        <v>2</v>
      </c>
      <c r="AD3333" t="n">
        <v>3</v>
      </c>
      <c r="AE3333" t="n">
        <v>15</v>
      </c>
      <c r="AF3333" t="n">
        <v>2</v>
      </c>
      <c r="AG3333" t="n">
        <v>4</v>
      </c>
      <c r="AH3333" t="n">
        <v>0</v>
      </c>
      <c r="AI3333" t="n">
        <v>4</v>
      </c>
      <c r="AJ3333" t="n">
        <v>2</v>
      </c>
      <c r="AK3333" t="n">
        <v>10</v>
      </c>
      <c r="AL3333" t="n">
        <v>0</v>
      </c>
      <c r="AM3333" t="n">
        <v>0</v>
      </c>
      <c r="AN3333" t="n">
        <v>0</v>
      </c>
      <c r="AO3333" t="n">
        <v>0</v>
      </c>
      <c r="AP3333" t="inlineStr">
        <is>
          <t>Yes</t>
        </is>
      </c>
      <c r="AQ3333" t="inlineStr">
        <is>
          <t>No</t>
        </is>
      </c>
      <c r="AR3333">
        <f>HYPERLINK("http://catalog.hathitrust.org/Record/100645762","HathiTrust Record")</f>
        <v/>
      </c>
      <c r="AS3333">
        <f>HYPERLINK("https://creighton-primo.hosted.exlibrisgroup.com/primo-explore/search?tab=default_tab&amp;search_scope=EVERYTHING&amp;vid=01CRU&amp;lang=en_US&amp;offset=0&amp;query=any,contains,991004257259702656","Catalog Record")</f>
        <v/>
      </c>
      <c r="AT3333">
        <f>HYPERLINK("http://www.worldcat.org/oclc/2829370","WorldCat Record")</f>
        <v/>
      </c>
      <c r="AU3333" t="inlineStr">
        <is>
          <t>6378860:eng</t>
        </is>
      </c>
      <c r="AV3333" t="inlineStr">
        <is>
          <t>2829370</t>
        </is>
      </c>
      <c r="AW3333" t="inlineStr">
        <is>
          <t>991004257259702656</t>
        </is>
      </c>
      <c r="AX3333" t="inlineStr">
        <is>
          <t>991004257259702656</t>
        </is>
      </c>
      <c r="AY3333" t="inlineStr">
        <is>
          <t>2258098610002656</t>
        </is>
      </c>
      <c r="AZ3333" t="inlineStr">
        <is>
          <t>BOOK</t>
        </is>
      </c>
      <c r="BC3333" t="inlineStr">
        <is>
          <t>32285001226017</t>
        </is>
      </c>
      <c r="BD3333" t="inlineStr">
        <is>
          <t>893423575</t>
        </is>
      </c>
    </row>
    <row r="3334">
      <c r="A3334" t="inlineStr">
        <is>
          <t>No</t>
        </is>
      </c>
      <c r="B3334" t="inlineStr">
        <is>
          <t>BX955 .K853</t>
        </is>
      </c>
      <c r="C3334" t="inlineStr">
        <is>
          <t>0                      BX 0955000K  853</t>
        </is>
      </c>
      <c r="D3334" t="inlineStr">
        <is>
          <t>Encyclopedia of the Papacy / by Hans Kühner; [translated from the German by Kenneth J. Northcott]</t>
        </is>
      </c>
      <c r="F3334" t="inlineStr">
        <is>
          <t>No</t>
        </is>
      </c>
      <c r="G3334" t="inlineStr">
        <is>
          <t>1</t>
        </is>
      </c>
      <c r="H3334" t="inlineStr">
        <is>
          <t>No</t>
        </is>
      </c>
      <c r="I3334" t="inlineStr">
        <is>
          <t>No</t>
        </is>
      </c>
      <c r="J3334" t="inlineStr">
        <is>
          <t>0</t>
        </is>
      </c>
      <c r="K3334" t="inlineStr">
        <is>
          <t>Kühner, Hans.</t>
        </is>
      </c>
      <c r="L3334" t="inlineStr">
        <is>
          <t>New York : Philosophical Library [1958]</t>
        </is>
      </c>
      <c r="M3334" t="inlineStr">
        <is>
          <t>1958</t>
        </is>
      </c>
      <c r="O3334" t="inlineStr">
        <is>
          <t>eng</t>
        </is>
      </c>
      <c r="P3334" t="inlineStr">
        <is>
          <t>___</t>
        </is>
      </c>
      <c r="R3334" t="inlineStr">
        <is>
          <t xml:space="preserve">BX </t>
        </is>
      </c>
      <c r="S3334" t="n">
        <v>7</v>
      </c>
      <c r="T3334" t="n">
        <v>7</v>
      </c>
      <c r="U3334" t="inlineStr">
        <is>
          <t>2002-02-24</t>
        </is>
      </c>
      <c r="V3334" t="inlineStr">
        <is>
          <t>2002-02-24</t>
        </is>
      </c>
      <c r="W3334" t="inlineStr">
        <is>
          <t>1992-05-29</t>
        </is>
      </c>
      <c r="X3334" t="inlineStr">
        <is>
          <t>1992-05-29</t>
        </is>
      </c>
      <c r="Y3334" t="n">
        <v>431</v>
      </c>
      <c r="Z3334" t="n">
        <v>403</v>
      </c>
      <c r="AA3334" t="n">
        <v>418</v>
      </c>
      <c r="AB3334" t="n">
        <v>5</v>
      </c>
      <c r="AC3334" t="n">
        <v>5</v>
      </c>
      <c r="AD3334" t="n">
        <v>27</v>
      </c>
      <c r="AE3334" t="n">
        <v>28</v>
      </c>
      <c r="AF3334" t="n">
        <v>8</v>
      </c>
      <c r="AG3334" t="n">
        <v>8</v>
      </c>
      <c r="AH3334" t="n">
        <v>7</v>
      </c>
      <c r="AI3334" t="n">
        <v>7</v>
      </c>
      <c r="AJ3334" t="n">
        <v>18</v>
      </c>
      <c r="AK3334" t="n">
        <v>19</v>
      </c>
      <c r="AL3334" t="n">
        <v>3</v>
      </c>
      <c r="AM3334" t="n">
        <v>3</v>
      </c>
      <c r="AN3334" t="n">
        <v>0</v>
      </c>
      <c r="AO3334" t="n">
        <v>0</v>
      </c>
      <c r="AP3334" t="inlineStr">
        <is>
          <t>No</t>
        </is>
      </c>
      <c r="AQ3334" t="inlineStr">
        <is>
          <t>No</t>
        </is>
      </c>
      <c r="AR3334">
        <f>HYPERLINK("http://catalog.hathitrust.org/Record/001401397","HathiTrust Record")</f>
        <v/>
      </c>
      <c r="AS3334">
        <f>HYPERLINK("https://creighton-primo.hosted.exlibrisgroup.com/primo-explore/search?tab=default_tab&amp;search_scope=EVERYTHING&amp;vid=01CRU&amp;lang=en_US&amp;offset=0&amp;query=any,contains,991003331779702656","Catalog Record")</f>
        <v/>
      </c>
      <c r="AT3334">
        <f>HYPERLINK("http://www.worldcat.org/oclc/863248","WorldCat Record")</f>
        <v/>
      </c>
      <c r="AU3334" t="inlineStr">
        <is>
          <t>4920688968:eng</t>
        </is>
      </c>
      <c r="AV3334" t="inlineStr">
        <is>
          <t>863248</t>
        </is>
      </c>
      <c r="AW3334" t="inlineStr">
        <is>
          <t>991003331779702656</t>
        </is>
      </c>
      <c r="AX3334" t="inlineStr">
        <is>
          <t>991003331779702656</t>
        </is>
      </c>
      <c r="AY3334" t="inlineStr">
        <is>
          <t>2264235240002656</t>
        </is>
      </c>
      <c r="AZ3334" t="inlineStr">
        <is>
          <t>BOOK</t>
        </is>
      </c>
      <c r="BC3334" t="inlineStr">
        <is>
          <t>32285001226025</t>
        </is>
      </c>
      <c r="BD3334" t="inlineStr">
        <is>
          <t>893410186</t>
        </is>
      </c>
    </row>
    <row r="3335">
      <c r="A3335" t="inlineStr">
        <is>
          <t>No</t>
        </is>
      </c>
      <c r="B3335" t="inlineStr">
        <is>
          <t>BX955 .L35 1924</t>
        </is>
      </c>
      <c r="C3335" t="inlineStr">
        <is>
          <t>0                      BX 0955000L  35          1924</t>
        </is>
      </c>
      <c r="D3335" t="inlineStr">
        <is>
          <t>The papacy : papers from the Summer school of Catholic studies held at Cambridge, August 7-10, 1923 / edited by the Rev. C. Lattey.</t>
        </is>
      </c>
      <c r="F3335" t="inlineStr">
        <is>
          <t>No</t>
        </is>
      </c>
      <c r="G3335" t="inlineStr">
        <is>
          <t>1</t>
        </is>
      </c>
      <c r="H3335" t="inlineStr">
        <is>
          <t>No</t>
        </is>
      </c>
      <c r="I3335" t="inlineStr">
        <is>
          <t>No</t>
        </is>
      </c>
      <c r="J3335" t="inlineStr">
        <is>
          <t>0</t>
        </is>
      </c>
      <c r="K3335" t="inlineStr">
        <is>
          <t>Lattey, C. (Cuthbert), 1877-1954, editor.</t>
        </is>
      </c>
      <c r="L3335" t="inlineStr">
        <is>
          <t>Cambridge [Eng.] : W. Heffer &amp; sons, ltd., 1924.</t>
        </is>
      </c>
      <c r="M3335" t="inlineStr">
        <is>
          <t>1924</t>
        </is>
      </c>
      <c r="O3335" t="inlineStr">
        <is>
          <t>eng</t>
        </is>
      </c>
      <c r="P3335" t="inlineStr">
        <is>
          <t xml:space="preserve">xx </t>
        </is>
      </c>
      <c r="R3335" t="inlineStr">
        <is>
          <t xml:space="preserve">BX </t>
        </is>
      </c>
      <c r="S3335" t="n">
        <v>5</v>
      </c>
      <c r="T3335" t="n">
        <v>5</v>
      </c>
      <c r="U3335" t="inlineStr">
        <is>
          <t>2002-02-24</t>
        </is>
      </c>
      <c r="V3335" t="inlineStr">
        <is>
          <t>2002-02-24</t>
        </is>
      </c>
      <c r="W3335" t="inlineStr">
        <is>
          <t>1990-04-20</t>
        </is>
      </c>
      <c r="X3335" t="inlineStr">
        <is>
          <t>1990-04-20</t>
        </is>
      </c>
      <c r="Y3335" t="n">
        <v>116</v>
      </c>
      <c r="Z3335" t="n">
        <v>91</v>
      </c>
      <c r="AA3335" t="n">
        <v>93</v>
      </c>
      <c r="AB3335" t="n">
        <v>2</v>
      </c>
      <c r="AC3335" t="n">
        <v>2</v>
      </c>
      <c r="AD3335" t="n">
        <v>22</v>
      </c>
      <c r="AE3335" t="n">
        <v>22</v>
      </c>
      <c r="AF3335" t="n">
        <v>5</v>
      </c>
      <c r="AG3335" t="n">
        <v>5</v>
      </c>
      <c r="AH3335" t="n">
        <v>6</v>
      </c>
      <c r="AI3335" t="n">
        <v>6</v>
      </c>
      <c r="AJ3335" t="n">
        <v>18</v>
      </c>
      <c r="AK3335" t="n">
        <v>18</v>
      </c>
      <c r="AL3335" t="n">
        <v>0</v>
      </c>
      <c r="AM3335" t="n">
        <v>0</v>
      </c>
      <c r="AN3335" t="n">
        <v>0</v>
      </c>
      <c r="AO3335" t="n">
        <v>0</v>
      </c>
      <c r="AP3335" t="inlineStr">
        <is>
          <t>No</t>
        </is>
      </c>
      <c r="AQ3335" t="inlineStr">
        <is>
          <t>No</t>
        </is>
      </c>
      <c r="AS3335">
        <f>HYPERLINK("https://creighton-primo.hosted.exlibrisgroup.com/primo-explore/search?tab=default_tab&amp;search_scope=EVERYTHING&amp;vid=01CRU&amp;lang=en_US&amp;offset=0&amp;query=any,contains,991004372239702656","Catalog Record")</f>
        <v/>
      </c>
      <c r="AT3335">
        <f>HYPERLINK("http://www.worldcat.org/oclc/3198262","WorldCat Record")</f>
        <v/>
      </c>
      <c r="AU3335" t="inlineStr">
        <is>
          <t>309240908:eng</t>
        </is>
      </c>
      <c r="AV3335" t="inlineStr">
        <is>
          <t>3198262</t>
        </is>
      </c>
      <c r="AW3335" t="inlineStr">
        <is>
          <t>991004372239702656</t>
        </is>
      </c>
      <c r="AX3335" t="inlineStr">
        <is>
          <t>991004372239702656</t>
        </is>
      </c>
      <c r="AY3335" t="inlineStr">
        <is>
          <t>2264212410002656</t>
        </is>
      </c>
      <c r="AZ3335" t="inlineStr">
        <is>
          <t>BOOK</t>
        </is>
      </c>
      <c r="BC3335" t="inlineStr">
        <is>
          <t>32285000130178</t>
        </is>
      </c>
      <c r="BD3335" t="inlineStr">
        <is>
          <t>893618582</t>
        </is>
      </c>
    </row>
    <row r="3336">
      <c r="A3336" t="inlineStr">
        <is>
          <t>No</t>
        </is>
      </c>
      <c r="B3336" t="inlineStr">
        <is>
          <t>BX955 .M8 1883</t>
        </is>
      </c>
      <c r="C3336" t="inlineStr">
        <is>
          <t>0                      BX 0955000M  8           1883</t>
        </is>
      </c>
      <c r="D3336" t="inlineStr">
        <is>
          <t>The chair of Peter ; or, The papacy considered in its institution, development, and organization, and in the benefits which, for over eighteen centuries, it has conferred on mankind.</t>
        </is>
      </c>
      <c r="F3336" t="inlineStr">
        <is>
          <t>No</t>
        </is>
      </c>
      <c r="G3336" t="inlineStr">
        <is>
          <t>1</t>
        </is>
      </c>
      <c r="H3336" t="inlineStr">
        <is>
          <t>No</t>
        </is>
      </c>
      <c r="I3336" t="inlineStr">
        <is>
          <t>No</t>
        </is>
      </c>
      <c r="J3336" t="inlineStr">
        <is>
          <t>0</t>
        </is>
      </c>
      <c r="K3336" t="inlineStr">
        <is>
          <t>Murphy, John Nicholas.</t>
        </is>
      </c>
      <c r="L3336" t="inlineStr">
        <is>
          <t>London : Kegan Paul, Trench &amp; co., 1883.</t>
        </is>
      </c>
      <c r="M3336" t="inlineStr">
        <is>
          <t>1883</t>
        </is>
      </c>
      <c r="O3336" t="inlineStr">
        <is>
          <t>eng</t>
        </is>
      </c>
      <c r="P3336" t="inlineStr">
        <is>
          <t>enk</t>
        </is>
      </c>
      <c r="R3336" t="inlineStr">
        <is>
          <t xml:space="preserve">BX </t>
        </is>
      </c>
      <c r="S3336" t="n">
        <v>6</v>
      </c>
      <c r="T3336" t="n">
        <v>6</v>
      </c>
      <c r="U3336" t="inlineStr">
        <is>
          <t>1998-12-04</t>
        </is>
      </c>
      <c r="V3336" t="inlineStr">
        <is>
          <t>1998-12-04</t>
        </is>
      </c>
      <c r="W3336" t="inlineStr">
        <is>
          <t>1992-06-04</t>
        </is>
      </c>
      <c r="X3336" t="inlineStr">
        <is>
          <t>1992-06-04</t>
        </is>
      </c>
      <c r="Y3336" t="n">
        <v>60</v>
      </c>
      <c r="Z3336" t="n">
        <v>41</v>
      </c>
      <c r="AA3336" t="n">
        <v>102</v>
      </c>
      <c r="AB3336" t="n">
        <v>1</v>
      </c>
      <c r="AC3336" t="n">
        <v>1</v>
      </c>
      <c r="AD3336" t="n">
        <v>2</v>
      </c>
      <c r="AE3336" t="n">
        <v>16</v>
      </c>
      <c r="AF3336" t="n">
        <v>1</v>
      </c>
      <c r="AG3336" t="n">
        <v>6</v>
      </c>
      <c r="AH3336" t="n">
        <v>0</v>
      </c>
      <c r="AI3336" t="n">
        <v>3</v>
      </c>
      <c r="AJ3336" t="n">
        <v>1</v>
      </c>
      <c r="AK3336" t="n">
        <v>11</v>
      </c>
      <c r="AL3336" t="n">
        <v>0</v>
      </c>
      <c r="AM3336" t="n">
        <v>0</v>
      </c>
      <c r="AN3336" t="n">
        <v>0</v>
      </c>
      <c r="AO3336" t="n">
        <v>0</v>
      </c>
      <c r="AP3336" t="inlineStr">
        <is>
          <t>No</t>
        </is>
      </c>
      <c r="AQ3336" t="inlineStr">
        <is>
          <t>No</t>
        </is>
      </c>
      <c r="AS3336">
        <f>HYPERLINK("https://creighton-primo.hosted.exlibrisgroup.com/primo-explore/search?tab=default_tab&amp;search_scope=EVERYTHING&amp;vid=01CRU&amp;lang=en_US&amp;offset=0&amp;query=any,contains,991004826879702656","Catalog Record")</f>
        <v/>
      </c>
      <c r="AT3336">
        <f>HYPERLINK("http://www.worldcat.org/oclc/5358665","WorldCat Record")</f>
        <v/>
      </c>
      <c r="AU3336" t="inlineStr">
        <is>
          <t>40902010:eng</t>
        </is>
      </c>
      <c r="AV3336" t="inlineStr">
        <is>
          <t>5358665</t>
        </is>
      </c>
      <c r="AW3336" t="inlineStr">
        <is>
          <t>991004826879702656</t>
        </is>
      </c>
      <c r="AX3336" t="inlineStr">
        <is>
          <t>991004826879702656</t>
        </is>
      </c>
      <c r="AY3336" t="inlineStr">
        <is>
          <t>2255331520002656</t>
        </is>
      </c>
      <c r="AZ3336" t="inlineStr">
        <is>
          <t>BOOK</t>
        </is>
      </c>
      <c r="BC3336" t="inlineStr">
        <is>
          <t>32285001226223</t>
        </is>
      </c>
      <c r="BD3336" t="inlineStr">
        <is>
          <t>893901809</t>
        </is>
      </c>
    </row>
    <row r="3337">
      <c r="A3337" t="inlineStr">
        <is>
          <t>No</t>
        </is>
      </c>
      <c r="B3337" t="inlineStr">
        <is>
          <t>BX955 .T55 1930b</t>
        </is>
      </c>
      <c r="C3337" t="inlineStr">
        <is>
          <t>0                      BX 0955000T  55          1930b</t>
        </is>
      </c>
      <c r="D3337" t="inlineStr">
        <is>
          <t>No popery : chapters on anti-papal prejudice / by Herbert Thurston.</t>
        </is>
      </c>
      <c r="F3337" t="inlineStr">
        <is>
          <t>No</t>
        </is>
      </c>
      <c r="G3337" t="inlineStr">
        <is>
          <t>1</t>
        </is>
      </c>
      <c r="H3337" t="inlineStr">
        <is>
          <t>No</t>
        </is>
      </c>
      <c r="I3337" t="inlineStr">
        <is>
          <t>No</t>
        </is>
      </c>
      <c r="J3337" t="inlineStr">
        <is>
          <t>0</t>
        </is>
      </c>
      <c r="K3337" t="inlineStr">
        <is>
          <t>Thurston, Herbert, 1856-1939.</t>
        </is>
      </c>
      <c r="L3337" t="inlineStr">
        <is>
          <t>New York : Longmans, Green, 1930.</t>
        </is>
      </c>
      <c r="M3337" t="inlineStr">
        <is>
          <t>1930</t>
        </is>
      </c>
      <c r="O3337" t="inlineStr">
        <is>
          <t>eng</t>
        </is>
      </c>
      <c r="P3337" t="inlineStr">
        <is>
          <t>nyu</t>
        </is>
      </c>
      <c r="R3337" t="inlineStr">
        <is>
          <t xml:space="preserve">BX </t>
        </is>
      </c>
      <c r="S3337" t="n">
        <v>1</v>
      </c>
      <c r="T3337" t="n">
        <v>1</v>
      </c>
      <c r="U3337" t="inlineStr">
        <is>
          <t>1993-02-22</t>
        </is>
      </c>
      <c r="V3337" t="inlineStr">
        <is>
          <t>1993-02-22</t>
        </is>
      </c>
      <c r="W3337" t="inlineStr">
        <is>
          <t>1992-06-05</t>
        </is>
      </c>
      <c r="X3337" t="inlineStr">
        <is>
          <t>1992-06-05</t>
        </is>
      </c>
      <c r="Y3337" t="n">
        <v>62</v>
      </c>
      <c r="Z3337" t="n">
        <v>59</v>
      </c>
      <c r="AA3337" t="n">
        <v>134</v>
      </c>
      <c r="AB3337" t="n">
        <v>2</v>
      </c>
      <c r="AC3337" t="n">
        <v>2</v>
      </c>
      <c r="AD3337" t="n">
        <v>12</v>
      </c>
      <c r="AE3337" t="n">
        <v>28</v>
      </c>
      <c r="AF3337" t="n">
        <v>2</v>
      </c>
      <c r="AG3337" t="n">
        <v>7</v>
      </c>
      <c r="AH3337" t="n">
        <v>2</v>
      </c>
      <c r="AI3337" t="n">
        <v>8</v>
      </c>
      <c r="AJ3337" t="n">
        <v>11</v>
      </c>
      <c r="AK3337" t="n">
        <v>23</v>
      </c>
      <c r="AL3337" t="n">
        <v>0</v>
      </c>
      <c r="AM3337" t="n">
        <v>0</v>
      </c>
      <c r="AN3337" t="n">
        <v>0</v>
      </c>
      <c r="AO3337" t="n">
        <v>0</v>
      </c>
      <c r="AP3337" t="inlineStr">
        <is>
          <t>No</t>
        </is>
      </c>
      <c r="AQ3337" t="inlineStr">
        <is>
          <t>No</t>
        </is>
      </c>
      <c r="AS3337">
        <f>HYPERLINK("https://creighton-primo.hosted.exlibrisgroup.com/primo-explore/search?tab=default_tab&amp;search_scope=EVERYTHING&amp;vid=01CRU&amp;lang=en_US&amp;offset=0&amp;query=any,contains,991004427399702656","Catalog Record")</f>
        <v/>
      </c>
      <c r="AT3337">
        <f>HYPERLINK("http://www.worldcat.org/oclc/3406856","WorldCat Record")</f>
        <v/>
      </c>
      <c r="AU3337" t="inlineStr">
        <is>
          <t>1824148:eng</t>
        </is>
      </c>
      <c r="AV3337" t="inlineStr">
        <is>
          <t>3406856</t>
        </is>
      </c>
      <c r="AW3337" t="inlineStr">
        <is>
          <t>991004427399702656</t>
        </is>
      </c>
      <c r="AX3337" t="inlineStr">
        <is>
          <t>991004427399702656</t>
        </is>
      </c>
      <c r="AY3337" t="inlineStr">
        <is>
          <t>2262250640002656</t>
        </is>
      </c>
      <c r="AZ3337" t="inlineStr">
        <is>
          <t>BOOK</t>
        </is>
      </c>
      <c r="BC3337" t="inlineStr">
        <is>
          <t>32285001226751</t>
        </is>
      </c>
      <c r="BD3337" t="inlineStr">
        <is>
          <t>893532388</t>
        </is>
      </c>
    </row>
    <row r="3338">
      <c r="A3338" t="inlineStr">
        <is>
          <t>No</t>
        </is>
      </c>
      <c r="B3338" t="inlineStr">
        <is>
          <t>BX955 .U5 1953</t>
        </is>
      </c>
      <c r="C3338" t="inlineStr">
        <is>
          <t>0                      BX 0955000U  5           1953</t>
        </is>
      </c>
      <c r="D3338" t="inlineStr">
        <is>
          <t>The growth of papal government in the Middle Ages : a study in the ideological relation of clerical to lay power / by Walter Ullmann.</t>
        </is>
      </c>
      <c r="F3338" t="inlineStr">
        <is>
          <t>No</t>
        </is>
      </c>
      <c r="G3338" t="inlineStr">
        <is>
          <t>1</t>
        </is>
      </c>
      <c r="H3338" t="inlineStr">
        <is>
          <t>No</t>
        </is>
      </c>
      <c r="I3338" t="inlineStr">
        <is>
          <t>No</t>
        </is>
      </c>
      <c r="J3338" t="inlineStr">
        <is>
          <t>0</t>
        </is>
      </c>
      <c r="K3338" t="inlineStr">
        <is>
          <t>Ullmann, Walter, 1910-1983.</t>
        </is>
      </c>
      <c r="L3338" t="inlineStr">
        <is>
          <t>New York : Barnes and Noble, 1953.</t>
        </is>
      </c>
      <c r="M3338" t="inlineStr">
        <is>
          <t>1953</t>
        </is>
      </c>
      <c r="O3338" t="inlineStr">
        <is>
          <t>eng</t>
        </is>
      </c>
      <c r="P3338" t="inlineStr">
        <is>
          <t>nyu</t>
        </is>
      </c>
      <c r="R3338" t="inlineStr">
        <is>
          <t xml:space="preserve">BX </t>
        </is>
      </c>
      <c r="S3338" t="n">
        <v>6</v>
      </c>
      <c r="T3338" t="n">
        <v>6</v>
      </c>
      <c r="U3338" t="inlineStr">
        <is>
          <t>1994-03-01</t>
        </is>
      </c>
      <c r="V3338" t="inlineStr">
        <is>
          <t>1994-03-01</t>
        </is>
      </c>
      <c r="W3338" t="inlineStr">
        <is>
          <t>1992-06-05</t>
        </is>
      </c>
      <c r="X3338" t="inlineStr">
        <is>
          <t>1992-06-05</t>
        </is>
      </c>
      <c r="Y3338" t="n">
        <v>45</v>
      </c>
      <c r="Z3338" t="n">
        <v>44</v>
      </c>
      <c r="AA3338" t="n">
        <v>1074</v>
      </c>
      <c r="AB3338" t="n">
        <v>2</v>
      </c>
      <c r="AC3338" t="n">
        <v>10</v>
      </c>
      <c r="AD3338" t="n">
        <v>5</v>
      </c>
      <c r="AE3338" t="n">
        <v>55</v>
      </c>
      <c r="AF3338" t="n">
        <v>3</v>
      </c>
      <c r="AG3338" t="n">
        <v>24</v>
      </c>
      <c r="AH3338" t="n">
        <v>1</v>
      </c>
      <c r="AI3338" t="n">
        <v>11</v>
      </c>
      <c r="AJ3338" t="n">
        <v>3</v>
      </c>
      <c r="AK3338" t="n">
        <v>26</v>
      </c>
      <c r="AL3338" t="n">
        <v>0</v>
      </c>
      <c r="AM3338" t="n">
        <v>7</v>
      </c>
      <c r="AN3338" t="n">
        <v>0</v>
      </c>
      <c r="AO3338" t="n">
        <v>1</v>
      </c>
      <c r="AP3338" t="inlineStr">
        <is>
          <t>No</t>
        </is>
      </c>
      <c r="AQ3338" t="inlineStr">
        <is>
          <t>No</t>
        </is>
      </c>
      <c r="AS3338">
        <f>HYPERLINK("https://creighton-primo.hosted.exlibrisgroup.com/primo-explore/search?tab=default_tab&amp;search_scope=EVERYTHING&amp;vid=01CRU&amp;lang=en_US&amp;offset=0&amp;query=any,contains,991004099299702656","Catalog Record")</f>
        <v/>
      </c>
      <c r="AT3338">
        <f>HYPERLINK("http://www.worldcat.org/oclc/2368943","WorldCat Record")</f>
        <v/>
      </c>
      <c r="AU3338" t="inlineStr">
        <is>
          <t>1270012:eng</t>
        </is>
      </c>
      <c r="AV3338" t="inlineStr">
        <is>
          <t>2368943</t>
        </is>
      </c>
      <c r="AW3338" t="inlineStr">
        <is>
          <t>991004099299702656</t>
        </is>
      </c>
      <c r="AX3338" t="inlineStr">
        <is>
          <t>991004099299702656</t>
        </is>
      </c>
      <c r="AY3338" t="inlineStr">
        <is>
          <t>2268735620002656</t>
        </is>
      </c>
      <c r="AZ3338" t="inlineStr">
        <is>
          <t>BOOK</t>
        </is>
      </c>
      <c r="BC3338" t="inlineStr">
        <is>
          <t>32285001226769</t>
        </is>
      </c>
      <c r="BD3338" t="inlineStr">
        <is>
          <t>893349609</t>
        </is>
      </c>
    </row>
    <row r="3339">
      <c r="A3339" t="inlineStr">
        <is>
          <t>No</t>
        </is>
      </c>
      <c r="B3339" t="inlineStr">
        <is>
          <t>BX955.2 .C465 1983</t>
        </is>
      </c>
      <c r="C3339" t="inlineStr">
        <is>
          <t>0                      BX 0955200C  465         1983</t>
        </is>
      </c>
      <c r="D3339" t="inlineStr">
        <is>
          <t>Keepers of the keys : a history of the Popes from St. Peter to John Paul II / Nicolas Cheetham.</t>
        </is>
      </c>
      <c r="F3339" t="inlineStr">
        <is>
          <t>No</t>
        </is>
      </c>
      <c r="G3339" t="inlineStr">
        <is>
          <t>1</t>
        </is>
      </c>
      <c r="H3339" t="inlineStr">
        <is>
          <t>No</t>
        </is>
      </c>
      <c r="I3339" t="inlineStr">
        <is>
          <t>No</t>
        </is>
      </c>
      <c r="J3339" t="inlineStr">
        <is>
          <t>0</t>
        </is>
      </c>
      <c r="K3339" t="inlineStr">
        <is>
          <t>Cheetham, Nicolas, Sir, 1910-</t>
        </is>
      </c>
      <c r="L3339" t="inlineStr">
        <is>
          <t>New York : Scribner, 1983, c1982.</t>
        </is>
      </c>
      <c r="M3339" t="inlineStr">
        <is>
          <t>1983</t>
        </is>
      </c>
      <c r="O3339" t="inlineStr">
        <is>
          <t>eng</t>
        </is>
      </c>
      <c r="P3339" t="inlineStr">
        <is>
          <t>nyu</t>
        </is>
      </c>
      <c r="R3339" t="inlineStr">
        <is>
          <t xml:space="preserve">BX </t>
        </is>
      </c>
      <c r="S3339" t="n">
        <v>5</v>
      </c>
      <c r="T3339" t="n">
        <v>5</v>
      </c>
      <c r="U3339" t="inlineStr">
        <is>
          <t>2009-03-05</t>
        </is>
      </c>
      <c r="V3339" t="inlineStr">
        <is>
          <t>2009-03-05</t>
        </is>
      </c>
      <c r="W3339" t="inlineStr">
        <is>
          <t>1992-06-05</t>
        </is>
      </c>
      <c r="X3339" t="inlineStr">
        <is>
          <t>1992-06-05</t>
        </is>
      </c>
      <c r="Y3339" t="n">
        <v>1279</v>
      </c>
      <c r="Z3339" t="n">
        <v>1220</v>
      </c>
      <c r="AA3339" t="n">
        <v>1272</v>
      </c>
      <c r="AB3339" t="n">
        <v>9</v>
      </c>
      <c r="AC3339" t="n">
        <v>10</v>
      </c>
      <c r="AD3339" t="n">
        <v>43</v>
      </c>
      <c r="AE3339" t="n">
        <v>44</v>
      </c>
      <c r="AF3339" t="n">
        <v>18</v>
      </c>
      <c r="AG3339" t="n">
        <v>18</v>
      </c>
      <c r="AH3339" t="n">
        <v>10</v>
      </c>
      <c r="AI3339" t="n">
        <v>10</v>
      </c>
      <c r="AJ3339" t="n">
        <v>21</v>
      </c>
      <c r="AK3339" t="n">
        <v>21</v>
      </c>
      <c r="AL3339" t="n">
        <v>5</v>
      </c>
      <c r="AM3339" t="n">
        <v>6</v>
      </c>
      <c r="AN3339" t="n">
        <v>0</v>
      </c>
      <c r="AO3339" t="n">
        <v>0</v>
      </c>
      <c r="AP3339" t="inlineStr">
        <is>
          <t>No</t>
        </is>
      </c>
      <c r="AQ3339" t="inlineStr">
        <is>
          <t>Yes</t>
        </is>
      </c>
      <c r="AR3339">
        <f>HYPERLINK("http://catalog.hathitrust.org/Record/000118109","HathiTrust Record")</f>
        <v/>
      </c>
      <c r="AS3339">
        <f>HYPERLINK("https://creighton-primo.hosted.exlibrisgroup.com/primo-explore/search?tab=default_tab&amp;search_scope=EVERYTHING&amp;vid=01CRU&amp;lang=en_US&amp;offset=0&amp;query=any,contains,991000078809702656","Catalog Record")</f>
        <v/>
      </c>
      <c r="AT3339">
        <f>HYPERLINK("http://www.worldcat.org/oclc/8826208","WorldCat Record")</f>
        <v/>
      </c>
      <c r="AU3339" t="inlineStr">
        <is>
          <t>9094258848:eng</t>
        </is>
      </c>
      <c r="AV3339" t="inlineStr">
        <is>
          <t>8826208</t>
        </is>
      </c>
      <c r="AW3339" t="inlineStr">
        <is>
          <t>991000078809702656</t>
        </is>
      </c>
      <c r="AX3339" t="inlineStr">
        <is>
          <t>991000078809702656</t>
        </is>
      </c>
      <c r="AY3339" t="inlineStr">
        <is>
          <t>2265335180002656</t>
        </is>
      </c>
      <c r="AZ3339" t="inlineStr">
        <is>
          <t>BOOK</t>
        </is>
      </c>
      <c r="BB3339" t="inlineStr">
        <is>
          <t>9780684178639</t>
        </is>
      </c>
      <c r="BC3339" t="inlineStr">
        <is>
          <t>32285001226793</t>
        </is>
      </c>
      <c r="BD3339" t="inlineStr">
        <is>
          <t>893242960</t>
        </is>
      </c>
    </row>
    <row r="3340">
      <c r="A3340" t="inlineStr">
        <is>
          <t>No</t>
        </is>
      </c>
      <c r="B3340" t="inlineStr">
        <is>
          <t>BX955.2 .G63 1964</t>
        </is>
      </c>
      <c r="C3340" t="inlineStr">
        <is>
          <t>0                      BX 0955200G  63          1964</t>
        </is>
      </c>
      <c r="D3340" t="inlineStr">
        <is>
          <t>The Chair of Peter : a history of the papacy / Friedrich Gontard. Translated from the German by A. J. and E. F. Peeler.</t>
        </is>
      </c>
      <c r="F3340" t="inlineStr">
        <is>
          <t>No</t>
        </is>
      </c>
      <c r="G3340" t="inlineStr">
        <is>
          <t>1</t>
        </is>
      </c>
      <c r="H3340" t="inlineStr">
        <is>
          <t>No</t>
        </is>
      </c>
      <c r="I3340" t="inlineStr">
        <is>
          <t>No</t>
        </is>
      </c>
      <c r="J3340" t="inlineStr">
        <is>
          <t>0</t>
        </is>
      </c>
      <c r="K3340" t="inlineStr">
        <is>
          <t>Gontard, Friedrich.</t>
        </is>
      </c>
      <c r="L3340" t="inlineStr">
        <is>
          <t>New York : Holt, Rinehart and Winston, [1964]</t>
        </is>
      </c>
      <c r="M3340" t="inlineStr">
        <is>
          <t>1964</t>
        </is>
      </c>
      <c r="N3340" t="inlineStr">
        <is>
          <t>[1st ed.]</t>
        </is>
      </c>
      <c r="O3340" t="inlineStr">
        <is>
          <t>eng</t>
        </is>
      </c>
      <c r="P3340" t="inlineStr">
        <is>
          <t>nyu</t>
        </is>
      </c>
      <c r="R3340" t="inlineStr">
        <is>
          <t xml:space="preserve">BX </t>
        </is>
      </c>
      <c r="S3340" t="n">
        <v>7</v>
      </c>
      <c r="T3340" t="n">
        <v>7</v>
      </c>
      <c r="U3340" t="inlineStr">
        <is>
          <t>2007-11-19</t>
        </is>
      </c>
      <c r="V3340" t="inlineStr">
        <is>
          <t>2007-11-19</t>
        </is>
      </c>
      <c r="W3340" t="inlineStr">
        <is>
          <t>1992-06-05</t>
        </is>
      </c>
      <c r="X3340" t="inlineStr">
        <is>
          <t>1992-06-05</t>
        </is>
      </c>
      <c r="Y3340" t="n">
        <v>747</v>
      </c>
      <c r="Z3340" t="n">
        <v>699</v>
      </c>
      <c r="AA3340" t="n">
        <v>709</v>
      </c>
      <c r="AB3340" t="n">
        <v>8</v>
      </c>
      <c r="AC3340" t="n">
        <v>8</v>
      </c>
      <c r="AD3340" t="n">
        <v>36</v>
      </c>
      <c r="AE3340" t="n">
        <v>36</v>
      </c>
      <c r="AF3340" t="n">
        <v>14</v>
      </c>
      <c r="AG3340" t="n">
        <v>14</v>
      </c>
      <c r="AH3340" t="n">
        <v>9</v>
      </c>
      <c r="AI3340" t="n">
        <v>9</v>
      </c>
      <c r="AJ3340" t="n">
        <v>17</v>
      </c>
      <c r="AK3340" t="n">
        <v>17</v>
      </c>
      <c r="AL3340" t="n">
        <v>6</v>
      </c>
      <c r="AM3340" t="n">
        <v>6</v>
      </c>
      <c r="AN3340" t="n">
        <v>0</v>
      </c>
      <c r="AO3340" t="n">
        <v>0</v>
      </c>
      <c r="AP3340" t="inlineStr">
        <is>
          <t>No</t>
        </is>
      </c>
      <c r="AQ3340" t="inlineStr">
        <is>
          <t>Yes</t>
        </is>
      </c>
      <c r="AR3340">
        <f>HYPERLINK("http://catalog.hathitrust.org/Record/001415769","HathiTrust Record")</f>
        <v/>
      </c>
      <c r="AS3340">
        <f>HYPERLINK("https://creighton-primo.hosted.exlibrisgroup.com/primo-explore/search?tab=default_tab&amp;search_scope=EVERYTHING&amp;vid=01CRU&amp;lang=en_US&amp;offset=0&amp;query=any,contains,991002646619702656","Catalog Record")</f>
        <v/>
      </c>
      <c r="AT3340">
        <f>HYPERLINK("http://www.worldcat.org/oclc/385991","WorldCat Record")</f>
        <v/>
      </c>
      <c r="AU3340" t="inlineStr">
        <is>
          <t>1150996917:eng</t>
        </is>
      </c>
      <c r="AV3340" t="inlineStr">
        <is>
          <t>385991</t>
        </is>
      </c>
      <c r="AW3340" t="inlineStr">
        <is>
          <t>991002646619702656</t>
        </is>
      </c>
      <c r="AX3340" t="inlineStr">
        <is>
          <t>991002646619702656</t>
        </is>
      </c>
      <c r="AY3340" t="inlineStr">
        <is>
          <t>2259088370002656</t>
        </is>
      </c>
      <c r="AZ3340" t="inlineStr">
        <is>
          <t>BOOK</t>
        </is>
      </c>
      <c r="BC3340" t="inlineStr">
        <is>
          <t>32285001226801</t>
        </is>
      </c>
      <c r="BD3340" t="inlineStr">
        <is>
          <t>893347744</t>
        </is>
      </c>
    </row>
    <row r="3341">
      <c r="A3341" t="inlineStr">
        <is>
          <t>No</t>
        </is>
      </c>
      <c r="B3341" t="inlineStr">
        <is>
          <t>BX955.2 .H56 1984</t>
        </is>
      </c>
      <c r="C3341" t="inlineStr">
        <is>
          <t>0                      BX 0955200H  56          1984</t>
        </is>
      </c>
      <c r="D3341" t="inlineStr">
        <is>
          <t>O Vatican! : a slightly wicked view of the Holy See / Paul Hofmann.</t>
        </is>
      </c>
      <c r="F3341" t="inlineStr">
        <is>
          <t>No</t>
        </is>
      </c>
      <c r="G3341" t="inlineStr">
        <is>
          <t>1</t>
        </is>
      </c>
      <c r="H3341" t="inlineStr">
        <is>
          <t>No</t>
        </is>
      </c>
      <c r="I3341" t="inlineStr">
        <is>
          <t>No</t>
        </is>
      </c>
      <c r="J3341" t="inlineStr">
        <is>
          <t>0</t>
        </is>
      </c>
      <c r="K3341" t="inlineStr">
        <is>
          <t>Hofmann, Paul, 1912-2008.</t>
        </is>
      </c>
      <c r="L3341" t="inlineStr">
        <is>
          <t>New York : Congdon &amp; Weed : Distributed by St. Martin's Press, c1984.</t>
        </is>
      </c>
      <c r="M3341" t="inlineStr">
        <is>
          <t>1983</t>
        </is>
      </c>
      <c r="O3341" t="inlineStr">
        <is>
          <t>eng</t>
        </is>
      </c>
      <c r="P3341" t="inlineStr">
        <is>
          <t>nyu</t>
        </is>
      </c>
      <c r="R3341" t="inlineStr">
        <is>
          <t xml:space="preserve">BX </t>
        </is>
      </c>
      <c r="S3341" t="n">
        <v>4</v>
      </c>
      <c r="T3341" t="n">
        <v>4</v>
      </c>
      <c r="U3341" t="inlineStr">
        <is>
          <t>1995-09-25</t>
        </is>
      </c>
      <c r="V3341" t="inlineStr">
        <is>
          <t>1995-09-25</t>
        </is>
      </c>
      <c r="W3341" t="inlineStr">
        <is>
          <t>1992-06-05</t>
        </is>
      </c>
      <c r="X3341" t="inlineStr">
        <is>
          <t>1992-06-05</t>
        </is>
      </c>
      <c r="Y3341" t="n">
        <v>419</v>
      </c>
      <c r="Z3341" t="n">
        <v>382</v>
      </c>
      <c r="AA3341" t="n">
        <v>382</v>
      </c>
      <c r="AB3341" t="n">
        <v>5</v>
      </c>
      <c r="AC3341" t="n">
        <v>5</v>
      </c>
      <c r="AD3341" t="n">
        <v>17</v>
      </c>
      <c r="AE3341" t="n">
        <v>17</v>
      </c>
      <c r="AF3341" t="n">
        <v>4</v>
      </c>
      <c r="AG3341" t="n">
        <v>4</v>
      </c>
      <c r="AH3341" t="n">
        <v>4</v>
      </c>
      <c r="AI3341" t="n">
        <v>4</v>
      </c>
      <c r="AJ3341" t="n">
        <v>14</v>
      </c>
      <c r="AK3341" t="n">
        <v>14</v>
      </c>
      <c r="AL3341" t="n">
        <v>0</v>
      </c>
      <c r="AM3341" t="n">
        <v>0</v>
      </c>
      <c r="AN3341" t="n">
        <v>0</v>
      </c>
      <c r="AO3341" t="n">
        <v>0</v>
      </c>
      <c r="AP3341" t="inlineStr">
        <is>
          <t>No</t>
        </is>
      </c>
      <c r="AQ3341" t="inlineStr">
        <is>
          <t>No</t>
        </is>
      </c>
      <c r="AS3341">
        <f>HYPERLINK("https://creighton-primo.hosted.exlibrisgroup.com/primo-explore/search?tab=default_tab&amp;search_scope=EVERYTHING&amp;vid=01CRU&amp;lang=en_US&amp;offset=0&amp;query=any,contains,991000226089702656","Catalog Record")</f>
        <v/>
      </c>
      <c r="AT3341">
        <f>HYPERLINK("http://www.worldcat.org/oclc/9619987","WorldCat Record")</f>
        <v/>
      </c>
      <c r="AU3341" t="inlineStr">
        <is>
          <t>4417363221:eng</t>
        </is>
      </c>
      <c r="AV3341" t="inlineStr">
        <is>
          <t>9619987</t>
        </is>
      </c>
      <c r="AW3341" t="inlineStr">
        <is>
          <t>991000226089702656</t>
        </is>
      </c>
      <c r="AX3341" t="inlineStr">
        <is>
          <t>991000226089702656</t>
        </is>
      </c>
      <c r="AY3341" t="inlineStr">
        <is>
          <t>2255521790002656</t>
        </is>
      </c>
      <c r="AZ3341" t="inlineStr">
        <is>
          <t>BOOK</t>
        </is>
      </c>
      <c r="BB3341" t="inlineStr">
        <is>
          <t>9780312925970</t>
        </is>
      </c>
      <c r="BC3341" t="inlineStr">
        <is>
          <t>32285001226819</t>
        </is>
      </c>
      <c r="BD3341" t="inlineStr">
        <is>
          <t>893419312</t>
        </is>
      </c>
    </row>
    <row r="3342">
      <c r="A3342" t="inlineStr">
        <is>
          <t>No</t>
        </is>
      </c>
      <c r="B3342" t="inlineStr">
        <is>
          <t>BX955.2 .H6</t>
        </is>
      </c>
      <c r="C3342" t="inlineStr">
        <is>
          <t>0                      BX 0955200H  6</t>
        </is>
      </c>
      <c r="D3342" t="inlineStr">
        <is>
          <t>The triumph of the Holy See : a short history of the papacy in the nineteenth century / J. Derek Holmes.</t>
        </is>
      </c>
      <c r="F3342" t="inlineStr">
        <is>
          <t>No</t>
        </is>
      </c>
      <c r="G3342" t="inlineStr">
        <is>
          <t>1</t>
        </is>
      </c>
      <c r="H3342" t="inlineStr">
        <is>
          <t>No</t>
        </is>
      </c>
      <c r="I3342" t="inlineStr">
        <is>
          <t>No</t>
        </is>
      </c>
      <c r="J3342" t="inlineStr">
        <is>
          <t>0</t>
        </is>
      </c>
      <c r="K3342" t="inlineStr">
        <is>
          <t>Holmes, J. Derek.</t>
        </is>
      </c>
      <c r="L3342" t="inlineStr">
        <is>
          <t>London : Burns &amp; Oates ; Shepherdstown : Patmos, 1978.</t>
        </is>
      </c>
      <c r="M3342" t="inlineStr">
        <is>
          <t>1978</t>
        </is>
      </c>
      <c r="O3342" t="inlineStr">
        <is>
          <t>eng</t>
        </is>
      </c>
      <c r="P3342" t="inlineStr">
        <is>
          <t>enk</t>
        </is>
      </c>
      <c r="R3342" t="inlineStr">
        <is>
          <t xml:space="preserve">BX </t>
        </is>
      </c>
      <c r="S3342" t="n">
        <v>3</v>
      </c>
      <c r="T3342" t="n">
        <v>3</v>
      </c>
      <c r="U3342" t="inlineStr">
        <is>
          <t>1997-12-17</t>
        </is>
      </c>
      <c r="V3342" t="inlineStr">
        <is>
          <t>1997-12-17</t>
        </is>
      </c>
      <c r="W3342" t="inlineStr">
        <is>
          <t>1992-06-05</t>
        </is>
      </c>
      <c r="X3342" t="inlineStr">
        <is>
          <t>1992-06-05</t>
        </is>
      </c>
      <c r="Y3342" t="n">
        <v>537</v>
      </c>
      <c r="Z3342" t="n">
        <v>427</v>
      </c>
      <c r="AA3342" t="n">
        <v>428</v>
      </c>
      <c r="AB3342" t="n">
        <v>4</v>
      </c>
      <c r="AC3342" t="n">
        <v>4</v>
      </c>
      <c r="AD3342" t="n">
        <v>37</v>
      </c>
      <c r="AE3342" t="n">
        <v>37</v>
      </c>
      <c r="AF3342" t="n">
        <v>12</v>
      </c>
      <c r="AG3342" t="n">
        <v>12</v>
      </c>
      <c r="AH3342" t="n">
        <v>10</v>
      </c>
      <c r="AI3342" t="n">
        <v>10</v>
      </c>
      <c r="AJ3342" t="n">
        <v>25</v>
      </c>
      <c r="AK3342" t="n">
        <v>25</v>
      </c>
      <c r="AL3342" t="n">
        <v>3</v>
      </c>
      <c r="AM3342" t="n">
        <v>3</v>
      </c>
      <c r="AN3342" t="n">
        <v>0</v>
      </c>
      <c r="AO3342" t="n">
        <v>0</v>
      </c>
      <c r="AP3342" t="inlineStr">
        <is>
          <t>No</t>
        </is>
      </c>
      <c r="AQ3342" t="inlineStr">
        <is>
          <t>Yes</t>
        </is>
      </c>
      <c r="AR3342">
        <f>HYPERLINK("http://catalog.hathitrust.org/Record/000688865","HathiTrust Record")</f>
        <v/>
      </c>
      <c r="AS3342">
        <f>HYPERLINK("https://creighton-primo.hosted.exlibrisgroup.com/primo-explore/search?tab=default_tab&amp;search_scope=EVERYTHING&amp;vid=01CRU&amp;lang=en_US&amp;offset=0&amp;query=any,contains,991004704289702656","Catalog Record")</f>
        <v/>
      </c>
      <c r="AT3342">
        <f>HYPERLINK("http://www.worldcat.org/oclc/4697117","WorldCat Record")</f>
        <v/>
      </c>
      <c r="AU3342" t="inlineStr">
        <is>
          <t>996343654:eng</t>
        </is>
      </c>
      <c r="AV3342" t="inlineStr">
        <is>
          <t>4697117</t>
        </is>
      </c>
      <c r="AW3342" t="inlineStr">
        <is>
          <t>991004704289702656</t>
        </is>
      </c>
      <c r="AX3342" t="inlineStr">
        <is>
          <t>991004704289702656</t>
        </is>
      </c>
      <c r="AY3342" t="inlineStr">
        <is>
          <t>2257036850002656</t>
        </is>
      </c>
      <c r="AZ3342" t="inlineStr">
        <is>
          <t>BOOK</t>
        </is>
      </c>
      <c r="BB3342" t="inlineStr">
        <is>
          <t>9780860120674</t>
        </is>
      </c>
      <c r="BC3342" t="inlineStr">
        <is>
          <t>32285001226827</t>
        </is>
      </c>
      <c r="BD3342" t="inlineStr">
        <is>
          <t>893247878</t>
        </is>
      </c>
    </row>
    <row r="3343">
      <c r="A3343" t="inlineStr">
        <is>
          <t>No</t>
        </is>
      </c>
      <c r="B3343" t="inlineStr">
        <is>
          <t>BX955.2 .H65 1964</t>
        </is>
      </c>
      <c r="C3343" t="inlineStr">
        <is>
          <t>0                      BX 0955200H  65          1964</t>
        </is>
      </c>
      <c r="D3343" t="inlineStr">
        <is>
          <t>The Papacy : an illustrated history from St. Peter to Paul VI / edited by Christopher Hollis.</t>
        </is>
      </c>
      <c r="F3343" t="inlineStr">
        <is>
          <t>No</t>
        </is>
      </c>
      <c r="G3343" t="inlineStr">
        <is>
          <t>1</t>
        </is>
      </c>
      <c r="H3343" t="inlineStr">
        <is>
          <t>No</t>
        </is>
      </c>
      <c r="I3343" t="inlineStr">
        <is>
          <t>No</t>
        </is>
      </c>
      <c r="J3343" t="inlineStr">
        <is>
          <t>0</t>
        </is>
      </c>
      <c r="K3343" t="inlineStr">
        <is>
          <t>Hollis, Christopher, 1902-1977, editor.</t>
        </is>
      </c>
      <c r="L3343" t="inlineStr">
        <is>
          <t>New York : Macmillan, [1964]</t>
        </is>
      </c>
      <c r="M3343" t="inlineStr">
        <is>
          <t>1964</t>
        </is>
      </c>
      <c r="O3343" t="inlineStr">
        <is>
          <t>eng</t>
        </is>
      </c>
      <c r="P3343" t="inlineStr">
        <is>
          <t>nyu</t>
        </is>
      </c>
      <c r="R3343" t="inlineStr">
        <is>
          <t xml:space="preserve">BX </t>
        </is>
      </c>
      <c r="S3343" t="n">
        <v>3</v>
      </c>
      <c r="T3343" t="n">
        <v>3</v>
      </c>
      <c r="U3343" t="inlineStr">
        <is>
          <t>2007-04-10</t>
        </is>
      </c>
      <c r="V3343" t="inlineStr">
        <is>
          <t>2007-04-10</t>
        </is>
      </c>
      <c r="W3343" t="inlineStr">
        <is>
          <t>1992-06-05</t>
        </is>
      </c>
      <c r="X3343" t="inlineStr">
        <is>
          <t>1992-06-05</t>
        </is>
      </c>
      <c r="Y3343" t="n">
        <v>647</v>
      </c>
      <c r="Z3343" t="n">
        <v>616</v>
      </c>
      <c r="AA3343" t="n">
        <v>639</v>
      </c>
      <c r="AB3343" t="n">
        <v>4</v>
      </c>
      <c r="AC3343" t="n">
        <v>4</v>
      </c>
      <c r="AD3343" t="n">
        <v>28</v>
      </c>
      <c r="AE3343" t="n">
        <v>29</v>
      </c>
      <c r="AF3343" t="n">
        <v>7</v>
      </c>
      <c r="AG3343" t="n">
        <v>8</v>
      </c>
      <c r="AH3343" t="n">
        <v>9</v>
      </c>
      <c r="AI3343" t="n">
        <v>9</v>
      </c>
      <c r="AJ3343" t="n">
        <v>20</v>
      </c>
      <c r="AK3343" t="n">
        <v>20</v>
      </c>
      <c r="AL3343" t="n">
        <v>1</v>
      </c>
      <c r="AM3343" t="n">
        <v>1</v>
      </c>
      <c r="AN3343" t="n">
        <v>0</v>
      </c>
      <c r="AO3343" t="n">
        <v>0</v>
      </c>
      <c r="AP3343" t="inlineStr">
        <is>
          <t>No</t>
        </is>
      </c>
      <c r="AQ3343" t="inlineStr">
        <is>
          <t>No</t>
        </is>
      </c>
      <c r="AS3343">
        <f>HYPERLINK("https://creighton-primo.hosted.exlibrisgroup.com/primo-explore/search?tab=default_tab&amp;search_scope=EVERYTHING&amp;vid=01CRU&amp;lang=en_US&amp;offset=0&amp;query=any,contains,991003510259702656","Catalog Record")</f>
        <v/>
      </c>
      <c r="AT3343">
        <f>HYPERLINK("http://www.worldcat.org/oclc/1064622","WorldCat Record")</f>
        <v/>
      </c>
      <c r="AU3343" t="inlineStr">
        <is>
          <t>157675278:eng</t>
        </is>
      </c>
      <c r="AV3343" t="inlineStr">
        <is>
          <t>1064622</t>
        </is>
      </c>
      <c r="AW3343" t="inlineStr">
        <is>
          <t>991003510259702656</t>
        </is>
      </c>
      <c r="AX3343" t="inlineStr">
        <is>
          <t>991003510259702656</t>
        </is>
      </c>
      <c r="AY3343" t="inlineStr">
        <is>
          <t>2257596660002656</t>
        </is>
      </c>
      <c r="AZ3343" t="inlineStr">
        <is>
          <t>BOOK</t>
        </is>
      </c>
      <c r="BC3343" t="inlineStr">
        <is>
          <t>32285001226835</t>
        </is>
      </c>
      <c r="BD3343" t="inlineStr">
        <is>
          <t>893324134</t>
        </is>
      </c>
    </row>
    <row r="3344">
      <c r="A3344" t="inlineStr">
        <is>
          <t>No</t>
        </is>
      </c>
      <c r="B3344" t="inlineStr">
        <is>
          <t>BX955.2 .J58 1964</t>
        </is>
      </c>
      <c r="C3344" t="inlineStr">
        <is>
          <t>0                      BX 0955200J  58          1964</t>
        </is>
      </c>
      <c r="D3344" t="inlineStr">
        <is>
          <t>The Popes : a concise biographical history / edited by Eric John. Historical surveys by Douglas Woodruff. Biographical articles by J.M.W. Bean [and others.</t>
        </is>
      </c>
      <c r="F3344" t="inlineStr">
        <is>
          <t>No</t>
        </is>
      </c>
      <c r="G3344" t="inlineStr">
        <is>
          <t>1</t>
        </is>
      </c>
      <c r="H3344" t="inlineStr">
        <is>
          <t>No</t>
        </is>
      </c>
      <c r="I3344" t="inlineStr">
        <is>
          <t>No</t>
        </is>
      </c>
      <c r="J3344" t="inlineStr">
        <is>
          <t>0</t>
        </is>
      </c>
      <c r="K3344" t="inlineStr">
        <is>
          <t>John, Eric editor.</t>
        </is>
      </c>
      <c r="L3344" t="inlineStr">
        <is>
          <t>New York : Hawthorn Books, [1964]</t>
        </is>
      </c>
      <c r="M3344" t="inlineStr">
        <is>
          <t>1964</t>
        </is>
      </c>
      <c r="N3344" t="inlineStr">
        <is>
          <t>1st ed.]</t>
        </is>
      </c>
      <c r="O3344" t="inlineStr">
        <is>
          <t>eng</t>
        </is>
      </c>
      <c r="P3344" t="inlineStr">
        <is>
          <t>nyu</t>
        </is>
      </c>
      <c r="R3344" t="inlineStr">
        <is>
          <t xml:space="preserve">BX </t>
        </is>
      </c>
      <c r="S3344" t="n">
        <v>8</v>
      </c>
      <c r="T3344" t="n">
        <v>8</v>
      </c>
      <c r="U3344" t="inlineStr">
        <is>
          <t>2009-04-18</t>
        </is>
      </c>
      <c r="V3344" t="inlineStr">
        <is>
          <t>2009-04-18</t>
        </is>
      </c>
      <c r="W3344" t="inlineStr">
        <is>
          <t>1992-06-05</t>
        </is>
      </c>
      <c r="X3344" t="inlineStr">
        <is>
          <t>1992-06-05</t>
        </is>
      </c>
      <c r="Y3344" t="n">
        <v>834</v>
      </c>
      <c r="Z3344" t="n">
        <v>780</v>
      </c>
      <c r="AA3344" t="n">
        <v>820</v>
      </c>
      <c r="AB3344" t="n">
        <v>3</v>
      </c>
      <c r="AC3344" t="n">
        <v>4</v>
      </c>
      <c r="AD3344" t="n">
        <v>27</v>
      </c>
      <c r="AE3344" t="n">
        <v>27</v>
      </c>
      <c r="AF3344" t="n">
        <v>8</v>
      </c>
      <c r="AG3344" t="n">
        <v>8</v>
      </c>
      <c r="AH3344" t="n">
        <v>7</v>
      </c>
      <c r="AI3344" t="n">
        <v>7</v>
      </c>
      <c r="AJ3344" t="n">
        <v>19</v>
      </c>
      <c r="AK3344" t="n">
        <v>19</v>
      </c>
      <c r="AL3344" t="n">
        <v>1</v>
      </c>
      <c r="AM3344" t="n">
        <v>1</v>
      </c>
      <c r="AN3344" t="n">
        <v>0</v>
      </c>
      <c r="AO3344" t="n">
        <v>0</v>
      </c>
      <c r="AP3344" t="inlineStr">
        <is>
          <t>No</t>
        </is>
      </c>
      <c r="AQ3344" t="inlineStr">
        <is>
          <t>No</t>
        </is>
      </c>
      <c r="AS3344">
        <f>HYPERLINK("https://creighton-primo.hosted.exlibrisgroup.com/primo-explore/search?tab=default_tab&amp;search_scope=EVERYTHING&amp;vid=01CRU&amp;lang=en_US&amp;offset=0&amp;query=any,contains,991002008539702656","Catalog Record")</f>
        <v/>
      </c>
      <c r="AT3344">
        <f>HYPERLINK("http://www.worldcat.org/oclc/258720","WorldCat Record")</f>
        <v/>
      </c>
      <c r="AU3344" t="inlineStr">
        <is>
          <t>836703114:eng</t>
        </is>
      </c>
      <c r="AV3344" t="inlineStr">
        <is>
          <t>258720</t>
        </is>
      </c>
      <c r="AW3344" t="inlineStr">
        <is>
          <t>991002008539702656</t>
        </is>
      </c>
      <c r="AX3344" t="inlineStr">
        <is>
          <t>991002008539702656</t>
        </is>
      </c>
      <c r="AY3344" t="inlineStr">
        <is>
          <t>2271457370002656</t>
        </is>
      </c>
      <c r="AZ3344" t="inlineStr">
        <is>
          <t>BOOK</t>
        </is>
      </c>
      <c r="BC3344" t="inlineStr">
        <is>
          <t>32285001226850</t>
        </is>
      </c>
      <c r="BD3344" t="inlineStr">
        <is>
          <t>893352110</t>
        </is>
      </c>
    </row>
    <row r="3345">
      <c r="A3345" t="inlineStr">
        <is>
          <t>No</t>
        </is>
      </c>
      <c r="B3345" t="inlineStr">
        <is>
          <t>BX955.2 .L43 1989</t>
        </is>
      </c>
      <c r="C3345" t="inlineStr">
        <is>
          <t>0                      BX 0955200L  43          1989</t>
        </is>
      </c>
      <c r="D3345" t="inlineStr">
        <is>
          <t>The book of pontiffs (liber pontificalis) : the ancient biographies of the first ninety Roman bishops to AD 715 / translated with an introduction by Raymond Davis.</t>
        </is>
      </c>
      <c r="F3345" t="inlineStr">
        <is>
          <t>No</t>
        </is>
      </c>
      <c r="G3345" t="inlineStr">
        <is>
          <t>1</t>
        </is>
      </c>
      <c r="H3345" t="inlineStr">
        <is>
          <t>No</t>
        </is>
      </c>
      <c r="I3345" t="inlineStr">
        <is>
          <t>No</t>
        </is>
      </c>
      <c r="J3345" t="inlineStr">
        <is>
          <t>0</t>
        </is>
      </c>
      <c r="K3345" t="inlineStr">
        <is>
          <t>Liber Pontificalis. English.</t>
        </is>
      </c>
      <c r="L3345" t="inlineStr">
        <is>
          <t>Liverpool, Eng. : Liverpool University Press, 1989.</t>
        </is>
      </c>
      <c r="M3345" t="inlineStr">
        <is>
          <t>1989</t>
        </is>
      </c>
      <c r="O3345" t="inlineStr">
        <is>
          <t>eng</t>
        </is>
      </c>
      <c r="P3345" t="inlineStr">
        <is>
          <t>enk</t>
        </is>
      </c>
      <c r="Q3345" t="inlineStr">
        <is>
          <t>Translated texts for historians. Latin series ; 5</t>
        </is>
      </c>
      <c r="R3345" t="inlineStr">
        <is>
          <t xml:space="preserve">BX </t>
        </is>
      </c>
      <c r="S3345" t="n">
        <v>1</v>
      </c>
      <c r="T3345" t="n">
        <v>1</v>
      </c>
      <c r="U3345" t="inlineStr">
        <is>
          <t>2003-02-17</t>
        </is>
      </c>
      <c r="V3345" t="inlineStr">
        <is>
          <t>2003-02-17</t>
        </is>
      </c>
      <c r="W3345" t="inlineStr">
        <is>
          <t>1991-03-14</t>
        </is>
      </c>
      <c r="X3345" t="inlineStr">
        <is>
          <t>1991-03-14</t>
        </is>
      </c>
      <c r="Y3345" t="n">
        <v>316</v>
      </c>
      <c r="Z3345" t="n">
        <v>264</v>
      </c>
      <c r="AA3345" t="n">
        <v>264</v>
      </c>
      <c r="AB3345" t="n">
        <v>3</v>
      </c>
      <c r="AC3345" t="n">
        <v>3</v>
      </c>
      <c r="AD3345" t="n">
        <v>24</v>
      </c>
      <c r="AE3345" t="n">
        <v>24</v>
      </c>
      <c r="AF3345" t="n">
        <v>9</v>
      </c>
      <c r="AG3345" t="n">
        <v>9</v>
      </c>
      <c r="AH3345" t="n">
        <v>5</v>
      </c>
      <c r="AI3345" t="n">
        <v>5</v>
      </c>
      <c r="AJ3345" t="n">
        <v>14</v>
      </c>
      <c r="AK3345" t="n">
        <v>14</v>
      </c>
      <c r="AL3345" t="n">
        <v>2</v>
      </c>
      <c r="AM3345" t="n">
        <v>2</v>
      </c>
      <c r="AN3345" t="n">
        <v>1</v>
      </c>
      <c r="AO3345" t="n">
        <v>1</v>
      </c>
      <c r="AP3345" t="inlineStr">
        <is>
          <t>No</t>
        </is>
      </c>
      <c r="AQ3345" t="inlineStr">
        <is>
          <t>No</t>
        </is>
      </c>
      <c r="AS3345">
        <f>HYPERLINK("https://creighton-primo.hosted.exlibrisgroup.com/primo-explore/search?tab=default_tab&amp;search_scope=EVERYTHING&amp;vid=01CRU&amp;lang=en_US&amp;offset=0&amp;query=any,contains,991001497679702656","Catalog Record")</f>
        <v/>
      </c>
      <c r="AT3345">
        <f>HYPERLINK("http://www.worldcat.org/oclc/19777622","WorldCat Record")</f>
        <v/>
      </c>
      <c r="AU3345" t="inlineStr">
        <is>
          <t>10387281833:eng</t>
        </is>
      </c>
      <c r="AV3345" t="inlineStr">
        <is>
          <t>19777622</t>
        </is>
      </c>
      <c r="AW3345" t="inlineStr">
        <is>
          <t>991001497679702656</t>
        </is>
      </c>
      <c r="AX3345" t="inlineStr">
        <is>
          <t>991001497679702656</t>
        </is>
      </c>
      <c r="AY3345" t="inlineStr">
        <is>
          <t>2266221080002656</t>
        </is>
      </c>
      <c r="AZ3345" t="inlineStr">
        <is>
          <t>BOOK</t>
        </is>
      </c>
      <c r="BB3345" t="inlineStr">
        <is>
          <t>9780853232162</t>
        </is>
      </c>
      <c r="BC3345" t="inlineStr">
        <is>
          <t>32285000512201</t>
        </is>
      </c>
      <c r="BD3345" t="inlineStr">
        <is>
          <t>893715488</t>
        </is>
      </c>
    </row>
    <row r="3346">
      <c r="A3346" t="inlineStr">
        <is>
          <t>No</t>
        </is>
      </c>
      <c r="B3346" t="inlineStr">
        <is>
          <t>BX955.2 .O95</t>
        </is>
      </c>
      <c r="C3346" t="inlineStr">
        <is>
          <t>0                      BX 0955200O  95</t>
        </is>
      </c>
      <c r="D3346" t="inlineStr">
        <is>
          <t>Our name is Peter : an anthology of key teachings of Pope Paul VI / compiled by Sean O'Reilly.</t>
        </is>
      </c>
      <c r="F3346" t="inlineStr">
        <is>
          <t>No</t>
        </is>
      </c>
      <c r="G3346" t="inlineStr">
        <is>
          <t>1</t>
        </is>
      </c>
      <c r="H3346" t="inlineStr">
        <is>
          <t>No</t>
        </is>
      </c>
      <c r="I3346" t="inlineStr">
        <is>
          <t>No</t>
        </is>
      </c>
      <c r="J3346" t="inlineStr">
        <is>
          <t>0</t>
        </is>
      </c>
      <c r="L3346" t="inlineStr">
        <is>
          <t>Chicago : Franciscan Herald Press, c1977.</t>
        </is>
      </c>
      <c r="M3346" t="inlineStr">
        <is>
          <t>1977</t>
        </is>
      </c>
      <c r="O3346" t="inlineStr">
        <is>
          <t>eng</t>
        </is>
      </c>
      <c r="P3346" t="inlineStr">
        <is>
          <t>ilu</t>
        </is>
      </c>
      <c r="R3346" t="inlineStr">
        <is>
          <t xml:space="preserve">BX </t>
        </is>
      </c>
      <c r="S3346" t="n">
        <v>2</v>
      </c>
      <c r="T3346" t="n">
        <v>2</v>
      </c>
      <c r="U3346" t="inlineStr">
        <is>
          <t>1996-01-11</t>
        </is>
      </c>
      <c r="V3346" t="inlineStr">
        <is>
          <t>1996-01-11</t>
        </is>
      </c>
      <c r="W3346" t="inlineStr">
        <is>
          <t>1992-06-05</t>
        </is>
      </c>
      <c r="X3346" t="inlineStr">
        <is>
          <t>1992-06-05</t>
        </is>
      </c>
      <c r="Y3346" t="n">
        <v>102</v>
      </c>
      <c r="Z3346" t="n">
        <v>93</v>
      </c>
      <c r="AA3346" t="n">
        <v>96</v>
      </c>
      <c r="AB3346" t="n">
        <v>2</v>
      </c>
      <c r="AC3346" t="n">
        <v>2</v>
      </c>
      <c r="AD3346" t="n">
        <v>15</v>
      </c>
      <c r="AE3346" t="n">
        <v>15</v>
      </c>
      <c r="AF3346" t="n">
        <v>1</v>
      </c>
      <c r="AG3346" t="n">
        <v>1</v>
      </c>
      <c r="AH3346" t="n">
        <v>4</v>
      </c>
      <c r="AI3346" t="n">
        <v>4</v>
      </c>
      <c r="AJ3346" t="n">
        <v>12</v>
      </c>
      <c r="AK3346" t="n">
        <v>12</v>
      </c>
      <c r="AL3346" t="n">
        <v>0</v>
      </c>
      <c r="AM3346" t="n">
        <v>0</v>
      </c>
      <c r="AN3346" t="n">
        <v>0</v>
      </c>
      <c r="AO3346" t="n">
        <v>0</v>
      </c>
      <c r="AP3346" t="inlineStr">
        <is>
          <t>No</t>
        </is>
      </c>
      <c r="AQ3346" t="inlineStr">
        <is>
          <t>Yes</t>
        </is>
      </c>
      <c r="AR3346">
        <f>HYPERLINK("http://catalog.hathitrust.org/Record/009801638","HathiTrust Record")</f>
        <v/>
      </c>
      <c r="AS3346">
        <f>HYPERLINK("https://creighton-primo.hosted.exlibrisgroup.com/primo-explore/search?tab=default_tab&amp;search_scope=EVERYTHING&amp;vid=01CRU&amp;lang=en_US&amp;offset=0&amp;query=any,contains,991004254409702656","Catalog Record")</f>
        <v/>
      </c>
      <c r="AT3346">
        <f>HYPERLINK("http://www.worldcat.org/oclc/2818723","WorldCat Record")</f>
        <v/>
      </c>
      <c r="AU3346" t="inlineStr">
        <is>
          <t>6234259:eng</t>
        </is>
      </c>
      <c r="AV3346" t="inlineStr">
        <is>
          <t>2818723</t>
        </is>
      </c>
      <c r="AW3346" t="inlineStr">
        <is>
          <t>991004254409702656</t>
        </is>
      </c>
      <c r="AX3346" t="inlineStr">
        <is>
          <t>991004254409702656</t>
        </is>
      </c>
      <c r="AY3346" t="inlineStr">
        <is>
          <t>2267776580002656</t>
        </is>
      </c>
      <c r="AZ3346" t="inlineStr">
        <is>
          <t>BOOK</t>
        </is>
      </c>
      <c r="BB3346" t="inlineStr">
        <is>
          <t>9780819906663</t>
        </is>
      </c>
      <c r="BC3346" t="inlineStr">
        <is>
          <t>32285001226868</t>
        </is>
      </c>
      <c r="BD3346" t="inlineStr">
        <is>
          <t>893506629</t>
        </is>
      </c>
    </row>
    <row r="3347">
      <c r="A3347" t="inlineStr">
        <is>
          <t>No</t>
        </is>
      </c>
      <c r="B3347" t="inlineStr">
        <is>
          <t>BX955.2 .P34 1998</t>
        </is>
      </c>
      <c r="C3347" t="inlineStr">
        <is>
          <t>0                      BX 0955200P  34          1998</t>
        </is>
      </c>
      <c r="D3347" t="inlineStr">
        <is>
          <t>The papacy and the people of God / edited by Gary MacEoin.</t>
        </is>
      </c>
      <c r="F3347" t="inlineStr">
        <is>
          <t>No</t>
        </is>
      </c>
      <c r="G3347" t="inlineStr">
        <is>
          <t>1</t>
        </is>
      </c>
      <c r="H3347" t="inlineStr">
        <is>
          <t>No</t>
        </is>
      </c>
      <c r="I3347" t="inlineStr">
        <is>
          <t>No</t>
        </is>
      </c>
      <c r="J3347" t="inlineStr">
        <is>
          <t>0</t>
        </is>
      </c>
      <c r="L3347" t="inlineStr">
        <is>
          <t>Maryknoll, N.Y. : Orbis Books, c1998.</t>
        </is>
      </c>
      <c r="M3347" t="inlineStr">
        <is>
          <t>1998</t>
        </is>
      </c>
      <c r="O3347" t="inlineStr">
        <is>
          <t>eng</t>
        </is>
      </c>
      <c r="P3347" t="inlineStr">
        <is>
          <t>nyu</t>
        </is>
      </c>
      <c r="R3347" t="inlineStr">
        <is>
          <t xml:space="preserve">BX </t>
        </is>
      </c>
      <c r="S3347" t="n">
        <v>4</v>
      </c>
      <c r="T3347" t="n">
        <v>4</v>
      </c>
      <c r="U3347" t="inlineStr">
        <is>
          <t>2005-04-17</t>
        </is>
      </c>
      <c r="V3347" t="inlineStr">
        <is>
          <t>2005-04-17</t>
        </is>
      </c>
      <c r="W3347" t="inlineStr">
        <is>
          <t>1998-04-08</t>
        </is>
      </c>
      <c r="X3347" t="inlineStr">
        <is>
          <t>1998-04-08</t>
        </is>
      </c>
      <c r="Y3347" t="n">
        <v>164</v>
      </c>
      <c r="Z3347" t="n">
        <v>130</v>
      </c>
      <c r="AA3347" t="n">
        <v>131</v>
      </c>
      <c r="AB3347" t="n">
        <v>2</v>
      </c>
      <c r="AC3347" t="n">
        <v>2</v>
      </c>
      <c r="AD3347" t="n">
        <v>15</v>
      </c>
      <c r="AE3347" t="n">
        <v>15</v>
      </c>
      <c r="AF3347" t="n">
        <v>4</v>
      </c>
      <c r="AG3347" t="n">
        <v>4</v>
      </c>
      <c r="AH3347" t="n">
        <v>4</v>
      </c>
      <c r="AI3347" t="n">
        <v>4</v>
      </c>
      <c r="AJ3347" t="n">
        <v>12</v>
      </c>
      <c r="AK3347" t="n">
        <v>12</v>
      </c>
      <c r="AL3347" t="n">
        <v>0</v>
      </c>
      <c r="AM3347" t="n">
        <v>0</v>
      </c>
      <c r="AN3347" t="n">
        <v>0</v>
      </c>
      <c r="AO3347" t="n">
        <v>0</v>
      </c>
      <c r="AP3347" t="inlineStr">
        <is>
          <t>No</t>
        </is>
      </c>
      <c r="AQ3347" t="inlineStr">
        <is>
          <t>Yes</t>
        </is>
      </c>
      <c r="AR3347">
        <f>HYPERLINK("http://catalog.hathitrust.org/Record/003970781","HathiTrust Record")</f>
        <v/>
      </c>
      <c r="AS3347">
        <f>HYPERLINK("https://creighton-primo.hosted.exlibrisgroup.com/primo-explore/search?tab=default_tab&amp;search_scope=EVERYTHING&amp;vid=01CRU&amp;lang=en_US&amp;offset=0&amp;query=any,contains,991002877119702656","Catalog Record")</f>
        <v/>
      </c>
      <c r="AT3347">
        <f>HYPERLINK("http://www.worldcat.org/oclc/37917306","WorldCat Record")</f>
        <v/>
      </c>
      <c r="AU3347" t="inlineStr">
        <is>
          <t>56228759:eng</t>
        </is>
      </c>
      <c r="AV3347" t="inlineStr">
        <is>
          <t>37917306</t>
        </is>
      </c>
      <c r="AW3347" t="inlineStr">
        <is>
          <t>991002877119702656</t>
        </is>
      </c>
      <c r="AX3347" t="inlineStr">
        <is>
          <t>991002877119702656</t>
        </is>
      </c>
      <c r="AY3347" t="inlineStr">
        <is>
          <t>2272211780002656</t>
        </is>
      </c>
      <c r="AZ3347" t="inlineStr">
        <is>
          <t>BOOK</t>
        </is>
      </c>
      <c r="BB3347" t="inlineStr">
        <is>
          <t>9781570751783</t>
        </is>
      </c>
      <c r="BC3347" t="inlineStr">
        <is>
          <t>32285003384020</t>
        </is>
      </c>
      <c r="BD3347" t="inlineStr">
        <is>
          <t>893348037</t>
        </is>
      </c>
    </row>
    <row r="3348">
      <c r="A3348" t="inlineStr">
        <is>
          <t>No</t>
        </is>
      </c>
      <c r="B3348" t="inlineStr">
        <is>
          <t>BX955.2 .W5 1960</t>
        </is>
      </c>
      <c r="C3348" t="inlineStr">
        <is>
          <t>0                      BX 0955200W  5           1960</t>
        </is>
      </c>
      <c r="D3348" t="inlineStr">
        <is>
          <t>Saint Peter and the Popes / Michael M. Winter.</t>
        </is>
      </c>
      <c r="F3348" t="inlineStr">
        <is>
          <t>No</t>
        </is>
      </c>
      <c r="G3348" t="inlineStr">
        <is>
          <t>1</t>
        </is>
      </c>
      <c r="H3348" t="inlineStr">
        <is>
          <t>No</t>
        </is>
      </c>
      <c r="I3348" t="inlineStr">
        <is>
          <t>No</t>
        </is>
      </c>
      <c r="J3348" t="inlineStr">
        <is>
          <t>0</t>
        </is>
      </c>
      <c r="K3348" t="inlineStr">
        <is>
          <t>Winter, Michael M.</t>
        </is>
      </c>
      <c r="L3348" t="inlineStr">
        <is>
          <t>Baltimore, Helicon Press [1960]</t>
        </is>
      </c>
      <c r="M3348" t="inlineStr">
        <is>
          <t>1960</t>
        </is>
      </c>
      <c r="O3348" t="inlineStr">
        <is>
          <t>eng</t>
        </is>
      </c>
      <c r="P3348" t="inlineStr">
        <is>
          <t>___</t>
        </is>
      </c>
      <c r="R3348" t="inlineStr">
        <is>
          <t xml:space="preserve">BX </t>
        </is>
      </c>
      <c r="S3348" t="n">
        <v>6</v>
      </c>
      <c r="T3348" t="n">
        <v>6</v>
      </c>
      <c r="U3348" t="inlineStr">
        <is>
          <t>2007-11-19</t>
        </is>
      </c>
      <c r="V3348" t="inlineStr">
        <is>
          <t>2007-11-19</t>
        </is>
      </c>
      <c r="W3348" t="inlineStr">
        <is>
          <t>1992-06-05</t>
        </is>
      </c>
      <c r="X3348" t="inlineStr">
        <is>
          <t>1992-06-05</t>
        </is>
      </c>
      <c r="Y3348" t="n">
        <v>229</v>
      </c>
      <c r="Z3348" t="n">
        <v>180</v>
      </c>
      <c r="AA3348" t="n">
        <v>240</v>
      </c>
      <c r="AB3348" t="n">
        <v>1</v>
      </c>
      <c r="AC3348" t="n">
        <v>1</v>
      </c>
      <c r="AD3348" t="n">
        <v>30</v>
      </c>
      <c r="AE3348" t="n">
        <v>31</v>
      </c>
      <c r="AF3348" t="n">
        <v>9</v>
      </c>
      <c r="AG3348" t="n">
        <v>10</v>
      </c>
      <c r="AH3348" t="n">
        <v>7</v>
      </c>
      <c r="AI3348" t="n">
        <v>8</v>
      </c>
      <c r="AJ3348" t="n">
        <v>23</v>
      </c>
      <c r="AK3348" t="n">
        <v>23</v>
      </c>
      <c r="AL3348" t="n">
        <v>0</v>
      </c>
      <c r="AM3348" t="n">
        <v>0</v>
      </c>
      <c r="AN3348" t="n">
        <v>0</v>
      </c>
      <c r="AO3348" t="n">
        <v>0</v>
      </c>
      <c r="AP3348" t="inlineStr">
        <is>
          <t>No</t>
        </is>
      </c>
      <c r="AQ3348" t="inlineStr">
        <is>
          <t>No</t>
        </is>
      </c>
      <c r="AR3348">
        <f>HYPERLINK("http://catalog.hathitrust.org/Record/009957926","HathiTrust Record")</f>
        <v/>
      </c>
      <c r="AS3348">
        <f>HYPERLINK("https://creighton-primo.hosted.exlibrisgroup.com/primo-explore/search?tab=default_tab&amp;search_scope=EVERYTHING&amp;vid=01CRU&amp;lang=en_US&amp;offset=0&amp;query=any,contains,991003110869702656","Catalog Record")</f>
        <v/>
      </c>
      <c r="AT3348">
        <f>HYPERLINK("http://www.worldcat.org/oclc/656673","WorldCat Record")</f>
        <v/>
      </c>
      <c r="AU3348" t="inlineStr">
        <is>
          <t>1621693:eng</t>
        </is>
      </c>
      <c r="AV3348" t="inlineStr">
        <is>
          <t>656673</t>
        </is>
      </c>
      <c r="AW3348" t="inlineStr">
        <is>
          <t>991003110869702656</t>
        </is>
      </c>
      <c r="AX3348" t="inlineStr">
        <is>
          <t>991003110869702656</t>
        </is>
      </c>
      <c r="AY3348" t="inlineStr">
        <is>
          <t>2263455860002656</t>
        </is>
      </c>
      <c r="AZ3348" t="inlineStr">
        <is>
          <t>BOOK</t>
        </is>
      </c>
      <c r="BC3348" t="inlineStr">
        <is>
          <t>32285001226892</t>
        </is>
      </c>
      <c r="BD3348" t="inlineStr">
        <is>
          <t>893793327</t>
        </is>
      </c>
    </row>
    <row r="3349">
      <c r="A3349" t="inlineStr">
        <is>
          <t>No</t>
        </is>
      </c>
      <c r="B3349" t="inlineStr">
        <is>
          <t>BX957 .C65 2005</t>
        </is>
      </c>
      <c r="C3349" t="inlineStr">
        <is>
          <t>0                      BX 0957000C  65          2005</t>
        </is>
      </c>
      <c r="D3349" t="inlineStr">
        <is>
          <t>The fisherman's net : the influence of the Popes on history / Michael Collins.</t>
        </is>
      </c>
      <c r="F3349" t="inlineStr">
        <is>
          <t>No</t>
        </is>
      </c>
      <c r="G3349" t="inlineStr">
        <is>
          <t>1</t>
        </is>
      </c>
      <c r="H3349" t="inlineStr">
        <is>
          <t>No</t>
        </is>
      </c>
      <c r="I3349" t="inlineStr">
        <is>
          <t>No</t>
        </is>
      </c>
      <c r="J3349" t="inlineStr">
        <is>
          <t>0</t>
        </is>
      </c>
      <c r="K3349" t="inlineStr">
        <is>
          <t>Collins, Michael, 1960-</t>
        </is>
      </c>
      <c r="L3349" t="inlineStr">
        <is>
          <t>Mahwah, N.J. : HiddenSpring, 2005.</t>
        </is>
      </c>
      <c r="M3349" t="inlineStr">
        <is>
          <t>2005</t>
        </is>
      </c>
      <c r="N3349" t="inlineStr">
        <is>
          <t>Rev. and updated ed.</t>
        </is>
      </c>
      <c r="O3349" t="inlineStr">
        <is>
          <t>eng</t>
        </is>
      </c>
      <c r="P3349" t="inlineStr">
        <is>
          <t>nju</t>
        </is>
      </c>
      <c r="R3349" t="inlineStr">
        <is>
          <t xml:space="preserve">BX </t>
        </is>
      </c>
      <c r="S3349" t="n">
        <v>6</v>
      </c>
      <c r="T3349" t="n">
        <v>6</v>
      </c>
      <c r="U3349" t="inlineStr">
        <is>
          <t>2010-03-21</t>
        </is>
      </c>
      <c r="V3349" t="inlineStr">
        <is>
          <t>2010-03-21</t>
        </is>
      </c>
      <c r="W3349" t="inlineStr">
        <is>
          <t>2005-12-05</t>
        </is>
      </c>
      <c r="X3349" t="inlineStr">
        <is>
          <t>2005-12-05</t>
        </is>
      </c>
      <c r="Y3349" t="n">
        <v>101</v>
      </c>
      <c r="Z3349" t="n">
        <v>94</v>
      </c>
      <c r="AA3349" t="n">
        <v>164</v>
      </c>
      <c r="AB3349" t="n">
        <v>2</v>
      </c>
      <c r="AC3349" t="n">
        <v>2</v>
      </c>
      <c r="AD3349" t="n">
        <v>7</v>
      </c>
      <c r="AE3349" t="n">
        <v>17</v>
      </c>
      <c r="AF3349" t="n">
        <v>4</v>
      </c>
      <c r="AG3349" t="n">
        <v>5</v>
      </c>
      <c r="AH3349" t="n">
        <v>1</v>
      </c>
      <c r="AI3349" t="n">
        <v>5</v>
      </c>
      <c r="AJ3349" t="n">
        <v>2</v>
      </c>
      <c r="AK3349" t="n">
        <v>10</v>
      </c>
      <c r="AL3349" t="n">
        <v>1</v>
      </c>
      <c r="AM3349" t="n">
        <v>1</v>
      </c>
      <c r="AN3349" t="n">
        <v>0</v>
      </c>
      <c r="AO3349" t="n">
        <v>0</v>
      </c>
      <c r="AP3349" t="inlineStr">
        <is>
          <t>No</t>
        </is>
      </c>
      <c r="AQ3349" t="inlineStr">
        <is>
          <t>No</t>
        </is>
      </c>
      <c r="AS3349">
        <f>HYPERLINK("https://creighton-primo.hosted.exlibrisgroup.com/primo-explore/search?tab=default_tab&amp;search_scope=EVERYTHING&amp;vid=01CRU&amp;lang=en_US&amp;offset=0&amp;query=any,contains,991004697949702656","Catalog Record")</f>
        <v/>
      </c>
      <c r="AT3349">
        <f>HYPERLINK("http://www.worldcat.org/oclc/61194086","WorldCat Record")</f>
        <v/>
      </c>
      <c r="AU3349" t="inlineStr">
        <is>
          <t>1110669:eng</t>
        </is>
      </c>
      <c r="AV3349" t="inlineStr">
        <is>
          <t>61194086</t>
        </is>
      </c>
      <c r="AW3349" t="inlineStr">
        <is>
          <t>991004697949702656</t>
        </is>
      </c>
      <c r="AX3349" t="inlineStr">
        <is>
          <t>991004697949702656</t>
        </is>
      </c>
      <c r="AY3349" t="inlineStr">
        <is>
          <t>2264382480002656</t>
        </is>
      </c>
      <c r="AZ3349" t="inlineStr">
        <is>
          <t>BOOK</t>
        </is>
      </c>
      <c r="BB3349" t="inlineStr">
        <is>
          <t>9781587680335</t>
        </is>
      </c>
      <c r="BC3349" t="inlineStr">
        <is>
          <t>32285005151245</t>
        </is>
      </c>
      <c r="BD3349" t="inlineStr">
        <is>
          <t>893694220</t>
        </is>
      </c>
    </row>
    <row r="3350">
      <c r="A3350" t="inlineStr">
        <is>
          <t>No</t>
        </is>
      </c>
      <c r="B3350" t="inlineStr">
        <is>
          <t>BX958 .F2R56 1974</t>
        </is>
      </c>
      <c r="C3350" t="inlineStr">
        <is>
          <t>0                      BX 0958000F  2                  R  56          1974</t>
        </is>
      </c>
      <c r="D3350" t="inlineStr">
        <is>
          <t>Pope Joan / Lawrence Durrell ; translated and adapted from the Greek of Emmanuel Royidis.</t>
        </is>
      </c>
      <c r="F3350" t="inlineStr">
        <is>
          <t>No</t>
        </is>
      </c>
      <c r="G3350" t="inlineStr">
        <is>
          <t>1</t>
        </is>
      </c>
      <c r="H3350" t="inlineStr">
        <is>
          <t>No</t>
        </is>
      </c>
      <c r="I3350" t="inlineStr">
        <is>
          <t>No</t>
        </is>
      </c>
      <c r="J3350" t="inlineStr">
        <is>
          <t>0</t>
        </is>
      </c>
      <c r="K3350" t="inlineStr">
        <is>
          <t>Rhoidēs, Emmanouēl D., 1835-1904.</t>
        </is>
      </c>
      <c r="L3350" t="inlineStr">
        <is>
          <t>Baltimore : Penguin Books, c1960, 1974 printing.</t>
        </is>
      </c>
      <c r="M3350" t="inlineStr">
        <is>
          <t>1974</t>
        </is>
      </c>
      <c r="N3350" t="inlineStr">
        <is>
          <t>[Rev. ed.] --</t>
        </is>
      </c>
      <c r="O3350" t="inlineStr">
        <is>
          <t>eng</t>
        </is>
      </c>
      <c r="P3350" t="inlineStr">
        <is>
          <t>mdu</t>
        </is>
      </c>
      <c r="R3350" t="inlineStr">
        <is>
          <t xml:space="preserve">BX </t>
        </is>
      </c>
      <c r="S3350" t="n">
        <v>5</v>
      </c>
      <c r="T3350" t="n">
        <v>5</v>
      </c>
      <c r="U3350" t="inlineStr">
        <is>
          <t>1997-06-03</t>
        </is>
      </c>
      <c r="V3350" t="inlineStr">
        <is>
          <t>1997-06-03</t>
        </is>
      </c>
      <c r="W3350" t="inlineStr">
        <is>
          <t>1992-06-05</t>
        </is>
      </c>
      <c r="X3350" t="inlineStr">
        <is>
          <t>1992-06-05</t>
        </is>
      </c>
      <c r="Y3350" t="n">
        <v>72</v>
      </c>
      <c r="Z3350" t="n">
        <v>62</v>
      </c>
      <c r="AA3350" t="n">
        <v>741</v>
      </c>
      <c r="AB3350" t="n">
        <v>1</v>
      </c>
      <c r="AC3350" t="n">
        <v>8</v>
      </c>
      <c r="AD3350" t="n">
        <v>2</v>
      </c>
      <c r="AE3350" t="n">
        <v>25</v>
      </c>
      <c r="AF3350" t="n">
        <v>1</v>
      </c>
      <c r="AG3350" t="n">
        <v>9</v>
      </c>
      <c r="AH3350" t="n">
        <v>0</v>
      </c>
      <c r="AI3350" t="n">
        <v>6</v>
      </c>
      <c r="AJ3350" t="n">
        <v>1</v>
      </c>
      <c r="AK3350" t="n">
        <v>12</v>
      </c>
      <c r="AL3350" t="n">
        <v>0</v>
      </c>
      <c r="AM3350" t="n">
        <v>4</v>
      </c>
      <c r="AN3350" t="n">
        <v>0</v>
      </c>
      <c r="AO3350" t="n">
        <v>1</v>
      </c>
      <c r="AP3350" t="inlineStr">
        <is>
          <t>No</t>
        </is>
      </c>
      <c r="AQ3350" t="inlineStr">
        <is>
          <t>No</t>
        </is>
      </c>
      <c r="AS3350">
        <f>HYPERLINK("https://creighton-primo.hosted.exlibrisgroup.com/primo-explore/search?tab=default_tab&amp;search_scope=EVERYTHING&amp;vid=01CRU&amp;lang=en_US&amp;offset=0&amp;query=any,contains,991004667709702656","Catalog Record")</f>
        <v/>
      </c>
      <c r="AT3350">
        <f>HYPERLINK("http://www.worldcat.org/oclc/4507559","WorldCat Record")</f>
        <v/>
      </c>
      <c r="AU3350" t="inlineStr">
        <is>
          <t>4820877076:eng</t>
        </is>
      </c>
      <c r="AV3350" t="inlineStr">
        <is>
          <t>4507559</t>
        </is>
      </c>
      <c r="AW3350" t="inlineStr">
        <is>
          <t>991004667709702656</t>
        </is>
      </c>
      <c r="AX3350" t="inlineStr">
        <is>
          <t>991004667709702656</t>
        </is>
      </c>
      <c r="AY3350" t="inlineStr">
        <is>
          <t>2262807670002656</t>
        </is>
      </c>
      <c r="AZ3350" t="inlineStr">
        <is>
          <t>BOOK</t>
        </is>
      </c>
      <c r="BB3350" t="inlineStr">
        <is>
          <t>9780140037609</t>
        </is>
      </c>
      <c r="BC3350" t="inlineStr">
        <is>
          <t>32285001226975</t>
        </is>
      </c>
      <c r="BD3350" t="inlineStr">
        <is>
          <t>893600096</t>
        </is>
      </c>
    </row>
    <row r="3351">
      <c r="A3351" t="inlineStr">
        <is>
          <t>No</t>
        </is>
      </c>
      <c r="B3351" t="inlineStr">
        <is>
          <t>BX958.F2 B6813 2001</t>
        </is>
      </c>
      <c r="C3351" t="inlineStr">
        <is>
          <t>0                      BX 0958000F  2                  B  6813        2001</t>
        </is>
      </c>
      <c r="D3351" t="inlineStr">
        <is>
          <t>The myth of Pope Joan / Alain Boureau ; translated by Lydia G. Cochrane.</t>
        </is>
      </c>
      <c r="F3351" t="inlineStr">
        <is>
          <t>No</t>
        </is>
      </c>
      <c r="G3351" t="inlineStr">
        <is>
          <t>1</t>
        </is>
      </c>
      <c r="H3351" t="inlineStr">
        <is>
          <t>No</t>
        </is>
      </c>
      <c r="I3351" t="inlineStr">
        <is>
          <t>No</t>
        </is>
      </c>
      <c r="J3351" t="inlineStr">
        <is>
          <t>0</t>
        </is>
      </c>
      <c r="K3351" t="inlineStr">
        <is>
          <t>Boureau, Alain.</t>
        </is>
      </c>
      <c r="L3351" t="inlineStr">
        <is>
          <t>Chicago : University of Chicago Press, 2001.</t>
        </is>
      </c>
      <c r="M3351" t="inlineStr">
        <is>
          <t>2001</t>
        </is>
      </c>
      <c r="O3351" t="inlineStr">
        <is>
          <t>eng</t>
        </is>
      </c>
      <c r="P3351" t="inlineStr">
        <is>
          <t>ilu</t>
        </is>
      </c>
      <c r="R3351" t="inlineStr">
        <is>
          <t xml:space="preserve">BX </t>
        </is>
      </c>
      <c r="S3351" t="n">
        <v>3</v>
      </c>
      <c r="T3351" t="n">
        <v>3</v>
      </c>
      <c r="U3351" t="inlineStr">
        <is>
          <t>2010-11-10</t>
        </is>
      </c>
      <c r="V3351" t="inlineStr">
        <is>
          <t>2010-11-10</t>
        </is>
      </c>
      <c r="W3351" t="inlineStr">
        <is>
          <t>2002-04-15</t>
        </is>
      </c>
      <c r="X3351" t="inlineStr">
        <is>
          <t>2002-04-15</t>
        </is>
      </c>
      <c r="Y3351" t="n">
        <v>770</v>
      </c>
      <c r="Z3351" t="n">
        <v>684</v>
      </c>
      <c r="AA3351" t="n">
        <v>686</v>
      </c>
      <c r="AB3351" t="n">
        <v>7</v>
      </c>
      <c r="AC3351" t="n">
        <v>7</v>
      </c>
      <c r="AD3351" t="n">
        <v>44</v>
      </c>
      <c r="AE3351" t="n">
        <v>44</v>
      </c>
      <c r="AF3351" t="n">
        <v>19</v>
      </c>
      <c r="AG3351" t="n">
        <v>19</v>
      </c>
      <c r="AH3351" t="n">
        <v>9</v>
      </c>
      <c r="AI3351" t="n">
        <v>9</v>
      </c>
      <c r="AJ3351" t="n">
        <v>21</v>
      </c>
      <c r="AK3351" t="n">
        <v>21</v>
      </c>
      <c r="AL3351" t="n">
        <v>5</v>
      </c>
      <c r="AM3351" t="n">
        <v>5</v>
      </c>
      <c r="AN3351" t="n">
        <v>0</v>
      </c>
      <c r="AO3351" t="n">
        <v>0</v>
      </c>
      <c r="AP3351" t="inlineStr">
        <is>
          <t>No</t>
        </is>
      </c>
      <c r="AQ3351" t="inlineStr">
        <is>
          <t>Yes</t>
        </is>
      </c>
      <c r="AR3351">
        <f>HYPERLINK("http://catalog.hathitrust.org/Record/004183832","HathiTrust Record")</f>
        <v/>
      </c>
      <c r="AS3351">
        <f>HYPERLINK("https://creighton-primo.hosted.exlibrisgroup.com/primo-explore/search?tab=default_tab&amp;search_scope=EVERYTHING&amp;vid=01CRU&amp;lang=en_US&amp;offset=0&amp;query=any,contains,991003767139702656","Catalog Record")</f>
        <v/>
      </c>
      <c r="AT3351">
        <f>HYPERLINK("http://www.worldcat.org/oclc/45023416","WorldCat Record")</f>
        <v/>
      </c>
      <c r="AU3351" t="inlineStr">
        <is>
          <t>20448968:eng</t>
        </is>
      </c>
      <c r="AV3351" t="inlineStr">
        <is>
          <t>45023416</t>
        </is>
      </c>
      <c r="AW3351" t="inlineStr">
        <is>
          <t>991003767139702656</t>
        </is>
      </c>
      <c r="AX3351" t="inlineStr">
        <is>
          <t>991003767139702656</t>
        </is>
      </c>
      <c r="AY3351" t="inlineStr">
        <is>
          <t>2261044250002656</t>
        </is>
      </c>
      <c r="AZ3351" t="inlineStr">
        <is>
          <t>BOOK</t>
        </is>
      </c>
      <c r="BB3351" t="inlineStr">
        <is>
          <t>9780226067445</t>
        </is>
      </c>
      <c r="BC3351" t="inlineStr">
        <is>
          <t>32285004479779</t>
        </is>
      </c>
      <c r="BD3351" t="inlineStr">
        <is>
          <t>893435413</t>
        </is>
      </c>
    </row>
    <row r="3352">
      <c r="A3352" t="inlineStr">
        <is>
          <t>No</t>
        </is>
      </c>
      <c r="B3352" t="inlineStr">
        <is>
          <t>BX958.H64 O63 1997</t>
        </is>
      </c>
      <c r="C3352" t="inlineStr">
        <is>
          <t>0                      BX 0958000H  64                 O  63          1997</t>
        </is>
      </c>
      <c r="D3352" t="inlineStr">
        <is>
          <t>Open Wide the Doors to Christ / United States Catholic Conference.</t>
        </is>
      </c>
      <c r="F3352" t="inlineStr">
        <is>
          <t>No</t>
        </is>
      </c>
      <c r="G3352" t="inlineStr">
        <is>
          <t>1</t>
        </is>
      </c>
      <c r="H3352" t="inlineStr">
        <is>
          <t>No</t>
        </is>
      </c>
      <c r="I3352" t="inlineStr">
        <is>
          <t>No</t>
        </is>
      </c>
      <c r="J3352" t="inlineStr">
        <is>
          <t>0</t>
        </is>
      </c>
      <c r="L3352" t="inlineStr">
        <is>
          <t>Washington, DC: United States Catholic Conference, 1997.</t>
        </is>
      </c>
      <c r="M3352" t="inlineStr">
        <is>
          <t>1997</t>
        </is>
      </c>
      <c r="O3352" t="inlineStr">
        <is>
          <t>eng</t>
        </is>
      </c>
      <c r="P3352" t="inlineStr">
        <is>
          <t>dcu</t>
        </is>
      </c>
      <c r="R3352" t="inlineStr">
        <is>
          <t xml:space="preserve">BX </t>
        </is>
      </c>
      <c r="S3352" t="n">
        <v>2</v>
      </c>
      <c r="T3352" t="n">
        <v>2</v>
      </c>
      <c r="U3352" t="inlineStr">
        <is>
          <t>1999-10-15</t>
        </is>
      </c>
      <c r="V3352" t="inlineStr">
        <is>
          <t>1999-10-15</t>
        </is>
      </c>
      <c r="W3352" t="inlineStr">
        <is>
          <t>1998-07-21</t>
        </is>
      </c>
      <c r="X3352" t="inlineStr">
        <is>
          <t>1998-07-21</t>
        </is>
      </c>
      <c r="Y3352" t="n">
        <v>23</v>
      </c>
      <c r="Z3352" t="n">
        <v>23</v>
      </c>
      <c r="AA3352" t="n">
        <v>24</v>
      </c>
      <c r="AB3352" t="n">
        <v>1</v>
      </c>
      <c r="AC3352" t="n">
        <v>1</v>
      </c>
      <c r="AD3352" t="n">
        <v>3</v>
      </c>
      <c r="AE3352" t="n">
        <v>3</v>
      </c>
      <c r="AF3352" t="n">
        <v>0</v>
      </c>
      <c r="AG3352" t="n">
        <v>0</v>
      </c>
      <c r="AH3352" t="n">
        <v>2</v>
      </c>
      <c r="AI3352" t="n">
        <v>2</v>
      </c>
      <c r="AJ3352" t="n">
        <v>2</v>
      </c>
      <c r="AK3352" t="n">
        <v>2</v>
      </c>
      <c r="AL3352" t="n">
        <v>0</v>
      </c>
      <c r="AM3352" t="n">
        <v>0</v>
      </c>
      <c r="AN3352" t="n">
        <v>0</v>
      </c>
      <c r="AO3352" t="n">
        <v>0</v>
      </c>
      <c r="AP3352" t="inlineStr">
        <is>
          <t>No</t>
        </is>
      </c>
      <c r="AQ3352" t="inlineStr">
        <is>
          <t>No</t>
        </is>
      </c>
      <c r="AS3352">
        <f>HYPERLINK("https://creighton-primo.hosted.exlibrisgroup.com/primo-explore/search?tab=default_tab&amp;search_scope=EVERYTHING&amp;vid=01CRU&amp;lang=en_US&amp;offset=0&amp;query=any,contains,991002906189702656","Catalog Record")</f>
        <v/>
      </c>
      <c r="AT3352">
        <f>HYPERLINK("http://www.worldcat.org/oclc/38374750","WorldCat Record")</f>
        <v/>
      </c>
      <c r="AU3352" t="inlineStr">
        <is>
          <t>41973633:eng</t>
        </is>
      </c>
      <c r="AV3352" t="inlineStr">
        <is>
          <t>38374750</t>
        </is>
      </c>
      <c r="AW3352" t="inlineStr">
        <is>
          <t>991002906189702656</t>
        </is>
      </c>
      <c r="AX3352" t="inlineStr">
        <is>
          <t>991002906189702656</t>
        </is>
      </c>
      <c r="AY3352" t="inlineStr">
        <is>
          <t>2260100580002656</t>
        </is>
      </c>
      <c r="AZ3352" t="inlineStr">
        <is>
          <t>BOOK</t>
        </is>
      </c>
      <c r="BB3352" t="inlineStr">
        <is>
          <t>9781574552133</t>
        </is>
      </c>
      <c r="BC3352" t="inlineStr">
        <is>
          <t>32285003434148</t>
        </is>
      </c>
      <c r="BD3352" t="inlineStr">
        <is>
          <t>893867856</t>
        </is>
      </c>
    </row>
    <row r="3353">
      <c r="A3353" t="inlineStr">
        <is>
          <t>No</t>
        </is>
      </c>
      <c r="B3353" t="inlineStr">
        <is>
          <t>BX961.H6 C37 1999</t>
        </is>
      </c>
      <c r="C3353" t="inlineStr">
        <is>
          <t>0                      BX 0961000H  6                  C  37          1999</t>
        </is>
      </c>
      <c r="D3353" t="inlineStr">
        <is>
          <t>Incarnationis mysterium : bull of indiction of the Great Jubilee of the Year 2000 / [John Paul II].</t>
        </is>
      </c>
      <c r="F3353" t="inlineStr">
        <is>
          <t>No</t>
        </is>
      </c>
      <c r="G3353" t="inlineStr">
        <is>
          <t>1</t>
        </is>
      </c>
      <c r="H3353" t="inlineStr">
        <is>
          <t>No</t>
        </is>
      </c>
      <c r="I3353" t="inlineStr">
        <is>
          <t>No</t>
        </is>
      </c>
      <c r="J3353" t="inlineStr">
        <is>
          <t>0</t>
        </is>
      </c>
      <c r="K3353" t="inlineStr">
        <is>
          <t>Catholic Church. Pope (1978-2005 : John Paul II).</t>
        </is>
      </c>
      <c r="L3353" t="inlineStr">
        <is>
          <t>Washington, D.C. : United States Catholic Conference, 1999.</t>
        </is>
      </c>
      <c r="M3353" t="inlineStr">
        <is>
          <t>1999</t>
        </is>
      </c>
      <c r="O3353" t="inlineStr">
        <is>
          <t>eng</t>
        </is>
      </c>
      <c r="P3353" t="inlineStr">
        <is>
          <t>dcu</t>
        </is>
      </c>
      <c r="Q3353" t="inlineStr">
        <is>
          <t>Publication / United States Catholic Conference ; no. 5-313</t>
        </is>
      </c>
      <c r="R3353" t="inlineStr">
        <is>
          <t xml:space="preserve">BX </t>
        </is>
      </c>
      <c r="S3353" t="n">
        <v>2</v>
      </c>
      <c r="T3353" t="n">
        <v>2</v>
      </c>
      <c r="U3353" t="inlineStr">
        <is>
          <t>1999-10-15</t>
        </is>
      </c>
      <c r="V3353" t="inlineStr">
        <is>
          <t>1999-10-15</t>
        </is>
      </c>
      <c r="W3353" t="inlineStr">
        <is>
          <t>1999-03-03</t>
        </is>
      </c>
      <c r="X3353" t="inlineStr">
        <is>
          <t>1999-03-03</t>
        </is>
      </c>
      <c r="Y3353" t="n">
        <v>80</v>
      </c>
      <c r="Z3353" t="n">
        <v>76</v>
      </c>
      <c r="AA3353" t="n">
        <v>77</v>
      </c>
      <c r="AB3353" t="n">
        <v>1</v>
      </c>
      <c r="AC3353" t="n">
        <v>1</v>
      </c>
      <c r="AD3353" t="n">
        <v>9</v>
      </c>
      <c r="AE3353" t="n">
        <v>9</v>
      </c>
      <c r="AF3353" t="n">
        <v>2</v>
      </c>
      <c r="AG3353" t="n">
        <v>2</v>
      </c>
      <c r="AH3353" t="n">
        <v>3</v>
      </c>
      <c r="AI3353" t="n">
        <v>3</v>
      </c>
      <c r="AJ3353" t="n">
        <v>6</v>
      </c>
      <c r="AK3353" t="n">
        <v>6</v>
      </c>
      <c r="AL3353" t="n">
        <v>0</v>
      </c>
      <c r="AM3353" t="n">
        <v>0</v>
      </c>
      <c r="AN3353" t="n">
        <v>0</v>
      </c>
      <c r="AO3353" t="n">
        <v>0</v>
      </c>
      <c r="AP3353" t="inlineStr">
        <is>
          <t>No</t>
        </is>
      </c>
      <c r="AQ3353" t="inlineStr">
        <is>
          <t>No</t>
        </is>
      </c>
      <c r="AS3353">
        <f>HYPERLINK("https://creighton-primo.hosted.exlibrisgroup.com/primo-explore/search?tab=default_tab&amp;search_scope=EVERYTHING&amp;vid=01CRU&amp;lang=en_US&amp;offset=0&amp;query=any,contains,991003010599702656","Catalog Record")</f>
        <v/>
      </c>
      <c r="AT3353">
        <f>HYPERLINK("http://www.worldcat.org/oclc/40860509","WorldCat Record")</f>
        <v/>
      </c>
      <c r="AU3353" t="inlineStr">
        <is>
          <t>3857970739:eng</t>
        </is>
      </c>
      <c r="AV3353" t="inlineStr">
        <is>
          <t>40860509</t>
        </is>
      </c>
      <c r="AW3353" t="inlineStr">
        <is>
          <t>991003010599702656</t>
        </is>
      </c>
      <c r="AX3353" t="inlineStr">
        <is>
          <t>991003010599702656</t>
        </is>
      </c>
      <c r="AY3353" t="inlineStr">
        <is>
          <t>2264888930002656</t>
        </is>
      </c>
      <c r="AZ3353" t="inlineStr">
        <is>
          <t>BOOK</t>
        </is>
      </c>
      <c r="BB3353" t="inlineStr">
        <is>
          <t>9781574553130</t>
        </is>
      </c>
      <c r="BC3353" t="inlineStr">
        <is>
          <t>32285003529004</t>
        </is>
      </c>
      <c r="BD3353" t="inlineStr">
        <is>
          <t>893329847</t>
        </is>
      </c>
    </row>
    <row r="3354">
      <c r="A3354" t="inlineStr">
        <is>
          <t>No</t>
        </is>
      </c>
      <c r="B3354" t="inlineStr">
        <is>
          <t>BX961.S4 A33 1940</t>
        </is>
      </c>
      <c r="C3354" t="inlineStr">
        <is>
          <t>0                      BX 0961000S  4                  A  33          1940</t>
        </is>
      </c>
      <c r="D3354" t="inlineStr">
        <is>
          <t>Catholicism and the progress of science / by William M.Agar, PH.D.</t>
        </is>
      </c>
      <c r="F3354" t="inlineStr">
        <is>
          <t>No</t>
        </is>
      </c>
      <c r="G3354" t="inlineStr">
        <is>
          <t>1</t>
        </is>
      </c>
      <c r="H3354" t="inlineStr">
        <is>
          <t>No</t>
        </is>
      </c>
      <c r="I3354" t="inlineStr">
        <is>
          <t>No</t>
        </is>
      </c>
      <c r="J3354" t="inlineStr">
        <is>
          <t>0</t>
        </is>
      </c>
      <c r="K3354" t="inlineStr">
        <is>
          <t>Agar, William M. (William MacDonough), 1894-1972.</t>
        </is>
      </c>
      <c r="L3354" t="inlineStr">
        <is>
          <t>New York : The Macmillan company, 1940.</t>
        </is>
      </c>
      <c r="M3354" t="inlineStr">
        <is>
          <t>1940</t>
        </is>
      </c>
      <c r="O3354" t="inlineStr">
        <is>
          <t>eng</t>
        </is>
      </c>
      <c r="P3354" t="inlineStr">
        <is>
          <t xml:space="preserve">xx </t>
        </is>
      </c>
      <c r="Q3354" t="inlineStr">
        <is>
          <t>The Christendom series</t>
        </is>
      </c>
      <c r="R3354" t="inlineStr">
        <is>
          <t xml:space="preserve">BX </t>
        </is>
      </c>
      <c r="S3354" t="n">
        <v>1</v>
      </c>
      <c r="T3354" t="n">
        <v>1</v>
      </c>
      <c r="U3354" t="inlineStr">
        <is>
          <t>1994-10-12</t>
        </is>
      </c>
      <c r="V3354" t="inlineStr">
        <is>
          <t>1994-10-12</t>
        </is>
      </c>
      <c r="W3354" t="inlineStr">
        <is>
          <t>1992-06-05</t>
        </is>
      </c>
      <c r="X3354" t="inlineStr">
        <is>
          <t>1992-06-05</t>
        </is>
      </c>
      <c r="Y3354" t="n">
        <v>199</v>
      </c>
      <c r="Z3354" t="n">
        <v>183</v>
      </c>
      <c r="AA3354" t="n">
        <v>183</v>
      </c>
      <c r="AB3354" t="n">
        <v>2</v>
      </c>
      <c r="AC3354" t="n">
        <v>2</v>
      </c>
      <c r="AD3354" t="n">
        <v>22</v>
      </c>
      <c r="AE3354" t="n">
        <v>22</v>
      </c>
      <c r="AF3354" t="n">
        <v>6</v>
      </c>
      <c r="AG3354" t="n">
        <v>6</v>
      </c>
      <c r="AH3354" t="n">
        <v>6</v>
      </c>
      <c r="AI3354" t="n">
        <v>6</v>
      </c>
      <c r="AJ3354" t="n">
        <v>17</v>
      </c>
      <c r="AK3354" t="n">
        <v>17</v>
      </c>
      <c r="AL3354" t="n">
        <v>0</v>
      </c>
      <c r="AM3354" t="n">
        <v>0</v>
      </c>
      <c r="AN3354" t="n">
        <v>0</v>
      </c>
      <c r="AO3354" t="n">
        <v>0</v>
      </c>
      <c r="AP3354" t="inlineStr">
        <is>
          <t>No</t>
        </is>
      </c>
      <c r="AQ3354" t="inlineStr">
        <is>
          <t>No</t>
        </is>
      </c>
      <c r="AS3354">
        <f>HYPERLINK("https://creighton-primo.hosted.exlibrisgroup.com/primo-explore/search?tab=default_tab&amp;search_scope=EVERYTHING&amp;vid=01CRU&amp;lang=en_US&amp;offset=0&amp;query=any,contains,991003104759702656","Catalog Record")</f>
        <v/>
      </c>
      <c r="AT3354">
        <f>HYPERLINK("http://www.worldcat.org/oclc/653458","WorldCat Record")</f>
        <v/>
      </c>
      <c r="AU3354" t="inlineStr">
        <is>
          <t>1610778:eng</t>
        </is>
      </c>
      <c r="AV3354" t="inlineStr">
        <is>
          <t>653458</t>
        </is>
      </c>
      <c r="AW3354" t="inlineStr">
        <is>
          <t>991003104759702656</t>
        </is>
      </c>
      <c r="AX3354" t="inlineStr">
        <is>
          <t>991003104759702656</t>
        </is>
      </c>
      <c r="AY3354" t="inlineStr">
        <is>
          <t>2264050430002656</t>
        </is>
      </c>
      <c r="AZ3354" t="inlineStr">
        <is>
          <t>BOOK</t>
        </is>
      </c>
      <c r="BC3354" t="inlineStr">
        <is>
          <t>32285001227064</t>
        </is>
      </c>
      <c r="BD3354" t="inlineStr">
        <is>
          <t>893704909</t>
        </is>
      </c>
    </row>
    <row r="3355">
      <c r="A3355" t="inlineStr">
        <is>
          <t>No</t>
        </is>
      </c>
      <c r="B3355" t="inlineStr">
        <is>
          <t>BX961.S4 W5</t>
        </is>
      </c>
      <c r="C3355" t="inlineStr">
        <is>
          <t>0                      BX 0961000S  4                  W  5</t>
        </is>
      </c>
      <c r="D3355" t="inlineStr">
        <is>
          <t>The Catholic church and its reactions with science / by Bertram C.A. Windle.</t>
        </is>
      </c>
      <c r="F3355" t="inlineStr">
        <is>
          <t>No</t>
        </is>
      </c>
      <c r="G3355" t="inlineStr">
        <is>
          <t>1</t>
        </is>
      </c>
      <c r="H3355" t="inlineStr">
        <is>
          <t>No</t>
        </is>
      </c>
      <c r="I3355" t="inlineStr">
        <is>
          <t>No</t>
        </is>
      </c>
      <c r="J3355" t="inlineStr">
        <is>
          <t>0</t>
        </is>
      </c>
      <c r="K3355" t="inlineStr">
        <is>
          <t>Windle, Bertram C. A. (Bertram Coghill Alan), 1858-1929.</t>
        </is>
      </c>
      <c r="L3355" t="inlineStr">
        <is>
          <t>New York, The Macmillan company, 1927.</t>
        </is>
      </c>
      <c r="M3355" t="inlineStr">
        <is>
          <t>1927</t>
        </is>
      </c>
      <c r="O3355" t="inlineStr">
        <is>
          <t>eng</t>
        </is>
      </c>
      <c r="P3355" t="inlineStr">
        <is>
          <t>___</t>
        </is>
      </c>
      <c r="Q3355" t="inlineStr">
        <is>
          <t>The Calvert series</t>
        </is>
      </c>
      <c r="R3355" t="inlineStr">
        <is>
          <t xml:space="preserve">BX </t>
        </is>
      </c>
      <c r="S3355" t="n">
        <v>2</v>
      </c>
      <c r="T3355" t="n">
        <v>2</v>
      </c>
      <c r="U3355" t="inlineStr">
        <is>
          <t>1995-04-17</t>
        </is>
      </c>
      <c r="V3355" t="inlineStr">
        <is>
          <t>1995-04-17</t>
        </is>
      </c>
      <c r="W3355" t="inlineStr">
        <is>
          <t>1992-06-05</t>
        </is>
      </c>
      <c r="X3355" t="inlineStr">
        <is>
          <t>1992-06-05</t>
        </is>
      </c>
      <c r="Y3355" t="n">
        <v>179</v>
      </c>
      <c r="Z3355" t="n">
        <v>154</v>
      </c>
      <c r="AA3355" t="n">
        <v>177</v>
      </c>
      <c r="AB3355" t="n">
        <v>2</v>
      </c>
      <c r="AC3355" t="n">
        <v>4</v>
      </c>
      <c r="AD3355" t="n">
        <v>25</v>
      </c>
      <c r="AE3355" t="n">
        <v>26</v>
      </c>
      <c r="AF3355" t="n">
        <v>7</v>
      </c>
      <c r="AG3355" t="n">
        <v>8</v>
      </c>
      <c r="AH3355" t="n">
        <v>6</v>
      </c>
      <c r="AI3355" t="n">
        <v>7</v>
      </c>
      <c r="AJ3355" t="n">
        <v>18</v>
      </c>
      <c r="AK3355" t="n">
        <v>18</v>
      </c>
      <c r="AL3355" t="n">
        <v>1</v>
      </c>
      <c r="AM3355" t="n">
        <v>1</v>
      </c>
      <c r="AN3355" t="n">
        <v>0</v>
      </c>
      <c r="AO3355" t="n">
        <v>0</v>
      </c>
      <c r="AP3355" t="inlineStr">
        <is>
          <t>No</t>
        </is>
      </c>
      <c r="AQ3355" t="inlineStr">
        <is>
          <t>No</t>
        </is>
      </c>
      <c r="AS3355">
        <f>HYPERLINK("https://creighton-primo.hosted.exlibrisgroup.com/primo-explore/search?tab=default_tab&amp;search_scope=EVERYTHING&amp;vid=01CRU&amp;lang=en_US&amp;offset=0&amp;query=any,contains,991003604729702656","Catalog Record")</f>
        <v/>
      </c>
      <c r="AT3355">
        <f>HYPERLINK("http://www.worldcat.org/oclc/1184165","WorldCat Record")</f>
        <v/>
      </c>
      <c r="AU3355" t="inlineStr">
        <is>
          <t>2136258:eng</t>
        </is>
      </c>
      <c r="AV3355" t="inlineStr">
        <is>
          <t>1184165</t>
        </is>
      </c>
      <c r="AW3355" t="inlineStr">
        <is>
          <t>991003604729702656</t>
        </is>
      </c>
      <c r="AX3355" t="inlineStr">
        <is>
          <t>991003604729702656</t>
        </is>
      </c>
      <c r="AY3355" t="inlineStr">
        <is>
          <t>2268092290002656</t>
        </is>
      </c>
      <c r="AZ3355" t="inlineStr">
        <is>
          <t>BOOK</t>
        </is>
      </c>
      <c r="BC3355" t="inlineStr">
        <is>
          <t>32285001227072</t>
        </is>
      </c>
      <c r="BD3355" t="inlineStr">
        <is>
          <t>893512138</t>
        </is>
      </c>
    </row>
    <row r="3356">
      <c r="A3356" t="inlineStr">
        <is>
          <t>No</t>
        </is>
      </c>
      <c r="B3356" t="inlineStr">
        <is>
          <t>BX961.S6 H3 1926</t>
        </is>
      </c>
      <c r="C3356" t="inlineStr">
        <is>
          <t>0                      BX 0961000S  6                  H  3           1926</t>
        </is>
      </c>
      <c r="D3356" t="inlineStr">
        <is>
          <t>Catholicism, capitalism, or communism / by Rev. Jeremiah C. Harrington ; with a preface by Rev. John A. Ryan ; with an introduction by Ralph Adams Cram ; with an epilogue by Gilbert K. Chesterton.</t>
        </is>
      </c>
      <c r="F3356" t="inlineStr">
        <is>
          <t>No</t>
        </is>
      </c>
      <c r="G3356" t="inlineStr">
        <is>
          <t>1</t>
        </is>
      </c>
      <c r="H3356" t="inlineStr">
        <is>
          <t>No</t>
        </is>
      </c>
      <c r="I3356" t="inlineStr">
        <is>
          <t>No</t>
        </is>
      </c>
      <c r="J3356" t="inlineStr">
        <is>
          <t>0</t>
        </is>
      </c>
      <c r="K3356" t="inlineStr">
        <is>
          <t>Harrington, Jeremiah C., 1882-1926.</t>
        </is>
      </c>
      <c r="L3356" t="inlineStr">
        <is>
          <t>St. Paul : The E. M. Lohmann Co., 1926.</t>
        </is>
      </c>
      <c r="M3356" t="inlineStr">
        <is>
          <t>1926</t>
        </is>
      </c>
      <c r="O3356" t="inlineStr">
        <is>
          <t>eng</t>
        </is>
      </c>
      <c r="P3356" t="inlineStr">
        <is>
          <t>mnu</t>
        </is>
      </c>
      <c r="R3356" t="inlineStr">
        <is>
          <t xml:space="preserve">BX </t>
        </is>
      </c>
      <c r="S3356" t="n">
        <v>3</v>
      </c>
      <c r="T3356" t="n">
        <v>3</v>
      </c>
      <c r="U3356" t="inlineStr">
        <is>
          <t>2007-09-05</t>
        </is>
      </c>
      <c r="V3356" t="inlineStr">
        <is>
          <t>2007-09-05</t>
        </is>
      </c>
      <c r="W3356" t="inlineStr">
        <is>
          <t>1992-06-05</t>
        </is>
      </c>
      <c r="X3356" t="inlineStr">
        <is>
          <t>1992-06-05</t>
        </is>
      </c>
      <c r="Y3356" t="n">
        <v>110</v>
      </c>
      <c r="Z3356" t="n">
        <v>89</v>
      </c>
      <c r="AA3356" t="n">
        <v>89</v>
      </c>
      <c r="AB3356" t="n">
        <v>2</v>
      </c>
      <c r="AC3356" t="n">
        <v>2</v>
      </c>
      <c r="AD3356" t="n">
        <v>20</v>
      </c>
      <c r="AE3356" t="n">
        <v>20</v>
      </c>
      <c r="AF3356" t="n">
        <v>4</v>
      </c>
      <c r="AG3356" t="n">
        <v>4</v>
      </c>
      <c r="AH3356" t="n">
        <v>8</v>
      </c>
      <c r="AI3356" t="n">
        <v>8</v>
      </c>
      <c r="AJ3356" t="n">
        <v>15</v>
      </c>
      <c r="AK3356" t="n">
        <v>15</v>
      </c>
      <c r="AL3356" t="n">
        <v>0</v>
      </c>
      <c r="AM3356" t="n">
        <v>0</v>
      </c>
      <c r="AN3356" t="n">
        <v>0</v>
      </c>
      <c r="AO3356" t="n">
        <v>0</v>
      </c>
      <c r="AP3356" t="inlineStr">
        <is>
          <t>No</t>
        </is>
      </c>
      <c r="AQ3356" t="inlineStr">
        <is>
          <t>No</t>
        </is>
      </c>
      <c r="AS3356">
        <f>HYPERLINK("https://creighton-primo.hosted.exlibrisgroup.com/primo-explore/search?tab=default_tab&amp;search_scope=EVERYTHING&amp;vid=01CRU&amp;lang=en_US&amp;offset=0&amp;query=any,contains,991004181839702656","Catalog Record")</f>
        <v/>
      </c>
      <c r="AT3356">
        <f>HYPERLINK("http://www.worldcat.org/oclc/2606687","WorldCat Record")</f>
        <v/>
      </c>
      <c r="AU3356" t="inlineStr">
        <is>
          <t>5455015:eng</t>
        </is>
      </c>
      <c r="AV3356" t="inlineStr">
        <is>
          <t>2606687</t>
        </is>
      </c>
      <c r="AW3356" t="inlineStr">
        <is>
          <t>991004181839702656</t>
        </is>
      </c>
      <c r="AX3356" t="inlineStr">
        <is>
          <t>991004181839702656</t>
        </is>
      </c>
      <c r="AY3356" t="inlineStr">
        <is>
          <t>2267079530002656</t>
        </is>
      </c>
      <c r="AZ3356" t="inlineStr">
        <is>
          <t>BOOK</t>
        </is>
      </c>
      <c r="BC3356" t="inlineStr">
        <is>
          <t>32285001227080</t>
        </is>
      </c>
      <c r="BD3356" t="inlineStr">
        <is>
          <t>893349711</t>
        </is>
      </c>
    </row>
    <row r="3357">
      <c r="A3357" t="inlineStr">
        <is>
          <t>No</t>
        </is>
      </c>
      <c r="B3357" t="inlineStr">
        <is>
          <t>BX970 .R48</t>
        </is>
      </c>
      <c r="C3357" t="inlineStr">
        <is>
          <t>0                      BX 0970000R  48</t>
        </is>
      </c>
      <c r="D3357" t="inlineStr">
        <is>
          <t>The popes and the papacy in the early Middle Ages, 476-752 / Jeffrey Richards.</t>
        </is>
      </c>
      <c r="F3357" t="inlineStr">
        <is>
          <t>No</t>
        </is>
      </c>
      <c r="G3357" t="inlineStr">
        <is>
          <t>1</t>
        </is>
      </c>
      <c r="H3357" t="inlineStr">
        <is>
          <t>No</t>
        </is>
      </c>
      <c r="I3357" t="inlineStr">
        <is>
          <t>No</t>
        </is>
      </c>
      <c r="J3357" t="inlineStr">
        <is>
          <t>0</t>
        </is>
      </c>
      <c r="K3357" t="inlineStr">
        <is>
          <t>Richards, Jeffrey.</t>
        </is>
      </c>
      <c r="L3357" t="inlineStr">
        <is>
          <t>London ; Boston : Routledge &amp; Kegan Paul, 1979.</t>
        </is>
      </c>
      <c r="M3357" t="inlineStr">
        <is>
          <t>1979</t>
        </is>
      </c>
      <c r="O3357" t="inlineStr">
        <is>
          <t>eng</t>
        </is>
      </c>
      <c r="P3357" t="inlineStr">
        <is>
          <t>enk</t>
        </is>
      </c>
      <c r="R3357" t="inlineStr">
        <is>
          <t xml:space="preserve">BX </t>
        </is>
      </c>
      <c r="S3357" t="n">
        <v>1</v>
      </c>
      <c r="T3357" t="n">
        <v>1</v>
      </c>
      <c r="U3357" t="inlineStr">
        <is>
          <t>2002-11-21</t>
        </is>
      </c>
      <c r="V3357" t="inlineStr">
        <is>
          <t>2002-11-21</t>
        </is>
      </c>
      <c r="W3357" t="inlineStr">
        <is>
          <t>1992-06-05</t>
        </is>
      </c>
      <c r="X3357" t="inlineStr">
        <is>
          <t>1992-06-05</t>
        </is>
      </c>
      <c r="Y3357" t="n">
        <v>691</v>
      </c>
      <c r="Z3357" t="n">
        <v>521</v>
      </c>
      <c r="AA3357" t="n">
        <v>544</v>
      </c>
      <c r="AB3357" t="n">
        <v>4</v>
      </c>
      <c r="AC3357" t="n">
        <v>4</v>
      </c>
      <c r="AD3357" t="n">
        <v>34</v>
      </c>
      <c r="AE3357" t="n">
        <v>34</v>
      </c>
      <c r="AF3357" t="n">
        <v>13</v>
      </c>
      <c r="AG3357" t="n">
        <v>13</v>
      </c>
      <c r="AH3357" t="n">
        <v>8</v>
      </c>
      <c r="AI3357" t="n">
        <v>8</v>
      </c>
      <c r="AJ3357" t="n">
        <v>21</v>
      </c>
      <c r="AK3357" t="n">
        <v>21</v>
      </c>
      <c r="AL3357" t="n">
        <v>3</v>
      </c>
      <c r="AM3357" t="n">
        <v>3</v>
      </c>
      <c r="AN3357" t="n">
        <v>0</v>
      </c>
      <c r="AO3357" t="n">
        <v>0</v>
      </c>
      <c r="AP3357" t="inlineStr">
        <is>
          <t>No</t>
        </is>
      </c>
      <c r="AQ3357" t="inlineStr">
        <is>
          <t>No</t>
        </is>
      </c>
      <c r="AS3357">
        <f>HYPERLINK("https://creighton-primo.hosted.exlibrisgroup.com/primo-explore/search?tab=default_tab&amp;search_scope=EVERYTHING&amp;vid=01CRU&amp;lang=en_US&amp;offset=0&amp;query=any,contains,991004753539702656","Catalog Record")</f>
        <v/>
      </c>
      <c r="AT3357">
        <f>HYPERLINK("http://www.worldcat.org/oclc/4952990","WorldCat Record")</f>
        <v/>
      </c>
      <c r="AU3357" t="inlineStr">
        <is>
          <t>15126319:eng</t>
        </is>
      </c>
      <c r="AV3357" t="inlineStr">
        <is>
          <t>4952990</t>
        </is>
      </c>
      <c r="AW3357" t="inlineStr">
        <is>
          <t>991004753539702656</t>
        </is>
      </c>
      <c r="AX3357" t="inlineStr">
        <is>
          <t>991004753539702656</t>
        </is>
      </c>
      <c r="AY3357" t="inlineStr">
        <is>
          <t>2259424840002656</t>
        </is>
      </c>
      <c r="AZ3357" t="inlineStr">
        <is>
          <t>BOOK</t>
        </is>
      </c>
      <c r="BB3357" t="inlineStr">
        <is>
          <t>9780710000989</t>
        </is>
      </c>
      <c r="BC3357" t="inlineStr">
        <is>
          <t>32285001227098</t>
        </is>
      </c>
      <c r="BD3357" t="inlineStr">
        <is>
          <t>893712977</t>
        </is>
      </c>
    </row>
    <row r="3358">
      <c r="A3358" t="inlineStr">
        <is>
          <t>No</t>
        </is>
      </c>
      <c r="B3358" t="inlineStr">
        <is>
          <t>BX970 .W4 1964</t>
        </is>
      </c>
      <c r="C3358" t="inlineStr">
        <is>
          <t>0                      BX 0970000W  4           1964</t>
        </is>
      </c>
      <c r="D3358" t="inlineStr">
        <is>
          <t>The ancient Popes / by E. G. Weltin.</t>
        </is>
      </c>
      <c r="F3358" t="inlineStr">
        <is>
          <t>No</t>
        </is>
      </c>
      <c r="G3358" t="inlineStr">
        <is>
          <t>1</t>
        </is>
      </c>
      <c r="H3358" t="inlineStr">
        <is>
          <t>No</t>
        </is>
      </c>
      <c r="I3358" t="inlineStr">
        <is>
          <t>No</t>
        </is>
      </c>
      <c r="J3358" t="inlineStr">
        <is>
          <t>0</t>
        </is>
      </c>
      <c r="K3358" t="inlineStr">
        <is>
          <t>Weltin, E. G. (Edward George), 1911-2002.</t>
        </is>
      </c>
      <c r="L3358" t="inlineStr">
        <is>
          <t>Westminster, Md. : Newman Press, 1964.</t>
        </is>
      </c>
      <c r="M3358" t="inlineStr">
        <is>
          <t>1964</t>
        </is>
      </c>
      <c r="O3358" t="inlineStr">
        <is>
          <t>eng</t>
        </is>
      </c>
      <c r="P3358" t="inlineStr">
        <is>
          <t xml:space="preserve">xx </t>
        </is>
      </c>
      <c r="Q3358" t="inlineStr">
        <is>
          <t>The Popes through history ; v. 2</t>
        </is>
      </c>
      <c r="R3358" t="inlineStr">
        <is>
          <t xml:space="preserve">BX </t>
        </is>
      </c>
      <c r="S3358" t="n">
        <v>5</v>
      </c>
      <c r="T3358" t="n">
        <v>5</v>
      </c>
      <c r="U3358" t="inlineStr">
        <is>
          <t>2007-11-19</t>
        </is>
      </c>
      <c r="V3358" t="inlineStr">
        <is>
          <t>2007-11-19</t>
        </is>
      </c>
      <c r="W3358" t="inlineStr">
        <is>
          <t>1992-06-05</t>
        </is>
      </c>
      <c r="X3358" t="inlineStr">
        <is>
          <t>1992-06-05</t>
        </is>
      </c>
      <c r="Y3358" t="n">
        <v>283</v>
      </c>
      <c r="Z3358" t="n">
        <v>258</v>
      </c>
      <c r="AA3358" t="n">
        <v>259</v>
      </c>
      <c r="AB3358" t="n">
        <v>5</v>
      </c>
      <c r="AC3358" t="n">
        <v>5</v>
      </c>
      <c r="AD3358" t="n">
        <v>30</v>
      </c>
      <c r="AE3358" t="n">
        <v>30</v>
      </c>
      <c r="AF3358" t="n">
        <v>10</v>
      </c>
      <c r="AG3358" t="n">
        <v>10</v>
      </c>
      <c r="AH3358" t="n">
        <v>7</v>
      </c>
      <c r="AI3358" t="n">
        <v>7</v>
      </c>
      <c r="AJ3358" t="n">
        <v>21</v>
      </c>
      <c r="AK3358" t="n">
        <v>21</v>
      </c>
      <c r="AL3358" t="n">
        <v>2</v>
      </c>
      <c r="AM3358" t="n">
        <v>2</v>
      </c>
      <c r="AN3358" t="n">
        <v>0</v>
      </c>
      <c r="AO3358" t="n">
        <v>0</v>
      </c>
      <c r="AP3358" t="inlineStr">
        <is>
          <t>No</t>
        </is>
      </c>
      <c r="AQ3358" t="inlineStr">
        <is>
          <t>No</t>
        </is>
      </c>
      <c r="AS3358">
        <f>HYPERLINK("https://creighton-primo.hosted.exlibrisgroup.com/primo-explore/search?tab=default_tab&amp;search_scope=EVERYTHING&amp;vid=01CRU&amp;lang=en_US&amp;offset=0&amp;query=any,contains,991003779879702656","Catalog Record")</f>
        <v/>
      </c>
      <c r="AT3358">
        <f>HYPERLINK("http://www.worldcat.org/oclc/1491978","WorldCat Record")</f>
        <v/>
      </c>
      <c r="AU3358" t="inlineStr">
        <is>
          <t>10627709275:eng</t>
        </is>
      </c>
      <c r="AV3358" t="inlineStr">
        <is>
          <t>1491978</t>
        </is>
      </c>
      <c r="AW3358" t="inlineStr">
        <is>
          <t>991003779879702656</t>
        </is>
      </c>
      <c r="AX3358" t="inlineStr">
        <is>
          <t>991003779879702656</t>
        </is>
      </c>
      <c r="AY3358" t="inlineStr">
        <is>
          <t>2271975280002656</t>
        </is>
      </c>
      <c r="AZ3358" t="inlineStr">
        <is>
          <t>BOOK</t>
        </is>
      </c>
      <c r="BC3358" t="inlineStr">
        <is>
          <t>32285001227114</t>
        </is>
      </c>
      <c r="BD3358" t="inlineStr">
        <is>
          <t>893416791</t>
        </is>
      </c>
    </row>
    <row r="3359">
      <c r="A3359" t="inlineStr">
        <is>
          <t>No</t>
        </is>
      </c>
      <c r="B3359" t="inlineStr">
        <is>
          <t>BX9715 .M87 1994</t>
        </is>
      </c>
      <c r="C3359" t="inlineStr">
        <is>
          <t>0                      BX 9715000M  87          1994</t>
        </is>
      </c>
      <c r="D3359" t="inlineStr">
        <is>
          <t>Origins of the Salvation Army / Norman H. Murdoch.</t>
        </is>
      </c>
      <c r="F3359" t="inlineStr">
        <is>
          <t>No</t>
        </is>
      </c>
      <c r="G3359" t="inlineStr">
        <is>
          <t>1</t>
        </is>
      </c>
      <c r="H3359" t="inlineStr">
        <is>
          <t>No</t>
        </is>
      </c>
      <c r="I3359" t="inlineStr">
        <is>
          <t>No</t>
        </is>
      </c>
      <c r="J3359" t="inlineStr">
        <is>
          <t>0</t>
        </is>
      </c>
      <c r="K3359" t="inlineStr">
        <is>
          <t>Murdoch, Norman H.</t>
        </is>
      </c>
      <c r="L3359" t="inlineStr">
        <is>
          <t>Knoxville : University of Tennessee Press, c1994.</t>
        </is>
      </c>
      <c r="M3359" t="inlineStr">
        <is>
          <t>1994</t>
        </is>
      </c>
      <c r="N3359" t="inlineStr">
        <is>
          <t>1st ed.</t>
        </is>
      </c>
      <c r="O3359" t="inlineStr">
        <is>
          <t>eng</t>
        </is>
      </c>
      <c r="P3359" t="inlineStr">
        <is>
          <t>tnu</t>
        </is>
      </c>
      <c r="R3359" t="inlineStr">
        <is>
          <t xml:space="preserve">BX </t>
        </is>
      </c>
      <c r="S3359" t="n">
        <v>6</v>
      </c>
      <c r="T3359" t="n">
        <v>6</v>
      </c>
      <c r="U3359" t="inlineStr">
        <is>
          <t>2005-05-04</t>
        </is>
      </c>
      <c r="V3359" t="inlineStr">
        <is>
          <t>2005-05-04</t>
        </is>
      </c>
      <c r="W3359" t="inlineStr">
        <is>
          <t>1995-12-27</t>
        </is>
      </c>
      <c r="X3359" t="inlineStr">
        <is>
          <t>1995-12-27</t>
        </is>
      </c>
      <c r="Y3359" t="n">
        <v>791</v>
      </c>
      <c r="Z3359" t="n">
        <v>708</v>
      </c>
      <c r="AA3359" t="n">
        <v>731</v>
      </c>
      <c r="AB3359" t="n">
        <v>11</v>
      </c>
      <c r="AC3359" t="n">
        <v>11</v>
      </c>
      <c r="AD3359" t="n">
        <v>33</v>
      </c>
      <c r="AE3359" t="n">
        <v>34</v>
      </c>
      <c r="AF3359" t="n">
        <v>11</v>
      </c>
      <c r="AG3359" t="n">
        <v>12</v>
      </c>
      <c r="AH3359" t="n">
        <v>5</v>
      </c>
      <c r="AI3359" t="n">
        <v>6</v>
      </c>
      <c r="AJ3359" t="n">
        <v>15</v>
      </c>
      <c r="AK3359" t="n">
        <v>15</v>
      </c>
      <c r="AL3359" t="n">
        <v>9</v>
      </c>
      <c r="AM3359" t="n">
        <v>9</v>
      </c>
      <c r="AN3359" t="n">
        <v>0</v>
      </c>
      <c r="AO3359" t="n">
        <v>0</v>
      </c>
      <c r="AP3359" t="inlineStr">
        <is>
          <t>No</t>
        </is>
      </c>
      <c r="AQ3359" t="inlineStr">
        <is>
          <t>No</t>
        </is>
      </c>
      <c r="AS3359">
        <f>HYPERLINK("https://creighton-primo.hosted.exlibrisgroup.com/primo-explore/search?tab=default_tab&amp;search_scope=EVERYTHING&amp;vid=01CRU&amp;lang=en_US&amp;offset=0&amp;query=any,contains,991002350009702656","Catalog Record")</f>
        <v/>
      </c>
      <c r="AT3359">
        <f>HYPERLINK("http://www.worldcat.org/oclc/30595123","WorldCat Record")</f>
        <v/>
      </c>
      <c r="AU3359" t="inlineStr">
        <is>
          <t>32790844:eng</t>
        </is>
      </c>
      <c r="AV3359" t="inlineStr">
        <is>
          <t>30595123</t>
        </is>
      </c>
      <c r="AW3359" t="inlineStr">
        <is>
          <t>991002350009702656</t>
        </is>
      </c>
      <c r="AX3359" t="inlineStr">
        <is>
          <t>991002350009702656</t>
        </is>
      </c>
      <c r="AY3359" t="inlineStr">
        <is>
          <t>2268128070002656</t>
        </is>
      </c>
      <c r="AZ3359" t="inlineStr">
        <is>
          <t>BOOK</t>
        </is>
      </c>
      <c r="BB3359" t="inlineStr">
        <is>
          <t>9780870498589</t>
        </is>
      </c>
      <c r="BC3359" t="inlineStr">
        <is>
          <t>32285002112430</t>
        </is>
      </c>
      <c r="BD3359" t="inlineStr">
        <is>
          <t>893433773</t>
        </is>
      </c>
    </row>
    <row r="3360">
      <c r="A3360" t="inlineStr">
        <is>
          <t>No</t>
        </is>
      </c>
      <c r="B3360" t="inlineStr">
        <is>
          <t>BX9715 .R535 1993</t>
        </is>
      </c>
      <c r="C3360" t="inlineStr">
        <is>
          <t>0                      BX 9715000R  535         1993</t>
        </is>
      </c>
      <c r="D3360" t="inlineStr">
        <is>
          <t>A new people of God : a study in Salvationism / by John R. Rhemick.</t>
        </is>
      </c>
      <c r="F3360" t="inlineStr">
        <is>
          <t>No</t>
        </is>
      </c>
      <c r="G3360" t="inlineStr">
        <is>
          <t>1</t>
        </is>
      </c>
      <c r="H3360" t="inlineStr">
        <is>
          <t>No</t>
        </is>
      </c>
      <c r="I3360" t="inlineStr">
        <is>
          <t>No</t>
        </is>
      </c>
      <c r="J3360" t="inlineStr">
        <is>
          <t>0</t>
        </is>
      </c>
      <c r="K3360" t="inlineStr">
        <is>
          <t>Rhemick, John Rosario, 1939-</t>
        </is>
      </c>
      <c r="L3360" t="inlineStr">
        <is>
          <t>Des Plaines, Ill. : Salvation Army, c1984, 1993.</t>
        </is>
      </c>
      <c r="M3360" t="inlineStr">
        <is>
          <t>1993</t>
        </is>
      </c>
      <c r="O3360" t="inlineStr">
        <is>
          <t>eng</t>
        </is>
      </c>
      <c r="P3360" t="inlineStr">
        <is>
          <t>ilu</t>
        </is>
      </c>
      <c r="R3360" t="inlineStr">
        <is>
          <t xml:space="preserve">BX </t>
        </is>
      </c>
      <c r="S3360" t="n">
        <v>5</v>
      </c>
      <c r="T3360" t="n">
        <v>5</v>
      </c>
      <c r="U3360" t="inlineStr">
        <is>
          <t>2005-05-04</t>
        </is>
      </c>
      <c r="V3360" t="inlineStr">
        <is>
          <t>2005-05-04</t>
        </is>
      </c>
      <c r="W3360" t="inlineStr">
        <is>
          <t>1999-01-07</t>
        </is>
      </c>
      <c r="X3360" t="inlineStr">
        <is>
          <t>1999-01-07</t>
        </is>
      </c>
      <c r="Y3360" t="n">
        <v>8</v>
      </c>
      <c r="Z3360" t="n">
        <v>6</v>
      </c>
      <c r="AA3360" t="n">
        <v>6</v>
      </c>
      <c r="AB3360" t="n">
        <v>1</v>
      </c>
      <c r="AC3360" t="n">
        <v>1</v>
      </c>
      <c r="AD3360" t="n">
        <v>0</v>
      </c>
      <c r="AE3360" t="n">
        <v>0</v>
      </c>
      <c r="AF3360" t="n">
        <v>0</v>
      </c>
      <c r="AG3360" t="n">
        <v>0</v>
      </c>
      <c r="AH3360" t="n">
        <v>0</v>
      </c>
      <c r="AI3360" t="n">
        <v>0</v>
      </c>
      <c r="AJ3360" t="n">
        <v>0</v>
      </c>
      <c r="AK3360" t="n">
        <v>0</v>
      </c>
      <c r="AL3360" t="n">
        <v>0</v>
      </c>
      <c r="AM3360" t="n">
        <v>0</v>
      </c>
      <c r="AN3360" t="n">
        <v>0</v>
      </c>
      <c r="AO3360" t="n">
        <v>0</v>
      </c>
      <c r="AP3360" t="inlineStr">
        <is>
          <t>No</t>
        </is>
      </c>
      <c r="AQ3360" t="inlineStr">
        <is>
          <t>No</t>
        </is>
      </c>
      <c r="AS3360">
        <f>HYPERLINK("https://creighton-primo.hosted.exlibrisgroup.com/primo-explore/search?tab=default_tab&amp;search_scope=EVERYTHING&amp;vid=01CRU&amp;lang=en_US&amp;offset=0&amp;query=any,contains,991002707709702656","Catalog Record")</f>
        <v/>
      </c>
      <c r="AT3360">
        <f>HYPERLINK("http://www.worldcat.org/oclc/35362790","WorldCat Record")</f>
        <v/>
      </c>
      <c r="AU3360" t="inlineStr">
        <is>
          <t>39913618:eng</t>
        </is>
      </c>
      <c r="AV3360" t="inlineStr">
        <is>
          <t>35362790</t>
        </is>
      </c>
      <c r="AW3360" t="inlineStr">
        <is>
          <t>991002707709702656</t>
        </is>
      </c>
      <c r="AX3360" t="inlineStr">
        <is>
          <t>991002707709702656</t>
        </is>
      </c>
      <c r="AY3360" t="inlineStr">
        <is>
          <t>2266009820002656</t>
        </is>
      </c>
      <c r="AZ3360" t="inlineStr">
        <is>
          <t>BOOK</t>
        </is>
      </c>
      <c r="BB3360" t="inlineStr">
        <is>
          <t>9781883719005</t>
        </is>
      </c>
      <c r="BC3360" t="inlineStr">
        <is>
          <t>32285003510509</t>
        </is>
      </c>
      <c r="BD3360" t="inlineStr">
        <is>
          <t>893716819</t>
        </is>
      </c>
    </row>
    <row r="3361">
      <c r="A3361" t="inlineStr">
        <is>
          <t>No</t>
        </is>
      </c>
      <c r="B3361" t="inlineStr">
        <is>
          <t>BX9750.S4 U52 1979</t>
        </is>
      </c>
      <c r="C3361" t="inlineStr">
        <is>
          <t>0                      BX 9750000S  4                  U  52          1979</t>
        </is>
      </c>
      <c r="D3361" t="inlineStr">
        <is>
          <t>Hostage to heaven / by Barbara Underwood and Betty Underwood.</t>
        </is>
      </c>
      <c r="F3361" t="inlineStr">
        <is>
          <t>No</t>
        </is>
      </c>
      <c r="G3361" t="inlineStr">
        <is>
          <t>1</t>
        </is>
      </c>
      <c r="H3361" t="inlineStr">
        <is>
          <t>No</t>
        </is>
      </c>
      <c r="I3361" t="inlineStr">
        <is>
          <t>No</t>
        </is>
      </c>
      <c r="J3361" t="inlineStr">
        <is>
          <t>0</t>
        </is>
      </c>
      <c r="K3361" t="inlineStr">
        <is>
          <t>Underwood, Barbara.</t>
        </is>
      </c>
      <c r="L3361" t="inlineStr">
        <is>
          <t>New York : C. N. Potter : distributed by Crown Publishers, c1979.</t>
        </is>
      </c>
      <c r="M3361" t="inlineStr">
        <is>
          <t>1979</t>
        </is>
      </c>
      <c r="O3361" t="inlineStr">
        <is>
          <t>eng</t>
        </is>
      </c>
      <c r="P3361" t="inlineStr">
        <is>
          <t>nyu</t>
        </is>
      </c>
      <c r="R3361" t="inlineStr">
        <is>
          <t xml:space="preserve">BX </t>
        </is>
      </c>
      <c r="S3361" t="n">
        <v>4</v>
      </c>
      <c r="T3361" t="n">
        <v>4</v>
      </c>
      <c r="U3361" t="inlineStr">
        <is>
          <t>1997-11-11</t>
        </is>
      </c>
      <c r="V3361" t="inlineStr">
        <is>
          <t>1997-11-11</t>
        </is>
      </c>
      <c r="W3361" t="inlineStr">
        <is>
          <t>1992-05-28</t>
        </is>
      </c>
      <c r="X3361" t="inlineStr">
        <is>
          <t>1992-05-28</t>
        </is>
      </c>
      <c r="Y3361" t="n">
        <v>651</v>
      </c>
      <c r="Z3361" t="n">
        <v>626</v>
      </c>
      <c r="AA3361" t="n">
        <v>633</v>
      </c>
      <c r="AB3361" t="n">
        <v>4</v>
      </c>
      <c r="AC3361" t="n">
        <v>4</v>
      </c>
      <c r="AD3361" t="n">
        <v>9</v>
      </c>
      <c r="AE3361" t="n">
        <v>9</v>
      </c>
      <c r="AF3361" t="n">
        <v>3</v>
      </c>
      <c r="AG3361" t="n">
        <v>3</v>
      </c>
      <c r="AH3361" t="n">
        <v>2</v>
      </c>
      <c r="AI3361" t="n">
        <v>2</v>
      </c>
      <c r="AJ3361" t="n">
        <v>3</v>
      </c>
      <c r="AK3361" t="n">
        <v>3</v>
      </c>
      <c r="AL3361" t="n">
        <v>2</v>
      </c>
      <c r="AM3361" t="n">
        <v>2</v>
      </c>
      <c r="AN3361" t="n">
        <v>0</v>
      </c>
      <c r="AO3361" t="n">
        <v>0</v>
      </c>
      <c r="AP3361" t="inlineStr">
        <is>
          <t>No</t>
        </is>
      </c>
      <c r="AQ3361" t="inlineStr">
        <is>
          <t>Yes</t>
        </is>
      </c>
      <c r="AR3361">
        <f>HYPERLINK("http://catalog.hathitrust.org/Record/007116235","HathiTrust Record")</f>
        <v/>
      </c>
      <c r="AS3361">
        <f>HYPERLINK("https://creighton-primo.hosted.exlibrisgroup.com/primo-explore/search?tab=default_tab&amp;search_scope=EVERYTHING&amp;vid=01CRU&amp;lang=en_US&amp;offset=0&amp;query=any,contains,991004757949702656","Catalog Record")</f>
        <v/>
      </c>
      <c r="AT3361">
        <f>HYPERLINK("http://www.worldcat.org/oclc/4983025","WorldCat Record")</f>
        <v/>
      </c>
      <c r="AU3361" t="inlineStr">
        <is>
          <t>5342668120:eng</t>
        </is>
      </c>
      <c r="AV3361" t="inlineStr">
        <is>
          <t>4983025</t>
        </is>
      </c>
      <c r="AW3361" t="inlineStr">
        <is>
          <t>991004757949702656</t>
        </is>
      </c>
      <c r="AX3361" t="inlineStr">
        <is>
          <t>991004757949702656</t>
        </is>
      </c>
      <c r="AY3361" t="inlineStr">
        <is>
          <t>2266129530002656</t>
        </is>
      </c>
      <c r="AZ3361" t="inlineStr">
        <is>
          <t>BOOK</t>
        </is>
      </c>
      <c r="BB3361" t="inlineStr">
        <is>
          <t>9780517538753</t>
        </is>
      </c>
      <c r="BC3361" t="inlineStr">
        <is>
          <t>32285001141737</t>
        </is>
      </c>
      <c r="BD3361" t="inlineStr">
        <is>
          <t>893507199</t>
        </is>
      </c>
    </row>
    <row r="3362">
      <c r="A3362" t="inlineStr">
        <is>
          <t>No</t>
        </is>
      </c>
      <c r="B3362" t="inlineStr">
        <is>
          <t>BX9750.S44 B52 1986</t>
        </is>
      </c>
      <c r="C3362" t="inlineStr">
        <is>
          <t>0                      BX 9750000S  44                 B  52          1986</t>
        </is>
      </c>
      <c r="D3362" t="inlineStr">
        <is>
          <t>The odyssey of new religious movements : persecution, struggle, legitimation : a case study of the Unification Church / John T. Biermans.</t>
        </is>
      </c>
      <c r="F3362" t="inlineStr">
        <is>
          <t>No</t>
        </is>
      </c>
      <c r="G3362" t="inlineStr">
        <is>
          <t>1</t>
        </is>
      </c>
      <c r="H3362" t="inlineStr">
        <is>
          <t>No</t>
        </is>
      </c>
      <c r="I3362" t="inlineStr">
        <is>
          <t>No</t>
        </is>
      </c>
      <c r="J3362" t="inlineStr">
        <is>
          <t>0</t>
        </is>
      </c>
      <c r="K3362" t="inlineStr">
        <is>
          <t>Biermans, John T.</t>
        </is>
      </c>
      <c r="L3362" t="inlineStr">
        <is>
          <t>Lewiston, NY : E. Mellen Press, c1986.</t>
        </is>
      </c>
      <c r="M3362" t="inlineStr">
        <is>
          <t>1986</t>
        </is>
      </c>
      <c r="O3362" t="inlineStr">
        <is>
          <t>eng</t>
        </is>
      </c>
      <c r="P3362" t="inlineStr">
        <is>
          <t>nyu</t>
        </is>
      </c>
      <c r="Q3362" t="inlineStr">
        <is>
          <t>Symposium series ; v. 19</t>
        </is>
      </c>
      <c r="R3362" t="inlineStr">
        <is>
          <t xml:space="preserve">BX </t>
        </is>
      </c>
      <c r="S3362" t="n">
        <v>6</v>
      </c>
      <c r="T3362" t="n">
        <v>6</v>
      </c>
      <c r="U3362" t="inlineStr">
        <is>
          <t>2005-04-13</t>
        </is>
      </c>
      <c r="V3362" t="inlineStr">
        <is>
          <t>2005-04-13</t>
        </is>
      </c>
      <c r="W3362" t="inlineStr">
        <is>
          <t>1992-05-28</t>
        </is>
      </c>
      <c r="X3362" t="inlineStr">
        <is>
          <t>1992-05-28</t>
        </is>
      </c>
      <c r="Y3362" t="n">
        <v>848</v>
      </c>
      <c r="Z3362" t="n">
        <v>810</v>
      </c>
      <c r="AA3362" t="n">
        <v>813</v>
      </c>
      <c r="AB3362" t="n">
        <v>12</v>
      </c>
      <c r="AC3362" t="n">
        <v>12</v>
      </c>
      <c r="AD3362" t="n">
        <v>55</v>
      </c>
      <c r="AE3362" t="n">
        <v>55</v>
      </c>
      <c r="AF3362" t="n">
        <v>23</v>
      </c>
      <c r="AG3362" t="n">
        <v>23</v>
      </c>
      <c r="AH3362" t="n">
        <v>7</v>
      </c>
      <c r="AI3362" t="n">
        <v>7</v>
      </c>
      <c r="AJ3362" t="n">
        <v>23</v>
      </c>
      <c r="AK3362" t="n">
        <v>23</v>
      </c>
      <c r="AL3362" t="n">
        <v>11</v>
      </c>
      <c r="AM3362" t="n">
        <v>11</v>
      </c>
      <c r="AN3362" t="n">
        <v>2</v>
      </c>
      <c r="AO3362" t="n">
        <v>2</v>
      </c>
      <c r="AP3362" t="inlineStr">
        <is>
          <t>No</t>
        </is>
      </c>
      <c r="AQ3362" t="inlineStr">
        <is>
          <t>Yes</t>
        </is>
      </c>
      <c r="AR3362">
        <f>HYPERLINK("http://catalog.hathitrust.org/Record/000858915","HathiTrust Record")</f>
        <v/>
      </c>
      <c r="AS3362">
        <f>HYPERLINK("https://creighton-primo.hosted.exlibrisgroup.com/primo-explore/search?tab=default_tab&amp;search_scope=EVERYTHING&amp;vid=01CRU&amp;lang=en_US&amp;offset=0&amp;query=any,contains,991001003159702656","Catalog Record")</f>
        <v/>
      </c>
      <c r="AT3362">
        <f>HYPERLINK("http://www.worldcat.org/oclc/15221610","WorldCat Record")</f>
        <v/>
      </c>
      <c r="AU3362" t="inlineStr">
        <is>
          <t>367881431:eng</t>
        </is>
      </c>
      <c r="AV3362" t="inlineStr">
        <is>
          <t>15221610</t>
        </is>
      </c>
      <c r="AW3362" t="inlineStr">
        <is>
          <t>991001003159702656</t>
        </is>
      </c>
      <c r="AX3362" t="inlineStr">
        <is>
          <t>991001003159702656</t>
        </is>
      </c>
      <c r="AY3362" t="inlineStr">
        <is>
          <t>2262860470002656</t>
        </is>
      </c>
      <c r="AZ3362" t="inlineStr">
        <is>
          <t>BOOK</t>
        </is>
      </c>
      <c r="BB3362" t="inlineStr">
        <is>
          <t>9780889469891</t>
        </is>
      </c>
      <c r="BC3362" t="inlineStr">
        <is>
          <t>32285001141752</t>
        </is>
      </c>
      <c r="BD3362" t="inlineStr">
        <is>
          <t>893351738</t>
        </is>
      </c>
    </row>
    <row r="3363">
      <c r="A3363" t="inlineStr">
        <is>
          <t>No</t>
        </is>
      </c>
      <c r="B3363" t="inlineStr">
        <is>
          <t>BX9765 .A6 1963</t>
        </is>
      </c>
      <c r="C3363" t="inlineStr">
        <is>
          <t>0                      BX 9765000A  6           1963</t>
        </is>
      </c>
      <c r="D3363" t="inlineStr">
        <is>
          <t>The people called Shakers : a search for the perfect society / by Edward Deming Andrews.</t>
        </is>
      </c>
      <c r="F3363" t="inlineStr">
        <is>
          <t>No</t>
        </is>
      </c>
      <c r="G3363" t="inlineStr">
        <is>
          <t>1</t>
        </is>
      </c>
      <c r="H3363" t="inlineStr">
        <is>
          <t>No</t>
        </is>
      </c>
      <c r="I3363" t="inlineStr">
        <is>
          <t>No</t>
        </is>
      </c>
      <c r="J3363" t="inlineStr">
        <is>
          <t>0</t>
        </is>
      </c>
      <c r="K3363" t="inlineStr">
        <is>
          <t>Andrews, Edward Deming, 1894-1964.</t>
        </is>
      </c>
      <c r="L3363" t="inlineStr">
        <is>
          <t>New York : Dover Publications, [1963]</t>
        </is>
      </c>
      <c r="M3363" t="inlineStr">
        <is>
          <t>1963</t>
        </is>
      </c>
      <c r="N3363" t="inlineStr">
        <is>
          <t>New enl. ed.</t>
        </is>
      </c>
      <c r="O3363" t="inlineStr">
        <is>
          <t>eng</t>
        </is>
      </c>
      <c r="P3363" t="inlineStr">
        <is>
          <t>nyu</t>
        </is>
      </c>
      <c r="R3363" t="inlineStr">
        <is>
          <t xml:space="preserve">BX </t>
        </is>
      </c>
      <c r="S3363" t="n">
        <v>6</v>
      </c>
      <c r="T3363" t="n">
        <v>6</v>
      </c>
      <c r="U3363" t="inlineStr">
        <is>
          <t>2005-11-06</t>
        </is>
      </c>
      <c r="V3363" t="inlineStr">
        <is>
          <t>2005-11-06</t>
        </is>
      </c>
      <c r="W3363" t="inlineStr">
        <is>
          <t>1992-05-28</t>
        </is>
      </c>
      <c r="X3363" t="inlineStr">
        <is>
          <t>1992-05-28</t>
        </is>
      </c>
      <c r="Y3363" t="n">
        <v>1212</v>
      </c>
      <c r="Z3363" t="n">
        <v>1102</v>
      </c>
      <c r="AA3363" t="n">
        <v>1698</v>
      </c>
      <c r="AB3363" t="n">
        <v>5</v>
      </c>
      <c r="AC3363" t="n">
        <v>10</v>
      </c>
      <c r="AD3363" t="n">
        <v>30</v>
      </c>
      <c r="AE3363" t="n">
        <v>55</v>
      </c>
      <c r="AF3363" t="n">
        <v>12</v>
      </c>
      <c r="AG3363" t="n">
        <v>24</v>
      </c>
      <c r="AH3363" t="n">
        <v>6</v>
      </c>
      <c r="AI3363" t="n">
        <v>9</v>
      </c>
      <c r="AJ3363" t="n">
        <v>15</v>
      </c>
      <c r="AK3363" t="n">
        <v>25</v>
      </c>
      <c r="AL3363" t="n">
        <v>4</v>
      </c>
      <c r="AM3363" t="n">
        <v>8</v>
      </c>
      <c r="AN3363" t="n">
        <v>0</v>
      </c>
      <c r="AO3363" t="n">
        <v>0</v>
      </c>
      <c r="AP3363" t="inlineStr">
        <is>
          <t>No</t>
        </is>
      </c>
      <c r="AQ3363" t="inlineStr">
        <is>
          <t>No</t>
        </is>
      </c>
      <c r="AS3363">
        <f>HYPERLINK("https://creighton-primo.hosted.exlibrisgroup.com/primo-explore/search?tab=default_tab&amp;search_scope=EVERYTHING&amp;vid=01CRU&amp;lang=en_US&amp;offset=0&amp;query=any,contains,991003350889702656","Catalog Record")</f>
        <v/>
      </c>
      <c r="AT3363">
        <f>HYPERLINK("http://www.worldcat.org/oclc/884466","WorldCat Record")</f>
        <v/>
      </c>
      <c r="AU3363" t="inlineStr">
        <is>
          <t>1707470:eng</t>
        </is>
      </c>
      <c r="AV3363" t="inlineStr">
        <is>
          <t>884466</t>
        </is>
      </c>
      <c r="AW3363" t="inlineStr">
        <is>
          <t>991003350889702656</t>
        </is>
      </c>
      <c r="AX3363" t="inlineStr">
        <is>
          <t>991003350889702656</t>
        </is>
      </c>
      <c r="AY3363" t="inlineStr">
        <is>
          <t>2259165470002656</t>
        </is>
      </c>
      <c r="AZ3363" t="inlineStr">
        <is>
          <t>BOOK</t>
        </is>
      </c>
      <c r="BC3363" t="inlineStr">
        <is>
          <t>32285001141786</t>
        </is>
      </c>
      <c r="BD3363" t="inlineStr">
        <is>
          <t>893499221</t>
        </is>
      </c>
    </row>
    <row r="3364">
      <c r="A3364" t="inlineStr">
        <is>
          <t>No</t>
        </is>
      </c>
      <c r="B3364" t="inlineStr">
        <is>
          <t>BX9765 .M4</t>
        </is>
      </c>
      <c r="C3364" t="inlineStr">
        <is>
          <t>0                      BX 9765000M  4</t>
        </is>
      </c>
      <c r="D3364" t="inlineStr">
        <is>
          <t>The Shaker adventure / by Marguerite Fellows Melcher.</t>
        </is>
      </c>
      <c r="F3364" t="inlineStr">
        <is>
          <t>No</t>
        </is>
      </c>
      <c r="G3364" t="inlineStr">
        <is>
          <t>1</t>
        </is>
      </c>
      <c r="H3364" t="inlineStr">
        <is>
          <t>No</t>
        </is>
      </c>
      <c r="I3364" t="inlineStr">
        <is>
          <t>No</t>
        </is>
      </c>
      <c r="J3364" t="inlineStr">
        <is>
          <t>0</t>
        </is>
      </c>
      <c r="K3364" t="inlineStr">
        <is>
          <t>Melcher, Marguerite Fellows.</t>
        </is>
      </c>
      <c r="L3364" t="inlineStr">
        <is>
          <t>[Cleveland] : Press of Western Reserve University, 1960, c1957.</t>
        </is>
      </c>
      <c r="M3364" t="inlineStr">
        <is>
          <t>1960</t>
        </is>
      </c>
      <c r="O3364" t="inlineStr">
        <is>
          <t>eng</t>
        </is>
      </c>
      <c r="P3364" t="inlineStr">
        <is>
          <t>ohu</t>
        </is>
      </c>
      <c r="R3364" t="inlineStr">
        <is>
          <t xml:space="preserve">BX </t>
        </is>
      </c>
      <c r="S3364" t="n">
        <v>3</v>
      </c>
      <c r="T3364" t="n">
        <v>3</v>
      </c>
      <c r="U3364" t="inlineStr">
        <is>
          <t>2002-10-10</t>
        </is>
      </c>
      <c r="V3364" t="inlineStr">
        <is>
          <t>2002-10-10</t>
        </is>
      </c>
      <c r="W3364" t="inlineStr">
        <is>
          <t>1992-05-28</t>
        </is>
      </c>
      <c r="X3364" t="inlineStr">
        <is>
          <t>1992-05-28</t>
        </is>
      </c>
      <c r="Y3364" t="n">
        <v>264</v>
      </c>
      <c r="Z3364" t="n">
        <v>247</v>
      </c>
      <c r="AA3364" t="n">
        <v>831</v>
      </c>
      <c r="AB3364" t="n">
        <v>1</v>
      </c>
      <c r="AC3364" t="n">
        <v>6</v>
      </c>
      <c r="AD3364" t="n">
        <v>13</v>
      </c>
      <c r="AE3364" t="n">
        <v>33</v>
      </c>
      <c r="AF3364" t="n">
        <v>8</v>
      </c>
      <c r="AG3364" t="n">
        <v>14</v>
      </c>
      <c r="AH3364" t="n">
        <v>1</v>
      </c>
      <c r="AI3364" t="n">
        <v>5</v>
      </c>
      <c r="AJ3364" t="n">
        <v>7</v>
      </c>
      <c r="AK3364" t="n">
        <v>16</v>
      </c>
      <c r="AL3364" t="n">
        <v>0</v>
      </c>
      <c r="AM3364" t="n">
        <v>5</v>
      </c>
      <c r="AN3364" t="n">
        <v>0</v>
      </c>
      <c r="AO3364" t="n">
        <v>0</v>
      </c>
      <c r="AP3364" t="inlineStr">
        <is>
          <t>No</t>
        </is>
      </c>
      <c r="AQ3364" t="inlineStr">
        <is>
          <t>Yes</t>
        </is>
      </c>
      <c r="AR3364">
        <f>HYPERLINK("http://catalog.hathitrust.org/Record/009519488","HathiTrust Record")</f>
        <v/>
      </c>
      <c r="AS3364">
        <f>HYPERLINK("https://creighton-primo.hosted.exlibrisgroup.com/primo-explore/search?tab=default_tab&amp;search_scope=EVERYTHING&amp;vid=01CRU&amp;lang=en_US&amp;offset=0&amp;query=any,contains,991004912089702656","Catalog Record")</f>
        <v/>
      </c>
      <c r="AT3364">
        <f>HYPERLINK("http://www.worldcat.org/oclc/5994445","WorldCat Record")</f>
        <v/>
      </c>
      <c r="AU3364" t="inlineStr">
        <is>
          <t>2440595:eng</t>
        </is>
      </c>
      <c r="AV3364" t="inlineStr">
        <is>
          <t>5994445</t>
        </is>
      </c>
      <c r="AW3364" t="inlineStr">
        <is>
          <t>991004912089702656</t>
        </is>
      </c>
      <c r="AX3364" t="inlineStr">
        <is>
          <t>991004912089702656</t>
        </is>
      </c>
      <c r="AY3364" t="inlineStr">
        <is>
          <t>2261972990002656</t>
        </is>
      </c>
      <c r="AZ3364" t="inlineStr">
        <is>
          <t>BOOK</t>
        </is>
      </c>
      <c r="BC3364" t="inlineStr">
        <is>
          <t>32285001141794</t>
        </is>
      </c>
      <c r="BD3364" t="inlineStr">
        <is>
          <t>893628411</t>
        </is>
      </c>
    </row>
    <row r="3365">
      <c r="A3365" t="inlineStr">
        <is>
          <t>No</t>
        </is>
      </c>
      <c r="B3365" t="inlineStr">
        <is>
          <t>BX9766 .D413</t>
        </is>
      </c>
      <c r="C3365" t="inlineStr">
        <is>
          <t>0                      BX 9766000D  413</t>
        </is>
      </c>
      <c r="D3365" t="inlineStr">
        <is>
          <t>The American Shakers : from neo-Christianity to presocialism / by Henri Desroche. Translated from the French and edited by John K. Savacool.</t>
        </is>
      </c>
      <c r="F3365" t="inlineStr">
        <is>
          <t>No</t>
        </is>
      </c>
      <c r="G3365" t="inlineStr">
        <is>
          <t>1</t>
        </is>
      </c>
      <c r="H3365" t="inlineStr">
        <is>
          <t>No</t>
        </is>
      </c>
      <c r="I3365" t="inlineStr">
        <is>
          <t>No</t>
        </is>
      </c>
      <c r="J3365" t="inlineStr">
        <is>
          <t>0</t>
        </is>
      </c>
      <c r="K3365" t="inlineStr">
        <is>
          <t>Desroche, Henri.</t>
        </is>
      </c>
      <c r="L3365" t="inlineStr">
        <is>
          <t>Amherst : University of Massachusetts Press, 1971.</t>
        </is>
      </c>
      <c r="M3365" t="inlineStr">
        <is>
          <t>1971</t>
        </is>
      </c>
      <c r="O3365" t="inlineStr">
        <is>
          <t>eng</t>
        </is>
      </c>
      <c r="P3365" t="inlineStr">
        <is>
          <t>mau</t>
        </is>
      </c>
      <c r="R3365" t="inlineStr">
        <is>
          <t xml:space="preserve">BX </t>
        </is>
      </c>
      <c r="S3365" t="n">
        <v>4</v>
      </c>
      <c r="T3365" t="n">
        <v>4</v>
      </c>
      <c r="U3365" t="inlineStr">
        <is>
          <t>2007-02-12</t>
        </is>
      </c>
      <c r="V3365" t="inlineStr">
        <is>
          <t>2007-02-12</t>
        </is>
      </c>
      <c r="W3365" t="inlineStr">
        <is>
          <t>1992-05-28</t>
        </is>
      </c>
      <c r="X3365" t="inlineStr">
        <is>
          <t>1992-05-28</t>
        </is>
      </c>
      <c r="Y3365" t="n">
        <v>815</v>
      </c>
      <c r="Z3365" t="n">
        <v>755</v>
      </c>
      <c r="AA3365" t="n">
        <v>763</v>
      </c>
      <c r="AB3365" t="n">
        <v>6</v>
      </c>
      <c r="AC3365" t="n">
        <v>6</v>
      </c>
      <c r="AD3365" t="n">
        <v>31</v>
      </c>
      <c r="AE3365" t="n">
        <v>31</v>
      </c>
      <c r="AF3365" t="n">
        <v>12</v>
      </c>
      <c r="AG3365" t="n">
        <v>12</v>
      </c>
      <c r="AH3365" t="n">
        <v>7</v>
      </c>
      <c r="AI3365" t="n">
        <v>7</v>
      </c>
      <c r="AJ3365" t="n">
        <v>15</v>
      </c>
      <c r="AK3365" t="n">
        <v>15</v>
      </c>
      <c r="AL3365" t="n">
        <v>4</v>
      </c>
      <c r="AM3365" t="n">
        <v>4</v>
      </c>
      <c r="AN3365" t="n">
        <v>0</v>
      </c>
      <c r="AO3365" t="n">
        <v>0</v>
      </c>
      <c r="AP3365" t="inlineStr">
        <is>
          <t>No</t>
        </is>
      </c>
      <c r="AQ3365" t="inlineStr">
        <is>
          <t>Yes</t>
        </is>
      </c>
      <c r="AR3365">
        <f>HYPERLINK("http://catalog.hathitrust.org/Record/001594672","HathiTrust Record")</f>
        <v/>
      </c>
      <c r="AS3365">
        <f>HYPERLINK("https://creighton-primo.hosted.exlibrisgroup.com/primo-explore/search?tab=default_tab&amp;search_scope=EVERYTHING&amp;vid=01CRU&amp;lang=en_US&amp;offset=0&amp;query=any,contains,991000908279702656","Catalog Record")</f>
        <v/>
      </c>
      <c r="AT3365">
        <f>HYPERLINK("http://www.worldcat.org/oclc/158661","WorldCat Record")</f>
        <v/>
      </c>
      <c r="AU3365" t="inlineStr">
        <is>
          <t>9415056089:eng</t>
        </is>
      </c>
      <c r="AV3365" t="inlineStr">
        <is>
          <t>158661</t>
        </is>
      </c>
      <c r="AW3365" t="inlineStr">
        <is>
          <t>991000908279702656</t>
        </is>
      </c>
      <c r="AX3365" t="inlineStr">
        <is>
          <t>991000908279702656</t>
        </is>
      </c>
      <c r="AY3365" t="inlineStr">
        <is>
          <t>2258632780002656</t>
        </is>
      </c>
      <c r="AZ3365" t="inlineStr">
        <is>
          <t>BOOK</t>
        </is>
      </c>
      <c r="BC3365" t="inlineStr">
        <is>
          <t>32285001141802</t>
        </is>
      </c>
      <c r="BD3365" t="inlineStr">
        <is>
          <t>893702549</t>
        </is>
      </c>
    </row>
    <row r="3366">
      <c r="A3366" t="inlineStr">
        <is>
          <t>No</t>
        </is>
      </c>
      <c r="B3366" t="inlineStr">
        <is>
          <t>BX9771 .E85 1972</t>
        </is>
      </c>
      <c r="C3366" t="inlineStr">
        <is>
          <t>0                      BX 9771000E  85          1972</t>
        </is>
      </c>
      <c r="D3366" t="inlineStr">
        <is>
          <t>Shakers : compendium of the origin, history, principles, rules and regulations, government, and doctrines of the United Society of Believers in Christ's Second Appearing : with biographies of Ann Lee, William Lee, Jas. Whittaker, J. Hocknell, J. Meacham, and Lucy Wright / by F.W. Evans.</t>
        </is>
      </c>
      <c r="F3366" t="inlineStr">
        <is>
          <t>No</t>
        </is>
      </c>
      <c r="G3366" t="inlineStr">
        <is>
          <t>1</t>
        </is>
      </c>
      <c r="H3366" t="inlineStr">
        <is>
          <t>No</t>
        </is>
      </c>
      <c r="I3366" t="inlineStr">
        <is>
          <t>No</t>
        </is>
      </c>
      <c r="J3366" t="inlineStr">
        <is>
          <t>0</t>
        </is>
      </c>
      <c r="K3366" t="inlineStr">
        <is>
          <t>Evans, F. W. (Frederick William), 1808-1893.</t>
        </is>
      </c>
      <c r="L3366" t="inlineStr">
        <is>
          <t>New York : B. Franklin, [1972]</t>
        </is>
      </c>
      <c r="M3366" t="inlineStr">
        <is>
          <t>1972</t>
        </is>
      </c>
      <c r="O3366" t="inlineStr">
        <is>
          <t>eng</t>
        </is>
      </c>
      <c r="P3366" t="inlineStr">
        <is>
          <t>nyu</t>
        </is>
      </c>
      <c r="Q3366" t="inlineStr">
        <is>
          <t>Burt Franklin research and source work series. Philosophy &amp; religious history monographs, 101</t>
        </is>
      </c>
      <c r="R3366" t="inlineStr">
        <is>
          <t xml:space="preserve">BX </t>
        </is>
      </c>
      <c r="S3366" t="n">
        <v>5</v>
      </c>
      <c r="T3366" t="n">
        <v>5</v>
      </c>
      <c r="U3366" t="inlineStr">
        <is>
          <t>2005-10-27</t>
        </is>
      </c>
      <c r="V3366" t="inlineStr">
        <is>
          <t>2005-10-27</t>
        </is>
      </c>
      <c r="W3366" t="inlineStr">
        <is>
          <t>1992-05-28</t>
        </is>
      </c>
      <c r="X3366" t="inlineStr">
        <is>
          <t>1992-05-28</t>
        </is>
      </c>
      <c r="Y3366" t="n">
        <v>152</v>
      </c>
      <c r="Z3366" t="n">
        <v>138</v>
      </c>
      <c r="AA3366" t="n">
        <v>138</v>
      </c>
      <c r="AB3366" t="n">
        <v>1</v>
      </c>
      <c r="AC3366" t="n">
        <v>1</v>
      </c>
      <c r="AD3366" t="n">
        <v>3</v>
      </c>
      <c r="AE3366" t="n">
        <v>3</v>
      </c>
      <c r="AF3366" t="n">
        <v>1</v>
      </c>
      <c r="AG3366" t="n">
        <v>1</v>
      </c>
      <c r="AH3366" t="n">
        <v>1</v>
      </c>
      <c r="AI3366" t="n">
        <v>1</v>
      </c>
      <c r="AJ3366" t="n">
        <v>2</v>
      </c>
      <c r="AK3366" t="n">
        <v>2</v>
      </c>
      <c r="AL3366" t="n">
        <v>0</v>
      </c>
      <c r="AM3366" t="n">
        <v>0</v>
      </c>
      <c r="AN3366" t="n">
        <v>0</v>
      </c>
      <c r="AO3366" t="n">
        <v>0</v>
      </c>
      <c r="AP3366" t="inlineStr">
        <is>
          <t>No</t>
        </is>
      </c>
      <c r="AQ3366" t="inlineStr">
        <is>
          <t>No</t>
        </is>
      </c>
      <c r="AS3366">
        <f>HYPERLINK("https://creighton-primo.hosted.exlibrisgroup.com/primo-explore/search?tab=default_tab&amp;search_scope=EVERYTHING&amp;vid=01CRU&amp;lang=en_US&amp;offset=0&amp;query=any,contains,991003583459702656","Catalog Record")</f>
        <v/>
      </c>
      <c r="AT3366">
        <f>HYPERLINK("http://www.worldcat.org/oclc/1164702","WorldCat Record")</f>
        <v/>
      </c>
      <c r="AU3366" t="inlineStr">
        <is>
          <t>8907136553:eng</t>
        </is>
      </c>
      <c r="AV3366" t="inlineStr">
        <is>
          <t>1164702</t>
        </is>
      </c>
      <c r="AW3366" t="inlineStr">
        <is>
          <t>991003583459702656</t>
        </is>
      </c>
      <c r="AX3366" t="inlineStr">
        <is>
          <t>991003583459702656</t>
        </is>
      </c>
      <c r="AY3366" t="inlineStr">
        <is>
          <t>2262922040002656</t>
        </is>
      </c>
      <c r="AZ3366" t="inlineStr">
        <is>
          <t>BOOK</t>
        </is>
      </c>
      <c r="BB3366" t="inlineStr">
        <is>
          <t>9780833740915</t>
        </is>
      </c>
      <c r="BC3366" t="inlineStr">
        <is>
          <t>32285001141851</t>
        </is>
      </c>
      <c r="BD3366" t="inlineStr">
        <is>
          <t>893887628</t>
        </is>
      </c>
    </row>
    <row r="3367">
      <c r="A3367" t="inlineStr">
        <is>
          <t>No</t>
        </is>
      </c>
      <c r="B3367" t="inlineStr">
        <is>
          <t>BX9771 .H46 1987</t>
        </is>
      </c>
      <c r="C3367" t="inlineStr">
        <is>
          <t>0                      BX 9771000H  46          1987</t>
        </is>
      </c>
      <c r="D3367" t="inlineStr">
        <is>
          <t>The Edward Deming Andrews Memorial Shaker Collection / compiled by E. Richard McKinstry.</t>
        </is>
      </c>
      <c r="F3367" t="inlineStr">
        <is>
          <t>No</t>
        </is>
      </c>
      <c r="G3367" t="inlineStr">
        <is>
          <t>1</t>
        </is>
      </c>
      <c r="H3367" t="inlineStr">
        <is>
          <t>No</t>
        </is>
      </c>
      <c r="I3367" t="inlineStr">
        <is>
          <t>No</t>
        </is>
      </c>
      <c r="J3367" t="inlineStr">
        <is>
          <t>0</t>
        </is>
      </c>
      <c r="K3367" t="inlineStr">
        <is>
          <t>Henry Francis du Pont Winterthur Museum.</t>
        </is>
      </c>
      <c r="L3367" t="inlineStr">
        <is>
          <t>New York : Garland Pub., 1987.</t>
        </is>
      </c>
      <c r="M3367" t="inlineStr">
        <is>
          <t>1987</t>
        </is>
      </c>
      <c r="O3367" t="inlineStr">
        <is>
          <t>eng</t>
        </is>
      </c>
      <c r="P3367" t="inlineStr">
        <is>
          <t>nyu</t>
        </is>
      </c>
      <c r="Q3367" t="inlineStr">
        <is>
          <t>Garland reference library of social science ; vol. 410</t>
        </is>
      </c>
      <c r="R3367" t="inlineStr">
        <is>
          <t xml:space="preserve">BX </t>
        </is>
      </c>
      <c r="S3367" t="n">
        <v>3</v>
      </c>
      <c r="T3367" t="n">
        <v>3</v>
      </c>
      <c r="U3367" t="inlineStr">
        <is>
          <t>2002-10-10</t>
        </is>
      </c>
      <c r="V3367" t="inlineStr">
        <is>
          <t>2002-10-10</t>
        </is>
      </c>
      <c r="W3367" t="inlineStr">
        <is>
          <t>1992-05-28</t>
        </is>
      </c>
      <c r="X3367" t="inlineStr">
        <is>
          <t>1992-05-28</t>
        </is>
      </c>
      <c r="Y3367" t="n">
        <v>180</v>
      </c>
      <c r="Z3367" t="n">
        <v>158</v>
      </c>
      <c r="AA3367" t="n">
        <v>160</v>
      </c>
      <c r="AB3367" t="n">
        <v>2</v>
      </c>
      <c r="AC3367" t="n">
        <v>2</v>
      </c>
      <c r="AD3367" t="n">
        <v>6</v>
      </c>
      <c r="AE3367" t="n">
        <v>6</v>
      </c>
      <c r="AF3367" t="n">
        <v>2</v>
      </c>
      <c r="AG3367" t="n">
        <v>2</v>
      </c>
      <c r="AH3367" t="n">
        <v>1</v>
      </c>
      <c r="AI3367" t="n">
        <v>1</v>
      </c>
      <c r="AJ3367" t="n">
        <v>4</v>
      </c>
      <c r="AK3367" t="n">
        <v>4</v>
      </c>
      <c r="AL3367" t="n">
        <v>1</v>
      </c>
      <c r="AM3367" t="n">
        <v>1</v>
      </c>
      <c r="AN3367" t="n">
        <v>0</v>
      </c>
      <c r="AO3367" t="n">
        <v>0</v>
      </c>
      <c r="AP3367" t="inlineStr">
        <is>
          <t>No</t>
        </is>
      </c>
      <c r="AQ3367" t="inlineStr">
        <is>
          <t>Yes</t>
        </is>
      </c>
      <c r="AR3367">
        <f>HYPERLINK("http://catalog.hathitrust.org/Record/000838502","HathiTrust Record")</f>
        <v/>
      </c>
      <c r="AS3367">
        <f>HYPERLINK("https://creighton-primo.hosted.exlibrisgroup.com/primo-explore/search?tab=default_tab&amp;search_scope=EVERYTHING&amp;vid=01CRU&amp;lang=en_US&amp;offset=0&amp;query=any,contains,991001048079702656","Catalog Record")</f>
        <v/>
      </c>
      <c r="AT3367">
        <f>HYPERLINK("http://www.worldcat.org/oclc/15630544","WorldCat Record")</f>
        <v/>
      </c>
      <c r="AU3367" t="inlineStr">
        <is>
          <t>915304:eng</t>
        </is>
      </c>
      <c r="AV3367" t="inlineStr">
        <is>
          <t>15630544</t>
        </is>
      </c>
      <c r="AW3367" t="inlineStr">
        <is>
          <t>991001048079702656</t>
        </is>
      </c>
      <c r="AX3367" t="inlineStr">
        <is>
          <t>991001048079702656</t>
        </is>
      </c>
      <c r="AY3367" t="inlineStr">
        <is>
          <t>2260912250002656</t>
        </is>
      </c>
      <c r="AZ3367" t="inlineStr">
        <is>
          <t>BOOK</t>
        </is>
      </c>
      <c r="BB3367" t="inlineStr">
        <is>
          <t>9780824094300</t>
        </is>
      </c>
      <c r="BC3367" t="inlineStr">
        <is>
          <t>32285001141869</t>
        </is>
      </c>
      <c r="BD3367" t="inlineStr">
        <is>
          <t>893696416</t>
        </is>
      </c>
    </row>
    <row r="3368">
      <c r="A3368" t="inlineStr">
        <is>
          <t>No</t>
        </is>
      </c>
      <c r="B3368" t="inlineStr">
        <is>
          <t>BX9771 .J3 1981</t>
        </is>
      </c>
      <c r="C3368" t="inlineStr">
        <is>
          <t>0                      BX 9771000J  3           1981</t>
        </is>
      </c>
      <c r="D3368" t="inlineStr">
        <is>
          <t>Gifts of power : the writings of Rebecca Jackson, black visionary, Shaker eldress / edited, with an introduction, by Jean McMahon Humez.</t>
        </is>
      </c>
      <c r="F3368" t="inlineStr">
        <is>
          <t>No</t>
        </is>
      </c>
      <c r="G3368" t="inlineStr">
        <is>
          <t>1</t>
        </is>
      </c>
      <c r="H3368" t="inlineStr">
        <is>
          <t>No</t>
        </is>
      </c>
      <c r="I3368" t="inlineStr">
        <is>
          <t>No</t>
        </is>
      </c>
      <c r="J3368" t="inlineStr">
        <is>
          <t>0</t>
        </is>
      </c>
      <c r="K3368" t="inlineStr">
        <is>
          <t>Jackson, Rebecca, 1795-1871.</t>
        </is>
      </c>
      <c r="L3368" t="inlineStr">
        <is>
          <t>Amherst : University of Massachusetts Press, c1981.</t>
        </is>
      </c>
      <c r="M3368" t="inlineStr">
        <is>
          <t>1981</t>
        </is>
      </c>
      <c r="O3368" t="inlineStr">
        <is>
          <t>eng</t>
        </is>
      </c>
      <c r="P3368" t="inlineStr">
        <is>
          <t>mau</t>
        </is>
      </c>
      <c r="R3368" t="inlineStr">
        <is>
          <t xml:space="preserve">BX </t>
        </is>
      </c>
      <c r="S3368" t="n">
        <v>2</v>
      </c>
      <c r="T3368" t="n">
        <v>2</v>
      </c>
      <c r="U3368" t="inlineStr">
        <is>
          <t>1998-03-05</t>
        </is>
      </c>
      <c r="V3368" t="inlineStr">
        <is>
          <t>1998-03-05</t>
        </is>
      </c>
      <c r="W3368" t="inlineStr">
        <is>
          <t>1992-05-28</t>
        </is>
      </c>
      <c r="X3368" t="inlineStr">
        <is>
          <t>1992-05-28</t>
        </is>
      </c>
      <c r="Y3368" t="n">
        <v>611</v>
      </c>
      <c r="Z3368" t="n">
        <v>571</v>
      </c>
      <c r="AA3368" t="n">
        <v>1465</v>
      </c>
      <c r="AB3368" t="n">
        <v>4</v>
      </c>
      <c r="AC3368" t="n">
        <v>17</v>
      </c>
      <c r="AD3368" t="n">
        <v>21</v>
      </c>
      <c r="AE3368" t="n">
        <v>51</v>
      </c>
      <c r="AF3368" t="n">
        <v>7</v>
      </c>
      <c r="AG3368" t="n">
        <v>16</v>
      </c>
      <c r="AH3368" t="n">
        <v>5</v>
      </c>
      <c r="AI3368" t="n">
        <v>11</v>
      </c>
      <c r="AJ3368" t="n">
        <v>12</v>
      </c>
      <c r="AK3368" t="n">
        <v>17</v>
      </c>
      <c r="AL3368" t="n">
        <v>2</v>
      </c>
      <c r="AM3368" t="n">
        <v>14</v>
      </c>
      <c r="AN3368" t="n">
        <v>0</v>
      </c>
      <c r="AO3368" t="n">
        <v>2</v>
      </c>
      <c r="AP3368" t="inlineStr">
        <is>
          <t>No</t>
        </is>
      </c>
      <c r="AQ3368" t="inlineStr">
        <is>
          <t>Yes</t>
        </is>
      </c>
      <c r="AR3368">
        <f>HYPERLINK("http://catalog.hathitrust.org/Record/000142118","HathiTrust Record")</f>
        <v/>
      </c>
      <c r="AS3368">
        <f>HYPERLINK("https://creighton-primo.hosted.exlibrisgroup.com/primo-explore/search?tab=default_tab&amp;search_scope=EVERYTHING&amp;vid=01CRU&amp;lang=en_US&amp;offset=0&amp;query=any,contains,991005099139702656","Catalog Record")</f>
        <v/>
      </c>
      <c r="AT3368">
        <f>HYPERLINK("http://www.worldcat.org/oclc/7279073","WorldCat Record")</f>
        <v/>
      </c>
      <c r="AU3368" t="inlineStr">
        <is>
          <t>797098749:eng</t>
        </is>
      </c>
      <c r="AV3368" t="inlineStr">
        <is>
          <t>7279073</t>
        </is>
      </c>
      <c r="AW3368" t="inlineStr">
        <is>
          <t>991005099139702656</t>
        </is>
      </c>
      <c r="AX3368" t="inlineStr">
        <is>
          <t>991005099139702656</t>
        </is>
      </c>
      <c r="AY3368" t="inlineStr">
        <is>
          <t>2262256900002656</t>
        </is>
      </c>
      <c r="AZ3368" t="inlineStr">
        <is>
          <t>BOOK</t>
        </is>
      </c>
      <c r="BB3368" t="inlineStr">
        <is>
          <t>9780870232992</t>
        </is>
      </c>
      <c r="BC3368" t="inlineStr">
        <is>
          <t>32285001141877</t>
        </is>
      </c>
      <c r="BD3368" t="inlineStr">
        <is>
          <t>893789432</t>
        </is>
      </c>
    </row>
    <row r="3369">
      <c r="A3369" t="inlineStr">
        <is>
          <t>No</t>
        </is>
      </c>
      <c r="B3369" t="inlineStr">
        <is>
          <t>BX9793.Y68 W47 2006</t>
        </is>
      </c>
      <c r="C3369" t="inlineStr">
        <is>
          <t>0                      BX 9793000Y  68                 W  47          2006</t>
        </is>
      </c>
      <c r="D3369" t="inlineStr">
        <is>
          <t>One Shaker life : Isaac Newton Youngs, 1793-1865 / Glendyne R. Wergland.</t>
        </is>
      </c>
      <c r="F3369" t="inlineStr">
        <is>
          <t>No</t>
        </is>
      </c>
      <c r="G3369" t="inlineStr">
        <is>
          <t>1</t>
        </is>
      </c>
      <c r="H3369" t="inlineStr">
        <is>
          <t>No</t>
        </is>
      </c>
      <c r="I3369" t="inlineStr">
        <is>
          <t>No</t>
        </is>
      </c>
      <c r="J3369" t="inlineStr">
        <is>
          <t>0</t>
        </is>
      </c>
      <c r="K3369" t="inlineStr">
        <is>
          <t>Wergland, Glendyne R.</t>
        </is>
      </c>
      <c r="L3369" t="inlineStr">
        <is>
          <t>Amherst : University of Massachusetts Press, c2006.</t>
        </is>
      </c>
      <c r="M3369" t="inlineStr">
        <is>
          <t>2006</t>
        </is>
      </c>
      <c r="O3369" t="inlineStr">
        <is>
          <t>eng</t>
        </is>
      </c>
      <c r="P3369" t="inlineStr">
        <is>
          <t>mau</t>
        </is>
      </c>
      <c r="R3369" t="inlineStr">
        <is>
          <t xml:space="preserve">BX </t>
        </is>
      </c>
      <c r="S3369" t="n">
        <v>1</v>
      </c>
      <c r="T3369" t="n">
        <v>1</v>
      </c>
      <c r="U3369" t="inlineStr">
        <is>
          <t>2010-10-13</t>
        </is>
      </c>
      <c r="V3369" t="inlineStr">
        <is>
          <t>2010-10-13</t>
        </is>
      </c>
      <c r="W3369" t="inlineStr">
        <is>
          <t>2010-10-13</t>
        </is>
      </c>
      <c r="X3369" t="inlineStr">
        <is>
          <t>2010-10-13</t>
        </is>
      </c>
      <c r="Y3369" t="n">
        <v>171</v>
      </c>
      <c r="Z3369" t="n">
        <v>158</v>
      </c>
      <c r="AA3369" t="n">
        <v>406</v>
      </c>
      <c r="AB3369" t="n">
        <v>1</v>
      </c>
      <c r="AC3369" t="n">
        <v>2</v>
      </c>
      <c r="AD3369" t="n">
        <v>11</v>
      </c>
      <c r="AE3369" t="n">
        <v>23</v>
      </c>
      <c r="AF3369" t="n">
        <v>4</v>
      </c>
      <c r="AG3369" t="n">
        <v>9</v>
      </c>
      <c r="AH3369" t="n">
        <v>5</v>
      </c>
      <c r="AI3369" t="n">
        <v>8</v>
      </c>
      <c r="AJ3369" t="n">
        <v>6</v>
      </c>
      <c r="AK3369" t="n">
        <v>13</v>
      </c>
      <c r="AL3369" t="n">
        <v>0</v>
      </c>
      <c r="AM3369" t="n">
        <v>1</v>
      </c>
      <c r="AN3369" t="n">
        <v>0</v>
      </c>
      <c r="AO3369" t="n">
        <v>0</v>
      </c>
      <c r="AP3369" t="inlineStr">
        <is>
          <t>No</t>
        </is>
      </c>
      <c r="AQ3369" t="inlineStr">
        <is>
          <t>Yes</t>
        </is>
      </c>
      <c r="AR3369">
        <f>HYPERLINK("http://catalog.hathitrust.org/Record/005147282","HathiTrust Record")</f>
        <v/>
      </c>
      <c r="AS3369">
        <f>HYPERLINK("https://creighton-primo.hosted.exlibrisgroup.com/primo-explore/search?tab=default_tab&amp;search_scope=EVERYTHING&amp;vid=01CRU&amp;lang=en_US&amp;offset=0&amp;query=any,contains,991000180129702656","Catalog Record")</f>
        <v/>
      </c>
      <c r="AT3369">
        <f>HYPERLINK("http://www.worldcat.org/oclc/61179507","WorldCat Record")</f>
        <v/>
      </c>
      <c r="AU3369" t="inlineStr">
        <is>
          <t>970910:eng</t>
        </is>
      </c>
      <c r="AV3369" t="inlineStr">
        <is>
          <t>61179507</t>
        </is>
      </c>
      <c r="AW3369" t="inlineStr">
        <is>
          <t>991000180129702656</t>
        </is>
      </c>
      <c r="AX3369" t="inlineStr">
        <is>
          <t>991000180129702656</t>
        </is>
      </c>
      <c r="AY3369" t="inlineStr">
        <is>
          <t>2265424720002656</t>
        </is>
      </c>
      <c r="AZ3369" t="inlineStr">
        <is>
          <t>BOOK</t>
        </is>
      </c>
      <c r="BB3369" t="inlineStr">
        <is>
          <t>9781558495227</t>
        </is>
      </c>
      <c r="BC3369" t="inlineStr">
        <is>
          <t>32285005601744</t>
        </is>
      </c>
      <c r="BD3369" t="inlineStr">
        <is>
          <t>893496005</t>
        </is>
      </c>
    </row>
    <row r="3370">
      <c r="A3370" t="inlineStr">
        <is>
          <t>No</t>
        </is>
      </c>
      <c r="B3370" t="inlineStr">
        <is>
          <t>BX9833 .A273 1989</t>
        </is>
      </c>
      <c r="C3370" t="inlineStr">
        <is>
          <t>0                      BX 9833000A  273         1989</t>
        </is>
      </c>
      <c r="D3370" t="inlineStr">
        <is>
          <t>American unitarianism, 1805-1865 / edited by Conrad Edick Wright.</t>
        </is>
      </c>
      <c r="F3370" t="inlineStr">
        <is>
          <t>No</t>
        </is>
      </c>
      <c r="G3370" t="inlineStr">
        <is>
          <t>1</t>
        </is>
      </c>
      <c r="H3370" t="inlineStr">
        <is>
          <t>No</t>
        </is>
      </c>
      <c r="I3370" t="inlineStr">
        <is>
          <t>No</t>
        </is>
      </c>
      <c r="J3370" t="inlineStr">
        <is>
          <t>0</t>
        </is>
      </c>
      <c r="L3370" t="inlineStr">
        <is>
          <t>Boston : Massachusetts Historical Society and Northeastern University Press, c1989.</t>
        </is>
      </c>
      <c r="M3370" t="inlineStr">
        <is>
          <t>1989</t>
        </is>
      </c>
      <c r="O3370" t="inlineStr">
        <is>
          <t>eng</t>
        </is>
      </c>
      <c r="P3370" t="inlineStr">
        <is>
          <t>mau</t>
        </is>
      </c>
      <c r="Q3370" t="inlineStr">
        <is>
          <t>Massachusetts Historical Society studies in American history and culture ; no. 1</t>
        </is>
      </c>
      <c r="R3370" t="inlineStr">
        <is>
          <t xml:space="preserve">BX </t>
        </is>
      </c>
      <c r="S3370" t="n">
        <v>8</v>
      </c>
      <c r="T3370" t="n">
        <v>8</v>
      </c>
      <c r="U3370" t="inlineStr">
        <is>
          <t>2001-04-11</t>
        </is>
      </c>
      <c r="V3370" t="inlineStr">
        <is>
          <t>2001-04-11</t>
        </is>
      </c>
      <c r="W3370" t="inlineStr">
        <is>
          <t>1992-05-28</t>
        </is>
      </c>
      <c r="X3370" t="inlineStr">
        <is>
          <t>1992-05-28</t>
        </is>
      </c>
      <c r="Y3370" t="n">
        <v>418</v>
      </c>
      <c r="Z3370" t="n">
        <v>373</v>
      </c>
      <c r="AA3370" t="n">
        <v>379</v>
      </c>
      <c r="AB3370" t="n">
        <v>5</v>
      </c>
      <c r="AC3370" t="n">
        <v>5</v>
      </c>
      <c r="AD3370" t="n">
        <v>25</v>
      </c>
      <c r="AE3370" t="n">
        <v>25</v>
      </c>
      <c r="AF3370" t="n">
        <v>7</v>
      </c>
      <c r="AG3370" t="n">
        <v>7</v>
      </c>
      <c r="AH3370" t="n">
        <v>5</v>
      </c>
      <c r="AI3370" t="n">
        <v>5</v>
      </c>
      <c r="AJ3370" t="n">
        <v>14</v>
      </c>
      <c r="AK3370" t="n">
        <v>14</v>
      </c>
      <c r="AL3370" t="n">
        <v>4</v>
      </c>
      <c r="AM3370" t="n">
        <v>4</v>
      </c>
      <c r="AN3370" t="n">
        <v>0</v>
      </c>
      <c r="AO3370" t="n">
        <v>0</v>
      </c>
      <c r="AP3370" t="inlineStr">
        <is>
          <t>No</t>
        </is>
      </c>
      <c r="AQ3370" t="inlineStr">
        <is>
          <t>Yes</t>
        </is>
      </c>
      <c r="AR3370">
        <f>HYPERLINK("http://catalog.hathitrust.org/Record/001952315","HathiTrust Record")</f>
        <v/>
      </c>
      <c r="AS3370">
        <f>HYPERLINK("https://creighton-primo.hosted.exlibrisgroup.com/primo-explore/search?tab=default_tab&amp;search_scope=EVERYTHING&amp;vid=01CRU&amp;lang=en_US&amp;offset=0&amp;query=any,contains,991001333319702656","Catalog Record")</f>
        <v/>
      </c>
      <c r="AT3370">
        <f>HYPERLINK("http://www.worldcat.org/oclc/18327373","WorldCat Record")</f>
        <v/>
      </c>
      <c r="AU3370" t="inlineStr">
        <is>
          <t>17654357:eng</t>
        </is>
      </c>
      <c r="AV3370" t="inlineStr">
        <is>
          <t>18327373</t>
        </is>
      </c>
      <c r="AW3370" t="inlineStr">
        <is>
          <t>991001333319702656</t>
        </is>
      </c>
      <c r="AX3370" t="inlineStr">
        <is>
          <t>991001333319702656</t>
        </is>
      </c>
      <c r="AY3370" t="inlineStr">
        <is>
          <t>2260583910002656</t>
        </is>
      </c>
      <c r="AZ3370" t="inlineStr">
        <is>
          <t>BOOK</t>
        </is>
      </c>
      <c r="BB3370" t="inlineStr">
        <is>
          <t>9781555530471</t>
        </is>
      </c>
      <c r="BC3370" t="inlineStr">
        <is>
          <t>32285001141935</t>
        </is>
      </c>
      <c r="BD3370" t="inlineStr">
        <is>
          <t>893772517</t>
        </is>
      </c>
    </row>
    <row r="3371">
      <c r="A3371" t="inlineStr">
        <is>
          <t>No</t>
        </is>
      </c>
      <c r="B3371" t="inlineStr">
        <is>
          <t>BX9833 .W7</t>
        </is>
      </c>
      <c r="C3371" t="inlineStr">
        <is>
          <t>0                      BX 9833000W  7</t>
        </is>
      </c>
      <c r="D3371" t="inlineStr">
        <is>
          <t>The beginnings of Unitarianism in America.</t>
        </is>
      </c>
      <c r="F3371" t="inlineStr">
        <is>
          <t>No</t>
        </is>
      </c>
      <c r="G3371" t="inlineStr">
        <is>
          <t>1</t>
        </is>
      </c>
      <c r="H3371" t="inlineStr">
        <is>
          <t>No</t>
        </is>
      </c>
      <c r="I3371" t="inlineStr">
        <is>
          <t>No</t>
        </is>
      </c>
      <c r="J3371" t="inlineStr">
        <is>
          <t>0</t>
        </is>
      </c>
      <c r="K3371" t="inlineStr">
        <is>
          <t>Wright, Conrad.</t>
        </is>
      </c>
      <c r="L3371" t="inlineStr">
        <is>
          <t>Boston, Starr King Press; distributed by Beacon Press [1955]</t>
        </is>
      </c>
      <c r="M3371" t="inlineStr">
        <is>
          <t>1955</t>
        </is>
      </c>
      <c r="O3371" t="inlineStr">
        <is>
          <t>eng</t>
        </is>
      </c>
      <c r="P3371" t="inlineStr">
        <is>
          <t>___</t>
        </is>
      </c>
      <c r="R3371" t="inlineStr">
        <is>
          <t xml:space="preserve">BX </t>
        </is>
      </c>
      <c r="S3371" t="n">
        <v>8</v>
      </c>
      <c r="T3371" t="n">
        <v>8</v>
      </c>
      <c r="U3371" t="inlineStr">
        <is>
          <t>2008-10-15</t>
        </is>
      </c>
      <c r="V3371" t="inlineStr">
        <is>
          <t>2008-10-15</t>
        </is>
      </c>
      <c r="W3371" t="inlineStr">
        <is>
          <t>1992-05-28</t>
        </is>
      </c>
      <c r="X3371" t="inlineStr">
        <is>
          <t>1992-05-28</t>
        </is>
      </c>
      <c r="Y3371" t="n">
        <v>687</v>
      </c>
      <c r="Z3371" t="n">
        <v>638</v>
      </c>
      <c r="AA3371" t="n">
        <v>845</v>
      </c>
      <c r="AB3371" t="n">
        <v>5</v>
      </c>
      <c r="AC3371" t="n">
        <v>6</v>
      </c>
      <c r="AD3371" t="n">
        <v>29</v>
      </c>
      <c r="AE3371" t="n">
        <v>35</v>
      </c>
      <c r="AF3371" t="n">
        <v>10</v>
      </c>
      <c r="AG3371" t="n">
        <v>15</v>
      </c>
      <c r="AH3371" t="n">
        <v>4</v>
      </c>
      <c r="AI3371" t="n">
        <v>6</v>
      </c>
      <c r="AJ3371" t="n">
        <v>16</v>
      </c>
      <c r="AK3371" t="n">
        <v>18</v>
      </c>
      <c r="AL3371" t="n">
        <v>4</v>
      </c>
      <c r="AM3371" t="n">
        <v>4</v>
      </c>
      <c r="AN3371" t="n">
        <v>0</v>
      </c>
      <c r="AO3371" t="n">
        <v>0</v>
      </c>
      <c r="AP3371" t="inlineStr">
        <is>
          <t>No</t>
        </is>
      </c>
      <c r="AQ3371" t="inlineStr">
        <is>
          <t>No</t>
        </is>
      </c>
      <c r="AR3371">
        <f>HYPERLINK("http://catalog.hathitrust.org/Record/001594704","HathiTrust Record")</f>
        <v/>
      </c>
      <c r="AS3371">
        <f>HYPERLINK("https://creighton-primo.hosted.exlibrisgroup.com/primo-explore/search?tab=default_tab&amp;search_scope=EVERYTHING&amp;vid=01CRU&amp;lang=en_US&amp;offset=0&amp;query=any,contains,991002652569702656","Catalog Record")</f>
        <v/>
      </c>
      <c r="AT3371">
        <f>HYPERLINK("http://www.worldcat.org/oclc/387492","WorldCat Record")</f>
        <v/>
      </c>
      <c r="AU3371" t="inlineStr">
        <is>
          <t>1514483:eng</t>
        </is>
      </c>
      <c r="AV3371" t="inlineStr">
        <is>
          <t>387492</t>
        </is>
      </c>
      <c r="AW3371" t="inlineStr">
        <is>
          <t>991002652569702656</t>
        </is>
      </c>
      <c r="AX3371" t="inlineStr">
        <is>
          <t>991002652569702656</t>
        </is>
      </c>
      <c r="AY3371" t="inlineStr">
        <is>
          <t>2258151790002656</t>
        </is>
      </c>
      <c r="AZ3371" t="inlineStr">
        <is>
          <t>BOOK</t>
        </is>
      </c>
      <c r="BC3371" t="inlineStr">
        <is>
          <t>32285001141950</t>
        </is>
      </c>
      <c r="BD3371" t="inlineStr">
        <is>
          <t>893798828</t>
        </is>
      </c>
    </row>
    <row r="3372">
      <c r="A3372" t="inlineStr">
        <is>
          <t>No</t>
        </is>
      </c>
      <c r="B3372" t="inlineStr">
        <is>
          <t>BX9842 .A45 1985</t>
        </is>
      </c>
      <c r="C3372" t="inlineStr">
        <is>
          <t>0                      BX 9842000A  45          1985</t>
        </is>
      </c>
      <c r="D3372" t="inlineStr">
        <is>
          <t>An American reformation : a documentary history of Unitarian Christianity / [edited by] Sydney E. Ahlstrom, Jonathan S. Carey.</t>
        </is>
      </c>
      <c r="F3372" t="inlineStr">
        <is>
          <t>No</t>
        </is>
      </c>
      <c r="G3372" t="inlineStr">
        <is>
          <t>1</t>
        </is>
      </c>
      <c r="H3372" t="inlineStr">
        <is>
          <t>No</t>
        </is>
      </c>
      <c r="I3372" t="inlineStr">
        <is>
          <t>No</t>
        </is>
      </c>
      <c r="J3372" t="inlineStr">
        <is>
          <t>0</t>
        </is>
      </c>
      <c r="L3372" t="inlineStr">
        <is>
          <t>Middletown, Conn. : Wesleyan University Press ; Scranton, Pa. : Distributed by Harper &amp; Row, c1985.</t>
        </is>
      </c>
      <c r="M3372" t="inlineStr">
        <is>
          <t>1985</t>
        </is>
      </c>
      <c r="N3372" t="inlineStr">
        <is>
          <t>1st ed.</t>
        </is>
      </c>
      <c r="O3372" t="inlineStr">
        <is>
          <t>eng</t>
        </is>
      </c>
      <c r="P3372" t="inlineStr">
        <is>
          <t>ctu</t>
        </is>
      </c>
      <c r="R3372" t="inlineStr">
        <is>
          <t xml:space="preserve">BX </t>
        </is>
      </c>
      <c r="S3372" t="n">
        <v>4</v>
      </c>
      <c r="T3372" t="n">
        <v>4</v>
      </c>
      <c r="U3372" t="inlineStr">
        <is>
          <t>2006-04-30</t>
        </is>
      </c>
      <c r="V3372" t="inlineStr">
        <is>
          <t>2006-04-30</t>
        </is>
      </c>
      <c r="W3372" t="inlineStr">
        <is>
          <t>1992-05-28</t>
        </is>
      </c>
      <c r="X3372" t="inlineStr">
        <is>
          <t>1992-05-28</t>
        </is>
      </c>
      <c r="Y3372" t="n">
        <v>463</v>
      </c>
      <c r="Z3372" t="n">
        <v>421</v>
      </c>
      <c r="AA3372" t="n">
        <v>437</v>
      </c>
      <c r="AB3372" t="n">
        <v>6</v>
      </c>
      <c r="AC3372" t="n">
        <v>6</v>
      </c>
      <c r="AD3372" t="n">
        <v>28</v>
      </c>
      <c r="AE3372" t="n">
        <v>30</v>
      </c>
      <c r="AF3372" t="n">
        <v>9</v>
      </c>
      <c r="AG3372" t="n">
        <v>9</v>
      </c>
      <c r="AH3372" t="n">
        <v>6</v>
      </c>
      <c r="AI3372" t="n">
        <v>6</v>
      </c>
      <c r="AJ3372" t="n">
        <v>15</v>
      </c>
      <c r="AK3372" t="n">
        <v>17</v>
      </c>
      <c r="AL3372" t="n">
        <v>5</v>
      </c>
      <c r="AM3372" t="n">
        <v>5</v>
      </c>
      <c r="AN3372" t="n">
        <v>1</v>
      </c>
      <c r="AO3372" t="n">
        <v>1</v>
      </c>
      <c r="AP3372" t="inlineStr">
        <is>
          <t>No</t>
        </is>
      </c>
      <c r="AQ3372" t="inlineStr">
        <is>
          <t>No</t>
        </is>
      </c>
      <c r="AS3372">
        <f>HYPERLINK("https://creighton-primo.hosted.exlibrisgroup.com/primo-explore/search?tab=default_tab&amp;search_scope=EVERYTHING&amp;vid=01CRU&amp;lang=en_US&amp;offset=0&amp;query=any,contains,991000502609702656","Catalog Record")</f>
        <v/>
      </c>
      <c r="AT3372">
        <f>HYPERLINK("http://www.worldcat.org/oclc/11187475","WorldCat Record")</f>
        <v/>
      </c>
      <c r="AU3372" t="inlineStr">
        <is>
          <t>836993615:eng</t>
        </is>
      </c>
      <c r="AV3372" t="inlineStr">
        <is>
          <t>11187475</t>
        </is>
      </c>
      <c r="AW3372" t="inlineStr">
        <is>
          <t>991000502609702656</t>
        </is>
      </c>
      <c r="AX3372" t="inlineStr">
        <is>
          <t>991000502609702656</t>
        </is>
      </c>
      <c r="AY3372" t="inlineStr">
        <is>
          <t>2263380890002656</t>
        </is>
      </c>
      <c r="AZ3372" t="inlineStr">
        <is>
          <t>BOOK</t>
        </is>
      </c>
      <c r="BB3372" t="inlineStr">
        <is>
          <t>9780819550804</t>
        </is>
      </c>
      <c r="BC3372" t="inlineStr">
        <is>
          <t>32285001141976</t>
        </is>
      </c>
      <c r="BD3372" t="inlineStr">
        <is>
          <t>893345723</t>
        </is>
      </c>
    </row>
    <row r="3373">
      <c r="A3373" t="inlineStr">
        <is>
          <t>No</t>
        </is>
      </c>
      <c r="B3373" t="inlineStr">
        <is>
          <t>BX9869.N4 A3 1970</t>
        </is>
      </c>
      <c r="C3373" t="inlineStr">
        <is>
          <t>0                      BX 9869000N  4                  A  3           1970</t>
        </is>
      </c>
      <c r="D3373" t="inlineStr">
        <is>
          <t>Phases of faith / Francis William Newman.</t>
        </is>
      </c>
      <c r="F3373" t="inlineStr">
        <is>
          <t>No</t>
        </is>
      </c>
      <c r="G3373" t="inlineStr">
        <is>
          <t>1</t>
        </is>
      </c>
      <c r="H3373" t="inlineStr">
        <is>
          <t>No</t>
        </is>
      </c>
      <c r="I3373" t="inlineStr">
        <is>
          <t>No</t>
        </is>
      </c>
      <c r="J3373" t="inlineStr">
        <is>
          <t>0</t>
        </is>
      </c>
      <c r="K3373" t="inlineStr">
        <is>
          <t>Newman, F. W. (Francis William), 1805-1897.</t>
        </is>
      </c>
      <c r="L3373" t="inlineStr">
        <is>
          <t>Leicester : Leicester U.P. ; New York : Humanities P., 1970.</t>
        </is>
      </c>
      <c r="M3373" t="inlineStr">
        <is>
          <t>1970</t>
        </is>
      </c>
      <c r="N3373" t="inlineStr">
        <is>
          <t>6th ed. reprinted; with an introduction by U. C. Knoepflmacher.</t>
        </is>
      </c>
      <c r="O3373" t="inlineStr">
        <is>
          <t>eng</t>
        </is>
      </c>
      <c r="P3373" t="inlineStr">
        <is>
          <t>enk</t>
        </is>
      </c>
      <c r="Q3373" t="inlineStr">
        <is>
          <t>The Victorian library</t>
        </is>
      </c>
      <c r="R3373" t="inlineStr">
        <is>
          <t xml:space="preserve">BX </t>
        </is>
      </c>
      <c r="S3373" t="n">
        <v>1</v>
      </c>
      <c r="T3373" t="n">
        <v>1</v>
      </c>
      <c r="U3373" t="inlineStr">
        <is>
          <t>1995-06-28</t>
        </is>
      </c>
      <c r="V3373" t="inlineStr">
        <is>
          <t>1995-06-28</t>
        </is>
      </c>
      <c r="W3373" t="inlineStr">
        <is>
          <t>1992-05-28</t>
        </is>
      </c>
      <c r="X3373" t="inlineStr">
        <is>
          <t>1992-05-28</t>
        </is>
      </c>
      <c r="Y3373" t="n">
        <v>177</v>
      </c>
      <c r="Z3373" t="n">
        <v>127</v>
      </c>
      <c r="AA3373" t="n">
        <v>135</v>
      </c>
      <c r="AB3373" t="n">
        <v>3</v>
      </c>
      <c r="AC3373" t="n">
        <v>3</v>
      </c>
      <c r="AD3373" t="n">
        <v>10</v>
      </c>
      <c r="AE3373" t="n">
        <v>10</v>
      </c>
      <c r="AF3373" t="n">
        <v>2</v>
      </c>
      <c r="AG3373" t="n">
        <v>2</v>
      </c>
      <c r="AH3373" t="n">
        <v>1</v>
      </c>
      <c r="AI3373" t="n">
        <v>1</v>
      </c>
      <c r="AJ3373" t="n">
        <v>7</v>
      </c>
      <c r="AK3373" t="n">
        <v>7</v>
      </c>
      <c r="AL3373" t="n">
        <v>2</v>
      </c>
      <c r="AM3373" t="n">
        <v>2</v>
      </c>
      <c r="AN3373" t="n">
        <v>0</v>
      </c>
      <c r="AO3373" t="n">
        <v>0</v>
      </c>
      <c r="AP3373" t="inlineStr">
        <is>
          <t>No</t>
        </is>
      </c>
      <c r="AQ3373" t="inlineStr">
        <is>
          <t>Yes</t>
        </is>
      </c>
      <c r="AR3373">
        <f>HYPERLINK("http://catalog.hathitrust.org/Record/001594789","HathiTrust Record")</f>
        <v/>
      </c>
      <c r="AS3373">
        <f>HYPERLINK("https://creighton-primo.hosted.exlibrisgroup.com/primo-explore/search?tab=default_tab&amp;search_scope=EVERYTHING&amp;vid=01CRU&amp;lang=en_US&amp;offset=0&amp;query=any,contains,991000599909702656","Catalog Record")</f>
        <v/>
      </c>
      <c r="AT3373">
        <f>HYPERLINK("http://www.worldcat.org/oclc/98260","WorldCat Record")</f>
        <v/>
      </c>
      <c r="AU3373" t="inlineStr">
        <is>
          <t>3943548960:eng</t>
        </is>
      </c>
      <c r="AV3373" t="inlineStr">
        <is>
          <t>98260</t>
        </is>
      </c>
      <c r="AW3373" t="inlineStr">
        <is>
          <t>991000599909702656</t>
        </is>
      </c>
      <c r="AX3373" t="inlineStr">
        <is>
          <t>991000599909702656</t>
        </is>
      </c>
      <c r="AY3373" t="inlineStr">
        <is>
          <t>2272115230002656</t>
        </is>
      </c>
      <c r="AZ3373" t="inlineStr">
        <is>
          <t>BOOK</t>
        </is>
      </c>
      <c r="BB3373" t="inlineStr">
        <is>
          <t>9780718550103</t>
        </is>
      </c>
      <c r="BC3373" t="inlineStr">
        <is>
          <t>32285001142081</t>
        </is>
      </c>
      <c r="BD3373" t="inlineStr">
        <is>
          <t>893784369</t>
        </is>
      </c>
    </row>
    <row r="3374">
      <c r="A3374" t="inlineStr">
        <is>
          <t>No</t>
        </is>
      </c>
      <c r="B3374" t="inlineStr">
        <is>
          <t>BX9869.P3 A43</t>
        </is>
      </c>
      <c r="C3374" t="inlineStr">
        <is>
          <t>0                      BX 9869000P  3                  A  43</t>
        </is>
      </c>
      <c r="D3374" t="inlineStr">
        <is>
          <t>Theodore Parker / by Robert C. Albrecht.</t>
        </is>
      </c>
      <c r="F3374" t="inlineStr">
        <is>
          <t>No</t>
        </is>
      </c>
      <c r="G3374" t="inlineStr">
        <is>
          <t>1</t>
        </is>
      </c>
      <c r="H3374" t="inlineStr">
        <is>
          <t>No</t>
        </is>
      </c>
      <c r="I3374" t="inlineStr">
        <is>
          <t>No</t>
        </is>
      </c>
      <c r="J3374" t="inlineStr">
        <is>
          <t>0</t>
        </is>
      </c>
      <c r="K3374" t="inlineStr">
        <is>
          <t>Albrecht, Robert C.</t>
        </is>
      </c>
      <c r="L3374" t="inlineStr">
        <is>
          <t>New York : Twayne Publishers, [1971]</t>
        </is>
      </c>
      <c r="M3374" t="inlineStr">
        <is>
          <t>1971</t>
        </is>
      </c>
      <c r="O3374" t="inlineStr">
        <is>
          <t>eng</t>
        </is>
      </c>
      <c r="P3374" t="inlineStr">
        <is>
          <t>nyu</t>
        </is>
      </c>
      <c r="Q3374" t="inlineStr">
        <is>
          <t>Twayne's United States authors series, 179</t>
        </is>
      </c>
      <c r="R3374" t="inlineStr">
        <is>
          <t xml:space="preserve">BX </t>
        </is>
      </c>
      <c r="S3374" t="n">
        <v>3</v>
      </c>
      <c r="T3374" t="n">
        <v>3</v>
      </c>
      <c r="U3374" t="inlineStr">
        <is>
          <t>1996-06-20</t>
        </is>
      </c>
      <c r="V3374" t="inlineStr">
        <is>
          <t>1996-06-20</t>
        </is>
      </c>
      <c r="W3374" t="inlineStr">
        <is>
          <t>1992-05-28</t>
        </is>
      </c>
      <c r="X3374" t="inlineStr">
        <is>
          <t>1992-05-28</t>
        </is>
      </c>
      <c r="Y3374" t="n">
        <v>743</v>
      </c>
      <c r="Z3374" t="n">
        <v>667</v>
      </c>
      <c r="AA3374" t="n">
        <v>674</v>
      </c>
      <c r="AB3374" t="n">
        <v>5</v>
      </c>
      <c r="AC3374" t="n">
        <v>5</v>
      </c>
      <c r="AD3374" t="n">
        <v>29</v>
      </c>
      <c r="AE3374" t="n">
        <v>29</v>
      </c>
      <c r="AF3374" t="n">
        <v>10</v>
      </c>
      <c r="AG3374" t="n">
        <v>10</v>
      </c>
      <c r="AH3374" t="n">
        <v>6</v>
      </c>
      <c r="AI3374" t="n">
        <v>6</v>
      </c>
      <c r="AJ3374" t="n">
        <v>16</v>
      </c>
      <c r="AK3374" t="n">
        <v>16</v>
      </c>
      <c r="AL3374" t="n">
        <v>4</v>
      </c>
      <c r="AM3374" t="n">
        <v>4</v>
      </c>
      <c r="AN3374" t="n">
        <v>0</v>
      </c>
      <c r="AO3374" t="n">
        <v>0</v>
      </c>
      <c r="AP3374" t="inlineStr">
        <is>
          <t>No</t>
        </is>
      </c>
      <c r="AQ3374" t="inlineStr">
        <is>
          <t>Yes</t>
        </is>
      </c>
      <c r="AR3374">
        <f>HYPERLINK("http://catalog.hathitrust.org/Record/001594792","HathiTrust Record")</f>
        <v/>
      </c>
      <c r="AS3374">
        <f>HYPERLINK("https://creighton-primo.hosted.exlibrisgroup.com/primo-explore/search?tab=default_tab&amp;search_scope=EVERYTHING&amp;vid=01CRU&amp;lang=en_US&amp;offset=0&amp;query=any,contains,991001229769702656","Catalog Record")</f>
        <v/>
      </c>
      <c r="AT3374">
        <f>HYPERLINK("http://www.worldcat.org/oclc/202617","WorldCat Record")</f>
        <v/>
      </c>
      <c r="AU3374" t="inlineStr">
        <is>
          <t>1257494:eng</t>
        </is>
      </c>
      <c r="AV3374" t="inlineStr">
        <is>
          <t>202617</t>
        </is>
      </c>
      <c r="AW3374" t="inlineStr">
        <is>
          <t>991001229769702656</t>
        </is>
      </c>
      <c r="AX3374" t="inlineStr">
        <is>
          <t>991001229769702656</t>
        </is>
      </c>
      <c r="AY3374" t="inlineStr">
        <is>
          <t>2258750190002656</t>
        </is>
      </c>
      <c r="AZ3374" t="inlineStr">
        <is>
          <t>BOOK</t>
        </is>
      </c>
      <c r="BC3374" t="inlineStr">
        <is>
          <t>32285001142099</t>
        </is>
      </c>
      <c r="BD3374" t="inlineStr">
        <is>
          <t>893237957</t>
        </is>
      </c>
    </row>
    <row r="3375">
      <c r="A3375" t="inlineStr">
        <is>
          <t>No</t>
        </is>
      </c>
      <c r="B3375" t="inlineStr">
        <is>
          <t>BX9869.P3 C6</t>
        </is>
      </c>
      <c r="C3375" t="inlineStr">
        <is>
          <t>0                      BX 9869000P  3                  C  6</t>
        </is>
      </c>
      <c r="D3375" t="inlineStr">
        <is>
          <t>Theodore Parker / by Henry Steele Commager.</t>
        </is>
      </c>
      <c r="F3375" t="inlineStr">
        <is>
          <t>No</t>
        </is>
      </c>
      <c r="G3375" t="inlineStr">
        <is>
          <t>1</t>
        </is>
      </c>
      <c r="H3375" t="inlineStr">
        <is>
          <t>No</t>
        </is>
      </c>
      <c r="I3375" t="inlineStr">
        <is>
          <t>No</t>
        </is>
      </c>
      <c r="J3375" t="inlineStr">
        <is>
          <t>0</t>
        </is>
      </c>
      <c r="K3375" t="inlineStr">
        <is>
          <t>Commager, Henry Steele, 1902-1998.</t>
        </is>
      </c>
      <c r="L3375" t="inlineStr">
        <is>
          <t>Boston : Little, 1936.</t>
        </is>
      </c>
      <c r="M3375" t="inlineStr">
        <is>
          <t>1936</t>
        </is>
      </c>
      <c r="O3375" t="inlineStr">
        <is>
          <t>eng</t>
        </is>
      </c>
      <c r="P3375" t="inlineStr">
        <is>
          <t>___</t>
        </is>
      </c>
      <c r="R3375" t="inlineStr">
        <is>
          <t xml:space="preserve">BX </t>
        </is>
      </c>
      <c r="S3375" t="n">
        <v>3</v>
      </c>
      <c r="T3375" t="n">
        <v>3</v>
      </c>
      <c r="U3375" t="inlineStr">
        <is>
          <t>1996-06-20</t>
        </is>
      </c>
      <c r="V3375" t="inlineStr">
        <is>
          <t>1996-06-20</t>
        </is>
      </c>
      <c r="W3375" t="inlineStr">
        <is>
          <t>1992-05-28</t>
        </is>
      </c>
      <c r="X3375" t="inlineStr">
        <is>
          <t>1992-05-28</t>
        </is>
      </c>
      <c r="Y3375" t="n">
        <v>418</v>
      </c>
      <c r="Z3375" t="n">
        <v>394</v>
      </c>
      <c r="AA3375" t="n">
        <v>1071</v>
      </c>
      <c r="AB3375" t="n">
        <v>4</v>
      </c>
      <c r="AC3375" t="n">
        <v>9</v>
      </c>
      <c r="AD3375" t="n">
        <v>12</v>
      </c>
      <c r="AE3375" t="n">
        <v>45</v>
      </c>
      <c r="AF3375" t="n">
        <v>3</v>
      </c>
      <c r="AG3375" t="n">
        <v>19</v>
      </c>
      <c r="AH3375" t="n">
        <v>1</v>
      </c>
      <c r="AI3375" t="n">
        <v>9</v>
      </c>
      <c r="AJ3375" t="n">
        <v>7</v>
      </c>
      <c r="AK3375" t="n">
        <v>19</v>
      </c>
      <c r="AL3375" t="n">
        <v>2</v>
      </c>
      <c r="AM3375" t="n">
        <v>7</v>
      </c>
      <c r="AN3375" t="n">
        <v>0</v>
      </c>
      <c r="AO3375" t="n">
        <v>0</v>
      </c>
      <c r="AP3375" t="inlineStr">
        <is>
          <t>No</t>
        </is>
      </c>
      <c r="AQ3375" t="inlineStr">
        <is>
          <t>Yes</t>
        </is>
      </c>
      <c r="AR3375">
        <f>HYPERLINK("http://catalog.hathitrust.org/Record/001594794","HathiTrust Record")</f>
        <v/>
      </c>
      <c r="AS3375">
        <f>HYPERLINK("https://creighton-primo.hosted.exlibrisgroup.com/primo-explore/search?tab=default_tab&amp;search_scope=EVERYTHING&amp;vid=01CRU&amp;lang=en_US&amp;offset=0&amp;query=any,contains,991003556579702656","Catalog Record")</f>
        <v/>
      </c>
      <c r="AT3375">
        <f>HYPERLINK("http://www.worldcat.org/oclc/1124961","WorldCat Record")</f>
        <v/>
      </c>
      <c r="AU3375" t="inlineStr">
        <is>
          <t>50870109:eng</t>
        </is>
      </c>
      <c r="AV3375" t="inlineStr">
        <is>
          <t>1124961</t>
        </is>
      </c>
      <c r="AW3375" t="inlineStr">
        <is>
          <t>991003556579702656</t>
        </is>
      </c>
      <c r="AX3375" t="inlineStr">
        <is>
          <t>991003556579702656</t>
        </is>
      </c>
      <c r="AY3375" t="inlineStr">
        <is>
          <t>2269608950002656</t>
        </is>
      </c>
      <c r="AZ3375" t="inlineStr">
        <is>
          <t>BOOK</t>
        </is>
      </c>
      <c r="BC3375" t="inlineStr">
        <is>
          <t>32285001142115</t>
        </is>
      </c>
      <c r="BD3375" t="inlineStr">
        <is>
          <t>893893849</t>
        </is>
      </c>
    </row>
    <row r="3376">
      <c r="A3376" t="inlineStr">
        <is>
          <t>No</t>
        </is>
      </c>
      <c r="B3376" t="inlineStr">
        <is>
          <t>BX9869.P8 H6 1970</t>
        </is>
      </c>
      <c r="C3376" t="inlineStr">
        <is>
          <t>0                      BX 9869000P  8                  H  6           1970</t>
        </is>
      </c>
      <c r="D3376" t="inlineStr">
        <is>
          <t>A life of Joseph Priestley / by Anne Holt. With an introd. by Francis W. Hirst.</t>
        </is>
      </c>
      <c r="F3376" t="inlineStr">
        <is>
          <t>No</t>
        </is>
      </c>
      <c r="G3376" t="inlineStr">
        <is>
          <t>1</t>
        </is>
      </c>
      <c r="H3376" t="inlineStr">
        <is>
          <t>No</t>
        </is>
      </c>
      <c r="I3376" t="inlineStr">
        <is>
          <t>No</t>
        </is>
      </c>
      <c r="J3376" t="inlineStr">
        <is>
          <t>0</t>
        </is>
      </c>
      <c r="K3376" t="inlineStr">
        <is>
          <t>Holt, Anne, 1899-1980.</t>
        </is>
      </c>
      <c r="L3376" t="inlineStr">
        <is>
          <t>Westport, Conn. : Greenwood Press, [1970]</t>
        </is>
      </c>
      <c r="M3376" t="inlineStr">
        <is>
          <t>1970</t>
        </is>
      </c>
      <c r="O3376" t="inlineStr">
        <is>
          <t>eng</t>
        </is>
      </c>
      <c r="P3376" t="inlineStr">
        <is>
          <t>ctu</t>
        </is>
      </c>
      <c r="R3376" t="inlineStr">
        <is>
          <t xml:space="preserve">BX </t>
        </is>
      </c>
      <c r="S3376" t="n">
        <v>1</v>
      </c>
      <c r="T3376" t="n">
        <v>1</v>
      </c>
      <c r="U3376" t="inlineStr">
        <is>
          <t>2004-08-27</t>
        </is>
      </c>
      <c r="V3376" t="inlineStr">
        <is>
          <t>2004-08-27</t>
        </is>
      </c>
      <c r="W3376" t="inlineStr">
        <is>
          <t>1992-05-28</t>
        </is>
      </c>
      <c r="X3376" t="inlineStr">
        <is>
          <t>1992-05-28</t>
        </is>
      </c>
      <c r="Y3376" t="n">
        <v>195</v>
      </c>
      <c r="Z3376" t="n">
        <v>178</v>
      </c>
      <c r="AA3376" t="n">
        <v>325</v>
      </c>
      <c r="AB3376" t="n">
        <v>2</v>
      </c>
      <c r="AC3376" t="n">
        <v>4</v>
      </c>
      <c r="AD3376" t="n">
        <v>5</v>
      </c>
      <c r="AE3376" t="n">
        <v>13</v>
      </c>
      <c r="AF3376" t="n">
        <v>2</v>
      </c>
      <c r="AG3376" t="n">
        <v>3</v>
      </c>
      <c r="AH3376" t="n">
        <v>1</v>
      </c>
      <c r="AI3376" t="n">
        <v>2</v>
      </c>
      <c r="AJ3376" t="n">
        <v>3</v>
      </c>
      <c r="AK3376" t="n">
        <v>9</v>
      </c>
      <c r="AL3376" t="n">
        <v>1</v>
      </c>
      <c r="AM3376" t="n">
        <v>3</v>
      </c>
      <c r="AN3376" t="n">
        <v>0</v>
      </c>
      <c r="AO3376" t="n">
        <v>0</v>
      </c>
      <c r="AP3376" t="inlineStr">
        <is>
          <t>No</t>
        </is>
      </c>
      <c r="AQ3376" t="inlineStr">
        <is>
          <t>Yes</t>
        </is>
      </c>
      <c r="AR3376">
        <f>HYPERLINK("http://catalog.hathitrust.org/Record/012271225","HathiTrust Record")</f>
        <v/>
      </c>
      <c r="AS3376">
        <f>HYPERLINK("https://creighton-primo.hosted.exlibrisgroup.com/primo-explore/search?tab=default_tab&amp;search_scope=EVERYTHING&amp;vid=01CRU&amp;lang=en_US&amp;offset=0&amp;query=any,contains,991000634869702656","Catalog Record")</f>
        <v/>
      </c>
      <c r="AT3376">
        <f>HYPERLINK("http://www.worldcat.org/oclc/107312","WorldCat Record")</f>
        <v/>
      </c>
      <c r="AU3376" t="inlineStr">
        <is>
          <t>1192782:eng</t>
        </is>
      </c>
      <c r="AV3376" t="inlineStr">
        <is>
          <t>107312</t>
        </is>
      </c>
      <c r="AW3376" t="inlineStr">
        <is>
          <t>991000634869702656</t>
        </is>
      </c>
      <c r="AX3376" t="inlineStr">
        <is>
          <t>991000634869702656</t>
        </is>
      </c>
      <c r="AY3376" t="inlineStr">
        <is>
          <t>2261896440002656</t>
        </is>
      </c>
      <c r="AZ3376" t="inlineStr">
        <is>
          <t>BOOK</t>
        </is>
      </c>
      <c r="BB3376" t="inlineStr">
        <is>
          <t>9780837142401</t>
        </is>
      </c>
      <c r="BC3376" t="inlineStr">
        <is>
          <t>32285001142123</t>
        </is>
      </c>
      <c r="BD3376" t="inlineStr">
        <is>
          <t>893515458</t>
        </is>
      </c>
    </row>
    <row r="3377">
      <c r="A3377" t="inlineStr">
        <is>
          <t>No</t>
        </is>
      </c>
      <c r="B3377" t="inlineStr">
        <is>
          <t>BX9869.S4 B3</t>
        </is>
      </c>
      <c r="C3377" t="inlineStr">
        <is>
          <t>0                      BX 9869000S  4                  B  3</t>
        </is>
      </c>
      <c r="D3377" t="inlineStr">
        <is>
          <t>Hunted heretic : the life and death of Michael Servetus, 1511-1553 / [by] Roland H. Bainton.</t>
        </is>
      </c>
      <c r="F3377" t="inlineStr">
        <is>
          <t>No</t>
        </is>
      </c>
      <c r="G3377" t="inlineStr">
        <is>
          <t>1</t>
        </is>
      </c>
      <c r="H3377" t="inlineStr">
        <is>
          <t>No</t>
        </is>
      </c>
      <c r="I3377" t="inlineStr">
        <is>
          <t>No</t>
        </is>
      </c>
      <c r="J3377" t="inlineStr">
        <is>
          <t>0</t>
        </is>
      </c>
      <c r="K3377" t="inlineStr">
        <is>
          <t>Bainton, Roland H. (Roland Herbert), 1894-1984.</t>
        </is>
      </c>
      <c r="L3377" t="inlineStr">
        <is>
          <t>Boston : Beacon Press, [1953]</t>
        </is>
      </c>
      <c r="M3377" t="inlineStr">
        <is>
          <t>1953</t>
        </is>
      </c>
      <c r="O3377" t="inlineStr">
        <is>
          <t>eng</t>
        </is>
      </c>
      <c r="P3377" t="inlineStr">
        <is>
          <t>___</t>
        </is>
      </c>
      <c r="R3377" t="inlineStr">
        <is>
          <t xml:space="preserve">BX </t>
        </is>
      </c>
      <c r="S3377" t="n">
        <v>1</v>
      </c>
      <c r="T3377" t="n">
        <v>1</v>
      </c>
      <c r="U3377" t="inlineStr">
        <is>
          <t>2008-10-12</t>
        </is>
      </c>
      <c r="V3377" t="inlineStr">
        <is>
          <t>2008-10-12</t>
        </is>
      </c>
      <c r="W3377" t="inlineStr">
        <is>
          <t>1992-05-28</t>
        </is>
      </c>
      <c r="X3377" t="inlineStr">
        <is>
          <t>1992-05-28</t>
        </is>
      </c>
      <c r="Y3377" t="n">
        <v>595</v>
      </c>
      <c r="Z3377" t="n">
        <v>547</v>
      </c>
      <c r="AA3377" t="n">
        <v>1007</v>
      </c>
      <c r="AB3377" t="n">
        <v>3</v>
      </c>
      <c r="AC3377" t="n">
        <v>10</v>
      </c>
      <c r="AD3377" t="n">
        <v>14</v>
      </c>
      <c r="AE3377" t="n">
        <v>38</v>
      </c>
      <c r="AF3377" t="n">
        <v>5</v>
      </c>
      <c r="AG3377" t="n">
        <v>14</v>
      </c>
      <c r="AH3377" t="n">
        <v>3</v>
      </c>
      <c r="AI3377" t="n">
        <v>9</v>
      </c>
      <c r="AJ3377" t="n">
        <v>5</v>
      </c>
      <c r="AK3377" t="n">
        <v>15</v>
      </c>
      <c r="AL3377" t="n">
        <v>2</v>
      </c>
      <c r="AM3377" t="n">
        <v>8</v>
      </c>
      <c r="AN3377" t="n">
        <v>0</v>
      </c>
      <c r="AO3377" t="n">
        <v>0</v>
      </c>
      <c r="AP3377" t="inlineStr">
        <is>
          <t>No</t>
        </is>
      </c>
      <c r="AQ3377" t="inlineStr">
        <is>
          <t>No</t>
        </is>
      </c>
      <c r="AR3377">
        <f>HYPERLINK("http://catalog.hathitrust.org/Record/001594803","HathiTrust Record")</f>
        <v/>
      </c>
      <c r="AS3377">
        <f>HYPERLINK("https://creighton-primo.hosted.exlibrisgroup.com/primo-explore/search?tab=default_tab&amp;search_scope=EVERYTHING&amp;vid=01CRU&amp;lang=en_US&amp;offset=0&amp;query=any,contains,991003241649702656","Catalog Record")</f>
        <v/>
      </c>
      <c r="AT3377">
        <f>HYPERLINK("http://www.worldcat.org/oclc/14656944","WorldCat Record")</f>
        <v/>
      </c>
      <c r="AU3377" t="inlineStr">
        <is>
          <t>115289561:eng</t>
        </is>
      </c>
      <c r="AV3377" t="inlineStr">
        <is>
          <t>14656944</t>
        </is>
      </c>
      <c r="AW3377" t="inlineStr">
        <is>
          <t>991003241649702656</t>
        </is>
      </c>
      <c r="AX3377" t="inlineStr">
        <is>
          <t>991003241649702656</t>
        </is>
      </c>
      <c r="AY3377" t="inlineStr">
        <is>
          <t>2268613690002656</t>
        </is>
      </c>
      <c r="AZ3377" t="inlineStr">
        <is>
          <t>BOOK</t>
        </is>
      </c>
      <c r="BC3377" t="inlineStr">
        <is>
          <t>32285001142149</t>
        </is>
      </c>
      <c r="BD3377" t="inlineStr">
        <is>
          <t>893227845</t>
        </is>
      </c>
    </row>
    <row r="3378">
      <c r="A3378" t="inlineStr">
        <is>
          <t>No</t>
        </is>
      </c>
      <c r="B3378" t="inlineStr">
        <is>
          <t>BX9884.Z5 N4</t>
        </is>
      </c>
      <c r="C3378" t="inlineStr">
        <is>
          <t>0                      BX 9884000Z  5                  N  4</t>
        </is>
      </c>
      <c r="D3378" t="inlineStr">
        <is>
          <t>The history of First Central Congregation Church, United Church of Christ, Omaha, Nebraska, 1856-1981.</t>
        </is>
      </c>
      <c r="F3378" t="inlineStr">
        <is>
          <t>No</t>
        </is>
      </c>
      <c r="G3378" t="inlineStr">
        <is>
          <t>1</t>
        </is>
      </c>
      <c r="H3378" t="inlineStr">
        <is>
          <t>No</t>
        </is>
      </c>
      <c r="I3378" t="inlineStr">
        <is>
          <t>No</t>
        </is>
      </c>
      <c r="J3378" t="inlineStr">
        <is>
          <t>0</t>
        </is>
      </c>
      <c r="L3378" t="inlineStr">
        <is>
          <t>Omaha (Neb.) : [s.n.], 1980.</t>
        </is>
      </c>
      <c r="M3378" t="inlineStr">
        <is>
          <t>1980</t>
        </is>
      </c>
      <c r="O3378" t="inlineStr">
        <is>
          <t>eng</t>
        </is>
      </c>
      <c r="P3378" t="inlineStr">
        <is>
          <t>nbu</t>
        </is>
      </c>
      <c r="R3378" t="inlineStr">
        <is>
          <t xml:space="preserve">BX </t>
        </is>
      </c>
      <c r="S3378" t="n">
        <v>5</v>
      </c>
      <c r="T3378" t="n">
        <v>5</v>
      </c>
      <c r="U3378" t="inlineStr">
        <is>
          <t>2006-10-26</t>
        </is>
      </c>
      <c r="V3378" t="inlineStr">
        <is>
          <t>2006-10-26</t>
        </is>
      </c>
      <c r="W3378" t="inlineStr">
        <is>
          <t>1992-05-28</t>
        </is>
      </c>
      <c r="X3378" t="inlineStr">
        <is>
          <t>1992-05-28</t>
        </is>
      </c>
      <c r="Y3378" t="n">
        <v>6</v>
      </c>
      <c r="Z3378" t="n">
        <v>6</v>
      </c>
      <c r="AA3378" t="n">
        <v>9</v>
      </c>
      <c r="AB3378" t="n">
        <v>5</v>
      </c>
      <c r="AC3378" t="n">
        <v>6</v>
      </c>
      <c r="AD3378" t="n">
        <v>2</v>
      </c>
      <c r="AE3378" t="n">
        <v>3</v>
      </c>
      <c r="AF3378" t="n">
        <v>0</v>
      </c>
      <c r="AG3378" t="n">
        <v>0</v>
      </c>
      <c r="AH3378" t="n">
        <v>0</v>
      </c>
      <c r="AI3378" t="n">
        <v>0</v>
      </c>
      <c r="AJ3378" t="n">
        <v>0</v>
      </c>
      <c r="AK3378" t="n">
        <v>0</v>
      </c>
      <c r="AL3378" t="n">
        <v>2</v>
      </c>
      <c r="AM3378" t="n">
        <v>3</v>
      </c>
      <c r="AN3378" t="n">
        <v>0</v>
      </c>
      <c r="AO3378" t="n">
        <v>0</v>
      </c>
      <c r="AP3378" t="inlineStr">
        <is>
          <t>No</t>
        </is>
      </c>
      <c r="AQ3378" t="inlineStr">
        <is>
          <t>No</t>
        </is>
      </c>
      <c r="AS3378">
        <f>HYPERLINK("https://creighton-primo.hosted.exlibrisgroup.com/primo-explore/search?tab=default_tab&amp;search_scope=EVERYTHING&amp;vid=01CRU&amp;lang=en_US&amp;offset=0&amp;query=any,contains,991005137379702656","Catalog Record")</f>
        <v/>
      </c>
      <c r="AT3378">
        <f>HYPERLINK("http://www.worldcat.org/oclc/7578888","WorldCat Record")</f>
        <v/>
      </c>
      <c r="AU3378" t="inlineStr">
        <is>
          <t>787723872:eng</t>
        </is>
      </c>
      <c r="AV3378" t="inlineStr">
        <is>
          <t>7578888</t>
        </is>
      </c>
      <c r="AW3378" t="inlineStr">
        <is>
          <t>991005137379702656</t>
        </is>
      </c>
      <c r="AX3378" t="inlineStr">
        <is>
          <t>991005137379702656</t>
        </is>
      </c>
      <c r="AY3378" t="inlineStr">
        <is>
          <t>2265109220002656</t>
        </is>
      </c>
      <c r="AZ3378" t="inlineStr">
        <is>
          <t>BOOK</t>
        </is>
      </c>
      <c r="BC3378" t="inlineStr">
        <is>
          <t>32285001142180</t>
        </is>
      </c>
      <c r="BD3378" t="inlineStr">
        <is>
          <t>893719843</t>
        </is>
      </c>
    </row>
    <row r="3379">
      <c r="A3379" t="inlineStr">
        <is>
          <t>No</t>
        </is>
      </c>
      <c r="B3379" t="inlineStr">
        <is>
          <t>BX9886 .S45 1990</t>
        </is>
      </c>
      <c r="C3379" t="inlineStr">
        <is>
          <t>0                      BX 9886000S  45          1990</t>
        </is>
      </c>
      <c r="D3379" t="inlineStr">
        <is>
          <t>Confessing our faith : an interpretation of the Statement of faith of the United Church of Christ / Roger Lincoln Shinn.</t>
        </is>
      </c>
      <c r="F3379" t="inlineStr">
        <is>
          <t>No</t>
        </is>
      </c>
      <c r="G3379" t="inlineStr">
        <is>
          <t>1</t>
        </is>
      </c>
      <c r="H3379" t="inlineStr">
        <is>
          <t>No</t>
        </is>
      </c>
      <c r="I3379" t="inlineStr">
        <is>
          <t>No</t>
        </is>
      </c>
      <c r="J3379" t="inlineStr">
        <is>
          <t>0</t>
        </is>
      </c>
      <c r="K3379" t="inlineStr">
        <is>
          <t>Shinn, Roger Lincoln.</t>
        </is>
      </c>
      <c r="L3379" t="inlineStr">
        <is>
          <t>Cleveland, Ohio : United Church Press, c1990.</t>
        </is>
      </c>
      <c r="M3379" t="inlineStr">
        <is>
          <t>1990</t>
        </is>
      </c>
      <c r="O3379" t="inlineStr">
        <is>
          <t>eng</t>
        </is>
      </c>
      <c r="P3379" t="inlineStr">
        <is>
          <t>nyu</t>
        </is>
      </c>
      <c r="R3379" t="inlineStr">
        <is>
          <t xml:space="preserve">BX </t>
        </is>
      </c>
      <c r="S3379" t="n">
        <v>2</v>
      </c>
      <c r="T3379" t="n">
        <v>2</v>
      </c>
      <c r="U3379" t="inlineStr">
        <is>
          <t>2001-12-05</t>
        </is>
      </c>
      <c r="V3379" t="inlineStr">
        <is>
          <t>2001-12-05</t>
        </is>
      </c>
      <c r="W3379" t="inlineStr">
        <is>
          <t>2001-12-05</t>
        </is>
      </c>
      <c r="X3379" t="inlineStr">
        <is>
          <t>2001-12-05</t>
        </is>
      </c>
      <c r="Y3379" t="n">
        <v>125</v>
      </c>
      <c r="Z3379" t="n">
        <v>118</v>
      </c>
      <c r="AA3379" t="n">
        <v>127</v>
      </c>
      <c r="AB3379" t="n">
        <v>1</v>
      </c>
      <c r="AC3379" t="n">
        <v>1</v>
      </c>
      <c r="AD3379" t="n">
        <v>3</v>
      </c>
      <c r="AE3379" t="n">
        <v>5</v>
      </c>
      <c r="AF3379" t="n">
        <v>0</v>
      </c>
      <c r="AG3379" t="n">
        <v>2</v>
      </c>
      <c r="AH3379" t="n">
        <v>2</v>
      </c>
      <c r="AI3379" t="n">
        <v>2</v>
      </c>
      <c r="AJ3379" t="n">
        <v>2</v>
      </c>
      <c r="AK3379" t="n">
        <v>2</v>
      </c>
      <c r="AL3379" t="n">
        <v>0</v>
      </c>
      <c r="AM3379" t="n">
        <v>0</v>
      </c>
      <c r="AN3379" t="n">
        <v>0</v>
      </c>
      <c r="AO3379" t="n">
        <v>0</v>
      </c>
      <c r="AP3379" t="inlineStr">
        <is>
          <t>No</t>
        </is>
      </c>
      <c r="AQ3379" t="inlineStr">
        <is>
          <t>Yes</t>
        </is>
      </c>
      <c r="AR3379">
        <f>HYPERLINK("http://catalog.hathitrust.org/Record/002210265","HathiTrust Record")</f>
        <v/>
      </c>
      <c r="AS3379">
        <f>HYPERLINK("https://creighton-primo.hosted.exlibrisgroup.com/primo-explore/search?tab=default_tab&amp;search_scope=EVERYTHING&amp;vid=01CRU&amp;lang=en_US&amp;offset=0&amp;query=any,contains,991003675599702656","Catalog Record")</f>
        <v/>
      </c>
      <c r="AT3379">
        <f>HYPERLINK("http://www.worldcat.org/oclc/21447003","WorldCat Record")</f>
        <v/>
      </c>
      <c r="AU3379" t="inlineStr">
        <is>
          <t>23832390:eng</t>
        </is>
      </c>
      <c r="AV3379" t="inlineStr">
        <is>
          <t>21447003</t>
        </is>
      </c>
      <c r="AW3379" t="inlineStr">
        <is>
          <t>991003675599702656</t>
        </is>
      </c>
      <c r="AX3379" t="inlineStr">
        <is>
          <t>991003675599702656</t>
        </is>
      </c>
      <c r="AY3379" t="inlineStr">
        <is>
          <t>2258525660002656</t>
        </is>
      </c>
      <c r="AZ3379" t="inlineStr">
        <is>
          <t>BOOK</t>
        </is>
      </c>
      <c r="BB3379" t="inlineStr">
        <is>
          <t>9780829808667</t>
        </is>
      </c>
      <c r="BC3379" t="inlineStr">
        <is>
          <t>32285004425947</t>
        </is>
      </c>
      <c r="BD3379" t="inlineStr">
        <is>
          <t>893722059</t>
        </is>
      </c>
    </row>
    <row r="3380">
      <c r="A3380" t="inlineStr">
        <is>
          <t>No</t>
        </is>
      </c>
      <c r="B3380" t="inlineStr">
        <is>
          <t>BX9886.Z6 B78</t>
        </is>
      </c>
      <c r="C3380" t="inlineStr">
        <is>
          <t>0                      BX 9886000Z  6                  B  78</t>
        </is>
      </c>
      <c r="D3380" t="inlineStr">
        <is>
          <t>Living toward a vision : Biblical reflections on shalom / by Walter Brueggemann.</t>
        </is>
      </c>
      <c r="F3380" t="inlineStr">
        <is>
          <t>No</t>
        </is>
      </c>
      <c r="G3380" t="inlineStr">
        <is>
          <t>1</t>
        </is>
      </c>
      <c r="H3380" t="inlineStr">
        <is>
          <t>No</t>
        </is>
      </c>
      <c r="I3380" t="inlineStr">
        <is>
          <t>No</t>
        </is>
      </c>
      <c r="J3380" t="inlineStr">
        <is>
          <t>0</t>
        </is>
      </c>
      <c r="K3380" t="inlineStr">
        <is>
          <t>Brueggemann, Walter.</t>
        </is>
      </c>
      <c r="L3380" t="inlineStr">
        <is>
          <t>Philadelphia : United Church Press, c1976.</t>
        </is>
      </c>
      <c r="M3380" t="inlineStr">
        <is>
          <t>1976</t>
        </is>
      </c>
      <c r="O3380" t="inlineStr">
        <is>
          <t>eng</t>
        </is>
      </c>
      <c r="P3380" t="inlineStr">
        <is>
          <t>pau</t>
        </is>
      </c>
      <c r="Q3380" t="inlineStr">
        <is>
          <t>A Shalom resource</t>
        </is>
      </c>
      <c r="R3380" t="inlineStr">
        <is>
          <t xml:space="preserve">BX </t>
        </is>
      </c>
      <c r="S3380" t="n">
        <v>4</v>
      </c>
      <c r="T3380" t="n">
        <v>4</v>
      </c>
      <c r="U3380" t="inlineStr">
        <is>
          <t>2004-11-05</t>
        </is>
      </c>
      <c r="V3380" t="inlineStr">
        <is>
          <t>2004-11-05</t>
        </is>
      </c>
      <c r="W3380" t="inlineStr">
        <is>
          <t>1992-05-28</t>
        </is>
      </c>
      <c r="X3380" t="inlineStr">
        <is>
          <t>1992-05-28</t>
        </is>
      </c>
      <c r="Y3380" t="n">
        <v>188</v>
      </c>
      <c r="Z3380" t="n">
        <v>158</v>
      </c>
      <c r="AA3380" t="n">
        <v>315</v>
      </c>
      <c r="AB3380" t="n">
        <v>2</v>
      </c>
      <c r="AC3380" t="n">
        <v>3</v>
      </c>
      <c r="AD3380" t="n">
        <v>7</v>
      </c>
      <c r="AE3380" t="n">
        <v>22</v>
      </c>
      <c r="AF3380" t="n">
        <v>3</v>
      </c>
      <c r="AG3380" t="n">
        <v>8</v>
      </c>
      <c r="AH3380" t="n">
        <v>1</v>
      </c>
      <c r="AI3380" t="n">
        <v>6</v>
      </c>
      <c r="AJ3380" t="n">
        <v>4</v>
      </c>
      <c r="AK3380" t="n">
        <v>13</v>
      </c>
      <c r="AL3380" t="n">
        <v>0</v>
      </c>
      <c r="AM3380" t="n">
        <v>1</v>
      </c>
      <c r="AN3380" t="n">
        <v>0</v>
      </c>
      <c r="AO3380" t="n">
        <v>0</v>
      </c>
      <c r="AP3380" t="inlineStr">
        <is>
          <t>No</t>
        </is>
      </c>
      <c r="AQ3380" t="inlineStr">
        <is>
          <t>No</t>
        </is>
      </c>
      <c r="AS3380">
        <f>HYPERLINK("https://creighton-primo.hosted.exlibrisgroup.com/primo-explore/search?tab=default_tab&amp;search_scope=EVERYTHING&amp;vid=01CRU&amp;lang=en_US&amp;offset=0&amp;query=any,contains,991004086779702656","Catalog Record")</f>
        <v/>
      </c>
      <c r="AT3380">
        <f>HYPERLINK("http://www.worldcat.org/oclc/2332258","WorldCat Record")</f>
        <v/>
      </c>
      <c r="AU3380" t="inlineStr">
        <is>
          <t>494818:eng</t>
        </is>
      </c>
      <c r="AV3380" t="inlineStr">
        <is>
          <t>2332258</t>
        </is>
      </c>
      <c r="AW3380" t="inlineStr">
        <is>
          <t>991004086779702656</t>
        </is>
      </c>
      <c r="AX3380" t="inlineStr">
        <is>
          <t>991004086779702656</t>
        </is>
      </c>
      <c r="AY3380" t="inlineStr">
        <is>
          <t>2264027310002656</t>
        </is>
      </c>
      <c r="AZ3380" t="inlineStr">
        <is>
          <t>BOOK</t>
        </is>
      </c>
      <c r="BB3380" t="inlineStr">
        <is>
          <t>9780829803228</t>
        </is>
      </c>
      <c r="BC3380" t="inlineStr">
        <is>
          <t>32285001142198</t>
        </is>
      </c>
      <c r="BD3380" t="inlineStr">
        <is>
          <t>893349602</t>
        </is>
      </c>
    </row>
    <row r="3381">
      <c r="A3381" t="inlineStr">
        <is>
          <t>No</t>
        </is>
      </c>
      <c r="B3381" t="inlineStr">
        <is>
          <t>BX9896.Z8 P47 1992</t>
        </is>
      </c>
      <c r="C3381" t="inlineStr">
        <is>
          <t>0                      BX 9896000Z  8                  P  47          1992</t>
        </is>
      </c>
      <c r="D3381" t="inlineStr">
        <is>
          <t>Don't be afraid anymore : the story of Reverend Troy Perry and the Metropolitan Community Churches / Troy D. Perry with Thomas L.P. Swicegood.</t>
        </is>
      </c>
      <c r="F3381" t="inlineStr">
        <is>
          <t>No</t>
        </is>
      </c>
      <c r="G3381" t="inlineStr">
        <is>
          <t>1</t>
        </is>
      </c>
      <c r="H3381" t="inlineStr">
        <is>
          <t>No</t>
        </is>
      </c>
      <c r="I3381" t="inlineStr">
        <is>
          <t>No</t>
        </is>
      </c>
      <c r="J3381" t="inlineStr">
        <is>
          <t>0</t>
        </is>
      </c>
      <c r="K3381" t="inlineStr">
        <is>
          <t>Perry, Troy D.</t>
        </is>
      </c>
      <c r="L3381" t="inlineStr">
        <is>
          <t>New York : St. Martin's Press, 1992, c1990.</t>
        </is>
      </c>
      <c r="M3381" t="inlineStr">
        <is>
          <t>1992</t>
        </is>
      </c>
      <c r="N3381" t="inlineStr">
        <is>
          <t>1st paperback ed.</t>
        </is>
      </c>
      <c r="O3381" t="inlineStr">
        <is>
          <t>eng</t>
        </is>
      </c>
      <c r="P3381" t="inlineStr">
        <is>
          <t>nyu</t>
        </is>
      </c>
      <c r="R3381" t="inlineStr">
        <is>
          <t xml:space="preserve">BX </t>
        </is>
      </c>
      <c r="S3381" t="n">
        <v>0</v>
      </c>
      <c r="T3381" t="n">
        <v>0</v>
      </c>
      <c r="U3381" t="inlineStr">
        <is>
          <t>2001-09-26</t>
        </is>
      </c>
      <c r="V3381" t="inlineStr">
        <is>
          <t>2001-09-26</t>
        </is>
      </c>
      <c r="W3381" t="inlineStr">
        <is>
          <t>1996-10-30</t>
        </is>
      </c>
      <c r="X3381" t="inlineStr">
        <is>
          <t>1996-10-30</t>
        </is>
      </c>
      <c r="Y3381" t="n">
        <v>37</v>
      </c>
      <c r="Z3381" t="n">
        <v>35</v>
      </c>
      <c r="AA3381" t="n">
        <v>269</v>
      </c>
      <c r="AB3381" t="n">
        <v>1</v>
      </c>
      <c r="AC3381" t="n">
        <v>1</v>
      </c>
      <c r="AD3381" t="n">
        <v>1</v>
      </c>
      <c r="AE3381" t="n">
        <v>5</v>
      </c>
      <c r="AF3381" t="n">
        <v>1</v>
      </c>
      <c r="AG3381" t="n">
        <v>1</v>
      </c>
      <c r="AH3381" t="n">
        <v>0</v>
      </c>
      <c r="AI3381" t="n">
        <v>0</v>
      </c>
      <c r="AJ3381" t="n">
        <v>1</v>
      </c>
      <c r="AK3381" t="n">
        <v>5</v>
      </c>
      <c r="AL3381" t="n">
        <v>0</v>
      </c>
      <c r="AM3381" t="n">
        <v>0</v>
      </c>
      <c r="AN3381" t="n">
        <v>0</v>
      </c>
      <c r="AO3381" t="n">
        <v>0</v>
      </c>
      <c r="AP3381" t="inlineStr">
        <is>
          <t>No</t>
        </is>
      </c>
      <c r="AQ3381" t="inlineStr">
        <is>
          <t>No</t>
        </is>
      </c>
      <c r="AS3381">
        <f>HYPERLINK("https://creighton-primo.hosted.exlibrisgroup.com/primo-explore/search?tab=default_tab&amp;search_scope=EVERYTHING&amp;vid=01CRU&amp;lang=en_US&amp;offset=0&amp;query=any,contains,991002448119702656","Catalog Record")</f>
        <v/>
      </c>
      <c r="AT3381">
        <f>HYPERLINK("http://www.worldcat.org/oclc/31923123","WorldCat Record")</f>
        <v/>
      </c>
      <c r="AU3381" t="inlineStr">
        <is>
          <t>22836988:eng</t>
        </is>
      </c>
      <c r="AV3381" t="inlineStr">
        <is>
          <t>31923123</t>
        </is>
      </c>
      <c r="AW3381" t="inlineStr">
        <is>
          <t>991002448119702656</t>
        </is>
      </c>
      <c r="AX3381" t="inlineStr">
        <is>
          <t>991002448119702656</t>
        </is>
      </c>
      <c r="AY3381" t="inlineStr">
        <is>
          <t>2260296560002656</t>
        </is>
      </c>
      <c r="AZ3381" t="inlineStr">
        <is>
          <t>BOOK</t>
        </is>
      </c>
      <c r="BB3381" t="inlineStr">
        <is>
          <t>9780312069544</t>
        </is>
      </c>
      <c r="BC3381" t="inlineStr">
        <is>
          <t>32285002379906</t>
        </is>
      </c>
      <c r="BD3381" t="inlineStr">
        <is>
          <t>893691625</t>
        </is>
      </c>
    </row>
    <row r="3382">
      <c r="A3382" t="inlineStr">
        <is>
          <t>No</t>
        </is>
      </c>
      <c r="B3382" t="inlineStr">
        <is>
          <t>BX9896.Z8 W45 1994</t>
        </is>
      </c>
      <c r="C3382" t="inlineStr">
        <is>
          <t>0                      BX 9896000Z  8                  W  45          1994</t>
        </is>
      </c>
      <c r="D3382" t="inlineStr">
        <is>
          <t>Stranger at the gate : to be gay and Christian in America / Mel White.</t>
        </is>
      </c>
      <c r="F3382" t="inlineStr">
        <is>
          <t>No</t>
        </is>
      </c>
      <c r="G3382" t="inlineStr">
        <is>
          <t>1</t>
        </is>
      </c>
      <c r="H3382" t="inlineStr">
        <is>
          <t>No</t>
        </is>
      </c>
      <c r="I3382" t="inlineStr">
        <is>
          <t>No</t>
        </is>
      </c>
      <c r="J3382" t="inlineStr">
        <is>
          <t>0</t>
        </is>
      </c>
      <c r="K3382" t="inlineStr">
        <is>
          <t>White, Mel, 1940-</t>
        </is>
      </c>
      <c r="L3382" t="inlineStr">
        <is>
          <t>New York : Simon &amp; Schuster, c1994.</t>
        </is>
      </c>
      <c r="M3382" t="inlineStr">
        <is>
          <t>1994</t>
        </is>
      </c>
      <c r="O3382" t="inlineStr">
        <is>
          <t>eng</t>
        </is>
      </c>
      <c r="P3382" t="inlineStr">
        <is>
          <t>nyu</t>
        </is>
      </c>
      <c r="R3382" t="inlineStr">
        <is>
          <t xml:space="preserve">BX </t>
        </is>
      </c>
      <c r="S3382" t="n">
        <v>2</v>
      </c>
      <c r="T3382" t="n">
        <v>2</v>
      </c>
      <c r="U3382" t="inlineStr">
        <is>
          <t>2000-11-28</t>
        </is>
      </c>
      <c r="V3382" t="inlineStr">
        <is>
          <t>2000-11-28</t>
        </is>
      </c>
      <c r="W3382" t="inlineStr">
        <is>
          <t>1994-07-22</t>
        </is>
      </c>
      <c r="X3382" t="inlineStr">
        <is>
          <t>1994-07-22</t>
        </is>
      </c>
      <c r="Y3382" t="n">
        <v>864</v>
      </c>
      <c r="Z3382" t="n">
        <v>823</v>
      </c>
      <c r="AA3382" t="n">
        <v>1095</v>
      </c>
      <c r="AB3382" t="n">
        <v>11</v>
      </c>
      <c r="AC3382" t="n">
        <v>12</v>
      </c>
      <c r="AD3382" t="n">
        <v>27</v>
      </c>
      <c r="AE3382" t="n">
        <v>36</v>
      </c>
      <c r="AF3382" t="n">
        <v>9</v>
      </c>
      <c r="AG3382" t="n">
        <v>14</v>
      </c>
      <c r="AH3382" t="n">
        <v>5</v>
      </c>
      <c r="AI3382" t="n">
        <v>6</v>
      </c>
      <c r="AJ3382" t="n">
        <v>16</v>
      </c>
      <c r="AK3382" t="n">
        <v>18</v>
      </c>
      <c r="AL3382" t="n">
        <v>5</v>
      </c>
      <c r="AM3382" t="n">
        <v>6</v>
      </c>
      <c r="AN3382" t="n">
        <v>0</v>
      </c>
      <c r="AO3382" t="n">
        <v>0</v>
      </c>
      <c r="AP3382" t="inlineStr">
        <is>
          <t>No</t>
        </is>
      </c>
      <c r="AQ3382" t="inlineStr">
        <is>
          <t>Yes</t>
        </is>
      </c>
      <c r="AR3382">
        <f>HYPERLINK("http://catalog.hathitrust.org/Record/002812342","HathiTrust Record")</f>
        <v/>
      </c>
      <c r="AS3382">
        <f>HYPERLINK("https://creighton-primo.hosted.exlibrisgroup.com/primo-explore/search?tab=default_tab&amp;search_scope=EVERYTHING&amp;vid=01CRU&amp;lang=en_US&amp;offset=0&amp;query=any,contains,991002303539702656","Catalog Record")</f>
        <v/>
      </c>
      <c r="AT3382">
        <f>HYPERLINK("http://www.worldcat.org/oclc/29877551","WorldCat Record")</f>
        <v/>
      </c>
      <c r="AU3382" t="inlineStr">
        <is>
          <t>32136370:eng</t>
        </is>
      </c>
      <c r="AV3382" t="inlineStr">
        <is>
          <t>29877551</t>
        </is>
      </c>
      <c r="AW3382" t="inlineStr">
        <is>
          <t>991002303539702656</t>
        </is>
      </c>
      <c r="AX3382" t="inlineStr">
        <is>
          <t>991002303539702656</t>
        </is>
      </c>
      <c r="AY3382" t="inlineStr">
        <is>
          <t>2257831670002656</t>
        </is>
      </c>
      <c r="AZ3382" t="inlineStr">
        <is>
          <t>BOOK</t>
        </is>
      </c>
      <c r="BB3382" t="inlineStr">
        <is>
          <t>9780671884079</t>
        </is>
      </c>
      <c r="BC3382" t="inlineStr">
        <is>
          <t>32285001933224</t>
        </is>
      </c>
      <c r="BD3382" t="inlineStr">
        <is>
          <t>893440007</t>
        </is>
      </c>
    </row>
    <row r="3383">
      <c r="A3383" t="inlineStr">
        <is>
          <t>No</t>
        </is>
      </c>
      <c r="B3383" t="inlineStr">
        <is>
          <t>BX9941.2 .C38 1971</t>
        </is>
      </c>
      <c r="C3383" t="inlineStr">
        <is>
          <t>0                      BX 9941200C  38          1971</t>
        </is>
      </c>
      <c r="D3383" t="inlineStr">
        <is>
          <t>Universalism in America : a documentary history / edited by Ernest Cassara.</t>
        </is>
      </c>
      <c r="F3383" t="inlineStr">
        <is>
          <t>No</t>
        </is>
      </c>
      <c r="G3383" t="inlineStr">
        <is>
          <t>1</t>
        </is>
      </c>
      <c r="H3383" t="inlineStr">
        <is>
          <t>No</t>
        </is>
      </c>
      <c r="I3383" t="inlineStr">
        <is>
          <t>No</t>
        </is>
      </c>
      <c r="J3383" t="inlineStr">
        <is>
          <t>0</t>
        </is>
      </c>
      <c r="K3383" t="inlineStr">
        <is>
          <t>Cassara, Ernest, 1925-, compiler.</t>
        </is>
      </c>
      <c r="L3383" t="inlineStr">
        <is>
          <t>Boston : Beacon Press, [1971]</t>
        </is>
      </c>
      <c r="M3383" t="inlineStr">
        <is>
          <t>1971</t>
        </is>
      </c>
      <c r="O3383" t="inlineStr">
        <is>
          <t>eng</t>
        </is>
      </c>
      <c r="P3383" t="inlineStr">
        <is>
          <t>mau</t>
        </is>
      </c>
      <c r="R3383" t="inlineStr">
        <is>
          <t xml:space="preserve">BX </t>
        </is>
      </c>
      <c r="S3383" t="n">
        <v>1</v>
      </c>
      <c r="T3383" t="n">
        <v>1</v>
      </c>
      <c r="U3383" t="inlineStr">
        <is>
          <t>2000-08-23</t>
        </is>
      </c>
      <c r="V3383" t="inlineStr">
        <is>
          <t>2000-08-23</t>
        </is>
      </c>
      <c r="W3383" t="inlineStr">
        <is>
          <t>2000-08-23</t>
        </is>
      </c>
      <c r="X3383" t="inlineStr">
        <is>
          <t>2000-08-23</t>
        </is>
      </c>
      <c r="Y3383" t="n">
        <v>526</v>
      </c>
      <c r="Z3383" t="n">
        <v>491</v>
      </c>
      <c r="AA3383" t="n">
        <v>497</v>
      </c>
      <c r="AB3383" t="n">
        <v>3</v>
      </c>
      <c r="AC3383" t="n">
        <v>3</v>
      </c>
      <c r="AD3383" t="n">
        <v>18</v>
      </c>
      <c r="AE3383" t="n">
        <v>18</v>
      </c>
      <c r="AF3383" t="n">
        <v>8</v>
      </c>
      <c r="AG3383" t="n">
        <v>8</v>
      </c>
      <c r="AH3383" t="n">
        <v>3</v>
      </c>
      <c r="AI3383" t="n">
        <v>3</v>
      </c>
      <c r="AJ3383" t="n">
        <v>10</v>
      </c>
      <c r="AK3383" t="n">
        <v>10</v>
      </c>
      <c r="AL3383" t="n">
        <v>2</v>
      </c>
      <c r="AM3383" t="n">
        <v>2</v>
      </c>
      <c r="AN3383" t="n">
        <v>0</v>
      </c>
      <c r="AO3383" t="n">
        <v>0</v>
      </c>
      <c r="AP3383" t="inlineStr">
        <is>
          <t>No</t>
        </is>
      </c>
      <c r="AQ3383" t="inlineStr">
        <is>
          <t>Yes</t>
        </is>
      </c>
      <c r="AR3383">
        <f>HYPERLINK("http://catalog.hathitrust.org/Record/006661765","HathiTrust Record")</f>
        <v/>
      </c>
      <c r="AS3383">
        <f>HYPERLINK("https://creighton-primo.hosted.exlibrisgroup.com/primo-explore/search?tab=default_tab&amp;search_scope=EVERYTHING&amp;vid=01CRU&amp;lang=en_US&amp;offset=0&amp;query=any,contains,991003271239702656","Catalog Record")</f>
        <v/>
      </c>
      <c r="AT3383">
        <f>HYPERLINK("http://www.worldcat.org/oclc/137390","WorldCat Record")</f>
        <v/>
      </c>
      <c r="AU3383" t="inlineStr">
        <is>
          <t>368139514:eng</t>
        </is>
      </c>
      <c r="AV3383" t="inlineStr">
        <is>
          <t>137390</t>
        </is>
      </c>
      <c r="AW3383" t="inlineStr">
        <is>
          <t>991003271239702656</t>
        </is>
      </c>
      <c r="AX3383" t="inlineStr">
        <is>
          <t>991003271239702656</t>
        </is>
      </c>
      <c r="AY3383" t="inlineStr">
        <is>
          <t>2262324870002656</t>
        </is>
      </c>
      <c r="AZ3383" t="inlineStr">
        <is>
          <t>BOOK</t>
        </is>
      </c>
      <c r="BB3383" t="inlineStr">
        <is>
          <t>9780807016640</t>
        </is>
      </c>
      <c r="BC3383" t="inlineStr">
        <is>
          <t>32285003759007</t>
        </is>
      </c>
      <c r="BD3383" t="inlineStr">
        <is>
          <t>893323940</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2022-07-15T00:43:46Z</dcterms:created>
  <dcterms:modified xsi:type="dcterms:W3CDTF">2022-07-15T00:43:46Z</dcterms:modified>
</cp:coreProperties>
</file>